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8-19\Stats Release\2021 second revision\"/>
    </mc:Choice>
  </mc:AlternateContent>
  <xr:revisionPtr revIDLastSave="0" documentId="13_ncr:1_{83516E73-22C5-4160-BF1C-181CD52537CA}" xr6:coauthVersionLast="47" xr6:coauthVersionMax="47" xr10:uidLastSave="{00000000-0000-0000-0000-000000000000}"/>
  <bookViews>
    <workbookView xWindow="-120" yWindow="-120" windowWidth="29040" windowHeight="1450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72" r:id="rId12"/>
    <sheet name="Datasheet4" sheetId="73" r:id="rId13"/>
    <sheet name="Datasheet5" sheetId="74" r:id="rId14"/>
  </sheets>
  <externalReferences>
    <externalReference r:id="rId15"/>
    <externalReference r:id="rId16"/>
    <externalReference r:id="rId17"/>
    <externalReference r:id="rId18"/>
  </externalReferences>
  <definedNames>
    <definedName name="_xlnm._FilterDatabase" localSheetId="8" hidden="1">Datasheet1!$A$5:$AF$332</definedName>
    <definedName name="_xlnm._FilterDatabase" localSheetId="9" hidden="1">Datasheet2!$A$5:$BQ$334</definedName>
    <definedName name="_xlnm._FilterDatabase" localSheetId="11" hidden="1">Datasheet3!$A$5:$HH$335</definedName>
    <definedName name="_xlnm._FilterDatabase" localSheetId="12" hidden="1">Datasheet4!$A$5:$GI$334</definedName>
    <definedName name="_xlnm._FilterDatabase" localSheetId="13" hidden="1">Datasheet5!$A$5:$FC$334</definedName>
    <definedName name="Adur">[1]DATA!#REF!</definedName>
    <definedName name="BRprint1">#REF!</definedName>
    <definedName name="BRprint2">#REF!</definedName>
    <definedName name="CERDATA">'[2]Section 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[3]Data!$B$12:$B$338</definedName>
    <definedName name="numberhered">#REF!</definedName>
    <definedName name="_xlnm.Print_Area" localSheetId="3">'DA Summary'!$A$1:$U$59</definedName>
    <definedName name="_xlnm.Print_Area" localSheetId="7">Data!$A$1:$C$334</definedName>
    <definedName name="_xlnm.Print_Area" localSheetId="1">'Part 1'!$A$1:$Y$56</definedName>
    <definedName name="_xlnm.Print_Area" localSheetId="2">'Part 2'!$A$1:$V$108</definedName>
    <definedName name="_xlnm.Print_Area" localSheetId="4">'Part 3'!$A$1:$U$242</definedName>
    <definedName name="_xlnm.Print_Area" localSheetId="5">'Part 4'!$A$1:$V$126</definedName>
    <definedName name="_xlnm.Print_Area" localSheetId="6">'Part 5'!$A$1:$AD$108</definedName>
    <definedName name="_xlnm.Print_Area">'[2]Section 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[3]Data!$A$12:$C$338</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7" i="25" l="1"/>
  <c r="W17" i="25"/>
  <c r="S17" i="25"/>
  <c r="O17" i="25"/>
  <c r="S29" i="24"/>
  <c r="O29" i="24"/>
  <c r="K29" i="24"/>
  <c r="R17" i="6" l="1"/>
  <c r="J21" i="6"/>
  <c r="N23" i="6"/>
  <c r="R27" i="6"/>
  <c r="J34" i="6"/>
  <c r="N37" i="6"/>
  <c r="R40" i="6"/>
  <c r="J44" i="6"/>
  <c r="N48" i="6"/>
  <c r="R52" i="6"/>
  <c r="J59" i="6"/>
  <c r="N61" i="6"/>
  <c r="R65" i="6"/>
  <c r="J71" i="6"/>
  <c r="N73" i="6"/>
  <c r="R77" i="6"/>
  <c r="J85" i="6"/>
  <c r="N89" i="6"/>
  <c r="R91" i="6"/>
  <c r="J100" i="6"/>
  <c r="N102" i="6"/>
  <c r="R106" i="6"/>
  <c r="J112" i="6"/>
  <c r="N114" i="6"/>
  <c r="R118" i="6"/>
  <c r="J124" i="6"/>
  <c r="N126" i="6"/>
  <c r="R130" i="6"/>
  <c r="N135" i="6"/>
  <c r="R140" i="6"/>
  <c r="J149" i="6"/>
  <c r="R159" i="6"/>
  <c r="J165" i="6"/>
  <c r="N169" i="6"/>
  <c r="R171" i="6"/>
  <c r="J177" i="6"/>
  <c r="N181" i="6"/>
  <c r="R183" i="6"/>
  <c r="J189" i="6"/>
  <c r="N193" i="6"/>
  <c r="R195" i="6"/>
  <c r="J201" i="6"/>
  <c r="N205" i="6"/>
  <c r="R209" i="6"/>
  <c r="J215" i="6"/>
  <c r="N222" i="6"/>
  <c r="R224" i="6"/>
  <c r="J228" i="6"/>
  <c r="N230" i="6"/>
  <c r="R232" i="6"/>
  <c r="J236" i="6"/>
  <c r="N238" i="6"/>
  <c r="J19" i="6"/>
  <c r="N21" i="6"/>
  <c r="R23" i="6"/>
  <c r="J32" i="6"/>
  <c r="N34" i="6"/>
  <c r="R37" i="6"/>
  <c r="J42" i="6"/>
  <c r="N44" i="6"/>
  <c r="R48" i="6"/>
  <c r="J55" i="6"/>
  <c r="N59" i="6"/>
  <c r="R61" i="6"/>
  <c r="J67" i="6"/>
  <c r="N71" i="6"/>
  <c r="R73" i="6"/>
  <c r="J83" i="6"/>
  <c r="N85" i="6"/>
  <c r="R89" i="6"/>
  <c r="J95" i="6"/>
  <c r="N100" i="6"/>
  <c r="R102" i="6"/>
  <c r="J108" i="6"/>
  <c r="N112" i="6"/>
  <c r="R114" i="6"/>
  <c r="J120" i="6"/>
  <c r="N124" i="6"/>
  <c r="R126" i="6"/>
  <c r="J132" i="6"/>
  <c r="J137" i="6"/>
  <c r="J145" i="6"/>
  <c r="N149" i="6"/>
  <c r="J161" i="6"/>
  <c r="N165" i="6"/>
  <c r="R169" i="6"/>
  <c r="J175" i="6"/>
  <c r="N177" i="6"/>
  <c r="R181" i="6"/>
  <c r="J187" i="6"/>
  <c r="N189" i="6"/>
  <c r="R193" i="6"/>
  <c r="J199" i="6"/>
  <c r="N201" i="6"/>
  <c r="R205" i="6"/>
  <c r="J211" i="6"/>
  <c r="N215" i="6"/>
  <c r="R222" i="6"/>
  <c r="J226" i="6"/>
  <c r="N228" i="6"/>
  <c r="R230" i="6"/>
  <c r="J234" i="6"/>
  <c r="N236" i="6"/>
  <c r="R238" i="6"/>
  <c r="AA23" i="25"/>
  <c r="AA36" i="25"/>
  <c r="K49" i="25"/>
  <c r="O56" i="25"/>
  <c r="S64" i="25"/>
  <c r="G29" i="24"/>
  <c r="O51" i="24"/>
  <c r="S14" i="24"/>
  <c r="O49" i="24"/>
  <c r="G64" i="24"/>
  <c r="G73" i="24"/>
  <c r="K87" i="24"/>
  <c r="O98" i="24"/>
  <c r="S112" i="24"/>
  <c r="K127" i="24"/>
  <c r="O138" i="24"/>
  <c r="S151" i="24"/>
  <c r="K166" i="24"/>
  <c r="O177" i="24"/>
  <c r="N19" i="6"/>
  <c r="R21" i="6"/>
  <c r="J27" i="6"/>
  <c r="N32" i="6"/>
  <c r="R34" i="6"/>
  <c r="J40" i="6"/>
  <c r="N42" i="6"/>
  <c r="R44" i="6"/>
  <c r="J52" i="6"/>
  <c r="N55" i="6"/>
  <c r="R59" i="6"/>
  <c r="J65" i="6"/>
  <c r="N67" i="6"/>
  <c r="R71" i="6"/>
  <c r="J77" i="6"/>
  <c r="N83" i="6"/>
  <c r="R85" i="6"/>
  <c r="J91" i="6"/>
  <c r="N95" i="6"/>
  <c r="R100" i="6"/>
  <c r="J106" i="6"/>
  <c r="N108" i="6"/>
  <c r="R112" i="6"/>
  <c r="J118" i="6"/>
  <c r="N120" i="6"/>
  <c r="R124" i="6"/>
  <c r="J130" i="6"/>
  <c r="N132" i="6"/>
  <c r="J140" i="6"/>
  <c r="N145" i="6"/>
  <c r="R149" i="6"/>
  <c r="J159" i="6"/>
  <c r="N161" i="6"/>
  <c r="R165" i="6"/>
  <c r="J171" i="6"/>
  <c r="N175" i="6"/>
  <c r="R177" i="6"/>
  <c r="J183" i="6"/>
  <c r="N187" i="6"/>
  <c r="R189" i="6"/>
  <c r="J195" i="6"/>
  <c r="N199" i="6"/>
  <c r="R201" i="6"/>
  <c r="J209" i="6"/>
  <c r="N211" i="6"/>
  <c r="R215" i="6"/>
  <c r="J224" i="6"/>
  <c r="N226" i="6"/>
  <c r="R228" i="6"/>
  <c r="J232" i="6"/>
  <c r="N234" i="6"/>
  <c r="R236" i="6"/>
  <c r="N17" i="6"/>
  <c r="R19" i="6"/>
  <c r="J23" i="6"/>
  <c r="N27" i="6"/>
  <c r="R32" i="6"/>
  <c r="J37" i="6"/>
  <c r="N40" i="6"/>
  <c r="R42" i="6"/>
  <c r="J48" i="6"/>
  <c r="N52" i="6"/>
  <c r="R55" i="6"/>
  <c r="J61" i="6"/>
  <c r="N65" i="6"/>
  <c r="R67" i="6"/>
  <c r="J73" i="6"/>
  <c r="N77" i="6"/>
  <c r="R83" i="6"/>
  <c r="J89" i="6"/>
  <c r="N91" i="6"/>
  <c r="R95" i="6"/>
  <c r="J102" i="6"/>
  <c r="N106" i="6"/>
  <c r="R108" i="6"/>
  <c r="J114" i="6"/>
  <c r="N118" i="6"/>
  <c r="R120" i="6"/>
  <c r="J126" i="6"/>
  <c r="N130" i="6"/>
  <c r="R132" i="6"/>
  <c r="N140" i="6"/>
  <c r="R145" i="6"/>
  <c r="N159" i="6"/>
  <c r="R161" i="6"/>
  <c r="J169" i="6"/>
  <c r="N171" i="6"/>
  <c r="R175" i="6"/>
  <c r="J181" i="6"/>
  <c r="N183" i="6"/>
  <c r="R187" i="6"/>
  <c r="J193" i="6"/>
  <c r="N195" i="6"/>
  <c r="R199" i="6"/>
  <c r="J205" i="6"/>
  <c r="N209" i="6"/>
  <c r="R211" i="6"/>
  <c r="J222" i="6"/>
  <c r="N224" i="6"/>
  <c r="R226" i="6"/>
  <c r="J230" i="6"/>
  <c r="N232" i="6"/>
  <c r="R234" i="6"/>
  <c r="J238" i="6"/>
  <c r="J17" i="6"/>
  <c r="R155" i="6"/>
  <c r="R153" i="6"/>
  <c r="N153" i="6"/>
  <c r="N155" i="6"/>
  <c r="J153" i="6"/>
  <c r="J155" i="6"/>
  <c r="K17" i="25"/>
  <c r="AA28" i="25"/>
  <c r="S32" i="25"/>
  <c r="W38" i="25"/>
  <c r="O42" i="25"/>
  <c r="W49" i="25"/>
  <c r="S52" i="25"/>
  <c r="AA56" i="25"/>
  <c r="W58" i="25"/>
  <c r="K66" i="25"/>
  <c r="AA66" i="25"/>
  <c r="S70" i="25"/>
  <c r="K75" i="25"/>
  <c r="O82" i="25"/>
  <c r="S96" i="25"/>
  <c r="AA101" i="25"/>
  <c r="W103" i="25"/>
  <c r="S105" i="25"/>
  <c r="O64" i="25" l="1"/>
  <c r="K56" i="25"/>
  <c r="AA47" i="25"/>
  <c r="W36" i="25"/>
  <c r="K23" i="25"/>
  <c r="K68" i="25"/>
  <c r="AA58" i="25"/>
  <c r="W52" i="25"/>
  <c r="O99" i="25"/>
  <c r="K92" i="25"/>
  <c r="AA75" i="25"/>
  <c r="K175" i="24"/>
  <c r="S161" i="24"/>
  <c r="O148" i="24"/>
  <c r="K136" i="24"/>
  <c r="S122" i="24"/>
  <c r="O110" i="24"/>
  <c r="K96" i="24"/>
  <c r="G71" i="24"/>
  <c r="G61" i="24"/>
  <c r="K44" i="24"/>
  <c r="W94" i="25"/>
  <c r="S80" i="25"/>
  <c r="O72" i="25"/>
  <c r="K103" i="25"/>
  <c r="S181" i="24"/>
  <c r="O168" i="24"/>
  <c r="K156" i="24"/>
  <c r="S141" i="24"/>
  <c r="O129" i="24"/>
  <c r="K117" i="24"/>
  <c r="S101" i="24"/>
  <c r="O89" i="24"/>
  <c r="G76" i="24"/>
  <c r="G66" i="24"/>
  <c r="O54" i="24"/>
  <c r="K19" i="24"/>
  <c r="S127" i="24"/>
  <c r="AA68" i="25"/>
  <c r="W62" i="25"/>
  <c r="S54" i="25"/>
  <c r="O47" i="25"/>
  <c r="AA34" i="25"/>
  <c r="S21" i="25"/>
  <c r="S145" i="24"/>
  <c r="O73" i="24"/>
  <c r="K91" i="24"/>
  <c r="K101" i="25"/>
  <c r="AA92" i="25"/>
  <c r="W78" i="25"/>
  <c r="O85" i="24"/>
  <c r="S42" i="25"/>
  <c r="AA32" i="25"/>
  <c r="W68" i="25"/>
  <c r="S62" i="25"/>
  <c r="O54" i="25"/>
  <c r="K47" i="25"/>
  <c r="W34" i="25"/>
  <c r="K112" i="24"/>
  <c r="O66" i="25"/>
  <c r="K58" i="25"/>
  <c r="AA49" i="25"/>
  <c r="AA38" i="25"/>
  <c r="O30" i="25"/>
  <c r="S170" i="24"/>
  <c r="O159" i="24"/>
  <c r="K145" i="24"/>
  <c r="S131" i="24"/>
  <c r="O120" i="24"/>
  <c r="K107" i="24"/>
  <c r="S91" i="24"/>
  <c r="G81" i="24"/>
  <c r="G69" i="24"/>
  <c r="S56" i="24"/>
  <c r="K35" i="24"/>
  <c r="O21" i="25"/>
  <c r="K21" i="25"/>
  <c r="S103" i="25"/>
  <c r="O96" i="25"/>
  <c r="K82" i="25"/>
  <c r="AA72" i="25"/>
  <c r="W66" i="25"/>
  <c r="S58" i="25"/>
  <c r="O52" i="25"/>
  <c r="AA40" i="25"/>
  <c r="O32" i="25"/>
  <c r="S101" i="25"/>
  <c r="O94" i="25"/>
  <c r="K80" i="25"/>
  <c r="S66" i="25"/>
  <c r="O58" i="25"/>
  <c r="K52" i="25"/>
  <c r="O40" i="25"/>
  <c r="AA30" i="25"/>
  <c r="O101" i="25"/>
  <c r="K94" i="25"/>
  <c r="AA78" i="25"/>
  <c r="W101" i="25"/>
  <c r="S94" i="25"/>
  <c r="O80" i="25"/>
  <c r="K72" i="25"/>
  <c r="AA64" i="25"/>
  <c r="W56" i="25"/>
  <c r="S49" i="25"/>
  <c r="S38" i="25"/>
  <c r="O28" i="25"/>
  <c r="AA105" i="25"/>
  <c r="W99" i="25"/>
  <c r="S92" i="25"/>
  <c r="O78" i="25"/>
  <c r="W64" i="25"/>
  <c r="S56" i="25"/>
  <c r="O49" i="25"/>
  <c r="O38" i="25"/>
  <c r="K25" i="25"/>
  <c r="S99" i="25"/>
  <c r="O92" i="25"/>
  <c r="K78" i="25"/>
  <c r="AA99" i="25"/>
  <c r="W92" i="25"/>
  <c r="S78" i="25"/>
  <c r="O70" i="25"/>
  <c r="K64" i="25"/>
  <c r="AA54" i="25"/>
  <c r="W47" i="25"/>
  <c r="S36" i="25"/>
  <c r="AA21" i="25"/>
  <c r="K105" i="25"/>
  <c r="AA96" i="25"/>
  <c r="W82" i="25"/>
  <c r="S75" i="25"/>
  <c r="K70" i="25"/>
  <c r="AA62" i="25"/>
  <c r="W54" i="25"/>
  <c r="S47" i="25"/>
  <c r="O36" i="25"/>
  <c r="W21" i="25"/>
  <c r="W105" i="25"/>
  <c r="W96" i="25"/>
  <c r="S82" i="25"/>
  <c r="O75" i="25"/>
  <c r="O105" i="25"/>
  <c r="K99" i="25"/>
  <c r="AA82" i="25"/>
  <c r="W75" i="25"/>
  <c r="S68" i="25"/>
  <c r="O62" i="25"/>
  <c r="K54" i="25"/>
  <c r="AA42" i="25"/>
  <c r="S34" i="25"/>
  <c r="O103" i="25"/>
  <c r="K96" i="25"/>
  <c r="AA80" i="25"/>
  <c r="W72" i="25"/>
  <c r="O68" i="25"/>
  <c r="K62" i="25"/>
  <c r="AA52" i="25"/>
  <c r="W42" i="25"/>
  <c r="O34" i="25"/>
  <c r="AA103" i="25"/>
  <c r="AA94" i="25"/>
  <c r="W80" i="25"/>
  <c r="S72" i="25"/>
  <c r="S173" i="24"/>
  <c r="O151" i="24"/>
  <c r="S124" i="24"/>
  <c r="O101" i="24"/>
  <c r="K79" i="24"/>
  <c r="O56" i="24"/>
  <c r="S175" i="24"/>
  <c r="S136" i="24"/>
  <c r="K101" i="24"/>
  <c r="O66" i="24"/>
  <c r="O181" i="24"/>
  <c r="K148" i="24"/>
  <c r="K120" i="24"/>
  <c r="O91" i="24"/>
  <c r="S64" i="24"/>
  <c r="S16" i="24"/>
  <c r="K151" i="24"/>
  <c r="O114" i="24"/>
  <c r="G79" i="24"/>
  <c r="O47" i="24"/>
  <c r="O153" i="24"/>
  <c r="S107" i="24"/>
  <c r="O58" i="24"/>
  <c r="O175" i="24"/>
  <c r="K163" i="24"/>
  <c r="S148" i="24"/>
  <c r="O136" i="24"/>
  <c r="K124" i="24"/>
  <c r="S110" i="24"/>
  <c r="O96" i="24"/>
  <c r="K85" i="24"/>
  <c r="K71" i="24"/>
  <c r="K61" i="24"/>
  <c r="K47" i="24"/>
  <c r="K168" i="24"/>
  <c r="S143" i="24"/>
  <c r="O122" i="24"/>
  <c r="S94" i="24"/>
  <c r="S71" i="24"/>
  <c r="K49" i="24"/>
  <c r="O163" i="24"/>
  <c r="O61" i="24"/>
  <c r="O170" i="24"/>
  <c r="O141" i="24"/>
  <c r="O112" i="24"/>
  <c r="S85" i="24"/>
  <c r="S58" i="24"/>
  <c r="O173" i="24"/>
  <c r="K141" i="24"/>
  <c r="O104" i="24"/>
  <c r="O71" i="24"/>
  <c r="O16" i="24"/>
  <c r="O143" i="24"/>
  <c r="O94" i="24"/>
  <c r="K40" i="24"/>
  <c r="K173" i="24"/>
  <c r="S159" i="24"/>
  <c r="O145" i="24"/>
  <c r="K134" i="24"/>
  <c r="S120" i="24"/>
  <c r="O107" i="24"/>
  <c r="K94" i="24"/>
  <c r="K81" i="24"/>
  <c r="K69" i="24"/>
  <c r="K58" i="24"/>
  <c r="K37" i="24"/>
  <c r="S163" i="24"/>
  <c r="K138" i="24"/>
  <c r="S114" i="24"/>
  <c r="K89" i="24"/>
  <c r="S66" i="24"/>
  <c r="K33" i="24"/>
  <c r="S156" i="24"/>
  <c r="K122" i="24"/>
  <c r="O161" i="24"/>
  <c r="S134" i="24"/>
  <c r="S104" i="24"/>
  <c r="S73" i="24"/>
  <c r="K54" i="24"/>
  <c r="K170" i="24"/>
  <c r="O134" i="24"/>
  <c r="S96" i="24"/>
  <c r="O64" i="24"/>
  <c r="K181" i="24"/>
  <c r="K131" i="24"/>
  <c r="S168" i="24"/>
  <c r="O156" i="24"/>
  <c r="K143" i="24"/>
  <c r="S129" i="24"/>
  <c r="O117" i="24"/>
  <c r="K104" i="24"/>
  <c r="S89" i="24"/>
  <c r="K76" i="24"/>
  <c r="K66" i="24"/>
  <c r="S54" i="24"/>
  <c r="O19" i="24"/>
  <c r="K177" i="24"/>
  <c r="K159" i="24"/>
  <c r="O131" i="24"/>
  <c r="K110" i="24"/>
  <c r="S61" i="24"/>
  <c r="O14" i="24"/>
  <c r="K14" i="24"/>
  <c r="S19" i="24"/>
  <c r="S153" i="24"/>
  <c r="K129" i="24"/>
  <c r="K98" i="24"/>
  <c r="S69" i="24"/>
  <c r="K42" i="24"/>
  <c r="K161" i="24"/>
  <c r="O124" i="24"/>
  <c r="S87" i="24"/>
  <c r="K56" i="24"/>
  <c r="S166" i="24"/>
  <c r="S117" i="24"/>
  <c r="O69" i="24"/>
  <c r="S177" i="24"/>
  <c r="O166" i="24"/>
  <c r="K153" i="24"/>
  <c r="S138" i="24"/>
  <c r="O127" i="24"/>
  <c r="K114" i="24"/>
  <c r="S98" i="24"/>
  <c r="O87" i="24"/>
  <c r="K73" i="24"/>
  <c r="K64" i="24"/>
  <c r="K51" i="24"/>
  <c r="K16" i="24"/>
  <c r="AA70" i="25"/>
  <c r="W70" i="25" l="1"/>
  <c r="D38" i="25" l="1"/>
  <c r="AB8" i="1" l="1"/>
  <c r="E3" i="70" s="1"/>
  <c r="B35" i="70" s="1"/>
  <c r="AC8" i="1"/>
  <c r="L15" i="1"/>
  <c r="C10" i="6" s="1"/>
  <c r="L16" i="1"/>
  <c r="F1" i="25"/>
  <c r="G1" i="24"/>
  <c r="AF40" i="25" l="1"/>
  <c r="D40" i="25" s="1"/>
  <c r="W89" i="25"/>
  <c r="S89" i="25"/>
  <c r="O89" i="25"/>
  <c r="R35" i="70"/>
  <c r="J35" i="70"/>
  <c r="P35" i="70"/>
  <c r="H35" i="70"/>
  <c r="N35" i="70"/>
  <c r="E35" i="70"/>
  <c r="C35" i="70"/>
  <c r="T35" i="70"/>
  <c r="L35" i="70"/>
  <c r="W13" i="25"/>
  <c r="R24" i="24" s="1"/>
  <c r="S13" i="25"/>
  <c r="N24" i="24" s="1"/>
  <c r="O13" i="25"/>
  <c r="J24" i="24" s="1"/>
  <c r="B52" i="70"/>
  <c r="C10" i="5"/>
  <c r="C7" i="25" s="1"/>
  <c r="C8" i="24"/>
  <c r="B19" i="70"/>
  <c r="K14" i="25"/>
  <c r="B51" i="70"/>
  <c r="C3" i="70"/>
  <c r="B41" i="70"/>
  <c r="B26" i="70"/>
  <c r="B28" i="70"/>
  <c r="B27" i="70"/>
  <c r="B42" i="70"/>
  <c r="B44" i="70"/>
  <c r="B53" i="70"/>
  <c r="B37" i="70"/>
  <c r="B25" i="70"/>
  <c r="B17" i="70"/>
  <c r="B14" i="70"/>
  <c r="B30" i="70"/>
  <c r="B46" i="70"/>
  <c r="B39" i="70"/>
  <c r="B16" i="70"/>
  <c r="B32" i="70"/>
  <c r="B48" i="70"/>
  <c r="B49" i="70"/>
  <c r="B33" i="70"/>
  <c r="B23" i="70"/>
  <c r="B15" i="70"/>
  <c r="B18" i="70"/>
  <c r="B34" i="70"/>
  <c r="B50" i="70"/>
  <c r="B43" i="70"/>
  <c r="B20" i="70"/>
  <c r="B36" i="70"/>
  <c r="B45" i="70"/>
  <c r="B29" i="70"/>
  <c r="B21" i="70"/>
  <c r="B13" i="70"/>
  <c r="B22" i="70"/>
  <c r="B38" i="70"/>
  <c r="B31" i="70"/>
  <c r="B47" i="70"/>
  <c r="B24" i="70"/>
  <c r="B40" i="70"/>
  <c r="P22" i="70" l="1"/>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E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H6" i="70" l="1"/>
  <c r="J6" i="70"/>
  <c r="P6" i="70"/>
  <c r="R6" i="70"/>
  <c r="T6" i="70"/>
  <c r="N6" i="70"/>
  <c r="E6" i="70"/>
  <c r="L6" i="70"/>
  <c r="S106" i="5" l="1"/>
  <c r="K98" i="5"/>
  <c r="K90" i="5"/>
  <c r="K85" i="5"/>
  <c r="S77" i="5"/>
  <c r="S67" i="5"/>
  <c r="S63" i="5"/>
  <c r="O61" i="5"/>
  <c r="S47" i="5"/>
  <c r="O43" i="5"/>
  <c r="K41" i="5"/>
  <c r="S35" i="5"/>
  <c r="O32" i="5"/>
  <c r="K29" i="5"/>
  <c r="S23" i="5"/>
  <c r="O18" i="5"/>
  <c r="S94" i="5"/>
  <c r="S81" i="5"/>
  <c r="O67" i="5"/>
  <c r="K61" i="5"/>
  <c r="S38" i="5"/>
  <c r="K32" i="5"/>
  <c r="O23" i="5"/>
  <c r="S104" i="5"/>
  <c r="S88" i="5"/>
  <c r="O77" i="5"/>
  <c r="O63" i="5"/>
  <c r="O47" i="5"/>
  <c r="K43" i="5"/>
  <c r="O35" i="5"/>
  <c r="S27" i="5"/>
  <c r="U27" i="5" s="1"/>
  <c r="S98" i="5"/>
  <c r="K94" i="5"/>
  <c r="K88" i="5"/>
  <c r="O81" i="5"/>
  <c r="K77" i="5"/>
  <c r="S65" i="5"/>
  <c r="K63" i="5"/>
  <c r="S56" i="5"/>
  <c r="K47" i="5"/>
  <c r="S41" i="5"/>
  <c r="O38" i="5"/>
  <c r="K35" i="5"/>
  <c r="S29" i="5"/>
  <c r="O27" i="5"/>
  <c r="K23" i="5"/>
  <c r="K18" i="5"/>
  <c r="O98" i="5"/>
  <c r="S90" i="5"/>
  <c r="S85" i="5"/>
  <c r="K81" i="5"/>
  <c r="S72" i="5"/>
  <c r="O65" i="5"/>
  <c r="S61" i="5"/>
  <c r="O56" i="5"/>
  <c r="S43" i="5"/>
  <c r="O41" i="5"/>
  <c r="K38" i="5"/>
  <c r="S32" i="5"/>
  <c r="O29" i="5"/>
  <c r="K27" i="5"/>
  <c r="S18" i="5"/>
  <c r="K27" i="1" l="1"/>
  <c r="K36" i="1"/>
  <c r="K34" i="1"/>
  <c r="AA34" i="1" s="1"/>
  <c r="K48" i="1"/>
  <c r="AA48" i="1" s="1"/>
  <c r="K44" i="1"/>
  <c r="K52" i="1"/>
  <c r="K42" i="1"/>
  <c r="K32" i="1"/>
  <c r="K55" i="1"/>
  <c r="K50" i="1"/>
  <c r="K39" i="1"/>
  <c r="K29" i="1"/>
  <c r="AC34" i="1" l="1"/>
  <c r="AE34" i="1" s="1"/>
  <c r="AG34" i="1" s="1"/>
  <c r="AC48" i="1"/>
  <c r="AE48" i="1" s="1"/>
  <c r="K22" i="1"/>
</calcChain>
</file>

<file path=xl/sharedStrings.xml><?xml version="1.0" encoding="utf-8"?>
<sst xmlns="http://schemas.openxmlformats.org/spreadsheetml/2006/main" count="9532" uniqueCount="1830">
  <si>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</si>
  <si>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</si>
  <si>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</si>
  <si>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</si>
  <si>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</si>
  <si>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</si>
  <si>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</si>
  <si>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</si>
  <si>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</si>
  <si>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</si>
  <si>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</si>
  <si>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</si>
  <si>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</si>
  <si>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</si>
  <si>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</si>
  <si>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</si>
  <si>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</si>
  <si>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</si>
  <si>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</si>
  <si>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</si>
  <si>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</si>
  <si>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</si>
  <si>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</si>
  <si>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</si>
  <si>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</si>
  <si>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</si>
  <si>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</si>
  <si>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</si>
  <si>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</si>
  <si>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</si>
  <si>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</si>
  <si>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</si>
  <si>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</si>
  <si>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</si>
  <si>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</si>
  <si>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</si>
  <si>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</si>
  <si>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</si>
  <si>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</si>
  <si>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</si>
  <si>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</si>
  <si>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</si>
  <si>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</si>
  <si>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</si>
  <si>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</si>
  <si>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</si>
  <si>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</si>
  <si>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</si>
  <si>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</si>
  <si>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</si>
  <si>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</si>
  <si>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</si>
  <si>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</si>
  <si>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</si>
  <si>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</si>
  <si>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</si>
  <si>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</si>
  <si>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</si>
  <si>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</si>
  <si>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</si>
  <si>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</si>
  <si>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</si>
  <si>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</si>
  <si>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</si>
  <si>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</si>
  <si>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</si>
  <si>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</si>
  <si>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</si>
  <si>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</si>
  <si>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</si>
  <si>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</si>
  <si>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</si>
  <si>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</si>
  <si>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</si>
  <si>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</si>
  <si>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</si>
  <si>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</si>
  <si>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</si>
  <si>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</si>
  <si>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</si>
  <si>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</si>
  <si>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</si>
  <si>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</si>
  <si>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</si>
  <si>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</si>
  <si>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</si>
  <si>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</si>
  <si>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</si>
  <si>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</si>
  <si>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</si>
  <si>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</si>
  <si>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</si>
  <si>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</si>
  <si>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</si>
  <si>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</si>
  <si>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</si>
  <si>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</si>
  <si>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</si>
  <si>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</si>
  <si>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</si>
  <si>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</si>
  <si>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</si>
  <si>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</si>
  <si>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</si>
  <si>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</si>
  <si>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</si>
  <si>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</si>
  <si>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</si>
  <si>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</si>
  <si>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</si>
  <si>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</si>
  <si>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</si>
  <si>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</si>
  <si>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</si>
  <si>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</si>
  <si>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</si>
  <si>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</si>
  <si>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</si>
  <si>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</si>
  <si>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</si>
  <si>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</si>
  <si>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</si>
  <si>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</si>
  <si>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</si>
  <si>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</si>
  <si>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</si>
  <si>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</si>
  <si>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</si>
  <si>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</si>
  <si>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</si>
  <si>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</si>
  <si>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</si>
  <si>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</si>
  <si>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</si>
  <si>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</si>
  <si>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</si>
  <si>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</si>
  <si>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</si>
  <si>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</si>
  <si>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</si>
  <si>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</si>
  <si>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</si>
  <si>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</si>
  <si>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</si>
  <si>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</si>
  <si>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</si>
  <si>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</si>
  <si>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</si>
  <si>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</si>
  <si>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</si>
  <si>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</si>
  <si>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</si>
  <si>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</si>
  <si>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</si>
  <si>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</si>
  <si>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</si>
  <si>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</si>
  <si>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</si>
  <si>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</si>
  <si>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</si>
  <si>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</si>
  <si>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</si>
  <si>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</si>
  <si>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</si>
  <si>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</si>
  <si>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</si>
  <si>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</si>
  <si>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</si>
  <si>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</si>
  <si>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</si>
  <si>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</si>
  <si>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</si>
  <si>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</si>
  <si>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</si>
  <si>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</si>
  <si>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</si>
  <si>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</si>
  <si>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</si>
  <si>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</si>
  <si>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</si>
  <si>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</si>
  <si>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</si>
  <si>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</si>
  <si>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</si>
  <si>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</si>
  <si>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</si>
  <si>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</si>
  <si>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</si>
  <si>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</si>
  <si>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</si>
  <si>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</si>
  <si>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</si>
  <si>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</si>
  <si>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</si>
  <si>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</si>
  <si>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</si>
  <si>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</si>
  <si>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</si>
  <si>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</si>
  <si>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</si>
  <si>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</si>
  <si>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</si>
  <si>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</si>
  <si>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</si>
  <si>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</si>
  <si>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</si>
  <si>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</si>
  <si>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</si>
  <si>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</si>
  <si>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</si>
  <si>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</si>
  <si>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</si>
  <si>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</si>
  <si>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</si>
  <si>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</si>
  <si>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</si>
  <si>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</si>
  <si>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</si>
  <si>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</si>
  <si>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</si>
  <si>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</si>
  <si>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</si>
  <si>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</si>
  <si>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</si>
  <si>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</si>
  <si>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</si>
  <si>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</si>
  <si>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</si>
  <si>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</si>
  <si>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</si>
  <si>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</si>
  <si>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</si>
  <si>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</si>
  <si>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</si>
  <si>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</si>
  <si>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</si>
  <si>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</si>
  <si>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</si>
  <si>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</si>
  <si>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</si>
  <si>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</si>
  <si>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</si>
  <si>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</si>
  <si>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</si>
  <si>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</si>
  <si>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</si>
  <si>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</si>
  <si>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</si>
  <si>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</si>
  <si>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</si>
  <si>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</si>
  <si>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</si>
  <si>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</si>
  <si>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</si>
  <si>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</si>
  <si>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</si>
  <si>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</si>
  <si>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</si>
  <si>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</si>
  <si>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</si>
  <si>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</si>
  <si>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</si>
  <si>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</si>
  <si>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</si>
  <si>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</si>
  <si>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</si>
  <si>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</si>
  <si>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</si>
  <si>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</si>
  <si>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</si>
  <si>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</si>
  <si>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</si>
  <si>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</si>
  <si>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</si>
  <si>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</si>
  <si>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</si>
  <si>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</si>
  <si>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</si>
  <si>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</si>
  <si>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</si>
  <si>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</si>
  <si>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</si>
  <si>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</si>
  <si>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</si>
  <si>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</si>
  <si>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</si>
  <si>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</si>
  <si>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</si>
  <si>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</si>
  <si>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</si>
  <si>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</si>
  <si>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</si>
  <si>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</si>
  <si>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</si>
  <si>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</si>
  <si>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</si>
  <si>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</si>
  <si>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</si>
  <si>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</si>
  <si>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</si>
  <si>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</si>
  <si>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</si>
  <si>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</si>
  <si>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</si>
  <si>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</si>
  <si>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</si>
  <si>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</si>
  <si>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</si>
  <si>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</si>
  <si>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</si>
  <si>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</si>
  <si>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</si>
  <si>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</si>
  <si>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</si>
  <si>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</si>
  <si>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</si>
  <si>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</si>
  <si>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</si>
  <si>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</si>
  <si>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</si>
  <si>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</si>
  <si>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</si>
  <si>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</si>
  <si>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</si>
  <si>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</si>
  <si>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</si>
  <si>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</si>
  <si>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</si>
  <si>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</si>
  <si>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</si>
  <si>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</si>
  <si>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</si>
  <si>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</si>
  <si>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</si>
  <si>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</si>
  <si>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</si>
  <si>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</si>
  <si>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</si>
  <si>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</si>
  <si>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</si>
  <si>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</si>
  <si>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</si>
  <si>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</si>
  <si>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</si>
  <si>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</si>
  <si>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</si>
  <si>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</si>
  <si>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</si>
  <si>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</si>
  <si>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</si>
  <si>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</si>
  <si>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</si>
  <si>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</si>
  <si>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</si>
  <si>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</si>
  <si>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</si>
  <si>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</si>
  <si>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</si>
  <si>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</si>
  <si>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</si>
  <si>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</si>
  <si>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</si>
  <si>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</si>
  <si>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</si>
  <si>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</si>
  <si>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</si>
  <si>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</si>
  <si>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</si>
  <si>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</si>
  <si>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</si>
  <si>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</si>
  <si>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</si>
  <si>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</si>
  <si>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</si>
  <si>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</si>
  <si>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</si>
  <si>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</si>
  <si>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</si>
  <si>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</si>
  <si>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</si>
  <si>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</si>
  <si>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</si>
  <si>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</si>
  <si>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</si>
  <si>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</si>
  <si>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</si>
  <si>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</si>
  <si>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</si>
  <si>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</si>
  <si>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</si>
  <si>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</si>
  <si>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</si>
  <si>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</si>
  <si>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</si>
  <si>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</si>
  <si>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</si>
  <si>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</si>
  <si>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</si>
  <si>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</si>
  <si>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</si>
  <si>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</si>
  <si>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</si>
  <si>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</si>
  <si>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</si>
  <si>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</si>
  <si>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</si>
  <si>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</si>
  <si>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</si>
  <si>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</si>
  <si>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</si>
  <si>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</si>
  <si>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</si>
  <si>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</si>
  <si>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</si>
  <si>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</si>
  <si>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</si>
  <si>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</si>
  <si>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</si>
  <si>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</si>
  <si>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</si>
  <si>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</si>
  <si>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</si>
  <si>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</si>
  <si>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</si>
  <si>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</si>
  <si>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</si>
  <si>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</si>
  <si>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</si>
  <si>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</si>
  <si>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</si>
  <si>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</si>
  <si>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</si>
  <si>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</si>
  <si>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</si>
  <si>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</si>
  <si>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</si>
  <si>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</si>
  <si>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</si>
  <si>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</si>
  <si>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</si>
  <si>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</si>
  <si>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</si>
  <si>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</si>
  <si>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</si>
  <si>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</si>
  <si>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</si>
  <si>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</si>
  <si>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</si>
  <si>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</si>
  <si>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</si>
  <si>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</si>
  <si>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</si>
  <si>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</si>
  <si>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</si>
  <si>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</si>
  <si>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</si>
  <si>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</si>
  <si>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</si>
  <si>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</si>
  <si>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</si>
  <si>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</si>
  <si>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</si>
  <si>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</si>
  <si>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</si>
  <si>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</si>
  <si>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</si>
  <si>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</si>
  <si>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</si>
  <si>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</si>
  <si>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</si>
  <si>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</si>
  <si>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</si>
  <si>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</si>
  <si>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</si>
  <si>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</si>
  <si>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</si>
  <si>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</si>
  <si>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</si>
  <si>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</si>
  <si>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</si>
  <si>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</si>
  <si>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</si>
  <si>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</si>
  <si>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</si>
  <si>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</si>
  <si>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</si>
  <si>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</si>
  <si>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</si>
  <si>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</si>
  <si>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</si>
  <si>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</si>
  <si>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</si>
  <si>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</si>
  <si>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</si>
  <si>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</si>
  <si>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</si>
  <si>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</si>
  <si>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</si>
  <si>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</si>
  <si>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</si>
  <si>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</si>
  <si>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</si>
  <si>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</si>
  <si>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</si>
  <si>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</si>
  <si>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</si>
  <si>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</si>
  <si>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</si>
  <si>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</si>
  <si>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</si>
  <si>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</si>
  <si>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</si>
  <si>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</si>
  <si>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</si>
  <si>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</si>
  <si>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</si>
  <si>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</si>
  <si>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</si>
  <si>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</si>
  <si>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</si>
  <si>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</si>
  <si>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</si>
  <si>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</si>
  <si>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</si>
  <si>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</si>
  <si>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</si>
  <si>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</si>
  <si>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</si>
  <si>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</si>
  <si>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</si>
  <si>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</si>
  <si>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</si>
  <si>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</si>
  <si>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</si>
  <si>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</si>
  <si>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</si>
  <si>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</si>
  <si>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</si>
  <si>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</si>
  <si>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</si>
  <si>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</si>
  <si>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</si>
  <si>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</si>
  <si>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</si>
  <si>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</si>
  <si>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</si>
  <si>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</si>
  <si>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</si>
  <si>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</si>
  <si>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</si>
  <si>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</si>
  <si>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</si>
  <si>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</si>
  <si>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</si>
  <si>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</si>
  <si>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</si>
  <si>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</si>
  <si>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</si>
  <si>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</si>
  <si>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</si>
  <si>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</si>
  <si>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</si>
  <si>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</si>
  <si>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</si>
  <si>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</si>
  <si>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</si>
  <si>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</si>
  <si>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</si>
  <si>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</si>
  <si>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</si>
  <si>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</si>
  <si>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</si>
  <si>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</si>
  <si>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</si>
  <si>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</si>
  <si>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</si>
  <si>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</si>
  <si>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</si>
  <si>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</si>
  <si>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</si>
  <si>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</si>
  <si>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</si>
  <si>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</si>
  <si>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</si>
  <si>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</si>
  <si>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</si>
  <si>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</si>
  <si>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</si>
  <si>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</si>
  <si>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</si>
  <si>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</si>
  <si>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</si>
  <si>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</si>
  <si>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</si>
  <si>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</si>
  <si>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</si>
  <si>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</si>
  <si>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</si>
  <si>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</si>
  <si>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</si>
  <si>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</si>
  <si>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</si>
  <si>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</si>
  <si>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</si>
  <si>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</si>
  <si>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</si>
  <si>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</si>
  <si>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</si>
  <si>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</si>
  <si>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</si>
  <si>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</si>
  <si>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</si>
  <si>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</si>
  <si>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</si>
  <si>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</si>
  <si>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</si>
  <si>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</si>
  <si>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</si>
  <si>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</si>
  <si>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</si>
  <si>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</si>
  <si>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</si>
  <si>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</si>
  <si>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</si>
  <si>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</si>
  <si>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</si>
  <si>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</si>
  <si>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</si>
  <si>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</si>
  <si>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</si>
  <si>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</si>
  <si>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</si>
  <si>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</si>
  <si>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</si>
  <si>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</si>
  <si>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</si>
  <si>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</si>
  <si>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</si>
  <si>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</si>
  <si>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</si>
  <si>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</si>
  <si>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</si>
  <si>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</si>
  <si>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</si>
  <si>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</si>
  <si>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</si>
  <si>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</si>
  <si>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</si>
  <si>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</si>
  <si>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</si>
  <si>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</si>
  <si>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</si>
  <si>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</si>
  <si>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</si>
  <si>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</si>
  <si>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</si>
  <si>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</si>
  <si>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</si>
  <si>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</si>
  <si>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</si>
  <si>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</si>
  <si>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</si>
  <si>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</si>
  <si>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</si>
  <si>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</si>
  <si>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</si>
  <si>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</si>
  <si>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</si>
  <si>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</si>
  <si>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</si>
  <si>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</si>
  <si>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</si>
  <si>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</si>
  <si>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</si>
  <si>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</si>
  <si>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</si>
  <si>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</si>
  <si>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</si>
  <si>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</si>
  <si>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</si>
  <si>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</si>
  <si>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</si>
  <si>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</si>
  <si>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</si>
  <si>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</si>
  <si>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</si>
  <si>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</si>
  <si>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</si>
  <si>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</si>
  <si>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</si>
  <si>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</si>
  <si>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</si>
  <si>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</si>
  <si>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</si>
  <si>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</si>
  <si>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</si>
  <si>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</si>
  <si>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</si>
  <si>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</si>
  <si>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</si>
  <si>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</si>
  <si>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</si>
  <si>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</si>
  <si>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</si>
  <si>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</si>
  <si>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</si>
  <si>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</si>
  <si>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</si>
  <si>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</si>
  <si>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</si>
  <si>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</si>
  <si>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</si>
  <si>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</si>
  <si>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</si>
  <si>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</si>
  <si>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</si>
  <si>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</si>
  <si>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</si>
  <si>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</si>
  <si>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</si>
  <si>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</si>
  <si>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</si>
  <si>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</si>
  <si>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</si>
  <si>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</si>
  <si>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</si>
  <si>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</si>
  <si>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</si>
  <si>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</si>
  <si>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</si>
  <si>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</si>
  <si>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</si>
  <si>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</si>
  <si>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</si>
  <si>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</si>
  <si>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</si>
  <si>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</si>
  <si>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</si>
  <si>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</si>
  <si>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</si>
  <si>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</si>
  <si>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</si>
  <si>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</si>
  <si>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</si>
  <si>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</si>
  <si>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</si>
  <si>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</si>
  <si>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</si>
  <si>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</si>
  <si>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</si>
  <si>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</si>
  <si>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</si>
  <si>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</si>
  <si>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</si>
  <si>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</si>
  <si>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</si>
  <si>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Wokingham UA</t>
  </si>
  <si>
    <t>Surrey</t>
  </si>
  <si>
    <t>Merseyside Fire</t>
  </si>
  <si>
    <t>Windsor &amp; Maidenhead UA</t>
  </si>
  <si>
    <t>Hampshire Fire Authority</t>
  </si>
  <si>
    <t>Hampshire</t>
  </si>
  <si>
    <t>Wiltshire Fire Authority</t>
  </si>
  <si>
    <t>Greater Manchester Fire</t>
  </si>
  <si>
    <t>Dorset Fire Authority</t>
  </si>
  <si>
    <t>Dorset</t>
  </si>
  <si>
    <t>Weymouth &amp; Portland</t>
  </si>
  <si>
    <t>Greater London Authority</t>
  </si>
  <si>
    <t>Devon and Somerset Fire Authority</t>
  </si>
  <si>
    <t>Somerset</t>
  </si>
  <si>
    <t>Oxfordshire</t>
  </si>
  <si>
    <t>Lincolnshire</t>
  </si>
  <si>
    <t>Devon</t>
  </si>
  <si>
    <t>West Berkshire UA</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</si>
  <si>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</si>
  <si>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</si>
  <si>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</si>
  <si>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</si>
  <si>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</si>
  <si>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</si>
  <si>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</si>
  <si>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</si>
  <si>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</si>
  <si>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</si>
  <si>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</si>
  <si>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</si>
  <si>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</si>
  <si>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Torbay UA</t>
  </si>
  <si>
    <t>Tonbridge &amp; Malling</t>
  </si>
  <si>
    <t>Thurrock UA</t>
  </si>
  <si>
    <t>Gloucestershire</t>
  </si>
  <si>
    <t>Shropshire Fire Authority</t>
  </si>
  <si>
    <t>Telford &amp; Wrekin UA</t>
  </si>
  <si>
    <t>Staffordshire Fire Authority</t>
  </si>
  <si>
    <t>Staffordshire</t>
  </si>
  <si>
    <t>Swindon UA</t>
  </si>
  <si>
    <t>Tyne and Wear Fire</t>
  </si>
  <si>
    <t>Stoke-on-Trent UA</t>
  </si>
  <si>
    <t>Cleveland Fire Authority</t>
  </si>
  <si>
    <t>Stockton-on-Tees UA</t>
  </si>
  <si>
    <t>Southend-on-Sea UA</t>
  </si>
  <si>
    <t>Southampton UA</t>
  </si>
  <si>
    <t>Norfolk</t>
  </si>
  <si>
    <t>Cumbria</t>
  </si>
  <si>
    <t>Avon Fire Authority</t>
  </si>
  <si>
    <t>South Gloucestershire UA</t>
  </si>
  <si>
    <t>Derbyshire Fire Authority</t>
  </si>
  <si>
    <t>Derbyshire</t>
  </si>
  <si>
    <t>Cambridgeshire Fire Authority</t>
  </si>
  <si>
    <t>Cambridgeshire</t>
  </si>
  <si>
    <t>Slough UA</t>
  </si>
  <si>
    <t>South Yorkshire Fire</t>
  </si>
  <si>
    <t>North Yorkshire</t>
  </si>
  <si>
    <t>Leicestershire Fire Authority</t>
  </si>
  <si>
    <t>Rutland UA</t>
  </si>
  <si>
    <t>Nottinghamshire Fire Authority</t>
  </si>
  <si>
    <t>Nottinghamshire</t>
  </si>
  <si>
    <t>Richmond-upon-Thames</t>
  </si>
  <si>
    <t>Reigate &amp; Banstead</t>
  </si>
  <si>
    <t>Redcar &amp; Cleveland UA</t>
  </si>
  <si>
    <t>Reading UA</t>
  </si>
  <si>
    <t>Portsmouth UA</t>
  </si>
  <si>
    <t>Poole UA</t>
  </si>
  <si>
    <t>Plymouth UA</t>
  </si>
  <si>
    <t>Peterborough UA</t>
  </si>
  <si>
    <t>Leicestershire</t>
  </si>
  <si>
    <t>Oadby &amp; Wigston</t>
  </si>
  <si>
    <t>Nuneaton &amp; Bedworth</t>
  </si>
  <si>
    <t>Nottingham UA</t>
  </si>
  <si>
    <t>North Somerset UA</t>
  </si>
  <si>
    <t>Humberside Fire Authority</t>
  </si>
  <si>
    <t>North Lincolnshire UA</t>
  </si>
  <si>
    <t>North East Lincolnshire UA</t>
  </si>
  <si>
    <t>Newark &amp; Sherwood</t>
  </si>
  <si>
    <t>Milton Keynes UA</t>
  </si>
  <si>
    <t>Middlesbrough UA</t>
  </si>
  <si>
    <t>Medway UA</t>
  </si>
  <si>
    <t>Bedfordshire Fire Authority</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</si>
  <si>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</si>
  <si>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</si>
  <si>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</si>
  <si>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</si>
  <si>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</si>
  <si>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</si>
  <si>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</si>
  <si>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</si>
  <si>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</si>
  <si>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</si>
  <si>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</si>
  <si>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</si>
  <si>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</si>
  <si>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</si>
  <si>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Derby UA</t>
  </si>
  <si>
    <t>Darlington UA</t>
  </si>
  <si>
    <t>GLA - functions exc police</t>
  </si>
  <si>
    <t>Cheshire West and Chester UA</t>
  </si>
  <si>
    <t>Bristol UA</t>
  </si>
  <si>
    <t>Brighton &amp; Hove UA</t>
  </si>
  <si>
    <t>Bracknell Forest UA</t>
  </si>
  <si>
    <t>Bournemouth UA</t>
  </si>
  <si>
    <t>Blackpool UA</t>
  </si>
  <si>
    <t>Blackburn with Darwen UA</t>
  </si>
  <si>
    <t>Bath &amp; North East Somerset UA</t>
  </si>
  <si>
    <t>Barking &amp; Dagenham</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</si>
  <si>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</si>
  <si>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</si>
  <si>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</si>
  <si>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</si>
  <si>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</si>
  <si>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</si>
  <si>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</si>
  <si>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</si>
  <si>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</si>
  <si>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</si>
  <si>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</si>
  <si>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</si>
  <si>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</si>
  <si>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</si>
  <si>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</si>
  <si>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</si>
  <si>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</si>
  <si>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</si>
  <si>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</si>
  <si>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</si>
  <si>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</si>
  <si>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</si>
  <si>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</si>
  <si>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</si>
  <si>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</si>
  <si>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</si>
  <si>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 xml:space="preserve">Used in </t>
  </si>
  <si>
    <t>In lieu of Transitional Relief</t>
  </si>
  <si>
    <t>COLLECTION FUND STATEMENT</t>
  </si>
  <si>
    <t>Collection Fund Balance</t>
  </si>
  <si>
    <t xml:space="preserve"> </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</si>
  <si>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</si>
  <si>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</si>
  <si>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</si>
  <si>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</si>
  <si>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</si>
  <si>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</si>
  <si>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</si>
  <si>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</si>
  <si>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</si>
  <si>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</si>
  <si>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</si>
  <si>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</si>
  <si>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</si>
  <si>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</si>
  <si>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</si>
  <si>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</si>
  <si>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</si>
  <si>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</si>
  <si>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44. Amount of relief provided in 2015-16</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</si>
  <si>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</si>
  <si>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</si>
  <si>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</si>
  <si>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</si>
  <si>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</si>
  <si>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</si>
  <si>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</si>
  <si>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</si>
  <si>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</si>
  <si>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</si>
  <si>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</si>
  <si>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</si>
  <si>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</si>
  <si>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</si>
  <si>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</si>
  <si>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</si>
  <si>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</si>
  <si>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</si>
  <si>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</si>
  <si>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</si>
  <si>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</si>
  <si>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</si>
  <si>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</si>
  <si>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</si>
  <si>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</si>
  <si>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</si>
  <si>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</si>
  <si>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</si>
  <si>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</si>
  <si>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</si>
  <si>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</si>
  <si>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</si>
  <si>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</si>
  <si>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</si>
  <si>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</si>
  <si>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</si>
  <si>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</si>
  <si>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</si>
  <si>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</si>
  <si>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</si>
  <si>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</si>
  <si>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</si>
  <si>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</si>
  <si>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</si>
  <si>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</si>
  <si>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</si>
  <si>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</si>
  <si>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</si>
  <si>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</si>
  <si>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</si>
  <si>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</si>
  <si>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</si>
  <si>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</si>
  <si>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</si>
  <si>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</si>
  <si>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</si>
  <si>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</si>
  <si>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</si>
  <si>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</si>
  <si>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</si>
  <si>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</si>
  <si>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</si>
  <si>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</si>
  <si>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</si>
  <si>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</si>
  <si>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</si>
  <si>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</si>
  <si>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</si>
  <si>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</si>
  <si>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</si>
  <si>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</si>
  <si>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</si>
  <si>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</si>
  <si>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</si>
  <si>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</si>
  <si>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</si>
  <si>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</si>
  <si>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</si>
  <si>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</si>
  <si>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</si>
  <si>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</si>
  <si>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</si>
  <si>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</si>
  <si>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</si>
  <si>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</si>
  <si>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</si>
  <si>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</si>
  <si>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</si>
  <si>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</si>
  <si>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</si>
  <si>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</si>
  <si>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</si>
  <si>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</si>
  <si>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</si>
  <si>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</si>
  <si>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</si>
  <si>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</si>
  <si>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</si>
  <si>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</si>
  <si>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</si>
  <si>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</si>
  <si>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</si>
  <si>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</si>
  <si>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</si>
  <si>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</si>
  <si>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</si>
  <si>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</si>
  <si>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</si>
  <si>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</si>
  <si>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</si>
  <si>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</si>
  <si>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</si>
  <si>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</si>
  <si>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Flooding Relief -  Amount provisionally paid (based on grant determination)</t>
  </si>
  <si>
    <t xml:space="preserve">Flooding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</si>
  <si>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</si>
  <si>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</si>
  <si>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</si>
  <si>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</si>
  <si>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</si>
  <si>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</si>
  <si>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</si>
  <si>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</si>
  <si>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</si>
  <si>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</si>
  <si>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Collection Fund Balance -  In-year surplus-deficit</t>
  </si>
  <si>
    <t>England</t>
  </si>
  <si>
    <t>7. City of London offset</t>
  </si>
  <si>
    <t>County (if applicable)</t>
  </si>
  <si>
    <t>Fire Authority</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</si>
  <si>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</si>
  <si>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</si>
  <si>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</si>
  <si>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</si>
  <si>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</si>
  <si>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</si>
  <si>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</si>
  <si>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</si>
  <si>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</si>
  <si>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</si>
  <si>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</si>
  <si>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</si>
  <si>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</si>
  <si>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</si>
  <si>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</si>
  <si>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</si>
  <si>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</si>
  <si>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</si>
  <si>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</si>
  <si>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</si>
  <si>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</si>
  <si>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</si>
  <si>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</si>
  <si>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</si>
  <si>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</si>
  <si>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</si>
  <si>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</si>
  <si>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</si>
  <si>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</si>
  <si>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</si>
  <si>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In lieu of Transitional Relief -  Adjustments to amount of relief provided in espect of previous years</t>
  </si>
  <si>
    <t>44. Adjustments to amount of relief provided in</t>
  </si>
  <si>
    <t xml:space="preserve"> Multiplier Cap -  Amount provisionally paid</t>
  </si>
  <si>
    <t xml:space="preserve">Multiplier Cap -  Sum due to (+) - from (-) billing authority </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</si>
  <si>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</si>
  <si>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</si>
  <si>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</si>
  <si>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</si>
  <si>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</si>
  <si>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</si>
  <si>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</si>
  <si>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</si>
  <si>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</si>
  <si>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</si>
  <si>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</si>
  <si>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</si>
  <si>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</si>
  <si>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</si>
  <si>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</si>
  <si>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</si>
  <si>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</si>
  <si>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</si>
  <si>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</si>
  <si>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</si>
  <si>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</si>
  <si>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</si>
  <si>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</si>
  <si>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</si>
  <si>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</si>
  <si>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</si>
  <si>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</si>
  <si>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</si>
  <si>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</si>
  <si>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</si>
  <si>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</si>
  <si>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</si>
  <si>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</si>
  <si>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</si>
  <si>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</si>
  <si>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</si>
  <si>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</si>
  <si>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</si>
  <si>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</si>
  <si>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</si>
  <si>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</si>
  <si>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</si>
  <si>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</si>
  <si>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</si>
  <si>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</si>
  <si>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</si>
  <si>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</si>
  <si>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</si>
  <si>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</si>
  <si>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</si>
  <si>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</si>
  <si>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</si>
  <si>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</si>
  <si>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</si>
  <si>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</si>
  <si>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</si>
  <si>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</si>
  <si>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</si>
  <si>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</si>
  <si>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</si>
  <si>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</si>
  <si>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</si>
  <si>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</si>
  <si>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</si>
  <si>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</si>
  <si>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</si>
  <si>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</si>
  <si>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</si>
  <si>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</si>
  <si>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</si>
  <si>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</si>
  <si>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</si>
  <si>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</si>
  <si>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</si>
  <si>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</si>
  <si>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</si>
  <si>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</si>
  <si>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</si>
  <si>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</si>
  <si>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</si>
  <si>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</si>
  <si>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</si>
  <si>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</si>
  <si>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</si>
  <si>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</si>
  <si>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</si>
  <si>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</si>
  <si>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</si>
  <si>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</si>
  <si>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</si>
  <si>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</si>
  <si>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</si>
  <si>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</si>
  <si>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</si>
  <si>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</si>
  <si>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</si>
  <si>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</si>
  <si>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</si>
  <si>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</si>
  <si>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</si>
  <si>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</si>
  <si>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</si>
  <si>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</si>
  <si>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</si>
  <si>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</si>
  <si>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</si>
  <si>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</si>
  <si>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</si>
  <si>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</si>
  <si>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</si>
  <si>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</si>
  <si>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</si>
  <si>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</si>
  <si>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</si>
  <si>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</si>
  <si>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</si>
  <si>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</si>
  <si>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</si>
  <si>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</si>
  <si>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</si>
  <si>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</si>
  <si>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</si>
  <si>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</si>
  <si>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</si>
  <si>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</si>
  <si>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</si>
  <si>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</si>
  <si>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</si>
  <si>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</si>
  <si>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</si>
  <si>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</si>
  <si>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</si>
  <si>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</si>
  <si>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</si>
  <si>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</si>
  <si>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</si>
  <si>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</si>
  <si>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</si>
  <si>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</si>
  <si>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</si>
  <si>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</si>
  <si>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</si>
  <si>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</si>
  <si>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</si>
  <si>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</si>
  <si>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</si>
  <si>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</si>
  <si>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</si>
  <si>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</si>
  <si>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</si>
  <si>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</si>
  <si>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</si>
  <si>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</si>
  <si>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</si>
  <si>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</si>
  <si>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</si>
  <si>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</si>
  <si>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</si>
  <si>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</si>
  <si>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</si>
  <si>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</si>
  <si>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</si>
  <si>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</si>
  <si>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</si>
  <si>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</si>
  <si>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</si>
  <si>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</si>
  <si>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</si>
  <si>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</si>
  <si>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</si>
  <si>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</si>
  <si>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</si>
  <si>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</si>
  <si>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47. Adjustments to amount of relief provided in</t>
  </si>
  <si>
    <t>Local Newspaper Temporary Relief</t>
  </si>
  <si>
    <t>Supporting Small Business Relief</t>
  </si>
  <si>
    <t>Discretionary Scheme Relief</t>
  </si>
  <si>
    <t>= threshold value</t>
  </si>
  <si>
    <t>Pub Relief (where RV is less than £100,000)</t>
  </si>
  <si>
    <t>Qualifying relief in Enterprise Zones in non 100% Pilot areas</t>
  </si>
  <si>
    <t>Port of Bristol</t>
  </si>
  <si>
    <t>20. Amount deducted/retained (based on NNDR1)</t>
  </si>
  <si>
    <t>Local newspaper temporary relief</t>
  </si>
  <si>
    <t>Supporting small businesses relief</t>
  </si>
  <si>
    <t>Discretionary scheme relief</t>
  </si>
  <si>
    <t>Enterprise zones relief granted in 100% Pilot areas</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</si>
  <si>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</si>
  <si>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</si>
  <si>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</si>
  <si>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</si>
  <si>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</si>
  <si>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</si>
  <si>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</si>
  <si>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</si>
  <si>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</si>
  <si>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Small Business Rate Relief -  Amount of which -  adjustments in respect of 2013-14 to 2016-17</t>
  </si>
  <si>
    <t>Retail Relief -  Adjustments to relief provided in respect of previous years</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</si>
  <si>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</si>
  <si>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</si>
  <si>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</si>
  <si>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</si>
  <si>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</si>
  <si>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</si>
  <si>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</si>
  <si>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</si>
  <si>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</si>
  <si>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</si>
  <si>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</si>
  <si>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</si>
  <si>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</si>
  <si>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</si>
  <si>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</si>
  <si>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</si>
  <si>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</si>
  <si>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</si>
  <si>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</si>
  <si>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</si>
  <si>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</si>
  <si>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</si>
  <si>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</si>
  <si>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</si>
  <si>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</si>
  <si>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</si>
  <si>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</si>
  <si>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</si>
  <si>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</si>
  <si>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</si>
  <si>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</si>
  <si>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</si>
  <si>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</si>
  <si>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</si>
  <si>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</si>
  <si>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</si>
  <si>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</si>
  <si>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</si>
  <si>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</si>
  <si>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</si>
  <si>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</si>
  <si>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</si>
  <si>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</si>
  <si>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</si>
  <si>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</si>
  <si>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</si>
  <si>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</si>
  <si>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</si>
  <si>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</si>
  <si>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</si>
  <si>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</si>
  <si>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</si>
  <si>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</si>
  <si>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</si>
  <si>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</si>
  <si>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</si>
  <si>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</si>
  <si>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</si>
  <si>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</si>
  <si>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</si>
  <si>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</si>
  <si>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</si>
  <si>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E1236EZ1</t>
  </si>
  <si>
    <t>E3636EZ1</t>
  </si>
  <si>
    <t>E3332EZ1</t>
  </si>
  <si>
    <t>E4504EZ1</t>
  </si>
  <si>
    <t>E4504EZ2</t>
  </si>
  <si>
    <t>E1936EZ1</t>
  </si>
  <si>
    <t>E1936EZ2</t>
  </si>
  <si>
    <t>E1936EZ3</t>
  </si>
  <si>
    <t>E4207EZ1</t>
  </si>
  <si>
    <t>E4505EZ2</t>
  </si>
  <si>
    <t>E4505EZ3</t>
  </si>
  <si>
    <t>E2243EZ1</t>
  </si>
  <si>
    <t>E4705EZ1</t>
  </si>
  <si>
    <t>E4705EZ2</t>
  </si>
  <si>
    <t>E3537EZ2</t>
  </si>
  <si>
    <t>E3537EZ3</t>
  </si>
  <si>
    <t>E2701EZ1</t>
  </si>
  <si>
    <t>Qualifying relief in Enterprise Zones in non 100% Pilot Areas-  Amount deducted from central share and retained by authorities</t>
  </si>
  <si>
    <t xml:space="preserve">Qualifying relief in Enterprise Zones in non 100% Pilot Areas -  Amount deducted-retained </t>
  </si>
  <si>
    <t>Qualifying relief in Enterprise Zones in non 100% Pilot Areas -  Sum due to (+) - from (-) authority</t>
  </si>
  <si>
    <t>Retained Growth in Additional Growth Pilot Areas (for Cambridgeshire authorities &amp; Cheshire East) - Additional growth retained</t>
  </si>
  <si>
    <t>Retained Growth in Additional Growth Pilot Areas (for Cambridgeshire authorities &amp; Cheshire East) based on NNDR1</t>
  </si>
  <si>
    <t>Retained Growth in Additional Growth Pilot Areas (for Cambridgeshire authorities &amp; Cheshire East) Sum due to (+) - from (-) authority</t>
  </si>
  <si>
    <t>Port of Bristol - Amount deducted/reatined by North Somerset</t>
  </si>
  <si>
    <t>Port of Bristol - Amount deducted/retained based on NNDR1</t>
  </si>
  <si>
    <t>Port of Bristol - Sum due to (+) / from (-) authority</t>
  </si>
  <si>
    <t>Small Business Rates Relief scheme -  Amount provisionally paid (based on NNDR1)</t>
  </si>
  <si>
    <t xml:space="preserve">Rural rate relief - Sum due to (+) - from (-) authority </t>
  </si>
  <si>
    <t>Local Newspaper temporary relief - Amount provisional paid (based on NNDR1)</t>
  </si>
  <si>
    <t xml:space="preserve">Local Newspaper temporary relief - Sum due to (+) - from (-) authority </t>
  </si>
  <si>
    <t xml:space="preserve">Supporting Small Businesses relief - Sum due to (+) - from (-) authority </t>
  </si>
  <si>
    <t xml:space="preserve">Discretionary Scheme relief - Sum due to (+) - from (-) authority </t>
  </si>
  <si>
    <t xml:space="preserve">Pub (&lt;100k RV) relief - Sum due to (+) - from (-) authority </t>
  </si>
  <si>
    <t>Enterprise zones relief granted in 100% Pilot areas - Amount provisionally paid (based on NNDR1)</t>
  </si>
  <si>
    <t xml:space="preserve">Enterprise zones relief granted in 100% Pilot areas - Sum due to (+) - from (-) billing authority </t>
  </si>
  <si>
    <t>additional growth pilot areas</t>
  </si>
  <si>
    <t>port of bristol</t>
  </si>
  <si>
    <t>Section 31 Grant Total</t>
  </si>
  <si>
    <t>Allowance for non-collection -  Opening balance as at 1 April 2017</t>
  </si>
  <si>
    <t>Total Non-Domestic Rating Income for 2017-18</t>
  </si>
  <si>
    <t>Small Business Rates Relief scheme -  Amount due to authority in 2017-18 as a result of doubling SBRR on NNDR3</t>
  </si>
  <si>
    <t>For enquiries about these data please contact: nndr.statistics@communities.gov.uk</t>
  </si>
  <si>
    <t xml:space="preserve"> 2018-19</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</si>
  <si>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</si>
  <si>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</si>
  <si>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</si>
  <si>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</si>
  <si>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</si>
  <si>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</si>
  <si>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</si>
  <si>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</si>
  <si>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</si>
  <si>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</si>
  <si>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</si>
  <si>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</si>
  <si>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</si>
  <si>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</si>
  <si>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</si>
  <si>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</si>
  <si>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</si>
  <si>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</si>
  <si>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</si>
  <si>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</si>
  <si>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1. Revenue foregone in respect of 2018-19 liability</t>
  </si>
  <si>
    <t>3. Additional income received in respect of 2018-19 liability</t>
  </si>
  <si>
    <t>6. Amount of relief provided in 2018-19</t>
  </si>
  <si>
    <t>9a. adjustments in respect of 2013-14 to 2016-17</t>
  </si>
  <si>
    <t>9b. adjustments in respect of 2017-18</t>
  </si>
  <si>
    <t>of 2013-14 to 2016-17</t>
  </si>
  <si>
    <t>10a. adjustments to relief on existing properties where a second property is occupied in respect</t>
  </si>
  <si>
    <t>10b. Adjustments to relief on existing properties</t>
  </si>
  <si>
    <t>of 2017-18</t>
  </si>
  <si>
    <t xml:space="preserve">where a second property is occupied in respect </t>
  </si>
  <si>
    <t>11. Additional yield from the small business supplement in 2018-19</t>
  </si>
  <si>
    <t>13. Amount of relief provided in 2018-19</t>
  </si>
  <si>
    <t>15. Amount of relief provided in 2018-19</t>
  </si>
  <si>
    <t>17. Amount of relief provided in 2018-19</t>
  </si>
  <si>
    <t>20. Amount of relief provided in 2018-19</t>
  </si>
  <si>
    <t>22. Amount of relief provided in 2018-19</t>
  </si>
  <si>
    <t>25. Amount of relief provided in 2018-19</t>
  </si>
  <si>
    <t>27. Amount of relief provided in 2018-19</t>
  </si>
  <si>
    <t>29. Amount of relief provided in 2018-19</t>
  </si>
  <si>
    <t>31. Amount of relief provided in 2018-19</t>
  </si>
  <si>
    <t>33. Amount of relief provided in 2018-19</t>
  </si>
  <si>
    <t>35. Amount of relief provided in 2018-19</t>
  </si>
  <si>
    <t>40. Adjustments to amount of relief provided in</t>
  </si>
  <si>
    <t>42. Adjustments to amount of relief provided in</t>
  </si>
  <si>
    <t>43. Amount of "Flooding relief" provided in 2018-19</t>
  </si>
  <si>
    <t>45. Adjustments to amount of relief provided in</t>
  </si>
  <si>
    <t>46. Amount of relief provided in 2018-19</t>
  </si>
  <si>
    <t>48. Amount of relief provided in 2018-19</t>
  </si>
  <si>
    <t>49. Adjustments to amount of relief provided in</t>
  </si>
  <si>
    <t>50. Amount of relief provided in 2018-19</t>
  </si>
  <si>
    <t>51. Adjustments to amount of relief provided in</t>
  </si>
  <si>
    <t>52. Amount of relief provided in 2018-19</t>
  </si>
  <si>
    <t>54. Amount of relief provided in 2018-19</t>
  </si>
  <si>
    <t>55. Adjustment to amount of relief provided in</t>
  </si>
  <si>
    <t xml:space="preserve">53. Adjustments to amount of relief provided in </t>
  </si>
  <si>
    <t>Telecoms Relief</t>
  </si>
  <si>
    <t>56. Amount of relief provided in 2018-19</t>
  </si>
  <si>
    <t>57. Adjustments to amount of relief provided in</t>
  </si>
  <si>
    <t>58. TOTAL DISCRETIONARY RELIEF (FUNDED S.31)</t>
  </si>
  <si>
    <t>59. Amount of relief provided in 2018-19</t>
  </si>
  <si>
    <t>60. Adjustments to amount of relief provided in respect of previous years</t>
  </si>
  <si>
    <t>61. TOTAL HARDSHIP RELIEF</t>
  </si>
  <si>
    <t>1. Transitional protection payment due to (+) / from (-) the authority for 2018-19</t>
  </si>
  <si>
    <t>2. Payment on account received by authority (+), or paid by the authority (-) (based on NNDR1 2018-19)</t>
  </si>
  <si>
    <t>4. Amount to be retained by billing authority in 2018-19</t>
  </si>
  <si>
    <t>7. Amount to be retained by billing authority in 2018-19</t>
  </si>
  <si>
    <t>10. Amount to be retained by authority in 2018-19</t>
  </si>
  <si>
    <t>13. Amount to be retained by authority in 2018-19</t>
  </si>
  <si>
    <t>14. Amount previously retained: Not applicable in 2018-19</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</si>
  <si>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</si>
  <si>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</si>
  <si>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</si>
  <si>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</si>
  <si>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</si>
  <si>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</si>
  <si>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</si>
  <si>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</si>
  <si>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26. Amount provisionally paid (based on NNDR1 2018-19 [Part 1C] &amp; in-year provision)</t>
  </si>
  <si>
    <t>25b. Amount due to authority in 2018-19 for loss of supplementary multiplier income</t>
  </si>
  <si>
    <t>25a. Amount due to authority in 2018-19 for SBRR doubling and changes in thresholds</t>
  </si>
  <si>
    <t>28. Amount due to authority in 2018-19</t>
  </si>
  <si>
    <t>29. Amount provisionally paid (based on NNDR1 2018-19 [Part 1C])</t>
  </si>
  <si>
    <t>33. Amount due to authority in 2018-19 in respect of previous years</t>
  </si>
  <si>
    <t>32. Amount due to authority in 2018-19 in respect of previous years</t>
  </si>
  <si>
    <t>31. Amount due to authority in 2018-19 in respect of previous years</t>
  </si>
  <si>
    <t xml:space="preserve">34. Amount due to authority in 2018-19 in respect of previous years </t>
  </si>
  <si>
    <t>35. Amount provisionally paid (based on grant determination)</t>
  </si>
  <si>
    <t>36. Sum due to (+) / from (-) authority (line 34 minus line 35)</t>
  </si>
  <si>
    <t>37. Amount due to authority in 2018-19 in respect of previous years</t>
  </si>
  <si>
    <t xml:space="preserve">38. Amount due to authority in 2018-19 </t>
  </si>
  <si>
    <t>39. Amount provisionally paid (based on NNDR1 2018-19 [Part 1C])</t>
  </si>
  <si>
    <t>40. Sum due to (+) / from (-) authority (line 38 minus line 39)</t>
  </si>
  <si>
    <t xml:space="preserve">41. Amount due to authority in 2018-19 </t>
  </si>
  <si>
    <t>42. Amount provisionally paid (based on NNDR1 2018-19 [Part 1C])</t>
  </si>
  <si>
    <t>43. Sum due to (+) / from (-) authority (line 41 minus line 42)</t>
  </si>
  <si>
    <t xml:space="preserve">44. Amount due to authority in 2018-19 </t>
  </si>
  <si>
    <t>45. Amount provisionally paid in respect of 2018-19 (based on grant determination)</t>
  </si>
  <si>
    <t>46. Sum due to (+) / from (-) authority (line 44 minus line 45)</t>
  </si>
  <si>
    <r>
      <t>47a. Amount due</t>
    </r>
    <r>
      <rPr>
        <b/>
        <sz val="12"/>
        <rFont val="Arial"/>
        <family val="2"/>
      </rPr>
      <t xml:space="preserve"> </t>
    </r>
    <r>
      <rPr>
        <sz val="12"/>
        <rFont val="Arial"/>
        <family val="2"/>
      </rPr>
      <t xml:space="preserve">to authority in 2018-19 relating to 2018-19 allocation </t>
    </r>
  </si>
  <si>
    <t>47b. Amount due to authority in 2018-19 relating to 2017-18 allocation</t>
  </si>
  <si>
    <t xml:space="preserve">48. Amount provisionally paid in respect of 2018-19 (based on NNDR1 </t>
  </si>
  <si>
    <t>2018-19 [Part1C]))</t>
  </si>
  <si>
    <t>49. Sum due to (+) / from (-) authority (line 47a + line 47b minus line 48)</t>
  </si>
  <si>
    <t>50. Amount due to authority in 2018-19</t>
  </si>
  <si>
    <t xml:space="preserve">51. Amount provisionally paid in respect of 2018-19 (based on NNDR1 </t>
  </si>
  <si>
    <t>2018-19 [Part 1C])</t>
  </si>
  <si>
    <t>52. Sum due to (+) / from (-) authority (line 50 minus line 51)</t>
  </si>
  <si>
    <t>Telecomms relief</t>
  </si>
  <si>
    <t>53. Amount due to billing authority in 2018-19</t>
  </si>
  <si>
    <t>54. Amount provisonally paid in respect of 2018-19: Not applicable in 2018-19</t>
  </si>
  <si>
    <t>2018-19 Multiplier Cap</t>
  </si>
  <si>
    <t xml:space="preserve">56. Amount due to authority in 2018-19 </t>
  </si>
  <si>
    <t>57. Amount provisionally paid (based on NNDR1 2018-19 [Part 1C])</t>
  </si>
  <si>
    <t>58. Sum due to (+) / from (-) billing authority (line 56 minus line 57)</t>
  </si>
  <si>
    <t xml:space="preserve">59. Amount due to authority in 2018-19 </t>
  </si>
  <si>
    <t>60. Amount provisionally paid (based on NNDR1 2018-19 [Part 1C])</t>
  </si>
  <si>
    <t>61. Sum due to (+) / from (-) billing authority (line 59 minus line 60)</t>
  </si>
  <si>
    <t>62. Total Amount due to authority</t>
  </si>
  <si>
    <t>Non-Domestic Rating Income for 2018-19</t>
  </si>
  <si>
    <t>Other Income for 2018-19</t>
  </si>
  <si>
    <t>7. add: amounts retained in respect of shale gas schemes</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</si>
  <si>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</si>
  <si>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</si>
  <si>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</si>
  <si>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</si>
  <si>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</si>
  <si>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</si>
  <si>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17. Closing balance on 31 March 2019</t>
  </si>
  <si>
    <t>18. Opening balance as at 1 April 2018</t>
  </si>
  <si>
    <t>19. Amounts charged to provision from 2010 List</t>
  </si>
  <si>
    <t>20. Amounts charged to provision from 2017 List</t>
  </si>
  <si>
    <t>Fund)</t>
  </si>
  <si>
    <t>21. Change in provision: 2010 List (charged to Collection</t>
  </si>
  <si>
    <t>22. change in provision: 2017 List (charged to Collection</t>
  </si>
  <si>
    <t>23. Closing balance on 31 March 2019</t>
  </si>
  <si>
    <t xml:space="preserve">      18a: In relation to 2010 List</t>
  </si>
  <si>
    <t xml:space="preserve">      18b: In relation to 2017 List</t>
  </si>
  <si>
    <t xml:space="preserve">      23a. In relation to 2010 List</t>
  </si>
  <si>
    <t xml:space="preserve">      23b. In relation to 2017 List</t>
  </si>
  <si>
    <t>24. Opening balance on 1 April 2018 (surplus(+)/deficit(-))</t>
  </si>
  <si>
    <t>25.  Estimated Surplus(+)/Deficit(-) Payable in 2018-19</t>
  </si>
  <si>
    <t>26.  Prior-year surplus(+)/deficit(-) included in closing balance (line 24 minus line 25)</t>
  </si>
  <si>
    <t>27. Estimated non-domestic income 2018-19</t>
  </si>
  <si>
    <t>28. Actual non-domestic rating income 2018-19</t>
  </si>
  <si>
    <t>29. In-year surplus(+)/deficit(-) (line 28 minus line 27)</t>
  </si>
  <si>
    <t>30. Closing balance at 31 March 2019 (surplus(+)/deficit(-))</t>
  </si>
  <si>
    <t>Authorities complete data cells for the net rates payable by ratepayers in 2018-19 after taking account of any reliefs awarded and accounting adjustments for bad debts and appeal provisions. It leads to figures for collectible rates and disregarded amounts for the year.</t>
  </si>
  <si>
    <t xml:space="preserve">Definitions and uses of the data are described in the 2018-19 NNDR3 Statistical Release on the Department’s website </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</si>
  <si>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</si>
  <si>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</si>
  <si>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</si>
  <si>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</si>
  <si>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</si>
  <si>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</si>
  <si>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14. Opening balance as at 1 April 2018</t>
  </si>
  <si>
    <t>Amounts retained in respect of Shale Gas Schemes (see Note C)</t>
  </si>
  <si>
    <t xml:space="preserve">Folkestone &amp; Hythe </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</si>
  <si>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</si>
  <si>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</si>
  <si>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</si>
  <si>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</si>
  <si>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</si>
  <si>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Transitional Arrangements -  Revenue foregone in respect of 2018-19 liability</t>
  </si>
  <si>
    <t>Transitional Arrangements -  Additional income received in respect of 2018-19 liability</t>
  </si>
  <si>
    <t>Small Business Rate Relief -  Amount of relief provided in 2018-19</t>
  </si>
  <si>
    <t>Small Business Rate Relief -  Amount of which -  adjustments in respect of 2017-18</t>
  </si>
  <si>
    <t>Small Business Rate Relief -  Amount of which -  adjustments on existing properties where a 2nd property is occupied in respect of 2013-14 to 2016-17</t>
  </si>
  <si>
    <t>Small Business Rate Relief -  Amount of which -  adjustments on existing properties where a 2nd property is occupied in respect of 2017-18</t>
  </si>
  <si>
    <t>Small Business Rate Relief -  Additional yield from the small business supplement in 2018-19</t>
  </si>
  <si>
    <t>Charitable occupation -  Amount of relief provided in 2018-19</t>
  </si>
  <si>
    <t>Community Amateur Sports Clubs (CASCs) -  Amount of relief provided in 2018-19</t>
  </si>
  <si>
    <t>Rural rate relief -  Amount of relief provided in 2018-19</t>
  </si>
  <si>
    <t>Partially occupied hereditaments -  Amount of relief provided in 2018-19</t>
  </si>
  <si>
    <t>Empty premises -  Amount of relief provided in 2018-19</t>
  </si>
  <si>
    <t>Charitable occupation; Amount of relief provided in 2018-19</t>
  </si>
  <si>
    <t>Non-profit making bodies -  Amount of relief provided in 2018-19</t>
  </si>
  <si>
    <t>Rural shops etc -  Amount of relief provided in 2018-19</t>
  </si>
  <si>
    <t>Small rural businesses -  Amount of relief provided in 2018-19</t>
  </si>
  <si>
    <t>Other ratepayers -  Amount of relief provided in 2018-19</t>
  </si>
  <si>
    <t>Flooding relief -  Amount of relief provided in 2018-19</t>
  </si>
  <si>
    <t>Rural Rate relief -  Amount of relief provided in 2018-19</t>
  </si>
  <si>
    <t>Local Newspaper Temporary Relief - Amount of relief provided in 2018-19</t>
  </si>
  <si>
    <t>Rural rate relief - Adjustments to amount of relief provided in respect of previous year</t>
  </si>
  <si>
    <t>Supporting Small Business Relief - Amount of relief in 2018-19</t>
  </si>
  <si>
    <t>Local Newspaper Temporary Relief - Adjustments to amount of relief provided in respect of previous year</t>
  </si>
  <si>
    <t>Supporting Small Business Relief - Adjustments to amount of relief provided in respect of previous year</t>
  </si>
  <si>
    <t>Discretionary Scheme Relief - Amount of relief provided in 2018-19</t>
  </si>
  <si>
    <t>Discretionary Scheme relief - Adjustments to amount of relief provided in respect of previous year</t>
  </si>
  <si>
    <t>Pub Relief (where RV is less than £100,000) - Amount of relief provided in 2018-19</t>
  </si>
  <si>
    <t>Pub relief - Adjustments to amount of relief provided in respect of previous year</t>
  </si>
  <si>
    <t>Telecoms Relief - Amount of relief provided in 2018-19</t>
  </si>
  <si>
    <t>Telecoms Relief - Adjustments to amount of relief provided in respect of previous year</t>
  </si>
  <si>
    <t>Hardshop Relief -  Amount of relief provided in 2018-19</t>
  </si>
  <si>
    <t>9a</t>
  </si>
  <si>
    <t>9b</t>
  </si>
  <si>
    <t>10a</t>
  </si>
  <si>
    <t>10b</t>
  </si>
  <si>
    <t>Transitional protection payments due to (+) - from (-) the authority for 2018-19</t>
  </si>
  <si>
    <t>Transitional protection payments -  Payment on account received by authority (+), or paid by the authority (-) (based on NNDR1 2018-19)</t>
  </si>
  <si>
    <t>Cost of collection -  Amount to be retained by billing authority in 2018-19</t>
  </si>
  <si>
    <t>Designated Areas -  Amount to be retained by billing authority in 2018-19</t>
  </si>
  <si>
    <t>Renewable Energy Schemes -  Amount to be retained by authority in 2018-19</t>
  </si>
  <si>
    <t>Shale Gas - Amount to be retained by authority in 2018-19</t>
  </si>
  <si>
    <t>Shale Gas - Amount previously retained - not applicable in 2018-19</t>
  </si>
  <si>
    <t>Shale Gas - Sum due to (+)/from (-) authority</t>
  </si>
  <si>
    <t>25a</t>
  </si>
  <si>
    <t>25b</t>
  </si>
  <si>
    <t>Small Business Rates Relief scheme -  Amount due to authority in 2018-19 due to changes in thresholds</t>
  </si>
  <si>
    <t>Small Business Rates Relief scheme -  Amount due to authority in 2018-19 due to changes in multiplier thresholds</t>
  </si>
  <si>
    <t>Small Business Rates Relief on existing property where 2nd property is occupied -  Amount due to authority in 2018-19</t>
  </si>
  <si>
    <t>Retail Relief -  Amount due to authority in 2018-19 in respect of adjustment to previous years</t>
  </si>
  <si>
    <t>"New Empty" properties -  Amount due to authority in 2018-19 in respect of adjustment to previous years</t>
  </si>
  <si>
    <t>"Long term empty" properties -  Amount due to authority in 2018-19 in respect of adjustment to previous years</t>
  </si>
  <si>
    <t>Flooding Relief -  Amount due to authority in 2018-19 in respect of adjustment to previous years</t>
  </si>
  <si>
    <t>In lieu of Transitional Relief -  Amount due to billing authority in 2018-19 in respect of previous years</t>
  </si>
  <si>
    <t>Rural rate relief - Amount due to authority in 2018-19</t>
  </si>
  <si>
    <t>Rural rate relief - Amount provisionally paid (based on NNDR1)</t>
  </si>
  <si>
    <t>Local Newspaper temporary relief - Amount due to authority in 2018-19</t>
  </si>
  <si>
    <t>Supporting Small Businesses relief - Amount due to authority in 2018-19</t>
  </si>
  <si>
    <t>Supporting Small Businesses relief - Amount provisionally paid (based on Grant Determination)</t>
  </si>
  <si>
    <t>47a</t>
  </si>
  <si>
    <t>Discretionary Scheme relief - Amount due to authority in 2018-19 relating to 2018-19 allocation</t>
  </si>
  <si>
    <t>Discretionary Scheme relief - Amount due to authority in 2018-19 relating to 2017-18 allocation</t>
  </si>
  <si>
    <t>47b</t>
  </si>
  <si>
    <t>Discretionary Scheme relief - Amount provisionally paid in respect of 2018-19 (based on Grant Determination)</t>
  </si>
  <si>
    <t>Pub (&lt;100k RV)  relief - Amount due to authority in 2018-19</t>
  </si>
  <si>
    <t>Pub (&lt;100k RV) relief - Amount provisionally paid in respect of 2018-19  (based on Grant Determination)</t>
  </si>
  <si>
    <t>Telecomms relief - Amount due to billing authority in 2018-19</t>
  </si>
  <si>
    <t>Telecomms relief - Amount provisionally paid in respect of 2018-19: Not applicable in 2018-19</t>
  </si>
  <si>
    <t>Telecomms relief - Sum due to (+)/ from (-) authority</t>
  </si>
  <si>
    <t>Multiplier Cap -  Amount due to authority in 2018-19</t>
  </si>
  <si>
    <t>Enterprise zones relief granted in 100% Pilot areas - Amount due to authority in 2018-19</t>
  </si>
  <si>
    <t>Section 31 Grants Total - Amount due to authority in 2018-19</t>
  </si>
  <si>
    <t>amounts retained in respect of shale gas schemes</t>
  </si>
  <si>
    <t>In relation to 2010 list</t>
  </si>
  <si>
    <t>In relation to 2017 list</t>
  </si>
  <si>
    <t>Provision for appeals -  Amounts charged to provision from 2010 list</t>
  </si>
  <si>
    <t>Provision for appeals -  Amounts charged to provision from 2017 list</t>
  </si>
  <si>
    <t>Provision for appeals -  Change in provision 2010 (charged to Collection Fund)</t>
  </si>
  <si>
    <t>Provision for appeals -  Change in provision 2017 (charged to Collection Fund)</t>
  </si>
  <si>
    <t>Provision for appeals -  Closing balance on 31 March 2019</t>
  </si>
  <si>
    <t>Allowance for non-collection -  Closing balance on 31 March 2019</t>
  </si>
  <si>
    <t>Provision for appeals -  Opening balance as at 1 April 2018</t>
  </si>
  <si>
    <t>Collection Fund Balance -  Opening balance on 1 April 2018</t>
  </si>
  <si>
    <t>Collection Fund Balance -  Estimated Surplus-Deficit Payable in 2018-19</t>
  </si>
  <si>
    <t>Collection Fund Balance -  Estimated non-domestic income 2018-19</t>
  </si>
  <si>
    <t>Collection Fund Balance -  Actual non-domestic rating income 2018-19</t>
  </si>
  <si>
    <t>Collection Fund Balance -  Closing balance at 31 March 2019</t>
  </si>
  <si>
    <t>18a</t>
  </si>
  <si>
    <t>18b</t>
  </si>
  <si>
    <t>23a</t>
  </si>
  <si>
    <t>23b</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</si>
  <si>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</si>
  <si>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</si>
  <si>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</si>
  <si>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</si>
  <si>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</si>
  <si>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</si>
  <si>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</si>
  <si>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</si>
  <si>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</si>
  <si>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</si>
  <si>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</si>
  <si>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</si>
  <si>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</si>
  <si>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</si>
  <si>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</si>
  <si>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</si>
  <si>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</si>
  <si>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</si>
  <si>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</si>
  <si>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</si>
  <si>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</si>
  <si>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</si>
  <si>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</si>
  <si>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</si>
  <si>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</si>
  <si>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</si>
  <si>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</si>
  <si>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</si>
  <si>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</si>
  <si>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</si>
  <si>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</si>
  <si>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</si>
  <si>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</si>
  <si>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</si>
  <si>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</si>
  <si>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</si>
  <si>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</si>
  <si>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</si>
  <si>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</si>
  <si>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</si>
  <si>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</si>
  <si>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</si>
  <si>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</si>
  <si>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</si>
  <si>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</si>
  <si>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</si>
  <si>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</si>
  <si>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</si>
  <si>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</si>
  <si>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</si>
  <si>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</si>
  <si>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</si>
  <si>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</si>
  <si>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</si>
  <si>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</si>
  <si>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</si>
  <si>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</si>
  <si>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</si>
  <si>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</si>
  <si>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</si>
  <si>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</si>
  <si>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</si>
  <si>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</si>
  <si>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</si>
  <si>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</si>
  <si>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</si>
  <si>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</si>
  <si>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</si>
  <si>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</si>
  <si>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</si>
  <si>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</si>
  <si>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</si>
  <si>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</si>
  <si>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</si>
  <si>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</si>
  <si>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</si>
  <si>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</si>
  <si>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</si>
  <si>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</si>
  <si>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</si>
  <si>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</si>
  <si>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</si>
  <si>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</si>
  <si>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</si>
  <si>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</si>
  <si>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</si>
  <si>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</si>
  <si>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</si>
  <si>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</si>
  <si>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</si>
  <si>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</si>
  <si>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</si>
  <si>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</si>
  <si>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</si>
  <si>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</si>
  <si>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</si>
  <si>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</si>
  <si>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</si>
  <si>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</si>
  <si>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</si>
  <si>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</si>
  <si>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</si>
  <si>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</si>
  <si>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</si>
  <si>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</si>
  <si>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</si>
  <si>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</si>
  <si>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</si>
  <si>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</si>
  <si>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</si>
  <si>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</si>
  <si>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</si>
  <si>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</si>
  <si>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</si>
  <si>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</si>
  <si>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</si>
  <si>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</si>
  <si>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</si>
  <si>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</si>
  <si>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</si>
  <si>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</si>
  <si>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</si>
  <si>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</si>
  <si>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</si>
  <si>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</si>
  <si>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</si>
  <si>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</si>
  <si>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</si>
  <si>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</si>
  <si>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</si>
  <si>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</si>
  <si>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</si>
  <si>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</si>
  <si>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</si>
  <si>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</si>
  <si>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</si>
  <si>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</si>
  <si>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</si>
  <si>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</si>
  <si>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</si>
  <si>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</si>
  <si>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</si>
  <si>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</si>
  <si>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</si>
  <si>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</si>
  <si>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</si>
  <si>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</si>
  <si>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</si>
  <si>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</si>
  <si>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</si>
  <si>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</si>
  <si>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</si>
  <si>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</si>
  <si>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</si>
  <si>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</si>
  <si>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</si>
  <si>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</si>
  <si>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</si>
  <si>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</si>
  <si>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</si>
  <si>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</si>
  <si>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</si>
  <si>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</si>
  <si>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</si>
  <si>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</si>
  <si>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</si>
  <si>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</si>
  <si>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</si>
  <si>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</si>
  <si>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</si>
  <si>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</si>
  <si>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</si>
  <si>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</si>
  <si>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</si>
  <si>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</si>
  <si>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</si>
  <si>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</si>
  <si>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</si>
  <si>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</si>
  <si>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P</t>
  </si>
  <si>
    <t>55. Sum due to (+) / form (-) authority (line 53 minus line 54)</t>
  </si>
  <si>
    <t>Authorities complete data cells for the amount of mandatory and discretionary relief they have awarded, including amounts that will be compensated through Section 31 payments due to/from the authority. This will include reliefs not awarded in 2018-19 but where amounts have been adjusted in respect of previous years.  It also allows authorities to reconcile figures for “gross rates payable” and “reliefs” to the net rates payable figure in Part 2.</t>
  </si>
  <si>
    <t xml:space="preserve">NNDR3 forms were completed on behalf of 326 billing authorities in England to show their outturn figures for national non-domestic rates that they collected in 2018-19. Figures are subjected to rigorous pre-defined validation tests both within the form itself, while the form is being completed by the authority and also by MHCLG as the data are received and stored.  </t>
  </si>
  <si>
    <t xml:space="preserve">This workbook provides detailed information on the Business Rates Income for 2018-19 that local authorities have reported through the NNDR3 form to the Ministry of Housing, Communities and Local Government. Local authorities use this information in order to complete their draft accounts that are then subject to local audit. In the vast majority of cases returns have been submitted following an audit of their accounts. However, there are a number of authorities whose audit of accounts for 2018-19 have not yet been completed. In these cases we have published data based on their provisional unaudited accounts (P indicates provisional data). </t>
  </si>
  <si>
    <t>Part 2 Individual Designated Area data for each local authority.</t>
  </si>
  <si>
    <t>R</t>
  </si>
  <si>
    <t>DA Name</t>
  </si>
  <si>
    <t>Data from this workbook have been used to compile the statistics release "National non-domestic rates collected by local authorities in England 2018-19". This was originally published on 20 November 2019 and has been revised to reflect the revisions. This is available on the Department’s website at</t>
  </si>
  <si>
    <t>(P) – provisional data as audits have not completed on the authority’s accounts.</t>
  </si>
  <si>
    <t>(R) – revised since original publication.</t>
  </si>
  <si>
    <t>Originally published on: 20 November 2019</t>
  </si>
  <si>
    <t/>
  </si>
  <si>
    <t>We have updated the original publication to reflect final data submitted by authorities after the 20 November 2019. This version contains final data from 316 authorities and this includes revisions received from 6 authorities when submitting their final form. These are marked with a (R). 
We are still waiting for 8 authorities to submit post-audit final data.</t>
  </si>
  <si>
    <t>Revised on: 30 June 2023</t>
  </si>
  <si>
    <t>(R) – revised since previous update to the publication.</t>
  </si>
  <si>
    <t>(R)</t>
  </si>
  <si>
    <r>
      <t>Next update</t>
    </r>
    <r>
      <rPr>
        <sz val="10"/>
        <rFont val="Arial"/>
        <family val="2"/>
      </rPr>
      <t>:  2019-20 NNDR3 data November 2020</t>
    </r>
  </si>
  <si>
    <r>
      <t xml:space="preserve">Originally published: </t>
    </r>
    <r>
      <rPr>
        <sz val="10"/>
        <rFont val="Arial"/>
        <family val="2"/>
      </rPr>
      <t xml:space="preserve">20 November 2019
</t>
    </r>
    <r>
      <rPr>
        <b/>
        <sz val="10"/>
        <rFont val="Arial"/>
        <family val="2"/>
      </rPr>
      <t xml:space="preserve">Revisions published: </t>
    </r>
    <r>
      <rPr>
        <sz val="10"/>
        <rFont val="Arial"/>
        <family val="2"/>
      </rPr>
      <t>6 February 2020, 28 October 2020</t>
    </r>
    <r>
      <rPr>
        <b/>
        <sz val="10"/>
        <rFont val="Arial"/>
        <family val="2"/>
      </rPr>
      <t xml:space="preserve">
Latest revision published: </t>
    </r>
    <r>
      <rPr>
        <sz val="10"/>
        <rFont val="Arial"/>
        <family val="2"/>
      </rPr>
      <t>30 June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</si>
</sst>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9"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name val="Calibri"/>
      <family val="2"/>
    </font>
    <font>
      <sz val="9"/>
      <name val="Arial"/>
      <family val="2"/>
    </font>
    <font>
      <sz val="12"/>
      <color indexed="8"/>
      <name val="Arial"/>
      <family val="2"/>
    </font>
  </fonts>
  <fills count="3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6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9" fillId="18" borderId="4" applyNumberFormat="0" applyAlignment="0" applyProtection="0"/>
    <xf numFmtId="164" fontId="5"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8" applyNumberFormat="0" applyFill="0" applyAlignment="0" applyProtection="0"/>
    <xf numFmtId="0" fontId="27" fillId="7" borderId="0" applyNumberFormat="0" applyBorder="0" applyAlignment="0" applyProtection="0"/>
    <xf numFmtId="0" fontId="3" fillId="4" borderId="9" applyNumberFormat="0" applyFont="0" applyAlignment="0" applyProtection="0"/>
    <xf numFmtId="0" fontId="28" fillId="16" borderId="1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11" applyNumberFormat="0" applyFill="0" applyAlignment="0" applyProtection="0"/>
    <xf numFmtId="0" fontId="26"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52" fillId="0" borderId="0" applyNumberFormat="0" applyFill="0" applyBorder="0" applyAlignment="0" applyProtection="0"/>
    <xf numFmtId="0" fontId="55" fillId="0" borderId="0"/>
    <xf numFmtId="0" fontId="3" fillId="0" borderId="0"/>
    <xf numFmtId="0" fontId="52" fillId="0" borderId="0" applyNumberFormat="0" applyFill="0" applyBorder="0" applyAlignment="0" applyProtection="0"/>
    <xf numFmtId="0" fontId="3" fillId="0" borderId="0"/>
    <xf numFmtId="0" fontId="7" fillId="0" borderId="0"/>
    <xf numFmtId="0" fontId="3" fillId="0" borderId="0"/>
    <xf numFmtId="0" fontId="18" fillId="16" borderId="114" applyNumberFormat="0" applyAlignment="0" applyProtection="0"/>
    <xf numFmtId="3" fontId="4" fillId="17" borderId="115">
      <alignment horizontal="right"/>
    </xf>
    <xf numFmtId="3" fontId="3" fillId="17" borderId="115">
      <alignment horizontal="right"/>
    </xf>
    <xf numFmtId="43" fontId="3" fillId="0" borderId="0" applyFont="0" applyFill="0" applyBorder="0" applyAlignment="0" applyProtection="0"/>
    <xf numFmtId="0" fontId="25" fillId="7" borderId="114" applyNumberFormat="0" applyAlignment="0" applyProtection="0"/>
    <xf numFmtId="0" fontId="3" fillId="4" borderId="116" applyNumberFormat="0" applyFont="0" applyAlignment="0" applyProtection="0"/>
    <xf numFmtId="0" fontId="28" fillId="16" borderId="117" applyNumberFormat="0" applyAlignment="0" applyProtection="0"/>
    <xf numFmtId="0" fontId="30" fillId="0" borderId="118" applyNumberFormat="0" applyFill="0" applyAlignment="0" applyProtection="0"/>
    <xf numFmtId="3" fontId="3" fillId="17" borderId="115">
      <alignment horizontal="right"/>
    </xf>
    <xf numFmtId="43" fontId="3" fillId="0" borderId="0" applyFont="0" applyFill="0" applyBorder="0" applyAlignment="0" applyProtection="0"/>
    <xf numFmtId="0" fontId="1" fillId="0" borderId="0"/>
  </cellStyleXfs>
  <cellXfs count="956">
    <xf numFmtId="0" fontId="0" fillId="0" borderId="0" xfId="0"/>
    <xf numFmtId="0" fontId="0" fillId="19" borderId="0" xfId="0" applyFill="1" applyAlignment="1">
      <alignment horizontal="center"/>
    </xf>
    <xf numFmtId="0" fontId="0" fillId="19" borderId="0" xfId="0" applyFill="1"/>
    <xf numFmtId="0" fontId="4" fillId="19" borderId="0" xfId="0" applyFont="1" applyFill="1" applyAlignment="1">
      <alignment horizontal="center"/>
    </xf>
    <xf numFmtId="0" fontId="7" fillId="17" borderId="0" xfId="0" applyFont="1" applyFill="1"/>
    <xf numFmtId="0" fontId="7" fillId="0" borderId="0" xfId="0" applyFont="1"/>
    <xf numFmtId="0" fontId="7" fillId="19" borderId="0" xfId="0" applyFont="1" applyFill="1"/>
    <xf numFmtId="0" fontId="7" fillId="19" borderId="12" xfId="0" applyFont="1" applyFill="1" applyBorder="1"/>
    <xf numFmtId="0" fontId="7" fillId="19" borderId="13" xfId="0" applyFont="1" applyFill="1" applyBorder="1"/>
    <xf numFmtId="0" fontId="9" fillId="19" borderId="0" xfId="0" applyFont="1" applyFill="1" applyAlignment="1">
      <alignment horizontal="center"/>
    </xf>
    <xf numFmtId="0" fontId="7" fillId="19" borderId="0" xfId="0" applyFont="1" applyFill="1" applyAlignment="1">
      <alignment horizontal="left"/>
    </xf>
    <xf numFmtId="0" fontId="7" fillId="20" borderId="14" xfId="0" applyFont="1" applyFill="1" applyBorder="1"/>
    <xf numFmtId="0" fontId="7" fillId="20" borderId="15" xfId="0" applyFont="1" applyFill="1" applyBorder="1"/>
    <xf numFmtId="0" fontId="7"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2" fillId="19" borderId="0" xfId="0" applyFont="1" applyFill="1"/>
    <xf numFmtId="0" fontId="13" fillId="19" borderId="0" xfId="0" applyFont="1" applyFill="1"/>
    <xf numFmtId="0" fontId="13" fillId="19" borderId="13" xfId="0" applyFont="1" applyFill="1" applyBorder="1"/>
    <xf numFmtId="0" fontId="13" fillId="17" borderId="19" xfId="0" applyFont="1" applyFill="1" applyBorder="1"/>
    <xf numFmtId="0" fontId="13" fillId="17" borderId="0" xfId="0" applyFont="1" applyFill="1"/>
    <xf numFmtId="0" fontId="13" fillId="17" borderId="22" xfId="0" applyFont="1" applyFill="1" applyBorder="1"/>
    <xf numFmtId="0" fontId="13" fillId="17" borderId="23" xfId="0" applyFont="1" applyFill="1" applyBorder="1"/>
    <xf numFmtId="0" fontId="13" fillId="0" borderId="0" xfId="0" applyFont="1"/>
    <xf numFmtId="0" fontId="13" fillId="17" borderId="24" xfId="0" applyFont="1" applyFill="1" applyBorder="1"/>
    <xf numFmtId="0" fontId="13" fillId="17" borderId="25" xfId="0" applyFont="1" applyFill="1" applyBorder="1"/>
    <xf numFmtId="0" fontId="13" fillId="17" borderId="26" xfId="0" applyFont="1" applyFill="1" applyBorder="1"/>
    <xf numFmtId="0" fontId="12" fillId="19" borderId="12" xfId="0" applyFont="1" applyFill="1" applyBorder="1" applyAlignment="1">
      <alignment horizontal="left"/>
    </xf>
    <xf numFmtId="0" fontId="13" fillId="19" borderId="12" xfId="0" applyFont="1" applyFill="1" applyBorder="1"/>
    <xf numFmtId="0" fontId="0" fillId="20" borderId="0" xfId="0" applyFill="1" applyAlignment="1" applyProtection="1">
      <alignment horizontal="center"/>
      <protection locked="0"/>
    </xf>
    <xf numFmtId="0" fontId="0" fillId="20" borderId="0" xfId="0" applyFill="1" applyProtection="1">
      <protection locked="0"/>
    </xf>
    <xf numFmtId="0" fontId="7" fillId="20" borderId="0" xfId="0" applyFont="1" applyFill="1" applyProtection="1">
      <protection locked="0"/>
    </xf>
    <xf numFmtId="0" fontId="7" fillId="20" borderId="0" xfId="0" applyFont="1" applyFill="1"/>
    <xf numFmtId="0" fontId="7" fillId="20" borderId="13" xfId="0" applyFont="1" applyFill="1" applyBorder="1"/>
    <xf numFmtId="0" fontId="7" fillId="20" borderId="17" xfId="0" applyFont="1" applyFill="1" applyBorder="1"/>
    <xf numFmtId="0" fontId="7" fillId="20" borderId="18" xfId="0" applyFont="1" applyFill="1" applyBorder="1"/>
    <xf numFmtId="0" fontId="7" fillId="20" borderId="27" xfId="0" applyFont="1" applyFill="1" applyBorder="1"/>
    <xf numFmtId="0" fontId="13"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3" fillId="19" borderId="0" xfId="0" applyFont="1" applyFill="1" applyAlignment="1">
      <alignment vertical="top"/>
    </xf>
    <xf numFmtId="0" fontId="12" fillId="19" borderId="0" xfId="0" applyFont="1" applyFill="1" applyAlignment="1">
      <alignment horizontal="center"/>
    </xf>
    <xf numFmtId="0" fontId="7" fillId="20" borderId="18" xfId="0" applyFont="1" applyFill="1" applyBorder="1" applyAlignment="1">
      <alignment horizontal="center"/>
    </xf>
    <xf numFmtId="0" fontId="7" fillId="20" borderId="15" xfId="0" applyFont="1" applyFill="1" applyBorder="1" applyAlignment="1">
      <alignment horizontal="center"/>
    </xf>
    <xf numFmtId="0" fontId="13" fillId="19" borderId="0" xfId="0" applyFont="1" applyFill="1" applyAlignment="1">
      <alignment horizontal="center"/>
    </xf>
    <xf numFmtId="3" fontId="13" fillId="19" borderId="0" xfId="0" applyNumberFormat="1" applyFont="1" applyFill="1" applyAlignment="1">
      <alignment horizontal="right" vertical="center" indent="1"/>
    </xf>
    <xf numFmtId="3" fontId="12" fillId="19" borderId="0" xfId="0" applyNumberFormat="1" applyFont="1" applyFill="1" applyAlignment="1">
      <alignment horizontal="right" vertical="center" indent="1"/>
    </xf>
    <xf numFmtId="3" fontId="13" fillId="17" borderId="0" xfId="0" applyNumberFormat="1" applyFont="1" applyFill="1" applyAlignment="1">
      <alignment horizontal="right" vertical="center" indent="1"/>
    </xf>
    <xf numFmtId="0" fontId="32" fillId="19" borderId="0" xfId="0" applyFont="1" applyFill="1" applyAlignment="1">
      <alignment horizontal="left"/>
    </xf>
    <xf numFmtId="3" fontId="7"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0" fillId="19" borderId="0" xfId="0" applyNumberFormat="1" applyFont="1" applyFill="1" applyAlignment="1">
      <alignment horizontal="left" vertical="center" indent="1"/>
    </xf>
    <xf numFmtId="3" fontId="7" fillId="19" borderId="0" xfId="0" applyNumberFormat="1" applyFont="1" applyFill="1" applyAlignment="1">
      <alignment horizontal="left" vertical="center" indent="1"/>
    </xf>
    <xf numFmtId="0" fontId="4" fillId="20" borderId="18" xfId="0" applyFont="1" applyFill="1" applyBorder="1"/>
    <xf numFmtId="0" fontId="13" fillId="19" borderId="18" xfId="0" applyFont="1" applyFill="1" applyBorder="1"/>
    <xf numFmtId="0" fontId="37" fillId="20" borderId="15" xfId="0" applyFont="1" applyFill="1" applyBorder="1"/>
    <xf numFmtId="3" fontId="13" fillId="19" borderId="0" xfId="0" applyNumberFormat="1" applyFont="1" applyFill="1" applyAlignment="1" applyProtection="1">
      <alignment horizontal="right" vertical="center" indent="1"/>
      <protection locked="0"/>
    </xf>
    <xf numFmtId="0" fontId="7" fillId="19" borderId="0" xfId="0" applyFont="1" applyFill="1" applyAlignment="1">
      <alignment vertical="top"/>
    </xf>
    <xf numFmtId="3" fontId="38" fillId="19" borderId="0" xfId="0" applyNumberFormat="1" applyFont="1" applyFill="1" applyAlignment="1">
      <alignment horizontal="left" vertical="center" indent="1"/>
    </xf>
    <xf numFmtId="3" fontId="9" fillId="19" borderId="0" xfId="0" applyNumberFormat="1" applyFont="1" applyFill="1" applyAlignment="1">
      <alignment horizontal="right" vertical="center" indent="1"/>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9" fontId="35" fillId="17" borderId="0" xfId="43" applyFont="1" applyFill="1" applyBorder="1" applyAlignment="1">
      <alignment vertical="center"/>
    </xf>
    <xf numFmtId="0" fontId="36" fillId="17" borderId="0" xfId="0" applyFont="1" applyFill="1" applyAlignment="1">
      <alignment vertical="center"/>
    </xf>
    <xf numFmtId="0" fontId="35" fillId="17" borderId="0" xfId="0" applyFont="1" applyFill="1" applyAlignment="1">
      <alignment vertical="center"/>
    </xf>
    <xf numFmtId="0" fontId="8" fillId="20" borderId="12" xfId="0" applyFont="1" applyFill="1" applyBorder="1" applyAlignment="1">
      <alignment horizontal="center"/>
    </xf>
    <xf numFmtId="0" fontId="3" fillId="20" borderId="18" xfId="0" applyFont="1" applyFill="1" applyBorder="1" applyAlignment="1">
      <alignment horizontal="right"/>
    </xf>
    <xf numFmtId="0" fontId="5" fillId="20" borderId="18" xfId="0" applyFont="1" applyFill="1" applyBorder="1" applyAlignment="1">
      <alignment horizontal="right"/>
    </xf>
    <xf numFmtId="0" fontId="13" fillId="19" borderId="24" xfId="0" applyFont="1" applyFill="1" applyBorder="1"/>
    <xf numFmtId="0" fontId="13" fillId="19" borderId="19" xfId="0" applyFont="1" applyFill="1" applyBorder="1"/>
    <xf numFmtId="3" fontId="12" fillId="19" borderId="19" xfId="0" applyNumberFormat="1" applyFont="1" applyFill="1" applyBorder="1" applyAlignment="1">
      <alignment horizontal="right" vertical="center" indent="1"/>
    </xf>
    <xf numFmtId="3" fontId="13" fillId="19" borderId="19" xfId="0" applyNumberFormat="1" applyFont="1" applyFill="1" applyBorder="1" applyAlignment="1">
      <alignment horizontal="right" vertical="center" indent="1"/>
    </xf>
    <xf numFmtId="0" fontId="13" fillId="19" borderId="25" xfId="0" applyFont="1" applyFill="1" applyBorder="1"/>
    <xf numFmtId="0" fontId="12" fillId="19" borderId="25" xfId="0" applyFont="1" applyFill="1" applyBorder="1"/>
    <xf numFmtId="0" fontId="13" fillId="19" borderId="26" xfId="0" applyFont="1" applyFill="1" applyBorder="1"/>
    <xf numFmtId="0" fontId="13" fillId="19" borderId="22" xfId="0" applyFont="1" applyFill="1" applyBorder="1"/>
    <xf numFmtId="3" fontId="13" fillId="19" borderId="22" xfId="0" applyNumberFormat="1" applyFont="1" applyFill="1" applyBorder="1" applyAlignment="1">
      <alignment horizontal="right" vertical="center" indent="1"/>
    </xf>
    <xf numFmtId="9" fontId="33" fillId="17" borderId="0" xfId="43" applyFont="1" applyFill="1" applyBorder="1" applyAlignment="1">
      <alignment vertical="center"/>
    </xf>
    <xf numFmtId="0" fontId="33" fillId="0" borderId="0" xfId="0" applyFont="1" applyAlignment="1">
      <alignment vertical="center"/>
    </xf>
    <xf numFmtId="0" fontId="38" fillId="0" borderId="0" xfId="0" applyFont="1"/>
    <xf numFmtId="0" fontId="33" fillId="0" borderId="0" xfId="0" applyFont="1"/>
    <xf numFmtId="0" fontId="9" fillId="19" borderId="0" xfId="0" applyFont="1" applyFill="1" applyAlignment="1">
      <alignment horizontal="left"/>
    </xf>
    <xf numFmtId="3" fontId="13" fillId="19" borderId="30" xfId="0" applyNumberFormat="1" applyFont="1" applyFill="1" applyBorder="1" applyAlignment="1">
      <alignment horizontal="right" vertical="center" indent="1"/>
    </xf>
    <xf numFmtId="3" fontId="13" fillId="19" borderId="31" xfId="0" applyNumberFormat="1" applyFont="1" applyFill="1" applyBorder="1" applyAlignment="1">
      <alignment horizontal="right" vertical="center" indent="1"/>
    </xf>
    <xf numFmtId="3" fontId="36" fillId="17" borderId="0" xfId="0" applyNumberFormat="1" applyFont="1" applyFill="1" applyAlignment="1">
      <alignment vertical="center"/>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center" wrapText="1"/>
    </xf>
    <xf numFmtId="0" fontId="9" fillId="19" borderId="0" xfId="0" applyFont="1" applyFill="1"/>
    <xf numFmtId="0" fontId="13" fillId="17" borderId="22" xfId="0" applyFont="1" applyFill="1" applyBorder="1" applyAlignment="1">
      <alignment horizontal="right" vertical="center" indent="1"/>
    </xf>
    <xf numFmtId="0" fontId="13" fillId="19" borderId="0" xfId="0" applyFont="1" applyFill="1" applyAlignment="1">
      <alignment horizontal="right" vertical="center" indent="1"/>
    </xf>
    <xf numFmtId="0" fontId="7" fillId="21" borderId="0" xfId="0" applyFont="1" applyFill="1"/>
    <xf numFmtId="0" fontId="9" fillId="19" borderId="0" xfId="0" applyFont="1" applyFill="1" applyAlignment="1">
      <alignment vertical="top"/>
    </xf>
    <xf numFmtId="0" fontId="7" fillId="22" borderId="18" xfId="0" applyFont="1" applyFill="1" applyBorder="1"/>
    <xf numFmtId="0" fontId="39" fillId="22" borderId="17" xfId="0" applyFont="1" applyFill="1" applyBorder="1"/>
    <xf numFmtId="0" fontId="7" fillId="22" borderId="27" xfId="0" applyFont="1" applyFill="1" applyBorder="1"/>
    <xf numFmtId="0" fontId="13" fillId="22" borderId="18" xfId="0" applyFont="1" applyFill="1" applyBorder="1"/>
    <xf numFmtId="3" fontId="12" fillId="22" borderId="18" xfId="0" applyNumberFormat="1" applyFont="1" applyFill="1" applyBorder="1" applyAlignment="1">
      <alignment horizontal="right" vertical="center" indent="1"/>
    </xf>
    <xf numFmtId="3" fontId="13" fillId="22" borderId="18" xfId="0" applyNumberFormat="1" applyFont="1" applyFill="1" applyBorder="1" applyAlignment="1">
      <alignment horizontal="right" vertical="center" indent="1"/>
    </xf>
    <xf numFmtId="0" fontId="0" fillId="22" borderId="27" xfId="0" applyFill="1" applyBorder="1"/>
    <xf numFmtId="0" fontId="13" fillId="22" borderId="0" xfId="0" applyFont="1" applyFill="1"/>
    <xf numFmtId="3" fontId="13" fillId="22" borderId="0" xfId="0" applyNumberFormat="1" applyFont="1" applyFill="1" applyAlignment="1">
      <alignment horizontal="right" vertical="center" indent="1"/>
    </xf>
    <xf numFmtId="0" fontId="7" fillId="19" borderId="0" xfId="0" applyFont="1" applyFill="1" applyAlignment="1">
      <alignment horizontal="left" vertical="top"/>
    </xf>
    <xf numFmtId="0" fontId="12" fillId="19" borderId="0" xfId="0" applyFont="1" applyFill="1" applyAlignment="1">
      <alignment vertical="top"/>
    </xf>
    <xf numFmtId="0" fontId="0" fillId="19" borderId="0" xfId="0" applyFill="1" applyAlignment="1">
      <alignment vertical="top"/>
    </xf>
    <xf numFmtId="0" fontId="13" fillId="19" borderId="18" xfId="0" applyFont="1" applyFill="1" applyBorder="1" applyAlignment="1">
      <alignment vertical="top"/>
    </xf>
    <xf numFmtId="0" fontId="0" fillId="19" borderId="12" xfId="0" applyFill="1" applyBorder="1" applyAlignment="1">
      <alignment vertical="top"/>
    </xf>
    <xf numFmtId="3" fontId="13" fillId="19" borderId="12" xfId="0" applyNumberFormat="1" applyFont="1" applyFill="1" applyBorder="1" applyAlignment="1">
      <alignment horizontal="right" vertical="top"/>
    </xf>
    <xf numFmtId="3" fontId="13" fillId="19" borderId="0" xfId="0" applyNumberFormat="1" applyFont="1" applyFill="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3" fillId="22" borderId="0" xfId="0" applyFont="1" applyFill="1" applyAlignment="1">
      <alignment vertical="top"/>
    </xf>
    <xf numFmtId="0" fontId="12" fillId="19" borderId="0" xfId="0" applyFont="1" applyFill="1" applyAlignment="1">
      <alignment horizontal="left" vertical="top"/>
    </xf>
    <xf numFmtId="0" fontId="13" fillId="19" borderId="19" xfId="0" applyFont="1" applyFill="1" applyBorder="1" applyAlignment="1">
      <alignment vertical="top" wrapText="1"/>
    </xf>
    <xf numFmtId="0" fontId="13" fillId="19" borderId="22" xfId="0" applyFont="1" applyFill="1" applyBorder="1" applyAlignment="1">
      <alignment vertical="top"/>
    </xf>
    <xf numFmtId="0" fontId="13" fillId="17" borderId="19" xfId="0" applyFont="1" applyFill="1" applyBorder="1" applyAlignment="1">
      <alignment vertical="top"/>
    </xf>
    <xf numFmtId="0" fontId="12" fillId="17" borderId="0" xfId="0" applyFont="1" applyFill="1" applyAlignment="1">
      <alignment vertical="top"/>
    </xf>
    <xf numFmtId="0" fontId="13" fillId="17" borderId="0" xfId="0" applyFont="1" applyFill="1" applyAlignment="1">
      <alignment vertical="top"/>
    </xf>
    <xf numFmtId="0" fontId="13" fillId="17" borderId="22" xfId="0" applyFont="1" applyFill="1" applyBorder="1" applyAlignment="1">
      <alignment vertical="top"/>
    </xf>
    <xf numFmtId="0" fontId="9" fillId="19" borderId="0" xfId="0" applyFont="1" applyFill="1" applyAlignment="1">
      <alignment horizontal="left" vertical="top"/>
    </xf>
    <xf numFmtId="0" fontId="7" fillId="17" borderId="0" xfId="0" applyFont="1" applyFill="1" applyAlignment="1">
      <alignment vertical="top"/>
    </xf>
    <xf numFmtId="0" fontId="7" fillId="19" borderId="0" xfId="0" applyFont="1" applyFill="1" applyAlignment="1">
      <alignment vertical="top" wrapText="1"/>
    </xf>
    <xf numFmtId="0" fontId="0" fillId="19" borderId="37" xfId="0" applyFill="1" applyBorder="1" applyAlignment="1">
      <alignment vertical="top"/>
    </xf>
    <xf numFmtId="0" fontId="13" fillId="19" borderId="38" xfId="0" applyFont="1" applyFill="1" applyBorder="1" applyAlignment="1">
      <alignment vertical="top" wrapText="1"/>
    </xf>
    <xf numFmtId="0" fontId="13" fillId="19" borderId="38" xfId="0" applyFont="1" applyFill="1" applyBorder="1"/>
    <xf numFmtId="3" fontId="7" fillId="19" borderId="38" xfId="0" applyNumberFormat="1" applyFont="1" applyFill="1" applyBorder="1" applyAlignment="1">
      <alignment horizontal="right" vertical="center" indent="1"/>
    </xf>
    <xf numFmtId="3" fontId="13"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7" fillId="19" borderId="43" xfId="0" applyFont="1" applyFill="1" applyBorder="1" applyAlignment="1">
      <alignment horizontal="left" vertical="top" wrapText="1"/>
    </xf>
    <xf numFmtId="0" fontId="13" fillId="19" borderId="43" xfId="0" applyFont="1" applyFill="1" applyBorder="1"/>
    <xf numFmtId="3" fontId="13" fillId="19" borderId="43" xfId="0" applyNumberFormat="1" applyFont="1" applyFill="1" applyBorder="1" applyAlignment="1">
      <alignment horizontal="right" vertical="center" indent="1"/>
    </xf>
    <xf numFmtId="0" fontId="0" fillId="19" borderId="43" xfId="0" applyFill="1" applyBorder="1"/>
    <xf numFmtId="3" fontId="9" fillId="19" borderId="38" xfId="0" applyNumberFormat="1" applyFont="1" applyFill="1" applyBorder="1" applyAlignment="1">
      <alignment horizontal="right" vertical="center" indent="1"/>
    </xf>
    <xf numFmtId="3" fontId="9" fillId="19" borderId="43" xfId="0" applyNumberFormat="1" applyFont="1" applyFill="1" applyBorder="1" applyAlignment="1">
      <alignment horizontal="right" vertical="center" indent="1"/>
    </xf>
    <xf numFmtId="3" fontId="7" fillId="19" borderId="43" xfId="0" applyNumberFormat="1" applyFont="1" applyFill="1" applyBorder="1" applyAlignment="1">
      <alignment horizontal="right" vertical="center" indent="1"/>
    </xf>
    <xf numFmtId="0" fontId="0" fillId="22" borderId="0" xfId="0" applyFill="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3"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3" fillId="22" borderId="43" xfId="0" applyFont="1" applyFill="1" applyBorder="1"/>
    <xf numFmtId="0" fontId="13" fillId="19" borderId="38" xfId="0" applyFont="1" applyFill="1" applyBorder="1" applyAlignment="1">
      <alignment vertical="top"/>
    </xf>
    <xf numFmtId="0" fontId="13" fillId="19" borderId="43" xfId="0" applyFont="1" applyFill="1" applyBorder="1" applyAlignment="1">
      <alignment vertical="top"/>
    </xf>
    <xf numFmtId="0" fontId="7" fillId="19" borderId="38" xfId="0" applyFont="1" applyFill="1" applyBorder="1" applyAlignment="1">
      <alignment vertical="top"/>
    </xf>
    <xf numFmtId="0" fontId="7" fillId="19" borderId="43" xfId="0" applyFont="1" applyFill="1" applyBorder="1" applyAlignment="1">
      <alignment vertical="top"/>
    </xf>
    <xf numFmtId="0" fontId="0" fillId="19" borderId="42" xfId="0" applyFill="1" applyBorder="1"/>
    <xf numFmtId="0" fontId="7" fillId="19" borderId="18" xfId="0" applyFont="1" applyFill="1" applyBorder="1" applyAlignment="1">
      <alignment vertical="top"/>
    </xf>
    <xf numFmtId="0" fontId="13" fillId="23" borderId="0" xfId="0" applyFont="1" applyFill="1" applyAlignment="1">
      <alignment vertical="top"/>
    </xf>
    <xf numFmtId="0" fontId="7" fillId="23" borderId="0" xfId="0" applyFont="1" applyFill="1" applyAlignment="1">
      <alignment vertical="top"/>
    </xf>
    <xf numFmtId="3" fontId="13" fillId="23" borderId="0" xfId="0" applyNumberFormat="1" applyFont="1" applyFill="1" applyAlignment="1">
      <alignment horizontal="right" vertical="center" indent="1"/>
    </xf>
    <xf numFmtId="0" fontId="41" fillId="24" borderId="0" xfId="0" applyFont="1" applyFill="1"/>
    <xf numFmtId="0" fontId="42" fillId="24" borderId="0" xfId="0" applyFont="1" applyFill="1"/>
    <xf numFmtId="0" fontId="43" fillId="24" borderId="0" xfId="0" applyFont="1" applyFill="1"/>
    <xf numFmtId="0" fontId="44" fillId="24" borderId="0" xfId="0" applyFont="1" applyFill="1"/>
    <xf numFmtId="0" fontId="13" fillId="23" borderId="0" xfId="0" applyFont="1" applyFill="1"/>
    <xf numFmtId="0" fontId="13" fillId="23" borderId="45" xfId="0" applyFont="1" applyFill="1" applyBorder="1"/>
    <xf numFmtId="0" fontId="13" fillId="23" borderId="46" xfId="0" applyFont="1" applyFill="1" applyBorder="1" applyAlignment="1">
      <alignment vertical="top"/>
    </xf>
    <xf numFmtId="0" fontId="13" fillId="23" borderId="46" xfId="0" applyFont="1" applyFill="1" applyBorder="1"/>
    <xf numFmtId="0" fontId="13" fillId="23" borderId="46" xfId="0" applyFont="1" applyFill="1" applyBorder="1" applyAlignment="1">
      <alignment horizontal="right" vertical="center" indent="1"/>
    </xf>
    <xf numFmtId="0" fontId="13" fillId="23" borderId="47" xfId="0" applyFont="1" applyFill="1" applyBorder="1"/>
    <xf numFmtId="0" fontId="13" fillId="23" borderId="48" xfId="0" applyFont="1" applyFill="1" applyBorder="1"/>
    <xf numFmtId="0" fontId="12" fillId="23" borderId="0" xfId="0" applyFont="1" applyFill="1" applyAlignment="1">
      <alignment vertical="top"/>
    </xf>
    <xf numFmtId="0" fontId="13" fillId="23" borderId="0" xfId="0" applyFont="1" applyFill="1" applyAlignment="1">
      <alignment horizontal="right" vertical="center" indent="1"/>
    </xf>
    <xf numFmtId="0" fontId="13" fillId="23" borderId="49" xfId="0" applyFont="1" applyFill="1" applyBorder="1"/>
    <xf numFmtId="0" fontId="13" fillId="23" borderId="49" xfId="0" applyFont="1" applyFill="1" applyBorder="1" applyAlignment="1">
      <alignment horizontal="center"/>
    </xf>
    <xf numFmtId="0" fontId="13" fillId="23" borderId="50" xfId="0" applyFont="1" applyFill="1" applyBorder="1"/>
    <xf numFmtId="0" fontId="13" fillId="23" borderId="51" xfId="0" applyFont="1" applyFill="1" applyBorder="1"/>
    <xf numFmtId="0" fontId="13" fillId="23" borderId="52" xfId="0" applyFont="1" applyFill="1" applyBorder="1"/>
    <xf numFmtId="3" fontId="12" fillId="17" borderId="0" xfId="0" applyNumberFormat="1" applyFont="1" applyFill="1" applyAlignment="1">
      <alignment horizontal="center" vertical="center"/>
    </xf>
    <xf numFmtId="0" fontId="36" fillId="0" borderId="0" xfId="0" applyFont="1" applyAlignment="1">
      <alignment vertical="center"/>
    </xf>
    <xf numFmtId="3" fontId="12"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13" fillId="19" borderId="14" xfId="0" applyFont="1" applyFill="1" applyBorder="1"/>
    <xf numFmtId="0" fontId="13" fillId="19" borderId="15" xfId="0" applyFont="1" applyFill="1" applyBorder="1"/>
    <xf numFmtId="0" fontId="13" fillId="19" borderId="15" xfId="0" applyFont="1" applyFill="1" applyBorder="1" applyAlignment="1">
      <alignment vertical="top"/>
    </xf>
    <xf numFmtId="0" fontId="13" fillId="19" borderId="16" xfId="0" applyFont="1" applyFill="1" applyBorder="1"/>
    <xf numFmtId="0" fontId="3" fillId="0" borderId="0" xfId="0" applyFont="1"/>
    <xf numFmtId="0" fontId="46" fillId="0" borderId="0" xfId="0" applyFont="1"/>
    <xf numFmtId="0" fontId="0" fillId="21" borderId="0" xfId="0" applyFill="1"/>
    <xf numFmtId="0" fontId="3" fillId="21" borderId="0" xfId="0" applyFont="1" applyFill="1"/>
    <xf numFmtId="3" fontId="9" fillId="19" borderId="0" xfId="0" applyNumberFormat="1" applyFont="1" applyFill="1" applyAlignment="1">
      <alignment horizontal="center" vertical="center"/>
    </xf>
    <xf numFmtId="1" fontId="3" fillId="20" borderId="14" xfId="0" applyNumberFormat="1" applyFont="1" applyFill="1" applyBorder="1"/>
    <xf numFmtId="0" fontId="3" fillId="20" borderId="15" xfId="0" applyFont="1" applyFill="1" applyBorder="1"/>
    <xf numFmtId="0" fontId="3" fillId="20" borderId="16" xfId="0" applyFont="1" applyFill="1" applyBorder="1" applyAlignment="1">
      <alignment horizontal="center"/>
    </xf>
    <xf numFmtId="1" fontId="3" fillId="20" borderId="12" xfId="0" applyNumberFormat="1" applyFont="1" applyFill="1" applyBorder="1"/>
    <xf numFmtId="0" fontId="3" fillId="20" borderId="0" xfId="0" applyFont="1" applyFill="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Alignment="1">
      <alignment horizontal="center"/>
    </xf>
    <xf numFmtId="1" fontId="3" fillId="20" borderId="13" xfId="0" applyNumberFormat="1" applyFont="1" applyFill="1" applyBorder="1" applyAlignment="1">
      <alignment horizontal="center"/>
    </xf>
    <xf numFmtId="1" fontId="48" fillId="20" borderId="12" xfId="0" applyNumberFormat="1" applyFont="1" applyFill="1" applyBorder="1" applyAlignment="1">
      <alignment horizontal="center" vertical="top"/>
    </xf>
    <xf numFmtId="0" fontId="48" fillId="20" borderId="0" xfId="0" applyFont="1" applyFill="1" applyAlignment="1">
      <alignment vertical="top"/>
    </xf>
    <xf numFmtId="0" fontId="48" fillId="20" borderId="13" xfId="0" applyFont="1" applyFill="1" applyBorder="1" applyAlignment="1">
      <alignment horizontal="center" vertical="top"/>
    </xf>
    <xf numFmtId="1" fontId="3" fillId="20" borderId="17" xfId="0" applyNumberFormat="1" applyFont="1" applyFill="1" applyBorder="1"/>
    <xf numFmtId="0" fontId="3" fillId="20" borderId="18" xfId="0" applyFont="1" applyFill="1" applyBorder="1"/>
    <xf numFmtId="0" fontId="3" fillId="20" borderId="27" xfId="0" applyFont="1" applyFill="1" applyBorder="1" applyAlignment="1">
      <alignment horizontal="center"/>
    </xf>
    <xf numFmtId="1" fontId="3" fillId="25" borderId="12" xfId="0" applyNumberFormat="1" applyFont="1" applyFill="1" applyBorder="1" applyAlignment="1">
      <alignment horizontal="center"/>
    </xf>
    <xf numFmtId="4" fontId="3" fillId="25" borderId="55" xfId="0" applyNumberFormat="1" applyFont="1" applyFill="1" applyBorder="1"/>
    <xf numFmtId="4" fontId="3" fillId="25" borderId="14" xfId="0" applyNumberFormat="1" applyFont="1" applyFill="1" applyBorder="1" applyAlignment="1">
      <alignment horizontal="center"/>
    </xf>
    <xf numFmtId="3" fontId="0" fillId="21" borderId="0" xfId="0" applyNumberFormat="1" applyFill="1"/>
    <xf numFmtId="4" fontId="3" fillId="25" borderId="56" xfId="0" applyNumberFormat="1" applyFont="1" applyFill="1" applyBorder="1"/>
    <xf numFmtId="4" fontId="3" fillId="25" borderId="12" xfId="0" applyNumberFormat="1" applyFont="1" applyFill="1" applyBorder="1" applyAlignment="1">
      <alignment horizontal="center"/>
    </xf>
    <xf numFmtId="0" fontId="3" fillId="25" borderId="56" xfId="0" applyFont="1" applyFill="1" applyBorder="1"/>
    <xf numFmtId="0" fontId="3" fillId="25" borderId="12" xfId="0" applyFont="1" applyFill="1" applyBorder="1" applyAlignment="1">
      <alignment horizontal="center"/>
    </xf>
    <xf numFmtId="1" fontId="3" fillId="25" borderId="59" xfId="0" applyNumberFormat="1" applyFont="1" applyFill="1" applyBorder="1" applyAlignment="1">
      <alignment horizontal="center"/>
    </xf>
    <xf numFmtId="4" fontId="3" fillId="25" borderId="57" xfId="0" applyNumberFormat="1" applyFont="1" applyFill="1" applyBorder="1"/>
    <xf numFmtId="4" fontId="3" fillId="25" borderId="17" xfId="0" applyNumberFormat="1" applyFont="1" applyFill="1" applyBorder="1" applyAlignment="1">
      <alignment horizontal="center"/>
    </xf>
    <xf numFmtId="1" fontId="4" fillId="25" borderId="14" xfId="0" applyNumberFormat="1" applyFont="1" applyFill="1" applyBorder="1" applyAlignment="1">
      <alignment horizontal="center"/>
    </xf>
    <xf numFmtId="0" fontId="4" fillId="25" borderId="55" xfId="0" applyFont="1" applyFill="1" applyBorder="1"/>
    <xf numFmtId="0" fontId="4" fillId="25" borderId="55" xfId="0" applyFont="1" applyFill="1" applyBorder="1" applyAlignment="1">
      <alignment horizontal="center"/>
    </xf>
    <xf numFmtId="0" fontId="33" fillId="17" borderId="0" xfId="0" applyFont="1" applyFill="1"/>
    <xf numFmtId="0" fontId="33" fillId="17" borderId="0" xfId="0" applyFont="1" applyFill="1" applyAlignment="1">
      <alignment vertical="center"/>
    </xf>
    <xf numFmtId="3" fontId="0" fillId="0" borderId="0" xfId="0" applyNumberFormat="1"/>
    <xf numFmtId="9" fontId="7" fillId="19" borderId="0" xfId="43" applyFont="1" applyFill="1" applyBorder="1" applyAlignment="1">
      <alignment horizontal="right" vertical="center" indent="1"/>
    </xf>
    <xf numFmtId="0" fontId="46" fillId="21" borderId="0" xfId="0" applyFont="1" applyFill="1"/>
    <xf numFmtId="0" fontId="7" fillId="21" borderId="0" xfId="0" applyFont="1" applyFill="1" applyAlignment="1">
      <alignment horizontal="center"/>
    </xf>
    <xf numFmtId="0" fontId="46" fillId="21" borderId="0" xfId="0" applyFont="1" applyFill="1" applyAlignment="1">
      <alignment horizontal="center"/>
    </xf>
    <xf numFmtId="3" fontId="7" fillId="21" borderId="0" xfId="0" applyNumberFormat="1" applyFont="1" applyFill="1" applyAlignment="1">
      <alignment horizontal="center" vertical="center"/>
    </xf>
    <xf numFmtId="0" fontId="0" fillId="21" borderId="0" xfId="0" applyFill="1" applyAlignment="1">
      <alignment horizontal="center"/>
    </xf>
    <xf numFmtId="0" fontId="45" fillId="21" borderId="0" xfId="0" applyFont="1" applyFill="1"/>
    <xf numFmtId="0" fontId="45" fillId="21" borderId="0" xfId="0" applyFont="1" applyFill="1" applyAlignment="1">
      <alignment horizontal="center"/>
    </xf>
    <xf numFmtId="3" fontId="13" fillId="27" borderId="0" xfId="0" applyNumberFormat="1" applyFont="1" applyFill="1" applyAlignment="1">
      <alignment horizontal="right" vertical="center" indent="1"/>
    </xf>
    <xf numFmtId="0" fontId="0" fillId="27" borderId="0" xfId="0" applyFill="1"/>
    <xf numFmtId="0" fontId="13" fillId="27" borderId="0" xfId="0" applyFont="1" applyFill="1"/>
    <xf numFmtId="3" fontId="12" fillId="27" borderId="0" xfId="0" applyNumberFormat="1" applyFont="1" applyFill="1" applyAlignment="1">
      <alignment horizontal="right" vertical="center" indent="1"/>
    </xf>
    <xf numFmtId="3" fontId="13" fillId="27" borderId="38" xfId="0" applyNumberFormat="1" applyFont="1" applyFill="1" applyBorder="1" applyAlignment="1">
      <alignment horizontal="right" vertical="center" indent="1"/>
    </xf>
    <xf numFmtId="0" fontId="0" fillId="27" borderId="39" xfId="0" applyFill="1" applyBorder="1"/>
    <xf numFmtId="0" fontId="0" fillId="27" borderId="41" xfId="0" applyFill="1" applyBorder="1"/>
    <xf numFmtId="0" fontId="13" fillId="27" borderId="43" xfId="0" applyFont="1" applyFill="1" applyBorder="1"/>
    <xf numFmtId="0" fontId="0" fillId="27" borderId="44" xfId="0" applyFill="1" applyBorder="1"/>
    <xf numFmtId="3" fontId="13" fillId="27" borderId="43" xfId="0" applyNumberFormat="1" applyFont="1" applyFill="1" applyBorder="1" applyAlignment="1">
      <alignment horizontal="right" vertical="center" indent="1"/>
    </xf>
    <xf numFmtId="3" fontId="12" fillId="27" borderId="43" xfId="0" applyNumberFormat="1" applyFont="1" applyFill="1" applyBorder="1" applyAlignment="1">
      <alignment horizontal="right" vertical="center" indent="1"/>
    </xf>
    <xf numFmtId="3" fontId="13" fillId="27" borderId="18"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0" fontId="0" fillId="27" borderId="18" xfId="0" applyFill="1" applyBorder="1"/>
    <xf numFmtId="3" fontId="13" fillId="27" borderId="0" xfId="0" applyNumberFormat="1" applyFont="1" applyFill="1" applyAlignment="1">
      <alignment horizontal="center"/>
    </xf>
    <xf numFmtId="0" fontId="13" fillId="27" borderId="0" xfId="0" applyFont="1" applyFill="1" applyAlignment="1">
      <alignment horizontal="center"/>
    </xf>
    <xf numFmtId="0" fontId="13" fillId="27" borderId="20" xfId="0" applyFont="1" applyFill="1" applyBorder="1" applyAlignment="1">
      <alignment horizontal="center"/>
    </xf>
    <xf numFmtId="0" fontId="13" fillId="27" borderId="21" xfId="0" applyFont="1" applyFill="1" applyBorder="1"/>
    <xf numFmtId="0" fontId="13" fillId="27" borderId="21" xfId="0" applyFont="1" applyFill="1" applyBorder="1" applyAlignment="1">
      <alignment horizontal="center"/>
    </xf>
    <xf numFmtId="0" fontId="13" fillId="27" borderId="23" xfId="0" applyFont="1" applyFill="1" applyBorder="1"/>
    <xf numFmtId="3" fontId="13" fillId="27" borderId="31" xfId="0" applyNumberFormat="1" applyFont="1" applyFill="1" applyBorder="1" applyAlignment="1">
      <alignment horizontal="right" vertical="center" indent="1"/>
    </xf>
    <xf numFmtId="0" fontId="51" fillId="27" borderId="0" xfId="0" applyFont="1" applyFill="1" applyAlignment="1">
      <alignment vertical="center" wrapText="1"/>
    </xf>
    <xf numFmtId="0" fontId="45" fillId="19" borderId="0" xfId="0" applyFont="1" applyFill="1" applyAlignment="1">
      <alignment vertical="top"/>
    </xf>
    <xf numFmtId="0" fontId="7" fillId="20" borderId="12" xfId="0" applyFont="1" applyFill="1" applyBorder="1"/>
    <xf numFmtId="3" fontId="13" fillId="0" borderId="0" xfId="0" applyNumberFormat="1" applyFont="1"/>
    <xf numFmtId="0" fontId="9" fillId="19" borderId="0" xfId="0" applyFont="1" applyFill="1" applyAlignment="1">
      <alignment horizontal="center" wrapText="1"/>
    </xf>
    <xf numFmtId="0" fontId="13" fillId="19" borderId="0" xfId="0" applyFont="1" applyFill="1" applyAlignment="1">
      <alignment vertical="top" wrapText="1"/>
    </xf>
    <xf numFmtId="0" fontId="12" fillId="19" borderId="0" xfId="0" applyFont="1" applyFill="1" applyAlignment="1">
      <alignment horizontal="left"/>
    </xf>
    <xf numFmtId="3" fontId="42" fillId="24" borderId="0" xfId="0" applyNumberFormat="1" applyFont="1" applyFill="1" applyAlignment="1">
      <alignment horizontal="right" vertical="center" indent="1"/>
    </xf>
    <xf numFmtId="3" fontId="43" fillId="24" borderId="0" xfId="0" applyNumberFormat="1" applyFont="1" applyFill="1" applyAlignment="1">
      <alignment horizontal="right" vertical="center" indent="1"/>
    </xf>
    <xf numFmtId="0" fontId="2" fillId="24" borderId="0" xfId="0" applyFont="1" applyFill="1"/>
    <xf numFmtId="4" fontId="0" fillId="0" borderId="0" xfId="0" applyNumberFormat="1"/>
    <xf numFmtId="0" fontId="47" fillId="0" borderId="0" xfId="0" applyFont="1"/>
    <xf numFmtId="4" fontId="47" fillId="0" borderId="0" xfId="0" applyNumberFormat="1" applyFont="1"/>
    <xf numFmtId="0" fontId="50" fillId="24" borderId="0" xfId="0" applyFont="1" applyFill="1"/>
    <xf numFmtId="0" fontId="7" fillId="19" borderId="12" xfId="0" applyFont="1" applyFill="1" applyBorder="1" applyAlignment="1">
      <alignment vertical="center"/>
    </xf>
    <xf numFmtId="0" fontId="7" fillId="19" borderId="0" xfId="0" applyFont="1" applyFill="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Alignment="1">
      <alignment vertical="center"/>
    </xf>
    <xf numFmtId="0" fontId="7" fillId="19" borderId="0" xfId="0" applyFont="1" applyFill="1" applyAlignment="1">
      <alignment horizontal="left" vertical="center"/>
    </xf>
    <xf numFmtId="0" fontId="9" fillId="19" borderId="0" xfId="0" applyFont="1" applyFill="1" applyAlignment="1">
      <alignment horizontal="right" vertical="center"/>
    </xf>
    <xf numFmtId="0" fontId="9" fillId="19" borderId="0" xfId="0" applyFont="1" applyFill="1" applyAlignment="1">
      <alignment vertical="center"/>
    </xf>
    <xf numFmtId="0" fontId="0" fillId="19" borderId="12" xfId="0" applyFill="1" applyBorder="1" applyAlignment="1">
      <alignment vertical="center"/>
    </xf>
    <xf numFmtId="0" fontId="13" fillId="19" borderId="0" xfId="0" applyFont="1" applyFill="1" applyAlignment="1">
      <alignment vertical="center"/>
    </xf>
    <xf numFmtId="0" fontId="0" fillId="22" borderId="0" xfId="0" applyFill="1" applyAlignment="1">
      <alignment vertical="center"/>
    </xf>
    <xf numFmtId="0" fontId="7" fillId="22" borderId="13" xfId="0" applyFont="1" applyFill="1" applyBorder="1" applyAlignment="1">
      <alignment vertical="center"/>
    </xf>
    <xf numFmtId="0" fontId="12" fillId="19" borderId="0" xfId="0" applyFont="1" applyFill="1" applyAlignment="1">
      <alignment vertical="center"/>
    </xf>
    <xf numFmtId="0" fontId="13" fillId="21" borderId="0" xfId="0" applyFont="1" applyFill="1"/>
    <xf numFmtId="0" fontId="45" fillId="21" borderId="0" xfId="0" applyFont="1" applyFill="1" applyAlignment="1">
      <alignment vertical="center"/>
    </xf>
    <xf numFmtId="0" fontId="0" fillId="27" borderId="13" xfId="0" applyFill="1" applyBorder="1"/>
    <xf numFmtId="0" fontId="41" fillId="24" borderId="18" xfId="0" applyFont="1" applyFill="1" applyBorder="1"/>
    <xf numFmtId="0" fontId="0" fillId="27" borderId="27" xfId="0" applyFill="1" applyBorder="1"/>
    <xf numFmtId="0" fontId="41"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7" fillId="19" borderId="15" xfId="0" applyFont="1" applyFill="1" applyBorder="1" applyAlignment="1">
      <alignment vertical="top"/>
    </xf>
    <xf numFmtId="3" fontId="12" fillId="22" borderId="15" xfId="0" applyNumberFormat="1" applyFont="1" applyFill="1" applyBorder="1" applyAlignment="1">
      <alignment horizontal="right" vertical="center" indent="1"/>
    </xf>
    <xf numFmtId="3" fontId="13" fillId="22" borderId="15" xfId="0" applyNumberFormat="1" applyFont="1" applyFill="1" applyBorder="1" applyAlignment="1">
      <alignment horizontal="right" vertical="center" indent="1"/>
    </xf>
    <xf numFmtId="0" fontId="7" fillId="19" borderId="18" xfId="0" applyFont="1" applyFill="1" applyBorder="1"/>
    <xf numFmtId="3" fontId="13"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3" fillId="22" borderId="18" xfId="0" applyFont="1" applyFill="1" applyBorder="1" applyAlignment="1">
      <alignment vertical="top"/>
    </xf>
    <xf numFmtId="3" fontId="9" fillId="19" borderId="18" xfId="0" applyNumberFormat="1" applyFont="1" applyFill="1" applyBorder="1" applyAlignment="1">
      <alignment horizontal="right" vertical="center" indent="1"/>
    </xf>
    <xf numFmtId="3" fontId="7" fillId="19" borderId="18" xfId="0" applyNumberFormat="1" applyFont="1" applyFill="1" applyBorder="1" applyAlignment="1">
      <alignment horizontal="right" vertical="center" indent="1"/>
    </xf>
    <xf numFmtId="3" fontId="12" fillId="22" borderId="0" xfId="0" applyNumberFormat="1" applyFont="1" applyFill="1" applyAlignment="1">
      <alignment vertical="center"/>
    </xf>
    <xf numFmtId="0" fontId="9" fillId="19" borderId="12" xfId="0" applyFont="1" applyFill="1" applyBorder="1"/>
    <xf numFmtId="0" fontId="4" fillId="20" borderId="16" xfId="0" applyFont="1" applyFill="1" applyBorder="1" applyAlignment="1">
      <alignment horizontal="center" vertical="top" wrapText="1"/>
    </xf>
    <xf numFmtId="0" fontId="0" fillId="0" borderId="0" xfId="0" applyAlignment="1">
      <alignment horizontal="center"/>
    </xf>
    <xf numFmtId="0" fontId="53" fillId="20" borderId="15" xfId="0" applyFont="1" applyFill="1" applyBorder="1" applyProtection="1">
      <protection locked="0"/>
    </xf>
    <xf numFmtId="0" fontId="13" fillId="19" borderId="0" xfId="0" applyFont="1" applyFill="1" applyAlignment="1">
      <alignment horizontal="right" indent="1"/>
    </xf>
    <xf numFmtId="0" fontId="0" fillId="19" borderId="0" xfId="0" applyFill="1" applyAlignment="1">
      <alignment horizontal="right" indent="1"/>
    </xf>
    <xf numFmtId="0" fontId="13" fillId="19" borderId="0" xfId="0" applyFont="1" applyFill="1" applyAlignment="1">
      <alignment horizontal="right" vertical="top" indent="1"/>
    </xf>
    <xf numFmtId="0" fontId="13" fillId="19" borderId="18" xfId="0" applyFont="1" applyFill="1" applyBorder="1" applyAlignment="1">
      <alignment horizontal="right" indent="1"/>
    </xf>
    <xf numFmtId="3" fontId="41" fillId="24" borderId="0" xfId="0" applyNumberFormat="1" applyFont="1" applyFill="1" applyAlignment="1">
      <alignment horizontal="right" indent="1"/>
    </xf>
    <xf numFmtId="0" fontId="7" fillId="20" borderId="67" xfId="0" applyFont="1" applyFill="1" applyBorder="1"/>
    <xf numFmtId="0" fontId="7" fillId="20" borderId="66" xfId="0" applyFont="1" applyFill="1" applyBorder="1"/>
    <xf numFmtId="0" fontId="7" fillId="20" borderId="68" xfId="0" applyFont="1" applyFill="1" applyBorder="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3" fillId="19" borderId="72" xfId="0" applyFont="1" applyFill="1" applyBorder="1" applyAlignment="1">
      <alignment vertical="top"/>
    </xf>
    <xf numFmtId="0" fontId="13" fillId="19" borderId="72" xfId="0" applyFont="1" applyFill="1" applyBorder="1"/>
    <xf numFmtId="3" fontId="7" fillId="19" borderId="72" xfId="0" applyNumberFormat="1" applyFont="1" applyFill="1" applyBorder="1" applyAlignment="1">
      <alignment horizontal="right" vertical="center" indent="1"/>
    </xf>
    <xf numFmtId="0" fontId="0" fillId="27" borderId="72" xfId="0" applyFill="1" applyBorder="1"/>
    <xf numFmtId="0" fontId="0" fillId="19" borderId="73" xfId="0" applyFill="1" applyBorder="1"/>
    <xf numFmtId="0" fontId="0" fillId="27" borderId="68" xfId="0" applyFill="1" applyBorder="1"/>
    <xf numFmtId="3" fontId="9" fillId="19" borderId="0" xfId="0" applyNumberFormat="1" applyFont="1" applyFill="1" applyAlignment="1">
      <alignment horizontal="center" wrapText="1"/>
    </xf>
    <xf numFmtId="0" fontId="13" fillId="19" borderId="0" xfId="0" applyFont="1" applyFill="1" applyAlignment="1" applyProtection="1">
      <alignment vertical="top"/>
      <protection locked="0"/>
    </xf>
    <xf numFmtId="0" fontId="41" fillId="24" borderId="66" xfId="0" applyFont="1" applyFill="1" applyBorder="1" applyProtection="1">
      <protection locked="0"/>
    </xf>
    <xf numFmtId="0" fontId="41" fillId="24" borderId="0" xfId="0" applyFont="1" applyFill="1" applyProtection="1">
      <protection locked="0"/>
    </xf>
    <xf numFmtId="3" fontId="7" fillId="19" borderId="0" xfId="0" applyNumberFormat="1" applyFont="1" applyFill="1" applyAlignment="1">
      <alignment horizontal="center"/>
    </xf>
    <xf numFmtId="3" fontId="7" fillId="19" borderId="0" xfId="0" applyNumberFormat="1" applyFont="1" applyFill="1" applyAlignment="1">
      <alignment horizontal="right"/>
    </xf>
    <xf numFmtId="3" fontId="12" fillId="22" borderId="0" xfId="0" applyNumberFormat="1" applyFont="1" applyFill="1" applyAlignment="1">
      <alignment horizontal="right" vertical="center" indent="1"/>
    </xf>
    <xf numFmtId="3" fontId="12" fillId="19" borderId="0" xfId="0" applyNumberFormat="1" applyFont="1" applyFill="1" applyAlignment="1">
      <alignment horizontal="center" vertical="center"/>
    </xf>
    <xf numFmtId="0" fontId="0" fillId="0" borderId="0" xfId="0" applyAlignment="1">
      <alignment horizontal="center" vertical="center"/>
    </xf>
    <xf numFmtId="0" fontId="9" fillId="19" borderId="0" xfId="0" applyFont="1" applyFill="1" applyAlignment="1">
      <alignment horizontal="center" vertical="center"/>
    </xf>
    <xf numFmtId="3" fontId="13" fillId="17" borderId="0" xfId="0" applyNumberFormat="1" applyFont="1" applyFill="1" applyAlignment="1" applyProtection="1">
      <alignment horizontal="right" vertical="center" indent="1"/>
      <protection locked="0"/>
    </xf>
    <xf numFmtId="0" fontId="14" fillId="27" borderId="0" xfId="0" applyFont="1" applyFill="1" applyAlignment="1">
      <alignment horizontal="center"/>
    </xf>
    <xf numFmtId="3" fontId="13" fillId="17" borderId="19" xfId="0" applyNumberFormat="1" applyFont="1" applyFill="1" applyBorder="1" applyAlignment="1">
      <alignment horizontal="right" vertical="center" indent="1"/>
    </xf>
    <xf numFmtId="0" fontId="13" fillId="17" borderId="20" xfId="0" applyFont="1" applyFill="1" applyBorder="1"/>
    <xf numFmtId="3" fontId="13" fillId="17" borderId="0" xfId="0" applyNumberFormat="1" applyFont="1" applyFill="1" applyAlignment="1">
      <alignment horizontal="center" vertical="center"/>
    </xf>
    <xf numFmtId="0" fontId="13" fillId="17" borderId="21" xfId="0" applyFont="1" applyFill="1" applyBorder="1"/>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3" fillId="19" borderId="0" xfId="0" applyNumberFormat="1" applyFont="1" applyFill="1"/>
    <xf numFmtId="3" fontId="13" fillId="19" borderId="0" xfId="0" applyNumberFormat="1" applyFont="1" applyFill="1" applyAlignment="1">
      <alignment horizontal="right" indent="1"/>
    </xf>
    <xf numFmtId="3" fontId="12" fillId="22" borderId="75" xfId="0" applyNumberFormat="1" applyFont="1" applyFill="1" applyBorder="1" applyAlignment="1">
      <alignment horizontal="right" vertical="center" indent="1"/>
    </xf>
    <xf numFmtId="3" fontId="13" fillId="22" borderId="75" xfId="0" applyNumberFormat="1" applyFont="1" applyFill="1" applyBorder="1" applyAlignment="1">
      <alignment horizontal="right" vertical="center" indent="1"/>
    </xf>
    <xf numFmtId="0" fontId="0" fillId="19" borderId="71" xfId="0" applyFill="1" applyBorder="1"/>
    <xf numFmtId="0" fontId="0" fillId="19" borderId="72" xfId="0" applyFill="1" applyBorder="1"/>
    <xf numFmtId="3" fontId="7" fillId="19" borderId="72" xfId="0" applyNumberFormat="1" applyFont="1" applyFill="1" applyBorder="1" applyAlignment="1">
      <alignment horizontal="center" vertical="center"/>
    </xf>
    <xf numFmtId="0" fontId="7" fillId="19" borderId="73" xfId="0" applyFont="1" applyFill="1" applyBorder="1"/>
    <xf numFmtId="0" fontId="13" fillId="26" borderId="78" xfId="0" applyFont="1" applyFill="1" applyBorder="1"/>
    <xf numFmtId="0" fontId="13" fillId="26" borderId="76" xfId="0" applyFont="1" applyFill="1" applyBorder="1"/>
    <xf numFmtId="0" fontId="0" fillId="26" borderId="76" xfId="0" applyFill="1" applyBorder="1"/>
    <xf numFmtId="3" fontId="7" fillId="26" borderId="76" xfId="0" applyNumberFormat="1" applyFont="1" applyFill="1" applyBorder="1" applyAlignment="1">
      <alignment horizontal="center" vertical="center"/>
    </xf>
    <xf numFmtId="0" fontId="0" fillId="26" borderId="77" xfId="0" applyFill="1" applyBorder="1"/>
    <xf numFmtId="0" fontId="9" fillId="26" borderId="12" xfId="0" applyFont="1" applyFill="1" applyBorder="1"/>
    <xf numFmtId="0" fontId="13" fillId="26" borderId="0" xfId="0" applyFont="1" applyFill="1"/>
    <xf numFmtId="0" fontId="0" fillId="26" borderId="0" xfId="0" applyFill="1"/>
    <xf numFmtId="3" fontId="7" fillId="26" borderId="0" xfId="0" applyNumberFormat="1" applyFont="1" applyFill="1" applyAlignment="1">
      <alignment horizontal="center" vertical="center"/>
    </xf>
    <xf numFmtId="0" fontId="0" fillId="26" borderId="13" xfId="0" applyFill="1" applyBorder="1"/>
    <xf numFmtId="0" fontId="13" fillId="26" borderId="12" xfId="0" applyFont="1" applyFill="1" applyBorder="1"/>
    <xf numFmtId="0" fontId="9" fillId="26" borderId="0" xfId="0" applyFont="1" applyFill="1"/>
    <xf numFmtId="0" fontId="7" fillId="26" borderId="0" xfId="0" applyFont="1" applyFill="1" applyAlignment="1">
      <alignment vertical="center"/>
    </xf>
    <xf numFmtId="0" fontId="0" fillId="26" borderId="0" xfId="0" applyFill="1" applyAlignment="1">
      <alignment vertical="center"/>
    </xf>
    <xf numFmtId="0" fontId="7" fillId="26" borderId="0" xfId="53" applyFont="1" applyFill="1" applyAlignment="1">
      <alignment vertical="center"/>
    </xf>
    <xf numFmtId="0" fontId="13" fillId="26" borderId="17" xfId="0" applyFont="1" applyFill="1" applyBorder="1"/>
    <xf numFmtId="0" fontId="13" fillId="26" borderId="18" xfId="0" applyFont="1" applyFill="1" applyBorder="1"/>
    <xf numFmtId="0" fontId="0" fillId="26" borderId="18" xfId="0" applyFill="1" applyBorder="1"/>
    <xf numFmtId="3" fontId="7" fillId="26" borderId="18" xfId="0" applyNumberFormat="1" applyFont="1" applyFill="1" applyBorder="1" applyAlignment="1">
      <alignment horizontal="center" vertical="center"/>
    </xf>
    <xf numFmtId="0" fontId="0" fillId="26" borderId="27" xfId="0" applyFill="1" applyBorder="1"/>
    <xf numFmtId="0" fontId="4" fillId="20" borderId="0" xfId="0" applyFont="1" applyFill="1" applyAlignment="1">
      <alignment horizontal="center" vertical="top" wrapText="1"/>
    </xf>
    <xf numFmtId="0" fontId="7" fillId="26" borderId="0" xfId="0" applyFont="1" applyFill="1"/>
    <xf numFmtId="0" fontId="17" fillId="21" borderId="0" xfId="25" applyFill="1"/>
    <xf numFmtId="0" fontId="17" fillId="21" borderId="0" xfId="25" applyFill="1" applyBorder="1"/>
    <xf numFmtId="0" fontId="56" fillId="21" borderId="0" xfId="25" applyFont="1" applyFill="1" applyBorder="1"/>
    <xf numFmtId="4" fontId="17" fillId="21" borderId="0" xfId="25" applyNumberFormat="1" applyFill="1"/>
    <xf numFmtId="0" fontId="57" fillId="0" borderId="0" xfId="0" applyFont="1"/>
    <xf numFmtId="0" fontId="58" fillId="21" borderId="0" xfId="25" applyFont="1" applyFill="1"/>
    <xf numFmtId="0" fontId="58" fillId="21" borderId="0" xfId="25" applyFont="1" applyFill="1" applyBorder="1"/>
    <xf numFmtId="0" fontId="58" fillId="21" borderId="0" xfId="25" applyFont="1" applyFill="1" applyBorder="1" applyAlignment="1">
      <alignment horizontal="right"/>
    </xf>
    <xf numFmtId="4" fontId="58" fillId="21" borderId="0" xfId="25" applyNumberFormat="1" applyFont="1" applyFill="1" applyBorder="1"/>
    <xf numFmtId="0" fontId="12" fillId="19" borderId="0" xfId="0" applyFont="1" applyFill="1" applyAlignment="1">
      <alignment horizontal="center" wrapText="1"/>
    </xf>
    <xf numFmtId="0" fontId="0" fillId="27" borderId="43" xfId="0" applyFill="1" applyBorder="1"/>
    <xf numFmtId="3" fontId="13" fillId="19" borderId="72" xfId="0" applyNumberFormat="1" applyFont="1" applyFill="1" applyBorder="1" applyAlignment="1">
      <alignment horizontal="right" vertical="center" indent="1"/>
    </xf>
    <xf numFmtId="3" fontId="41" fillId="24" borderId="0" xfId="0" applyNumberFormat="1" applyFont="1" applyFill="1"/>
    <xf numFmtId="3" fontId="13" fillId="27" borderId="72" xfId="0" applyNumberFormat="1" applyFont="1" applyFill="1" applyBorder="1" applyAlignment="1">
      <alignment horizontal="right" vertical="center" indent="1"/>
    </xf>
    <xf numFmtId="3" fontId="13" fillId="27" borderId="19" xfId="0" applyNumberFormat="1" applyFont="1" applyFill="1" applyBorder="1" applyAlignment="1">
      <alignment horizontal="right" vertical="center" indent="1"/>
    </xf>
    <xf numFmtId="3" fontId="12" fillId="27" borderId="19" xfId="0" applyNumberFormat="1" applyFont="1" applyFill="1" applyBorder="1" applyAlignment="1">
      <alignment horizontal="right" vertical="center" indent="1"/>
    </xf>
    <xf numFmtId="3" fontId="13" fillId="19" borderId="15" xfId="0" applyNumberFormat="1" applyFont="1" applyFill="1" applyBorder="1" applyAlignment="1">
      <alignment horizontal="right" vertical="center" indent="1"/>
    </xf>
    <xf numFmtId="3" fontId="13" fillId="27" borderId="22" xfId="0" applyNumberFormat="1" applyFont="1" applyFill="1" applyBorder="1" applyAlignment="1">
      <alignment horizontal="right" vertical="center" indent="1"/>
    </xf>
    <xf numFmtId="49" fontId="45" fillId="19" borderId="0" xfId="0" applyNumberFormat="1" applyFont="1" applyFill="1" applyAlignment="1">
      <alignment vertical="center"/>
    </xf>
    <xf numFmtId="0" fontId="59" fillId="21" borderId="0" xfId="0" applyFont="1" applyFill="1" applyAlignment="1">
      <alignment horizontal="center"/>
    </xf>
    <xf numFmtId="0" fontId="59" fillId="21" borderId="0" xfId="0" applyFont="1" applyFill="1"/>
    <xf numFmtId="0" fontId="59" fillId="0" borderId="0" xfId="0" applyFont="1"/>
    <xf numFmtId="0" fontId="60" fillId="28" borderId="0" xfId="0" applyFont="1" applyFill="1" applyAlignment="1">
      <alignment horizontal="center"/>
    </xf>
    <xf numFmtId="0" fontId="60" fillId="28" borderId="0" xfId="0" applyFont="1" applyFill="1"/>
    <xf numFmtId="0" fontId="60" fillId="28" borderId="59" xfId="0" applyFont="1" applyFill="1" applyBorder="1"/>
    <xf numFmtId="0" fontId="61" fillId="28" borderId="0" xfId="0" applyFont="1" applyFill="1"/>
    <xf numFmtId="0" fontId="60" fillId="28" borderId="61" xfId="0" applyFont="1" applyFill="1" applyBorder="1"/>
    <xf numFmtId="0" fontId="60" fillId="28" borderId="62" xfId="0" applyFont="1" applyFill="1" applyBorder="1"/>
    <xf numFmtId="0" fontId="60" fillId="28" borderId="60" xfId="0" applyFont="1" applyFill="1" applyBorder="1"/>
    <xf numFmtId="0" fontId="60" fillId="28" borderId="63" xfId="0" applyFont="1" applyFill="1" applyBorder="1"/>
    <xf numFmtId="0" fontId="7" fillId="19" borderId="27" xfId="0" applyFont="1" applyFill="1" applyBorder="1"/>
    <xf numFmtId="0" fontId="45" fillId="19" borderId="0" xfId="0" applyFont="1" applyFill="1"/>
    <xf numFmtId="3" fontId="46" fillId="21" borderId="0" xfId="0" applyNumberFormat="1" applyFont="1" applyFill="1"/>
    <xf numFmtId="3" fontId="46" fillId="0" borderId="0" xfId="0" applyNumberFormat="1" applyFont="1"/>
    <xf numFmtId="0" fontId="57" fillId="21" borderId="0" xfId="0" applyFont="1" applyFill="1"/>
    <xf numFmtId="3" fontId="7" fillId="26" borderId="0" xfId="0" applyNumberFormat="1" applyFont="1" applyFill="1" applyAlignment="1">
      <alignment horizontal="center"/>
    </xf>
    <xf numFmtId="3" fontId="9" fillId="26" borderId="0" xfId="0" applyNumberFormat="1" applyFont="1" applyFill="1" applyAlignment="1">
      <alignment horizontal="center" wrapText="1"/>
    </xf>
    <xf numFmtId="3" fontId="7" fillId="26" borderId="0" xfId="0" applyNumberFormat="1" applyFont="1" applyFill="1" applyAlignment="1">
      <alignment horizontal="right"/>
    </xf>
    <xf numFmtId="0" fontId="8" fillId="20" borderId="0" xfId="0" applyFont="1" applyFill="1" applyAlignment="1">
      <alignment horizontal="center"/>
    </xf>
    <xf numFmtId="0" fontId="4" fillId="20" borderId="18" xfId="0" applyFont="1" applyFill="1" applyBorder="1" applyAlignment="1">
      <alignment horizontal="right"/>
    </xf>
    <xf numFmtId="167" fontId="3" fillId="20" borderId="18" xfId="0" applyNumberFormat="1" applyFont="1" applyFill="1" applyBorder="1" applyAlignment="1">
      <alignment horizontal="left"/>
    </xf>
    <xf numFmtId="167" fontId="4" fillId="20" borderId="18" xfId="0" applyNumberFormat="1" applyFont="1" applyFill="1" applyBorder="1" applyAlignment="1">
      <alignment horizontal="left"/>
    </xf>
    <xf numFmtId="0" fontId="7" fillId="20" borderId="18" xfId="0" applyFont="1" applyFill="1" applyBorder="1" applyAlignment="1">
      <alignment horizontal="right"/>
    </xf>
    <xf numFmtId="0" fontId="7" fillId="22" borderId="0" xfId="0" applyFont="1" applyFill="1" applyAlignment="1">
      <alignment vertical="center"/>
    </xf>
    <xf numFmtId="1" fontId="60" fillId="0" borderId="0" xfId="0" applyNumberFormat="1" applyFont="1"/>
    <xf numFmtId="1" fontId="60" fillId="21" borderId="0" xfId="0" applyNumberFormat="1" applyFont="1" applyFill="1"/>
    <xf numFmtId="1" fontId="60" fillId="21" borderId="0" xfId="0" applyNumberFormat="1" applyFont="1" applyFill="1" applyAlignment="1">
      <alignment vertical="center"/>
    </xf>
    <xf numFmtId="1" fontId="60" fillId="0" borderId="0" xfId="0" applyNumberFormat="1" applyFont="1" applyAlignment="1">
      <alignment vertical="center"/>
    </xf>
    <xf numFmtId="0" fontId="4" fillId="20" borderId="77" xfId="0" applyFont="1" applyFill="1" applyBorder="1" applyAlignment="1">
      <alignment horizontal="center" vertical="top" wrapText="1"/>
    </xf>
    <xf numFmtId="0" fontId="4" fillId="20" borderId="76" xfId="0" applyFont="1" applyFill="1" applyBorder="1" applyAlignment="1">
      <alignment horizontal="center" vertical="top" wrapText="1"/>
    </xf>
    <xf numFmtId="0" fontId="13" fillId="19" borderId="17" xfId="0" applyFont="1" applyFill="1" applyBorder="1"/>
    <xf numFmtId="0" fontId="13" fillId="19" borderId="27" xfId="0" applyFont="1" applyFill="1" applyBorder="1"/>
    <xf numFmtId="0" fontId="3" fillId="19" borderId="16" xfId="0" applyFont="1" applyFill="1" applyBorder="1"/>
    <xf numFmtId="0" fontId="3" fillId="19" borderId="13" xfId="0" applyFont="1" applyFill="1" applyBorder="1"/>
    <xf numFmtId="0" fontId="3" fillId="19" borderId="27" xfId="0" applyFont="1" applyFill="1" applyBorder="1"/>
    <xf numFmtId="0" fontId="9" fillId="19" borderId="72" xfId="0" applyFont="1" applyFill="1" applyBorder="1" applyAlignment="1">
      <alignment vertical="top"/>
    </xf>
    <xf numFmtId="1" fontId="0" fillId="0" borderId="0" xfId="0" applyNumberFormat="1"/>
    <xf numFmtId="0" fontId="4" fillId="0" borderId="0" xfId="0" applyFont="1"/>
    <xf numFmtId="0" fontId="3" fillId="25" borderId="0" xfId="0" applyFont="1" applyFill="1"/>
    <xf numFmtId="0" fontId="4" fillId="29" borderId="81" xfId="0" applyFont="1" applyFill="1" applyBorder="1"/>
    <xf numFmtId="1" fontId="4" fillId="29" borderId="81" xfId="0" applyNumberFormat="1" applyFont="1" applyFill="1" applyBorder="1" applyAlignment="1">
      <alignment horizontal="center" wrapText="1"/>
    </xf>
    <xf numFmtId="0" fontId="4" fillId="20" borderId="81" xfId="0" applyFont="1" applyFill="1" applyBorder="1" applyAlignment="1">
      <alignment horizontal="center"/>
    </xf>
    <xf numFmtId="1" fontId="4" fillId="29" borderId="81"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4" fillId="0" borderId="12" xfId="0" applyFont="1" applyBorder="1"/>
    <xf numFmtId="0" fontId="3" fillId="0" borderId="0" xfId="0" applyFont="1" applyAlignment="1">
      <alignment vertical="center" wrapText="1"/>
    </xf>
    <xf numFmtId="0" fontId="3" fillId="0" borderId="13" xfId="0" applyFont="1" applyBorder="1" applyAlignment="1">
      <alignment vertical="center" wrapText="1"/>
    </xf>
    <xf numFmtId="0" fontId="52" fillId="0" borderId="12" xfId="54" applyBorder="1" applyAlignment="1">
      <alignment vertical="center" wrapText="1"/>
    </xf>
    <xf numFmtId="0" fontId="3" fillId="0" borderId="12" xfId="0" applyFont="1" applyBorder="1" applyAlignment="1">
      <alignment vertical="center" wrapText="1"/>
    </xf>
    <xf numFmtId="1" fontId="0" fillId="21" borderId="0" xfId="0" applyNumberFormat="1" applyFill="1"/>
    <xf numFmtId="0" fontId="4" fillId="21" borderId="0" xfId="0" applyFont="1" applyFill="1"/>
    <xf numFmtId="0" fontId="4" fillId="21" borderId="0" xfId="0" applyFont="1" applyFill="1" applyAlignment="1">
      <alignment wrapText="1"/>
    </xf>
    <xf numFmtId="0" fontId="36" fillId="21" borderId="0" xfId="55" applyFont="1" applyFill="1"/>
    <xf numFmtId="168" fontId="33" fillId="21" borderId="0" xfId="55" applyNumberFormat="1" applyFont="1" applyFill="1"/>
    <xf numFmtId="0" fontId="33" fillId="21" borderId="0" xfId="55" applyFont="1" applyFill="1"/>
    <xf numFmtId="0" fontId="7" fillId="21" borderId="0" xfId="55" applyFont="1" applyFill="1"/>
    <xf numFmtId="0" fontId="0" fillId="21" borderId="0" xfId="55" applyFont="1" applyFill="1"/>
    <xf numFmtId="0" fontId="0" fillId="0" borderId="0" xfId="55" applyFont="1"/>
    <xf numFmtId="0" fontId="0" fillId="19" borderId="12" xfId="55" applyFont="1" applyFill="1" applyBorder="1"/>
    <xf numFmtId="0" fontId="9" fillId="19" borderId="0" xfId="55" applyFont="1" applyFill="1" applyAlignment="1">
      <alignment horizontal="left" vertical="center"/>
    </xf>
    <xf numFmtId="0" fontId="4" fillId="19" borderId="0" xfId="55" applyFont="1" applyFill="1" applyAlignment="1">
      <alignment horizontal="left" vertical="center"/>
    </xf>
    <xf numFmtId="0" fontId="0" fillId="19" borderId="0" xfId="55" applyFont="1" applyFill="1"/>
    <xf numFmtId="3" fontId="64" fillId="19" borderId="0" xfId="55" applyNumberFormat="1" applyFont="1" applyFill="1" applyAlignment="1">
      <alignment horizontal="right" vertical="center"/>
    </xf>
    <xf numFmtId="0" fontId="65" fillId="19" borderId="0" xfId="55" applyFont="1" applyFill="1" applyAlignment="1">
      <alignment horizontal="right" vertical="center"/>
    </xf>
    <xf numFmtId="3" fontId="65" fillId="19" borderId="0" xfId="55" applyNumberFormat="1" applyFont="1" applyFill="1" applyAlignment="1">
      <alignment horizontal="right" vertical="center"/>
    </xf>
    <xf numFmtId="0" fontId="4"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6" fillId="21" borderId="0" xfId="55" applyFont="1" applyFill="1" applyAlignment="1">
      <alignment vertical="center"/>
    </xf>
    <xf numFmtId="0" fontId="32" fillId="19" borderId="0" xfId="55" applyFont="1" applyFill="1" applyAlignment="1">
      <alignment vertical="center"/>
    </xf>
    <xf numFmtId="0" fontId="66" fillId="21" borderId="0" xfId="0" applyFont="1" applyFill="1"/>
    <xf numFmtId="0" fontId="45" fillId="21" borderId="0" xfId="55" applyFont="1" applyFill="1"/>
    <xf numFmtId="0" fontId="67" fillId="19" borderId="0" xfId="55" applyFont="1" applyFill="1" applyAlignment="1">
      <alignment vertical="center"/>
    </xf>
    <xf numFmtId="0" fontId="68" fillId="19" borderId="0" xfId="55" applyFont="1" applyFill="1" applyAlignment="1">
      <alignment horizontal="left" vertical="center"/>
    </xf>
    <xf numFmtId="0" fontId="69" fillId="19" borderId="0" xfId="55" applyFont="1" applyFill="1" applyAlignment="1">
      <alignment horizontal="left" vertical="top" wrapText="1"/>
    </xf>
    <xf numFmtId="0" fontId="69" fillId="19" borderId="58" xfId="55" applyFont="1" applyFill="1" applyBorder="1" applyAlignment="1">
      <alignment horizontal="left" vertical="top" wrapText="1"/>
    </xf>
    <xf numFmtId="0" fontId="0" fillId="19" borderId="0" xfId="55" applyFont="1" applyFill="1" applyAlignment="1">
      <alignment horizontal="left" vertical="center"/>
    </xf>
    <xf numFmtId="0" fontId="69" fillId="19" borderId="59" xfId="55" applyFont="1" applyFill="1" applyBorder="1" applyAlignment="1">
      <alignment horizontal="left" vertical="top" wrapText="1"/>
    </xf>
    <xf numFmtId="0" fontId="33" fillId="19" borderId="61" xfId="55" applyFont="1" applyFill="1" applyBorder="1" applyAlignment="1">
      <alignment vertical="center"/>
    </xf>
    <xf numFmtId="0" fontId="33" fillId="19" borderId="0" xfId="55" applyFont="1" applyFill="1" applyAlignment="1">
      <alignment vertical="center"/>
    </xf>
    <xf numFmtId="0" fontId="0" fillId="19" borderId="61" xfId="55" applyFont="1" applyFill="1" applyBorder="1" applyAlignment="1">
      <alignment horizontal="left" vertical="center"/>
    </xf>
    <xf numFmtId="0" fontId="3" fillId="19" borderId="12" xfId="55" applyFill="1" applyBorder="1"/>
    <xf numFmtId="0" fontId="68" fillId="19" borderId="58" xfId="55" applyFont="1" applyFill="1" applyBorder="1" applyAlignment="1">
      <alignment horizontal="left" vertical="center"/>
    </xf>
    <xf numFmtId="0" fontId="3" fillId="19" borderId="0" xfId="55" applyFill="1"/>
    <xf numFmtId="0" fontId="4" fillId="19" borderId="59" xfId="55" applyFont="1" applyFill="1" applyBorder="1" applyAlignment="1">
      <alignment horizontal="left" vertical="center"/>
    </xf>
    <xf numFmtId="0" fontId="4" fillId="19" borderId="0" xfId="55" quotePrefix="1" applyFont="1" applyFill="1" applyAlignment="1">
      <alignment horizontal="center"/>
    </xf>
    <xf numFmtId="0" fontId="4" fillId="19" borderId="61" xfId="55" quotePrefix="1" applyFont="1" applyFill="1" applyBorder="1" applyAlignment="1">
      <alignment horizontal="center"/>
    </xf>
    <xf numFmtId="0" fontId="36" fillId="19" borderId="0" xfId="55" applyFont="1" applyFill="1" applyAlignment="1">
      <alignment vertical="center"/>
    </xf>
    <xf numFmtId="0" fontId="4" fillId="19" borderId="59" xfId="55" quotePrefix="1" applyFont="1" applyFill="1" applyBorder="1" applyAlignment="1">
      <alignment horizontal="center"/>
    </xf>
    <xf numFmtId="0" fontId="3" fillId="19" borderId="13" xfId="55" applyFill="1" applyBorder="1"/>
    <xf numFmtId="168" fontId="36" fillId="21" borderId="0" xfId="55" applyNumberFormat="1" applyFont="1" applyFill="1"/>
    <xf numFmtId="0" fontId="3" fillId="21" borderId="0" xfId="55" applyFill="1"/>
    <xf numFmtId="0" fontId="3" fillId="0" borderId="0" xfId="55"/>
    <xf numFmtId="0" fontId="4" fillId="19" borderId="58" xfId="55" applyFont="1" applyFill="1" applyBorder="1" applyAlignment="1">
      <alignment horizontal="left" vertical="center"/>
    </xf>
    <xf numFmtId="0" fontId="9" fillId="19" borderId="58" xfId="55" applyFont="1" applyFill="1" applyBorder="1" applyAlignment="1">
      <alignment horizontal="center" vertical="center"/>
    </xf>
    <xf numFmtId="0" fontId="4" fillId="19" borderId="0" xfId="55" applyFont="1" applyFill="1" applyAlignment="1">
      <alignment horizontal="center" vertical="center"/>
    </xf>
    <xf numFmtId="0" fontId="70" fillId="19" borderId="0" xfId="55" quotePrefix="1" applyFont="1" applyFill="1" applyAlignment="1">
      <alignment horizontal="center" vertical="center"/>
    </xf>
    <xf numFmtId="0" fontId="9" fillId="19" borderId="61" xfId="55" quotePrefix="1" applyFont="1" applyFill="1" applyBorder="1" applyAlignment="1">
      <alignment horizontal="center" vertical="center" wrapText="1"/>
    </xf>
    <xf numFmtId="0" fontId="9" fillId="19" borderId="0" xfId="55" applyFont="1" applyFill="1" applyAlignment="1">
      <alignment horizontal="center" vertical="center"/>
    </xf>
    <xf numFmtId="0" fontId="9" fillId="19" borderId="0" xfId="55" quotePrefix="1" applyFont="1" applyFill="1" applyAlignment="1">
      <alignment horizontal="center" vertical="center"/>
    </xf>
    <xf numFmtId="0" fontId="9" fillId="19" borderId="59" xfId="55" applyFont="1" applyFill="1" applyBorder="1" applyAlignment="1">
      <alignment horizontal="center" vertical="center"/>
    </xf>
    <xf numFmtId="0" fontId="9" fillId="19" borderId="61" xfId="55" quotePrefix="1" applyFont="1" applyFill="1" applyBorder="1" applyAlignment="1">
      <alignment horizontal="center" vertical="center"/>
    </xf>
    <xf numFmtId="0" fontId="9" fillId="19" borderId="59" xfId="55" quotePrefix="1" applyFont="1" applyFill="1" applyBorder="1" applyAlignment="1">
      <alignment horizontal="center" vertical="center"/>
    </xf>
    <xf numFmtId="0" fontId="9" fillId="19" borderId="62" xfId="55" applyFont="1" applyFill="1" applyBorder="1" applyAlignment="1">
      <alignment horizontal="center" vertical="center" wrapText="1"/>
    </xf>
    <xf numFmtId="0" fontId="9" fillId="19" borderId="60" xfId="55" applyFont="1" applyFill="1" applyBorder="1" applyAlignment="1">
      <alignment horizontal="center" vertical="center" wrapText="1"/>
    </xf>
    <xf numFmtId="0" fontId="0" fillId="19" borderId="60" xfId="55" applyFont="1" applyFill="1" applyBorder="1" applyAlignment="1">
      <alignment horizontal="center" vertical="center"/>
    </xf>
    <xf numFmtId="0" fontId="9" fillId="19" borderId="63" xfId="55" applyFont="1" applyFill="1" applyBorder="1" applyAlignment="1">
      <alignment horizontal="center" vertical="center" wrapText="1"/>
    </xf>
    <xf numFmtId="0" fontId="9" fillId="19" borderId="62" xfId="55" applyFont="1" applyFill="1" applyBorder="1" applyAlignment="1">
      <alignment horizontal="left" vertical="center" wrapText="1"/>
    </xf>
    <xf numFmtId="0" fontId="4" fillId="19" borderId="60" xfId="55" applyFont="1" applyFill="1" applyBorder="1" applyAlignment="1">
      <alignment horizontal="left" vertical="center"/>
    </xf>
    <xf numFmtId="0" fontId="49" fillId="19" borderId="0" xfId="55" applyFont="1" applyFill="1" applyAlignment="1">
      <alignment horizontal="center" vertical="center" wrapText="1"/>
    </xf>
    <xf numFmtId="0" fontId="49" fillId="19" borderId="0" xfId="55" applyFont="1" applyFill="1" applyAlignment="1">
      <alignment horizontal="left" vertical="center"/>
    </xf>
    <xf numFmtId="0" fontId="63" fillId="19" borderId="0" xfId="55" applyFont="1" applyFill="1"/>
    <xf numFmtId="0" fontId="49" fillId="19" borderId="0" xfId="55" applyFont="1" applyFill="1" applyAlignment="1">
      <alignment horizontal="center" vertical="center"/>
    </xf>
    <xf numFmtId="0" fontId="49" fillId="19" borderId="0" xfId="55" applyFont="1" applyFill="1" applyAlignment="1">
      <alignment horizontal="center"/>
    </xf>
    <xf numFmtId="0" fontId="72" fillId="19" borderId="12" xfId="55" applyFont="1" applyFill="1" applyBorder="1" applyAlignment="1">
      <alignment vertical="center"/>
    </xf>
    <xf numFmtId="0" fontId="32" fillId="19" borderId="0" xfId="55" applyFont="1" applyFill="1" applyAlignment="1">
      <alignment horizontal="left" vertical="center"/>
    </xf>
    <xf numFmtId="0" fontId="32" fillId="19" borderId="13" xfId="55" applyFont="1" applyFill="1" applyBorder="1" applyAlignment="1">
      <alignment horizontal="left" vertical="center" wrapText="1"/>
    </xf>
    <xf numFmtId="0" fontId="73" fillId="21" borderId="0" xfId="55" applyFont="1" applyFill="1" applyAlignment="1">
      <alignment vertical="center"/>
    </xf>
    <xf numFmtId="168" fontId="73" fillId="21" borderId="0" xfId="56" applyNumberFormat="1" applyFont="1" applyFill="1" applyAlignment="1">
      <alignment horizontal="right" vertical="center"/>
    </xf>
    <xf numFmtId="43" fontId="73" fillId="21" borderId="0" xfId="55" applyNumberFormat="1" applyFont="1" applyFill="1" applyAlignment="1">
      <alignment vertical="center"/>
    </xf>
    <xf numFmtId="0" fontId="71" fillId="21" borderId="0" xfId="55" applyFont="1" applyFill="1" applyAlignment="1">
      <alignment vertical="center"/>
    </xf>
    <xf numFmtId="0" fontId="71" fillId="0" borderId="0" xfId="55" applyFont="1" applyAlignment="1">
      <alignment vertical="center"/>
    </xf>
    <xf numFmtId="0" fontId="68" fillId="19" borderId="17" xfId="55" applyFont="1" applyFill="1" applyBorder="1" applyAlignment="1">
      <alignment horizontal="left" vertical="center"/>
    </xf>
    <xf numFmtId="0" fontId="68" fillId="19" borderId="18" xfId="55" applyFont="1" applyFill="1" applyBorder="1" applyAlignment="1">
      <alignment horizontal="left" vertical="center"/>
    </xf>
    <xf numFmtId="0" fontId="32" fillId="19" borderId="27" xfId="55" applyFont="1" applyFill="1" applyBorder="1" applyAlignment="1">
      <alignment horizontal="left" vertical="center" wrapText="1"/>
    </xf>
    <xf numFmtId="0" fontId="32" fillId="19" borderId="0" xfId="55" applyFont="1" applyFill="1" applyAlignment="1">
      <alignment horizontal="left" vertical="center" wrapText="1"/>
    </xf>
    <xf numFmtId="0" fontId="74" fillId="17" borderId="0" xfId="55" applyFont="1" applyFill="1"/>
    <xf numFmtId="0" fontId="7" fillId="17" borderId="0" xfId="55" applyFont="1" applyFill="1"/>
    <xf numFmtId="4" fontId="3" fillId="17" borderId="0" xfId="57" applyNumberFormat="1" applyFill="1" applyAlignment="1">
      <alignment wrapText="1"/>
    </xf>
    <xf numFmtId="0" fontId="0" fillId="17" borderId="0" xfId="55" applyFont="1" applyFill="1"/>
    <xf numFmtId="0" fontId="4" fillId="19" borderId="0" xfId="55" applyFont="1" applyFill="1" applyAlignment="1">
      <alignment horizontal="center" vertical="center" wrapText="1"/>
    </xf>
    <xf numFmtId="0" fontId="9" fillId="19" borderId="63" xfId="55" applyFont="1" applyFill="1" applyBorder="1" applyAlignment="1">
      <alignment horizontal="left" vertical="center" wrapText="1"/>
    </xf>
    <xf numFmtId="0" fontId="49" fillId="19" borderId="89" xfId="55" applyFont="1" applyFill="1" applyBorder="1" applyAlignment="1">
      <alignment horizontal="center" vertical="center" wrapText="1"/>
    </xf>
    <xf numFmtId="3" fontId="49" fillId="17" borderId="90" xfId="55" applyNumberFormat="1" applyFont="1" applyFill="1" applyBorder="1" applyAlignment="1" applyProtection="1">
      <alignment horizontal="left" vertical="center" indent="1"/>
      <protection locked="0"/>
    </xf>
    <xf numFmtId="0" fontId="4" fillId="0" borderId="0" xfId="0" applyFont="1" applyAlignment="1">
      <alignment wrapText="1"/>
    </xf>
    <xf numFmtId="0" fontId="9" fillId="19" borderId="0" xfId="55" applyFont="1" applyFill="1" applyAlignment="1">
      <alignment horizontal="left" vertical="center" wrapText="1"/>
    </xf>
    <xf numFmtId="0" fontId="9" fillId="19" borderId="80" xfId="55" applyFont="1" applyFill="1" applyBorder="1" applyAlignment="1">
      <alignment horizontal="center" vertical="center"/>
    </xf>
    <xf numFmtId="3" fontId="9" fillId="17" borderId="85" xfId="55" applyNumberFormat="1" applyFont="1" applyFill="1" applyBorder="1" applyAlignment="1">
      <alignment horizontal="right" vertical="center" indent="1"/>
    </xf>
    <xf numFmtId="0" fontId="78" fillId="19" borderId="0" xfId="55" applyFont="1" applyFill="1" applyAlignment="1">
      <alignment horizontal="left" vertical="center"/>
    </xf>
    <xf numFmtId="0" fontId="7" fillId="19" borderId="0" xfId="55" applyFont="1" applyFill="1" applyAlignment="1">
      <alignment horizontal="right" vertical="center" indent="1"/>
    </xf>
    <xf numFmtId="3" fontId="9" fillId="17" borderId="86" xfId="55" applyNumberFormat="1" applyFont="1" applyFill="1" applyBorder="1" applyAlignment="1">
      <alignment horizontal="right" vertical="center" indent="1"/>
    </xf>
    <xf numFmtId="3" fontId="9" fillId="17" borderId="87" xfId="55" applyNumberFormat="1" applyFont="1" applyFill="1" applyBorder="1" applyAlignment="1">
      <alignment horizontal="right" vertical="center" indent="1"/>
    </xf>
    <xf numFmtId="0" fontId="9" fillId="19" borderId="0" xfId="55" applyFont="1" applyFill="1" applyAlignment="1">
      <alignment horizontal="right" vertical="center" indent="1"/>
    </xf>
    <xf numFmtId="3" fontId="9" fillId="17" borderId="88" xfId="55" applyNumberFormat="1" applyFont="1" applyFill="1" applyBorder="1" applyAlignment="1">
      <alignment horizontal="right" vertical="center" indent="1"/>
    </xf>
    <xf numFmtId="3" fontId="49" fillId="17" borderId="90" xfId="55" applyNumberFormat="1" applyFont="1" applyFill="1" applyBorder="1" applyAlignment="1" applyProtection="1">
      <alignment vertical="center"/>
      <protection locked="0"/>
    </xf>
    <xf numFmtId="3" fontId="75" fillId="19" borderId="0" xfId="55" applyNumberFormat="1" applyFont="1" applyFill="1" applyAlignment="1">
      <alignment horizontal="left" vertical="center"/>
    </xf>
    <xf numFmtId="3" fontId="63" fillId="19" borderId="0" xfId="55" applyNumberFormat="1" applyFont="1" applyFill="1" applyAlignment="1">
      <alignment horizontal="right" vertical="center" indent="1"/>
    </xf>
    <xf numFmtId="3" fontId="49" fillId="19" borderId="0" xfId="55" applyNumberFormat="1" applyFont="1" applyFill="1" applyAlignment="1">
      <alignment horizontal="right" vertical="center" indent="1"/>
    </xf>
    <xf numFmtId="0" fontId="3" fillId="0" borderId="0" xfId="0" applyFont="1" applyAlignment="1">
      <alignment horizontal="left" vertical="center" wrapText="1"/>
    </xf>
    <xf numFmtId="0" fontId="51" fillId="19" borderId="0" xfId="0" applyFont="1" applyFill="1" applyAlignment="1">
      <alignment horizontal="center" vertical="center" wrapText="1"/>
    </xf>
    <xf numFmtId="0" fontId="7" fillId="19" borderId="0" xfId="0" applyFont="1" applyFill="1" applyAlignment="1">
      <alignment horizontal="left" vertical="top" wrapText="1"/>
    </xf>
    <xf numFmtId="3" fontId="7" fillId="27"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7" fillId="27" borderId="0" xfId="0" applyFont="1" applyFill="1"/>
    <xf numFmtId="0" fontId="7" fillId="21" borderId="95" xfId="0" applyFont="1" applyFill="1" applyBorder="1" applyAlignment="1">
      <alignment vertical="top"/>
    </xf>
    <xf numFmtId="0" fontId="7" fillId="21" borderId="96" xfId="0" applyFont="1" applyFill="1" applyBorder="1" applyAlignment="1">
      <alignment vertical="top"/>
    </xf>
    <xf numFmtId="3" fontId="7" fillId="21" borderId="96" xfId="0" applyNumberFormat="1" applyFont="1" applyFill="1" applyBorder="1" applyAlignment="1">
      <alignment horizontal="right" vertical="center" indent="1"/>
    </xf>
    <xf numFmtId="0" fontId="51" fillId="21" borderId="96" xfId="0" applyFont="1" applyFill="1" applyBorder="1" applyAlignment="1">
      <alignment horizontal="center" vertical="center" wrapText="1"/>
    </xf>
    <xf numFmtId="49" fontId="45" fillId="21" borderId="96" xfId="0" applyNumberFormat="1" applyFont="1" applyFill="1" applyBorder="1" applyAlignment="1">
      <alignment vertical="center"/>
    </xf>
    <xf numFmtId="3" fontId="7" fillId="27" borderId="96" xfId="0" applyNumberFormat="1" applyFont="1" applyFill="1" applyBorder="1" applyAlignment="1">
      <alignment horizontal="right" vertical="center" indent="1"/>
    </xf>
    <xf numFmtId="3" fontId="9" fillId="27" borderId="96" xfId="0" applyNumberFormat="1" applyFont="1" applyFill="1" applyBorder="1" applyAlignment="1">
      <alignment horizontal="right" vertical="center" indent="1"/>
    </xf>
    <xf numFmtId="0" fontId="7" fillId="27" borderId="97" xfId="0" applyFont="1" applyFill="1" applyBorder="1"/>
    <xf numFmtId="0" fontId="9" fillId="21" borderId="98" xfId="0" applyFont="1" applyFill="1" applyBorder="1" applyAlignment="1">
      <alignment vertical="top"/>
    </xf>
    <xf numFmtId="0" fontId="7" fillId="21" borderId="0" xfId="0" applyFont="1" applyFill="1" applyAlignment="1">
      <alignment vertical="top"/>
    </xf>
    <xf numFmtId="3" fontId="7" fillId="21" borderId="0" xfId="0" applyNumberFormat="1" applyFont="1" applyFill="1" applyAlignment="1">
      <alignment horizontal="right" vertical="center" indent="1"/>
    </xf>
    <xf numFmtId="0" fontId="51" fillId="21" borderId="0" xfId="0" applyFont="1" applyFill="1" applyAlignment="1">
      <alignment horizontal="center" vertical="center" wrapText="1"/>
    </xf>
    <xf numFmtId="49" fontId="45" fillId="21" borderId="0" xfId="0" applyNumberFormat="1" applyFont="1" applyFill="1" applyAlignment="1">
      <alignment vertical="center"/>
    </xf>
    <xf numFmtId="0" fontId="7" fillId="27" borderId="99" xfId="0" applyFont="1" applyFill="1" applyBorder="1"/>
    <xf numFmtId="0" fontId="7" fillId="21" borderId="98" xfId="0" applyFont="1" applyFill="1" applyBorder="1" applyAlignment="1">
      <alignment vertical="top"/>
    </xf>
    <xf numFmtId="3" fontId="7" fillId="27" borderId="99" xfId="0" applyNumberFormat="1" applyFont="1" applyFill="1" applyBorder="1" applyAlignment="1">
      <alignment horizontal="right" vertical="center" indent="1"/>
    </xf>
    <xf numFmtId="0" fontId="7" fillId="21" borderId="100" xfId="0" applyFont="1" applyFill="1" applyBorder="1" applyAlignment="1">
      <alignment vertical="top"/>
    </xf>
    <xf numFmtId="0" fontId="7" fillId="21" borderId="101" xfId="0" applyFont="1" applyFill="1" applyBorder="1" applyAlignment="1">
      <alignment vertical="top"/>
    </xf>
    <xf numFmtId="3" fontId="7" fillId="21" borderId="101" xfId="0" applyNumberFormat="1" applyFont="1" applyFill="1" applyBorder="1" applyAlignment="1">
      <alignment horizontal="right" vertical="center" indent="1"/>
    </xf>
    <xf numFmtId="0" fontId="51" fillId="21" borderId="101" xfId="0" applyFont="1" applyFill="1" applyBorder="1" applyAlignment="1">
      <alignment horizontal="center" vertical="center" wrapText="1"/>
    </xf>
    <xf numFmtId="49" fontId="45" fillId="21" borderId="101" xfId="0" applyNumberFormat="1" applyFont="1" applyFill="1" applyBorder="1" applyAlignment="1">
      <alignment vertical="center"/>
    </xf>
    <xf numFmtId="3" fontId="7" fillId="27" borderId="101" xfId="0" applyNumberFormat="1" applyFont="1" applyFill="1" applyBorder="1" applyAlignment="1">
      <alignment horizontal="right" vertical="center" indent="1"/>
    </xf>
    <xf numFmtId="3" fontId="7" fillId="27" borderId="102" xfId="0" applyNumberFormat="1" applyFont="1" applyFill="1" applyBorder="1" applyAlignment="1">
      <alignment horizontal="right" vertical="center" indent="1"/>
    </xf>
    <xf numFmtId="0" fontId="7" fillId="19" borderId="0" xfId="0" applyFont="1" applyFill="1" applyAlignment="1">
      <alignment horizontal="right" vertical="center" indent="1"/>
    </xf>
    <xf numFmtId="0" fontId="79" fillId="21" borderId="59" xfId="0" quotePrefix="1" applyFont="1" applyFill="1" applyBorder="1" applyAlignment="1">
      <alignment horizontal="left" vertical="center"/>
    </xf>
    <xf numFmtId="3" fontId="45" fillId="27" borderId="0" xfId="0" applyNumberFormat="1" applyFont="1" applyFill="1" applyAlignment="1">
      <alignment horizontal="right"/>
    </xf>
    <xf numFmtId="3" fontId="7" fillId="27" borderId="0" xfId="0" applyNumberFormat="1" applyFont="1" applyFill="1" applyAlignment="1">
      <alignment horizontal="right" indent="1"/>
    </xf>
    <xf numFmtId="0" fontId="7" fillId="19" borderId="38" xfId="0" applyFont="1" applyFill="1" applyBorder="1"/>
    <xf numFmtId="0" fontId="7" fillId="27" borderId="38" xfId="0" applyFont="1" applyFill="1" applyBorder="1"/>
    <xf numFmtId="0" fontId="7" fillId="19" borderId="43" xfId="0" applyFont="1" applyFill="1" applyBorder="1"/>
    <xf numFmtId="0" fontId="7" fillId="27" borderId="43" xfId="0" applyFont="1" applyFill="1" applyBorder="1"/>
    <xf numFmtId="3" fontId="7" fillId="27" borderId="38" xfId="0" applyNumberFormat="1" applyFont="1" applyFill="1" applyBorder="1" applyAlignment="1">
      <alignment horizontal="right" vertical="center" indent="1"/>
    </xf>
    <xf numFmtId="3" fontId="9" fillId="27" borderId="38" xfId="0" applyNumberFormat="1" applyFont="1" applyFill="1" applyBorder="1" applyAlignment="1">
      <alignment horizontal="right" vertical="center" indent="1"/>
    </xf>
    <xf numFmtId="0" fontId="0" fillId="22" borderId="0" xfId="0" applyFill="1"/>
    <xf numFmtId="0" fontId="82" fillId="22" borderId="0" xfId="0" applyFont="1" applyFill="1" applyAlignment="1">
      <alignment vertical="top"/>
    </xf>
    <xf numFmtId="0" fontId="7" fillId="19" borderId="0" xfId="0" applyFont="1" applyFill="1" applyAlignment="1">
      <alignment horizontal="right" indent="1"/>
    </xf>
    <xf numFmtId="0" fontId="7" fillId="22" borderId="0" xfId="0" applyFont="1" applyFill="1"/>
    <xf numFmtId="0" fontId="7" fillId="21" borderId="103" xfId="0" applyFont="1" applyFill="1" applyBorder="1" applyAlignment="1">
      <alignment vertical="top"/>
    </xf>
    <xf numFmtId="0" fontId="7" fillId="21" borderId="104" xfId="0" applyFont="1" applyFill="1" applyBorder="1" applyAlignment="1">
      <alignment vertical="top"/>
    </xf>
    <xf numFmtId="0" fontId="7" fillId="21" borderId="104" xfId="0" applyFont="1" applyFill="1" applyBorder="1"/>
    <xf numFmtId="0" fontId="40" fillId="21" borderId="104" xfId="0" applyFont="1" applyFill="1" applyBorder="1" applyAlignment="1">
      <alignment horizontal="center"/>
    </xf>
    <xf numFmtId="0" fontId="7" fillId="21" borderId="104" xfId="0" applyFont="1" applyFill="1" applyBorder="1" applyAlignment="1">
      <alignment horizontal="right"/>
    </xf>
    <xf numFmtId="0" fontId="7" fillId="21" borderId="105" xfId="0" applyFont="1" applyFill="1" applyBorder="1"/>
    <xf numFmtId="0" fontId="9" fillId="21" borderId="106" xfId="0" applyFont="1" applyFill="1" applyBorder="1" applyAlignment="1">
      <alignment vertical="top"/>
    </xf>
    <xf numFmtId="0" fontId="40" fillId="21" borderId="0" xfId="0" applyFont="1" applyFill="1" applyAlignment="1">
      <alignment horizontal="center"/>
    </xf>
    <xf numFmtId="0" fontId="7" fillId="21" borderId="0" xfId="0" applyFont="1" applyFill="1" applyAlignment="1">
      <alignment horizontal="right"/>
    </xf>
    <xf numFmtId="0" fontId="7" fillId="31" borderId="0" xfId="0" applyFont="1" applyFill="1"/>
    <xf numFmtId="0" fontId="7" fillId="21" borderId="107" xfId="0" applyFont="1" applyFill="1" applyBorder="1"/>
    <xf numFmtId="0" fontId="7" fillId="21" borderId="106" xfId="0" applyFont="1" applyFill="1" applyBorder="1" applyAlignment="1">
      <alignment vertical="top"/>
    </xf>
    <xf numFmtId="0" fontId="7" fillId="21" borderId="108" xfId="0" applyFont="1" applyFill="1" applyBorder="1"/>
    <xf numFmtId="0" fontId="7" fillId="21" borderId="109" xfId="0" applyFont="1" applyFill="1" applyBorder="1" applyAlignment="1">
      <alignment vertical="top"/>
    </xf>
    <xf numFmtId="0" fontId="7" fillId="21" borderId="110" xfId="0" applyFont="1" applyFill="1" applyBorder="1" applyAlignment="1">
      <alignment vertical="top"/>
    </xf>
    <xf numFmtId="0" fontId="7" fillId="21" borderId="110" xfId="0" applyFont="1" applyFill="1" applyBorder="1"/>
    <xf numFmtId="0" fontId="40" fillId="21" borderId="110" xfId="0" applyFont="1" applyFill="1" applyBorder="1" applyAlignment="1">
      <alignment horizontal="center"/>
    </xf>
    <xf numFmtId="0" fontId="7" fillId="21" borderId="110" xfId="0" applyFont="1" applyFill="1" applyBorder="1" applyAlignment="1">
      <alignment horizontal="right"/>
    </xf>
    <xf numFmtId="0" fontId="7" fillId="21" borderId="111" xfId="0" applyFont="1" applyFill="1" applyBorder="1"/>
    <xf numFmtId="169" fontId="7" fillId="21" borderId="0" xfId="0" applyNumberFormat="1" applyFont="1" applyFill="1" applyAlignment="1">
      <alignment vertical="center"/>
    </xf>
    <xf numFmtId="169" fontId="7" fillId="0" borderId="0" xfId="0" applyNumberFormat="1" applyFont="1" applyAlignment="1">
      <alignment vertical="center"/>
    </xf>
    <xf numFmtId="3" fontId="7" fillId="19" borderId="0" xfId="0" applyNumberFormat="1" applyFont="1" applyFill="1"/>
    <xf numFmtId="0" fontId="60" fillId="0" borderId="0" xfId="0" applyFont="1"/>
    <xf numFmtId="0" fontId="60" fillId="0" borderId="0" xfId="0" applyFont="1" applyAlignment="1">
      <alignment vertical="center"/>
    </xf>
    <xf numFmtId="0" fontId="60" fillId="21" borderId="0" xfId="0" applyFont="1" applyFill="1" applyAlignment="1">
      <alignment vertical="center"/>
    </xf>
    <xf numFmtId="169" fontId="60" fillId="21" borderId="0" xfId="0" applyNumberFormat="1" applyFont="1" applyFill="1" applyAlignment="1">
      <alignment vertical="center"/>
    </xf>
    <xf numFmtId="0" fontId="79" fillId="0" borderId="0" xfId="0" applyFont="1"/>
    <xf numFmtId="0" fontId="79" fillId="21" borderId="0" xfId="0" applyFont="1" applyFill="1"/>
    <xf numFmtId="3" fontId="40" fillId="19" borderId="0" xfId="0" applyNumberFormat="1" applyFont="1" applyFill="1" applyAlignment="1">
      <alignment horizontal="left" vertical="center"/>
    </xf>
    <xf numFmtId="0" fontId="40" fillId="22" borderId="0" xfId="0" applyFont="1" applyFill="1" applyAlignment="1">
      <alignment horizontal="left" vertical="center"/>
    </xf>
    <xf numFmtId="3" fontId="12" fillId="27" borderId="0" xfId="0" applyNumberFormat="1" applyFont="1" applyFill="1" applyAlignment="1" applyProtection="1">
      <alignment horizontal="right" vertical="center" indent="1"/>
      <protection locked="0"/>
    </xf>
    <xf numFmtId="3" fontId="13" fillId="27" borderId="0" xfId="0" applyNumberFormat="1" applyFont="1" applyFill="1" applyAlignment="1" applyProtection="1">
      <alignment horizontal="right" vertical="center" indent="1"/>
      <protection locked="0"/>
    </xf>
    <xf numFmtId="3" fontId="12" fillId="22" borderId="0" xfId="0" applyNumberFormat="1" applyFont="1" applyFill="1" applyAlignment="1" applyProtection="1">
      <alignment horizontal="right" vertical="center" indent="1"/>
      <protection locked="0"/>
    </xf>
    <xf numFmtId="3" fontId="13" fillId="22" borderId="0" xfId="0" applyNumberFormat="1" applyFont="1" applyFill="1" applyAlignment="1" applyProtection="1">
      <alignment horizontal="right" vertical="center" indent="1"/>
      <protection locked="0"/>
    </xf>
    <xf numFmtId="0" fontId="4" fillId="22" borderId="0" xfId="55" applyFont="1" applyFill="1" applyAlignment="1">
      <alignment horizontal="left" vertical="center"/>
    </xf>
    <xf numFmtId="3" fontId="65" fillId="22" borderId="0" xfId="55" applyNumberFormat="1" applyFont="1" applyFill="1" applyAlignment="1">
      <alignment horizontal="right" vertical="center"/>
    </xf>
    <xf numFmtId="0" fontId="69" fillId="22" borderId="0" xfId="55" applyFont="1" applyFill="1" applyAlignment="1">
      <alignment horizontal="left" vertical="top" wrapText="1"/>
    </xf>
    <xf numFmtId="3" fontId="9" fillId="22" borderId="0" xfId="55" applyNumberFormat="1" applyFont="1" applyFill="1" applyAlignment="1">
      <alignment horizontal="right" vertical="center" indent="1"/>
    </xf>
    <xf numFmtId="0" fontId="9" fillId="22" borderId="0" xfId="55" applyFont="1" applyFill="1" applyAlignment="1">
      <alignment horizontal="center" vertical="center"/>
    </xf>
    <xf numFmtId="0" fontId="9" fillId="22" borderId="60" xfId="55" applyFont="1" applyFill="1" applyBorder="1" applyAlignment="1">
      <alignment horizontal="center" vertical="center" wrapText="1"/>
    </xf>
    <xf numFmtId="0" fontId="49" fillId="22" borderId="0" xfId="55" applyFont="1" applyFill="1" applyAlignment="1">
      <alignment horizontal="center" vertical="center" wrapText="1"/>
    </xf>
    <xf numFmtId="3" fontId="49" fillId="22" borderId="0" xfId="55" applyNumberFormat="1" applyFont="1" applyFill="1" applyAlignment="1" applyProtection="1">
      <alignment vertical="center"/>
      <protection locked="0"/>
    </xf>
    <xf numFmtId="0" fontId="68" fillId="22" borderId="18" xfId="55" applyFont="1" applyFill="1" applyBorder="1" applyAlignment="1">
      <alignment horizontal="left" vertical="center"/>
    </xf>
    <xf numFmtId="0" fontId="68" fillId="22" borderId="0" xfId="55" applyFont="1" applyFill="1" applyAlignment="1">
      <alignment horizontal="left" vertical="center"/>
    </xf>
    <xf numFmtId="0" fontId="7" fillId="31" borderId="0" xfId="55" applyFont="1" applyFill="1"/>
    <xf numFmtId="0" fontId="0" fillId="31" borderId="0" xfId="55" applyFont="1" applyFill="1"/>
    <xf numFmtId="3" fontId="9" fillId="22" borderId="0" xfId="0" applyNumberFormat="1" applyFont="1" applyFill="1" applyAlignment="1" applyProtection="1">
      <alignment horizontal="right" vertical="center" indent="1"/>
      <protection locked="0"/>
    </xf>
    <xf numFmtId="0" fontId="79" fillId="21" borderId="0" xfId="0" quotePrefix="1" applyFont="1" applyFill="1" applyAlignment="1">
      <alignment horizontal="left" vertical="center"/>
    </xf>
    <xf numFmtId="0" fontId="7" fillId="32" borderId="0" xfId="0" applyFont="1" applyFill="1" applyAlignment="1">
      <alignment vertical="top"/>
    </xf>
    <xf numFmtId="0" fontId="13" fillId="32" borderId="0" xfId="0" applyFont="1" applyFill="1" applyAlignment="1">
      <alignment vertical="top"/>
    </xf>
    <xf numFmtId="0" fontId="13" fillId="32" borderId="0" xfId="0" applyFont="1" applyFill="1"/>
    <xf numFmtId="0" fontId="0" fillId="32" borderId="0" xfId="0" applyFill="1"/>
    <xf numFmtId="0" fontId="42" fillId="19" borderId="0" xfId="0" applyFont="1" applyFill="1" applyAlignment="1">
      <alignment vertical="top"/>
    </xf>
    <xf numFmtId="0" fontId="40" fillId="19" borderId="18" xfId="0" applyFont="1" applyFill="1" applyBorder="1" applyAlignment="1">
      <alignment horizontal="center"/>
    </xf>
    <xf numFmtId="0" fontId="7" fillId="19" borderId="18" xfId="0" applyFont="1" applyFill="1" applyBorder="1" applyAlignment="1">
      <alignment horizontal="right"/>
    </xf>
    <xf numFmtId="3" fontId="7" fillId="22" borderId="0" xfId="0" applyNumberFormat="1" applyFont="1" applyFill="1" applyAlignment="1">
      <alignment horizontal="center" vertical="center"/>
    </xf>
    <xf numFmtId="0" fontId="34" fillId="19" borderId="0" xfId="0" applyFont="1" applyFill="1" applyAlignment="1">
      <alignment vertical="center"/>
    </xf>
    <xf numFmtId="0" fontId="3" fillId="19" borderId="0" xfId="0" applyFont="1" applyFill="1" applyAlignment="1">
      <alignment vertical="center"/>
    </xf>
    <xf numFmtId="3" fontId="81" fillId="19" borderId="0" xfId="55" applyNumberFormat="1" applyFont="1" applyFill="1" applyAlignment="1">
      <alignment horizontal="right" vertical="center"/>
    </xf>
    <xf numFmtId="0" fontId="3" fillId="21" borderId="0" xfId="49" applyFill="1"/>
    <xf numFmtId="1" fontId="3" fillId="21" borderId="0" xfId="0" applyNumberFormat="1" applyFont="1" applyFill="1"/>
    <xf numFmtId="3" fontId="13" fillId="24" borderId="22" xfId="0" applyNumberFormat="1" applyFont="1" applyFill="1" applyBorder="1" applyAlignment="1">
      <alignment horizontal="right" vertical="center" indent="1"/>
    </xf>
    <xf numFmtId="3" fontId="7" fillId="24" borderId="22" xfId="0" applyNumberFormat="1" applyFont="1" applyFill="1" applyBorder="1" applyAlignment="1">
      <alignment horizontal="right" vertical="center" indent="1"/>
    </xf>
    <xf numFmtId="3" fontId="9" fillId="24" borderId="0" xfId="0" applyNumberFormat="1" applyFont="1" applyFill="1" applyAlignment="1">
      <alignment horizontal="right" vertical="center" indent="1"/>
    </xf>
    <xf numFmtId="3" fontId="12" fillId="24" borderId="0" xfId="0" applyNumberFormat="1" applyFont="1" applyFill="1" applyAlignment="1">
      <alignment horizontal="right" vertical="center" indent="1"/>
    </xf>
    <xf numFmtId="3" fontId="13" fillId="24" borderId="0" xfId="0" applyNumberFormat="1" applyFont="1" applyFill="1" applyAlignment="1">
      <alignment horizontal="right" vertical="center" indent="1"/>
    </xf>
    <xf numFmtId="3" fontId="7" fillId="24" borderId="0" xfId="0" applyNumberFormat="1" applyFont="1" applyFill="1" applyAlignment="1">
      <alignment horizontal="right" vertical="center" indent="1"/>
    </xf>
    <xf numFmtId="0" fontId="13" fillId="24" borderId="0" xfId="0" applyFont="1" applyFill="1"/>
    <xf numFmtId="0" fontId="7" fillId="24" borderId="0" xfId="0" applyFont="1" applyFill="1"/>
    <xf numFmtId="3" fontId="12" fillId="24" borderId="38" xfId="0" applyNumberFormat="1" applyFont="1" applyFill="1" applyBorder="1" applyAlignment="1">
      <alignment horizontal="right" vertical="center" indent="1"/>
    </xf>
    <xf numFmtId="3" fontId="13" fillId="24" borderId="38" xfId="0" applyNumberFormat="1" applyFont="1" applyFill="1" applyBorder="1" applyAlignment="1">
      <alignment horizontal="right" vertical="center" indent="1"/>
    </xf>
    <xf numFmtId="3" fontId="12" fillId="24" borderId="43" xfId="0" applyNumberFormat="1" applyFont="1" applyFill="1" applyBorder="1" applyAlignment="1">
      <alignment horizontal="right" vertical="center" indent="1"/>
    </xf>
    <xf numFmtId="3" fontId="13" fillId="24" borderId="43" xfId="0" applyNumberFormat="1" applyFont="1" applyFill="1" applyBorder="1" applyAlignment="1">
      <alignment horizontal="right" vertical="center" indent="1"/>
    </xf>
    <xf numFmtId="3" fontId="12" fillId="24" borderId="18" xfId="0" applyNumberFormat="1" applyFont="1" applyFill="1" applyBorder="1" applyAlignment="1">
      <alignment horizontal="right" vertical="center" indent="1"/>
    </xf>
    <xf numFmtId="3" fontId="13" fillId="24" borderId="18" xfId="0" applyNumberFormat="1" applyFont="1" applyFill="1" applyBorder="1" applyAlignment="1">
      <alignment horizontal="right" vertical="center" indent="1"/>
    </xf>
    <xf numFmtId="3" fontId="13" fillId="24" borderId="72" xfId="0" applyNumberFormat="1" applyFont="1" applyFill="1" applyBorder="1" applyAlignment="1">
      <alignment horizontal="right" vertical="center" indent="1"/>
    </xf>
    <xf numFmtId="9" fontId="0" fillId="21" borderId="0" xfId="0" applyNumberFormat="1" applyFill="1"/>
    <xf numFmtId="1" fontId="4" fillId="0" borderId="0" xfId="0" applyNumberFormat="1" applyFont="1"/>
    <xf numFmtId="9" fontId="0" fillId="21" borderId="0" xfId="43" applyFont="1" applyFill="1"/>
    <xf numFmtId="1" fontId="4" fillId="0" borderId="0" xfId="0" applyNumberFormat="1" applyFont="1" applyAlignment="1">
      <alignment wrapText="1"/>
    </xf>
    <xf numFmtId="0" fontId="0" fillId="0" borderId="0" xfId="0" applyAlignment="1">
      <alignment vertical="top" wrapText="1"/>
    </xf>
    <xf numFmtId="0" fontId="85" fillId="0" borderId="0" xfId="0" applyFont="1"/>
    <xf numFmtId="1" fontId="3" fillId="0" borderId="0" xfId="0" applyNumberFormat="1" applyFont="1"/>
    <xf numFmtId="0" fontId="86" fillId="21" borderId="0" xfId="0" applyFont="1" applyFill="1" applyAlignment="1">
      <alignment horizontal="left" vertical="center" indent="4"/>
    </xf>
    <xf numFmtId="0" fontId="87" fillId="21" borderId="0" xfId="0" applyFont="1" applyFill="1"/>
    <xf numFmtId="1" fontId="87" fillId="21" borderId="0" xfId="0" applyNumberFormat="1" applyFont="1" applyFill="1"/>
    <xf numFmtId="0" fontId="3" fillId="21" borderId="0" xfId="0" applyFont="1" applyFill="1" applyAlignment="1">
      <alignment horizontal="left" vertical="center" indent="4"/>
    </xf>
    <xf numFmtId="0" fontId="87" fillId="21" borderId="0" xfId="0" applyFont="1" applyFill="1" applyAlignment="1">
      <alignment horizontal="left" vertical="center" indent="4"/>
    </xf>
    <xf numFmtId="0" fontId="3" fillId="0" borderId="0" xfId="0" applyFont="1" applyAlignment="1">
      <alignment horizontal="left" vertical="center" indent="4"/>
    </xf>
    <xf numFmtId="0" fontId="87" fillId="0" borderId="0" xfId="0" applyFont="1"/>
    <xf numFmtId="1" fontId="87" fillId="0" borderId="0" xfId="0" applyNumberFormat="1" applyFont="1"/>
    <xf numFmtId="0" fontId="87" fillId="0" borderId="0" xfId="0" applyFont="1" applyAlignment="1">
      <alignment horizontal="left" vertical="center" indent="4"/>
    </xf>
    <xf numFmtId="3" fontId="0" fillId="19" borderId="0" xfId="0" applyNumberFormat="1" applyFill="1" applyAlignment="1">
      <alignment vertical="center"/>
    </xf>
    <xf numFmtId="0" fontId="7" fillId="22" borderId="0" xfId="0" applyFont="1" applyFill="1" applyAlignment="1">
      <alignment vertical="top"/>
    </xf>
    <xf numFmtId="0" fontId="0" fillId="22" borderId="12" xfId="0" applyFill="1" applyBorder="1" applyAlignment="1">
      <alignment vertical="top"/>
    </xf>
    <xf numFmtId="0" fontId="34" fillId="22" borderId="0" xfId="0" applyFont="1" applyFill="1" applyAlignment="1">
      <alignment vertical="top"/>
    </xf>
    <xf numFmtId="0" fontId="45" fillId="22" borderId="0" xfId="0" applyFont="1" applyFill="1" applyAlignment="1">
      <alignment vertical="top"/>
    </xf>
    <xf numFmtId="0" fontId="63" fillId="22" borderId="0" xfId="0" applyFont="1" applyFill="1" applyAlignment="1">
      <alignment vertical="top"/>
    </xf>
    <xf numFmtId="0" fontId="13" fillId="22" borderId="0" xfId="0" applyFont="1" applyFill="1" applyAlignment="1" applyProtection="1">
      <alignment vertical="top"/>
      <protection locked="0"/>
    </xf>
    <xf numFmtId="0" fontId="13" fillId="24" borderId="12" xfId="0" applyFont="1" applyFill="1" applyBorder="1"/>
    <xf numFmtId="0" fontId="9" fillId="24" borderId="0" xfId="0" applyFont="1" applyFill="1"/>
    <xf numFmtId="1" fontId="0" fillId="21" borderId="82" xfId="0" applyNumberFormat="1" applyFill="1" applyBorder="1"/>
    <xf numFmtId="1" fontId="0" fillId="21" borderId="80" xfId="0" applyNumberFormat="1" applyFill="1" applyBorder="1"/>
    <xf numFmtId="0" fontId="4" fillId="29" borderId="81" xfId="0" applyFont="1" applyFill="1" applyBorder="1" applyAlignment="1">
      <alignment horizontal="center" wrapText="1"/>
    </xf>
    <xf numFmtId="0" fontId="3"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wrapText="1"/>
    </xf>
    <xf numFmtId="0" fontId="3" fillId="0" borderId="0" xfId="0" applyFont="1" applyAlignment="1">
      <alignment horizontal="left" wrapText="1"/>
    </xf>
    <xf numFmtId="0" fontId="52" fillId="0" borderId="12" xfId="54" applyBorder="1" applyAlignment="1">
      <alignment horizontal="left" vertical="center" wrapText="1"/>
    </xf>
    <xf numFmtId="0" fontId="52" fillId="0" borderId="0" xfId="54" applyBorder="1" applyAlignment="1">
      <alignment horizontal="left" vertical="center" wrapText="1"/>
    </xf>
    <xf numFmtId="0" fontId="0" fillId="0" borderId="0" xfId="0" applyAlignment="1">
      <alignment horizontal="left" vertical="center" wrapText="1"/>
    </xf>
    <xf numFmtId="0" fontId="7" fillId="20" borderId="15"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7" fillId="20" borderId="17" xfId="0" applyFont="1" applyFill="1" applyBorder="1" applyAlignment="1">
      <alignment horizontal="center"/>
    </xf>
    <xf numFmtId="0" fontId="7" fillId="20" borderId="18" xfId="0" applyFont="1" applyFill="1" applyBorder="1" applyAlignment="1">
      <alignment horizontal="center"/>
    </xf>
    <xf numFmtId="0" fontId="7" fillId="20" borderId="27" xfId="0" applyFont="1" applyFill="1" applyBorder="1" applyAlignment="1">
      <alignment horizontal="center"/>
    </xf>
    <xf numFmtId="0" fontId="7" fillId="20" borderId="0" xfId="0" applyFont="1" applyFill="1" applyAlignment="1" applyProtection="1">
      <alignment horizontal="center" vertical="top"/>
      <protection locked="0"/>
    </xf>
    <xf numFmtId="0" fontId="62" fillId="29" borderId="61" xfId="0" applyFont="1" applyFill="1" applyBorder="1" applyAlignment="1" applyProtection="1">
      <alignment horizontal="left" vertical="top"/>
      <protection locked="0"/>
    </xf>
    <xf numFmtId="0" fontId="62" fillId="29" borderId="0" xfId="0" applyFont="1" applyFill="1" applyAlignment="1" applyProtection="1">
      <alignment horizontal="left" vertical="top"/>
      <protection locked="0"/>
    </xf>
    <xf numFmtId="0" fontId="62" fillId="29" borderId="58" xfId="0" applyFont="1" applyFill="1" applyBorder="1" applyAlignment="1" applyProtection="1">
      <alignment horizontal="left" vertical="top"/>
      <protection locked="0"/>
    </xf>
    <xf numFmtId="0" fontId="62" fillId="29" borderId="59" xfId="0" applyFont="1" applyFill="1" applyBorder="1" applyAlignment="1" applyProtection="1">
      <alignment horizontal="left" vertical="top"/>
      <protection locked="0"/>
    </xf>
    <xf numFmtId="3" fontId="9" fillId="17" borderId="33" xfId="0" applyNumberFormat="1" applyFont="1" applyFill="1" applyBorder="1" applyAlignment="1">
      <alignment horizontal="right" vertical="center" indent="1"/>
    </xf>
    <xf numFmtId="3" fontId="7" fillId="17" borderId="34" xfId="0" applyNumberFormat="1" applyFont="1" applyFill="1" applyBorder="1" applyAlignment="1">
      <alignment horizontal="right" vertical="center" indent="1"/>
    </xf>
    <xf numFmtId="0" fontId="7" fillId="19" borderId="0" xfId="0" applyFont="1" applyFill="1" applyAlignment="1">
      <alignment vertical="top" wrapText="1"/>
    </xf>
    <xf numFmtId="0" fontId="7" fillId="0" borderId="0" xfId="0" applyFont="1" applyAlignment="1">
      <alignment vertical="top" wrapText="1"/>
    </xf>
    <xf numFmtId="0" fontId="9" fillId="19" borderId="0" xfId="0" applyFont="1" applyFill="1" applyAlignment="1">
      <alignment vertical="top"/>
    </xf>
    <xf numFmtId="0" fontId="9" fillId="19" borderId="0" xfId="0" applyFont="1" applyFill="1" applyAlignment="1">
      <alignment horizontal="left" vertical="top"/>
    </xf>
    <xf numFmtId="0" fontId="9" fillId="19" borderId="0" xfId="0" applyFont="1" applyFill="1" applyAlignment="1">
      <alignment horizontal="center"/>
    </xf>
    <xf numFmtId="166" fontId="10" fillId="19" borderId="0" xfId="0" applyNumberFormat="1" applyFont="1" applyFill="1" applyAlignment="1">
      <alignment horizontal="center" vertical="center"/>
    </xf>
    <xf numFmtId="3" fontId="40" fillId="19" borderId="0" xfId="0" applyNumberFormat="1" applyFont="1" applyFill="1" applyAlignment="1">
      <alignment horizontal="left" vertical="center"/>
    </xf>
    <xf numFmtId="0" fontId="40" fillId="0" borderId="0" xfId="0" applyFont="1" applyAlignment="1">
      <alignment horizontal="left" vertical="center"/>
    </xf>
    <xf numFmtId="3" fontId="10" fillId="19" borderId="0" xfId="0" applyNumberFormat="1" applyFont="1" applyFill="1" applyAlignment="1">
      <alignment horizontal="right" vertical="center"/>
    </xf>
    <xf numFmtId="165" fontId="33" fillId="19" borderId="0" xfId="0" applyNumberFormat="1" applyFont="1" applyFill="1" applyAlignment="1">
      <alignment horizontal="right" vertical="center"/>
    </xf>
    <xf numFmtId="165" fontId="38" fillId="19" borderId="0" xfId="0" applyNumberFormat="1" applyFont="1" applyFill="1" applyAlignment="1">
      <alignment horizontal="right" vertical="center"/>
    </xf>
    <xf numFmtId="3" fontId="42" fillId="21" borderId="91" xfId="0" applyNumberFormat="1" applyFont="1" applyFill="1" applyBorder="1" applyAlignment="1">
      <alignment horizontal="right" vertical="center" indent="1"/>
    </xf>
    <xf numFmtId="3" fontId="42" fillId="21" borderId="92" xfId="0" applyNumberFormat="1" applyFont="1" applyFill="1" applyBorder="1" applyAlignment="1">
      <alignment horizontal="right" vertical="center" indent="1"/>
    </xf>
    <xf numFmtId="3" fontId="7" fillId="19" borderId="0" xfId="0" applyNumberFormat="1" applyFont="1" applyFill="1" applyAlignment="1">
      <alignment horizontal="center" vertical="center"/>
    </xf>
    <xf numFmtId="3" fontId="12" fillId="21" borderId="33" xfId="0" applyNumberFormat="1" applyFont="1" applyFill="1" applyBorder="1" applyAlignment="1" applyProtection="1">
      <alignment horizontal="right" vertical="center" indent="1"/>
      <protection locked="0"/>
    </xf>
    <xf numFmtId="3" fontId="13"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12" fillId="27" borderId="33" xfId="0" applyNumberFormat="1" applyFont="1" applyFill="1" applyBorder="1" applyAlignment="1">
      <alignment horizontal="right" vertical="center" indent="1"/>
    </xf>
    <xf numFmtId="3" fontId="13" fillId="27" borderId="34" xfId="0" applyNumberFormat="1" applyFont="1" applyFill="1" applyBorder="1" applyAlignment="1">
      <alignment horizontal="right" vertical="center" indent="1"/>
    </xf>
    <xf numFmtId="3" fontId="13" fillId="19" borderId="0" xfId="0" applyNumberFormat="1" applyFont="1" applyFill="1" applyAlignment="1">
      <alignment horizontal="center" vertical="center"/>
    </xf>
    <xf numFmtId="3" fontId="9" fillId="21" borderId="91" xfId="0" applyNumberFormat="1" applyFont="1" applyFill="1" applyBorder="1" applyAlignment="1">
      <alignment horizontal="right" vertical="center" indent="1"/>
    </xf>
    <xf numFmtId="0" fontId="4" fillId="21" borderId="92" xfId="0" applyFont="1" applyFill="1" applyBorder="1" applyAlignment="1">
      <alignment horizontal="right" vertical="center" indent="1"/>
    </xf>
    <xf numFmtId="3" fontId="9" fillId="27" borderId="91" xfId="0" applyNumberFormat="1" applyFont="1" applyFill="1" applyBorder="1" applyAlignment="1">
      <alignment horizontal="right" vertical="center" indent="1"/>
    </xf>
    <xf numFmtId="0" fontId="4" fillId="0" borderId="92" xfId="0" applyFont="1" applyBorder="1" applyAlignment="1">
      <alignment horizontal="right" vertical="center" indent="1"/>
    </xf>
    <xf numFmtId="3" fontId="9" fillId="31" borderId="91" xfId="0" applyNumberFormat="1" applyFont="1" applyFill="1" applyBorder="1" applyAlignment="1">
      <alignment horizontal="right" vertical="center" indent="1"/>
    </xf>
    <xf numFmtId="0" fontId="4" fillId="31" borderId="92" xfId="0" applyFont="1" applyFill="1" applyBorder="1" applyAlignment="1">
      <alignment horizontal="right" vertical="center" indent="1"/>
    </xf>
    <xf numFmtId="0" fontId="31"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2" fillId="27" borderId="0" xfId="0" applyFont="1" applyFill="1" applyAlignment="1">
      <alignment horizontal="center"/>
    </xf>
    <xf numFmtId="0" fontId="4" fillId="19" borderId="0" xfId="0" applyFont="1" applyFill="1" applyAlignment="1">
      <alignment horizontal="left"/>
    </xf>
    <xf numFmtId="0" fontId="13" fillId="19" borderId="0" xfId="0" applyFont="1" applyFill="1" applyAlignment="1">
      <alignment vertical="top" wrapText="1"/>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9" fillId="19" borderId="0" xfId="0" applyFont="1" applyFill="1" applyAlignment="1">
      <alignment horizontal="center" wrapText="1"/>
    </xf>
    <xf numFmtId="0" fontId="7" fillId="19" borderId="0" xfId="0" applyFont="1" applyFill="1" applyAlignment="1">
      <alignment horizontal="center"/>
    </xf>
    <xf numFmtId="0" fontId="13" fillId="19" borderId="0" xfId="0" applyFont="1" applyFill="1" applyAlignment="1">
      <alignment horizontal="center"/>
    </xf>
    <xf numFmtId="0" fontId="9" fillId="19" borderId="0" xfId="0" applyFont="1" applyFill="1" applyAlignment="1">
      <alignment horizontal="center" vertical="center" wrapText="1"/>
    </xf>
    <xf numFmtId="0" fontId="12" fillId="19" borderId="0" xfId="0" applyFont="1" applyFill="1" applyAlignment="1">
      <alignment horizontal="center"/>
    </xf>
    <xf numFmtId="0" fontId="45" fillId="19" borderId="0" xfId="0" applyFont="1" applyFill="1" applyAlignment="1">
      <alignment horizontal="left" vertical="center" wrapText="1"/>
    </xf>
    <xf numFmtId="0" fontId="51" fillId="19" borderId="0" xfId="0" applyFont="1" applyFill="1" applyAlignment="1">
      <alignment horizontal="center" vertical="center" wrapText="1"/>
    </xf>
    <xf numFmtId="3" fontId="12" fillId="22" borderId="0" xfId="0" applyNumberFormat="1" applyFont="1" applyFill="1" applyAlignment="1">
      <alignment horizontal="right" vertical="center" indent="1"/>
    </xf>
    <xf numFmtId="0" fontId="12" fillId="19" borderId="0" xfId="0" applyFont="1" applyFill="1" applyAlignment="1">
      <alignment horizontal="center" wrapText="1"/>
    </xf>
    <xf numFmtId="0" fontId="13" fillId="0" borderId="0" xfId="0" applyFont="1" applyAlignment="1">
      <alignment wrapText="1"/>
    </xf>
    <xf numFmtId="0" fontId="51" fillId="27" borderId="0" xfId="0" applyFont="1" applyFill="1" applyAlignment="1">
      <alignment horizontal="center" vertical="center" wrapText="1"/>
    </xf>
    <xf numFmtId="0" fontId="9" fillId="19" borderId="18" xfId="0" applyFont="1" applyFill="1" applyBorder="1" applyAlignment="1">
      <alignment horizontal="center"/>
    </xf>
    <xf numFmtId="3" fontId="12" fillId="21" borderId="28" xfId="0" applyNumberFormat="1" applyFont="1" applyFill="1" applyBorder="1" applyAlignment="1" applyProtection="1">
      <alignment horizontal="right" vertical="center" indent="1"/>
      <protection locked="0"/>
    </xf>
    <xf numFmtId="3" fontId="12" fillId="21" borderId="29" xfId="0" applyNumberFormat="1" applyFont="1" applyFill="1" applyBorder="1" applyAlignment="1" applyProtection="1">
      <alignment horizontal="right" vertical="center" indent="1"/>
      <protection locked="0"/>
    </xf>
    <xf numFmtId="3" fontId="12" fillId="17" borderId="0" xfId="0" applyNumberFormat="1" applyFont="1" applyFill="1" applyAlignment="1" applyProtection="1">
      <alignment horizontal="center" vertical="center"/>
      <protection locked="0"/>
    </xf>
    <xf numFmtId="3" fontId="12" fillId="21" borderId="53" xfId="0" applyNumberFormat="1" applyFont="1" applyFill="1" applyBorder="1" applyAlignment="1">
      <alignment horizontal="right" vertical="center" indent="1"/>
    </xf>
    <xf numFmtId="3" fontId="12" fillId="21" borderId="54" xfId="0" applyNumberFormat="1" applyFont="1" applyFill="1" applyBorder="1" applyAlignment="1">
      <alignment horizontal="right" vertical="center" indent="1"/>
    </xf>
    <xf numFmtId="3" fontId="12" fillId="17" borderId="0" xfId="0" applyNumberFormat="1" applyFont="1" applyFill="1" applyAlignment="1">
      <alignment horizontal="center" vertical="center"/>
    </xf>
    <xf numFmtId="3" fontId="9" fillId="17" borderId="0" xfId="0" applyNumberFormat="1" applyFont="1" applyFill="1" applyAlignment="1">
      <alignment horizontal="center" vertical="center"/>
    </xf>
    <xf numFmtId="3" fontId="9" fillId="17" borderId="21" xfId="0" applyNumberFormat="1" applyFont="1" applyFill="1" applyBorder="1" applyAlignment="1">
      <alignment horizontal="center" vertical="center"/>
    </xf>
    <xf numFmtId="3" fontId="12" fillId="27" borderId="33" xfId="0" applyNumberFormat="1" applyFont="1" applyFill="1" applyBorder="1" applyAlignment="1" applyProtection="1">
      <alignment horizontal="right" vertical="center" indent="1"/>
      <protection locked="0"/>
    </xf>
    <xf numFmtId="3" fontId="13" fillId="27" borderId="34" xfId="0" applyNumberFormat="1" applyFont="1" applyFill="1" applyBorder="1" applyAlignment="1" applyProtection="1">
      <alignment horizontal="right" vertical="center" indent="1"/>
      <protection locked="0"/>
    </xf>
    <xf numFmtId="3" fontId="12" fillId="21" borderId="91" xfId="0" applyNumberFormat="1" applyFont="1" applyFill="1" applyBorder="1" applyAlignment="1" applyProtection="1">
      <alignment horizontal="right" vertical="center" indent="1"/>
      <protection locked="0"/>
    </xf>
    <xf numFmtId="0" fontId="0" fillId="0" borderId="92" xfId="0" applyBorder="1" applyAlignment="1">
      <alignment horizontal="right" vertical="center" indent="1"/>
    </xf>
    <xf numFmtId="3" fontId="12" fillId="27" borderId="91" xfId="0" applyNumberFormat="1" applyFont="1" applyFill="1" applyBorder="1" applyAlignment="1" applyProtection="1">
      <alignment horizontal="right" vertical="center" indent="1"/>
      <protection locked="0"/>
    </xf>
    <xf numFmtId="3" fontId="9" fillId="17" borderId="69" xfId="0" applyNumberFormat="1" applyFont="1" applyFill="1" applyBorder="1" applyAlignment="1">
      <alignment horizontal="right" vertical="center" indent="1"/>
    </xf>
    <xf numFmtId="3" fontId="7" fillId="17" borderId="70" xfId="0" applyNumberFormat="1" applyFont="1" applyFill="1" applyBorder="1" applyAlignment="1">
      <alignment horizontal="right" vertical="center" indent="1"/>
    </xf>
    <xf numFmtId="3" fontId="9" fillId="27" borderId="92" xfId="0" applyNumberFormat="1" applyFont="1" applyFill="1" applyBorder="1" applyAlignment="1">
      <alignment horizontal="right" vertical="center" indent="1"/>
    </xf>
    <xf numFmtId="3" fontId="9" fillId="21" borderId="69" xfId="0" applyNumberFormat="1" applyFont="1" applyFill="1" applyBorder="1" applyAlignment="1">
      <alignment horizontal="right" vertical="center" indent="1"/>
    </xf>
    <xf numFmtId="3" fontId="7" fillId="21" borderId="70" xfId="0" applyNumberFormat="1" applyFont="1" applyFill="1" applyBorder="1" applyAlignment="1">
      <alignment horizontal="right" vertical="center" indent="1"/>
    </xf>
    <xf numFmtId="3" fontId="9" fillId="27" borderId="69" xfId="0" applyNumberFormat="1" applyFont="1" applyFill="1" applyBorder="1" applyAlignment="1">
      <alignment horizontal="right" vertical="center" indent="1"/>
    </xf>
    <xf numFmtId="3" fontId="7" fillId="27" borderId="70" xfId="0" applyNumberFormat="1" applyFont="1" applyFill="1" applyBorder="1" applyAlignment="1">
      <alignment horizontal="right" vertical="center" indent="1"/>
    </xf>
    <xf numFmtId="3" fontId="9" fillId="19" borderId="0" xfId="0" applyNumberFormat="1" applyFont="1" applyFill="1" applyAlignment="1">
      <alignment horizontal="center" vertical="center" wrapText="1"/>
    </xf>
    <xf numFmtId="3" fontId="12"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9" fillId="27" borderId="0" xfId="0" applyNumberFormat="1" applyFont="1" applyFill="1" applyAlignment="1">
      <alignment horizontal="center" vertical="center" wrapText="1"/>
    </xf>
    <xf numFmtId="0" fontId="9" fillId="27" borderId="0" xfId="0" applyFont="1" applyFill="1" applyAlignment="1">
      <alignment horizontal="center" wrapText="1"/>
    </xf>
    <xf numFmtId="0" fontId="12" fillId="27" borderId="0" xfId="0" applyFont="1" applyFill="1" applyAlignment="1">
      <alignment horizontal="center" wrapText="1"/>
    </xf>
    <xf numFmtId="3" fontId="9" fillId="21" borderId="93" xfId="0" applyNumberFormat="1" applyFont="1" applyFill="1" applyBorder="1" applyAlignment="1">
      <alignment horizontal="right" vertical="center" indent="1"/>
    </xf>
    <xf numFmtId="3" fontId="7" fillId="21" borderId="94" xfId="0" applyNumberFormat="1" applyFont="1" applyFill="1" applyBorder="1" applyAlignment="1">
      <alignment horizontal="right" vertical="center" indent="1"/>
    </xf>
    <xf numFmtId="3" fontId="7" fillId="21" borderId="92" xfId="0" applyNumberFormat="1" applyFont="1" applyFill="1" applyBorder="1" applyAlignment="1">
      <alignment horizontal="right" vertical="center" indent="1"/>
    </xf>
    <xf numFmtId="3" fontId="7" fillId="27" borderId="92" xfId="0" applyNumberFormat="1" applyFont="1" applyFill="1" applyBorder="1" applyAlignment="1">
      <alignment horizontal="right" vertical="center" indent="1"/>
    </xf>
    <xf numFmtId="0" fontId="7" fillId="19" borderId="0" xfId="0" applyFont="1" applyFill="1" applyAlignment="1">
      <alignment horizontal="left" vertical="top" wrapText="1"/>
    </xf>
    <xf numFmtId="3" fontId="9" fillId="17" borderId="91" xfId="0" applyNumberFormat="1" applyFont="1" applyFill="1" applyBorder="1" applyAlignment="1">
      <alignment horizontal="right" vertical="center" indent="1"/>
    </xf>
    <xf numFmtId="3" fontId="7" fillId="17" borderId="92" xfId="0" applyNumberFormat="1" applyFont="1" applyFill="1" applyBorder="1" applyAlignment="1">
      <alignment horizontal="right" vertical="center" indent="1"/>
    </xf>
    <xf numFmtId="3" fontId="9" fillId="17" borderId="64" xfId="0" applyNumberFormat="1" applyFont="1" applyFill="1" applyBorder="1" applyAlignment="1">
      <alignment horizontal="right" vertical="center" indent="1"/>
    </xf>
    <xf numFmtId="3" fontId="7" fillId="17" borderId="65" xfId="0" applyNumberFormat="1" applyFont="1" applyFill="1" applyBorder="1" applyAlignment="1">
      <alignment horizontal="right" vertical="center" indent="1"/>
    </xf>
    <xf numFmtId="2" fontId="74" fillId="17" borderId="0" xfId="57" applyNumberFormat="1" applyFont="1" applyFill="1" applyAlignment="1">
      <alignment wrapText="1"/>
    </xf>
    <xf numFmtId="0" fontId="74" fillId="17" borderId="0" xfId="55" applyFont="1" applyFill="1" applyAlignment="1">
      <alignment wrapText="1"/>
    </xf>
    <xf numFmtId="0" fontId="76" fillId="30" borderId="12" xfId="55" applyFont="1" applyFill="1" applyBorder="1" applyAlignment="1">
      <alignment horizontal="left"/>
    </xf>
    <xf numFmtId="0" fontId="77" fillId="30" borderId="0" xfId="55" applyFont="1" applyFill="1" applyAlignment="1">
      <alignment horizontal="left"/>
    </xf>
    <xf numFmtId="0" fontId="77" fillId="30" borderId="13" xfId="55" applyFont="1" applyFill="1" applyBorder="1" applyAlignment="1">
      <alignment horizontal="left"/>
    </xf>
    <xf numFmtId="0" fontId="9" fillId="19" borderId="83" xfId="55" applyFont="1" applyFill="1" applyBorder="1" applyAlignment="1">
      <alignment horizontal="center" vertical="center"/>
    </xf>
    <xf numFmtId="0" fontId="9" fillId="19" borderId="84" xfId="55" applyFont="1" applyFill="1" applyBorder="1" applyAlignment="1">
      <alignment horizontal="center" vertical="center"/>
    </xf>
    <xf numFmtId="0" fontId="7" fillId="0" borderId="84" xfId="0" applyFont="1" applyBorder="1" applyAlignment="1">
      <alignment horizontal="center"/>
    </xf>
    <xf numFmtId="0" fontId="7" fillId="0" borderId="82" xfId="0" applyFont="1" applyBorder="1" applyAlignment="1">
      <alignment horizontal="center"/>
    </xf>
    <xf numFmtId="0" fontId="7" fillId="0" borderId="84" xfId="0" applyFont="1" applyBorder="1" applyAlignment="1">
      <alignment horizontal="center" vertical="center"/>
    </xf>
    <xf numFmtId="0" fontId="7" fillId="0" borderId="82" xfId="0" applyFont="1" applyBorder="1" applyAlignment="1">
      <alignment horizontal="center" vertical="center"/>
    </xf>
    <xf numFmtId="0" fontId="9" fillId="19" borderId="59" xfId="55" applyFont="1" applyFill="1" applyBorder="1" applyAlignment="1">
      <alignment horizontal="center" vertical="center" wrapText="1"/>
    </xf>
    <xf numFmtId="0" fontId="9" fillId="19" borderId="0" xfId="55"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9" fillId="19" borderId="59" xfId="55" quotePrefix="1" applyFont="1" applyFill="1" applyBorder="1" applyAlignment="1">
      <alignment horizontal="center" vertical="center" wrapText="1"/>
    </xf>
    <xf numFmtId="0" fontId="69" fillId="19" borderId="0" xfId="55" applyFont="1" applyFill="1" applyAlignment="1">
      <alignment horizontal="center" vertical="center" wrapText="1"/>
    </xf>
    <xf numFmtId="0" fontId="0" fillId="0" borderId="0" xfId="55" applyFont="1" applyAlignment="1">
      <alignment horizontal="center" vertical="center"/>
    </xf>
    <xf numFmtId="3" fontId="9" fillId="21" borderId="93" xfId="0" applyNumberFormat="1" applyFont="1" applyFill="1" applyBorder="1" applyAlignment="1" applyProtection="1">
      <alignment horizontal="right" vertical="center" indent="1"/>
      <protection locked="0"/>
    </xf>
    <xf numFmtId="0" fontId="0" fillId="21" borderId="94" xfId="0" applyFill="1" applyBorder="1" applyAlignment="1">
      <alignment horizontal="right" vertical="center" indent="1"/>
    </xf>
    <xf numFmtId="0" fontId="0" fillId="0" borderId="94" xfId="0" applyBorder="1" applyAlignment="1">
      <alignment horizontal="right" vertical="center" indent="1"/>
    </xf>
    <xf numFmtId="3" fontId="12" fillId="21" borderId="93" xfId="0" applyNumberFormat="1" applyFont="1" applyFill="1" applyBorder="1" applyAlignment="1" applyProtection="1">
      <alignment horizontal="right" vertical="center" indent="1"/>
      <protection locked="0"/>
    </xf>
    <xf numFmtId="3" fontId="12" fillId="27" borderId="91" xfId="0" applyNumberFormat="1" applyFont="1" applyFill="1" applyBorder="1" applyAlignment="1">
      <alignment horizontal="right" vertical="center" indent="1"/>
    </xf>
    <xf numFmtId="3" fontId="9" fillId="21" borderId="93" xfId="0" applyNumberFormat="1" applyFont="1" applyFill="1" applyBorder="1" applyAlignment="1" applyProtection="1">
      <alignment vertical="top"/>
      <protection locked="0"/>
    </xf>
    <xf numFmtId="3" fontId="4" fillId="21" borderId="94" xfId="0" applyNumberFormat="1" applyFont="1" applyFill="1" applyBorder="1" applyAlignment="1">
      <alignment vertical="top"/>
    </xf>
    <xf numFmtId="0" fontId="4" fillId="21" borderId="94" xfId="0" applyFont="1" applyFill="1" applyBorder="1" applyAlignment="1">
      <alignment horizontal="right" vertical="center" indent="1"/>
    </xf>
    <xf numFmtId="3" fontId="12" fillId="21" borderId="93" xfId="0" applyNumberFormat="1" applyFont="1" applyFill="1" applyBorder="1" applyAlignment="1">
      <alignment horizontal="right" vertical="center" indent="1"/>
    </xf>
    <xf numFmtId="3" fontId="12" fillId="27" borderId="69" xfId="0" applyNumberFormat="1" applyFont="1" applyFill="1" applyBorder="1" applyAlignment="1">
      <alignment horizontal="right" vertical="center" indent="1"/>
    </xf>
    <xf numFmtId="3" fontId="13" fillId="27" borderId="70" xfId="0" applyNumberFormat="1" applyFont="1" applyFill="1" applyBorder="1" applyAlignment="1">
      <alignment horizontal="right" vertical="center" indent="1"/>
    </xf>
    <xf numFmtId="3" fontId="12" fillId="21" borderId="69" xfId="0" applyNumberFormat="1" applyFont="1" applyFill="1" applyBorder="1" applyAlignment="1">
      <alignment horizontal="right" vertical="center" indent="1"/>
    </xf>
    <xf numFmtId="3" fontId="13" fillId="21" borderId="70" xfId="0" applyNumberFormat="1" applyFont="1" applyFill="1" applyBorder="1" applyAlignment="1">
      <alignment horizontal="right" vertical="center" indent="1"/>
    </xf>
    <xf numFmtId="3" fontId="42" fillId="24" borderId="33" xfId="0" applyNumberFormat="1" applyFont="1" applyFill="1" applyBorder="1" applyAlignment="1">
      <alignment horizontal="right" vertical="center" indent="1"/>
    </xf>
    <xf numFmtId="3" fontId="43" fillId="24" borderId="34" xfId="0" applyNumberFormat="1" applyFont="1" applyFill="1" applyBorder="1" applyAlignment="1">
      <alignment horizontal="right" vertical="center" indent="1"/>
    </xf>
    <xf numFmtId="0" fontId="80" fillId="19" borderId="18" xfId="0" applyFont="1" applyFill="1" applyBorder="1"/>
    <xf numFmtId="0" fontId="81" fillId="0" borderId="18" xfId="0" applyFont="1" applyBorder="1"/>
    <xf numFmtId="3" fontId="9" fillId="21" borderId="94" xfId="0" applyNumberFormat="1" applyFont="1" applyFill="1" applyBorder="1" applyAlignment="1" applyProtection="1">
      <alignment horizontal="right" vertical="center" indent="1"/>
      <protection locked="0"/>
    </xf>
    <xf numFmtId="3" fontId="54" fillId="24" borderId="74" xfId="0" applyNumberFormat="1" applyFont="1" applyFill="1" applyBorder="1" applyAlignment="1">
      <alignment horizontal="center" vertical="center"/>
    </xf>
    <xf numFmtId="3" fontId="12" fillId="27" borderId="0" xfId="0" applyNumberFormat="1" applyFont="1" applyFill="1" applyAlignment="1">
      <alignment horizontal="center" vertical="center"/>
    </xf>
    <xf numFmtId="0" fontId="0" fillId="27" borderId="0" xfId="0" applyFill="1" applyAlignment="1">
      <alignment horizontal="center" vertical="center"/>
    </xf>
    <xf numFmtId="3" fontId="12" fillId="24" borderId="69" xfId="0" applyNumberFormat="1" applyFont="1" applyFill="1" applyBorder="1" applyAlignment="1">
      <alignment horizontal="right" vertical="center" indent="1"/>
    </xf>
    <xf numFmtId="3" fontId="13" fillId="24" borderId="70" xfId="0" applyNumberFormat="1" applyFont="1" applyFill="1" applyBorder="1" applyAlignment="1">
      <alignment horizontal="right" vertical="center" indent="1"/>
    </xf>
    <xf numFmtId="3" fontId="9" fillId="17" borderId="28" xfId="0" applyNumberFormat="1" applyFont="1" applyFill="1" applyBorder="1" applyAlignment="1" applyProtection="1">
      <alignment horizontal="right" vertical="center" indent="1"/>
      <protection locked="0"/>
    </xf>
    <xf numFmtId="3" fontId="9" fillId="17" borderId="29" xfId="0" applyNumberFormat="1" applyFont="1" applyFill="1" applyBorder="1" applyAlignment="1" applyProtection="1">
      <alignment horizontal="right" vertical="center" indent="1"/>
      <protection locked="0"/>
    </xf>
    <xf numFmtId="3" fontId="12" fillId="27" borderId="69" xfId="0" applyNumberFormat="1" applyFont="1" applyFill="1" applyBorder="1" applyAlignment="1" applyProtection="1">
      <alignment horizontal="right" vertical="center" indent="1"/>
      <protection locked="0"/>
    </xf>
    <xf numFmtId="3" fontId="13" fillId="27" borderId="70" xfId="0" applyNumberFormat="1" applyFont="1" applyFill="1" applyBorder="1" applyAlignment="1" applyProtection="1">
      <alignment horizontal="right" vertical="center" indent="1"/>
      <protection locked="0"/>
    </xf>
    <xf numFmtId="0" fontId="12" fillId="19" borderId="0" xfId="0" applyFont="1" applyFill="1" applyAlignment="1">
      <alignment horizontal="left"/>
    </xf>
    <xf numFmtId="3" fontId="12" fillId="19" borderId="0" xfId="0" applyNumberFormat="1" applyFont="1" applyFill="1" applyAlignment="1">
      <alignment horizontal="center" vertical="center"/>
    </xf>
    <xf numFmtId="0" fontId="0" fillId="0" borderId="0" xfId="0" applyAlignment="1">
      <alignment horizontal="center" vertical="center"/>
    </xf>
    <xf numFmtId="0" fontId="4" fillId="19" borderId="66" xfId="0" applyFont="1" applyFill="1" applyBorder="1" applyAlignment="1">
      <alignment horizontal="left"/>
    </xf>
    <xf numFmtId="0" fontId="7" fillId="22" borderId="0" xfId="0" applyFont="1" applyFill="1" applyAlignment="1">
      <alignment vertical="top" wrapText="1"/>
    </xf>
    <xf numFmtId="0" fontId="3" fillId="22" borderId="0" xfId="0" applyFont="1" applyFill="1" applyAlignment="1">
      <alignment vertical="top" wrapText="1"/>
    </xf>
    <xf numFmtId="3" fontId="12" fillId="24" borderId="28" xfId="0" applyNumberFormat="1" applyFont="1" applyFill="1" applyBorder="1" applyAlignment="1" applyProtection="1">
      <alignment horizontal="right" vertical="center" indent="1"/>
      <protection locked="0"/>
    </xf>
    <xf numFmtId="3" fontId="12" fillId="24" borderId="29" xfId="0" applyNumberFormat="1" applyFont="1" applyFill="1" applyBorder="1" applyAlignment="1" applyProtection="1">
      <alignment horizontal="right" vertical="center" indent="1"/>
      <protection locked="0"/>
    </xf>
    <xf numFmtId="3" fontId="13" fillId="21" borderId="94" xfId="0" applyNumberFormat="1" applyFont="1" applyFill="1" applyBorder="1" applyAlignment="1">
      <alignment horizontal="right" vertical="center" indent="1"/>
    </xf>
    <xf numFmtId="3" fontId="9" fillId="21" borderId="28" xfId="0" applyNumberFormat="1" applyFont="1" applyFill="1" applyBorder="1" applyAlignment="1" applyProtection="1">
      <alignment horizontal="right" vertical="center" indent="1"/>
      <protection locked="0"/>
    </xf>
    <xf numFmtId="3" fontId="9" fillId="21" borderId="93" xfId="0" applyNumberFormat="1" applyFont="1" applyFill="1" applyBorder="1"/>
    <xf numFmtId="3" fontId="4" fillId="21" borderId="94" xfId="0" applyNumberFormat="1" applyFont="1" applyFill="1" applyBorder="1"/>
    <xf numFmtId="0" fontId="9" fillId="21" borderId="93" xfId="0" applyFont="1" applyFill="1" applyBorder="1"/>
    <xf numFmtId="0" fontId="4" fillId="21" borderId="94" xfId="0" applyFont="1" applyFill="1" applyBorder="1"/>
    <xf numFmtId="3" fontId="9" fillId="17" borderId="94" xfId="0" applyNumberFormat="1" applyFont="1" applyFill="1" applyBorder="1" applyAlignment="1" applyProtection="1">
      <alignment horizontal="right" vertical="center" indent="1"/>
      <protection locked="0"/>
    </xf>
    <xf numFmtId="3" fontId="9" fillId="17" borderId="70" xfId="0" applyNumberFormat="1" applyFont="1" applyFill="1" applyBorder="1" applyAlignment="1">
      <alignment horizontal="right" vertical="center" indent="1"/>
    </xf>
    <xf numFmtId="0" fontId="80" fillId="19" borderId="75" xfId="0" applyFont="1" applyFill="1" applyBorder="1"/>
    <xf numFmtId="0" fontId="81" fillId="0" borderId="75" xfId="0" applyFont="1" applyBorder="1"/>
    <xf numFmtId="3" fontId="83" fillId="22" borderId="75" xfId="0" applyNumberFormat="1" applyFont="1" applyFill="1" applyBorder="1" applyAlignment="1">
      <alignment horizontal="right" vertical="center" indent="1"/>
    </xf>
    <xf numFmtId="3" fontId="80" fillId="22" borderId="75" xfId="0" applyNumberFormat="1" applyFont="1" applyFill="1" applyBorder="1" applyAlignment="1">
      <alignment horizontal="right" vertical="center" indent="1"/>
    </xf>
    <xf numFmtId="0" fontId="80" fillId="19" borderId="75" xfId="0" applyFont="1" applyFill="1" applyBorder="1" applyAlignment="1">
      <alignment wrapText="1"/>
    </xf>
    <xf numFmtId="0" fontId="81" fillId="0" borderId="75" xfId="0" applyFont="1" applyBorder="1" applyAlignment="1">
      <alignment wrapText="1"/>
    </xf>
    <xf numFmtId="0" fontId="3" fillId="0" borderId="0" xfId="0" applyFont="1" applyAlignment="1">
      <alignment wrapText="1"/>
    </xf>
    <xf numFmtId="3" fontId="12" fillId="17" borderId="33" xfId="0" applyNumberFormat="1" applyFont="1" applyFill="1" applyBorder="1" applyAlignment="1">
      <alignment horizontal="right" vertical="center" indent="1"/>
    </xf>
    <xf numFmtId="3" fontId="13" fillId="17" borderId="34" xfId="0" applyNumberFormat="1" applyFont="1" applyFill="1" applyBorder="1" applyAlignment="1">
      <alignment horizontal="right" vertical="center" indent="1"/>
    </xf>
    <xf numFmtId="3" fontId="12" fillId="17" borderId="69" xfId="0" applyNumberFormat="1" applyFont="1" applyFill="1" applyBorder="1" applyAlignment="1">
      <alignment horizontal="right" vertical="center" indent="1"/>
    </xf>
    <xf numFmtId="3" fontId="12" fillId="17" borderId="70"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3" fontId="12" fillId="17" borderId="65" xfId="0" applyNumberFormat="1" applyFont="1" applyFill="1" applyBorder="1" applyAlignment="1">
      <alignment horizontal="right" vertical="center" indent="1"/>
    </xf>
    <xf numFmtId="3" fontId="9" fillId="21" borderId="91" xfId="0" applyNumberFormat="1" applyFont="1" applyFill="1" applyBorder="1" applyAlignment="1">
      <alignment horizontal="right" indent="1"/>
    </xf>
    <xf numFmtId="3" fontId="9" fillId="21" borderId="92" xfId="0" applyNumberFormat="1" applyFont="1" applyFill="1" applyBorder="1" applyAlignment="1">
      <alignment horizontal="right" indent="1"/>
    </xf>
    <xf numFmtId="0" fontId="9" fillId="32" borderId="64" xfId="0" applyFont="1" applyFill="1" applyBorder="1"/>
    <xf numFmtId="0" fontId="4" fillId="0" borderId="65" xfId="0" applyFont="1" applyBorder="1"/>
    <xf numFmtId="3" fontId="9" fillId="21" borderId="91" xfId="0" applyNumberFormat="1" applyFont="1" applyFill="1" applyBorder="1"/>
    <xf numFmtId="3" fontId="4" fillId="21" borderId="92" xfId="0" applyNumberFormat="1" applyFont="1" applyFill="1" applyBorder="1"/>
    <xf numFmtId="3" fontId="4" fillId="0" borderId="92" xfId="0" applyNumberFormat="1" applyFont="1" applyBorder="1"/>
    <xf numFmtId="3" fontId="9" fillId="32" borderId="64" xfId="0" applyNumberFormat="1" applyFont="1" applyFill="1" applyBorder="1" applyAlignment="1">
      <alignment horizontal="right" vertical="center" indent="1"/>
    </xf>
    <xf numFmtId="0" fontId="4" fillId="0" borderId="65" xfId="0" applyFont="1" applyBorder="1" applyAlignment="1">
      <alignment horizontal="right" indent="1"/>
    </xf>
    <xf numFmtId="3" fontId="12" fillId="17" borderId="34" xfId="0" applyNumberFormat="1" applyFont="1" applyFill="1" applyBorder="1" applyAlignment="1">
      <alignment horizontal="right" vertical="center" indent="1"/>
    </xf>
    <xf numFmtId="3" fontId="9" fillId="17" borderId="35" xfId="0" applyNumberFormat="1" applyFont="1" applyFill="1" applyBorder="1" applyAlignment="1">
      <alignment horizontal="right" vertical="center" indent="1"/>
    </xf>
    <xf numFmtId="3" fontId="7" fillId="17" borderId="36" xfId="0" applyNumberFormat="1" applyFont="1" applyFill="1" applyBorder="1" applyAlignment="1">
      <alignment horizontal="right" vertical="center" indent="1"/>
    </xf>
    <xf numFmtId="0" fontId="9" fillId="32" borderId="64" xfId="0" applyFont="1" applyFill="1" applyBorder="1" applyAlignment="1">
      <alignment horizontal="right" indent="1"/>
    </xf>
    <xf numFmtId="0" fontId="9" fillId="0" borderId="65" xfId="0" applyFont="1" applyBorder="1" applyAlignment="1">
      <alignment horizontal="right" indent="1"/>
    </xf>
    <xf numFmtId="3" fontId="9" fillId="21" borderId="70" xfId="0" applyNumberFormat="1" applyFont="1" applyFill="1" applyBorder="1" applyAlignment="1">
      <alignment horizontal="right" vertical="center" indent="1"/>
    </xf>
    <xf numFmtId="3" fontId="9" fillId="19" borderId="0" xfId="0" applyNumberFormat="1" applyFont="1" applyFill="1" applyAlignment="1">
      <alignment horizontal="center" wrapText="1"/>
    </xf>
    <xf numFmtId="0" fontId="9" fillId="19" borderId="0" xfId="0" applyFont="1" applyFill="1" applyAlignment="1">
      <alignment horizontal="center" vertical="center"/>
    </xf>
    <xf numFmtId="9" fontId="9" fillId="17" borderId="69" xfId="43" applyFont="1" applyFill="1" applyBorder="1" applyAlignment="1">
      <alignment horizontal="center" vertical="center"/>
    </xf>
    <xf numFmtId="9" fontId="9" fillId="17" borderId="70" xfId="43" applyFont="1" applyFill="1" applyBorder="1" applyAlignment="1">
      <alignment horizontal="center" vertical="center"/>
    </xf>
    <xf numFmtId="3" fontId="12" fillId="27" borderId="70" xfId="0" applyNumberFormat="1" applyFont="1" applyFill="1" applyBorder="1" applyAlignment="1">
      <alignment horizontal="right" vertical="center" indent="1"/>
    </xf>
    <xf numFmtId="0" fontId="4" fillId="19" borderId="15" xfId="0" applyFont="1" applyFill="1" applyBorder="1" applyAlignment="1">
      <alignment horizontal="left"/>
    </xf>
    <xf numFmtId="0" fontId="7" fillId="19" borderId="12" xfId="0" applyFont="1" applyFill="1" applyBorder="1" applyAlignment="1">
      <alignment wrapText="1"/>
    </xf>
    <xf numFmtId="3" fontId="9" fillId="26" borderId="33" xfId="0" applyNumberFormat="1" applyFont="1" applyFill="1" applyBorder="1" applyAlignment="1">
      <alignment horizontal="right" vertical="center" indent="1"/>
    </xf>
    <xf numFmtId="3" fontId="9" fillId="26" borderId="34" xfId="0" applyNumberFormat="1" applyFont="1" applyFill="1" applyBorder="1" applyAlignment="1">
      <alignment horizontal="right" vertical="center" indent="1"/>
    </xf>
    <xf numFmtId="3" fontId="9" fillId="26" borderId="79"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3" fontId="9" fillId="17" borderId="34" xfId="0" applyNumberFormat="1" applyFont="1" applyFill="1" applyBorder="1" applyAlignment="1">
      <alignment horizontal="right" vertical="center" indent="1"/>
    </xf>
    <xf numFmtId="3" fontId="9" fillId="26" borderId="0" xfId="0" applyNumberFormat="1" applyFont="1" applyFill="1" applyAlignment="1">
      <alignment horizontal="center" wrapText="1"/>
    </xf>
    <xf numFmtId="0" fontId="7" fillId="26" borderId="0" xfId="0" applyFont="1" applyFill="1" applyAlignment="1">
      <alignment wrapText="1"/>
    </xf>
    <xf numFmtId="0" fontId="45" fillId="19" borderId="0" xfId="0" applyFont="1" applyFill="1" applyAlignment="1">
      <alignment horizontal="center" vertical="center"/>
    </xf>
    <xf numFmtId="0" fontId="7" fillId="26" borderId="0" xfId="0" applyFont="1" applyFill="1" applyAlignment="1">
      <alignment vertical="center" wrapText="1"/>
    </xf>
    <xf numFmtId="3" fontId="9" fillId="17" borderId="65" xfId="0" applyNumberFormat="1" applyFont="1" applyFill="1" applyBorder="1" applyAlignment="1">
      <alignment horizontal="right" vertical="center" indent="1"/>
    </xf>
    <xf numFmtId="3" fontId="9" fillId="26" borderId="53" xfId="0" applyNumberFormat="1" applyFont="1" applyFill="1" applyBorder="1" applyAlignment="1">
      <alignment horizontal="right" vertical="center" indent="1"/>
    </xf>
    <xf numFmtId="3" fontId="9" fillId="26" borderId="54" xfId="0" applyNumberFormat="1" applyFont="1" applyFill="1" applyBorder="1" applyAlignment="1">
      <alignment horizontal="right" vertical="center" indent="1"/>
    </xf>
    <xf numFmtId="3" fontId="9" fillId="26" borderId="64" xfId="0" applyNumberFormat="1" applyFont="1" applyFill="1" applyBorder="1" applyAlignment="1">
      <alignment horizontal="right" vertical="center" indent="1"/>
    </xf>
    <xf numFmtId="3" fontId="9" fillId="26" borderId="65" xfId="0" applyNumberFormat="1" applyFont="1" applyFill="1" applyBorder="1" applyAlignment="1">
      <alignment horizontal="right" vertical="center" indent="1"/>
    </xf>
    <xf numFmtId="3" fontId="9" fillId="19" borderId="0" xfId="0" applyNumberFormat="1" applyFont="1" applyFill="1" applyAlignment="1">
      <alignment horizontal="center" vertical="center"/>
    </xf>
    <xf numFmtId="3" fontId="9" fillId="17" borderId="64" xfId="0" applyNumberFormat="1" applyFont="1" applyFill="1" applyBorder="1" applyAlignment="1" applyProtection="1">
      <alignment horizontal="right" vertical="center" indent="1"/>
      <protection locked="0"/>
    </xf>
    <xf numFmtId="3" fontId="9" fillId="17" borderId="65" xfId="0" applyNumberFormat="1" applyFont="1" applyFill="1" applyBorder="1" applyAlignment="1" applyProtection="1">
      <alignment horizontal="right" vertical="center" indent="1"/>
      <protection locked="0"/>
    </xf>
    <xf numFmtId="3" fontId="9" fillId="19" borderId="0" xfId="0" applyNumberFormat="1" applyFont="1" applyFill="1" applyAlignment="1">
      <alignment horizontal="right" vertical="center" indent="1"/>
    </xf>
    <xf numFmtId="0" fontId="7" fillId="19" borderId="0" xfId="0" applyFont="1" applyFill="1" applyAlignment="1">
      <alignment wrapText="1"/>
    </xf>
    <xf numFmtId="0" fontId="7" fillId="0" borderId="0" xfId="0" applyFont="1" applyAlignment="1">
      <alignment wrapText="1"/>
    </xf>
    <xf numFmtId="9" fontId="9" fillId="17" borderId="33" xfId="43" applyFont="1" applyFill="1" applyBorder="1" applyAlignment="1">
      <alignment horizontal="right" vertical="center" indent="1"/>
    </xf>
    <xf numFmtId="9" fontId="9" fillId="17" borderId="34" xfId="43" applyFont="1" applyFill="1" applyBorder="1" applyAlignment="1">
      <alignment horizontal="right" vertical="center" indent="1"/>
    </xf>
    <xf numFmtId="3" fontId="9" fillId="0" borderId="91" xfId="0" applyNumberFormat="1" applyFont="1" applyBorder="1" applyAlignment="1">
      <alignment horizontal="right" vertical="center" indent="1"/>
    </xf>
    <xf numFmtId="0" fontId="9" fillId="0" borderId="92" xfId="0" applyFont="1" applyBorder="1" applyAlignment="1">
      <alignment horizontal="right" vertical="center" indent="1"/>
    </xf>
    <xf numFmtId="0" fontId="9" fillId="21" borderId="92" xfId="0" applyFont="1" applyFill="1" applyBorder="1" applyAlignment="1">
      <alignment horizontal="right" vertical="center" indent="1"/>
    </xf>
    <xf numFmtId="1" fontId="4" fillId="29" borderId="112" xfId="0" applyNumberFormat="1" applyFont="1" applyFill="1" applyBorder="1" applyAlignment="1">
      <alignment horizontal="center" wrapText="1"/>
    </xf>
    <xf numFmtId="0" fontId="0" fillId="0" borderId="32" xfId="0" applyBorder="1" applyAlignment="1">
      <alignment horizontal="center" wrapText="1"/>
    </xf>
    <xf numFmtId="0" fontId="0" fillId="0" borderId="113" xfId="0" applyBorder="1" applyAlignment="1">
      <alignment horizontal="center" wrapText="1"/>
    </xf>
    <xf numFmtId="1" fontId="4" fillId="29" borderId="81" xfId="0" applyNumberFormat="1" applyFont="1" applyFill="1" applyBorder="1" applyAlignment="1">
      <alignment horizontal="center" wrapText="1"/>
    </xf>
    <xf numFmtId="0" fontId="4" fillId="29" borderId="81" xfId="0" applyFont="1" applyFill="1" applyBorder="1" applyAlignment="1">
      <alignment horizontal="center" wrapText="1"/>
    </xf>
    <xf numFmtId="0" fontId="4" fillId="29" borderId="112" xfId="0" applyFont="1" applyFill="1" applyBorder="1" applyAlignment="1">
      <alignment horizontal="center" wrapText="1"/>
    </xf>
    <xf numFmtId="0" fontId="0" fillId="29" borderId="32" xfId="0" applyFill="1" applyBorder="1" applyAlignment="1">
      <alignment horizontal="center" wrapText="1"/>
    </xf>
    <xf numFmtId="0" fontId="0" fillId="29" borderId="113" xfId="0" applyFill="1" applyBorder="1" applyAlignment="1">
      <alignment horizontal="center" wrapText="1"/>
    </xf>
    <xf numFmtId="0" fontId="4" fillId="29" borderId="32" xfId="0" applyFont="1" applyFill="1" applyBorder="1" applyAlignment="1">
      <alignment horizontal="center" wrapText="1"/>
    </xf>
    <xf numFmtId="0" fontId="4" fillId="29" borderId="113" xfId="0" applyFont="1" applyFill="1" applyBorder="1" applyAlignment="1">
      <alignment horizontal="center" wrapText="1"/>
    </xf>
    <xf numFmtId="0" fontId="4" fillId="0" borderId="32" xfId="0" applyFont="1" applyBorder="1" applyAlignment="1">
      <alignment horizontal="center" wrapText="1"/>
    </xf>
    <xf numFmtId="0" fontId="4" fillId="0" borderId="113" xfId="0" applyFont="1" applyBorder="1" applyAlignment="1">
      <alignment horizontal="center" wrapText="1"/>
    </xf>
    <xf numFmtId="0" fontId="0" fillId="0" borderId="0" xfId="0" applyNumberFormat="1" applyFont="1" applyFill="1" applyBorder="1" applyAlignment="1" applyProtection="1"/>
    <xf numFmtId="0" fontId="0" fillId="0" borderId="119" xfId="0" applyNumberFormat="1" applyFont="1" applyFill="1" applyBorder="1" applyAlignment="1" applyProtection="1"/>
    <xf numFmtId="0" fontId="4" fillId="0" borderId="119" xfId="0" applyNumberFormat="1" applyFont="1" applyFill="1" applyBorder="1" applyAlignment="1" applyProtection="1"/>
    <xf numFmtId="0" fontId="3" fillId="0" borderId="119" xfId="0" applyNumberFormat="1" applyFont="1" applyFill="1" applyBorder="1" applyAlignment="1" applyProtection="1"/>
    <xf numFmtId="0" fontId="4" fillId="0" borderId="119" xfId="0" applyNumberFormat="1" applyFont="1" applyFill="1" applyBorder="1" applyAlignment="1" applyProtection="1">
      <alignment horizontal="left" wrapText="1"/>
    </xf>
    <xf numFmtId="0" fontId="4" fillId="0" borderId="0" xfId="0" applyNumberFormat="1" applyFont="1" applyFill="1" applyBorder="1" applyAlignment="1" applyProtection="1">
      <alignment horizontal="left" wrapText="1"/>
    </xf>
    <xf numFmtId="0" fontId="0" fillId="0" borderId="120" xfId="0" applyNumberFormat="1" applyFont="1" applyFill="1" applyBorder="1" applyAlignment="1" applyProtection="1"/>
    <xf numFmtId="0" fontId="88" fillId="0" borderId="119" xfId="0" applyNumberFormat="1" applyFont="1" applyFill="1" applyBorder="1" applyAlignment="1" applyProtection="1">
      <alignment horizontal="justify" vertical="center"/>
    </xf>
    <xf numFmtId="0" fontId="3" fillId="0" borderId="0" xfId="0" applyNumberFormat="1" applyFont="1" applyFill="1" applyBorder="1" applyAlignment="1" applyProtection="1">
      <alignment wrapText="1"/>
    </xf>
    <xf numFmtId="0" fontId="3" fillId="0" borderId="119" xfId="0" applyNumberFormat="1" applyFont="1" applyFill="1" applyBorder="1" applyAlignment="1" applyProtection="1">
      <alignment wrapText="1"/>
    </xf>
    <xf numFmtId="0" fontId="3" fillId="0" borderId="120" xfId="0" applyNumberFormat="1" applyFont="1" applyFill="1" applyBorder="1" applyAlignment="1" applyProtection="1">
      <alignment wrapText="1"/>
    </xf>
    <xf numFmtId="0" fontId="0" fillId="0" borderId="121" xfId="0" applyNumberFormat="1" applyFont="1" applyFill="1" applyBorder="1" applyAlignment="1" applyProtection="1"/>
    <xf numFmtId="0" fontId="0" fillId="0" borderId="122" xfId="0" applyNumberFormat="1" applyFont="1" applyFill="1" applyBorder="1" applyAlignment="1" applyProtection="1"/>
    <xf numFmtId="0" fontId="0" fillId="0" borderId="123" xfId="0" applyNumberFormat="1" applyFont="1" applyFill="1" applyBorder="1" applyAlignment="1" applyProtection="1"/>
  </cellXfs>
  <cellStyles count="69">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21">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FFCC"/>
      <color rgb="FFFFFFFF"/>
      <color rgb="FF99CC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16" fmlaLink="F1" fmlaRange="Datasheet1!$D$6:$D$332" noThreeD="1" sel="327"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sktop21.dclg.gov.uk\DCLGDFS\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1"/>
      <sheetName val="Title"/>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44"/>
  <sheetViews>
    <sheetView showGridLines="0" tabSelected="1" zoomScale="93" zoomScaleNormal="90" workbookViewId="0"/>
  </sheetViews>
  <sheetFormatPr defaultRowHeight="12.75" x14ac:dyDescent="0.2"/>
  <cols>
    <col min="1" max="1" width="4" customWidth="1"/>
    <col min="2" max="2" width="13.42578125" customWidth="1"/>
  </cols>
  <sheetData>
    <row r="1" spans="2:23" ht="13.5" thickBot="1" x14ac:dyDescent="0.25"/>
    <row r="2" spans="2:23" x14ac:dyDescent="0.2">
      <c r="B2" s="436"/>
      <c r="C2" s="437"/>
      <c r="D2" s="437"/>
      <c r="E2" s="437"/>
      <c r="F2" s="437"/>
      <c r="G2" s="437"/>
      <c r="H2" s="437"/>
      <c r="I2" s="437"/>
      <c r="J2" s="437"/>
      <c r="K2" s="437"/>
      <c r="L2" s="437"/>
      <c r="M2" s="437"/>
      <c r="N2" s="437"/>
      <c r="O2" s="438"/>
    </row>
    <row r="3" spans="2:23" x14ac:dyDescent="0.2">
      <c r="B3" s="439"/>
      <c r="O3" s="440"/>
    </row>
    <row r="4" spans="2:23" x14ac:dyDescent="0.2">
      <c r="B4" s="439"/>
      <c r="O4" s="440"/>
      <c r="Q4" s="669"/>
      <c r="R4" s="669"/>
      <c r="S4" s="669"/>
      <c r="T4" s="669"/>
      <c r="U4" s="669"/>
      <c r="V4" s="669"/>
      <c r="W4" s="669"/>
    </row>
    <row r="5" spans="2:23" x14ac:dyDescent="0.2">
      <c r="B5" s="439"/>
      <c r="O5" s="440"/>
    </row>
    <row r="6" spans="2:23" x14ac:dyDescent="0.2">
      <c r="B6" s="439"/>
      <c r="O6" s="440"/>
    </row>
    <row r="7" spans="2:23" x14ac:dyDescent="0.2">
      <c r="B7" s="439"/>
      <c r="O7" s="440"/>
    </row>
    <row r="8" spans="2:23" x14ac:dyDescent="0.2">
      <c r="B8" s="439"/>
      <c r="O8" s="440"/>
    </row>
    <row r="9" spans="2:23" x14ac:dyDescent="0.2">
      <c r="B9" s="439"/>
      <c r="O9" s="440"/>
    </row>
    <row r="10" spans="2:23" ht="17.25" customHeight="1" x14ac:dyDescent="0.2">
      <c r="B10" s="441" t="s">
        <v>1058</v>
      </c>
      <c r="O10" s="440"/>
    </row>
    <row r="11" spans="2:23" ht="71.25" customHeight="1" x14ac:dyDescent="0.2">
      <c r="B11" s="696" t="s">
        <v>1815</v>
      </c>
      <c r="C11" s="697"/>
      <c r="D11" s="697"/>
      <c r="E11" s="697"/>
      <c r="F11" s="697"/>
      <c r="G11" s="697"/>
      <c r="H11" s="697"/>
      <c r="I11" s="697"/>
      <c r="J11" s="697"/>
      <c r="K11" s="697"/>
      <c r="L11" s="697"/>
      <c r="M11" s="697"/>
      <c r="N11" s="697"/>
      <c r="O11" s="440"/>
      <c r="V11" s="185"/>
    </row>
    <row r="12" spans="2:23" ht="65.25" customHeight="1" x14ac:dyDescent="0.2">
      <c r="B12" s="692" t="s">
        <v>1824</v>
      </c>
      <c r="C12" s="693"/>
      <c r="D12" s="693"/>
      <c r="E12" s="693"/>
      <c r="F12" s="693"/>
      <c r="G12" s="693"/>
      <c r="H12" s="693"/>
      <c r="I12" s="693"/>
      <c r="J12" s="693"/>
      <c r="K12" s="693"/>
      <c r="L12" s="693"/>
      <c r="M12" s="693"/>
      <c r="N12" s="693"/>
      <c r="O12" s="694"/>
      <c r="V12" s="185"/>
    </row>
    <row r="13" spans="2:23" ht="51.6" customHeight="1" x14ac:dyDescent="0.2">
      <c r="B13" s="698" t="s">
        <v>1819</v>
      </c>
      <c r="C13" s="699"/>
      <c r="D13" s="699"/>
      <c r="E13" s="699"/>
      <c r="F13" s="699"/>
      <c r="G13" s="699"/>
      <c r="H13" s="699"/>
      <c r="I13" s="699"/>
      <c r="J13" s="699"/>
      <c r="K13" s="699"/>
      <c r="L13" s="699"/>
      <c r="M13" s="699"/>
      <c r="N13" s="699"/>
      <c r="O13" s="443"/>
      <c r="V13" s="185"/>
    </row>
    <row r="14" spans="2:23" ht="32.25" customHeight="1" x14ac:dyDescent="0.2">
      <c r="B14" s="700" t="s">
        <v>1061</v>
      </c>
      <c r="C14" s="701"/>
      <c r="D14" s="701"/>
      <c r="E14" s="701"/>
      <c r="F14" s="701"/>
      <c r="G14" s="701"/>
      <c r="H14" s="701"/>
      <c r="I14" s="701"/>
      <c r="J14" s="701"/>
      <c r="K14" s="701"/>
      <c r="L14" s="701"/>
      <c r="M14" s="701"/>
      <c r="N14" s="701"/>
      <c r="O14" s="443"/>
    </row>
    <row r="15" spans="2:23" x14ac:dyDescent="0.2">
      <c r="B15" s="696" t="s">
        <v>1062</v>
      </c>
      <c r="C15" s="697"/>
      <c r="D15" s="697"/>
      <c r="E15" s="697"/>
      <c r="F15" s="697"/>
      <c r="G15" s="697"/>
      <c r="H15" s="697"/>
      <c r="I15" s="697"/>
      <c r="J15" s="697"/>
      <c r="K15" s="697"/>
      <c r="L15" s="697"/>
      <c r="M15" s="697"/>
      <c r="N15" s="697"/>
      <c r="O15" s="443"/>
      <c r="V15" s="185"/>
    </row>
    <row r="16" spans="2:23" ht="23.25" customHeight="1" x14ac:dyDescent="0.2">
      <c r="B16" s="444" t="s">
        <v>1063</v>
      </c>
      <c r="C16" s="697" t="s">
        <v>1070</v>
      </c>
      <c r="D16" s="697"/>
      <c r="E16" s="697"/>
      <c r="F16" s="697"/>
      <c r="G16" s="697"/>
      <c r="H16" s="697"/>
      <c r="I16" s="697"/>
      <c r="J16" s="697"/>
      <c r="K16" s="697"/>
      <c r="L16" s="697"/>
      <c r="M16" s="697"/>
      <c r="N16" s="697"/>
      <c r="O16" s="443"/>
      <c r="V16" s="185"/>
    </row>
    <row r="17" spans="2:15" x14ac:dyDescent="0.2">
      <c r="B17" s="445"/>
      <c r="C17" s="442"/>
      <c r="D17" s="442"/>
      <c r="E17" s="442"/>
      <c r="F17" s="442"/>
      <c r="G17" s="442"/>
      <c r="H17" s="442"/>
      <c r="I17" s="442"/>
      <c r="J17" s="442"/>
      <c r="K17" s="442"/>
      <c r="L17" s="442"/>
      <c r="M17" s="442"/>
      <c r="N17" s="442"/>
      <c r="O17" s="443"/>
    </row>
    <row r="18" spans="2:15" ht="50.1" customHeight="1" x14ac:dyDescent="0.2">
      <c r="B18" s="444" t="s">
        <v>1064</v>
      </c>
      <c r="C18" s="697" t="s">
        <v>1526</v>
      </c>
      <c r="D18" s="697"/>
      <c r="E18" s="697"/>
      <c r="F18" s="697"/>
      <c r="G18" s="697"/>
      <c r="H18" s="697"/>
      <c r="I18" s="697"/>
      <c r="J18" s="697"/>
      <c r="K18" s="697"/>
      <c r="L18" s="697"/>
      <c r="M18" s="697"/>
      <c r="N18" s="697"/>
      <c r="O18" s="443"/>
    </row>
    <row r="19" spans="2:15" ht="12" customHeight="1" x14ac:dyDescent="0.2">
      <c r="B19" s="444"/>
      <c r="C19" s="545"/>
      <c r="D19" s="545"/>
      <c r="E19" s="545"/>
      <c r="F19" s="545"/>
      <c r="G19" s="545"/>
      <c r="H19" s="545"/>
      <c r="I19" s="545"/>
      <c r="J19" s="545"/>
      <c r="K19" s="545"/>
      <c r="L19" s="545"/>
      <c r="M19" s="545"/>
      <c r="N19" s="545"/>
      <c r="O19" s="443"/>
    </row>
    <row r="20" spans="2:15" ht="12" customHeight="1" x14ac:dyDescent="0.2">
      <c r="B20" s="444" t="s">
        <v>1246</v>
      </c>
      <c r="C20" s="697" t="s">
        <v>1816</v>
      </c>
      <c r="D20" s="702"/>
      <c r="E20" s="702"/>
      <c r="F20" s="702"/>
      <c r="G20" s="702"/>
      <c r="H20" s="702"/>
      <c r="I20" s="702"/>
      <c r="J20" s="702"/>
      <c r="K20" s="702"/>
      <c r="L20" s="702"/>
      <c r="M20" s="702"/>
      <c r="N20" s="702"/>
      <c r="O20" s="443"/>
    </row>
    <row r="21" spans="2:15" x14ac:dyDescent="0.2">
      <c r="B21" s="445"/>
      <c r="C21" s="442"/>
      <c r="D21" s="442"/>
      <c r="E21" s="442"/>
      <c r="F21" s="442"/>
      <c r="G21" s="442"/>
      <c r="H21" s="442"/>
      <c r="I21" s="442"/>
      <c r="J21" s="442"/>
      <c r="K21" s="442"/>
      <c r="L21" s="442"/>
      <c r="M21" s="442"/>
      <c r="N21" s="442"/>
      <c r="O21" s="443"/>
    </row>
    <row r="22" spans="2:15" ht="52.5" customHeight="1" x14ac:dyDescent="0.2">
      <c r="B22" s="444" t="s">
        <v>1065</v>
      </c>
      <c r="C22" s="697" t="s">
        <v>1813</v>
      </c>
      <c r="D22" s="697"/>
      <c r="E22" s="697"/>
      <c r="F22" s="697"/>
      <c r="G22" s="697"/>
      <c r="H22" s="697"/>
      <c r="I22" s="697"/>
      <c r="J22" s="697"/>
      <c r="K22" s="697"/>
      <c r="L22" s="697"/>
      <c r="M22" s="697"/>
      <c r="N22" s="697"/>
      <c r="O22" s="443"/>
    </row>
    <row r="23" spans="2:15" x14ac:dyDescent="0.2">
      <c r="B23" s="445"/>
      <c r="C23" s="442"/>
      <c r="D23" s="442"/>
      <c r="E23" s="442"/>
      <c r="F23" s="442"/>
      <c r="G23" s="442"/>
      <c r="H23" s="442"/>
      <c r="I23" s="442"/>
      <c r="J23" s="442"/>
      <c r="K23" s="442"/>
      <c r="L23" s="442"/>
      <c r="M23" s="442"/>
      <c r="N23" s="442"/>
      <c r="O23" s="443"/>
    </row>
    <row r="24" spans="2:15" x14ac:dyDescent="0.2">
      <c r="B24" s="444" t="s">
        <v>1066</v>
      </c>
      <c r="C24" s="697" t="s">
        <v>1068</v>
      </c>
      <c r="D24" s="697"/>
      <c r="E24" s="697"/>
      <c r="F24" s="697"/>
      <c r="G24" s="697"/>
      <c r="H24" s="697"/>
      <c r="I24" s="697"/>
      <c r="J24" s="697"/>
      <c r="K24" s="697"/>
      <c r="L24" s="697"/>
      <c r="M24" s="697"/>
      <c r="N24" s="697"/>
      <c r="O24" s="443"/>
    </row>
    <row r="25" spans="2:15" x14ac:dyDescent="0.2">
      <c r="B25" s="445"/>
      <c r="C25" s="442"/>
      <c r="D25" s="442"/>
      <c r="E25" s="442"/>
      <c r="F25" s="442"/>
      <c r="G25" s="442"/>
      <c r="H25" s="442"/>
      <c r="I25" s="442"/>
      <c r="J25" s="442"/>
      <c r="K25" s="442"/>
      <c r="L25" s="442"/>
      <c r="M25" s="442"/>
      <c r="N25" s="442"/>
      <c r="O25" s="443"/>
    </row>
    <row r="26" spans="2:15" ht="27" customHeight="1" x14ac:dyDescent="0.2">
      <c r="B26" s="444" t="s">
        <v>1067</v>
      </c>
      <c r="C26" s="697" t="s">
        <v>1069</v>
      </c>
      <c r="D26" s="697"/>
      <c r="E26" s="697"/>
      <c r="F26" s="697"/>
      <c r="G26" s="697"/>
      <c r="H26" s="697"/>
      <c r="I26" s="697"/>
      <c r="J26" s="697"/>
      <c r="K26" s="697"/>
      <c r="L26" s="697"/>
      <c r="M26" s="697"/>
      <c r="N26" s="697"/>
      <c r="O26" s="443"/>
    </row>
    <row r="27" spans="2:15" x14ac:dyDescent="0.2">
      <c r="B27" s="445"/>
      <c r="C27" s="442"/>
      <c r="D27" s="442"/>
      <c r="E27" s="442"/>
      <c r="F27" s="442"/>
      <c r="G27" s="442"/>
      <c r="H27" s="442"/>
      <c r="I27" s="442"/>
      <c r="J27" s="442"/>
      <c r="K27" s="442"/>
      <c r="L27" s="442"/>
      <c r="M27" s="442"/>
      <c r="N27" s="442"/>
      <c r="O27" s="443"/>
    </row>
    <row r="28" spans="2:15" x14ac:dyDescent="0.2">
      <c r="B28" s="435"/>
      <c r="C28" s="434"/>
      <c r="D28" s="434"/>
      <c r="E28" s="434"/>
      <c r="F28" s="434"/>
      <c r="G28" s="434"/>
      <c r="H28" s="434"/>
      <c r="I28" s="434"/>
      <c r="J28" s="434"/>
      <c r="K28" s="434"/>
      <c r="L28" s="434"/>
      <c r="M28" s="434"/>
      <c r="O28" s="440"/>
    </row>
    <row r="29" spans="2:15" x14ac:dyDescent="0.2">
      <c r="B29" s="441" t="s">
        <v>1071</v>
      </c>
      <c r="O29" s="440"/>
    </row>
    <row r="30" spans="2:15" x14ac:dyDescent="0.2">
      <c r="B30" s="441"/>
      <c r="O30" s="440"/>
    </row>
    <row r="31" spans="2:15" ht="12.75" customHeight="1" x14ac:dyDescent="0.2">
      <c r="B31" s="698" t="s">
        <v>1527</v>
      </c>
      <c r="C31" s="699"/>
      <c r="D31" s="699"/>
      <c r="E31" s="699"/>
      <c r="F31" s="699"/>
      <c r="G31" s="699"/>
      <c r="H31" s="699"/>
      <c r="I31" s="699"/>
      <c r="J31" s="699"/>
      <c r="K31" s="699"/>
      <c r="L31" s="699"/>
      <c r="M31" s="699"/>
      <c r="N31" s="699"/>
      <c r="O31" s="440"/>
    </row>
    <row r="32" spans="2:15" x14ac:dyDescent="0.2">
      <c r="B32" s="435"/>
      <c r="C32" s="434"/>
      <c r="D32" s="434"/>
      <c r="E32" s="434"/>
      <c r="F32" s="434"/>
      <c r="G32" s="434"/>
      <c r="H32" s="434"/>
      <c r="I32" s="434"/>
      <c r="J32" s="434"/>
      <c r="K32" s="434"/>
      <c r="L32" s="434"/>
      <c r="M32" s="434"/>
      <c r="O32" s="440"/>
    </row>
    <row r="33" spans="2:15" x14ac:dyDescent="0.2">
      <c r="B33" s="944" t="s">
        <v>1059</v>
      </c>
      <c r="C33" s="942"/>
      <c r="D33" s="942"/>
      <c r="E33" s="942"/>
      <c r="F33" s="942"/>
      <c r="G33" s="942"/>
      <c r="H33" s="942"/>
      <c r="I33" s="942"/>
      <c r="J33" s="942"/>
      <c r="K33" s="942"/>
      <c r="L33" s="942"/>
      <c r="M33" s="942"/>
      <c r="N33" s="942"/>
      <c r="O33" s="948"/>
    </row>
    <row r="34" spans="2:15" ht="15" x14ac:dyDescent="0.2">
      <c r="B34" s="949"/>
      <c r="C34" s="942"/>
      <c r="D34" s="942"/>
      <c r="E34" s="942"/>
      <c r="F34" s="942"/>
      <c r="G34" s="942"/>
      <c r="H34" s="942"/>
      <c r="I34" s="942"/>
      <c r="J34" s="942"/>
      <c r="K34" s="942"/>
      <c r="L34" s="942"/>
      <c r="M34" s="942"/>
      <c r="N34" s="942"/>
      <c r="O34" s="948"/>
    </row>
    <row r="35" spans="2:15" ht="12.75" customHeight="1" x14ac:dyDescent="0.2">
      <c r="B35" s="951" t="s">
        <v>1814</v>
      </c>
      <c r="C35" s="950"/>
      <c r="D35" s="950"/>
      <c r="E35" s="950"/>
      <c r="F35" s="950"/>
      <c r="G35" s="950"/>
      <c r="H35" s="950"/>
      <c r="I35" s="950"/>
      <c r="J35" s="950"/>
      <c r="K35" s="950"/>
      <c r="L35" s="950"/>
      <c r="M35" s="950"/>
      <c r="N35" s="950"/>
      <c r="O35" s="952"/>
    </row>
    <row r="36" spans="2:15" ht="27" customHeight="1" x14ac:dyDescent="0.2">
      <c r="B36" s="951"/>
      <c r="C36" s="950"/>
      <c r="D36" s="950"/>
      <c r="E36" s="950"/>
      <c r="F36" s="950"/>
      <c r="G36" s="950"/>
      <c r="H36" s="950"/>
      <c r="I36" s="950"/>
      <c r="J36" s="950"/>
      <c r="K36" s="950"/>
      <c r="L36" s="950"/>
      <c r="M36" s="950"/>
      <c r="N36" s="950"/>
      <c r="O36" s="952"/>
    </row>
    <row r="37" spans="2:15" ht="10.5" customHeight="1" x14ac:dyDescent="0.2">
      <c r="B37" s="943"/>
      <c r="C37" s="942"/>
      <c r="D37" s="942"/>
      <c r="E37" s="942"/>
      <c r="F37" s="942"/>
      <c r="G37" s="942"/>
      <c r="H37" s="942"/>
      <c r="I37" s="942"/>
      <c r="J37" s="942"/>
      <c r="K37" s="942"/>
      <c r="L37" s="942"/>
      <c r="M37" s="942"/>
      <c r="N37" s="942"/>
      <c r="O37" s="948"/>
    </row>
    <row r="38" spans="2:15" x14ac:dyDescent="0.2">
      <c r="B38" s="944" t="s">
        <v>1060</v>
      </c>
      <c r="C38" s="942"/>
      <c r="D38" s="942"/>
      <c r="E38" s="942"/>
      <c r="F38" s="942"/>
      <c r="G38" s="942"/>
      <c r="H38" s="942"/>
      <c r="I38" s="942"/>
      <c r="J38" s="942"/>
      <c r="K38" s="942"/>
      <c r="L38" s="942"/>
      <c r="M38" s="942"/>
      <c r="N38" s="942"/>
      <c r="O38" s="948"/>
    </row>
    <row r="39" spans="2:15" x14ac:dyDescent="0.2">
      <c r="B39" s="943"/>
      <c r="C39" s="942"/>
      <c r="D39" s="942"/>
      <c r="E39" s="942"/>
      <c r="F39" s="942"/>
      <c r="G39" s="942"/>
      <c r="H39" s="942"/>
      <c r="I39" s="942"/>
      <c r="J39" s="942"/>
      <c r="K39" s="942"/>
      <c r="L39" s="942"/>
      <c r="M39" s="942"/>
      <c r="N39" s="942"/>
      <c r="O39" s="948"/>
    </row>
    <row r="40" spans="2:15" x14ac:dyDescent="0.2">
      <c r="B40" s="945" t="s">
        <v>1378</v>
      </c>
      <c r="C40" s="942"/>
      <c r="D40" s="942"/>
      <c r="E40" s="942"/>
      <c r="F40" s="942"/>
      <c r="G40" s="942"/>
      <c r="H40" s="942"/>
      <c r="I40" s="942"/>
      <c r="J40" s="942"/>
      <c r="K40" s="942"/>
      <c r="L40" s="942"/>
      <c r="M40" s="942"/>
      <c r="N40" s="942"/>
      <c r="O40" s="948"/>
    </row>
    <row r="41" spans="2:15" x14ac:dyDescent="0.2">
      <c r="B41" s="943"/>
      <c r="C41" s="942"/>
      <c r="D41" s="942"/>
      <c r="E41" s="942"/>
      <c r="F41" s="942"/>
      <c r="G41" s="942"/>
      <c r="H41" s="942"/>
      <c r="I41" s="942"/>
      <c r="J41" s="942"/>
      <c r="K41" s="942"/>
      <c r="L41" s="942"/>
      <c r="M41" s="942"/>
      <c r="N41" s="942"/>
      <c r="O41" s="948"/>
    </row>
    <row r="42" spans="2:15" ht="42" customHeight="1" x14ac:dyDescent="0.2">
      <c r="B42" s="946" t="s">
        <v>1829</v>
      </c>
      <c r="C42" s="947"/>
      <c r="D42" s="947"/>
      <c r="E42" s="947"/>
      <c r="F42" s="947"/>
      <c r="G42" s="942"/>
      <c r="H42" s="942"/>
      <c r="I42" s="942"/>
      <c r="J42" s="942"/>
      <c r="K42" s="942"/>
      <c r="L42" s="942"/>
      <c r="M42" s="942"/>
      <c r="N42" s="942"/>
      <c r="O42" s="948"/>
    </row>
    <row r="43" spans="2:15" ht="12.75" customHeight="1" x14ac:dyDescent="0.2">
      <c r="B43" s="944" t="s">
        <v>1828</v>
      </c>
      <c r="C43" s="942"/>
      <c r="D43" s="942"/>
      <c r="E43" s="942"/>
      <c r="F43" s="942"/>
      <c r="G43" s="942"/>
      <c r="H43" s="942"/>
      <c r="I43" s="942"/>
      <c r="J43" s="942"/>
      <c r="K43" s="942"/>
      <c r="L43" s="942"/>
      <c r="M43" s="942"/>
      <c r="N43" s="942"/>
      <c r="O43" s="948"/>
    </row>
    <row r="44" spans="2:15" ht="13.5" thickBot="1" x14ac:dyDescent="0.25">
      <c r="B44" s="953"/>
      <c r="C44" s="954"/>
      <c r="D44" s="954"/>
      <c r="E44" s="954"/>
      <c r="F44" s="954"/>
      <c r="G44" s="954"/>
      <c r="H44" s="954"/>
      <c r="I44" s="954"/>
      <c r="J44" s="954"/>
      <c r="K44" s="954"/>
      <c r="L44" s="954"/>
      <c r="M44" s="954"/>
      <c r="N44" s="954"/>
      <c r="O44" s="955"/>
    </row>
  </sheetData>
  <mergeCells count="14">
    <mergeCell ref="B42:F42"/>
    <mergeCell ref="B35:O36"/>
    <mergeCell ref="B11:N11"/>
    <mergeCell ref="B13:N13"/>
    <mergeCell ref="B14:N14"/>
    <mergeCell ref="B15:N15"/>
    <mergeCell ref="C16:N16"/>
    <mergeCell ref="C26:N26"/>
    <mergeCell ref="C24:N24"/>
    <mergeCell ref="C22:N22"/>
    <mergeCell ref="C18:N18"/>
    <mergeCell ref="B31:N31"/>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36"/>
  <sheetViews>
    <sheetView showGridLines="0" zoomScaleNormal="100" workbookViewId="0"/>
  </sheetViews>
  <sheetFormatPr defaultColWidth="9.140625" defaultRowHeight="12.75" x14ac:dyDescent="0.2"/>
  <cols>
    <col min="1" max="1" width="3.7109375" style="187" customWidth="1"/>
    <col min="2" max="2" width="8.42578125" customWidth="1"/>
    <col min="3" max="3" width="27.7109375" customWidth="1"/>
    <col min="4" max="4" width="16" style="446" customWidth="1"/>
    <col min="5" max="5" width="11.7109375" style="446" customWidth="1"/>
    <col min="6" max="6" width="14.42578125" style="446" customWidth="1"/>
    <col min="7" max="7" width="10" style="446" customWidth="1"/>
    <col min="8" max="8" width="9.42578125" style="446" bestFit="1" customWidth="1"/>
    <col min="9" max="9" width="9.7109375" style="446" bestFit="1" customWidth="1"/>
    <col min="10" max="10" width="12.85546875" style="446" customWidth="1"/>
    <col min="11" max="11" width="11.28515625" style="446" customWidth="1"/>
    <col min="12" max="12" width="13.28515625" style="446" customWidth="1"/>
    <col min="13" max="13" width="14.5703125" style="446" customWidth="1"/>
    <col min="14" max="14" width="9.42578125" style="446" bestFit="1" customWidth="1"/>
    <col min="15" max="15" width="12" style="446" customWidth="1"/>
    <col min="16" max="16" width="11.42578125" style="446" customWidth="1"/>
    <col min="17" max="17" width="9.42578125" style="446" bestFit="1" customWidth="1"/>
    <col min="18" max="18" width="13.85546875" style="446" customWidth="1"/>
    <col min="19" max="19" width="14" style="446" customWidth="1"/>
    <col min="20" max="21" width="11.28515625" style="446" customWidth="1"/>
    <col min="22" max="22" width="13.85546875" style="446" customWidth="1"/>
    <col min="23" max="24" width="11.28515625" style="446" customWidth="1"/>
    <col min="25" max="25" width="13.42578125" style="446" customWidth="1"/>
    <col min="26" max="26" width="9.7109375" style="446" bestFit="1" customWidth="1"/>
    <col min="27" max="30" width="13.28515625" style="446" customWidth="1"/>
    <col min="31" max="31" width="14.140625" style="446" customWidth="1"/>
    <col min="32" max="32" width="11.5703125" style="446" customWidth="1"/>
    <col min="33" max="33" width="13.85546875" style="446" bestFit="1" customWidth="1"/>
    <col min="34" max="35" width="11.28515625" style="446" customWidth="1"/>
    <col min="36" max="36" width="10.7109375" style="446" customWidth="1"/>
    <col min="37" max="37" width="10.140625" style="446" bestFit="1" customWidth="1"/>
    <col min="38" max="38" width="9.42578125" style="446" bestFit="1" customWidth="1"/>
    <col min="39" max="41" width="9.42578125" style="446" customWidth="1"/>
    <col min="42" max="42" width="13" style="446" customWidth="1"/>
    <col min="43" max="43" width="10.42578125" style="446" customWidth="1"/>
    <col min="44" max="44" width="11.140625" style="446" customWidth="1"/>
    <col min="45" max="45" width="10.85546875" style="446" customWidth="1"/>
    <col min="46" max="48" width="12" style="446" customWidth="1"/>
    <col min="49" max="49" width="11.5703125" style="446" customWidth="1"/>
    <col min="50" max="52" width="12" style="446" customWidth="1"/>
    <col min="53" max="53" width="21.42578125" style="446" customWidth="1"/>
    <col min="54" max="54" width="18.42578125" style="446" customWidth="1"/>
    <col min="55" max="55" width="12" style="446" customWidth="1"/>
    <col min="56" max="59" width="13.85546875" style="446" customWidth="1"/>
    <col min="60" max="60" width="13.7109375" style="446" customWidth="1"/>
    <col min="61" max="63" width="13.85546875" style="446" customWidth="1"/>
    <col min="64" max="64" width="17.5703125" style="446" customWidth="1"/>
    <col min="65" max="65" width="14.5703125" style="446" customWidth="1"/>
    <col min="66" max="66" width="33.140625" style="187" customWidth="1"/>
    <col min="67" max="67" width="27.28515625" style="187" customWidth="1"/>
    <col min="68" max="68" width="30.42578125" style="187" customWidth="1"/>
    <col min="69" max="16384" width="9.140625" style="187"/>
  </cols>
  <sheetData>
    <row r="1" spans="1:69" x14ac:dyDescent="0.2">
      <c r="B1" s="187"/>
      <c r="C1" s="187"/>
      <c r="D1" s="446">
        <v>3</v>
      </c>
      <c r="E1" s="446">
        <v>4</v>
      </c>
      <c r="F1" s="446">
        <v>5</v>
      </c>
      <c r="G1" s="446">
        <v>6</v>
      </c>
      <c r="H1" s="446">
        <v>7</v>
      </c>
      <c r="I1" s="446">
        <v>8</v>
      </c>
      <c r="J1" s="446">
        <v>9</v>
      </c>
      <c r="K1" s="446">
        <v>10</v>
      </c>
      <c r="L1" s="446">
        <v>11</v>
      </c>
      <c r="M1" s="446">
        <v>12</v>
      </c>
      <c r="N1" s="446">
        <v>13</v>
      </c>
      <c r="O1" s="446">
        <v>14</v>
      </c>
      <c r="P1" s="446">
        <v>15</v>
      </c>
      <c r="Q1" s="446">
        <v>16</v>
      </c>
      <c r="R1" s="446">
        <v>17</v>
      </c>
      <c r="S1" s="446">
        <v>18</v>
      </c>
      <c r="T1" s="446">
        <v>19</v>
      </c>
      <c r="U1" s="446">
        <v>20</v>
      </c>
      <c r="V1" s="446">
        <v>21</v>
      </c>
      <c r="W1" s="446">
        <v>22</v>
      </c>
      <c r="X1" s="446">
        <v>23</v>
      </c>
      <c r="Y1" s="446">
        <v>24</v>
      </c>
      <c r="Z1" s="446">
        <v>25</v>
      </c>
      <c r="AA1" s="446">
        <v>26</v>
      </c>
      <c r="AB1" s="446">
        <v>27</v>
      </c>
      <c r="AC1" s="446">
        <v>28</v>
      </c>
      <c r="AD1" s="446">
        <v>29</v>
      </c>
      <c r="AE1" s="446">
        <v>30</v>
      </c>
      <c r="AF1" s="446">
        <v>31</v>
      </c>
      <c r="AG1" s="446">
        <v>32</v>
      </c>
      <c r="AH1" s="446">
        <v>33</v>
      </c>
      <c r="AI1" s="446">
        <v>34</v>
      </c>
      <c r="AJ1" s="446">
        <v>35</v>
      </c>
      <c r="AK1" s="446">
        <v>36</v>
      </c>
      <c r="AL1" s="446">
        <v>37</v>
      </c>
      <c r="AM1" s="446">
        <v>38</v>
      </c>
      <c r="AN1" s="446">
        <v>39</v>
      </c>
      <c r="AO1" s="446">
        <v>40</v>
      </c>
      <c r="AP1" s="446">
        <v>41</v>
      </c>
      <c r="AQ1" s="446">
        <v>42</v>
      </c>
      <c r="AR1" s="446">
        <v>43</v>
      </c>
      <c r="AS1" s="446">
        <v>44</v>
      </c>
      <c r="AT1" s="446">
        <v>45</v>
      </c>
      <c r="AU1" s="446">
        <v>46</v>
      </c>
      <c r="AV1" s="446">
        <v>47</v>
      </c>
      <c r="AW1" s="446">
        <v>48</v>
      </c>
      <c r="AX1" s="446">
        <v>49</v>
      </c>
      <c r="AY1" s="446">
        <v>50</v>
      </c>
      <c r="AZ1" s="446">
        <v>51</v>
      </c>
      <c r="BA1" s="446">
        <v>52</v>
      </c>
      <c r="BB1" s="446">
        <v>53</v>
      </c>
      <c r="BC1" s="446">
        <v>54</v>
      </c>
      <c r="BD1" s="446">
        <v>55</v>
      </c>
      <c r="BE1" s="446">
        <v>56</v>
      </c>
      <c r="BF1" s="446">
        <v>57</v>
      </c>
      <c r="BG1" s="446">
        <v>58</v>
      </c>
      <c r="BH1" s="446">
        <v>59</v>
      </c>
      <c r="BI1" s="446">
        <v>60</v>
      </c>
      <c r="BJ1" s="446">
        <v>61</v>
      </c>
      <c r="BK1" s="446">
        <v>62</v>
      </c>
      <c r="BL1" s="446">
        <v>63</v>
      </c>
      <c r="BM1" s="446">
        <v>64</v>
      </c>
      <c r="BN1" s="446">
        <v>56</v>
      </c>
      <c r="BO1" s="446">
        <v>57</v>
      </c>
      <c r="BP1" s="446">
        <v>58</v>
      </c>
      <c r="BQ1" s="187">
        <v>61</v>
      </c>
    </row>
    <row r="2" spans="1:69" s="428" customFormat="1" ht="41.25" customHeight="1" x14ac:dyDescent="0.2">
      <c r="A2" s="447"/>
      <c r="B2" s="447"/>
      <c r="C2" s="430"/>
      <c r="D2" s="933" t="s">
        <v>971</v>
      </c>
      <c r="E2" s="933"/>
      <c r="F2" s="933"/>
      <c r="G2" s="933" t="s">
        <v>972</v>
      </c>
      <c r="H2" s="933"/>
      <c r="I2" s="933"/>
      <c r="J2" s="933" t="s">
        <v>973</v>
      </c>
      <c r="K2" s="933"/>
      <c r="L2" s="933"/>
      <c r="M2" s="933" t="s">
        <v>974</v>
      </c>
      <c r="N2" s="933"/>
      <c r="O2" s="933"/>
      <c r="P2" s="933" t="s">
        <v>975</v>
      </c>
      <c r="Q2" s="933"/>
      <c r="R2" s="933"/>
      <c r="S2" s="933" t="s">
        <v>1537</v>
      </c>
      <c r="T2" s="933"/>
      <c r="U2" s="933"/>
      <c r="V2" s="930" t="s">
        <v>1538</v>
      </c>
      <c r="W2" s="931"/>
      <c r="X2" s="932"/>
      <c r="Y2" s="933" t="s">
        <v>1539</v>
      </c>
      <c r="Z2" s="933"/>
      <c r="AA2" s="933"/>
      <c r="AB2" s="930" t="s">
        <v>1540</v>
      </c>
      <c r="AC2" s="931"/>
      <c r="AD2" s="932"/>
      <c r="AE2" s="933" t="s">
        <v>976</v>
      </c>
      <c r="AF2" s="933"/>
      <c r="AG2" s="933"/>
      <c r="AH2" s="933" t="s">
        <v>976</v>
      </c>
      <c r="AI2" s="933"/>
      <c r="AJ2" s="933" t="s">
        <v>977</v>
      </c>
      <c r="AK2" s="933"/>
      <c r="AL2" s="933"/>
      <c r="AM2" s="930" t="s">
        <v>1541</v>
      </c>
      <c r="AN2" s="931"/>
      <c r="AO2" s="932"/>
      <c r="AP2" s="933" t="s">
        <v>978</v>
      </c>
      <c r="AQ2" s="933"/>
      <c r="AR2" s="933" t="s">
        <v>979</v>
      </c>
      <c r="AS2" s="933"/>
      <c r="AT2" s="431" t="s">
        <v>980</v>
      </c>
      <c r="AU2" s="930" t="s">
        <v>1266</v>
      </c>
      <c r="AV2" s="931"/>
      <c r="AW2" s="932"/>
      <c r="AX2" s="930" t="s">
        <v>1267</v>
      </c>
      <c r="AY2" s="931"/>
      <c r="AZ2" s="932"/>
      <c r="BA2" s="930" t="s">
        <v>1269</v>
      </c>
      <c r="BB2" s="931"/>
      <c r="BC2" s="930" t="s">
        <v>1270</v>
      </c>
      <c r="BD2" s="931"/>
      <c r="BE2" s="930" t="s">
        <v>1271</v>
      </c>
      <c r="BF2" s="931"/>
      <c r="BG2" s="930" t="s">
        <v>1272</v>
      </c>
      <c r="BH2" s="931"/>
      <c r="BI2" s="930" t="s">
        <v>1268</v>
      </c>
      <c r="BJ2" s="931"/>
      <c r="BK2" s="932"/>
      <c r="BL2" s="431" t="s">
        <v>981</v>
      </c>
      <c r="BM2" s="431" t="s">
        <v>982</v>
      </c>
    </row>
    <row r="3" spans="1:69" x14ac:dyDescent="0.2">
      <c r="B3" s="187"/>
      <c r="C3" s="187" t="s">
        <v>954</v>
      </c>
      <c r="D3" s="446">
        <v>1</v>
      </c>
      <c r="G3" s="446">
        <v>2</v>
      </c>
      <c r="J3" s="446">
        <v>3</v>
      </c>
      <c r="M3" s="446">
        <v>4</v>
      </c>
      <c r="P3" s="446">
        <v>5</v>
      </c>
      <c r="S3" s="446">
        <v>6</v>
      </c>
      <c r="V3" s="446">
        <v>7</v>
      </c>
      <c r="Y3" s="446">
        <v>8</v>
      </c>
      <c r="AB3" s="446">
        <v>9</v>
      </c>
      <c r="AE3" s="446">
        <v>10</v>
      </c>
      <c r="AH3" s="446">
        <v>11</v>
      </c>
      <c r="AJ3" s="446">
        <v>12</v>
      </c>
      <c r="AM3" s="446">
        <v>13</v>
      </c>
      <c r="AP3" s="446">
        <v>14</v>
      </c>
      <c r="AR3" s="446">
        <v>15</v>
      </c>
      <c r="AT3" s="446">
        <v>16</v>
      </c>
      <c r="AU3" s="446">
        <v>17</v>
      </c>
      <c r="AX3" s="446">
        <v>18</v>
      </c>
      <c r="BA3" s="446">
        <v>19</v>
      </c>
      <c r="BC3" s="446">
        <v>20</v>
      </c>
      <c r="BE3" s="446">
        <v>21</v>
      </c>
      <c r="BG3" s="446">
        <v>22</v>
      </c>
      <c r="BI3" s="446">
        <v>23</v>
      </c>
      <c r="BL3" s="446">
        <v>24</v>
      </c>
      <c r="BM3" s="446">
        <v>25</v>
      </c>
    </row>
    <row r="4" spans="1:69" x14ac:dyDescent="0.2">
      <c r="B4" s="187"/>
      <c r="C4" s="187" t="s">
        <v>967</v>
      </c>
      <c r="D4" s="446">
        <v>1</v>
      </c>
      <c r="E4" s="446">
        <v>2</v>
      </c>
      <c r="F4" s="446">
        <v>3</v>
      </c>
      <c r="G4" s="446">
        <v>1</v>
      </c>
      <c r="H4" s="446">
        <v>2</v>
      </c>
      <c r="I4" s="446">
        <v>3</v>
      </c>
      <c r="J4" s="446">
        <v>1</v>
      </c>
      <c r="K4" s="446">
        <v>2</v>
      </c>
      <c r="L4" s="446">
        <v>3</v>
      </c>
      <c r="M4" s="446">
        <v>1</v>
      </c>
      <c r="N4" s="446">
        <v>2</v>
      </c>
      <c r="O4" s="446">
        <v>3</v>
      </c>
      <c r="P4" s="446">
        <v>1</v>
      </c>
      <c r="Q4" s="446">
        <v>2</v>
      </c>
      <c r="R4" s="446">
        <v>3</v>
      </c>
      <c r="S4" s="446">
        <v>1</v>
      </c>
      <c r="T4" s="446">
        <v>2</v>
      </c>
      <c r="U4" s="446">
        <v>3</v>
      </c>
      <c r="V4" s="446">
        <v>1</v>
      </c>
      <c r="W4" s="446">
        <v>2</v>
      </c>
      <c r="X4" s="446">
        <v>3</v>
      </c>
      <c r="Y4" s="446">
        <v>1</v>
      </c>
      <c r="Z4" s="446">
        <v>2</v>
      </c>
      <c r="AA4" s="446">
        <v>3</v>
      </c>
      <c r="AB4" s="446">
        <v>1</v>
      </c>
      <c r="AC4" s="446">
        <v>2</v>
      </c>
      <c r="AD4" s="446">
        <v>3</v>
      </c>
      <c r="AE4" s="446">
        <v>1</v>
      </c>
      <c r="AF4" s="446">
        <v>2</v>
      </c>
      <c r="AG4" s="446">
        <v>3</v>
      </c>
      <c r="AH4" s="446">
        <v>2</v>
      </c>
      <c r="AI4" s="446">
        <v>3</v>
      </c>
      <c r="AJ4" s="446">
        <v>1</v>
      </c>
      <c r="AK4" s="446">
        <v>2</v>
      </c>
      <c r="AL4" s="446">
        <v>3</v>
      </c>
      <c r="AM4" s="446">
        <v>1</v>
      </c>
      <c r="AN4" s="446">
        <v>2</v>
      </c>
      <c r="AO4" s="446">
        <v>3</v>
      </c>
      <c r="AP4" s="446">
        <v>2</v>
      </c>
      <c r="AQ4" s="446">
        <v>3</v>
      </c>
      <c r="AR4" s="446">
        <v>2</v>
      </c>
      <c r="AS4" s="446">
        <v>3</v>
      </c>
      <c r="AT4" s="446">
        <v>3</v>
      </c>
      <c r="AU4" s="446">
        <v>1</v>
      </c>
      <c r="AV4" s="446">
        <v>2</v>
      </c>
      <c r="AW4" s="446">
        <v>3</v>
      </c>
      <c r="AX4" s="446">
        <v>1</v>
      </c>
      <c r="AY4" s="446">
        <v>2</v>
      </c>
      <c r="AZ4" s="446">
        <v>3</v>
      </c>
      <c r="BA4" s="446">
        <v>1</v>
      </c>
      <c r="BB4" s="446">
        <v>3</v>
      </c>
      <c r="BC4" s="446">
        <v>1</v>
      </c>
      <c r="BD4" s="446">
        <v>3</v>
      </c>
      <c r="BE4" s="446">
        <v>1</v>
      </c>
      <c r="BF4" s="446">
        <v>3</v>
      </c>
      <c r="BG4" s="446">
        <v>1</v>
      </c>
      <c r="BH4" s="446">
        <v>3</v>
      </c>
      <c r="BI4" s="446">
        <v>1</v>
      </c>
      <c r="BJ4" s="446">
        <v>2</v>
      </c>
      <c r="BK4" s="446">
        <v>3</v>
      </c>
      <c r="BL4" s="446">
        <v>3</v>
      </c>
      <c r="BM4" s="446">
        <v>3</v>
      </c>
    </row>
    <row r="5" spans="1:69" s="447" customFormat="1" x14ac:dyDescent="0.2">
      <c r="A5" s="187"/>
      <c r="B5" s="447" t="s">
        <v>968</v>
      </c>
      <c r="C5" s="447" t="s">
        <v>969</v>
      </c>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447" t="s">
        <v>21</v>
      </c>
      <c r="BO5" s="447" t="s">
        <v>1042</v>
      </c>
      <c r="BP5" s="447" t="s">
        <v>1043</v>
      </c>
      <c r="BQ5" s="447" t="s">
        <v>1053</v>
      </c>
    </row>
    <row r="6" spans="1:69" x14ac:dyDescent="0.2">
      <c r="B6" s="429" t="s">
        <v>91</v>
      </c>
      <c r="C6" s="429" t="s">
        <v>90</v>
      </c>
      <c r="D6" s="208">
        <v>18136178</v>
      </c>
      <c r="E6" s="208">
        <v>0</v>
      </c>
      <c r="F6" s="208">
        <v>18136178</v>
      </c>
      <c r="G6" s="208">
        <v>0</v>
      </c>
      <c r="H6" s="208">
        <v>0</v>
      </c>
      <c r="I6" s="208">
        <v>0</v>
      </c>
      <c r="J6" s="208">
        <v>1126</v>
      </c>
      <c r="K6" s="208">
        <v>0</v>
      </c>
      <c r="L6" s="208">
        <v>1126</v>
      </c>
      <c r="M6" s="208">
        <v>0</v>
      </c>
      <c r="N6" s="208">
        <v>0</v>
      </c>
      <c r="O6" s="208">
        <v>0</v>
      </c>
      <c r="P6" s="208">
        <v>-21307</v>
      </c>
      <c r="Q6" s="208">
        <v>0</v>
      </c>
      <c r="R6" s="208">
        <v>-21307</v>
      </c>
      <c r="S6" s="208">
        <v>0</v>
      </c>
      <c r="T6" s="208">
        <v>0</v>
      </c>
      <c r="U6" s="208">
        <v>0</v>
      </c>
      <c r="V6" s="208">
        <v>7146</v>
      </c>
      <c r="W6" s="208">
        <v>0</v>
      </c>
      <c r="X6" s="208">
        <v>7146</v>
      </c>
      <c r="Y6" s="208">
        <v>0</v>
      </c>
      <c r="Z6" s="208">
        <v>0</v>
      </c>
      <c r="AA6" s="208">
        <v>0</v>
      </c>
      <c r="AB6" s="208">
        <v>336854</v>
      </c>
      <c r="AC6" s="208">
        <v>0</v>
      </c>
      <c r="AD6" s="208">
        <v>336854</v>
      </c>
      <c r="AE6" s="208">
        <v>18458871</v>
      </c>
      <c r="AF6" s="208">
        <v>0</v>
      </c>
      <c r="AG6" s="208">
        <v>18458871</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c r="BL6" s="208">
        <v>699850</v>
      </c>
      <c r="BM6" s="208">
        <v>-1919422</v>
      </c>
      <c r="BN6" s="187" t="s">
        <v>90</v>
      </c>
      <c r="BO6" s="187" t="s">
        <v>752</v>
      </c>
      <c r="BP6" s="187" t="s">
        <v>751</v>
      </c>
      <c r="BQ6" s="187" t="s">
        <v>1054</v>
      </c>
    </row>
    <row r="7" spans="1:69" x14ac:dyDescent="0.2">
      <c r="B7" s="429" t="s">
        <v>93</v>
      </c>
      <c r="C7" s="429" t="s">
        <v>92</v>
      </c>
      <c r="D7" s="208">
        <v>28695246</v>
      </c>
      <c r="E7" s="208">
        <v>0</v>
      </c>
      <c r="F7" s="208">
        <v>28695246</v>
      </c>
      <c r="G7" s="208">
        <v>0</v>
      </c>
      <c r="H7" s="208">
        <v>0</v>
      </c>
      <c r="I7" s="208">
        <v>0</v>
      </c>
      <c r="J7" s="208">
        <v>-224949</v>
      </c>
      <c r="K7" s="208">
        <v>0</v>
      </c>
      <c r="L7" s="208">
        <v>-224949</v>
      </c>
      <c r="M7" s="208">
        <v>0</v>
      </c>
      <c r="N7" s="208">
        <v>0</v>
      </c>
      <c r="O7" s="208">
        <v>0</v>
      </c>
      <c r="P7" s="208">
        <v>-83705</v>
      </c>
      <c r="Q7" s="208">
        <v>0</v>
      </c>
      <c r="R7" s="208">
        <v>-83705</v>
      </c>
      <c r="S7" s="208">
        <v>219402</v>
      </c>
      <c r="T7" s="208">
        <v>0</v>
      </c>
      <c r="U7" s="208">
        <v>219402</v>
      </c>
      <c r="V7" s="208">
        <v>91257</v>
      </c>
      <c r="W7" s="208">
        <v>0</v>
      </c>
      <c r="X7" s="208">
        <v>91257</v>
      </c>
      <c r="Y7" s="208">
        <v>-224845</v>
      </c>
      <c r="Z7" s="208">
        <v>0</v>
      </c>
      <c r="AA7" s="208">
        <v>-224845</v>
      </c>
      <c r="AB7" s="208">
        <v>-1221616</v>
      </c>
      <c r="AC7" s="208">
        <v>0</v>
      </c>
      <c r="AD7" s="208">
        <v>-1221616</v>
      </c>
      <c r="AE7" s="208">
        <v>27475739</v>
      </c>
      <c r="AF7" s="208">
        <v>0</v>
      </c>
      <c r="AG7" s="208">
        <v>27475739</v>
      </c>
      <c r="AH7" s="208">
        <v>0</v>
      </c>
      <c r="AI7" s="208">
        <v>0</v>
      </c>
      <c r="AJ7" s="208">
        <v>381971</v>
      </c>
      <c r="AK7" s="208">
        <v>0</v>
      </c>
      <c r="AL7" s="208">
        <v>381971</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c r="BL7" s="208">
        <v>559935</v>
      </c>
      <c r="BM7" s="208">
        <v>-240741</v>
      </c>
      <c r="BN7" s="187" t="s">
        <v>92</v>
      </c>
      <c r="BO7" s="187" t="s">
        <v>803</v>
      </c>
      <c r="BP7" s="187" t="s">
        <v>751</v>
      </c>
      <c r="BQ7" s="187" t="s">
        <v>1054</v>
      </c>
    </row>
    <row r="8" spans="1:69" x14ac:dyDescent="0.2">
      <c r="B8" s="429" t="s">
        <v>95</v>
      </c>
      <c r="C8" s="429" t="s">
        <v>94</v>
      </c>
      <c r="D8" s="208">
        <v>31662568</v>
      </c>
      <c r="E8" s="208">
        <v>0</v>
      </c>
      <c r="F8" s="208">
        <v>31662568</v>
      </c>
      <c r="G8" s="208">
        <v>0</v>
      </c>
      <c r="H8" s="208">
        <v>0</v>
      </c>
      <c r="I8" s="208">
        <v>0</v>
      </c>
      <c r="J8" s="208">
        <v>-160075</v>
      </c>
      <c r="K8" s="208">
        <v>0</v>
      </c>
      <c r="L8" s="208">
        <v>-160075</v>
      </c>
      <c r="M8" s="208">
        <v>0</v>
      </c>
      <c r="N8" s="208">
        <v>0</v>
      </c>
      <c r="O8" s="208">
        <v>0</v>
      </c>
      <c r="P8" s="208">
        <v>-194375</v>
      </c>
      <c r="Q8" s="208">
        <v>0</v>
      </c>
      <c r="R8" s="208">
        <v>-194375</v>
      </c>
      <c r="S8" s="208">
        <v>397003</v>
      </c>
      <c r="T8" s="208">
        <v>0</v>
      </c>
      <c r="U8" s="208">
        <v>397003</v>
      </c>
      <c r="V8" s="208">
        <v>0</v>
      </c>
      <c r="W8" s="208">
        <v>0</v>
      </c>
      <c r="X8" s="208">
        <v>0</v>
      </c>
      <c r="Y8" s="208">
        <v>-565503</v>
      </c>
      <c r="Z8" s="208">
        <v>0</v>
      </c>
      <c r="AA8" s="208">
        <v>-565503</v>
      </c>
      <c r="AB8" s="208">
        <v>-1745600</v>
      </c>
      <c r="AC8" s="208">
        <v>0</v>
      </c>
      <c r="AD8" s="208">
        <v>-1745600</v>
      </c>
      <c r="AE8" s="208">
        <v>29554093</v>
      </c>
      <c r="AF8" s="208">
        <v>0</v>
      </c>
      <c r="AG8" s="208">
        <v>29554093</v>
      </c>
      <c r="AH8" s="208">
        <v>0</v>
      </c>
      <c r="AI8" s="208">
        <v>0</v>
      </c>
      <c r="AJ8" s="208">
        <v>6299</v>
      </c>
      <c r="AK8" s="208">
        <v>0</v>
      </c>
      <c r="AL8" s="208">
        <v>6299</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c r="BL8" s="208">
        <v>538685</v>
      </c>
      <c r="BM8" s="208">
        <v>-1302114</v>
      </c>
      <c r="BN8" s="187" t="s">
        <v>94</v>
      </c>
      <c r="BO8" s="187" t="s">
        <v>807</v>
      </c>
      <c r="BP8" s="187" t="s">
        <v>806</v>
      </c>
      <c r="BQ8" s="187" t="s">
        <v>1054</v>
      </c>
    </row>
    <row r="9" spans="1:69" x14ac:dyDescent="0.2">
      <c r="B9" s="429" t="s">
        <v>97</v>
      </c>
      <c r="C9" s="429" t="s">
        <v>96</v>
      </c>
      <c r="D9" s="208">
        <v>37352127</v>
      </c>
      <c r="E9" s="208">
        <v>0</v>
      </c>
      <c r="F9" s="208">
        <v>37352127</v>
      </c>
      <c r="G9" s="208">
        <v>0</v>
      </c>
      <c r="H9" s="208">
        <v>0</v>
      </c>
      <c r="I9" s="208">
        <v>0</v>
      </c>
      <c r="J9" s="208">
        <v>-265007</v>
      </c>
      <c r="K9" s="208">
        <v>0</v>
      </c>
      <c r="L9" s="208">
        <v>-265007</v>
      </c>
      <c r="M9" s="208">
        <v>-14798</v>
      </c>
      <c r="N9" s="208">
        <v>0</v>
      </c>
      <c r="O9" s="208">
        <v>-14798</v>
      </c>
      <c r="P9" s="208">
        <v>-237007</v>
      </c>
      <c r="Q9" s="208">
        <v>0</v>
      </c>
      <c r="R9" s="208">
        <v>-237007</v>
      </c>
      <c r="S9" s="208">
        <v>644049</v>
      </c>
      <c r="T9" s="208">
        <v>0</v>
      </c>
      <c r="U9" s="208">
        <v>644049</v>
      </c>
      <c r="V9" s="208">
        <v>0</v>
      </c>
      <c r="W9" s="208">
        <v>0</v>
      </c>
      <c r="X9" s="208">
        <v>0</v>
      </c>
      <c r="Y9" s="208">
        <v>-3554049</v>
      </c>
      <c r="Z9" s="208">
        <v>0</v>
      </c>
      <c r="AA9" s="208">
        <v>-3554049</v>
      </c>
      <c r="AB9" s="208">
        <v>0</v>
      </c>
      <c r="AC9" s="208">
        <v>0</v>
      </c>
      <c r="AD9" s="208">
        <v>0</v>
      </c>
      <c r="AE9" s="208">
        <v>34190322</v>
      </c>
      <c r="AF9" s="208">
        <v>0</v>
      </c>
      <c r="AG9" s="208">
        <v>34190322</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c r="BL9" s="208">
        <v>652197</v>
      </c>
      <c r="BM9" s="208">
        <v>-1015189</v>
      </c>
      <c r="BN9" s="187" t="s">
        <v>96</v>
      </c>
      <c r="BO9" s="187" t="s">
        <v>752</v>
      </c>
      <c r="BP9" s="187" t="s">
        <v>751</v>
      </c>
      <c r="BQ9" s="187" t="s">
        <v>1054</v>
      </c>
    </row>
    <row r="10" spans="1:69" x14ac:dyDescent="0.2">
      <c r="B10" s="429" t="s">
        <v>99</v>
      </c>
      <c r="C10" s="429" t="s">
        <v>98</v>
      </c>
      <c r="D10" s="208">
        <v>36795856</v>
      </c>
      <c r="E10" s="208">
        <v>0</v>
      </c>
      <c r="F10" s="208">
        <v>36795856</v>
      </c>
      <c r="G10" s="208">
        <v>0</v>
      </c>
      <c r="H10" s="208">
        <v>0</v>
      </c>
      <c r="I10" s="208">
        <v>0</v>
      </c>
      <c r="J10" s="208">
        <v>-263304</v>
      </c>
      <c r="K10" s="208">
        <v>0</v>
      </c>
      <c r="L10" s="208">
        <v>-263304</v>
      </c>
      <c r="M10" s="208">
        <v>0</v>
      </c>
      <c r="N10" s="208">
        <v>0</v>
      </c>
      <c r="O10" s="208">
        <v>0</v>
      </c>
      <c r="P10" s="208">
        <v>-228378</v>
      </c>
      <c r="Q10" s="208">
        <v>0</v>
      </c>
      <c r="R10" s="208">
        <v>-228378</v>
      </c>
      <c r="S10" s="208">
        <v>232300</v>
      </c>
      <c r="T10" s="208">
        <v>0</v>
      </c>
      <c r="U10" s="208">
        <v>232300</v>
      </c>
      <c r="V10" s="208">
        <v>60344</v>
      </c>
      <c r="W10" s="208">
        <v>0</v>
      </c>
      <c r="X10" s="208">
        <v>60344</v>
      </c>
      <c r="Y10" s="208">
        <v>-360961</v>
      </c>
      <c r="Z10" s="208">
        <v>0</v>
      </c>
      <c r="AA10" s="208">
        <v>-360961</v>
      </c>
      <c r="AB10" s="208">
        <v>-391568</v>
      </c>
      <c r="AC10" s="208">
        <v>0</v>
      </c>
      <c r="AD10" s="208">
        <v>-391568</v>
      </c>
      <c r="AE10" s="208">
        <v>36107593</v>
      </c>
      <c r="AF10" s="208">
        <v>0</v>
      </c>
      <c r="AG10" s="208">
        <v>36107593</v>
      </c>
      <c r="AH10" s="208">
        <v>0</v>
      </c>
      <c r="AI10" s="208">
        <v>0</v>
      </c>
      <c r="AJ10" s="208">
        <v>22564</v>
      </c>
      <c r="AK10" s="208">
        <v>0</v>
      </c>
      <c r="AL10" s="208">
        <v>22564</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c r="BL10" s="208">
        <v>1120048</v>
      </c>
      <c r="BM10" s="208">
        <v>-174497</v>
      </c>
      <c r="BN10" s="187" t="s">
        <v>98</v>
      </c>
      <c r="BO10" s="187" t="s">
        <v>816</v>
      </c>
      <c r="BP10" s="187" t="s">
        <v>815</v>
      </c>
      <c r="BQ10" s="187" t="s">
        <v>1054</v>
      </c>
    </row>
    <row r="11" spans="1:69" x14ac:dyDescent="0.2">
      <c r="B11" s="429" t="s">
        <v>101</v>
      </c>
      <c r="C11" s="429" t="s">
        <v>100</v>
      </c>
      <c r="D11" s="208">
        <v>51225079</v>
      </c>
      <c r="E11" s="208">
        <v>0</v>
      </c>
      <c r="F11" s="208">
        <v>51225079</v>
      </c>
      <c r="G11" s="208">
        <v>0</v>
      </c>
      <c r="H11" s="208">
        <v>0</v>
      </c>
      <c r="I11" s="208">
        <v>0</v>
      </c>
      <c r="J11" s="208">
        <v>-250538</v>
      </c>
      <c r="K11" s="208">
        <v>0</v>
      </c>
      <c r="L11" s="208">
        <v>-250538</v>
      </c>
      <c r="M11" s="208">
        <v>-97802</v>
      </c>
      <c r="N11" s="208">
        <v>0</v>
      </c>
      <c r="O11" s="208">
        <v>-97802</v>
      </c>
      <c r="P11" s="208">
        <v>-336167</v>
      </c>
      <c r="Q11" s="208">
        <v>0</v>
      </c>
      <c r="R11" s="208">
        <v>-336167</v>
      </c>
      <c r="S11" s="208">
        <v>37512</v>
      </c>
      <c r="T11" s="208">
        <v>0</v>
      </c>
      <c r="U11" s="208">
        <v>37512</v>
      </c>
      <c r="V11" s="208">
        <v>53760</v>
      </c>
      <c r="W11" s="208">
        <v>0</v>
      </c>
      <c r="X11" s="208">
        <v>53760</v>
      </c>
      <c r="Y11" s="208">
        <v>0</v>
      </c>
      <c r="Z11" s="208">
        <v>0</v>
      </c>
      <c r="AA11" s="208">
        <v>0</v>
      </c>
      <c r="AB11" s="208">
        <v>0</v>
      </c>
      <c r="AC11" s="208">
        <v>0</v>
      </c>
      <c r="AD11" s="208">
        <v>0</v>
      </c>
      <c r="AE11" s="208">
        <v>50882382</v>
      </c>
      <c r="AF11" s="208">
        <v>0</v>
      </c>
      <c r="AG11" s="208">
        <v>50882382</v>
      </c>
      <c r="AH11" s="208">
        <v>0</v>
      </c>
      <c r="AI11" s="208">
        <v>0</v>
      </c>
      <c r="AJ11" s="208">
        <v>100198</v>
      </c>
      <c r="AK11" s="208">
        <v>0</v>
      </c>
      <c r="AL11" s="208">
        <v>100198</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c r="BL11" s="208">
        <v>1026976</v>
      </c>
      <c r="BM11" s="208">
        <v>-658270</v>
      </c>
      <c r="BN11" s="187" t="s">
        <v>100</v>
      </c>
      <c r="BO11" s="187" t="s">
        <v>786</v>
      </c>
      <c r="BP11" s="187" t="s">
        <v>785</v>
      </c>
      <c r="BQ11" s="187" t="s">
        <v>1054</v>
      </c>
    </row>
    <row r="12" spans="1:69" x14ac:dyDescent="0.2">
      <c r="B12" s="429" t="s">
        <v>103</v>
      </c>
      <c r="C12" s="429" t="s">
        <v>102</v>
      </c>
      <c r="D12" s="208">
        <v>53471853</v>
      </c>
      <c r="E12" s="208">
        <v>549555</v>
      </c>
      <c r="F12" s="208">
        <v>54021408</v>
      </c>
      <c r="G12" s="208">
        <v>0</v>
      </c>
      <c r="H12" s="208">
        <v>0</v>
      </c>
      <c r="I12" s="208">
        <v>0</v>
      </c>
      <c r="J12" s="208">
        <v>0</v>
      </c>
      <c r="K12" s="208">
        <v>0</v>
      </c>
      <c r="L12" s="208">
        <v>0</v>
      </c>
      <c r="M12" s="208">
        <v>-182818</v>
      </c>
      <c r="N12" s="208">
        <v>0</v>
      </c>
      <c r="O12" s="208">
        <v>-182818</v>
      </c>
      <c r="P12" s="208">
        <v>44713</v>
      </c>
      <c r="Q12" s="208">
        <v>0</v>
      </c>
      <c r="R12" s="208">
        <v>44713</v>
      </c>
      <c r="S12" s="208">
        <v>0</v>
      </c>
      <c r="T12" s="208">
        <v>0</v>
      </c>
      <c r="U12" s="208">
        <v>0</v>
      </c>
      <c r="V12" s="208">
        <v>0</v>
      </c>
      <c r="W12" s="208">
        <v>0</v>
      </c>
      <c r="X12" s="208">
        <v>0</v>
      </c>
      <c r="Y12" s="208">
        <v>-932327</v>
      </c>
      <c r="Z12" s="208">
        <v>0</v>
      </c>
      <c r="AA12" s="208">
        <v>-932327</v>
      </c>
      <c r="AB12" s="208">
        <v>-16064</v>
      </c>
      <c r="AC12" s="208">
        <v>0</v>
      </c>
      <c r="AD12" s="208">
        <v>-16064</v>
      </c>
      <c r="AE12" s="208">
        <v>52385357</v>
      </c>
      <c r="AF12" s="208">
        <v>549555</v>
      </c>
      <c r="AG12" s="208">
        <v>52934912</v>
      </c>
      <c r="AH12" s="208">
        <v>549555</v>
      </c>
      <c r="AI12" s="208">
        <v>549555</v>
      </c>
      <c r="AJ12" s="208">
        <v>226780</v>
      </c>
      <c r="AK12" s="208">
        <v>0</v>
      </c>
      <c r="AL12" s="208">
        <v>226780</v>
      </c>
      <c r="AM12" s="208">
        <v>0</v>
      </c>
      <c r="AN12" s="208">
        <v>0</v>
      </c>
      <c r="AO12" s="208">
        <v>0</v>
      </c>
      <c r="AP12" s="208">
        <v>-83</v>
      </c>
      <c r="AQ12" s="208">
        <v>-83</v>
      </c>
      <c r="AR12" s="208">
        <v>25664</v>
      </c>
      <c r="AS12" s="208">
        <v>25664</v>
      </c>
      <c r="AT12" s="208">
        <v>523808</v>
      </c>
      <c r="AU12" s="208">
        <v>0</v>
      </c>
      <c r="AV12" s="208">
        <v>0</v>
      </c>
      <c r="AW12" s="208">
        <v>0</v>
      </c>
      <c r="AX12" s="208">
        <v>0</v>
      </c>
      <c r="AY12" s="208">
        <v>221059</v>
      </c>
      <c r="AZ12" s="208">
        <v>221059</v>
      </c>
      <c r="BA12" s="208">
        <v>0</v>
      </c>
      <c r="BB12" s="208">
        <v>0</v>
      </c>
      <c r="BC12" s="208">
        <v>0</v>
      </c>
      <c r="BD12" s="208">
        <v>0</v>
      </c>
      <c r="BE12" s="208">
        <v>0</v>
      </c>
      <c r="BF12" s="208">
        <v>0</v>
      </c>
      <c r="BG12" s="208">
        <v>0</v>
      </c>
      <c r="BH12" s="208">
        <v>0</v>
      </c>
      <c r="BI12" s="208">
        <v>0</v>
      </c>
      <c r="BJ12" s="208">
        <v>221059</v>
      </c>
      <c r="BK12" s="208">
        <v>221059</v>
      </c>
      <c r="BL12" s="208">
        <v>139497</v>
      </c>
      <c r="BM12" s="208">
        <v>-1185855</v>
      </c>
      <c r="BN12" s="187" t="s">
        <v>102</v>
      </c>
      <c r="BO12" s="187" t="s">
        <v>750</v>
      </c>
      <c r="BP12" s="187" t="s">
        <v>749</v>
      </c>
      <c r="BQ12" s="187" t="s">
        <v>1054</v>
      </c>
    </row>
    <row r="13" spans="1:69" x14ac:dyDescent="0.2">
      <c r="B13" s="429" t="s">
        <v>105</v>
      </c>
      <c r="C13" s="429" t="s">
        <v>104</v>
      </c>
      <c r="D13" s="208">
        <v>23423626</v>
      </c>
      <c r="E13" s="208">
        <v>94965</v>
      </c>
      <c r="F13" s="208">
        <v>23518591</v>
      </c>
      <c r="G13" s="208">
        <v>0</v>
      </c>
      <c r="H13" s="208">
        <v>0</v>
      </c>
      <c r="I13" s="208">
        <v>0</v>
      </c>
      <c r="J13" s="208">
        <v>-82080</v>
      </c>
      <c r="K13" s="208">
        <v>0</v>
      </c>
      <c r="L13" s="208">
        <v>-82080</v>
      </c>
      <c r="M13" s="208">
        <v>0</v>
      </c>
      <c r="N13" s="208">
        <v>0</v>
      </c>
      <c r="O13" s="208">
        <v>0</v>
      </c>
      <c r="P13" s="208">
        <v>-45500</v>
      </c>
      <c r="Q13" s="208">
        <v>0</v>
      </c>
      <c r="R13" s="208">
        <v>-45500</v>
      </c>
      <c r="S13" s="208">
        <v>276312</v>
      </c>
      <c r="T13" s="208">
        <v>0</v>
      </c>
      <c r="U13" s="208">
        <v>276312</v>
      </c>
      <c r="V13" s="208">
        <v>0</v>
      </c>
      <c r="W13" s="208">
        <v>0</v>
      </c>
      <c r="X13" s="208">
        <v>0</v>
      </c>
      <c r="Y13" s="208">
        <v>-475019</v>
      </c>
      <c r="Z13" s="208">
        <v>0</v>
      </c>
      <c r="AA13" s="208">
        <v>-475019</v>
      </c>
      <c r="AB13" s="208">
        <v>-1176249</v>
      </c>
      <c r="AC13" s="208">
        <v>0</v>
      </c>
      <c r="AD13" s="208">
        <v>-1176249</v>
      </c>
      <c r="AE13" s="208">
        <v>22003170</v>
      </c>
      <c r="AF13" s="208">
        <v>94965</v>
      </c>
      <c r="AG13" s="208">
        <v>22098135</v>
      </c>
      <c r="AH13" s="208">
        <v>94965</v>
      </c>
      <c r="AI13" s="208">
        <v>94965</v>
      </c>
      <c r="AJ13" s="208">
        <v>13607</v>
      </c>
      <c r="AK13" s="208">
        <v>0</v>
      </c>
      <c r="AL13" s="208">
        <v>13607</v>
      </c>
      <c r="AM13" s="208">
        <v>0</v>
      </c>
      <c r="AN13" s="208">
        <v>0</v>
      </c>
      <c r="AO13" s="208">
        <v>0</v>
      </c>
      <c r="AP13" s="208">
        <v>0</v>
      </c>
      <c r="AQ13" s="208">
        <v>0</v>
      </c>
      <c r="AR13" s="208">
        <v>0</v>
      </c>
      <c r="AS13" s="208">
        <v>0</v>
      </c>
      <c r="AT13" s="208">
        <v>94965</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c r="BL13" s="208">
        <v>431069</v>
      </c>
      <c r="BM13" s="208">
        <v>-340768</v>
      </c>
      <c r="BN13" s="187" t="s">
        <v>104</v>
      </c>
      <c r="BO13" s="187" t="s">
        <v>778</v>
      </c>
      <c r="BP13" s="187" t="s">
        <v>751</v>
      </c>
      <c r="BQ13" s="187" t="s">
        <v>1054</v>
      </c>
    </row>
    <row r="14" spans="1:69" x14ac:dyDescent="0.2">
      <c r="B14" s="429" t="s">
        <v>107</v>
      </c>
      <c r="C14" s="429" t="s">
        <v>106</v>
      </c>
      <c r="D14" s="208">
        <v>59831365</v>
      </c>
      <c r="E14" s="208">
        <v>0</v>
      </c>
      <c r="F14" s="208">
        <v>59831365</v>
      </c>
      <c r="G14" s="208">
        <v>0</v>
      </c>
      <c r="H14" s="208">
        <v>0</v>
      </c>
      <c r="I14" s="208">
        <v>0</v>
      </c>
      <c r="J14" s="208">
        <v>0</v>
      </c>
      <c r="K14" s="208">
        <v>0</v>
      </c>
      <c r="L14" s="208">
        <v>0</v>
      </c>
      <c r="M14" s="208">
        <v>-57084</v>
      </c>
      <c r="N14" s="208">
        <v>0</v>
      </c>
      <c r="O14" s="208">
        <v>-57084</v>
      </c>
      <c r="P14" s="208">
        <v>-637446</v>
      </c>
      <c r="Q14" s="208">
        <v>0</v>
      </c>
      <c r="R14" s="208">
        <v>-637446</v>
      </c>
      <c r="S14" s="208">
        <v>0</v>
      </c>
      <c r="T14" s="208">
        <v>0</v>
      </c>
      <c r="U14" s="208">
        <v>0</v>
      </c>
      <c r="V14" s="208">
        <v>0</v>
      </c>
      <c r="W14" s="208">
        <v>0</v>
      </c>
      <c r="X14" s="208">
        <v>0</v>
      </c>
      <c r="Y14" s="208">
        <v>-2811052</v>
      </c>
      <c r="Z14" s="208">
        <v>0</v>
      </c>
      <c r="AA14" s="208">
        <v>-2811052</v>
      </c>
      <c r="AB14" s="208">
        <v>5011675</v>
      </c>
      <c r="AC14" s="208">
        <v>0</v>
      </c>
      <c r="AD14" s="208">
        <v>5011675</v>
      </c>
      <c r="AE14" s="208">
        <v>61337458</v>
      </c>
      <c r="AF14" s="208">
        <v>0</v>
      </c>
      <c r="AG14" s="208">
        <v>61337458</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c r="BL14" s="208">
        <v>8117641</v>
      </c>
      <c r="BM14" s="208">
        <v>-1381721</v>
      </c>
      <c r="BN14" s="187" t="s">
        <v>863</v>
      </c>
      <c r="BO14" s="187" t="s">
        <v>767</v>
      </c>
      <c r="BP14" s="187" t="s">
        <v>743</v>
      </c>
      <c r="BQ14" s="187" t="s">
        <v>1055</v>
      </c>
    </row>
    <row r="15" spans="1:69" x14ac:dyDescent="0.2">
      <c r="B15" s="429" t="s">
        <v>109</v>
      </c>
      <c r="C15" s="429" t="s">
        <v>108</v>
      </c>
      <c r="D15" s="208">
        <v>91341150</v>
      </c>
      <c r="E15" s="208">
        <v>18033892</v>
      </c>
      <c r="F15" s="208">
        <v>109375042</v>
      </c>
      <c r="G15" s="208">
        <v>0</v>
      </c>
      <c r="H15" s="208">
        <v>0</v>
      </c>
      <c r="I15" s="208">
        <v>0</v>
      </c>
      <c r="J15" s="208">
        <v>-537189</v>
      </c>
      <c r="K15" s="208">
        <v>0</v>
      </c>
      <c r="L15" s="208">
        <v>-537189</v>
      </c>
      <c r="M15" s="208">
        <v>0</v>
      </c>
      <c r="N15" s="208">
        <v>0</v>
      </c>
      <c r="O15" s="208">
        <v>0</v>
      </c>
      <c r="P15" s="208">
        <v>-2075678</v>
      </c>
      <c r="Q15" s="208">
        <v>-984762</v>
      </c>
      <c r="R15" s="208">
        <v>-3060440</v>
      </c>
      <c r="S15" s="208">
        <v>3024777</v>
      </c>
      <c r="T15" s="208">
        <v>682327</v>
      </c>
      <c r="U15" s="208">
        <v>3707104</v>
      </c>
      <c r="V15" s="208">
        <v>39221</v>
      </c>
      <c r="W15" s="208">
        <v>0</v>
      </c>
      <c r="X15" s="208">
        <v>39221</v>
      </c>
      <c r="Y15" s="208">
        <v>-486268</v>
      </c>
      <c r="Z15" s="208">
        <v>-143641</v>
      </c>
      <c r="AA15" s="208">
        <v>-629909</v>
      </c>
      <c r="AB15" s="208">
        <v>0</v>
      </c>
      <c r="AC15" s="208">
        <v>0</v>
      </c>
      <c r="AD15" s="208">
        <v>0</v>
      </c>
      <c r="AE15" s="208">
        <v>91843202</v>
      </c>
      <c r="AF15" s="208">
        <v>17587816</v>
      </c>
      <c r="AG15" s="208">
        <v>109431018</v>
      </c>
      <c r="AH15" s="208">
        <v>17587816</v>
      </c>
      <c r="AI15" s="208">
        <v>17587816</v>
      </c>
      <c r="AJ15" s="208">
        <v>0</v>
      </c>
      <c r="AK15" s="208">
        <v>0</v>
      </c>
      <c r="AL15" s="208">
        <v>0</v>
      </c>
      <c r="AM15" s="208">
        <v>0</v>
      </c>
      <c r="AN15" s="208">
        <v>0</v>
      </c>
      <c r="AO15" s="208">
        <v>0</v>
      </c>
      <c r="AP15" s="208">
        <v>-1561646</v>
      </c>
      <c r="AQ15" s="208">
        <v>-1561646</v>
      </c>
      <c r="AR15" s="208">
        <v>20252290</v>
      </c>
      <c r="AS15" s="208">
        <v>20252290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c r="BL15" s="208">
        <v>12393912</v>
      </c>
      <c r="BM15" s="208">
        <v>-10331359</v>
      </c>
      <c r="BN15" s="187" t="s">
        <v>108</v>
      </c>
      <c r="BO15" s="187" t="s">
        <v>767</v>
      </c>
      <c r="BP15" s="187" t="s">
        <v>743</v>
      </c>
      <c r="BQ15" s="187" t="s">
        <v>1055</v>
      </c>
    </row>
    <row r="16" spans="1:69" x14ac:dyDescent="0.2">
      <c r="B16" s="429" t="s">
        <v>111</v>
      </c>
      <c r="C16" s="429" t="s">
        <v>110</v>
      </c>
      <c r="D16" s="208">
        <v>53843590</v>
      </c>
      <c r="E16" s="208">
        <v>599998</v>
      </c>
      <c r="F16" s="208">
        <v>54443588</v>
      </c>
      <c r="G16" s="208">
        <v>0</v>
      </c>
      <c r="H16" s="208">
        <v>0</v>
      </c>
      <c r="I16" s="208">
        <v>0</v>
      </c>
      <c r="J16" s="208">
        <v>-885945</v>
      </c>
      <c r="K16" s="208">
        <v>0</v>
      </c>
      <c r="L16" s="208">
        <v>-885945</v>
      </c>
      <c r="M16" s="208">
        <v>0</v>
      </c>
      <c r="N16" s="208">
        <v>0</v>
      </c>
      <c r="O16" s="208">
        <v>0</v>
      </c>
      <c r="P16" s="208">
        <v>-925867</v>
      </c>
      <c r="Q16" s="208">
        <v>0</v>
      </c>
      <c r="R16" s="208">
        <v>-925867</v>
      </c>
      <c r="S16" s="208">
        <v>517412</v>
      </c>
      <c r="T16" s="208">
        <v>0</v>
      </c>
      <c r="U16" s="208">
        <v>517412</v>
      </c>
      <c r="V16" s="208">
        <v>0</v>
      </c>
      <c r="W16" s="208">
        <v>0</v>
      </c>
      <c r="X16" s="208">
        <v>0</v>
      </c>
      <c r="Y16" s="208">
        <v>-438881</v>
      </c>
      <c r="Z16" s="208">
        <v>0</v>
      </c>
      <c r="AA16" s="208">
        <v>-438881</v>
      </c>
      <c r="AB16" s="208">
        <v>-3806993</v>
      </c>
      <c r="AC16" s="208">
        <v>0</v>
      </c>
      <c r="AD16" s="208">
        <v>-3806993</v>
      </c>
      <c r="AE16" s="208">
        <v>49189261</v>
      </c>
      <c r="AF16" s="208">
        <v>599998</v>
      </c>
      <c r="AG16" s="208">
        <v>49789259</v>
      </c>
      <c r="AH16" s="208">
        <v>599998</v>
      </c>
      <c r="AI16" s="208">
        <v>599998</v>
      </c>
      <c r="AJ16" s="208">
        <v>48314</v>
      </c>
      <c r="AK16" s="208">
        <v>0</v>
      </c>
      <c r="AL16" s="208">
        <v>48314</v>
      </c>
      <c r="AM16" s="208">
        <v>0</v>
      </c>
      <c r="AN16" s="208">
        <v>0</v>
      </c>
      <c r="AO16" s="208">
        <v>0</v>
      </c>
      <c r="AP16" s="208">
        <v>9037</v>
      </c>
      <c r="AQ16" s="208">
        <v>9037</v>
      </c>
      <c r="AR16" s="208">
        <v>90902</v>
      </c>
      <c r="AS16" s="208">
        <v>90902</v>
      </c>
      <c r="AT16" s="208">
        <v>518133</v>
      </c>
      <c r="AU16" s="208">
        <v>0</v>
      </c>
      <c r="AV16" s="208">
        <v>0</v>
      </c>
      <c r="AW16" s="208">
        <v>0</v>
      </c>
      <c r="AX16" s="208">
        <v>0</v>
      </c>
      <c r="AY16" s="208">
        <v>275415</v>
      </c>
      <c r="AZ16" s="208">
        <v>275415</v>
      </c>
      <c r="BA16" s="208">
        <v>0</v>
      </c>
      <c r="BB16" s="208">
        <v>0</v>
      </c>
      <c r="BC16" s="208">
        <v>0</v>
      </c>
      <c r="BD16" s="208">
        <v>0</v>
      </c>
      <c r="BE16" s="208">
        <v>0</v>
      </c>
      <c r="BF16" s="208">
        <v>0</v>
      </c>
      <c r="BG16" s="208">
        <v>0</v>
      </c>
      <c r="BH16" s="208">
        <v>0</v>
      </c>
      <c r="BI16" s="208">
        <v>0</v>
      </c>
      <c r="BJ16" s="208">
        <v>275415</v>
      </c>
      <c r="BK16" s="208">
        <v>275415</v>
      </c>
      <c r="BL16" s="208">
        <v>1001480</v>
      </c>
      <c r="BM16" s="208">
        <v>-431013</v>
      </c>
      <c r="BN16" s="187" t="s">
        <v>110</v>
      </c>
      <c r="BO16" s="187" t="s">
        <v>754</v>
      </c>
      <c r="BP16" s="187" t="s">
        <v>811</v>
      </c>
      <c r="BQ16" s="187" t="s">
        <v>1056</v>
      </c>
    </row>
    <row r="17" spans="2:69" x14ac:dyDescent="0.2">
      <c r="B17" s="429" t="s">
        <v>113</v>
      </c>
      <c r="C17" s="429" t="s">
        <v>112</v>
      </c>
      <c r="D17" s="208">
        <v>24417567</v>
      </c>
      <c r="E17" s="208">
        <v>0</v>
      </c>
      <c r="F17" s="208">
        <v>24417567</v>
      </c>
      <c r="G17" s="208">
        <v>0</v>
      </c>
      <c r="H17" s="208">
        <v>0</v>
      </c>
      <c r="I17" s="208">
        <v>0</v>
      </c>
      <c r="J17" s="208">
        <v>-89978</v>
      </c>
      <c r="K17" s="208">
        <v>0</v>
      </c>
      <c r="L17" s="208">
        <v>-89978</v>
      </c>
      <c r="M17" s="208">
        <v>0</v>
      </c>
      <c r="N17" s="208">
        <v>0</v>
      </c>
      <c r="O17" s="208">
        <v>0</v>
      </c>
      <c r="P17" s="208">
        <v>-18026</v>
      </c>
      <c r="Q17" s="208">
        <v>0</v>
      </c>
      <c r="R17" s="208">
        <v>-18026</v>
      </c>
      <c r="S17" s="208">
        <v>0</v>
      </c>
      <c r="T17" s="208">
        <v>0</v>
      </c>
      <c r="U17" s="208">
        <v>0</v>
      </c>
      <c r="V17" s="208">
        <v>20018</v>
      </c>
      <c r="W17" s="208">
        <v>0</v>
      </c>
      <c r="X17" s="208">
        <v>20018</v>
      </c>
      <c r="Y17" s="208">
        <v>186508</v>
      </c>
      <c r="Z17" s="208">
        <v>0</v>
      </c>
      <c r="AA17" s="208">
        <v>186508</v>
      </c>
      <c r="AB17" s="208">
        <v>-289868</v>
      </c>
      <c r="AC17" s="208">
        <v>0</v>
      </c>
      <c r="AD17" s="208">
        <v>-289868</v>
      </c>
      <c r="AE17" s="208">
        <v>24316199</v>
      </c>
      <c r="AF17" s="208">
        <v>0</v>
      </c>
      <c r="AG17" s="208">
        <v>24316199</v>
      </c>
      <c r="AH17" s="208">
        <v>0</v>
      </c>
      <c r="AI17" s="208">
        <v>0</v>
      </c>
      <c r="AJ17" s="208">
        <v>157208</v>
      </c>
      <c r="AK17" s="208">
        <v>0</v>
      </c>
      <c r="AL17" s="208">
        <v>157208</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c r="BL17" s="208">
        <v>1494531</v>
      </c>
      <c r="BM17" s="208">
        <v>-778612</v>
      </c>
      <c r="BN17" s="187" t="s">
        <v>112</v>
      </c>
      <c r="BO17" s="187" t="s">
        <v>803</v>
      </c>
      <c r="BP17" s="187" t="s">
        <v>751</v>
      </c>
      <c r="BQ17" s="187" t="s">
        <v>1054</v>
      </c>
    </row>
    <row r="18" spans="2:69" x14ac:dyDescent="0.2">
      <c r="B18" s="429" t="s">
        <v>115</v>
      </c>
      <c r="C18" s="429" t="s">
        <v>114</v>
      </c>
      <c r="D18" s="208">
        <v>82093743</v>
      </c>
      <c r="E18" s="208">
        <v>0</v>
      </c>
      <c r="F18" s="208">
        <v>82093743</v>
      </c>
      <c r="G18" s="208">
        <v>0</v>
      </c>
      <c r="H18" s="208">
        <v>0</v>
      </c>
      <c r="I18" s="208">
        <v>0</v>
      </c>
      <c r="J18" s="208">
        <v>-307947</v>
      </c>
      <c r="K18" s="208">
        <v>0</v>
      </c>
      <c r="L18" s="208">
        <v>-307947</v>
      </c>
      <c r="M18" s="208">
        <v>0</v>
      </c>
      <c r="N18" s="208">
        <v>0</v>
      </c>
      <c r="O18" s="208">
        <v>0</v>
      </c>
      <c r="P18" s="208">
        <v>-613447</v>
      </c>
      <c r="Q18" s="208">
        <v>0</v>
      </c>
      <c r="R18" s="208">
        <v>-613447</v>
      </c>
      <c r="S18" s="208">
        <v>1180809</v>
      </c>
      <c r="T18" s="208">
        <v>0</v>
      </c>
      <c r="U18" s="208">
        <v>1180809</v>
      </c>
      <c r="V18" s="208">
        <v>0</v>
      </c>
      <c r="W18" s="208">
        <v>0</v>
      </c>
      <c r="X18" s="208">
        <v>0</v>
      </c>
      <c r="Y18" s="208">
        <v>-155809</v>
      </c>
      <c r="Z18" s="208">
        <v>0</v>
      </c>
      <c r="AA18" s="208">
        <v>-155809</v>
      </c>
      <c r="AB18" s="208">
        <v>-4700000</v>
      </c>
      <c r="AC18" s="208">
        <v>0</v>
      </c>
      <c r="AD18" s="208">
        <v>-4700000</v>
      </c>
      <c r="AE18" s="208">
        <v>77805296</v>
      </c>
      <c r="AF18" s="208">
        <v>0</v>
      </c>
      <c r="AG18" s="208">
        <v>77805296</v>
      </c>
      <c r="AH18" s="208">
        <v>0</v>
      </c>
      <c r="AI18" s="208">
        <v>0</v>
      </c>
      <c r="AJ18" s="208">
        <v>51218</v>
      </c>
      <c r="AK18" s="208">
        <v>0</v>
      </c>
      <c r="AL18" s="208">
        <v>51218</v>
      </c>
      <c r="AM18" s="208">
        <v>0</v>
      </c>
      <c r="AN18" s="208">
        <v>0</v>
      </c>
      <c r="AO18" s="208">
        <v>0</v>
      </c>
      <c r="AP18" s="208">
        <v>0</v>
      </c>
      <c r="AQ18" s="208">
        <v>0</v>
      </c>
      <c r="AR18" s="208">
        <v>0</v>
      </c>
      <c r="AS18" s="208">
        <v>0</v>
      </c>
      <c r="AT18" s="208">
        <v>0</v>
      </c>
      <c r="AU18" s="208">
        <v>0</v>
      </c>
      <c r="AV18" s="208">
        <v>0</v>
      </c>
      <c r="AW18" s="208">
        <v>0</v>
      </c>
      <c r="AX18" s="208">
        <v>0</v>
      </c>
      <c r="AY18" s="208">
        <v>0</v>
      </c>
      <c r="AZ18" s="208">
        <v>0</v>
      </c>
      <c r="BA18" s="208">
        <v>0</v>
      </c>
      <c r="BB18" s="208">
        <v>0</v>
      </c>
      <c r="BC18" s="208">
        <v>0</v>
      </c>
      <c r="BD18" s="208">
        <v>0</v>
      </c>
      <c r="BE18" s="208">
        <v>0</v>
      </c>
      <c r="BF18" s="208">
        <v>0</v>
      </c>
      <c r="BG18" s="208">
        <v>0</v>
      </c>
      <c r="BH18" s="208">
        <v>0</v>
      </c>
      <c r="BI18" s="208">
        <v>0</v>
      </c>
      <c r="BJ18" s="208">
        <v>0</v>
      </c>
      <c r="BK18" s="208">
        <v>0</v>
      </c>
      <c r="BL18" s="208">
        <v>1657838</v>
      </c>
      <c r="BM18" s="208">
        <v>-2168223</v>
      </c>
      <c r="BN18" s="187" t="s">
        <v>114</v>
      </c>
      <c r="BO18" s="187" t="s">
        <v>784</v>
      </c>
      <c r="BP18" s="187" t="s">
        <v>783</v>
      </c>
      <c r="BQ18" s="187" t="s">
        <v>1054</v>
      </c>
    </row>
    <row r="19" spans="2:69" x14ac:dyDescent="0.2">
      <c r="B19" s="429" t="s">
        <v>117</v>
      </c>
      <c r="C19" s="429" t="s">
        <v>116</v>
      </c>
      <c r="D19" s="208">
        <v>72924399</v>
      </c>
      <c r="E19" s="208">
        <v>778400</v>
      </c>
      <c r="F19" s="208">
        <v>73702799</v>
      </c>
      <c r="G19" s="208">
        <v>0</v>
      </c>
      <c r="H19" s="208">
        <v>0</v>
      </c>
      <c r="I19" s="208">
        <v>0</v>
      </c>
      <c r="J19" s="208">
        <v>-370304</v>
      </c>
      <c r="K19" s="208">
        <v>-4696</v>
      </c>
      <c r="L19" s="208">
        <v>-375000</v>
      </c>
      <c r="M19" s="208">
        <v>-247853</v>
      </c>
      <c r="N19" s="208">
        <v>0</v>
      </c>
      <c r="O19" s="208">
        <v>-247853</v>
      </c>
      <c r="P19" s="208">
        <v>-650304</v>
      </c>
      <c r="Q19" s="208">
        <v>304</v>
      </c>
      <c r="R19" s="208">
        <v>-650000</v>
      </c>
      <c r="S19" s="208">
        <v>2884769</v>
      </c>
      <c r="T19" s="208">
        <v>76000</v>
      </c>
      <c r="U19" s="208">
        <v>2960769</v>
      </c>
      <c r="V19" s="208">
        <v>977840</v>
      </c>
      <c r="W19" s="208">
        <v>20881</v>
      </c>
      <c r="X19" s="208">
        <v>998721</v>
      </c>
      <c r="Y19" s="208">
        <v>-1234769</v>
      </c>
      <c r="Z19" s="208">
        <v>-76000</v>
      </c>
      <c r="AA19" s="208">
        <v>-1310769</v>
      </c>
      <c r="AB19" s="208">
        <v>-4442840</v>
      </c>
      <c r="AC19" s="208">
        <v>-55881</v>
      </c>
      <c r="AD19" s="208">
        <v>-4498721</v>
      </c>
      <c r="AE19" s="208">
        <v>70211242</v>
      </c>
      <c r="AF19" s="208">
        <v>743704</v>
      </c>
      <c r="AG19" s="208">
        <v>70954946</v>
      </c>
      <c r="AH19" s="208">
        <v>743704</v>
      </c>
      <c r="AI19" s="208">
        <v>743704</v>
      </c>
      <c r="AJ19" s="208">
        <v>327178</v>
      </c>
      <c r="AK19" s="208">
        <v>0</v>
      </c>
      <c r="AL19" s="208">
        <v>327178</v>
      </c>
      <c r="AM19" s="208">
        <v>0</v>
      </c>
      <c r="AN19" s="208">
        <v>0</v>
      </c>
      <c r="AO19" s="208">
        <v>0</v>
      </c>
      <c r="AP19" s="208">
        <v>118962</v>
      </c>
      <c r="AQ19" s="208">
        <v>118962</v>
      </c>
      <c r="AR19" s="208">
        <v>2195635</v>
      </c>
      <c r="AS19" s="208">
        <v>2195635</v>
      </c>
      <c r="AT19" s="208">
        <v>0</v>
      </c>
      <c r="AU19" s="208">
        <v>0</v>
      </c>
      <c r="AV19" s="208">
        <v>0</v>
      </c>
      <c r="AW19" s="208">
        <v>0</v>
      </c>
      <c r="AX19" s="208">
        <v>0</v>
      </c>
      <c r="AY19" s="208">
        <v>438662</v>
      </c>
      <c r="AZ19" s="208">
        <v>438662</v>
      </c>
      <c r="BA19" s="208">
        <v>0</v>
      </c>
      <c r="BB19" s="208">
        <v>0</v>
      </c>
      <c r="BC19" s="208">
        <v>0</v>
      </c>
      <c r="BD19" s="208">
        <v>0</v>
      </c>
      <c r="BE19" s="208">
        <v>0</v>
      </c>
      <c r="BF19" s="208">
        <v>0</v>
      </c>
      <c r="BG19" s="208">
        <v>0</v>
      </c>
      <c r="BH19" s="208">
        <v>0</v>
      </c>
      <c r="BI19" s="208">
        <v>0</v>
      </c>
      <c r="BJ19" s="208">
        <v>438662</v>
      </c>
      <c r="BK19" s="208">
        <v>438662</v>
      </c>
      <c r="BL19" s="208">
        <v>1173032</v>
      </c>
      <c r="BM19" s="208">
        <v>-1874485</v>
      </c>
      <c r="BN19" s="187" t="s">
        <v>116</v>
      </c>
      <c r="BO19" s="187" t="s">
        <v>761</v>
      </c>
      <c r="BP19" s="187" t="s">
        <v>760</v>
      </c>
      <c r="BQ19" s="187" t="s">
        <v>1054</v>
      </c>
    </row>
    <row r="20" spans="2:69" x14ac:dyDescent="0.2">
      <c r="B20" s="429" t="s">
        <v>119</v>
      </c>
      <c r="C20" s="429" t="s">
        <v>118</v>
      </c>
      <c r="D20" s="208">
        <v>51480653</v>
      </c>
      <c r="E20" s="208">
        <v>0</v>
      </c>
      <c r="F20" s="208">
        <v>51480653</v>
      </c>
      <c r="G20" s="208">
        <v>0</v>
      </c>
      <c r="H20" s="208">
        <v>0</v>
      </c>
      <c r="I20" s="208">
        <v>0</v>
      </c>
      <c r="J20" s="208">
        <v>-938426</v>
      </c>
      <c r="K20" s="208">
        <v>0</v>
      </c>
      <c r="L20" s="208">
        <v>-938426</v>
      </c>
      <c r="M20" s="208">
        <v>0</v>
      </c>
      <c r="N20" s="208">
        <v>0</v>
      </c>
      <c r="O20" s="208">
        <v>0</v>
      </c>
      <c r="P20" s="208">
        <v>-487496</v>
      </c>
      <c r="Q20" s="208">
        <v>0</v>
      </c>
      <c r="R20" s="208">
        <v>-487496</v>
      </c>
      <c r="S20" s="208">
        <v>505720</v>
      </c>
      <c r="T20" s="208">
        <v>0</v>
      </c>
      <c r="U20" s="208">
        <v>505720</v>
      </c>
      <c r="V20" s="208">
        <v>0</v>
      </c>
      <c r="W20" s="208">
        <v>0</v>
      </c>
      <c r="X20" s="208">
        <v>0</v>
      </c>
      <c r="Y20" s="208">
        <v>-447822</v>
      </c>
      <c r="Z20" s="208">
        <v>0</v>
      </c>
      <c r="AA20" s="208">
        <v>-447822</v>
      </c>
      <c r="AB20" s="208">
        <v>-1402480</v>
      </c>
      <c r="AC20" s="208">
        <v>0</v>
      </c>
      <c r="AD20" s="208">
        <v>-1402480</v>
      </c>
      <c r="AE20" s="208">
        <v>49648575</v>
      </c>
      <c r="AF20" s="208">
        <v>0</v>
      </c>
      <c r="AG20" s="208">
        <v>49648575</v>
      </c>
      <c r="AH20" s="208">
        <v>0</v>
      </c>
      <c r="AI20" s="208">
        <v>0</v>
      </c>
      <c r="AJ20" s="208">
        <v>589979</v>
      </c>
      <c r="AK20" s="208">
        <v>0</v>
      </c>
      <c r="AL20" s="208">
        <v>589979</v>
      </c>
      <c r="AM20" s="208">
        <v>0</v>
      </c>
      <c r="AN20" s="208">
        <v>0</v>
      </c>
      <c r="AO20" s="208">
        <v>0</v>
      </c>
      <c r="AP20" s="208">
        <v>0</v>
      </c>
      <c r="AQ20" s="208">
        <v>0</v>
      </c>
      <c r="AR20" s="208">
        <v>0</v>
      </c>
      <c r="AS20" s="208">
        <v>0</v>
      </c>
      <c r="AT20" s="208">
        <v>0</v>
      </c>
      <c r="AU20" s="208">
        <v>0</v>
      </c>
      <c r="AV20" s="208">
        <v>0</v>
      </c>
      <c r="AW20" s="208">
        <v>0</v>
      </c>
      <c r="AX20" s="208">
        <v>0</v>
      </c>
      <c r="AY20" s="208">
        <v>0</v>
      </c>
      <c r="AZ20" s="208">
        <v>0</v>
      </c>
      <c r="BA20" s="208">
        <v>0</v>
      </c>
      <c r="BB20" s="208">
        <v>0</v>
      </c>
      <c r="BC20" s="208">
        <v>0</v>
      </c>
      <c r="BD20" s="208">
        <v>0</v>
      </c>
      <c r="BE20" s="208">
        <v>0</v>
      </c>
      <c r="BF20" s="208">
        <v>0</v>
      </c>
      <c r="BG20" s="208">
        <v>0</v>
      </c>
      <c r="BH20" s="208">
        <v>0</v>
      </c>
      <c r="BI20" s="208">
        <v>0</v>
      </c>
      <c r="BJ20" s="208">
        <v>0</v>
      </c>
      <c r="BK20" s="208">
        <v>0</v>
      </c>
      <c r="BL20" s="208">
        <v>2340896</v>
      </c>
      <c r="BM20" s="208">
        <v>-818889</v>
      </c>
      <c r="BN20" s="187" t="s">
        <v>118</v>
      </c>
      <c r="BO20" s="187" t="s">
        <v>816</v>
      </c>
      <c r="BP20" s="187" t="s">
        <v>815</v>
      </c>
      <c r="BQ20" s="187" t="s">
        <v>1054</v>
      </c>
    </row>
    <row r="21" spans="2:69" x14ac:dyDescent="0.2">
      <c r="B21" s="429" t="s">
        <v>121</v>
      </c>
      <c r="C21" s="429" t="s">
        <v>120</v>
      </c>
      <c r="D21" s="208">
        <v>64236385</v>
      </c>
      <c r="E21" s="208">
        <v>5862754</v>
      </c>
      <c r="F21" s="208">
        <v>70099139</v>
      </c>
      <c r="G21" s="208">
        <v>0</v>
      </c>
      <c r="H21" s="208">
        <v>0</v>
      </c>
      <c r="I21" s="208">
        <v>0</v>
      </c>
      <c r="J21" s="208">
        <v>-158218</v>
      </c>
      <c r="K21" s="208">
        <v>-77533</v>
      </c>
      <c r="L21" s="208">
        <v>-235751</v>
      </c>
      <c r="M21" s="208">
        <v>0</v>
      </c>
      <c r="N21" s="208">
        <v>0</v>
      </c>
      <c r="O21" s="208">
        <v>0</v>
      </c>
      <c r="P21" s="208">
        <v>-197526</v>
      </c>
      <c r="Q21" s="208">
        <v>-93438</v>
      </c>
      <c r="R21" s="208">
        <v>-290964</v>
      </c>
      <c r="S21" s="208">
        <v>352021</v>
      </c>
      <c r="T21" s="208">
        <v>83737</v>
      </c>
      <c r="U21" s="208">
        <v>435758</v>
      </c>
      <c r="V21" s="208">
        <v>0</v>
      </c>
      <c r="W21" s="208">
        <v>0</v>
      </c>
      <c r="X21" s="208">
        <v>0</v>
      </c>
      <c r="Y21" s="208">
        <v>370894</v>
      </c>
      <c r="Z21" s="208">
        <v>299312</v>
      </c>
      <c r="AA21" s="208">
        <v>670206</v>
      </c>
      <c r="AB21" s="208">
        <v>-2993550</v>
      </c>
      <c r="AC21" s="208">
        <v>-306970</v>
      </c>
      <c r="AD21" s="208">
        <v>-3300520</v>
      </c>
      <c r="AE21" s="208">
        <v>61768224</v>
      </c>
      <c r="AF21" s="208">
        <v>5845395</v>
      </c>
      <c r="AG21" s="208">
        <v>67613619</v>
      </c>
      <c r="AH21" s="208">
        <v>5845395</v>
      </c>
      <c r="AI21" s="208">
        <v>5845395</v>
      </c>
      <c r="AJ21" s="208">
        <v>28507</v>
      </c>
      <c r="AK21" s="208">
        <v>0</v>
      </c>
      <c r="AL21" s="208">
        <v>28507</v>
      </c>
      <c r="AM21" s="208">
        <v>0</v>
      </c>
      <c r="AN21" s="208">
        <v>0</v>
      </c>
      <c r="AO21" s="208">
        <v>0</v>
      </c>
      <c r="AP21" s="208">
        <v>72483</v>
      </c>
      <c r="AQ21" s="208">
        <v>72483</v>
      </c>
      <c r="AR21" s="208">
        <v>5360067</v>
      </c>
      <c r="AS21" s="208">
        <v>5360067</v>
      </c>
      <c r="AT21" s="208">
        <v>653881</v>
      </c>
      <c r="AU21" s="208">
        <v>0</v>
      </c>
      <c r="AV21" s="208">
        <v>61411</v>
      </c>
      <c r="AW21" s="208">
        <v>61411</v>
      </c>
      <c r="AX21" s="208">
        <v>0</v>
      </c>
      <c r="AY21" s="208">
        <v>0</v>
      </c>
      <c r="AZ21" s="208">
        <v>0</v>
      </c>
      <c r="BA21" s="208">
        <v>0</v>
      </c>
      <c r="BB21" s="208">
        <v>0</v>
      </c>
      <c r="BC21" s="208">
        <v>0</v>
      </c>
      <c r="BD21" s="208">
        <v>0</v>
      </c>
      <c r="BE21" s="208">
        <v>0</v>
      </c>
      <c r="BF21" s="208">
        <v>0</v>
      </c>
      <c r="BG21" s="208">
        <v>0</v>
      </c>
      <c r="BH21" s="208">
        <v>0</v>
      </c>
      <c r="BI21" s="208">
        <v>0</v>
      </c>
      <c r="BJ21" s="208">
        <v>0</v>
      </c>
      <c r="BK21" s="208">
        <v>0</v>
      </c>
      <c r="BL21" s="208">
        <v>1630984</v>
      </c>
      <c r="BM21" s="208">
        <v>-2294188</v>
      </c>
      <c r="BN21" s="187" t="s">
        <v>862</v>
      </c>
      <c r="BO21" s="187" t="s">
        <v>742</v>
      </c>
      <c r="BP21" s="187" t="s">
        <v>804</v>
      </c>
      <c r="BQ21" s="187" t="s">
        <v>742</v>
      </c>
    </row>
    <row r="22" spans="2:69" x14ac:dyDescent="0.2">
      <c r="B22" s="429" t="s">
        <v>123</v>
      </c>
      <c r="C22" s="429" t="s">
        <v>122</v>
      </c>
      <c r="D22" s="208">
        <v>66847991</v>
      </c>
      <c r="E22" s="208">
        <v>0</v>
      </c>
      <c r="F22" s="208">
        <v>66847991</v>
      </c>
      <c r="G22" s="208">
        <v>0</v>
      </c>
      <c r="H22" s="208">
        <v>0</v>
      </c>
      <c r="I22" s="208">
        <v>0</v>
      </c>
      <c r="J22" s="208">
        <v>-161665</v>
      </c>
      <c r="K22" s="208">
        <v>0</v>
      </c>
      <c r="L22" s="208">
        <v>-161665</v>
      </c>
      <c r="M22" s="208">
        <v>0</v>
      </c>
      <c r="N22" s="208">
        <v>0</v>
      </c>
      <c r="O22" s="208">
        <v>0</v>
      </c>
      <c r="P22" s="208">
        <v>-166000</v>
      </c>
      <c r="Q22" s="208">
        <v>0</v>
      </c>
      <c r="R22" s="208">
        <v>-166000</v>
      </c>
      <c r="S22" s="208">
        <v>597272</v>
      </c>
      <c r="T22" s="208">
        <v>0</v>
      </c>
      <c r="U22" s="208">
        <v>597272</v>
      </c>
      <c r="V22" s="208">
        <v>252690</v>
      </c>
      <c r="W22" s="208">
        <v>0</v>
      </c>
      <c r="X22" s="208">
        <v>252690</v>
      </c>
      <c r="Y22" s="208">
        <v>-641701</v>
      </c>
      <c r="Z22" s="208">
        <v>0</v>
      </c>
      <c r="AA22" s="208">
        <v>-641701</v>
      </c>
      <c r="AB22" s="208">
        <v>-2152881</v>
      </c>
      <c r="AC22" s="208">
        <v>0</v>
      </c>
      <c r="AD22" s="208">
        <v>-2152881</v>
      </c>
      <c r="AE22" s="208">
        <v>64737371</v>
      </c>
      <c r="AF22" s="208">
        <v>0</v>
      </c>
      <c r="AG22" s="208">
        <v>64737371</v>
      </c>
      <c r="AH22" s="208">
        <v>0</v>
      </c>
      <c r="AI22" s="208">
        <v>0</v>
      </c>
      <c r="AJ22" s="208">
        <v>658913</v>
      </c>
      <c r="AK22" s="208">
        <v>0</v>
      </c>
      <c r="AL22" s="208">
        <v>658913</v>
      </c>
      <c r="AM22" s="208">
        <v>0</v>
      </c>
      <c r="AN22" s="208">
        <v>0</v>
      </c>
      <c r="AO22" s="208">
        <v>0</v>
      </c>
      <c r="AP22" s="208">
        <v>0</v>
      </c>
      <c r="AQ22" s="208">
        <v>0</v>
      </c>
      <c r="AR22" s="208">
        <v>0</v>
      </c>
      <c r="AS22" s="208">
        <v>0</v>
      </c>
      <c r="AT22" s="208">
        <v>0</v>
      </c>
      <c r="AU22" s="208">
        <v>0</v>
      </c>
      <c r="AV22" s="208">
        <v>0</v>
      </c>
      <c r="AW22" s="208">
        <v>0</v>
      </c>
      <c r="AX22" s="208">
        <v>0</v>
      </c>
      <c r="AY22" s="208">
        <v>0</v>
      </c>
      <c r="AZ22" s="208">
        <v>0</v>
      </c>
      <c r="BA22" s="208">
        <v>0</v>
      </c>
      <c r="BB22" s="208">
        <v>0</v>
      </c>
      <c r="BC22" s="208">
        <v>0</v>
      </c>
      <c r="BD22" s="208">
        <v>0</v>
      </c>
      <c r="BE22" s="208">
        <v>0</v>
      </c>
      <c r="BF22" s="208">
        <v>0</v>
      </c>
      <c r="BG22" s="208">
        <v>0</v>
      </c>
      <c r="BH22" s="208">
        <v>0</v>
      </c>
      <c r="BI22" s="208">
        <v>0</v>
      </c>
      <c r="BJ22" s="208">
        <v>0</v>
      </c>
      <c r="BK22" s="208">
        <v>0</v>
      </c>
      <c r="BL22" s="208">
        <v>2645445</v>
      </c>
      <c r="BM22" s="208">
        <v>-982904</v>
      </c>
      <c r="BN22" s="187" t="s">
        <v>122</v>
      </c>
      <c r="BO22" s="187" t="s">
        <v>742</v>
      </c>
      <c r="BP22" s="187" t="s">
        <v>837</v>
      </c>
      <c r="BQ22" s="187" t="s">
        <v>742</v>
      </c>
    </row>
    <row r="23" spans="2:69" x14ac:dyDescent="0.2">
      <c r="B23" s="429" t="s">
        <v>125</v>
      </c>
      <c r="C23" s="429" t="s">
        <v>124</v>
      </c>
      <c r="D23" s="208">
        <v>75033917</v>
      </c>
      <c r="E23" s="208">
        <v>0</v>
      </c>
      <c r="F23" s="208">
        <v>75033917</v>
      </c>
      <c r="G23" s="208">
        <v>-882</v>
      </c>
      <c r="H23" s="208">
        <v>0</v>
      </c>
      <c r="I23" s="208">
        <v>-882</v>
      </c>
      <c r="J23" s="208">
        <v>0</v>
      </c>
      <c r="K23" s="208">
        <v>0</v>
      </c>
      <c r="L23" s="208">
        <v>0</v>
      </c>
      <c r="M23" s="208">
        <v>51012</v>
      </c>
      <c r="N23" s="208">
        <v>0</v>
      </c>
      <c r="O23" s="208">
        <v>51012</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75084047</v>
      </c>
      <c r="AF23" s="208">
        <v>0</v>
      </c>
      <c r="AG23" s="208">
        <v>75084047</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c r="BL23" s="208">
        <v>1902881</v>
      </c>
      <c r="BM23" s="208">
        <v>-1357978</v>
      </c>
      <c r="BN23" s="187" t="s">
        <v>124</v>
      </c>
      <c r="BO23" s="187" t="s">
        <v>767</v>
      </c>
      <c r="BP23" s="187" t="s">
        <v>743</v>
      </c>
      <c r="BQ23" s="187" t="s">
        <v>1055</v>
      </c>
    </row>
    <row r="24" spans="2:69" x14ac:dyDescent="0.2">
      <c r="B24" s="429" t="s">
        <v>127</v>
      </c>
      <c r="C24" s="429" t="s">
        <v>126</v>
      </c>
      <c r="D24" s="208">
        <v>418390063</v>
      </c>
      <c r="E24" s="208">
        <v>10787575</v>
      </c>
      <c r="F24" s="208">
        <v>429177638</v>
      </c>
      <c r="G24" s="208">
        <v>-5919</v>
      </c>
      <c r="H24" s="208">
        <v>0</v>
      </c>
      <c r="I24" s="208">
        <v>-5919</v>
      </c>
      <c r="J24" s="208">
        <v>-11937007</v>
      </c>
      <c r="K24" s="208">
        <v>0</v>
      </c>
      <c r="L24" s="208">
        <v>-11937007</v>
      </c>
      <c r="M24" s="208">
        <v>0</v>
      </c>
      <c r="N24" s="208">
        <v>297976</v>
      </c>
      <c r="O24" s="208">
        <v>297976</v>
      </c>
      <c r="P24" s="208">
        <v>-11363573</v>
      </c>
      <c r="Q24" s="208">
        <v>-27074</v>
      </c>
      <c r="R24" s="208">
        <v>-11390647</v>
      </c>
      <c r="S24" s="208">
        <v>13248404</v>
      </c>
      <c r="T24" s="208">
        <v>649447</v>
      </c>
      <c r="U24" s="208">
        <v>13897851</v>
      </c>
      <c r="V24" s="208">
        <v>4313678</v>
      </c>
      <c r="W24" s="208">
        <v>1099794</v>
      </c>
      <c r="X24" s="208">
        <v>5413472</v>
      </c>
      <c r="Y24" s="208">
        <v>12390341</v>
      </c>
      <c r="Z24" s="208">
        <v>-264505</v>
      </c>
      <c r="AA24" s="208">
        <v>12125836</v>
      </c>
      <c r="AB24" s="208">
        <v>-15936211</v>
      </c>
      <c r="AC24" s="208">
        <v>-1265439</v>
      </c>
      <c r="AD24" s="208">
        <v>-17201650</v>
      </c>
      <c r="AE24" s="208">
        <v>421036783</v>
      </c>
      <c r="AF24" s="208">
        <v>11277774</v>
      </c>
      <c r="AG24" s="208">
        <v>432314557</v>
      </c>
      <c r="AH24" s="208">
        <v>11277774</v>
      </c>
      <c r="AI24" s="208">
        <v>11277774</v>
      </c>
      <c r="AJ24" s="208">
        <v>0</v>
      </c>
      <c r="AK24" s="208">
        <v>0</v>
      </c>
      <c r="AL24" s="208">
        <v>0</v>
      </c>
      <c r="AM24" s="208">
        <v>0</v>
      </c>
      <c r="AN24" s="208">
        <v>0</v>
      </c>
      <c r="AO24" s="208">
        <v>0</v>
      </c>
      <c r="AP24" s="208">
        <v>-90293</v>
      </c>
      <c r="AQ24" s="208">
        <v>-90293</v>
      </c>
      <c r="AR24" s="208">
        <v>11092821</v>
      </c>
      <c r="AS24" s="208">
        <v>11092821</v>
      </c>
      <c r="AT24" s="208">
        <v>94660</v>
      </c>
      <c r="AU24" s="208">
        <v>0</v>
      </c>
      <c r="AV24" s="208">
        <v>1118938</v>
      </c>
      <c r="AW24" s="208">
        <v>1118938</v>
      </c>
      <c r="AX24" s="208">
        <v>0</v>
      </c>
      <c r="AY24" s="208">
        <v>0</v>
      </c>
      <c r="AZ24" s="208">
        <v>0</v>
      </c>
      <c r="BA24" s="208">
        <v>0</v>
      </c>
      <c r="BB24" s="208">
        <v>0</v>
      </c>
      <c r="BC24" s="208">
        <v>0</v>
      </c>
      <c r="BD24" s="208">
        <v>0</v>
      </c>
      <c r="BE24" s="208">
        <v>0</v>
      </c>
      <c r="BF24" s="208">
        <v>0</v>
      </c>
      <c r="BG24" s="208">
        <v>0</v>
      </c>
      <c r="BH24" s="208">
        <v>0</v>
      </c>
      <c r="BI24" s="208">
        <v>0</v>
      </c>
      <c r="BJ24" s="208">
        <v>0</v>
      </c>
      <c r="BK24" s="208">
        <v>0</v>
      </c>
      <c r="BL24" s="208">
        <v>95966608</v>
      </c>
      <c r="BM24" s="208">
        <v>-18031015</v>
      </c>
      <c r="BN24" s="187" t="s">
        <v>126</v>
      </c>
      <c r="BO24" s="187" t="s">
        <v>754</v>
      </c>
      <c r="BP24" s="187" t="s">
        <v>753</v>
      </c>
      <c r="BQ24" s="187" t="s">
        <v>1056</v>
      </c>
    </row>
    <row r="25" spans="2:69" x14ac:dyDescent="0.2">
      <c r="B25" s="429" t="s">
        <v>129</v>
      </c>
      <c r="C25" s="429" t="s">
        <v>128</v>
      </c>
      <c r="D25" s="208">
        <v>46868030</v>
      </c>
      <c r="E25" s="208">
        <v>0</v>
      </c>
      <c r="F25" s="208">
        <v>46868030</v>
      </c>
      <c r="G25" s="208">
        <v>0</v>
      </c>
      <c r="H25" s="208">
        <v>0</v>
      </c>
      <c r="I25" s="208">
        <v>0</v>
      </c>
      <c r="J25" s="208">
        <v>0</v>
      </c>
      <c r="K25" s="208">
        <v>0</v>
      </c>
      <c r="L25" s="208">
        <v>0</v>
      </c>
      <c r="M25" s="208">
        <v>-53744</v>
      </c>
      <c r="N25" s="208">
        <v>0</v>
      </c>
      <c r="O25" s="208">
        <v>-53744</v>
      </c>
      <c r="P25" s="208">
        <v>122050</v>
      </c>
      <c r="Q25" s="208">
        <v>0</v>
      </c>
      <c r="R25" s="208">
        <v>122050</v>
      </c>
      <c r="S25" s="208">
        <v>13408</v>
      </c>
      <c r="T25" s="208">
        <v>0</v>
      </c>
      <c r="U25" s="208">
        <v>13408</v>
      </c>
      <c r="V25" s="208">
        <v>0</v>
      </c>
      <c r="W25" s="208">
        <v>0</v>
      </c>
      <c r="X25" s="208">
        <v>0</v>
      </c>
      <c r="Y25" s="208">
        <v>566592</v>
      </c>
      <c r="Z25" s="208">
        <v>0</v>
      </c>
      <c r="AA25" s="208">
        <v>566592</v>
      </c>
      <c r="AB25" s="208">
        <v>-1184000</v>
      </c>
      <c r="AC25" s="208">
        <v>0</v>
      </c>
      <c r="AD25" s="208">
        <v>-1184000</v>
      </c>
      <c r="AE25" s="208">
        <v>46332336</v>
      </c>
      <c r="AF25" s="208">
        <v>0</v>
      </c>
      <c r="AG25" s="208">
        <v>46332336</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c r="BL25" s="208">
        <v>424598</v>
      </c>
      <c r="BM25" s="208">
        <v>-1537556</v>
      </c>
      <c r="BN25" s="187" t="s">
        <v>128</v>
      </c>
      <c r="BO25" s="187" t="s">
        <v>825</v>
      </c>
      <c r="BP25" s="187" t="s">
        <v>813</v>
      </c>
      <c r="BQ25" s="187" t="s">
        <v>1054</v>
      </c>
    </row>
    <row r="26" spans="2:69" x14ac:dyDescent="0.2">
      <c r="B26" s="429" t="s">
        <v>131</v>
      </c>
      <c r="C26" s="429" t="s">
        <v>130</v>
      </c>
      <c r="D26" s="208">
        <v>46081222</v>
      </c>
      <c r="E26" s="208">
        <v>0</v>
      </c>
      <c r="F26" s="208">
        <v>46081222</v>
      </c>
      <c r="G26" s="208">
        <v>0</v>
      </c>
      <c r="H26" s="208">
        <v>0</v>
      </c>
      <c r="I26" s="208">
        <v>0</v>
      </c>
      <c r="J26" s="208">
        <v>-498806</v>
      </c>
      <c r="K26" s="208">
        <v>0</v>
      </c>
      <c r="L26" s="208">
        <v>-498806</v>
      </c>
      <c r="M26" s="208">
        <v>0</v>
      </c>
      <c r="N26" s="208">
        <v>0</v>
      </c>
      <c r="O26" s="208">
        <v>0</v>
      </c>
      <c r="P26" s="208">
        <v>-625806</v>
      </c>
      <c r="Q26" s="208">
        <v>0</v>
      </c>
      <c r="R26" s="208">
        <v>-625806</v>
      </c>
      <c r="S26" s="208">
        <v>390000</v>
      </c>
      <c r="T26" s="208">
        <v>0</v>
      </c>
      <c r="U26" s="208">
        <v>390000</v>
      </c>
      <c r="V26" s="208">
        <v>0</v>
      </c>
      <c r="W26" s="208">
        <v>0</v>
      </c>
      <c r="X26" s="208">
        <v>0</v>
      </c>
      <c r="Y26" s="208">
        <v>-390868</v>
      </c>
      <c r="Z26" s="208">
        <v>0</v>
      </c>
      <c r="AA26" s="208">
        <v>-390868</v>
      </c>
      <c r="AB26" s="208">
        <v>18700</v>
      </c>
      <c r="AC26" s="208">
        <v>0</v>
      </c>
      <c r="AD26" s="208">
        <v>18700</v>
      </c>
      <c r="AE26" s="208">
        <v>45473248</v>
      </c>
      <c r="AF26" s="208">
        <v>0</v>
      </c>
      <c r="AG26" s="208">
        <v>45473248</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2857249</v>
      </c>
      <c r="BM26" s="208">
        <v>-531612</v>
      </c>
      <c r="BN26" s="187" t="s">
        <v>861</v>
      </c>
      <c r="BO26" s="187" t="s">
        <v>742</v>
      </c>
      <c r="BP26" s="187" t="s">
        <v>747</v>
      </c>
      <c r="BQ26" s="187" t="s">
        <v>742</v>
      </c>
    </row>
    <row r="27" spans="2:69" x14ac:dyDescent="0.2">
      <c r="B27" s="429" t="s">
        <v>133</v>
      </c>
      <c r="C27" s="429" t="s">
        <v>132</v>
      </c>
      <c r="D27" s="208">
        <v>46744722</v>
      </c>
      <c r="E27" s="208">
        <v>1716643</v>
      </c>
      <c r="F27" s="208">
        <v>48461365</v>
      </c>
      <c r="G27" s="208">
        <v>0</v>
      </c>
      <c r="H27" s="208">
        <v>0</v>
      </c>
      <c r="I27" s="208">
        <v>0</v>
      </c>
      <c r="J27" s="208">
        <v>-1390186</v>
      </c>
      <c r="K27" s="208">
        <v>-16162</v>
      </c>
      <c r="L27" s="208">
        <v>-1406348</v>
      </c>
      <c r="M27" s="208">
        <v>0</v>
      </c>
      <c r="N27" s="208">
        <v>0</v>
      </c>
      <c r="O27" s="208">
        <v>0</v>
      </c>
      <c r="P27" s="208">
        <v>-1470234</v>
      </c>
      <c r="Q27" s="208">
        <v>-12766</v>
      </c>
      <c r="R27" s="208">
        <v>-1483000</v>
      </c>
      <c r="S27" s="208">
        <v>1019797</v>
      </c>
      <c r="T27" s="208">
        <v>6525</v>
      </c>
      <c r="U27" s="208">
        <v>1026322</v>
      </c>
      <c r="V27" s="208">
        <v>193858</v>
      </c>
      <c r="W27" s="208">
        <v>95</v>
      </c>
      <c r="X27" s="208">
        <v>193953</v>
      </c>
      <c r="Y27" s="208">
        <v>-2791091</v>
      </c>
      <c r="Z27" s="208">
        <v>92499</v>
      </c>
      <c r="AA27" s="208">
        <v>-2698592</v>
      </c>
      <c r="AB27" s="208">
        <v>-323059</v>
      </c>
      <c r="AC27" s="208">
        <v>1651</v>
      </c>
      <c r="AD27" s="208">
        <v>-321408</v>
      </c>
      <c r="AE27" s="208">
        <v>43373993</v>
      </c>
      <c r="AF27" s="208">
        <v>1804647</v>
      </c>
      <c r="AG27" s="208">
        <v>45178640</v>
      </c>
      <c r="AH27" s="208">
        <v>1804647</v>
      </c>
      <c r="AI27" s="208">
        <v>1804647</v>
      </c>
      <c r="AJ27" s="208">
        <v>2435</v>
      </c>
      <c r="AK27" s="208">
        <v>0</v>
      </c>
      <c r="AL27" s="208">
        <v>2435</v>
      </c>
      <c r="AM27" s="208">
        <v>0</v>
      </c>
      <c r="AN27" s="208">
        <v>0</v>
      </c>
      <c r="AO27" s="208">
        <v>0</v>
      </c>
      <c r="AP27" s="208">
        <v>-46970</v>
      </c>
      <c r="AQ27" s="208">
        <v>-46970</v>
      </c>
      <c r="AR27" s="208">
        <v>1548155</v>
      </c>
      <c r="AS27" s="208">
        <v>1548155</v>
      </c>
      <c r="AT27" s="208">
        <v>209522</v>
      </c>
      <c r="AU27" s="208">
        <v>0</v>
      </c>
      <c r="AV27" s="208">
        <v>0</v>
      </c>
      <c r="AW27" s="208">
        <v>0</v>
      </c>
      <c r="AX27" s="208">
        <v>0</v>
      </c>
      <c r="AY27" s="208">
        <v>234365</v>
      </c>
      <c r="AZ27" s="208">
        <v>234365</v>
      </c>
      <c r="BA27" s="208">
        <v>0</v>
      </c>
      <c r="BB27" s="208">
        <v>0</v>
      </c>
      <c r="BC27" s="208">
        <v>0</v>
      </c>
      <c r="BD27" s="208">
        <v>0</v>
      </c>
      <c r="BE27" s="208">
        <v>0</v>
      </c>
      <c r="BF27" s="208">
        <v>0</v>
      </c>
      <c r="BG27" s="208">
        <v>0</v>
      </c>
      <c r="BH27" s="208">
        <v>0</v>
      </c>
      <c r="BI27" s="208">
        <v>0</v>
      </c>
      <c r="BJ27" s="208">
        <v>234365</v>
      </c>
      <c r="BK27" s="208">
        <v>234365</v>
      </c>
      <c r="BL27" s="208">
        <v>6063979</v>
      </c>
      <c r="BM27" s="208">
        <v>-215690</v>
      </c>
      <c r="BN27" s="187" t="s">
        <v>860</v>
      </c>
      <c r="BO27" s="187" t="s">
        <v>742</v>
      </c>
      <c r="BP27" s="187" t="s">
        <v>747</v>
      </c>
      <c r="BQ27" s="187" t="s">
        <v>742</v>
      </c>
    </row>
    <row r="28" spans="2:69" x14ac:dyDescent="0.2">
      <c r="B28" s="429" t="s">
        <v>135</v>
      </c>
      <c r="C28" s="429" t="s">
        <v>134</v>
      </c>
      <c r="D28" s="208">
        <v>27440720</v>
      </c>
      <c r="E28" s="208">
        <v>0</v>
      </c>
      <c r="F28" s="208">
        <v>27440720</v>
      </c>
      <c r="G28" s="208">
        <v>0</v>
      </c>
      <c r="H28" s="208">
        <v>0</v>
      </c>
      <c r="I28" s="208">
        <v>0</v>
      </c>
      <c r="J28" s="208">
        <v>0</v>
      </c>
      <c r="K28" s="208">
        <v>0</v>
      </c>
      <c r="L28" s="208">
        <v>0</v>
      </c>
      <c r="M28" s="208">
        <v>-50975</v>
      </c>
      <c r="N28" s="208">
        <v>0</v>
      </c>
      <c r="O28" s="208">
        <v>-50975</v>
      </c>
      <c r="P28" s="208">
        <v>47370</v>
      </c>
      <c r="Q28" s="208">
        <v>0</v>
      </c>
      <c r="R28" s="208">
        <v>47370</v>
      </c>
      <c r="S28" s="208">
        <v>353817</v>
      </c>
      <c r="T28" s="208">
        <v>0</v>
      </c>
      <c r="U28" s="208">
        <v>353817</v>
      </c>
      <c r="V28" s="208">
        <v>0</v>
      </c>
      <c r="W28" s="208">
        <v>0</v>
      </c>
      <c r="X28" s="208">
        <v>0</v>
      </c>
      <c r="Y28" s="208">
        <v>448039</v>
      </c>
      <c r="Z28" s="208">
        <v>0</v>
      </c>
      <c r="AA28" s="208">
        <v>448039</v>
      </c>
      <c r="AB28" s="208">
        <v>992233</v>
      </c>
      <c r="AC28" s="208">
        <v>0</v>
      </c>
      <c r="AD28" s="208">
        <v>992233</v>
      </c>
      <c r="AE28" s="208">
        <v>29231204</v>
      </c>
      <c r="AF28" s="208">
        <v>0</v>
      </c>
      <c r="AG28" s="208">
        <v>29231204</v>
      </c>
      <c r="AH28" s="208">
        <v>0</v>
      </c>
      <c r="AI28" s="208">
        <v>0</v>
      </c>
      <c r="AJ28" s="208">
        <v>64423</v>
      </c>
      <c r="AK28" s="208">
        <v>0</v>
      </c>
      <c r="AL28" s="208">
        <v>64423</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c r="BL28" s="208">
        <v>319942</v>
      </c>
      <c r="BM28" s="208">
        <v>-865412</v>
      </c>
      <c r="BN28" s="187" t="s">
        <v>134</v>
      </c>
      <c r="BO28" s="187" t="s">
        <v>807</v>
      </c>
      <c r="BP28" s="187" t="s">
        <v>806</v>
      </c>
      <c r="BQ28" s="187" t="s">
        <v>1054</v>
      </c>
    </row>
    <row r="29" spans="2:69" x14ac:dyDescent="0.2">
      <c r="B29" s="429" t="s">
        <v>137</v>
      </c>
      <c r="C29" s="429" t="s">
        <v>136</v>
      </c>
      <c r="D29" s="208">
        <v>88736811</v>
      </c>
      <c r="E29" s="208">
        <v>0</v>
      </c>
      <c r="F29" s="208">
        <v>88736811</v>
      </c>
      <c r="G29" s="208">
        <v>0</v>
      </c>
      <c r="H29" s="208">
        <v>0</v>
      </c>
      <c r="I29" s="208">
        <v>0</v>
      </c>
      <c r="J29" s="208">
        <v>-1990116</v>
      </c>
      <c r="K29" s="208">
        <v>0</v>
      </c>
      <c r="L29" s="208">
        <v>-1990116</v>
      </c>
      <c r="M29" s="208">
        <v>0</v>
      </c>
      <c r="N29" s="208">
        <v>0</v>
      </c>
      <c r="O29" s="208">
        <v>0</v>
      </c>
      <c r="P29" s="208">
        <v>-2536166</v>
      </c>
      <c r="Q29" s="208">
        <v>0</v>
      </c>
      <c r="R29" s="208">
        <v>-2536166</v>
      </c>
      <c r="S29" s="208">
        <v>1001395</v>
      </c>
      <c r="T29" s="208">
        <v>0</v>
      </c>
      <c r="U29" s="208">
        <v>1001395</v>
      </c>
      <c r="V29" s="208">
        <v>1527751</v>
      </c>
      <c r="W29" s="208">
        <v>0</v>
      </c>
      <c r="X29" s="208">
        <v>1527751</v>
      </c>
      <c r="Y29" s="208">
        <v>0</v>
      </c>
      <c r="Z29" s="208">
        <v>0</v>
      </c>
      <c r="AA29" s="208">
        <v>0</v>
      </c>
      <c r="AB29" s="208">
        <v>-5096928</v>
      </c>
      <c r="AC29" s="208">
        <v>0</v>
      </c>
      <c r="AD29" s="208">
        <v>-5096928</v>
      </c>
      <c r="AE29" s="208">
        <v>83632863</v>
      </c>
      <c r="AF29" s="208">
        <v>0</v>
      </c>
      <c r="AG29" s="208">
        <v>83632863</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c r="BL29" s="208">
        <v>8033486</v>
      </c>
      <c r="BM29" s="208">
        <v>-1443122</v>
      </c>
      <c r="BN29" s="187" t="s">
        <v>136</v>
      </c>
      <c r="BO29" s="187" t="s">
        <v>754</v>
      </c>
      <c r="BP29" s="187" t="s">
        <v>763</v>
      </c>
      <c r="BQ29" s="187" t="s">
        <v>1056</v>
      </c>
    </row>
    <row r="30" spans="2:69" x14ac:dyDescent="0.2">
      <c r="B30" s="429" t="s">
        <v>139</v>
      </c>
      <c r="C30" s="429" t="s">
        <v>138</v>
      </c>
      <c r="D30" s="208">
        <v>20246098</v>
      </c>
      <c r="E30" s="208">
        <v>0</v>
      </c>
      <c r="F30" s="208">
        <v>20246098</v>
      </c>
      <c r="G30" s="208">
        <v>0</v>
      </c>
      <c r="H30" s="208">
        <v>0</v>
      </c>
      <c r="I30" s="208">
        <v>0</v>
      </c>
      <c r="J30" s="208">
        <v>-82461</v>
      </c>
      <c r="K30" s="208">
        <v>0</v>
      </c>
      <c r="L30" s="208">
        <v>-82461</v>
      </c>
      <c r="M30" s="208">
        <v>0</v>
      </c>
      <c r="N30" s="208">
        <v>0</v>
      </c>
      <c r="O30" s="208">
        <v>0</v>
      </c>
      <c r="P30" s="208">
        <v>-516994</v>
      </c>
      <c r="Q30" s="208">
        <v>0</v>
      </c>
      <c r="R30" s="208">
        <v>-516994</v>
      </c>
      <c r="S30" s="208">
        <v>0</v>
      </c>
      <c r="T30" s="208">
        <v>0</v>
      </c>
      <c r="U30" s="208">
        <v>0</v>
      </c>
      <c r="V30" s="208">
        <v>0</v>
      </c>
      <c r="W30" s="208">
        <v>0</v>
      </c>
      <c r="X30" s="208">
        <v>0</v>
      </c>
      <c r="Y30" s="208">
        <v>1807458</v>
      </c>
      <c r="Z30" s="208">
        <v>0</v>
      </c>
      <c r="AA30" s="208">
        <v>1807458</v>
      </c>
      <c r="AB30" s="208">
        <v>427500</v>
      </c>
      <c r="AC30" s="208">
        <v>0</v>
      </c>
      <c r="AD30" s="208">
        <v>427500</v>
      </c>
      <c r="AE30" s="208">
        <v>21964062</v>
      </c>
      <c r="AF30" s="208">
        <v>0</v>
      </c>
      <c r="AG30" s="208">
        <v>21964062</v>
      </c>
      <c r="AH30" s="208">
        <v>0</v>
      </c>
      <c r="AI30" s="208">
        <v>0</v>
      </c>
      <c r="AJ30" s="208">
        <v>170056</v>
      </c>
      <c r="AK30" s="208">
        <v>0</v>
      </c>
      <c r="AL30" s="208">
        <v>170056</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1085718</v>
      </c>
      <c r="BM30" s="208">
        <v>-577592</v>
      </c>
      <c r="BN30" s="187" t="s">
        <v>138</v>
      </c>
      <c r="BO30" s="187" t="s">
        <v>771</v>
      </c>
      <c r="BP30" s="187" t="s">
        <v>751</v>
      </c>
      <c r="BQ30" s="187" t="s">
        <v>1054</v>
      </c>
    </row>
    <row r="31" spans="2:69" x14ac:dyDescent="0.2">
      <c r="B31" s="429" t="s">
        <v>141</v>
      </c>
      <c r="C31" s="429" t="s">
        <v>140</v>
      </c>
      <c r="D31" s="208">
        <v>67607807</v>
      </c>
      <c r="E31" s="208">
        <v>0</v>
      </c>
      <c r="F31" s="208">
        <v>67607807</v>
      </c>
      <c r="G31" s="208">
        <v>0</v>
      </c>
      <c r="H31" s="208">
        <v>0</v>
      </c>
      <c r="I31" s="208">
        <v>0</v>
      </c>
      <c r="J31" s="208">
        <v>1664</v>
      </c>
      <c r="K31" s="208">
        <v>0</v>
      </c>
      <c r="L31" s="208">
        <v>1664</v>
      </c>
      <c r="M31" s="208">
        <v>0</v>
      </c>
      <c r="N31" s="208">
        <v>0</v>
      </c>
      <c r="O31" s="208">
        <v>0</v>
      </c>
      <c r="P31" s="208">
        <v>-661744</v>
      </c>
      <c r="Q31" s="208">
        <v>0</v>
      </c>
      <c r="R31" s="208">
        <v>-661744</v>
      </c>
      <c r="S31" s="208">
        <v>1138586</v>
      </c>
      <c r="T31" s="208">
        <v>0</v>
      </c>
      <c r="U31" s="208">
        <v>1138586</v>
      </c>
      <c r="V31" s="208">
        <v>0</v>
      </c>
      <c r="W31" s="208">
        <v>0</v>
      </c>
      <c r="X31" s="208">
        <v>0</v>
      </c>
      <c r="Y31" s="208">
        <v>-3685134</v>
      </c>
      <c r="Z31" s="208">
        <v>0</v>
      </c>
      <c r="AA31" s="208">
        <v>-3685134</v>
      </c>
      <c r="AB31" s="208">
        <v>-3733646</v>
      </c>
      <c r="AC31" s="208">
        <v>0</v>
      </c>
      <c r="AD31" s="208">
        <v>-3733646</v>
      </c>
      <c r="AE31" s="208">
        <v>60665869</v>
      </c>
      <c r="AF31" s="208">
        <v>0</v>
      </c>
      <c r="AG31" s="208">
        <v>60665869</v>
      </c>
      <c r="AH31" s="208">
        <v>0</v>
      </c>
      <c r="AI31" s="208">
        <v>0</v>
      </c>
      <c r="AJ31" s="208">
        <v>226</v>
      </c>
      <c r="AK31" s="208">
        <v>0</v>
      </c>
      <c r="AL31" s="208">
        <v>226</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c r="BL31" s="208">
        <v>4723076</v>
      </c>
      <c r="BM31" s="208">
        <v>-357965</v>
      </c>
      <c r="BN31" s="187" t="s">
        <v>859</v>
      </c>
      <c r="BO31" s="187" t="s">
        <v>742</v>
      </c>
      <c r="BP31" s="187" t="s">
        <v>764</v>
      </c>
      <c r="BQ31" s="187" t="s">
        <v>742</v>
      </c>
    </row>
    <row r="32" spans="2:69" x14ac:dyDescent="0.2">
      <c r="B32" s="429" t="s">
        <v>143</v>
      </c>
      <c r="C32" s="429" t="s">
        <v>142</v>
      </c>
      <c r="D32" s="208">
        <v>74196418</v>
      </c>
      <c r="E32" s="208">
        <v>0</v>
      </c>
      <c r="F32" s="208">
        <v>74196418</v>
      </c>
      <c r="G32" s="208">
        <v>0</v>
      </c>
      <c r="H32" s="208">
        <v>0</v>
      </c>
      <c r="I32" s="208">
        <v>0</v>
      </c>
      <c r="J32" s="208">
        <v>0</v>
      </c>
      <c r="K32" s="208">
        <v>0</v>
      </c>
      <c r="L32" s="208">
        <v>0</v>
      </c>
      <c r="M32" s="208">
        <v>-163021</v>
      </c>
      <c r="N32" s="208">
        <v>0</v>
      </c>
      <c r="O32" s="208">
        <v>-163021</v>
      </c>
      <c r="P32" s="208">
        <v>-168800</v>
      </c>
      <c r="Q32" s="208">
        <v>0</v>
      </c>
      <c r="R32" s="208">
        <v>-168800</v>
      </c>
      <c r="S32" s="208">
        <v>726405</v>
      </c>
      <c r="T32" s="208">
        <v>0</v>
      </c>
      <c r="U32" s="208">
        <v>726405</v>
      </c>
      <c r="V32" s="208">
        <v>0</v>
      </c>
      <c r="W32" s="208">
        <v>0</v>
      </c>
      <c r="X32" s="208">
        <v>0</v>
      </c>
      <c r="Y32" s="208">
        <v>7623459</v>
      </c>
      <c r="Z32" s="208">
        <v>0</v>
      </c>
      <c r="AA32" s="208">
        <v>7623459</v>
      </c>
      <c r="AB32" s="208">
        <v>-2367965</v>
      </c>
      <c r="AC32" s="208">
        <v>0</v>
      </c>
      <c r="AD32" s="208">
        <v>-2367965</v>
      </c>
      <c r="AE32" s="208">
        <v>79846496</v>
      </c>
      <c r="AF32" s="208">
        <v>0</v>
      </c>
      <c r="AG32" s="208">
        <v>79846496</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c r="BL32" s="208">
        <v>3330891</v>
      </c>
      <c r="BM32" s="208">
        <v>-5396316</v>
      </c>
      <c r="BN32" s="187" t="s">
        <v>858</v>
      </c>
      <c r="BO32" s="187" t="s">
        <v>742</v>
      </c>
      <c r="BP32" s="187" t="s">
        <v>755</v>
      </c>
      <c r="BQ32" s="187" t="s">
        <v>742</v>
      </c>
    </row>
    <row r="33" spans="1:69" x14ac:dyDescent="0.2">
      <c r="B33" s="429" t="s">
        <v>145</v>
      </c>
      <c r="C33" s="429" t="s">
        <v>144</v>
      </c>
      <c r="D33" s="208">
        <v>139560531</v>
      </c>
      <c r="E33" s="208">
        <v>0</v>
      </c>
      <c r="F33" s="208">
        <v>139560531</v>
      </c>
      <c r="G33" s="208">
        <v>0</v>
      </c>
      <c r="H33" s="208">
        <v>0</v>
      </c>
      <c r="I33" s="208">
        <v>0</v>
      </c>
      <c r="J33" s="208">
        <v>-2295754.85</v>
      </c>
      <c r="K33" s="208">
        <v>0</v>
      </c>
      <c r="L33" s="208">
        <v>-2295754.85</v>
      </c>
      <c r="M33" s="208">
        <v>0</v>
      </c>
      <c r="N33" s="208">
        <v>0</v>
      </c>
      <c r="O33" s="208">
        <v>0</v>
      </c>
      <c r="P33" s="208">
        <v>-742005</v>
      </c>
      <c r="Q33" s="208">
        <v>0</v>
      </c>
      <c r="R33" s="208">
        <v>-742005</v>
      </c>
      <c r="S33" s="208">
        <v>1818760</v>
      </c>
      <c r="T33" s="208">
        <v>0</v>
      </c>
      <c r="U33" s="208">
        <v>1818760</v>
      </c>
      <c r="V33" s="208">
        <v>1321408</v>
      </c>
      <c r="W33" s="208">
        <v>0</v>
      </c>
      <c r="X33" s="208">
        <v>1321408</v>
      </c>
      <c r="Y33" s="208">
        <v>-1500000</v>
      </c>
      <c r="Z33" s="208">
        <v>0</v>
      </c>
      <c r="AA33" s="208">
        <v>-1500000</v>
      </c>
      <c r="AB33" s="208">
        <v>-6948406</v>
      </c>
      <c r="AC33" s="208">
        <v>0</v>
      </c>
      <c r="AD33" s="208">
        <v>-6948406</v>
      </c>
      <c r="AE33" s="208">
        <v>133510288</v>
      </c>
      <c r="AF33" s="208">
        <v>0</v>
      </c>
      <c r="AG33" s="208">
        <v>133510288</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c r="BL33" s="208">
        <v>7252880</v>
      </c>
      <c r="BM33" s="208">
        <v>-1196524</v>
      </c>
      <c r="BN33" s="187" t="s">
        <v>144</v>
      </c>
      <c r="BO33" s="187" t="s">
        <v>754</v>
      </c>
      <c r="BP33" s="187" t="s">
        <v>782</v>
      </c>
      <c r="BQ33" s="187" t="s">
        <v>1056</v>
      </c>
    </row>
    <row r="34" spans="1:69" x14ac:dyDescent="0.2">
      <c r="B34" s="429" t="s">
        <v>147</v>
      </c>
      <c r="C34" s="429" t="s">
        <v>146</v>
      </c>
      <c r="D34" s="208">
        <v>42863738</v>
      </c>
      <c r="E34" s="208">
        <v>0</v>
      </c>
      <c r="F34" s="208">
        <v>42863738</v>
      </c>
      <c r="G34" s="208">
        <v>0</v>
      </c>
      <c r="H34" s="208">
        <v>0</v>
      </c>
      <c r="I34" s="208">
        <v>0</v>
      </c>
      <c r="J34" s="208">
        <v>-245518</v>
      </c>
      <c r="K34" s="208">
        <v>0</v>
      </c>
      <c r="L34" s="208">
        <v>-245518</v>
      </c>
      <c r="M34" s="208">
        <v>0</v>
      </c>
      <c r="N34" s="208">
        <v>0</v>
      </c>
      <c r="O34" s="208">
        <v>0</v>
      </c>
      <c r="P34" s="208">
        <v>-161662</v>
      </c>
      <c r="Q34" s="208">
        <v>0</v>
      </c>
      <c r="R34" s="208">
        <v>-161662</v>
      </c>
      <c r="S34" s="208">
        <v>252888</v>
      </c>
      <c r="T34" s="208">
        <v>0</v>
      </c>
      <c r="U34" s="208">
        <v>252888</v>
      </c>
      <c r="V34" s="208">
        <v>0</v>
      </c>
      <c r="W34" s="208">
        <v>0</v>
      </c>
      <c r="X34" s="208">
        <v>0</v>
      </c>
      <c r="Y34" s="208">
        <v>594632</v>
      </c>
      <c r="Z34" s="208">
        <v>0</v>
      </c>
      <c r="AA34" s="208">
        <v>594632</v>
      </c>
      <c r="AB34" s="208">
        <v>-1241858</v>
      </c>
      <c r="AC34" s="208">
        <v>0</v>
      </c>
      <c r="AD34" s="208">
        <v>-1241858</v>
      </c>
      <c r="AE34" s="208">
        <v>42307738</v>
      </c>
      <c r="AF34" s="208">
        <v>0</v>
      </c>
      <c r="AG34" s="208">
        <v>42307738</v>
      </c>
      <c r="AH34" s="208">
        <v>0</v>
      </c>
      <c r="AI34" s="208">
        <v>0</v>
      </c>
      <c r="AJ34" s="208">
        <v>201828</v>
      </c>
      <c r="AK34" s="208">
        <v>0</v>
      </c>
      <c r="AL34" s="208">
        <v>201828</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c r="BL34" s="208">
        <v>528305</v>
      </c>
      <c r="BM34" s="208">
        <v>-374544</v>
      </c>
      <c r="BN34" s="187" t="s">
        <v>146</v>
      </c>
      <c r="BO34" s="187" t="s">
        <v>784</v>
      </c>
      <c r="BP34" s="187" t="s">
        <v>783</v>
      </c>
      <c r="BQ34" s="187" t="s">
        <v>1054</v>
      </c>
    </row>
    <row r="35" spans="1:69" x14ac:dyDescent="0.2">
      <c r="B35" s="429" t="s">
        <v>149</v>
      </c>
      <c r="C35" s="429" t="s">
        <v>148</v>
      </c>
      <c r="D35" s="208">
        <v>35007993</v>
      </c>
      <c r="E35" s="208">
        <v>0</v>
      </c>
      <c r="F35" s="208">
        <v>35007993</v>
      </c>
      <c r="G35" s="208">
        <v>0</v>
      </c>
      <c r="H35" s="208">
        <v>0</v>
      </c>
      <c r="I35" s="208">
        <v>0</v>
      </c>
      <c r="J35" s="208">
        <v>-127464</v>
      </c>
      <c r="K35" s="208">
        <v>0</v>
      </c>
      <c r="L35" s="208">
        <v>-127464</v>
      </c>
      <c r="M35" s="208">
        <v>0</v>
      </c>
      <c r="N35" s="208">
        <v>0</v>
      </c>
      <c r="O35" s="208">
        <v>0</v>
      </c>
      <c r="P35" s="208">
        <v>-304001</v>
      </c>
      <c r="Q35" s="208">
        <v>0</v>
      </c>
      <c r="R35" s="208">
        <v>-304001</v>
      </c>
      <c r="S35" s="208">
        <v>457120</v>
      </c>
      <c r="T35" s="208">
        <v>0</v>
      </c>
      <c r="U35" s="208">
        <v>457120</v>
      </c>
      <c r="V35" s="208">
        <v>9460</v>
      </c>
      <c r="W35" s="208">
        <v>0</v>
      </c>
      <c r="X35" s="208">
        <v>9460</v>
      </c>
      <c r="Y35" s="208">
        <v>-1078344</v>
      </c>
      <c r="Z35" s="208">
        <v>0</v>
      </c>
      <c r="AA35" s="208">
        <v>-1078344</v>
      </c>
      <c r="AB35" s="208">
        <v>-2527219</v>
      </c>
      <c r="AC35" s="208">
        <v>0</v>
      </c>
      <c r="AD35" s="208">
        <v>-2527219</v>
      </c>
      <c r="AE35" s="208">
        <v>31565009</v>
      </c>
      <c r="AF35" s="208">
        <v>0</v>
      </c>
      <c r="AG35" s="208">
        <v>31565009</v>
      </c>
      <c r="AH35" s="208">
        <v>0</v>
      </c>
      <c r="AI35" s="208">
        <v>0</v>
      </c>
      <c r="AJ35" s="208">
        <v>2385940</v>
      </c>
      <c r="AK35" s="208">
        <v>0</v>
      </c>
      <c r="AL35" s="208">
        <v>2385940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c r="BL35" s="208">
        <v>2184862</v>
      </c>
      <c r="BM35" s="208">
        <v>-855429</v>
      </c>
      <c r="BN35" s="187" t="s">
        <v>148</v>
      </c>
      <c r="BO35" s="187" t="s">
        <v>802</v>
      </c>
      <c r="BP35" s="187" t="s">
        <v>751</v>
      </c>
      <c r="BQ35" s="187" t="s">
        <v>1054</v>
      </c>
    </row>
    <row r="36" spans="1:69" x14ac:dyDescent="0.2">
      <c r="B36" s="429" t="s">
        <v>151</v>
      </c>
      <c r="C36" s="429" t="s">
        <v>150</v>
      </c>
      <c r="D36" s="208">
        <v>126278141</v>
      </c>
      <c r="E36" s="208">
        <v>0</v>
      </c>
      <c r="F36" s="208">
        <v>126278141</v>
      </c>
      <c r="G36" s="208">
        <v>0</v>
      </c>
      <c r="H36" s="208">
        <v>0</v>
      </c>
      <c r="I36" s="208">
        <v>0</v>
      </c>
      <c r="J36" s="208">
        <v>-1155049</v>
      </c>
      <c r="K36" s="208">
        <v>0</v>
      </c>
      <c r="L36" s="208">
        <v>-1155049</v>
      </c>
      <c r="M36" s="208">
        <v>0</v>
      </c>
      <c r="N36" s="208">
        <v>0</v>
      </c>
      <c r="O36" s="208">
        <v>0</v>
      </c>
      <c r="P36" s="208">
        <v>238763</v>
      </c>
      <c r="Q36" s="208">
        <v>0</v>
      </c>
      <c r="R36" s="208">
        <v>238763</v>
      </c>
      <c r="S36" s="208">
        <v>0</v>
      </c>
      <c r="T36" s="208">
        <v>0</v>
      </c>
      <c r="U36" s="208">
        <v>0</v>
      </c>
      <c r="V36" s="208">
        <v>0</v>
      </c>
      <c r="W36" s="208">
        <v>0</v>
      </c>
      <c r="X36" s="208">
        <v>0</v>
      </c>
      <c r="Y36" s="208">
        <v>6526236</v>
      </c>
      <c r="Z36" s="208">
        <v>0</v>
      </c>
      <c r="AA36" s="208">
        <v>6526236</v>
      </c>
      <c r="AB36" s="208">
        <v>0</v>
      </c>
      <c r="AC36" s="208">
        <v>0</v>
      </c>
      <c r="AD36" s="208">
        <v>0</v>
      </c>
      <c r="AE36" s="208">
        <v>133043140</v>
      </c>
      <c r="AF36" s="208">
        <v>0</v>
      </c>
      <c r="AG36" s="208">
        <v>133043140</v>
      </c>
      <c r="AH36" s="208">
        <v>0</v>
      </c>
      <c r="AI36" s="208">
        <v>0</v>
      </c>
      <c r="AJ36" s="208">
        <v>0</v>
      </c>
      <c r="AK36" s="208">
        <v>0</v>
      </c>
      <c r="AL36" s="208">
        <v>0</v>
      </c>
      <c r="AM36" s="208">
        <v>0</v>
      </c>
      <c r="AN36" s="208">
        <v>0</v>
      </c>
      <c r="AO36" s="208">
        <v>0</v>
      </c>
      <c r="AP36" s="208">
        <v>0</v>
      </c>
      <c r="AQ36" s="208">
        <v>0</v>
      </c>
      <c r="AR36" s="208">
        <v>0</v>
      </c>
      <c r="AS36" s="208">
        <v>0</v>
      </c>
      <c r="AT36" s="208">
        <v>0</v>
      </c>
      <c r="AU36" s="208">
        <v>0</v>
      </c>
      <c r="AV36" s="208">
        <v>0</v>
      </c>
      <c r="AW36" s="208">
        <v>0</v>
      </c>
      <c r="AX36" s="208">
        <v>0</v>
      </c>
      <c r="AY36" s="208">
        <v>0</v>
      </c>
      <c r="AZ36" s="208">
        <v>0</v>
      </c>
      <c r="BA36" s="208">
        <v>0</v>
      </c>
      <c r="BB36" s="208">
        <v>0</v>
      </c>
      <c r="BC36" s="208">
        <v>0</v>
      </c>
      <c r="BD36" s="208">
        <v>0</v>
      </c>
      <c r="BE36" s="208">
        <v>0</v>
      </c>
      <c r="BF36" s="208">
        <v>0</v>
      </c>
      <c r="BG36" s="208">
        <v>0</v>
      </c>
      <c r="BH36" s="208">
        <v>0</v>
      </c>
      <c r="BI36" s="208">
        <v>0</v>
      </c>
      <c r="BJ36" s="208">
        <v>0</v>
      </c>
      <c r="BK36" s="208">
        <v>0</v>
      </c>
      <c r="BL36" s="208">
        <v>8307360</v>
      </c>
      <c r="BM36" s="208">
        <v>-10141120</v>
      </c>
      <c r="BN36" s="187" t="s">
        <v>150</v>
      </c>
      <c r="BO36" s="187" t="s">
        <v>767</v>
      </c>
      <c r="BP36" s="187" t="s">
        <v>743</v>
      </c>
      <c r="BQ36" s="187" t="s">
        <v>1055</v>
      </c>
    </row>
    <row r="37" spans="1:69" x14ac:dyDescent="0.2">
      <c r="B37" s="429" t="s">
        <v>153</v>
      </c>
      <c r="C37" s="429" t="s">
        <v>152</v>
      </c>
      <c r="D37" s="208">
        <v>28164422</v>
      </c>
      <c r="E37" s="208">
        <v>0</v>
      </c>
      <c r="F37" s="208">
        <v>28164422</v>
      </c>
      <c r="G37" s="208">
        <v>0</v>
      </c>
      <c r="H37" s="208">
        <v>0</v>
      </c>
      <c r="I37" s="208">
        <v>0</v>
      </c>
      <c r="J37" s="208">
        <v>0</v>
      </c>
      <c r="K37" s="208">
        <v>0</v>
      </c>
      <c r="L37" s="208">
        <v>0</v>
      </c>
      <c r="M37" s="208">
        <v>-411413</v>
      </c>
      <c r="N37" s="208">
        <v>0</v>
      </c>
      <c r="O37" s="208">
        <v>-411413</v>
      </c>
      <c r="P37" s="208">
        <v>24696</v>
      </c>
      <c r="Q37" s="208">
        <v>0</v>
      </c>
      <c r="R37" s="208">
        <v>24696</v>
      </c>
      <c r="S37" s="208">
        <v>1502582</v>
      </c>
      <c r="T37" s="208">
        <v>0</v>
      </c>
      <c r="U37" s="208">
        <v>1502582</v>
      </c>
      <c r="V37" s="208">
        <v>0</v>
      </c>
      <c r="W37" s="208">
        <v>0</v>
      </c>
      <c r="X37" s="208">
        <v>0</v>
      </c>
      <c r="Y37" s="208">
        <v>-285000</v>
      </c>
      <c r="Z37" s="208">
        <v>0</v>
      </c>
      <c r="AA37" s="208">
        <v>-285000</v>
      </c>
      <c r="AB37" s="208">
        <v>-565000</v>
      </c>
      <c r="AC37" s="208">
        <v>0</v>
      </c>
      <c r="AD37" s="208">
        <v>-565000</v>
      </c>
      <c r="AE37" s="208">
        <v>28430287</v>
      </c>
      <c r="AF37" s="208">
        <v>0</v>
      </c>
      <c r="AG37" s="208">
        <v>28430287</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0</v>
      </c>
      <c r="BH37" s="208">
        <v>0</v>
      </c>
      <c r="BI37" s="208">
        <v>0</v>
      </c>
      <c r="BJ37" s="208">
        <v>0</v>
      </c>
      <c r="BK37" s="208">
        <v>0</v>
      </c>
      <c r="BL37" s="208">
        <v>3754024</v>
      </c>
      <c r="BM37" s="208">
        <v>-764522</v>
      </c>
      <c r="BN37" s="187" t="s">
        <v>152</v>
      </c>
      <c r="BO37" s="187" t="s">
        <v>784</v>
      </c>
      <c r="BP37" s="187" t="s">
        <v>783</v>
      </c>
      <c r="BQ37" s="187" t="s">
        <v>1054</v>
      </c>
    </row>
    <row r="38" spans="1:69" x14ac:dyDescent="0.2">
      <c r="B38" s="429" t="s">
        <v>155</v>
      </c>
      <c r="C38" s="429" t="s">
        <v>154</v>
      </c>
      <c r="D38" s="208">
        <v>116627193</v>
      </c>
      <c r="E38" s="208">
        <v>0</v>
      </c>
      <c r="F38" s="208">
        <v>116627193</v>
      </c>
      <c r="G38" s="208">
        <v>-95838</v>
      </c>
      <c r="H38" s="208">
        <v>0</v>
      </c>
      <c r="I38" s="208">
        <v>-95838</v>
      </c>
      <c r="J38" s="208">
        <v>-237190</v>
      </c>
      <c r="K38" s="208">
        <v>0</v>
      </c>
      <c r="L38" s="208">
        <v>-237190</v>
      </c>
      <c r="M38" s="208">
        <v>-290364</v>
      </c>
      <c r="N38" s="208">
        <v>0</v>
      </c>
      <c r="O38" s="208">
        <v>-290364</v>
      </c>
      <c r="P38" s="208">
        <v>-1031839</v>
      </c>
      <c r="Q38" s="208">
        <v>0</v>
      </c>
      <c r="R38" s="208">
        <v>-1031839</v>
      </c>
      <c r="S38" s="208">
        <v>383304</v>
      </c>
      <c r="T38" s="208">
        <v>0</v>
      </c>
      <c r="U38" s="208">
        <v>383304</v>
      </c>
      <c r="V38" s="208">
        <v>379432</v>
      </c>
      <c r="W38" s="208">
        <v>0</v>
      </c>
      <c r="X38" s="208">
        <v>379432</v>
      </c>
      <c r="Y38" s="208">
        <v>-1020151</v>
      </c>
      <c r="Z38" s="208">
        <v>0</v>
      </c>
      <c r="AA38" s="208">
        <v>-1020151</v>
      </c>
      <c r="AB38" s="208">
        <v>-5892081</v>
      </c>
      <c r="AC38" s="208">
        <v>0</v>
      </c>
      <c r="AD38" s="208">
        <v>-5892081</v>
      </c>
      <c r="AE38" s="208">
        <v>109059656</v>
      </c>
      <c r="AF38" s="208">
        <v>0</v>
      </c>
      <c r="AG38" s="208">
        <v>109059656</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0</v>
      </c>
      <c r="BA38" s="208">
        <v>0</v>
      </c>
      <c r="BB38" s="208">
        <v>0</v>
      </c>
      <c r="BC38" s="208">
        <v>0</v>
      </c>
      <c r="BD38" s="208">
        <v>0</v>
      </c>
      <c r="BE38" s="208">
        <v>0</v>
      </c>
      <c r="BF38" s="208">
        <v>0</v>
      </c>
      <c r="BG38" s="208">
        <v>0</v>
      </c>
      <c r="BH38" s="208">
        <v>0</v>
      </c>
      <c r="BI38" s="208">
        <v>0</v>
      </c>
      <c r="BJ38" s="208">
        <v>0</v>
      </c>
      <c r="BK38" s="208">
        <v>0</v>
      </c>
      <c r="BL38" s="208">
        <v>6385382</v>
      </c>
      <c r="BM38" s="208">
        <v>-4055873</v>
      </c>
      <c r="BN38" s="187" t="s">
        <v>857</v>
      </c>
      <c r="BO38" s="187" t="s">
        <v>742</v>
      </c>
      <c r="BP38" s="187" t="s">
        <v>776</v>
      </c>
      <c r="BQ38" s="187" t="s">
        <v>742</v>
      </c>
    </row>
    <row r="39" spans="1:69" x14ac:dyDescent="0.2">
      <c r="A39" s="188"/>
      <c r="B39" s="429" t="s">
        <v>157</v>
      </c>
      <c r="C39" s="429" t="s">
        <v>156</v>
      </c>
      <c r="D39" s="208">
        <v>189104415</v>
      </c>
      <c r="E39" s="208">
        <v>29219404</v>
      </c>
      <c r="F39" s="208">
        <v>218323819</v>
      </c>
      <c r="G39" s="208">
        <v>0</v>
      </c>
      <c r="H39" s="208">
        <v>0</v>
      </c>
      <c r="I39" s="208">
        <v>0</v>
      </c>
      <c r="J39" s="208">
        <v>-926495</v>
      </c>
      <c r="K39" s="208">
        <v>-95223</v>
      </c>
      <c r="L39" s="208">
        <v>-1021718</v>
      </c>
      <c r="M39" s="208">
        <v>0</v>
      </c>
      <c r="N39" s="208">
        <v>0</v>
      </c>
      <c r="O39" s="208">
        <v>0</v>
      </c>
      <c r="P39" s="208">
        <v>-8290</v>
      </c>
      <c r="Q39" s="208">
        <v>-114428</v>
      </c>
      <c r="R39" s="208">
        <v>-122718</v>
      </c>
      <c r="S39" s="208">
        <v>3173929</v>
      </c>
      <c r="T39" s="208">
        <v>388538</v>
      </c>
      <c r="U39" s="208">
        <v>3562467</v>
      </c>
      <c r="V39" s="208">
        <v>0</v>
      </c>
      <c r="W39" s="208">
        <v>0</v>
      </c>
      <c r="X39" s="208">
        <v>0</v>
      </c>
      <c r="Y39" s="208">
        <v>3182488.27</v>
      </c>
      <c r="Z39" s="208">
        <v>856253</v>
      </c>
      <c r="AA39" s="208">
        <v>4038741.27</v>
      </c>
      <c r="AB39" s="208">
        <v>-9538808</v>
      </c>
      <c r="AC39" s="208">
        <v>-1463308</v>
      </c>
      <c r="AD39" s="208">
        <v>-11002116</v>
      </c>
      <c r="AE39" s="208">
        <v>185913734.27000001</v>
      </c>
      <c r="AF39" s="208">
        <v>28886459</v>
      </c>
      <c r="AG39" s="208">
        <v>214800193.27000001</v>
      </c>
      <c r="AH39" s="208">
        <v>28886459</v>
      </c>
      <c r="AI39" s="208">
        <v>28886459</v>
      </c>
      <c r="AJ39" s="208">
        <v>20648.330000000002</v>
      </c>
      <c r="AK39" s="208">
        <v>152226</v>
      </c>
      <c r="AL39" s="208">
        <v>172874.33000000002</v>
      </c>
      <c r="AM39" s="208">
        <v>0</v>
      </c>
      <c r="AN39" s="208">
        <v>0</v>
      </c>
      <c r="AO39" s="208">
        <v>0</v>
      </c>
      <c r="AP39" s="208">
        <v>-181814</v>
      </c>
      <c r="AQ39" s="208">
        <v>-181814</v>
      </c>
      <c r="AR39" s="208">
        <v>25580843</v>
      </c>
      <c r="AS39" s="208">
        <v>25580843</v>
      </c>
      <c r="AT39" s="208">
        <v>4398785</v>
      </c>
      <c r="AU39" s="208">
        <v>0</v>
      </c>
      <c r="AV39" s="208">
        <v>1672987</v>
      </c>
      <c r="AW39" s="208">
        <v>1672987</v>
      </c>
      <c r="AX39" s="208">
        <v>0</v>
      </c>
      <c r="AY39" s="208">
        <v>0</v>
      </c>
      <c r="AZ39" s="208">
        <v>0</v>
      </c>
      <c r="BA39" s="208">
        <v>0</v>
      </c>
      <c r="BB39" s="208">
        <v>0</v>
      </c>
      <c r="BC39" s="208">
        <v>0</v>
      </c>
      <c r="BD39" s="208">
        <v>0</v>
      </c>
      <c r="BE39" s="208">
        <v>0</v>
      </c>
      <c r="BF39" s="208">
        <v>0</v>
      </c>
      <c r="BG39" s="208">
        <v>0</v>
      </c>
      <c r="BH39" s="208">
        <v>0</v>
      </c>
      <c r="BI39" s="208">
        <v>0</v>
      </c>
      <c r="BJ39" s="208">
        <v>0</v>
      </c>
      <c r="BK39" s="208">
        <v>0</v>
      </c>
      <c r="BL39" s="208">
        <v>4353432</v>
      </c>
      <c r="BM39" s="208">
        <v>-2070063</v>
      </c>
      <c r="BN39" s="187" t="s">
        <v>856</v>
      </c>
      <c r="BO39" s="187" t="s">
        <v>742</v>
      </c>
      <c r="BP39" s="187" t="s">
        <v>804</v>
      </c>
      <c r="BQ39" s="187" t="s">
        <v>742</v>
      </c>
    </row>
    <row r="40" spans="1:69" x14ac:dyDescent="0.2">
      <c r="B40" s="429" t="s">
        <v>159</v>
      </c>
      <c r="C40" s="429" t="s">
        <v>158</v>
      </c>
      <c r="D40" s="208">
        <v>31722844</v>
      </c>
      <c r="E40" s="208">
        <v>0</v>
      </c>
      <c r="F40" s="208">
        <v>31722844</v>
      </c>
      <c r="G40" s="208">
        <v>0</v>
      </c>
      <c r="H40" s="208">
        <v>0</v>
      </c>
      <c r="I40" s="208">
        <v>0</v>
      </c>
      <c r="J40" s="208">
        <v>-205612</v>
      </c>
      <c r="K40" s="208">
        <v>0</v>
      </c>
      <c r="L40" s="208">
        <v>-205612</v>
      </c>
      <c r="M40" s="208">
        <v>0</v>
      </c>
      <c r="N40" s="208">
        <v>0</v>
      </c>
      <c r="O40" s="208">
        <v>0</v>
      </c>
      <c r="P40" s="208">
        <v>-154730</v>
      </c>
      <c r="Q40" s="208">
        <v>0</v>
      </c>
      <c r="R40" s="208">
        <v>-154730</v>
      </c>
      <c r="S40" s="208">
        <v>69964</v>
      </c>
      <c r="T40" s="208">
        <v>0</v>
      </c>
      <c r="U40" s="208">
        <v>69964</v>
      </c>
      <c r="V40" s="208">
        <v>82625</v>
      </c>
      <c r="W40" s="208">
        <v>0</v>
      </c>
      <c r="X40" s="208">
        <v>82625</v>
      </c>
      <c r="Y40" s="208">
        <v>-524289</v>
      </c>
      <c r="Z40" s="208">
        <v>0</v>
      </c>
      <c r="AA40" s="208">
        <v>-524289</v>
      </c>
      <c r="AB40" s="208">
        <v>-1805515</v>
      </c>
      <c r="AC40" s="208">
        <v>0</v>
      </c>
      <c r="AD40" s="208">
        <v>-1805515</v>
      </c>
      <c r="AE40" s="208">
        <v>29390899</v>
      </c>
      <c r="AF40" s="208">
        <v>0</v>
      </c>
      <c r="AG40" s="208">
        <v>29390899</v>
      </c>
      <c r="AH40" s="208">
        <v>0</v>
      </c>
      <c r="AI40" s="208">
        <v>0</v>
      </c>
      <c r="AJ40" s="208">
        <v>162673</v>
      </c>
      <c r="AK40" s="208">
        <v>0</v>
      </c>
      <c r="AL40" s="208">
        <v>162673</v>
      </c>
      <c r="AM40" s="208">
        <v>0</v>
      </c>
      <c r="AN40" s="208">
        <v>0</v>
      </c>
      <c r="AO40" s="208">
        <v>0</v>
      </c>
      <c r="AP40" s="208">
        <v>0</v>
      </c>
      <c r="AQ40" s="208">
        <v>0</v>
      </c>
      <c r="AR40" s="208">
        <v>0</v>
      </c>
      <c r="AS40" s="208">
        <v>0</v>
      </c>
      <c r="AT40" s="208">
        <v>0</v>
      </c>
      <c r="AU40" s="208">
        <v>0</v>
      </c>
      <c r="AV40" s="208">
        <v>0</v>
      </c>
      <c r="AW40" s="208">
        <v>0</v>
      </c>
      <c r="AX40" s="208">
        <v>0</v>
      </c>
      <c r="AY40" s="208">
        <v>0</v>
      </c>
      <c r="AZ40" s="208">
        <v>0</v>
      </c>
      <c r="BA40" s="208">
        <v>0</v>
      </c>
      <c r="BB40" s="208">
        <v>0</v>
      </c>
      <c r="BC40" s="208">
        <v>0</v>
      </c>
      <c r="BD40" s="208">
        <v>0</v>
      </c>
      <c r="BE40" s="208">
        <v>0</v>
      </c>
      <c r="BF40" s="208">
        <v>0</v>
      </c>
      <c r="BG40" s="208">
        <v>0</v>
      </c>
      <c r="BH40" s="208">
        <v>0</v>
      </c>
      <c r="BI40" s="208">
        <v>0</v>
      </c>
      <c r="BJ40" s="208">
        <v>0</v>
      </c>
      <c r="BK40" s="208">
        <v>0</v>
      </c>
      <c r="BL40" s="208">
        <v>265613</v>
      </c>
      <c r="BM40" s="208">
        <v>-642991</v>
      </c>
      <c r="BN40" s="187" t="s">
        <v>158</v>
      </c>
      <c r="BO40" s="187" t="s">
        <v>802</v>
      </c>
      <c r="BP40" s="187" t="s">
        <v>751</v>
      </c>
      <c r="BQ40" s="187" t="s">
        <v>1054</v>
      </c>
    </row>
    <row r="41" spans="1:69" x14ac:dyDescent="0.2">
      <c r="B41" s="429" t="s">
        <v>161</v>
      </c>
      <c r="C41" s="429" t="s">
        <v>160</v>
      </c>
      <c r="D41" s="208">
        <v>92441737</v>
      </c>
      <c r="E41" s="208">
        <v>0</v>
      </c>
      <c r="F41" s="208">
        <v>92441737</v>
      </c>
      <c r="G41" s="208">
        <v>0</v>
      </c>
      <c r="H41" s="208">
        <v>0</v>
      </c>
      <c r="I41" s="208">
        <v>0</v>
      </c>
      <c r="J41" s="208">
        <v>-492788</v>
      </c>
      <c r="K41" s="208">
        <v>0</v>
      </c>
      <c r="L41" s="208">
        <v>-492788</v>
      </c>
      <c r="M41" s="208">
        <v>0</v>
      </c>
      <c r="N41" s="208">
        <v>0</v>
      </c>
      <c r="O41" s="208">
        <v>0</v>
      </c>
      <c r="P41" s="208">
        <v>-775988</v>
      </c>
      <c r="Q41" s="208">
        <v>0</v>
      </c>
      <c r="R41" s="208">
        <v>-775988</v>
      </c>
      <c r="S41" s="208">
        <v>998572</v>
      </c>
      <c r="T41" s="208">
        <v>0</v>
      </c>
      <c r="U41" s="208">
        <v>998572</v>
      </c>
      <c r="V41" s="208">
        <v>223351</v>
      </c>
      <c r="W41" s="208">
        <v>0</v>
      </c>
      <c r="X41" s="208">
        <v>223351</v>
      </c>
      <c r="Y41" s="208">
        <v>-1341294</v>
      </c>
      <c r="Z41" s="208">
        <v>0</v>
      </c>
      <c r="AA41" s="208">
        <v>-1341294</v>
      </c>
      <c r="AB41" s="208">
        <v>-1128448</v>
      </c>
      <c r="AC41" s="208">
        <v>0</v>
      </c>
      <c r="AD41" s="208">
        <v>-1128448</v>
      </c>
      <c r="AE41" s="208">
        <v>90417930</v>
      </c>
      <c r="AF41" s="208">
        <v>0</v>
      </c>
      <c r="AG41" s="208">
        <v>90417930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c r="BL41" s="208">
        <v>3099510</v>
      </c>
      <c r="BM41" s="208">
        <v>-5649513</v>
      </c>
      <c r="BN41" s="187" t="s">
        <v>160</v>
      </c>
      <c r="BO41" s="187" t="s">
        <v>767</v>
      </c>
      <c r="BP41" s="187" t="s">
        <v>743</v>
      </c>
      <c r="BQ41" s="187" t="s">
        <v>1055</v>
      </c>
    </row>
    <row r="42" spans="1:69" x14ac:dyDescent="0.2">
      <c r="B42" s="429" t="s">
        <v>163</v>
      </c>
      <c r="C42" s="429" t="s">
        <v>162</v>
      </c>
      <c r="D42" s="208">
        <v>24742820</v>
      </c>
      <c r="E42" s="208">
        <v>0</v>
      </c>
      <c r="F42" s="208">
        <v>24742820</v>
      </c>
      <c r="G42" s="208">
        <v>0</v>
      </c>
      <c r="H42" s="208">
        <v>0</v>
      </c>
      <c r="I42" s="208">
        <v>0</v>
      </c>
      <c r="J42" s="208">
        <v>-723579</v>
      </c>
      <c r="K42" s="208">
        <v>0</v>
      </c>
      <c r="L42" s="208">
        <v>-723579</v>
      </c>
      <c r="M42" s="208">
        <v>0</v>
      </c>
      <c r="N42" s="208">
        <v>0</v>
      </c>
      <c r="O42" s="208">
        <v>0</v>
      </c>
      <c r="P42" s="208">
        <v>-455607</v>
      </c>
      <c r="Q42" s="208">
        <v>0</v>
      </c>
      <c r="R42" s="208">
        <v>-455607</v>
      </c>
      <c r="S42" s="208">
        <v>1080337</v>
      </c>
      <c r="T42" s="208">
        <v>0</v>
      </c>
      <c r="U42" s="208">
        <v>1080337</v>
      </c>
      <c r="V42" s="208">
        <v>0</v>
      </c>
      <c r="W42" s="208">
        <v>0</v>
      </c>
      <c r="X42" s="208">
        <v>0</v>
      </c>
      <c r="Y42" s="208">
        <v>132435</v>
      </c>
      <c r="Z42" s="208">
        <v>0</v>
      </c>
      <c r="AA42" s="208">
        <v>132435</v>
      </c>
      <c r="AB42" s="208">
        <v>-1232095</v>
      </c>
      <c r="AC42" s="208">
        <v>0</v>
      </c>
      <c r="AD42" s="208">
        <v>-1232095</v>
      </c>
      <c r="AE42" s="208">
        <v>24267890</v>
      </c>
      <c r="AF42" s="208">
        <v>0</v>
      </c>
      <c r="AG42" s="208">
        <v>24267890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c r="BL42" s="208">
        <v>1389159</v>
      </c>
      <c r="BM42" s="208">
        <v>-749261</v>
      </c>
      <c r="BN42" s="187" t="s">
        <v>162</v>
      </c>
      <c r="BO42" s="187" t="s">
        <v>746</v>
      </c>
      <c r="BP42" s="187" t="s">
        <v>745</v>
      </c>
      <c r="BQ42" s="187" t="s">
        <v>1054</v>
      </c>
    </row>
    <row r="43" spans="1:69" x14ac:dyDescent="0.2">
      <c r="B43" s="429" t="s">
        <v>165</v>
      </c>
      <c r="C43" s="429" t="s">
        <v>164</v>
      </c>
      <c r="D43" s="208">
        <v>40444616</v>
      </c>
      <c r="E43" s="208">
        <v>0</v>
      </c>
      <c r="F43" s="208">
        <v>40444616</v>
      </c>
      <c r="G43" s="208">
        <v>0</v>
      </c>
      <c r="H43" s="208">
        <v>0</v>
      </c>
      <c r="I43" s="208">
        <v>0</v>
      </c>
      <c r="J43" s="208">
        <v>-354515</v>
      </c>
      <c r="K43" s="208">
        <v>0</v>
      </c>
      <c r="L43" s="208">
        <v>-354515</v>
      </c>
      <c r="M43" s="208">
        <v>0</v>
      </c>
      <c r="N43" s="208">
        <v>0</v>
      </c>
      <c r="O43" s="208">
        <v>0</v>
      </c>
      <c r="P43" s="208">
        <v>161077</v>
      </c>
      <c r="Q43" s="208">
        <v>0</v>
      </c>
      <c r="R43" s="208">
        <v>161077</v>
      </c>
      <c r="S43" s="208">
        <v>378603</v>
      </c>
      <c r="T43" s="208">
        <v>0</v>
      </c>
      <c r="U43" s="208">
        <v>378603</v>
      </c>
      <c r="V43" s="208">
        <v>0</v>
      </c>
      <c r="W43" s="208">
        <v>0</v>
      </c>
      <c r="X43" s="208">
        <v>0</v>
      </c>
      <c r="Y43" s="208">
        <v>-1551002</v>
      </c>
      <c r="Z43" s="208">
        <v>0</v>
      </c>
      <c r="AA43" s="208">
        <v>-1551002</v>
      </c>
      <c r="AB43" s="208">
        <v>0</v>
      </c>
      <c r="AC43" s="208">
        <v>0</v>
      </c>
      <c r="AD43" s="208">
        <v>0</v>
      </c>
      <c r="AE43" s="208">
        <v>39433294</v>
      </c>
      <c r="AF43" s="208">
        <v>0</v>
      </c>
      <c r="AG43" s="208">
        <v>39433294</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c r="BL43" s="208">
        <v>1485412</v>
      </c>
      <c r="BM43" s="208">
        <v>-32646</v>
      </c>
      <c r="BN43" s="187" t="s">
        <v>164</v>
      </c>
      <c r="BO43" s="187" t="s">
        <v>774</v>
      </c>
      <c r="BP43" s="187" t="s">
        <v>751</v>
      </c>
      <c r="BQ43" s="187" t="s">
        <v>1054</v>
      </c>
    </row>
    <row r="44" spans="1:69" x14ac:dyDescent="0.2">
      <c r="B44" s="429" t="s">
        <v>167</v>
      </c>
      <c r="C44" s="429" t="s">
        <v>166</v>
      </c>
      <c r="D44" s="208">
        <v>25797777</v>
      </c>
      <c r="E44" s="208">
        <v>111468</v>
      </c>
      <c r="F44" s="208">
        <v>25909245</v>
      </c>
      <c r="G44" s="208">
        <v>0</v>
      </c>
      <c r="H44" s="208">
        <v>0</v>
      </c>
      <c r="I44" s="208">
        <v>0</v>
      </c>
      <c r="J44" s="208">
        <v>-302885</v>
      </c>
      <c r="K44" s="208">
        <v>0</v>
      </c>
      <c r="L44" s="208">
        <v>-302885</v>
      </c>
      <c r="M44" s="208">
        <v>0</v>
      </c>
      <c r="N44" s="208">
        <v>0</v>
      </c>
      <c r="O44" s="208">
        <v>0</v>
      </c>
      <c r="P44" s="208">
        <v>62114</v>
      </c>
      <c r="Q44" s="208">
        <v>0</v>
      </c>
      <c r="R44" s="208">
        <v>62114</v>
      </c>
      <c r="S44" s="208">
        <v>931301</v>
      </c>
      <c r="T44" s="208">
        <v>0</v>
      </c>
      <c r="U44" s="208">
        <v>931301</v>
      </c>
      <c r="V44" s="208">
        <v>0</v>
      </c>
      <c r="W44" s="208">
        <v>0</v>
      </c>
      <c r="X44" s="208">
        <v>0</v>
      </c>
      <c r="Y44" s="208">
        <v>-380288</v>
      </c>
      <c r="Z44" s="208">
        <v>0</v>
      </c>
      <c r="AA44" s="208">
        <v>-380288</v>
      </c>
      <c r="AB44" s="208">
        <v>-26229</v>
      </c>
      <c r="AC44" s="208">
        <v>0</v>
      </c>
      <c r="AD44" s="208">
        <v>-26229</v>
      </c>
      <c r="AE44" s="208">
        <v>26384675</v>
      </c>
      <c r="AF44" s="208">
        <v>111468</v>
      </c>
      <c r="AG44" s="208">
        <v>26496143</v>
      </c>
      <c r="AH44" s="208">
        <v>111468</v>
      </c>
      <c r="AI44" s="208">
        <v>111468</v>
      </c>
      <c r="AJ44" s="208">
        <v>0</v>
      </c>
      <c r="AK44" s="208">
        <v>0</v>
      </c>
      <c r="AL44" s="208">
        <v>0</v>
      </c>
      <c r="AM44" s="208">
        <v>0</v>
      </c>
      <c r="AN44" s="208">
        <v>0</v>
      </c>
      <c r="AO44" s="208">
        <v>0</v>
      </c>
      <c r="AP44" s="208">
        <v>-17645</v>
      </c>
      <c r="AQ44" s="208">
        <v>-17645</v>
      </c>
      <c r="AR44" s="208">
        <v>1218529</v>
      </c>
      <c r="AS44" s="208">
        <v>1218529</v>
      </c>
      <c r="AT44" s="208">
        <v>0</v>
      </c>
      <c r="AU44" s="208">
        <v>0</v>
      </c>
      <c r="AV44" s="208">
        <v>0</v>
      </c>
      <c r="AW44" s="208">
        <v>0</v>
      </c>
      <c r="AX44" s="208">
        <v>0</v>
      </c>
      <c r="AY44" s="208">
        <v>112521</v>
      </c>
      <c r="AZ44" s="208">
        <v>112521</v>
      </c>
      <c r="BA44" s="208">
        <v>0</v>
      </c>
      <c r="BB44" s="208">
        <v>0</v>
      </c>
      <c r="BC44" s="208">
        <v>0</v>
      </c>
      <c r="BD44" s="208">
        <v>0</v>
      </c>
      <c r="BE44" s="208">
        <v>0</v>
      </c>
      <c r="BF44" s="208">
        <v>0</v>
      </c>
      <c r="BG44" s="208">
        <v>0</v>
      </c>
      <c r="BH44" s="208">
        <v>0</v>
      </c>
      <c r="BI44" s="208">
        <v>0</v>
      </c>
      <c r="BJ44" s="208">
        <v>112521</v>
      </c>
      <c r="BK44" s="208">
        <v>112521</v>
      </c>
      <c r="BL44" s="208">
        <v>447822</v>
      </c>
      <c r="BM44" s="208">
        <v>-412748</v>
      </c>
      <c r="BN44" s="187" t="s">
        <v>166</v>
      </c>
      <c r="BO44" s="187" t="s">
        <v>816</v>
      </c>
      <c r="BP44" s="187" t="s">
        <v>815</v>
      </c>
      <c r="BQ44" s="187" t="s">
        <v>1054</v>
      </c>
    </row>
    <row r="45" spans="1:69" x14ac:dyDescent="0.2">
      <c r="B45" s="429" t="s">
        <v>169</v>
      </c>
      <c r="C45" s="429" t="s">
        <v>168</v>
      </c>
      <c r="D45" s="208">
        <v>28969050</v>
      </c>
      <c r="E45" s="208">
        <v>0</v>
      </c>
      <c r="F45" s="208">
        <v>28969050</v>
      </c>
      <c r="G45" s="208">
        <v>0</v>
      </c>
      <c r="H45" s="208">
        <v>0</v>
      </c>
      <c r="I45" s="208">
        <v>0</v>
      </c>
      <c r="J45" s="208">
        <v>-331314</v>
      </c>
      <c r="K45" s="208">
        <v>0</v>
      </c>
      <c r="L45" s="208">
        <v>-331314</v>
      </c>
      <c r="M45" s="208">
        <v>-43197</v>
      </c>
      <c r="N45" s="208">
        <v>0</v>
      </c>
      <c r="O45" s="208">
        <v>-43197</v>
      </c>
      <c r="P45" s="208">
        <v>-882964</v>
      </c>
      <c r="Q45" s="208">
        <v>0</v>
      </c>
      <c r="R45" s="208">
        <v>-882964</v>
      </c>
      <c r="S45" s="208">
        <v>416107</v>
      </c>
      <c r="T45" s="208">
        <v>0</v>
      </c>
      <c r="U45" s="208">
        <v>416107</v>
      </c>
      <c r="V45" s="208">
        <v>0</v>
      </c>
      <c r="W45" s="208">
        <v>0</v>
      </c>
      <c r="X45" s="208">
        <v>0</v>
      </c>
      <c r="Y45" s="208">
        <v>506602</v>
      </c>
      <c r="Z45" s="208">
        <v>0</v>
      </c>
      <c r="AA45" s="208">
        <v>506602</v>
      </c>
      <c r="AB45" s="208">
        <v>-1839008</v>
      </c>
      <c r="AC45" s="208">
        <v>0</v>
      </c>
      <c r="AD45" s="208">
        <v>-1839008</v>
      </c>
      <c r="AE45" s="208">
        <v>27126590</v>
      </c>
      <c r="AF45" s="208">
        <v>0</v>
      </c>
      <c r="AG45" s="208">
        <v>27126590</v>
      </c>
      <c r="AH45" s="208">
        <v>0</v>
      </c>
      <c r="AI45" s="208">
        <v>0</v>
      </c>
      <c r="AJ45" s="208">
        <v>234779</v>
      </c>
      <c r="AK45" s="208">
        <v>0</v>
      </c>
      <c r="AL45" s="208">
        <v>234779</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c r="BL45" s="208">
        <v>3044664</v>
      </c>
      <c r="BM45" s="208">
        <v>-614488</v>
      </c>
      <c r="BN45" s="187" t="s">
        <v>168</v>
      </c>
      <c r="BO45" s="187" t="s">
        <v>748</v>
      </c>
      <c r="BP45" s="187" t="s">
        <v>747</v>
      </c>
      <c r="BQ45" s="187" t="s">
        <v>1054</v>
      </c>
    </row>
    <row r="46" spans="1:69" x14ac:dyDescent="0.2">
      <c r="B46" s="429" t="s">
        <v>171</v>
      </c>
      <c r="C46" s="429" t="s">
        <v>170</v>
      </c>
      <c r="D46" s="208">
        <v>51113903</v>
      </c>
      <c r="E46" s="208">
        <v>0</v>
      </c>
      <c r="F46" s="208">
        <v>51113903</v>
      </c>
      <c r="G46" s="208">
        <v>0</v>
      </c>
      <c r="H46" s="208">
        <v>0</v>
      </c>
      <c r="I46" s="208">
        <v>0</v>
      </c>
      <c r="J46" s="208">
        <v>-267240</v>
      </c>
      <c r="K46" s="208">
        <v>0</v>
      </c>
      <c r="L46" s="208">
        <v>-267240</v>
      </c>
      <c r="M46" s="208">
        <v>0</v>
      </c>
      <c r="N46" s="208">
        <v>0</v>
      </c>
      <c r="O46" s="208">
        <v>0</v>
      </c>
      <c r="P46" s="208">
        <v>-515615</v>
      </c>
      <c r="Q46" s="208">
        <v>0</v>
      </c>
      <c r="R46" s="208">
        <v>-515615</v>
      </c>
      <c r="S46" s="208">
        <v>1204256</v>
      </c>
      <c r="T46" s="208">
        <v>0</v>
      </c>
      <c r="U46" s="208">
        <v>1204256</v>
      </c>
      <c r="V46" s="208">
        <v>465101</v>
      </c>
      <c r="W46" s="208">
        <v>0</v>
      </c>
      <c r="X46" s="208">
        <v>465101</v>
      </c>
      <c r="Y46" s="208">
        <v>-493885</v>
      </c>
      <c r="Z46" s="208">
        <v>0</v>
      </c>
      <c r="AA46" s="208">
        <v>-493885</v>
      </c>
      <c r="AB46" s="208">
        <v>1863825</v>
      </c>
      <c r="AC46" s="208">
        <v>0</v>
      </c>
      <c r="AD46" s="208">
        <v>1863825</v>
      </c>
      <c r="AE46" s="208">
        <v>53637585</v>
      </c>
      <c r="AF46" s="208">
        <v>0</v>
      </c>
      <c r="AG46" s="208">
        <v>53637585</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7011698</v>
      </c>
      <c r="BM46" s="208">
        <v>-1544573</v>
      </c>
      <c r="BN46" s="187" t="s">
        <v>170</v>
      </c>
      <c r="BO46" s="187" t="s">
        <v>754</v>
      </c>
      <c r="BP46" s="187" t="s">
        <v>763</v>
      </c>
      <c r="BQ46" s="187" t="s">
        <v>1056</v>
      </c>
    </row>
    <row r="47" spans="1:69" x14ac:dyDescent="0.2">
      <c r="B47" s="429" t="s">
        <v>173</v>
      </c>
      <c r="C47" s="429" t="s">
        <v>172</v>
      </c>
      <c r="D47" s="208">
        <v>58241950</v>
      </c>
      <c r="E47" s="208">
        <v>0</v>
      </c>
      <c r="F47" s="208">
        <v>58241950</v>
      </c>
      <c r="G47" s="208">
        <v>0</v>
      </c>
      <c r="H47" s="208">
        <v>0</v>
      </c>
      <c r="I47" s="208">
        <v>0</v>
      </c>
      <c r="J47" s="208">
        <v>2562.5100000000002</v>
      </c>
      <c r="K47" s="208">
        <v>0</v>
      </c>
      <c r="L47" s="208">
        <v>2562.5100000000002</v>
      </c>
      <c r="M47" s="208">
        <v>0</v>
      </c>
      <c r="N47" s="208">
        <v>0</v>
      </c>
      <c r="O47" s="208">
        <v>0</v>
      </c>
      <c r="P47" s="208">
        <v>-843684.09</v>
      </c>
      <c r="Q47" s="208">
        <v>0</v>
      </c>
      <c r="R47" s="208">
        <v>-843684.09</v>
      </c>
      <c r="S47" s="208">
        <v>1644427</v>
      </c>
      <c r="T47" s="208">
        <v>0</v>
      </c>
      <c r="U47" s="208">
        <v>1644427</v>
      </c>
      <c r="V47" s="208">
        <v>343983</v>
      </c>
      <c r="W47" s="208">
        <v>0</v>
      </c>
      <c r="X47" s="208">
        <v>343983</v>
      </c>
      <c r="Y47" s="208">
        <v>-981147</v>
      </c>
      <c r="Z47" s="208">
        <v>0</v>
      </c>
      <c r="AA47" s="208">
        <v>-981147</v>
      </c>
      <c r="AB47" s="208">
        <v>-3339165</v>
      </c>
      <c r="AC47" s="208">
        <v>0</v>
      </c>
      <c r="AD47" s="208">
        <v>-3339165</v>
      </c>
      <c r="AE47" s="208">
        <v>55066363.909999996</v>
      </c>
      <c r="AF47" s="208">
        <v>0</v>
      </c>
      <c r="AG47" s="208">
        <v>55066363.909999996</v>
      </c>
      <c r="AH47" s="208">
        <v>0</v>
      </c>
      <c r="AI47" s="208">
        <v>0</v>
      </c>
      <c r="AJ47" s="208">
        <v>481356</v>
      </c>
      <c r="AK47" s="208">
        <v>0</v>
      </c>
      <c r="AL47" s="208">
        <v>481356</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6777290.3300000001</v>
      </c>
      <c r="BM47" s="208">
        <v>-1916160</v>
      </c>
      <c r="BN47" s="187" t="s">
        <v>172</v>
      </c>
      <c r="BO47" s="187" t="s">
        <v>754</v>
      </c>
      <c r="BP47" s="187" t="s">
        <v>782</v>
      </c>
      <c r="BQ47" s="187" t="s">
        <v>1056</v>
      </c>
    </row>
    <row r="48" spans="1:69" x14ac:dyDescent="0.2">
      <c r="B48" s="429" t="s">
        <v>175</v>
      </c>
      <c r="C48" s="429" t="s">
        <v>174</v>
      </c>
      <c r="D48" s="208">
        <v>109978122</v>
      </c>
      <c r="E48" s="208">
        <v>0</v>
      </c>
      <c r="F48" s="208">
        <v>109978122</v>
      </c>
      <c r="G48" s="208">
        <v>0</v>
      </c>
      <c r="H48" s="208">
        <v>0</v>
      </c>
      <c r="I48" s="208">
        <v>0</v>
      </c>
      <c r="J48" s="208">
        <v>0</v>
      </c>
      <c r="K48" s="208">
        <v>0</v>
      </c>
      <c r="L48" s="208">
        <v>0</v>
      </c>
      <c r="M48" s="208">
        <v>2668</v>
      </c>
      <c r="N48" s="208">
        <v>0</v>
      </c>
      <c r="O48" s="208">
        <v>2668</v>
      </c>
      <c r="P48" s="208">
        <v>-943873</v>
      </c>
      <c r="Q48" s="208">
        <v>0</v>
      </c>
      <c r="R48" s="208">
        <v>-943873</v>
      </c>
      <c r="S48" s="208">
        <v>391985</v>
      </c>
      <c r="T48" s="208">
        <v>0</v>
      </c>
      <c r="U48" s="208">
        <v>391985</v>
      </c>
      <c r="V48" s="208">
        <v>0</v>
      </c>
      <c r="W48" s="208">
        <v>0</v>
      </c>
      <c r="X48" s="208">
        <v>0</v>
      </c>
      <c r="Y48" s="208">
        <v>1464918</v>
      </c>
      <c r="Z48" s="208">
        <v>0</v>
      </c>
      <c r="AA48" s="208">
        <v>1464918</v>
      </c>
      <c r="AB48" s="208">
        <v>-1719190</v>
      </c>
      <c r="AC48" s="208">
        <v>0</v>
      </c>
      <c r="AD48" s="208">
        <v>-1719190</v>
      </c>
      <c r="AE48" s="208">
        <v>109174630</v>
      </c>
      <c r="AF48" s="208">
        <v>0</v>
      </c>
      <c r="AG48" s="208">
        <v>109174630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c r="BL48" s="208">
        <v>2702697</v>
      </c>
      <c r="BM48" s="208">
        <v>-2145738</v>
      </c>
      <c r="BN48" s="187" t="s">
        <v>174</v>
      </c>
      <c r="BO48" s="187" t="s">
        <v>809</v>
      </c>
      <c r="BP48" s="187" t="s">
        <v>808</v>
      </c>
      <c r="BQ48" s="187" t="s">
        <v>1054</v>
      </c>
    </row>
    <row r="49" spans="2:69" x14ac:dyDescent="0.2">
      <c r="B49" s="429" t="s">
        <v>177</v>
      </c>
      <c r="C49" s="429" t="s">
        <v>176</v>
      </c>
      <c r="D49" s="208">
        <v>622950101.14999998</v>
      </c>
      <c r="E49" s="208">
        <v>0</v>
      </c>
      <c r="F49" s="208">
        <v>622950101.14999998</v>
      </c>
      <c r="G49" s="208">
        <v>0</v>
      </c>
      <c r="H49" s="208">
        <v>0</v>
      </c>
      <c r="I49" s="208">
        <v>0</v>
      </c>
      <c r="J49" s="208">
        <v>-2641206</v>
      </c>
      <c r="K49" s="208">
        <v>0</v>
      </c>
      <c r="L49" s="208">
        <v>-2641206</v>
      </c>
      <c r="M49" s="208">
        <v>0</v>
      </c>
      <c r="N49" s="208">
        <v>0</v>
      </c>
      <c r="O49" s="208">
        <v>0</v>
      </c>
      <c r="P49" s="208">
        <v>-1835755</v>
      </c>
      <c r="Q49" s="208">
        <v>0</v>
      </c>
      <c r="R49" s="208">
        <v>-1835755</v>
      </c>
      <c r="S49" s="208">
        <v>16117902</v>
      </c>
      <c r="T49" s="208">
        <v>0</v>
      </c>
      <c r="U49" s="208">
        <v>16117902</v>
      </c>
      <c r="V49" s="208">
        <v>20795667</v>
      </c>
      <c r="W49" s="208">
        <v>0</v>
      </c>
      <c r="X49" s="208">
        <v>20795667</v>
      </c>
      <c r="Y49" s="208">
        <v>-10000000</v>
      </c>
      <c r="Z49" s="208">
        <v>0</v>
      </c>
      <c r="AA49" s="208">
        <v>-10000000</v>
      </c>
      <c r="AB49" s="208">
        <v>-26851192</v>
      </c>
      <c r="AC49" s="208">
        <v>0</v>
      </c>
      <c r="AD49" s="208">
        <v>-26851192</v>
      </c>
      <c r="AE49" s="208">
        <v>621176723.14999998</v>
      </c>
      <c r="AF49" s="208">
        <v>0</v>
      </c>
      <c r="AG49" s="208">
        <v>621176723.14999998</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c r="BL49" s="208">
        <v>10081081</v>
      </c>
      <c r="BM49" s="208">
        <v>-10189189</v>
      </c>
      <c r="BN49" s="187" t="s">
        <v>176</v>
      </c>
      <c r="BO49" s="187" t="s">
        <v>767</v>
      </c>
      <c r="BP49" s="187" t="s">
        <v>743</v>
      </c>
      <c r="BQ49" s="187" t="s">
        <v>1057</v>
      </c>
    </row>
    <row r="50" spans="2:69" x14ac:dyDescent="0.2">
      <c r="B50" s="429" t="s">
        <v>179</v>
      </c>
      <c r="C50" s="429" t="s">
        <v>178</v>
      </c>
      <c r="D50" s="208">
        <v>33560706</v>
      </c>
      <c r="E50" s="208">
        <v>0</v>
      </c>
      <c r="F50" s="208">
        <v>33560706</v>
      </c>
      <c r="G50" s="208">
        <v>0</v>
      </c>
      <c r="H50" s="208">
        <v>0</v>
      </c>
      <c r="I50" s="208">
        <v>0</v>
      </c>
      <c r="J50" s="208">
        <v>-445951</v>
      </c>
      <c r="K50" s="208">
        <v>0</v>
      </c>
      <c r="L50" s="208">
        <v>-445951</v>
      </c>
      <c r="M50" s="208">
        <v>0</v>
      </c>
      <c r="N50" s="208">
        <v>0</v>
      </c>
      <c r="O50" s="208">
        <v>0</v>
      </c>
      <c r="P50" s="208">
        <v>-121941</v>
      </c>
      <c r="Q50" s="208">
        <v>0</v>
      </c>
      <c r="R50" s="208">
        <v>-121941</v>
      </c>
      <c r="S50" s="208">
        <v>74738</v>
      </c>
      <c r="T50" s="208">
        <v>0</v>
      </c>
      <c r="U50" s="208">
        <v>74738</v>
      </c>
      <c r="V50" s="208">
        <v>158954</v>
      </c>
      <c r="W50" s="208">
        <v>0</v>
      </c>
      <c r="X50" s="208">
        <v>158954</v>
      </c>
      <c r="Y50" s="208">
        <v>-1503716</v>
      </c>
      <c r="Z50" s="208">
        <v>0</v>
      </c>
      <c r="AA50" s="208">
        <v>-1503716</v>
      </c>
      <c r="AB50" s="208">
        <v>-1139415</v>
      </c>
      <c r="AC50" s="208">
        <v>0</v>
      </c>
      <c r="AD50" s="208">
        <v>-1139415</v>
      </c>
      <c r="AE50" s="208">
        <v>31029326</v>
      </c>
      <c r="AF50" s="208">
        <v>0</v>
      </c>
      <c r="AG50" s="208">
        <v>31029326</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c r="BL50" s="208">
        <v>1231248</v>
      </c>
      <c r="BM50" s="208">
        <v>-248080</v>
      </c>
      <c r="BN50" s="187" t="s">
        <v>178</v>
      </c>
      <c r="BO50" s="187" t="s">
        <v>794</v>
      </c>
      <c r="BP50" s="187" t="s">
        <v>793</v>
      </c>
      <c r="BQ50" s="187" t="s">
        <v>1054</v>
      </c>
    </row>
    <row r="51" spans="2:69" x14ac:dyDescent="0.2">
      <c r="B51" s="429" t="s">
        <v>181</v>
      </c>
      <c r="C51" s="429" t="s">
        <v>180</v>
      </c>
      <c r="D51" s="208">
        <v>54405278</v>
      </c>
      <c r="E51" s="208">
        <v>0</v>
      </c>
      <c r="F51" s="208">
        <v>54405278</v>
      </c>
      <c r="G51" s="208">
        <v>0</v>
      </c>
      <c r="H51" s="208">
        <v>0</v>
      </c>
      <c r="I51" s="208">
        <v>0</v>
      </c>
      <c r="J51" s="208">
        <v>-186032</v>
      </c>
      <c r="K51" s="208">
        <v>0</v>
      </c>
      <c r="L51" s="208">
        <v>-186032</v>
      </c>
      <c r="M51" s="208">
        <v>0</v>
      </c>
      <c r="N51" s="208">
        <v>0</v>
      </c>
      <c r="O51" s="208">
        <v>0</v>
      </c>
      <c r="P51" s="208">
        <v>-471728</v>
      </c>
      <c r="Q51" s="208">
        <v>0</v>
      </c>
      <c r="R51" s="208">
        <v>-471728</v>
      </c>
      <c r="S51" s="208">
        <v>223287</v>
      </c>
      <c r="T51" s="208">
        <v>0</v>
      </c>
      <c r="U51" s="208">
        <v>223287</v>
      </c>
      <c r="V51" s="208">
        <v>0</v>
      </c>
      <c r="W51" s="208">
        <v>0</v>
      </c>
      <c r="X51" s="208">
        <v>0</v>
      </c>
      <c r="Y51" s="208">
        <v>553606</v>
      </c>
      <c r="Z51" s="208">
        <v>0</v>
      </c>
      <c r="AA51" s="208">
        <v>553606</v>
      </c>
      <c r="AB51" s="208">
        <v>-1433777</v>
      </c>
      <c r="AC51" s="208">
        <v>0</v>
      </c>
      <c r="AD51" s="208">
        <v>-1433777</v>
      </c>
      <c r="AE51" s="208">
        <v>53276666</v>
      </c>
      <c r="AF51" s="208">
        <v>0</v>
      </c>
      <c r="AG51" s="208">
        <v>53276666</v>
      </c>
      <c r="AH51" s="208">
        <v>0</v>
      </c>
      <c r="AI51" s="208">
        <v>0</v>
      </c>
      <c r="AJ51" s="208">
        <v>326686</v>
      </c>
      <c r="AK51" s="208">
        <v>0</v>
      </c>
      <c r="AL51" s="208">
        <v>326686</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c r="BL51" s="208">
        <v>1641003</v>
      </c>
      <c r="BM51" s="208">
        <v>-1406398</v>
      </c>
      <c r="BN51" s="187" t="s">
        <v>180</v>
      </c>
      <c r="BO51" s="187" t="s">
        <v>786</v>
      </c>
      <c r="BP51" s="187" t="s">
        <v>785</v>
      </c>
      <c r="BQ51" s="187" t="s">
        <v>1054</v>
      </c>
    </row>
    <row r="52" spans="2:69" x14ac:dyDescent="0.2">
      <c r="B52" s="429" t="s">
        <v>183</v>
      </c>
      <c r="C52" s="429" t="s">
        <v>182</v>
      </c>
      <c r="D52" s="208">
        <v>42719070</v>
      </c>
      <c r="E52" s="208">
        <v>1504742</v>
      </c>
      <c r="F52" s="208">
        <v>44223812</v>
      </c>
      <c r="G52" s="208">
        <v>0</v>
      </c>
      <c r="H52" s="208">
        <v>0</v>
      </c>
      <c r="I52" s="208">
        <v>0</v>
      </c>
      <c r="J52" s="208">
        <v>-289819</v>
      </c>
      <c r="K52" s="208">
        <v>-409</v>
      </c>
      <c r="L52" s="208">
        <v>-290228</v>
      </c>
      <c r="M52" s="208">
        <v>-22389</v>
      </c>
      <c r="N52" s="208">
        <v>-3598</v>
      </c>
      <c r="O52" s="208">
        <v>-25987</v>
      </c>
      <c r="P52" s="208">
        <v>-262000</v>
      </c>
      <c r="Q52" s="208">
        <v>-939</v>
      </c>
      <c r="R52" s="208">
        <v>-262939</v>
      </c>
      <c r="S52" s="208">
        <v>115283</v>
      </c>
      <c r="T52" s="208">
        <v>0</v>
      </c>
      <c r="U52" s="208">
        <v>115283</v>
      </c>
      <c r="V52" s="208">
        <v>178244</v>
      </c>
      <c r="W52" s="208">
        <v>623</v>
      </c>
      <c r="X52" s="208">
        <v>178867</v>
      </c>
      <c r="Y52" s="208">
        <v>-301566</v>
      </c>
      <c r="Z52" s="208">
        <v>0</v>
      </c>
      <c r="AA52" s="208">
        <v>-301566</v>
      </c>
      <c r="AB52" s="208">
        <v>-1524911</v>
      </c>
      <c r="AC52" s="208">
        <v>-48133</v>
      </c>
      <c r="AD52" s="208">
        <v>-1573044</v>
      </c>
      <c r="AE52" s="208">
        <v>40901731</v>
      </c>
      <c r="AF52" s="208">
        <v>1452695</v>
      </c>
      <c r="AG52" s="208">
        <v>42354426</v>
      </c>
      <c r="AH52" s="208">
        <v>1452695</v>
      </c>
      <c r="AI52" s="208">
        <v>1452695</v>
      </c>
      <c r="AJ52" s="208">
        <v>314176</v>
      </c>
      <c r="AK52" s="208">
        <v>5273</v>
      </c>
      <c r="AL52" s="208">
        <v>319449</v>
      </c>
      <c r="AM52" s="208">
        <v>0</v>
      </c>
      <c r="AN52" s="208">
        <v>0</v>
      </c>
      <c r="AO52" s="208">
        <v>0</v>
      </c>
      <c r="AP52" s="208">
        <v>-11421</v>
      </c>
      <c r="AQ52" s="208">
        <v>-11421</v>
      </c>
      <c r="AR52" s="208">
        <v>1676823</v>
      </c>
      <c r="AS52" s="208">
        <v>1676823</v>
      </c>
      <c r="AT52" s="208">
        <v>0</v>
      </c>
      <c r="AU52" s="208">
        <v>0</v>
      </c>
      <c r="AV52" s="208">
        <v>0</v>
      </c>
      <c r="AW52" s="208">
        <v>0</v>
      </c>
      <c r="AX52" s="208">
        <v>0</v>
      </c>
      <c r="AY52" s="208">
        <v>130082</v>
      </c>
      <c r="AZ52" s="208">
        <v>130082</v>
      </c>
      <c r="BA52" s="208">
        <v>0</v>
      </c>
      <c r="BB52" s="208">
        <v>0</v>
      </c>
      <c r="BC52" s="208">
        <v>0</v>
      </c>
      <c r="BD52" s="208">
        <v>0</v>
      </c>
      <c r="BE52" s="208">
        <v>0</v>
      </c>
      <c r="BF52" s="208">
        <v>0</v>
      </c>
      <c r="BG52" s="208">
        <v>0</v>
      </c>
      <c r="BH52" s="208">
        <v>0</v>
      </c>
      <c r="BI52" s="208">
        <v>0</v>
      </c>
      <c r="BJ52" s="208">
        <v>130082</v>
      </c>
      <c r="BK52" s="208">
        <v>130082</v>
      </c>
      <c r="BL52" s="208">
        <v>1220568</v>
      </c>
      <c r="BM52" s="208">
        <v>-586513</v>
      </c>
      <c r="BN52" s="187" t="s">
        <v>182</v>
      </c>
      <c r="BO52" s="187" t="s">
        <v>803</v>
      </c>
      <c r="BP52" s="187" t="s">
        <v>751</v>
      </c>
      <c r="BQ52" s="187" t="s">
        <v>1054</v>
      </c>
    </row>
    <row r="53" spans="2:69" x14ac:dyDescent="0.2">
      <c r="B53" s="429" t="s">
        <v>185</v>
      </c>
      <c r="C53" s="429" t="s">
        <v>184</v>
      </c>
      <c r="D53" s="208">
        <v>14493092</v>
      </c>
      <c r="E53" s="208">
        <v>0</v>
      </c>
      <c r="F53" s="208">
        <v>14493092</v>
      </c>
      <c r="G53" s="208">
        <v>0</v>
      </c>
      <c r="H53" s="208">
        <v>0</v>
      </c>
      <c r="I53" s="208">
        <v>0</v>
      </c>
      <c r="J53" s="208">
        <v>-112253.71</v>
      </c>
      <c r="K53" s="208">
        <v>0</v>
      </c>
      <c r="L53" s="208">
        <v>-112253.71</v>
      </c>
      <c r="M53" s="208">
        <v>0</v>
      </c>
      <c r="N53" s="208">
        <v>0</v>
      </c>
      <c r="O53" s="208">
        <v>0</v>
      </c>
      <c r="P53" s="208">
        <v>-94902.48</v>
      </c>
      <c r="Q53" s="208">
        <v>0</v>
      </c>
      <c r="R53" s="208">
        <v>-94902.48</v>
      </c>
      <c r="S53" s="208">
        <v>116920</v>
      </c>
      <c r="T53" s="208">
        <v>0</v>
      </c>
      <c r="U53" s="208">
        <v>116920</v>
      </c>
      <c r="V53" s="208">
        <v>12368</v>
      </c>
      <c r="W53" s="208">
        <v>0</v>
      </c>
      <c r="X53" s="208">
        <v>12368</v>
      </c>
      <c r="Y53" s="208">
        <v>-57920</v>
      </c>
      <c r="Z53" s="208">
        <v>0</v>
      </c>
      <c r="AA53" s="208">
        <v>-57920</v>
      </c>
      <c r="AB53" s="208">
        <v>-785368</v>
      </c>
      <c r="AC53" s="208">
        <v>0</v>
      </c>
      <c r="AD53" s="208">
        <v>-785368</v>
      </c>
      <c r="AE53" s="208">
        <v>13684189.52</v>
      </c>
      <c r="AF53" s="208">
        <v>0</v>
      </c>
      <c r="AG53" s="208">
        <v>13684189.52</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c r="BL53" s="208">
        <v>230729</v>
      </c>
      <c r="BM53" s="208">
        <v>-295261</v>
      </c>
      <c r="BN53" s="187" t="s">
        <v>184</v>
      </c>
      <c r="BO53" s="187" t="s">
        <v>784</v>
      </c>
      <c r="BP53" s="187" t="s">
        <v>783</v>
      </c>
      <c r="BQ53" s="187" t="s">
        <v>1054</v>
      </c>
    </row>
    <row r="54" spans="2:69" x14ac:dyDescent="0.2">
      <c r="B54" s="429" t="s">
        <v>187</v>
      </c>
      <c r="C54" s="429" t="s">
        <v>186</v>
      </c>
      <c r="D54" s="208">
        <v>86940896</v>
      </c>
      <c r="E54" s="208">
        <v>0</v>
      </c>
      <c r="F54" s="208">
        <v>86940896</v>
      </c>
      <c r="G54" s="208">
        <v>0</v>
      </c>
      <c r="H54" s="208">
        <v>0</v>
      </c>
      <c r="I54" s="208">
        <v>0</v>
      </c>
      <c r="J54" s="208">
        <v>-487469</v>
      </c>
      <c r="K54" s="208">
        <v>0</v>
      </c>
      <c r="L54" s="208">
        <v>-487469</v>
      </c>
      <c r="M54" s="208">
        <v>15171</v>
      </c>
      <c r="N54" s="208">
        <v>0</v>
      </c>
      <c r="O54" s="208">
        <v>15171</v>
      </c>
      <c r="P54" s="208">
        <v>-509801</v>
      </c>
      <c r="Q54" s="208">
        <v>0</v>
      </c>
      <c r="R54" s="208">
        <v>-509801</v>
      </c>
      <c r="S54" s="208">
        <v>1848923</v>
      </c>
      <c r="T54" s="208">
        <v>0</v>
      </c>
      <c r="U54" s="208">
        <v>1848923</v>
      </c>
      <c r="V54" s="208">
        <v>34675</v>
      </c>
      <c r="W54" s="208">
        <v>0</v>
      </c>
      <c r="X54" s="208">
        <v>34675</v>
      </c>
      <c r="Y54" s="208">
        <v>-167410</v>
      </c>
      <c r="Z54" s="208">
        <v>0</v>
      </c>
      <c r="AA54" s="208">
        <v>-167410</v>
      </c>
      <c r="AB54" s="208">
        <v>125818</v>
      </c>
      <c r="AC54" s="208">
        <v>0</v>
      </c>
      <c r="AD54" s="208">
        <v>125818</v>
      </c>
      <c r="AE54" s="208">
        <v>88288272</v>
      </c>
      <c r="AF54" s="208">
        <v>0</v>
      </c>
      <c r="AG54" s="208">
        <v>88288272</v>
      </c>
      <c r="AH54" s="208">
        <v>0</v>
      </c>
      <c r="AI54" s="208">
        <v>0</v>
      </c>
      <c r="AJ54" s="208">
        <v>371991</v>
      </c>
      <c r="AK54" s="208">
        <v>0</v>
      </c>
      <c r="AL54" s="208">
        <v>371991</v>
      </c>
      <c r="AM54" s="208">
        <v>0</v>
      </c>
      <c r="AN54" s="208">
        <v>0</v>
      </c>
      <c r="AO54" s="208">
        <v>0</v>
      </c>
      <c r="AP54" s="208">
        <v>0</v>
      </c>
      <c r="AQ54" s="208">
        <v>0</v>
      </c>
      <c r="AR54" s="208">
        <v>0</v>
      </c>
      <c r="AS54" s="208">
        <v>0</v>
      </c>
      <c r="AT54" s="208">
        <v>0</v>
      </c>
      <c r="AU54" s="208">
        <v>0</v>
      </c>
      <c r="AV54" s="208">
        <v>0</v>
      </c>
      <c r="AW54" s="208">
        <v>0</v>
      </c>
      <c r="AX54" s="208">
        <v>0</v>
      </c>
      <c r="AY54" s="208">
        <v>0</v>
      </c>
      <c r="AZ54" s="208">
        <v>0</v>
      </c>
      <c r="BA54" s="208">
        <v>0</v>
      </c>
      <c r="BB54" s="208">
        <v>0</v>
      </c>
      <c r="BC54" s="208">
        <v>0</v>
      </c>
      <c r="BD54" s="208">
        <v>0</v>
      </c>
      <c r="BE54" s="208">
        <v>0</v>
      </c>
      <c r="BF54" s="208">
        <v>0</v>
      </c>
      <c r="BG54" s="208">
        <v>0</v>
      </c>
      <c r="BH54" s="208">
        <v>0</v>
      </c>
      <c r="BI54" s="208">
        <v>0</v>
      </c>
      <c r="BJ54" s="208">
        <v>0</v>
      </c>
      <c r="BK54" s="208">
        <v>0</v>
      </c>
      <c r="BL54" s="208">
        <v>3054535</v>
      </c>
      <c r="BM54" s="208">
        <v>-666249</v>
      </c>
      <c r="BN54" s="187" t="s">
        <v>186</v>
      </c>
      <c r="BO54" s="187" t="s">
        <v>742</v>
      </c>
      <c r="BP54" s="187" t="s">
        <v>837</v>
      </c>
      <c r="BQ54" s="187" t="s">
        <v>742</v>
      </c>
    </row>
    <row r="55" spans="2:69" x14ac:dyDescent="0.2">
      <c r="B55" s="429" t="s">
        <v>189</v>
      </c>
      <c r="C55" s="429" t="s">
        <v>188</v>
      </c>
      <c r="D55" s="208">
        <v>46866588</v>
      </c>
      <c r="E55" s="208">
        <v>344977</v>
      </c>
      <c r="F55" s="208">
        <v>47211565</v>
      </c>
      <c r="G55" s="208">
        <v>0</v>
      </c>
      <c r="H55" s="208">
        <v>0</v>
      </c>
      <c r="I55" s="208">
        <v>0</v>
      </c>
      <c r="J55" s="208">
        <v>-219889</v>
      </c>
      <c r="K55" s="208">
        <v>0</v>
      </c>
      <c r="L55" s="208">
        <v>-219889</v>
      </c>
      <c r="M55" s="208">
        <v>0</v>
      </c>
      <c r="N55" s="208">
        <v>0</v>
      </c>
      <c r="O55" s="208">
        <v>0</v>
      </c>
      <c r="P55" s="208">
        <v>-336078</v>
      </c>
      <c r="Q55" s="208">
        <v>0</v>
      </c>
      <c r="R55" s="208">
        <v>-336078</v>
      </c>
      <c r="S55" s="208">
        <v>213047</v>
      </c>
      <c r="T55" s="208">
        <v>0</v>
      </c>
      <c r="U55" s="208">
        <v>213047</v>
      </c>
      <c r="V55" s="208">
        <v>283667</v>
      </c>
      <c r="W55" s="208">
        <v>0</v>
      </c>
      <c r="X55" s="208">
        <v>283667</v>
      </c>
      <c r="Y55" s="208">
        <v>-401132</v>
      </c>
      <c r="Z55" s="208">
        <v>0</v>
      </c>
      <c r="AA55" s="208">
        <v>-401132</v>
      </c>
      <c r="AB55" s="208">
        <v>-2722209</v>
      </c>
      <c r="AC55" s="208">
        <v>0</v>
      </c>
      <c r="AD55" s="208">
        <v>-2722209</v>
      </c>
      <c r="AE55" s="208">
        <v>43903883</v>
      </c>
      <c r="AF55" s="208">
        <v>344977</v>
      </c>
      <c r="AG55" s="208">
        <v>44248860</v>
      </c>
      <c r="AH55" s="208">
        <v>344977</v>
      </c>
      <c r="AI55" s="208">
        <v>344977</v>
      </c>
      <c r="AJ55" s="208">
        <v>187612</v>
      </c>
      <c r="AK55" s="208">
        <v>0</v>
      </c>
      <c r="AL55" s="208">
        <v>187612</v>
      </c>
      <c r="AM55" s="208">
        <v>0</v>
      </c>
      <c r="AN55" s="208">
        <v>0</v>
      </c>
      <c r="AO55" s="208">
        <v>0</v>
      </c>
      <c r="AP55" s="208">
        <v>0</v>
      </c>
      <c r="AQ55" s="208">
        <v>0</v>
      </c>
      <c r="AR55" s="208">
        <v>122575</v>
      </c>
      <c r="AS55" s="208">
        <v>122575</v>
      </c>
      <c r="AT55" s="208">
        <v>222402</v>
      </c>
      <c r="AU55" s="208">
        <v>0</v>
      </c>
      <c r="AV55" s="208">
        <v>0</v>
      </c>
      <c r="AW55" s="208">
        <v>0</v>
      </c>
      <c r="AX55" s="208">
        <v>0</v>
      </c>
      <c r="AY55" s="208">
        <v>0</v>
      </c>
      <c r="AZ55" s="208">
        <v>0</v>
      </c>
      <c r="BA55" s="208">
        <v>0</v>
      </c>
      <c r="BB55" s="208">
        <v>0</v>
      </c>
      <c r="BC55" s="208">
        <v>0</v>
      </c>
      <c r="BD55" s="208">
        <v>0</v>
      </c>
      <c r="BE55" s="208">
        <v>0</v>
      </c>
      <c r="BF55" s="208">
        <v>0</v>
      </c>
      <c r="BG55" s="208">
        <v>0</v>
      </c>
      <c r="BH55" s="208">
        <v>0</v>
      </c>
      <c r="BI55" s="208">
        <v>0</v>
      </c>
      <c r="BJ55" s="208">
        <v>0</v>
      </c>
      <c r="BK55" s="208">
        <v>0</v>
      </c>
      <c r="BL55" s="208">
        <v>1005583</v>
      </c>
      <c r="BM55" s="208">
        <v>-713992</v>
      </c>
      <c r="BN55" s="187" t="s">
        <v>188</v>
      </c>
      <c r="BO55" s="187" t="s">
        <v>825</v>
      </c>
      <c r="BP55" s="187" t="s">
        <v>813</v>
      </c>
      <c r="BQ55" s="187" t="s">
        <v>1054</v>
      </c>
    </row>
    <row r="56" spans="2:69" x14ac:dyDescent="0.2">
      <c r="B56" s="429" t="s">
        <v>191</v>
      </c>
      <c r="C56" s="429" t="s">
        <v>190</v>
      </c>
      <c r="D56" s="208">
        <v>81394374</v>
      </c>
      <c r="E56" s="208">
        <v>0</v>
      </c>
      <c r="F56" s="208">
        <v>81394374</v>
      </c>
      <c r="G56" s="208">
        <v>0</v>
      </c>
      <c r="H56" s="208">
        <v>0</v>
      </c>
      <c r="I56" s="208">
        <v>0</v>
      </c>
      <c r="J56" s="208">
        <v>0</v>
      </c>
      <c r="K56" s="208">
        <v>0</v>
      </c>
      <c r="L56" s="208">
        <v>0</v>
      </c>
      <c r="M56" s="208">
        <v>-959756.3</v>
      </c>
      <c r="N56" s="208">
        <v>0</v>
      </c>
      <c r="O56" s="208">
        <v>-959756.3</v>
      </c>
      <c r="P56" s="208">
        <v>-76404</v>
      </c>
      <c r="Q56" s="208">
        <v>0</v>
      </c>
      <c r="R56" s="208">
        <v>-76404</v>
      </c>
      <c r="S56" s="208">
        <v>1350484</v>
      </c>
      <c r="T56" s="208">
        <v>0</v>
      </c>
      <c r="U56" s="208">
        <v>1350484</v>
      </c>
      <c r="V56" s="208">
        <v>0</v>
      </c>
      <c r="W56" s="208">
        <v>0</v>
      </c>
      <c r="X56" s="208">
        <v>0</v>
      </c>
      <c r="Y56" s="208">
        <v>984909</v>
      </c>
      <c r="Z56" s="208">
        <v>0</v>
      </c>
      <c r="AA56" s="208">
        <v>984909</v>
      </c>
      <c r="AB56" s="208">
        <v>-2032024</v>
      </c>
      <c r="AC56" s="208">
        <v>0</v>
      </c>
      <c r="AD56" s="208">
        <v>-2032024</v>
      </c>
      <c r="AE56" s="208">
        <v>80661582.700000003</v>
      </c>
      <c r="AF56" s="208">
        <v>0</v>
      </c>
      <c r="AG56" s="208">
        <v>80661582.700000003</v>
      </c>
      <c r="AH56" s="208">
        <v>0</v>
      </c>
      <c r="AI56" s="208">
        <v>0</v>
      </c>
      <c r="AJ56" s="208">
        <v>0</v>
      </c>
      <c r="AK56" s="208">
        <v>0</v>
      </c>
      <c r="AL56" s="208">
        <v>0</v>
      </c>
      <c r="AM56" s="208">
        <v>0</v>
      </c>
      <c r="AN56" s="208">
        <v>0</v>
      </c>
      <c r="AO56" s="208">
        <v>0</v>
      </c>
      <c r="AP56" s="208">
        <v>0</v>
      </c>
      <c r="AQ56" s="208">
        <v>0</v>
      </c>
      <c r="AR56" s="208">
        <v>0</v>
      </c>
      <c r="AS56" s="208">
        <v>0</v>
      </c>
      <c r="AT56" s="208">
        <v>0</v>
      </c>
      <c r="AU56" s="208">
        <v>0</v>
      </c>
      <c r="AV56" s="208">
        <v>0</v>
      </c>
      <c r="AW56" s="208">
        <v>0</v>
      </c>
      <c r="AX56" s="208">
        <v>0</v>
      </c>
      <c r="AY56" s="208">
        <v>0</v>
      </c>
      <c r="AZ56" s="208">
        <v>0</v>
      </c>
      <c r="BA56" s="208">
        <v>0</v>
      </c>
      <c r="BB56" s="208">
        <v>0</v>
      </c>
      <c r="BC56" s="208">
        <v>0</v>
      </c>
      <c r="BD56" s="208">
        <v>0</v>
      </c>
      <c r="BE56" s="208">
        <v>0</v>
      </c>
      <c r="BF56" s="208">
        <v>0</v>
      </c>
      <c r="BG56" s="208">
        <v>0</v>
      </c>
      <c r="BH56" s="208">
        <v>0</v>
      </c>
      <c r="BI56" s="208">
        <v>0</v>
      </c>
      <c r="BJ56" s="208">
        <v>0</v>
      </c>
      <c r="BK56" s="208">
        <v>0</v>
      </c>
      <c r="BL56" s="208">
        <v>2754818</v>
      </c>
      <c r="BM56" s="208">
        <v>-2399916</v>
      </c>
      <c r="BN56" s="187" t="s">
        <v>190</v>
      </c>
      <c r="BO56" s="187" t="s">
        <v>784</v>
      </c>
      <c r="BP56" s="187" t="s">
        <v>783</v>
      </c>
      <c r="BQ56" s="187" t="s">
        <v>1054</v>
      </c>
    </row>
    <row r="57" spans="2:69" x14ac:dyDescent="0.2">
      <c r="B57" s="429" t="s">
        <v>193</v>
      </c>
      <c r="C57" s="429" t="s">
        <v>192</v>
      </c>
      <c r="D57" s="208">
        <v>55140077</v>
      </c>
      <c r="E57" s="208">
        <v>0</v>
      </c>
      <c r="F57" s="208">
        <v>55140077</v>
      </c>
      <c r="G57" s="208">
        <v>0</v>
      </c>
      <c r="H57" s="208">
        <v>0</v>
      </c>
      <c r="I57" s="208">
        <v>0</v>
      </c>
      <c r="J57" s="208">
        <v>-231409</v>
      </c>
      <c r="K57" s="208">
        <v>0</v>
      </c>
      <c r="L57" s="208">
        <v>-231409</v>
      </c>
      <c r="M57" s="208">
        <v>0</v>
      </c>
      <c r="N57" s="208">
        <v>0</v>
      </c>
      <c r="O57" s="208">
        <v>0</v>
      </c>
      <c r="P57" s="208">
        <v>-191198</v>
      </c>
      <c r="Q57" s="208">
        <v>0</v>
      </c>
      <c r="R57" s="208">
        <v>-191198</v>
      </c>
      <c r="S57" s="208">
        <v>1264013</v>
      </c>
      <c r="T57" s="208">
        <v>0</v>
      </c>
      <c r="U57" s="208">
        <v>1264013</v>
      </c>
      <c r="V57" s="208">
        <v>512554</v>
      </c>
      <c r="W57" s="208">
        <v>0</v>
      </c>
      <c r="X57" s="208">
        <v>512554</v>
      </c>
      <c r="Y57" s="208">
        <v>-986301</v>
      </c>
      <c r="Z57" s="208">
        <v>0</v>
      </c>
      <c r="AA57" s="208">
        <v>-986301</v>
      </c>
      <c r="AB57" s="208">
        <v>-1220000</v>
      </c>
      <c r="AC57" s="208">
        <v>0</v>
      </c>
      <c r="AD57" s="208">
        <v>-1220000</v>
      </c>
      <c r="AE57" s="208">
        <v>54519145</v>
      </c>
      <c r="AF57" s="208">
        <v>0</v>
      </c>
      <c r="AG57" s="208">
        <v>54519145</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H57" s="208">
        <v>0</v>
      </c>
      <c r="BI57" s="208">
        <v>0</v>
      </c>
      <c r="BJ57" s="208">
        <v>0</v>
      </c>
      <c r="BK57" s="208">
        <v>0</v>
      </c>
      <c r="BL57" s="208">
        <v>1008363</v>
      </c>
      <c r="BM57" s="208">
        <v>-4884148</v>
      </c>
      <c r="BN57" s="187" t="s">
        <v>192</v>
      </c>
      <c r="BO57" s="187" t="s">
        <v>790</v>
      </c>
      <c r="BP57" s="187" t="s">
        <v>751</v>
      </c>
      <c r="BQ57" s="187" t="s">
        <v>1054</v>
      </c>
    </row>
    <row r="58" spans="2:69" x14ac:dyDescent="0.2">
      <c r="B58" s="429" t="s">
        <v>195</v>
      </c>
      <c r="C58" s="429" t="s">
        <v>194</v>
      </c>
      <c r="D58" s="208">
        <v>92273266</v>
      </c>
      <c r="E58" s="208">
        <v>0</v>
      </c>
      <c r="F58" s="208">
        <v>92273266</v>
      </c>
      <c r="G58" s="208">
        <v>0</v>
      </c>
      <c r="H58" s="208">
        <v>0</v>
      </c>
      <c r="I58" s="208">
        <v>0</v>
      </c>
      <c r="J58" s="208">
        <v>0</v>
      </c>
      <c r="K58" s="208">
        <v>0</v>
      </c>
      <c r="L58" s="208">
        <v>0</v>
      </c>
      <c r="M58" s="208">
        <v>-158925</v>
      </c>
      <c r="N58" s="208">
        <v>0</v>
      </c>
      <c r="O58" s="208">
        <v>-158925</v>
      </c>
      <c r="P58" s="208">
        <v>558353</v>
      </c>
      <c r="Q58" s="208">
        <v>0</v>
      </c>
      <c r="R58" s="208">
        <v>558353</v>
      </c>
      <c r="S58" s="208">
        <v>2191009</v>
      </c>
      <c r="T58" s="208">
        <v>0</v>
      </c>
      <c r="U58" s="208">
        <v>2191009</v>
      </c>
      <c r="V58" s="208">
        <v>121231</v>
      </c>
      <c r="W58" s="208">
        <v>0</v>
      </c>
      <c r="X58" s="208">
        <v>121231</v>
      </c>
      <c r="Y58" s="208">
        <v>-561843</v>
      </c>
      <c r="Z58" s="208">
        <v>0</v>
      </c>
      <c r="AA58" s="208">
        <v>-561843</v>
      </c>
      <c r="AB58" s="208">
        <v>-4592994</v>
      </c>
      <c r="AC58" s="208">
        <v>0</v>
      </c>
      <c r="AD58" s="208">
        <v>-4592994</v>
      </c>
      <c r="AE58" s="208">
        <v>89830097</v>
      </c>
      <c r="AF58" s="208">
        <v>0</v>
      </c>
      <c r="AG58" s="208">
        <v>89830097</v>
      </c>
      <c r="AH58" s="208">
        <v>0</v>
      </c>
      <c r="AI58" s="208">
        <v>0</v>
      </c>
      <c r="AJ58" s="208">
        <v>499631</v>
      </c>
      <c r="AK58" s="208">
        <v>0</v>
      </c>
      <c r="AL58" s="208">
        <v>499631</v>
      </c>
      <c r="AM58" s="208">
        <v>0</v>
      </c>
      <c r="AN58" s="208">
        <v>0</v>
      </c>
      <c r="AO58" s="208">
        <v>0</v>
      </c>
      <c r="AP58" s="208">
        <v>0</v>
      </c>
      <c r="AQ58" s="208">
        <v>0</v>
      </c>
      <c r="AR58" s="208">
        <v>0</v>
      </c>
      <c r="AS58" s="208">
        <v>0</v>
      </c>
      <c r="AT58" s="208">
        <v>0</v>
      </c>
      <c r="AU58" s="208">
        <v>0</v>
      </c>
      <c r="AV58" s="208">
        <v>0</v>
      </c>
      <c r="AW58" s="208">
        <v>0</v>
      </c>
      <c r="AX58" s="208">
        <v>0</v>
      </c>
      <c r="AY58" s="208">
        <v>0</v>
      </c>
      <c r="AZ58" s="208">
        <v>0</v>
      </c>
      <c r="BA58" s="208">
        <v>0</v>
      </c>
      <c r="BB58" s="208">
        <v>0</v>
      </c>
      <c r="BC58" s="208">
        <v>0</v>
      </c>
      <c r="BD58" s="208">
        <v>0</v>
      </c>
      <c r="BE58" s="208">
        <v>0</v>
      </c>
      <c r="BF58" s="208">
        <v>0</v>
      </c>
      <c r="BG58" s="208">
        <v>0</v>
      </c>
      <c r="BH58" s="208">
        <v>0</v>
      </c>
      <c r="BI58" s="208">
        <v>0</v>
      </c>
      <c r="BJ58" s="208">
        <v>0</v>
      </c>
      <c r="BK58" s="208">
        <v>0</v>
      </c>
      <c r="BL58" s="208">
        <v>2828646</v>
      </c>
      <c r="BM58" s="208">
        <v>-2987225</v>
      </c>
      <c r="BN58" s="187" t="s">
        <v>194</v>
      </c>
      <c r="BO58" s="187" t="s">
        <v>770</v>
      </c>
      <c r="BP58" s="187" t="s">
        <v>751</v>
      </c>
      <c r="BQ58" s="187" t="s">
        <v>1054</v>
      </c>
    </row>
    <row r="59" spans="2:69" x14ac:dyDescent="0.2">
      <c r="B59" s="429" t="s">
        <v>197</v>
      </c>
      <c r="C59" s="429" t="s">
        <v>196</v>
      </c>
      <c r="D59" s="208">
        <v>135685353</v>
      </c>
      <c r="E59" s="208">
        <v>2103346</v>
      </c>
      <c r="F59" s="208">
        <v>137788699</v>
      </c>
      <c r="G59" s="208">
        <v>0</v>
      </c>
      <c r="H59" s="208">
        <v>0</v>
      </c>
      <c r="I59" s="208">
        <v>0</v>
      </c>
      <c r="J59" s="208">
        <v>-1005287</v>
      </c>
      <c r="K59" s="208">
        <v>0</v>
      </c>
      <c r="L59" s="208">
        <v>-1005287</v>
      </c>
      <c r="M59" s="208">
        <v>0</v>
      </c>
      <c r="N59" s="208">
        <v>0</v>
      </c>
      <c r="O59" s="208">
        <v>0</v>
      </c>
      <c r="P59" s="208">
        <v>-703431</v>
      </c>
      <c r="Q59" s="208">
        <v>0</v>
      </c>
      <c r="R59" s="208">
        <v>-703431</v>
      </c>
      <c r="S59" s="208">
        <v>13710075</v>
      </c>
      <c r="T59" s="208">
        <v>0</v>
      </c>
      <c r="U59" s="208">
        <v>13710075</v>
      </c>
      <c r="V59" s="208">
        <v>0</v>
      </c>
      <c r="W59" s="208">
        <v>0</v>
      </c>
      <c r="X59" s="208">
        <v>0</v>
      </c>
      <c r="Y59" s="208">
        <v>-7172247</v>
      </c>
      <c r="Z59" s="208">
        <v>0</v>
      </c>
      <c r="AA59" s="208">
        <v>-7172247</v>
      </c>
      <c r="AB59" s="208">
        <v>-6283554</v>
      </c>
      <c r="AC59" s="208">
        <v>0</v>
      </c>
      <c r="AD59" s="208">
        <v>-6283554</v>
      </c>
      <c r="AE59" s="208">
        <v>135236196</v>
      </c>
      <c r="AF59" s="208">
        <v>2103346</v>
      </c>
      <c r="AG59" s="208">
        <v>137339542</v>
      </c>
      <c r="AH59" s="208">
        <v>2103346</v>
      </c>
      <c r="AI59" s="208">
        <v>2103346</v>
      </c>
      <c r="AJ59" s="208">
        <v>129799</v>
      </c>
      <c r="AK59" s="208">
        <v>0</v>
      </c>
      <c r="AL59" s="208">
        <v>129799</v>
      </c>
      <c r="AM59" s="208">
        <v>0</v>
      </c>
      <c r="AN59" s="208">
        <v>0</v>
      </c>
      <c r="AO59" s="208">
        <v>0</v>
      </c>
      <c r="AP59" s="208">
        <v>392790</v>
      </c>
      <c r="AQ59" s="208">
        <v>392790</v>
      </c>
      <c r="AR59" s="208">
        <v>2321124</v>
      </c>
      <c r="AS59" s="208">
        <v>2321124</v>
      </c>
      <c r="AT59" s="208">
        <v>175012</v>
      </c>
      <c r="AU59" s="208">
        <v>0</v>
      </c>
      <c r="AV59" s="208">
        <v>0</v>
      </c>
      <c r="AW59" s="208">
        <v>0</v>
      </c>
      <c r="AX59" s="208">
        <v>0</v>
      </c>
      <c r="AY59" s="208">
        <v>180855</v>
      </c>
      <c r="AZ59" s="208">
        <v>180855</v>
      </c>
      <c r="BA59" s="208">
        <v>0</v>
      </c>
      <c r="BB59" s="208">
        <v>0</v>
      </c>
      <c r="BC59" s="208">
        <v>0</v>
      </c>
      <c r="BD59" s="208">
        <v>0</v>
      </c>
      <c r="BE59" s="208">
        <v>0</v>
      </c>
      <c r="BF59" s="208">
        <v>0</v>
      </c>
      <c r="BG59" s="208">
        <v>0</v>
      </c>
      <c r="BH59" s="208">
        <v>0</v>
      </c>
      <c r="BI59" s="208">
        <v>0</v>
      </c>
      <c r="BJ59" s="208">
        <v>180855</v>
      </c>
      <c r="BK59" s="208">
        <v>180855</v>
      </c>
      <c r="BL59" s="208">
        <v>4496101</v>
      </c>
      <c r="BM59" s="208">
        <v>-622682</v>
      </c>
      <c r="BN59" s="187" t="s">
        <v>196</v>
      </c>
      <c r="BO59" s="187" t="s">
        <v>742</v>
      </c>
      <c r="BP59" s="187" t="s">
        <v>780</v>
      </c>
      <c r="BQ59" s="187" t="s">
        <v>742</v>
      </c>
    </row>
    <row r="60" spans="2:69" x14ac:dyDescent="0.2">
      <c r="B60" s="429" t="s">
        <v>199</v>
      </c>
      <c r="C60" s="429" t="s">
        <v>855</v>
      </c>
      <c r="D60" s="208">
        <v>153632324</v>
      </c>
      <c r="E60" s="208">
        <v>192645</v>
      </c>
      <c r="F60" s="208">
        <v>153824969</v>
      </c>
      <c r="G60" s="208">
        <v>-92929</v>
      </c>
      <c r="H60" s="208">
        <v>0</v>
      </c>
      <c r="I60" s="208">
        <v>-92929</v>
      </c>
      <c r="J60" s="208">
        <v>-27596</v>
      </c>
      <c r="K60" s="208">
        <v>0</v>
      </c>
      <c r="L60" s="208">
        <v>-27596</v>
      </c>
      <c r="M60" s="208">
        <v>0</v>
      </c>
      <c r="N60" s="208">
        <v>0</v>
      </c>
      <c r="O60" s="208">
        <v>0</v>
      </c>
      <c r="P60" s="208">
        <v>-1087423</v>
      </c>
      <c r="Q60" s="208">
        <v>0</v>
      </c>
      <c r="R60" s="208">
        <v>-1087423</v>
      </c>
      <c r="S60" s="208">
        <v>7778967</v>
      </c>
      <c r="T60" s="208">
        <v>0</v>
      </c>
      <c r="U60" s="208">
        <v>7778967</v>
      </c>
      <c r="V60" s="208">
        <v>3048853</v>
      </c>
      <c r="W60" s="208">
        <v>0</v>
      </c>
      <c r="X60" s="208">
        <v>3048853</v>
      </c>
      <c r="Y60" s="208">
        <v>-3373569</v>
      </c>
      <c r="Z60" s="208">
        <v>0</v>
      </c>
      <c r="AA60" s="208">
        <v>-3373569</v>
      </c>
      <c r="AB60" s="208">
        <v>-11588188</v>
      </c>
      <c r="AC60" s="208">
        <v>0</v>
      </c>
      <c r="AD60" s="208">
        <v>-11588188</v>
      </c>
      <c r="AE60" s="208">
        <v>148318035</v>
      </c>
      <c r="AF60" s="208">
        <v>192645</v>
      </c>
      <c r="AG60" s="208">
        <v>148510680</v>
      </c>
      <c r="AH60" s="208">
        <v>192645</v>
      </c>
      <c r="AI60" s="208">
        <v>192645</v>
      </c>
      <c r="AJ60" s="208">
        <v>585489</v>
      </c>
      <c r="AK60" s="208">
        <v>0</v>
      </c>
      <c r="AL60" s="208">
        <v>585489</v>
      </c>
      <c r="AM60" s="208">
        <v>0</v>
      </c>
      <c r="AN60" s="208">
        <v>0</v>
      </c>
      <c r="AO60" s="208">
        <v>0</v>
      </c>
      <c r="AP60" s="208">
        <v>15</v>
      </c>
      <c r="AQ60" s="208">
        <v>15</v>
      </c>
      <c r="AR60" s="208">
        <v>172451</v>
      </c>
      <c r="AS60" s="208">
        <v>172451</v>
      </c>
      <c r="AT60" s="208">
        <v>20209</v>
      </c>
      <c r="AU60" s="208">
        <v>0</v>
      </c>
      <c r="AV60" s="208">
        <v>0</v>
      </c>
      <c r="AW60" s="208">
        <v>0</v>
      </c>
      <c r="AX60" s="208">
        <v>0</v>
      </c>
      <c r="AY60" s="208">
        <v>210171</v>
      </c>
      <c r="AZ60" s="208">
        <v>210171</v>
      </c>
      <c r="BA60" s="208">
        <v>0</v>
      </c>
      <c r="BB60" s="208">
        <v>0</v>
      </c>
      <c r="BC60" s="208">
        <v>0</v>
      </c>
      <c r="BD60" s="208">
        <v>0</v>
      </c>
      <c r="BE60" s="208">
        <v>0</v>
      </c>
      <c r="BF60" s="208">
        <v>0</v>
      </c>
      <c r="BG60" s="208">
        <v>0</v>
      </c>
      <c r="BH60" s="208">
        <v>0</v>
      </c>
      <c r="BI60" s="208">
        <v>0</v>
      </c>
      <c r="BJ60" s="208">
        <v>210171</v>
      </c>
      <c r="BK60" s="208">
        <v>210171</v>
      </c>
      <c r="BL60" s="208">
        <v>4955327</v>
      </c>
      <c r="BM60" s="208">
        <v>-4454462</v>
      </c>
      <c r="BN60" s="187" t="s">
        <v>855</v>
      </c>
      <c r="BO60" s="187" t="s">
        <v>742</v>
      </c>
      <c r="BP60" s="187" t="s">
        <v>780</v>
      </c>
      <c r="BQ60" s="187" t="s">
        <v>742</v>
      </c>
    </row>
    <row r="61" spans="2:69" x14ac:dyDescent="0.2">
      <c r="B61" s="429" t="s">
        <v>201</v>
      </c>
      <c r="C61" s="429" t="s">
        <v>200</v>
      </c>
      <c r="D61" s="208">
        <v>38842330</v>
      </c>
      <c r="E61" s="208">
        <v>1204152</v>
      </c>
      <c r="F61" s="208">
        <v>40046482</v>
      </c>
      <c r="G61" s="208">
        <v>0</v>
      </c>
      <c r="H61" s="208">
        <v>0</v>
      </c>
      <c r="I61" s="208">
        <v>0</v>
      </c>
      <c r="J61" s="208">
        <v>-124659</v>
      </c>
      <c r="K61" s="208">
        <v>0</v>
      </c>
      <c r="L61" s="208">
        <v>-124659</v>
      </c>
      <c r="M61" s="208">
        <v>0</v>
      </c>
      <c r="N61" s="208">
        <v>0</v>
      </c>
      <c r="O61" s="208">
        <v>0</v>
      </c>
      <c r="P61" s="208">
        <v>123991</v>
      </c>
      <c r="Q61" s="208">
        <v>0</v>
      </c>
      <c r="R61" s="208">
        <v>123991</v>
      </c>
      <c r="S61" s="208">
        <v>809413</v>
      </c>
      <c r="T61" s="208">
        <v>0</v>
      </c>
      <c r="U61" s="208">
        <v>809413</v>
      </c>
      <c r="V61" s="208">
        <v>0</v>
      </c>
      <c r="W61" s="208">
        <v>0</v>
      </c>
      <c r="X61" s="208">
        <v>0</v>
      </c>
      <c r="Y61" s="208">
        <v>-513944</v>
      </c>
      <c r="Z61" s="208">
        <v>0</v>
      </c>
      <c r="AA61" s="208">
        <v>-513944</v>
      </c>
      <c r="AB61" s="208">
        <v>-1571236</v>
      </c>
      <c r="AC61" s="208">
        <v>0</v>
      </c>
      <c r="AD61" s="208">
        <v>-1571236</v>
      </c>
      <c r="AE61" s="208">
        <v>37690554</v>
      </c>
      <c r="AF61" s="208">
        <v>1204152</v>
      </c>
      <c r="AG61" s="208">
        <v>38894706</v>
      </c>
      <c r="AH61" s="208">
        <v>1204152</v>
      </c>
      <c r="AI61" s="208">
        <v>1204152</v>
      </c>
      <c r="AJ61" s="208">
        <v>49882</v>
      </c>
      <c r="AK61" s="208">
        <v>0</v>
      </c>
      <c r="AL61" s="208">
        <v>49882</v>
      </c>
      <c r="AM61" s="208">
        <v>0</v>
      </c>
      <c r="AN61" s="208">
        <v>0</v>
      </c>
      <c r="AO61" s="208">
        <v>0</v>
      </c>
      <c r="AP61" s="208">
        <v>0</v>
      </c>
      <c r="AQ61" s="208">
        <v>0</v>
      </c>
      <c r="AR61" s="208">
        <v>0</v>
      </c>
      <c r="AS61" s="208">
        <v>0</v>
      </c>
      <c r="AT61" s="208">
        <v>1204152</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c r="BL61" s="208">
        <v>1493245</v>
      </c>
      <c r="BM61" s="208">
        <v>-442998</v>
      </c>
      <c r="BN61" s="187" t="s">
        <v>200</v>
      </c>
      <c r="BO61" s="187" t="s">
        <v>807</v>
      </c>
      <c r="BP61" s="187" t="s">
        <v>806</v>
      </c>
      <c r="BQ61" s="187" t="s">
        <v>1054</v>
      </c>
    </row>
    <row r="62" spans="2:69" x14ac:dyDescent="0.2">
      <c r="B62" s="429" t="s">
        <v>203</v>
      </c>
      <c r="C62" s="429" t="s">
        <v>202</v>
      </c>
      <c r="D62" s="208">
        <v>48813569.609999992</v>
      </c>
      <c r="E62" s="208">
        <v>0</v>
      </c>
      <c r="F62" s="208">
        <v>48813569.609999992</v>
      </c>
      <c r="G62" s="208">
        <v>0</v>
      </c>
      <c r="H62" s="208">
        <v>0</v>
      </c>
      <c r="I62" s="208">
        <v>0</v>
      </c>
      <c r="J62" s="208">
        <v>-838025</v>
      </c>
      <c r="K62" s="208">
        <v>0</v>
      </c>
      <c r="L62" s="208">
        <v>-838025</v>
      </c>
      <c r="M62" s="208">
        <v>0</v>
      </c>
      <c r="N62" s="208">
        <v>0</v>
      </c>
      <c r="O62" s="208">
        <v>0</v>
      </c>
      <c r="P62" s="208">
        <v>-488950</v>
      </c>
      <c r="Q62" s="208">
        <v>0</v>
      </c>
      <c r="R62" s="208">
        <v>-488950</v>
      </c>
      <c r="S62" s="208">
        <v>330826</v>
      </c>
      <c r="T62" s="208">
        <v>0</v>
      </c>
      <c r="U62" s="208">
        <v>330826</v>
      </c>
      <c r="V62" s="208">
        <v>327249</v>
      </c>
      <c r="W62" s="208">
        <v>0</v>
      </c>
      <c r="X62" s="208">
        <v>327249</v>
      </c>
      <c r="Y62" s="208">
        <v>0</v>
      </c>
      <c r="Z62" s="208">
        <v>0</v>
      </c>
      <c r="AA62" s="208">
        <v>0</v>
      </c>
      <c r="AB62" s="208">
        <v>-1800000</v>
      </c>
      <c r="AC62" s="208">
        <v>0</v>
      </c>
      <c r="AD62" s="208">
        <v>-1800000</v>
      </c>
      <c r="AE62" s="208">
        <v>47182694.609999992</v>
      </c>
      <c r="AF62" s="208">
        <v>0</v>
      </c>
      <c r="AG62" s="208">
        <v>47182694.609999992</v>
      </c>
      <c r="AH62" s="208">
        <v>0</v>
      </c>
      <c r="AI62" s="208">
        <v>0</v>
      </c>
      <c r="AJ62" s="208">
        <v>138566</v>
      </c>
      <c r="AK62" s="208">
        <v>0</v>
      </c>
      <c r="AL62" s="208">
        <v>138566</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c r="BL62" s="208">
        <v>1778646.31</v>
      </c>
      <c r="BM62" s="208">
        <v>-628430</v>
      </c>
      <c r="BN62" s="187" t="s">
        <v>202</v>
      </c>
      <c r="BO62" s="187" t="s">
        <v>752</v>
      </c>
      <c r="BP62" s="187" t="s">
        <v>751</v>
      </c>
      <c r="BQ62" s="187" t="s">
        <v>1054</v>
      </c>
    </row>
    <row r="63" spans="2:69" x14ac:dyDescent="0.2">
      <c r="B63" s="429" t="s">
        <v>205</v>
      </c>
      <c r="C63" s="429" t="s">
        <v>204</v>
      </c>
      <c r="D63" s="208">
        <v>20607364</v>
      </c>
      <c r="E63" s="208">
        <v>0</v>
      </c>
      <c r="F63" s="208">
        <v>20607364</v>
      </c>
      <c r="G63" s="208">
        <v>0</v>
      </c>
      <c r="H63" s="208">
        <v>0</v>
      </c>
      <c r="I63" s="208">
        <v>0</v>
      </c>
      <c r="J63" s="208">
        <v>-60623</v>
      </c>
      <c r="K63" s="208">
        <v>0</v>
      </c>
      <c r="L63" s="208">
        <v>-60623</v>
      </c>
      <c r="M63" s="208">
        <v>0</v>
      </c>
      <c r="N63" s="208">
        <v>0</v>
      </c>
      <c r="O63" s="208">
        <v>0</v>
      </c>
      <c r="P63" s="208">
        <v>-84559</v>
      </c>
      <c r="Q63" s="208">
        <v>0</v>
      </c>
      <c r="R63" s="208">
        <v>-84559</v>
      </c>
      <c r="S63" s="208">
        <v>978865</v>
      </c>
      <c r="T63" s="208">
        <v>0</v>
      </c>
      <c r="U63" s="208">
        <v>978865</v>
      </c>
      <c r="V63" s="208">
        <v>0</v>
      </c>
      <c r="W63" s="208">
        <v>0</v>
      </c>
      <c r="X63" s="208">
        <v>0</v>
      </c>
      <c r="Y63" s="208">
        <v>-203002</v>
      </c>
      <c r="Z63" s="208">
        <v>0</v>
      </c>
      <c r="AA63" s="208">
        <v>-203002</v>
      </c>
      <c r="AB63" s="208">
        <v>-271037</v>
      </c>
      <c r="AC63" s="208">
        <v>0</v>
      </c>
      <c r="AD63" s="208">
        <v>-271037</v>
      </c>
      <c r="AE63" s="208">
        <v>21027631</v>
      </c>
      <c r="AF63" s="208">
        <v>0</v>
      </c>
      <c r="AG63" s="208">
        <v>21027631</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c r="BL63" s="208">
        <v>751054</v>
      </c>
      <c r="BM63" s="208">
        <v>-205916</v>
      </c>
      <c r="BN63" s="187" t="s">
        <v>204</v>
      </c>
      <c r="BO63" s="187" t="s">
        <v>750</v>
      </c>
      <c r="BP63" s="187" t="s">
        <v>749</v>
      </c>
      <c r="BQ63" s="187" t="s">
        <v>1054</v>
      </c>
    </row>
    <row r="64" spans="2:69" x14ac:dyDescent="0.2">
      <c r="B64" s="429" t="s">
        <v>207</v>
      </c>
      <c r="C64" s="429" t="s">
        <v>206</v>
      </c>
      <c r="D64" s="208">
        <v>25993185</v>
      </c>
      <c r="E64" s="208">
        <v>0</v>
      </c>
      <c r="F64" s="208">
        <v>25993185</v>
      </c>
      <c r="G64" s="208">
        <v>0</v>
      </c>
      <c r="H64" s="208">
        <v>0</v>
      </c>
      <c r="I64" s="208">
        <v>0</v>
      </c>
      <c r="J64" s="208">
        <v>-163247</v>
      </c>
      <c r="K64" s="208">
        <v>0</v>
      </c>
      <c r="L64" s="208">
        <v>-163247</v>
      </c>
      <c r="M64" s="208">
        <v>-34973</v>
      </c>
      <c r="N64" s="208">
        <v>0</v>
      </c>
      <c r="O64" s="208">
        <v>-34973</v>
      </c>
      <c r="P64" s="208">
        <v>-113187</v>
      </c>
      <c r="Q64" s="208">
        <v>0</v>
      </c>
      <c r="R64" s="208">
        <v>-113187</v>
      </c>
      <c r="S64" s="208">
        <v>745657</v>
      </c>
      <c r="T64" s="208">
        <v>0</v>
      </c>
      <c r="U64" s="208">
        <v>745657</v>
      </c>
      <c r="V64" s="208">
        <v>0</v>
      </c>
      <c r="W64" s="208">
        <v>0</v>
      </c>
      <c r="X64" s="208">
        <v>0</v>
      </c>
      <c r="Y64" s="208">
        <v>172094</v>
      </c>
      <c r="Z64" s="208">
        <v>0</v>
      </c>
      <c r="AA64" s="208">
        <v>172094</v>
      </c>
      <c r="AB64" s="208">
        <v>-1661551</v>
      </c>
      <c r="AC64" s="208">
        <v>0</v>
      </c>
      <c r="AD64" s="208">
        <v>-1661551</v>
      </c>
      <c r="AE64" s="208">
        <v>25101225</v>
      </c>
      <c r="AF64" s="208">
        <v>0</v>
      </c>
      <c r="AG64" s="208">
        <v>25101225</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c r="BL64" s="208">
        <v>743731</v>
      </c>
      <c r="BM64" s="208">
        <v>-559855</v>
      </c>
      <c r="BN64" s="187" t="s">
        <v>206</v>
      </c>
      <c r="BO64" s="187" t="s">
        <v>748</v>
      </c>
      <c r="BP64" s="187" t="s">
        <v>747</v>
      </c>
      <c r="BQ64" s="187" t="s">
        <v>1054</v>
      </c>
    </row>
    <row r="65" spans="1:69" x14ac:dyDescent="0.2">
      <c r="B65" s="429" t="s">
        <v>209</v>
      </c>
      <c r="C65" s="429" t="s">
        <v>208</v>
      </c>
      <c r="D65" s="208">
        <v>21112699</v>
      </c>
      <c r="E65" s="208">
        <v>0</v>
      </c>
      <c r="F65" s="208">
        <v>21112699</v>
      </c>
      <c r="G65" s="208">
        <v>0</v>
      </c>
      <c r="H65" s="208">
        <v>0</v>
      </c>
      <c r="I65" s="208">
        <v>0</v>
      </c>
      <c r="J65" s="208">
        <v>-115844</v>
      </c>
      <c r="K65" s="208">
        <v>0</v>
      </c>
      <c r="L65" s="208">
        <v>-115844</v>
      </c>
      <c r="M65" s="208">
        <v>0</v>
      </c>
      <c r="N65" s="208">
        <v>0</v>
      </c>
      <c r="O65" s="208">
        <v>0</v>
      </c>
      <c r="P65" s="208">
        <v>-114331</v>
      </c>
      <c r="Q65" s="208">
        <v>0</v>
      </c>
      <c r="R65" s="208">
        <v>-114331</v>
      </c>
      <c r="S65" s="208">
        <v>184878</v>
      </c>
      <c r="T65" s="208">
        <v>0</v>
      </c>
      <c r="U65" s="208">
        <v>184878</v>
      </c>
      <c r="V65" s="208">
        <v>0</v>
      </c>
      <c r="W65" s="208">
        <v>0</v>
      </c>
      <c r="X65" s="208">
        <v>0</v>
      </c>
      <c r="Y65" s="208">
        <v>0</v>
      </c>
      <c r="Z65" s="208">
        <v>0</v>
      </c>
      <c r="AA65" s="208">
        <v>0</v>
      </c>
      <c r="AB65" s="208">
        <v>-232068</v>
      </c>
      <c r="AC65" s="208">
        <v>0</v>
      </c>
      <c r="AD65" s="208">
        <v>-232068</v>
      </c>
      <c r="AE65" s="208">
        <v>20951178</v>
      </c>
      <c r="AF65" s="208">
        <v>0</v>
      </c>
      <c r="AG65" s="208">
        <v>20951178</v>
      </c>
      <c r="AH65" s="208">
        <v>0</v>
      </c>
      <c r="AI65" s="208">
        <v>0</v>
      </c>
      <c r="AJ65" s="208">
        <v>210243</v>
      </c>
      <c r="AK65" s="208">
        <v>0</v>
      </c>
      <c r="AL65" s="208">
        <v>210243</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c r="BL65" s="208">
        <v>722242</v>
      </c>
      <c r="BM65" s="208">
        <v>-808728</v>
      </c>
      <c r="BN65" s="187" t="s">
        <v>208</v>
      </c>
      <c r="BO65" s="187" t="s">
        <v>765</v>
      </c>
      <c r="BP65" s="187" t="s">
        <v>764</v>
      </c>
      <c r="BQ65" s="187" t="s">
        <v>1054</v>
      </c>
    </row>
    <row r="66" spans="1:69" x14ac:dyDescent="0.2">
      <c r="B66" s="429" t="s">
        <v>211</v>
      </c>
      <c r="C66" s="429" t="s">
        <v>210</v>
      </c>
      <c r="D66" s="208">
        <v>1111956203</v>
      </c>
      <c r="E66" s="208">
        <v>0</v>
      </c>
      <c r="F66" s="208">
        <v>1111956203</v>
      </c>
      <c r="G66" s="208">
        <v>0</v>
      </c>
      <c r="H66" s="208">
        <v>0</v>
      </c>
      <c r="I66" s="208">
        <v>0</v>
      </c>
      <c r="J66" s="208">
        <v>-3416797</v>
      </c>
      <c r="K66" s="208">
        <v>0</v>
      </c>
      <c r="L66" s="208">
        <v>-3416797</v>
      </c>
      <c r="M66" s="208">
        <v>0</v>
      </c>
      <c r="N66" s="208">
        <v>0</v>
      </c>
      <c r="O66" s="208">
        <v>0</v>
      </c>
      <c r="P66" s="208">
        <v>-2942115</v>
      </c>
      <c r="Q66" s="208">
        <v>0</v>
      </c>
      <c r="R66" s="208">
        <v>-2942115</v>
      </c>
      <c r="S66" s="208">
        <v>37478635</v>
      </c>
      <c r="T66" s="208">
        <v>0</v>
      </c>
      <c r="U66" s="208">
        <v>37478635</v>
      </c>
      <c r="V66" s="208">
        <v>38598644</v>
      </c>
      <c r="W66" s="208">
        <v>0</v>
      </c>
      <c r="X66" s="208">
        <v>38598644</v>
      </c>
      <c r="Y66" s="208">
        <v>11998473</v>
      </c>
      <c r="Z66" s="208">
        <v>0</v>
      </c>
      <c r="AA66" s="208">
        <v>11998473</v>
      </c>
      <c r="AB66" s="208">
        <v>-11998473</v>
      </c>
      <c r="AC66" s="208">
        <v>0</v>
      </c>
      <c r="AD66" s="208">
        <v>-11998473</v>
      </c>
      <c r="AE66" s="208">
        <v>1185091367</v>
      </c>
      <c r="AF66" s="208">
        <v>0</v>
      </c>
      <c r="AG66" s="208">
        <v>1185091367</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c r="BL66" s="208">
        <v>25005535</v>
      </c>
      <c r="BM66" s="208">
        <v>-111513321</v>
      </c>
      <c r="BN66" s="187" t="s">
        <v>210</v>
      </c>
      <c r="BO66" s="187" t="s">
        <v>854</v>
      </c>
      <c r="BP66" s="187" t="s">
        <v>743</v>
      </c>
      <c r="BQ66" s="187" t="s">
        <v>1057</v>
      </c>
    </row>
    <row r="67" spans="1:69" x14ac:dyDescent="0.2">
      <c r="B67" s="429" t="s">
        <v>213</v>
      </c>
      <c r="C67" s="429" t="s">
        <v>212</v>
      </c>
      <c r="D67" s="208">
        <v>65042028</v>
      </c>
      <c r="E67" s="208">
        <v>0</v>
      </c>
      <c r="F67" s="208">
        <v>65042028</v>
      </c>
      <c r="G67" s="208">
        <v>-19269</v>
      </c>
      <c r="H67" s="208">
        <v>0</v>
      </c>
      <c r="I67" s="208">
        <v>-19269</v>
      </c>
      <c r="J67" s="208">
        <v>-358990</v>
      </c>
      <c r="K67" s="208">
        <v>0</v>
      </c>
      <c r="L67" s="208">
        <v>-358990</v>
      </c>
      <c r="M67" s="208">
        <v>0</v>
      </c>
      <c r="N67" s="208">
        <v>0</v>
      </c>
      <c r="O67" s="208">
        <v>0</v>
      </c>
      <c r="P67" s="208">
        <v>-355408</v>
      </c>
      <c r="Q67" s="208">
        <v>0</v>
      </c>
      <c r="R67" s="208">
        <v>-355408</v>
      </c>
      <c r="S67" s="208">
        <v>612286</v>
      </c>
      <c r="T67" s="208">
        <v>0</v>
      </c>
      <c r="U67" s="208">
        <v>612286</v>
      </c>
      <c r="V67" s="208">
        <v>218450</v>
      </c>
      <c r="W67" s="208">
        <v>0</v>
      </c>
      <c r="X67" s="208">
        <v>218450</v>
      </c>
      <c r="Y67" s="208">
        <v>-1825892</v>
      </c>
      <c r="Z67" s="208">
        <v>0</v>
      </c>
      <c r="AA67" s="208">
        <v>-1825892</v>
      </c>
      <c r="AB67" s="208">
        <v>-3683612</v>
      </c>
      <c r="AC67" s="208">
        <v>0</v>
      </c>
      <c r="AD67" s="208">
        <v>-3683612</v>
      </c>
      <c r="AE67" s="208">
        <v>59988583</v>
      </c>
      <c r="AF67" s="208">
        <v>0</v>
      </c>
      <c r="AG67" s="208">
        <v>59988583</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c r="BL67" s="208">
        <v>1927131</v>
      </c>
      <c r="BM67" s="208">
        <v>-1118424</v>
      </c>
      <c r="BN67" s="187" t="s">
        <v>212</v>
      </c>
      <c r="BO67" s="187" t="s">
        <v>784</v>
      </c>
      <c r="BP67" s="187" t="s">
        <v>783</v>
      </c>
      <c r="BQ67" s="187" t="s">
        <v>1054</v>
      </c>
    </row>
    <row r="68" spans="1:69" x14ac:dyDescent="0.2">
      <c r="A68" s="187" t="s">
        <v>1811</v>
      </c>
      <c r="B68" s="429" t="s">
        <v>215</v>
      </c>
      <c r="C68" s="429" t="s">
        <v>214</v>
      </c>
      <c r="D68" s="208">
        <v>42177268</v>
      </c>
      <c r="E68" s="208">
        <v>0</v>
      </c>
      <c r="F68" s="208">
        <v>42177268</v>
      </c>
      <c r="G68" s="208">
        <v>0</v>
      </c>
      <c r="H68" s="208">
        <v>0</v>
      </c>
      <c r="I68" s="208">
        <v>0</v>
      </c>
      <c r="J68" s="208">
        <v>-47227</v>
      </c>
      <c r="K68" s="208">
        <v>0</v>
      </c>
      <c r="L68" s="208">
        <v>-47227</v>
      </c>
      <c r="M68" s="208">
        <v>0</v>
      </c>
      <c r="N68" s="208">
        <v>0</v>
      </c>
      <c r="O68" s="208">
        <v>0</v>
      </c>
      <c r="P68" s="208">
        <v>-33027</v>
      </c>
      <c r="Q68" s="208">
        <v>0</v>
      </c>
      <c r="R68" s="208">
        <v>-33027</v>
      </c>
      <c r="S68" s="208">
        <v>373828</v>
      </c>
      <c r="T68" s="208">
        <v>0</v>
      </c>
      <c r="U68" s="208">
        <v>373828</v>
      </c>
      <c r="V68" s="208">
        <v>90832</v>
      </c>
      <c r="W68" s="208">
        <v>0</v>
      </c>
      <c r="X68" s="208">
        <v>90832</v>
      </c>
      <c r="Y68" s="208">
        <v>230618</v>
      </c>
      <c r="Z68" s="208">
        <v>0</v>
      </c>
      <c r="AA68" s="208">
        <v>230618</v>
      </c>
      <c r="AB68" s="208">
        <v>1491848</v>
      </c>
      <c r="AC68" s="208">
        <v>0</v>
      </c>
      <c r="AD68" s="208">
        <v>1491848</v>
      </c>
      <c r="AE68" s="208">
        <v>44331367</v>
      </c>
      <c r="AF68" s="208">
        <v>0</v>
      </c>
      <c r="AG68" s="208">
        <v>44331367</v>
      </c>
      <c r="AH68" s="208">
        <v>0</v>
      </c>
      <c r="AI68" s="208">
        <v>0</v>
      </c>
      <c r="AJ68" s="208">
        <v>35220</v>
      </c>
      <c r="AK68" s="208">
        <v>0</v>
      </c>
      <c r="AL68" s="208">
        <v>35220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c r="BL68" s="208">
        <v>621119</v>
      </c>
      <c r="BM68" s="208">
        <v>-655620</v>
      </c>
      <c r="BN68" s="187" t="s">
        <v>214</v>
      </c>
      <c r="BO68" s="187" t="s">
        <v>803</v>
      </c>
      <c r="BP68" s="187" t="s">
        <v>751</v>
      </c>
      <c r="BQ68" s="187" t="s">
        <v>1054</v>
      </c>
    </row>
    <row r="69" spans="1:69" x14ac:dyDescent="0.2">
      <c r="A69" s="188" t="s">
        <v>1817</v>
      </c>
      <c r="B69" s="429" t="s">
        <v>217</v>
      </c>
      <c r="C69" s="429" t="s">
        <v>216</v>
      </c>
      <c r="D69" s="208">
        <v>36230741</v>
      </c>
      <c r="E69" s="208">
        <v>0</v>
      </c>
      <c r="F69" s="208">
        <v>36230741</v>
      </c>
      <c r="G69" s="208">
        <v>0</v>
      </c>
      <c r="H69" s="208">
        <v>0</v>
      </c>
      <c r="I69" s="208">
        <v>0</v>
      </c>
      <c r="J69" s="208">
        <v>-11750</v>
      </c>
      <c r="K69" s="208">
        <v>0</v>
      </c>
      <c r="L69" s="208">
        <v>-11750</v>
      </c>
      <c r="M69" s="208">
        <v>0</v>
      </c>
      <c r="N69" s="208">
        <v>0</v>
      </c>
      <c r="O69" s="208">
        <v>0</v>
      </c>
      <c r="P69" s="208">
        <v>198678</v>
      </c>
      <c r="Q69" s="208">
        <v>0</v>
      </c>
      <c r="R69" s="208">
        <v>198678</v>
      </c>
      <c r="S69" s="208">
        <v>1205535</v>
      </c>
      <c r="T69" s="208">
        <v>0</v>
      </c>
      <c r="U69" s="208">
        <v>1205535</v>
      </c>
      <c r="V69" s="208">
        <v>0</v>
      </c>
      <c r="W69" s="208">
        <v>0</v>
      </c>
      <c r="X69" s="208">
        <v>0</v>
      </c>
      <c r="Y69" s="208">
        <v>-81378</v>
      </c>
      <c r="Z69" s="208">
        <v>0</v>
      </c>
      <c r="AA69" s="208">
        <v>-81378</v>
      </c>
      <c r="AB69" s="208">
        <v>0</v>
      </c>
      <c r="AC69" s="208">
        <v>0</v>
      </c>
      <c r="AD69" s="208">
        <v>0</v>
      </c>
      <c r="AE69" s="208">
        <v>37553576</v>
      </c>
      <c r="AF69" s="208">
        <v>0</v>
      </c>
      <c r="AG69" s="208">
        <v>37553576</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c r="BL69" s="208">
        <v>2688954</v>
      </c>
      <c r="BM69" s="208">
        <v>-630801</v>
      </c>
      <c r="BN69" s="187" t="s">
        <v>216</v>
      </c>
      <c r="BO69" s="187" t="s">
        <v>775</v>
      </c>
      <c r="BP69" s="187" t="s">
        <v>751</v>
      </c>
      <c r="BQ69" s="187" t="s">
        <v>1054</v>
      </c>
    </row>
    <row r="70" spans="1:69" x14ac:dyDescent="0.2">
      <c r="B70" s="429" t="s">
        <v>219</v>
      </c>
      <c r="C70" s="429" t="s">
        <v>218</v>
      </c>
      <c r="D70" s="208">
        <v>161728245</v>
      </c>
      <c r="E70" s="208">
        <v>758597</v>
      </c>
      <c r="F70" s="208">
        <v>162486842</v>
      </c>
      <c r="G70" s="208">
        <v>-555</v>
      </c>
      <c r="H70" s="208">
        <v>0</v>
      </c>
      <c r="I70" s="208">
        <v>-555</v>
      </c>
      <c r="J70" s="208">
        <v>-1110031</v>
      </c>
      <c r="K70" s="208">
        <v>0</v>
      </c>
      <c r="L70" s="208">
        <v>-1110031</v>
      </c>
      <c r="M70" s="208">
        <v>0</v>
      </c>
      <c r="N70" s="208">
        <v>0</v>
      </c>
      <c r="O70" s="208">
        <v>0</v>
      </c>
      <c r="P70" s="208">
        <v>-1367430</v>
      </c>
      <c r="Q70" s="208">
        <v>0</v>
      </c>
      <c r="R70" s="208">
        <v>-1367430</v>
      </c>
      <c r="S70" s="208">
        <v>0</v>
      </c>
      <c r="T70" s="208">
        <v>0</v>
      </c>
      <c r="U70" s="208">
        <v>0</v>
      </c>
      <c r="V70" s="208">
        <v>0</v>
      </c>
      <c r="W70" s="208">
        <v>0</v>
      </c>
      <c r="X70" s="208">
        <v>0</v>
      </c>
      <c r="Y70" s="208">
        <v>-321000</v>
      </c>
      <c r="Z70" s="208">
        <v>0</v>
      </c>
      <c r="AA70" s="208">
        <v>-321000</v>
      </c>
      <c r="AB70" s="208">
        <v>-2969000</v>
      </c>
      <c r="AC70" s="208">
        <v>0</v>
      </c>
      <c r="AD70" s="208">
        <v>-2969000</v>
      </c>
      <c r="AE70" s="208">
        <v>157070260</v>
      </c>
      <c r="AF70" s="208">
        <v>758597</v>
      </c>
      <c r="AG70" s="208">
        <v>157828857</v>
      </c>
      <c r="AH70" s="208">
        <v>758597</v>
      </c>
      <c r="AI70" s="208">
        <v>758597</v>
      </c>
      <c r="AJ70" s="208">
        <v>1570086</v>
      </c>
      <c r="AK70" s="208">
        <v>0</v>
      </c>
      <c r="AL70" s="208">
        <v>1570086</v>
      </c>
      <c r="AM70" s="208">
        <v>0</v>
      </c>
      <c r="AN70" s="208">
        <v>0</v>
      </c>
      <c r="AO70" s="208">
        <v>0</v>
      </c>
      <c r="AP70" s="208">
        <v>-769</v>
      </c>
      <c r="AQ70" s="208">
        <v>-769</v>
      </c>
      <c r="AR70" s="208">
        <v>680987</v>
      </c>
      <c r="AS70" s="208">
        <v>680987</v>
      </c>
      <c r="AT70" s="208">
        <v>134760</v>
      </c>
      <c r="AU70" s="208">
        <v>0</v>
      </c>
      <c r="AV70" s="208">
        <v>326037</v>
      </c>
      <c r="AW70" s="208">
        <v>326037</v>
      </c>
      <c r="AX70" s="208">
        <v>0</v>
      </c>
      <c r="AY70" s="208">
        <v>0</v>
      </c>
      <c r="AZ70" s="208">
        <v>0</v>
      </c>
      <c r="BA70" s="208">
        <v>0</v>
      </c>
      <c r="BB70" s="208">
        <v>0</v>
      </c>
      <c r="BC70" s="208">
        <v>0</v>
      </c>
      <c r="BD70" s="208">
        <v>0</v>
      </c>
      <c r="BE70" s="208">
        <v>0</v>
      </c>
      <c r="BF70" s="208">
        <v>0</v>
      </c>
      <c r="BG70" s="208">
        <v>0</v>
      </c>
      <c r="BH70" s="208">
        <v>0</v>
      </c>
      <c r="BI70" s="208">
        <v>0</v>
      </c>
      <c r="BJ70" s="208">
        <v>0</v>
      </c>
      <c r="BK70" s="208">
        <v>0</v>
      </c>
      <c r="BL70" s="208">
        <v>7157189</v>
      </c>
      <c r="BM70" s="208">
        <v>-3274597</v>
      </c>
      <c r="BN70" s="187" t="s">
        <v>218</v>
      </c>
      <c r="BO70" s="187" t="s">
        <v>742</v>
      </c>
      <c r="BP70" s="187" t="s">
        <v>751</v>
      </c>
      <c r="BQ70" s="187" t="s">
        <v>742</v>
      </c>
    </row>
    <row r="71" spans="1:69" x14ac:dyDescent="0.2">
      <c r="B71" s="429" t="s">
        <v>221</v>
      </c>
      <c r="C71" s="429" t="s">
        <v>220</v>
      </c>
      <c r="D71" s="208">
        <v>33084262</v>
      </c>
      <c r="E71" s="208">
        <v>0</v>
      </c>
      <c r="F71" s="208">
        <v>33084262</v>
      </c>
      <c r="G71" s="208">
        <v>0</v>
      </c>
      <c r="H71" s="208">
        <v>0</v>
      </c>
      <c r="I71" s="208">
        <v>0</v>
      </c>
      <c r="J71" s="208">
        <v>-53486</v>
      </c>
      <c r="K71" s="208">
        <v>0</v>
      </c>
      <c r="L71" s="208">
        <v>-53486</v>
      </c>
      <c r="M71" s="208">
        <v>0</v>
      </c>
      <c r="N71" s="208">
        <v>0</v>
      </c>
      <c r="O71" s="208">
        <v>0</v>
      </c>
      <c r="P71" s="208">
        <v>-3788</v>
      </c>
      <c r="Q71" s="208">
        <v>0</v>
      </c>
      <c r="R71" s="208">
        <v>-3788</v>
      </c>
      <c r="S71" s="208">
        <v>107939</v>
      </c>
      <c r="T71" s="208">
        <v>0</v>
      </c>
      <c r="U71" s="208">
        <v>107939</v>
      </c>
      <c r="V71" s="208">
        <v>0</v>
      </c>
      <c r="W71" s="208">
        <v>0</v>
      </c>
      <c r="X71" s="208">
        <v>0</v>
      </c>
      <c r="Y71" s="208">
        <v>-105913</v>
      </c>
      <c r="Z71" s="208">
        <v>0</v>
      </c>
      <c r="AA71" s="208">
        <v>-105913</v>
      </c>
      <c r="AB71" s="208">
        <v>-1521876</v>
      </c>
      <c r="AC71" s="208">
        <v>0</v>
      </c>
      <c r="AD71" s="208">
        <v>-1521876</v>
      </c>
      <c r="AE71" s="208">
        <v>31560624</v>
      </c>
      <c r="AF71" s="208">
        <v>0</v>
      </c>
      <c r="AG71" s="208">
        <v>31560624</v>
      </c>
      <c r="AH71" s="208">
        <v>0</v>
      </c>
      <c r="AI71" s="208">
        <v>0</v>
      </c>
      <c r="AJ71" s="208">
        <v>83627</v>
      </c>
      <c r="AK71" s="208">
        <v>0</v>
      </c>
      <c r="AL71" s="208">
        <v>83627</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c r="BL71" s="208">
        <v>1190832</v>
      </c>
      <c r="BM71" s="208">
        <v>-330073</v>
      </c>
      <c r="BN71" s="187" t="s">
        <v>220</v>
      </c>
      <c r="BO71" s="187" t="s">
        <v>790</v>
      </c>
      <c r="BP71" s="187" t="s">
        <v>751</v>
      </c>
      <c r="BQ71" s="187" t="s">
        <v>1054</v>
      </c>
    </row>
    <row r="72" spans="1:69" x14ac:dyDescent="0.2">
      <c r="B72" s="429" t="s">
        <v>223</v>
      </c>
      <c r="C72" s="429" t="s">
        <v>222</v>
      </c>
      <c r="D72" s="208">
        <v>120608225</v>
      </c>
      <c r="E72" s="208">
        <v>0</v>
      </c>
      <c r="F72" s="208">
        <v>120608225</v>
      </c>
      <c r="G72" s="208">
        <v>0</v>
      </c>
      <c r="H72" s="208">
        <v>0</v>
      </c>
      <c r="I72" s="208">
        <v>0</v>
      </c>
      <c r="J72" s="208">
        <v>-706949</v>
      </c>
      <c r="K72" s="208">
        <v>0</v>
      </c>
      <c r="L72" s="208">
        <v>-706949</v>
      </c>
      <c r="M72" s="208">
        <v>0</v>
      </c>
      <c r="N72" s="208">
        <v>0</v>
      </c>
      <c r="O72" s="208">
        <v>0</v>
      </c>
      <c r="P72" s="208">
        <v>-1057959</v>
      </c>
      <c r="Q72" s="208">
        <v>0</v>
      </c>
      <c r="R72" s="208">
        <v>-1057959</v>
      </c>
      <c r="S72" s="208">
        <v>3568843</v>
      </c>
      <c r="T72" s="208">
        <v>0</v>
      </c>
      <c r="U72" s="208">
        <v>3568843</v>
      </c>
      <c r="V72" s="208">
        <v>268189</v>
      </c>
      <c r="W72" s="208">
        <v>0</v>
      </c>
      <c r="X72" s="208">
        <v>268189</v>
      </c>
      <c r="Y72" s="208">
        <v>-1092580</v>
      </c>
      <c r="Z72" s="208">
        <v>0</v>
      </c>
      <c r="AA72" s="208">
        <v>-1092580</v>
      </c>
      <c r="AB72" s="208">
        <v>-2956975</v>
      </c>
      <c r="AC72" s="208">
        <v>0</v>
      </c>
      <c r="AD72" s="208">
        <v>-2956975</v>
      </c>
      <c r="AE72" s="208">
        <v>119337743</v>
      </c>
      <c r="AF72" s="208">
        <v>0</v>
      </c>
      <c r="AG72" s="208">
        <v>119337743</v>
      </c>
      <c r="AH72" s="208">
        <v>0</v>
      </c>
      <c r="AI72" s="208">
        <v>0</v>
      </c>
      <c r="AJ72" s="208">
        <v>0</v>
      </c>
      <c r="AK72" s="208">
        <v>0</v>
      </c>
      <c r="AL72" s="208">
        <v>0</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0</v>
      </c>
      <c r="BE72" s="208">
        <v>0</v>
      </c>
      <c r="BF72" s="208">
        <v>0</v>
      </c>
      <c r="BG72" s="208">
        <v>0</v>
      </c>
      <c r="BH72" s="208">
        <v>0</v>
      </c>
      <c r="BI72" s="208">
        <v>0</v>
      </c>
      <c r="BJ72" s="208">
        <v>0</v>
      </c>
      <c r="BK72" s="208">
        <v>0</v>
      </c>
      <c r="BL72" s="208">
        <v>4518036</v>
      </c>
      <c r="BM72" s="208">
        <v>-2188456</v>
      </c>
      <c r="BN72" s="187" t="s">
        <v>222</v>
      </c>
      <c r="BO72" s="187" t="s">
        <v>754</v>
      </c>
      <c r="BP72" s="187" t="s">
        <v>753</v>
      </c>
      <c r="BQ72" s="187" t="s">
        <v>1056</v>
      </c>
    </row>
    <row r="73" spans="1:69" x14ac:dyDescent="0.2">
      <c r="B73" s="429" t="s">
        <v>225</v>
      </c>
      <c r="C73" s="429" t="s">
        <v>224</v>
      </c>
      <c r="D73" s="208">
        <v>18096354</v>
      </c>
      <c r="E73" s="208">
        <v>0</v>
      </c>
      <c r="F73" s="208">
        <v>18096354</v>
      </c>
      <c r="G73" s="208">
        <v>0</v>
      </c>
      <c r="H73" s="208">
        <v>0</v>
      </c>
      <c r="I73" s="208">
        <v>0</v>
      </c>
      <c r="J73" s="208">
        <v>-57636</v>
      </c>
      <c r="K73" s="208">
        <v>0</v>
      </c>
      <c r="L73" s="208">
        <v>-57636</v>
      </c>
      <c r="M73" s="208">
        <v>0</v>
      </c>
      <c r="N73" s="208">
        <v>0</v>
      </c>
      <c r="O73" s="208">
        <v>0</v>
      </c>
      <c r="P73" s="208">
        <v>-60086</v>
      </c>
      <c r="Q73" s="208">
        <v>0</v>
      </c>
      <c r="R73" s="208">
        <v>-60086</v>
      </c>
      <c r="S73" s="208">
        <v>108150</v>
      </c>
      <c r="T73" s="208">
        <v>0</v>
      </c>
      <c r="U73" s="208">
        <v>108150</v>
      </c>
      <c r="V73" s="208">
        <v>168425</v>
      </c>
      <c r="W73" s="208">
        <v>0</v>
      </c>
      <c r="X73" s="208">
        <v>168425</v>
      </c>
      <c r="Y73" s="208">
        <v>0</v>
      </c>
      <c r="Z73" s="208">
        <v>0</v>
      </c>
      <c r="AA73" s="208">
        <v>0</v>
      </c>
      <c r="AB73" s="208">
        <v>0</v>
      </c>
      <c r="AC73" s="208">
        <v>0</v>
      </c>
      <c r="AD73" s="208">
        <v>0</v>
      </c>
      <c r="AE73" s="208">
        <v>18312843</v>
      </c>
      <c r="AF73" s="208">
        <v>0</v>
      </c>
      <c r="AG73" s="208">
        <v>18312843</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0</v>
      </c>
      <c r="BH73" s="208">
        <v>0</v>
      </c>
      <c r="BI73" s="208">
        <v>0</v>
      </c>
      <c r="BJ73" s="208">
        <v>0</v>
      </c>
      <c r="BK73" s="208">
        <v>0</v>
      </c>
      <c r="BL73" s="208">
        <v>425079</v>
      </c>
      <c r="BM73" s="208">
        <v>-124507</v>
      </c>
      <c r="BN73" s="187" t="s">
        <v>224</v>
      </c>
      <c r="BO73" s="187" t="s">
        <v>812</v>
      </c>
      <c r="BP73" s="187" t="s">
        <v>741</v>
      </c>
      <c r="BQ73" s="187" t="s">
        <v>1054</v>
      </c>
    </row>
    <row r="74" spans="1:69" x14ac:dyDescent="0.2">
      <c r="B74" s="429" t="s">
        <v>227</v>
      </c>
      <c r="C74" s="429" t="s">
        <v>226</v>
      </c>
      <c r="D74" s="208">
        <v>126575248</v>
      </c>
      <c r="E74" s="208">
        <v>0</v>
      </c>
      <c r="F74" s="208">
        <v>126575248</v>
      </c>
      <c r="G74" s="208">
        <v>-334</v>
      </c>
      <c r="H74" s="208">
        <v>0</v>
      </c>
      <c r="I74" s="208">
        <v>-334</v>
      </c>
      <c r="J74" s="208">
        <v>-822210</v>
      </c>
      <c r="K74" s="208">
        <v>0</v>
      </c>
      <c r="L74" s="208">
        <v>-822210</v>
      </c>
      <c r="M74" s="208">
        <v>0</v>
      </c>
      <c r="N74" s="208">
        <v>0</v>
      </c>
      <c r="O74" s="208">
        <v>0</v>
      </c>
      <c r="P74" s="208">
        <v>-830262</v>
      </c>
      <c r="Q74" s="208">
        <v>0</v>
      </c>
      <c r="R74" s="208">
        <v>-830262</v>
      </c>
      <c r="S74" s="208">
        <v>374891</v>
      </c>
      <c r="T74" s="208">
        <v>0</v>
      </c>
      <c r="U74" s="208">
        <v>374891</v>
      </c>
      <c r="V74" s="208">
        <v>49719</v>
      </c>
      <c r="W74" s="208">
        <v>0</v>
      </c>
      <c r="X74" s="208">
        <v>49719</v>
      </c>
      <c r="Y74" s="208">
        <v>635659</v>
      </c>
      <c r="Z74" s="208">
        <v>0</v>
      </c>
      <c r="AA74" s="208">
        <v>635659</v>
      </c>
      <c r="AB74" s="208">
        <v>-4646345</v>
      </c>
      <c r="AC74" s="208">
        <v>0</v>
      </c>
      <c r="AD74" s="208">
        <v>-4646345</v>
      </c>
      <c r="AE74" s="208">
        <v>122158576</v>
      </c>
      <c r="AF74" s="208">
        <v>0</v>
      </c>
      <c r="AG74" s="208">
        <v>122158576</v>
      </c>
      <c r="AH74" s="208">
        <v>0</v>
      </c>
      <c r="AI74" s="208">
        <v>0</v>
      </c>
      <c r="AJ74" s="208">
        <v>4800</v>
      </c>
      <c r="AK74" s="208">
        <v>0</v>
      </c>
      <c r="AL74" s="208">
        <v>4800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H74" s="208">
        <v>0</v>
      </c>
      <c r="BI74" s="208">
        <v>0</v>
      </c>
      <c r="BJ74" s="208">
        <v>0</v>
      </c>
      <c r="BK74" s="208">
        <v>0</v>
      </c>
      <c r="BL74" s="208">
        <v>1879264</v>
      </c>
      <c r="BM74" s="208">
        <v>-2164761</v>
      </c>
      <c r="BN74" s="187" t="s">
        <v>226</v>
      </c>
      <c r="BO74" s="187" t="s">
        <v>752</v>
      </c>
      <c r="BP74" s="187" t="s">
        <v>751</v>
      </c>
      <c r="BQ74" s="187" t="s">
        <v>1054</v>
      </c>
    </row>
    <row r="75" spans="1:69" x14ac:dyDescent="0.2">
      <c r="B75" s="429" t="s">
        <v>229</v>
      </c>
      <c r="C75" s="429" t="s">
        <v>228</v>
      </c>
      <c r="D75" s="208">
        <v>98954582</v>
      </c>
      <c r="E75" s="208">
        <v>21922788</v>
      </c>
      <c r="F75" s="208">
        <v>120877370</v>
      </c>
      <c r="G75" s="208">
        <v>0</v>
      </c>
      <c r="H75" s="208">
        <v>0</v>
      </c>
      <c r="I75" s="208">
        <v>0</v>
      </c>
      <c r="J75" s="208">
        <v>-1990949</v>
      </c>
      <c r="K75" s="208">
        <v>-415072</v>
      </c>
      <c r="L75" s="208">
        <v>-2406021</v>
      </c>
      <c r="M75" s="208">
        <v>0</v>
      </c>
      <c r="N75" s="208">
        <v>0</v>
      </c>
      <c r="O75" s="208">
        <v>0</v>
      </c>
      <c r="P75" s="208">
        <v>175938</v>
      </c>
      <c r="Q75" s="208">
        <v>36680</v>
      </c>
      <c r="R75" s="208">
        <v>212618</v>
      </c>
      <c r="S75" s="208">
        <v>2730850</v>
      </c>
      <c r="T75" s="208">
        <v>1522271</v>
      </c>
      <c r="U75" s="208">
        <v>4253121</v>
      </c>
      <c r="V75" s="208">
        <v>0</v>
      </c>
      <c r="W75" s="208">
        <v>0</v>
      </c>
      <c r="X75" s="208">
        <v>0</v>
      </c>
      <c r="Y75" s="208">
        <v>-1521573</v>
      </c>
      <c r="Z75" s="208">
        <v>-908078</v>
      </c>
      <c r="AA75" s="208">
        <v>-2429651</v>
      </c>
      <c r="AB75" s="208">
        <v>2652245</v>
      </c>
      <c r="AC75" s="208">
        <v>572939</v>
      </c>
      <c r="AD75" s="208">
        <v>3225184</v>
      </c>
      <c r="AE75" s="208">
        <v>102992042</v>
      </c>
      <c r="AF75" s="208">
        <v>23146600</v>
      </c>
      <c r="AG75" s="208">
        <v>126138642</v>
      </c>
      <c r="AH75" s="208">
        <v>23146600</v>
      </c>
      <c r="AI75" s="208">
        <v>23146600</v>
      </c>
      <c r="AJ75" s="208">
        <v>0</v>
      </c>
      <c r="AK75" s="208">
        <v>0</v>
      </c>
      <c r="AL75" s="208">
        <v>0</v>
      </c>
      <c r="AM75" s="208">
        <v>0</v>
      </c>
      <c r="AN75" s="208">
        <v>0</v>
      </c>
      <c r="AO75" s="208">
        <v>0</v>
      </c>
      <c r="AP75" s="208">
        <v>-682531</v>
      </c>
      <c r="AQ75" s="208">
        <v>-682531</v>
      </c>
      <c r="AR75" s="208">
        <v>19952122</v>
      </c>
      <c r="AS75" s="208">
        <v>19952122</v>
      </c>
      <c r="AT75" s="208">
        <v>2511947</v>
      </c>
      <c r="AU75" s="208">
        <v>0</v>
      </c>
      <c r="AV75" s="208">
        <v>0</v>
      </c>
      <c r="AW75" s="208">
        <v>0</v>
      </c>
      <c r="AX75" s="208">
        <v>0</v>
      </c>
      <c r="AY75" s="208">
        <v>0</v>
      </c>
      <c r="AZ75" s="208">
        <v>0</v>
      </c>
      <c r="BA75" s="208">
        <v>0</v>
      </c>
      <c r="BB75" s="208">
        <v>0</v>
      </c>
      <c r="BC75" s="208">
        <v>0</v>
      </c>
      <c r="BD75" s="208">
        <v>0</v>
      </c>
      <c r="BE75" s="208">
        <v>0</v>
      </c>
      <c r="BF75" s="208">
        <v>0</v>
      </c>
      <c r="BG75" s="208">
        <v>0</v>
      </c>
      <c r="BH75" s="208">
        <v>0</v>
      </c>
      <c r="BI75" s="208">
        <v>0</v>
      </c>
      <c r="BJ75" s="208">
        <v>0</v>
      </c>
      <c r="BK75" s="208">
        <v>0</v>
      </c>
      <c r="BL75" s="208">
        <v>8135438</v>
      </c>
      <c r="BM75" s="208">
        <v>-5667814</v>
      </c>
      <c r="BN75" s="187" t="s">
        <v>228</v>
      </c>
      <c r="BO75" s="187" t="s">
        <v>767</v>
      </c>
      <c r="BP75" s="187" t="s">
        <v>743</v>
      </c>
      <c r="BQ75" s="187" t="s">
        <v>1055</v>
      </c>
    </row>
    <row r="76" spans="1:69" x14ac:dyDescent="0.2">
      <c r="B76" s="429" t="s">
        <v>231</v>
      </c>
      <c r="C76" s="429" t="s">
        <v>230</v>
      </c>
      <c r="D76" s="208">
        <v>65592600</v>
      </c>
      <c r="E76" s="208">
        <v>244915</v>
      </c>
      <c r="F76" s="208">
        <v>65837515</v>
      </c>
      <c r="G76" s="208">
        <v>0</v>
      </c>
      <c r="H76" s="208">
        <v>0</v>
      </c>
      <c r="I76" s="208">
        <v>0</v>
      </c>
      <c r="J76" s="208">
        <v>-163718</v>
      </c>
      <c r="K76" s="208">
        <v>0</v>
      </c>
      <c r="L76" s="208">
        <v>-163718</v>
      </c>
      <c r="M76" s="208">
        <v>0</v>
      </c>
      <c r="N76" s="208">
        <v>0</v>
      </c>
      <c r="O76" s="208">
        <v>0</v>
      </c>
      <c r="P76" s="208">
        <v>-1242637</v>
      </c>
      <c r="Q76" s="208">
        <v>0</v>
      </c>
      <c r="R76" s="208">
        <v>-1242637</v>
      </c>
      <c r="S76" s="208">
        <v>1919402</v>
      </c>
      <c r="T76" s="208">
        <v>0</v>
      </c>
      <c r="U76" s="208">
        <v>1919402</v>
      </c>
      <c r="V76" s="208">
        <v>0</v>
      </c>
      <c r="W76" s="208">
        <v>0</v>
      </c>
      <c r="X76" s="208">
        <v>0</v>
      </c>
      <c r="Y76" s="208">
        <v>287267</v>
      </c>
      <c r="Z76" s="208">
        <v>0</v>
      </c>
      <c r="AA76" s="208">
        <v>287267</v>
      </c>
      <c r="AB76" s="208">
        <v>-3094363</v>
      </c>
      <c r="AC76" s="208">
        <v>0</v>
      </c>
      <c r="AD76" s="208">
        <v>-3094363</v>
      </c>
      <c r="AE76" s="208">
        <v>63462269</v>
      </c>
      <c r="AF76" s="208">
        <v>244915</v>
      </c>
      <c r="AG76" s="208">
        <v>63707184</v>
      </c>
      <c r="AH76" s="208">
        <v>244915</v>
      </c>
      <c r="AI76" s="208">
        <v>244915</v>
      </c>
      <c r="AJ76" s="208">
        <v>42783</v>
      </c>
      <c r="AK76" s="208">
        <v>0</v>
      </c>
      <c r="AL76" s="208">
        <v>42783</v>
      </c>
      <c r="AM76" s="208">
        <v>0</v>
      </c>
      <c r="AN76" s="208">
        <v>0</v>
      </c>
      <c r="AO76" s="208">
        <v>0</v>
      </c>
      <c r="AP76" s="208">
        <v>594</v>
      </c>
      <c r="AQ76" s="208">
        <v>594</v>
      </c>
      <c r="AR76" s="208">
        <v>63124</v>
      </c>
      <c r="AS76" s="208">
        <v>63124</v>
      </c>
      <c r="AT76" s="208">
        <v>214115</v>
      </c>
      <c r="AU76" s="208">
        <v>0</v>
      </c>
      <c r="AV76" s="208">
        <v>0</v>
      </c>
      <c r="AW76" s="208">
        <v>0</v>
      </c>
      <c r="AX76" s="208">
        <v>0</v>
      </c>
      <c r="AY76" s="208">
        <v>18945</v>
      </c>
      <c r="AZ76" s="208">
        <v>18945</v>
      </c>
      <c r="BA76" s="208">
        <v>0</v>
      </c>
      <c r="BB76" s="208">
        <v>0</v>
      </c>
      <c r="BC76" s="208">
        <v>0</v>
      </c>
      <c r="BD76" s="208">
        <v>0</v>
      </c>
      <c r="BE76" s="208">
        <v>0</v>
      </c>
      <c r="BF76" s="208">
        <v>0</v>
      </c>
      <c r="BG76" s="208">
        <v>0</v>
      </c>
      <c r="BH76" s="208">
        <v>0</v>
      </c>
      <c r="BI76" s="208">
        <v>0</v>
      </c>
      <c r="BJ76" s="208">
        <v>18945</v>
      </c>
      <c r="BK76" s="208">
        <v>18945</v>
      </c>
      <c r="BL76" s="208">
        <v>2369777</v>
      </c>
      <c r="BM76" s="208">
        <v>-955343</v>
      </c>
      <c r="BN76" s="187" t="s">
        <v>230</v>
      </c>
      <c r="BO76" s="187" t="s">
        <v>774</v>
      </c>
      <c r="BP76" s="187" t="s">
        <v>751</v>
      </c>
      <c r="BQ76" s="187" t="s">
        <v>1054</v>
      </c>
    </row>
    <row r="77" spans="1:69" x14ac:dyDescent="0.2">
      <c r="B77" s="429" t="s">
        <v>233</v>
      </c>
      <c r="C77" s="429" t="s">
        <v>232</v>
      </c>
      <c r="D77" s="208">
        <v>33967566</v>
      </c>
      <c r="E77" s="208">
        <v>241683</v>
      </c>
      <c r="F77" s="208">
        <v>34209249</v>
      </c>
      <c r="G77" s="208">
        <v>0</v>
      </c>
      <c r="H77" s="208">
        <v>0</v>
      </c>
      <c r="I77" s="208">
        <v>0</v>
      </c>
      <c r="J77" s="208">
        <v>-594740</v>
      </c>
      <c r="K77" s="208">
        <v>1132</v>
      </c>
      <c r="L77" s="208">
        <v>-593608</v>
      </c>
      <c r="M77" s="208">
        <v>0</v>
      </c>
      <c r="N77" s="208">
        <v>0</v>
      </c>
      <c r="O77" s="208">
        <v>0</v>
      </c>
      <c r="P77" s="208">
        <v>-582000</v>
      </c>
      <c r="Q77" s="208">
        <v>-5000</v>
      </c>
      <c r="R77" s="208">
        <v>-587000</v>
      </c>
      <c r="S77" s="208">
        <v>282432</v>
      </c>
      <c r="T77" s="208">
        <v>0</v>
      </c>
      <c r="U77" s="208">
        <v>282432</v>
      </c>
      <c r="V77" s="208">
        <v>0</v>
      </c>
      <c r="W77" s="208">
        <v>0</v>
      </c>
      <c r="X77" s="208">
        <v>0</v>
      </c>
      <c r="Y77" s="208">
        <v>18501</v>
      </c>
      <c r="Z77" s="208">
        <v>0</v>
      </c>
      <c r="AA77" s="208">
        <v>18501</v>
      </c>
      <c r="AB77" s="208">
        <v>38000</v>
      </c>
      <c r="AC77" s="208">
        <v>0</v>
      </c>
      <c r="AD77" s="208">
        <v>38000</v>
      </c>
      <c r="AE77" s="208">
        <v>33724499</v>
      </c>
      <c r="AF77" s="208">
        <v>236683</v>
      </c>
      <c r="AG77" s="208">
        <v>33961182</v>
      </c>
      <c r="AH77" s="208">
        <v>236683</v>
      </c>
      <c r="AI77" s="208">
        <v>236683</v>
      </c>
      <c r="AJ77" s="208">
        <v>0</v>
      </c>
      <c r="AK77" s="208">
        <v>0</v>
      </c>
      <c r="AL77" s="208">
        <v>0</v>
      </c>
      <c r="AM77" s="208">
        <v>0</v>
      </c>
      <c r="AN77" s="208">
        <v>0</v>
      </c>
      <c r="AO77" s="208">
        <v>0</v>
      </c>
      <c r="AP77" s="208">
        <v>-4164</v>
      </c>
      <c r="AQ77" s="208">
        <v>-4164</v>
      </c>
      <c r="AR77" s="208">
        <v>29435</v>
      </c>
      <c r="AS77" s="208">
        <v>29435</v>
      </c>
      <c r="AT77" s="208">
        <v>203084</v>
      </c>
      <c r="AU77" s="208">
        <v>0</v>
      </c>
      <c r="AV77" s="208">
        <v>0</v>
      </c>
      <c r="AW77" s="208">
        <v>0</v>
      </c>
      <c r="AX77" s="208">
        <v>0</v>
      </c>
      <c r="AY77" s="208">
        <v>28206</v>
      </c>
      <c r="AZ77" s="208">
        <v>28206</v>
      </c>
      <c r="BA77" s="208">
        <v>31497382</v>
      </c>
      <c r="BB77" s="208">
        <v>31497382</v>
      </c>
      <c r="BC77" s="208">
        <v>31220999</v>
      </c>
      <c r="BD77" s="208">
        <v>31220999</v>
      </c>
      <c r="BE77" s="208">
        <v>138192</v>
      </c>
      <c r="BF77" s="208">
        <v>138192</v>
      </c>
      <c r="BG77" s="208">
        <v>0</v>
      </c>
      <c r="BH77" s="208">
        <v>0</v>
      </c>
      <c r="BI77" s="208">
        <v>138192</v>
      </c>
      <c r="BJ77" s="208">
        <v>28206</v>
      </c>
      <c r="BK77" s="208">
        <v>166398</v>
      </c>
      <c r="BL77" s="208">
        <v>1553908</v>
      </c>
      <c r="BM77" s="208">
        <v>-418464</v>
      </c>
      <c r="BN77" s="187" t="s">
        <v>853</v>
      </c>
      <c r="BO77" s="187" t="s">
        <v>742</v>
      </c>
      <c r="BP77" s="187" t="s">
        <v>851</v>
      </c>
      <c r="BQ77" s="187" t="s">
        <v>742</v>
      </c>
    </row>
    <row r="78" spans="1:69" x14ac:dyDescent="0.2">
      <c r="B78" s="429" t="s">
        <v>235</v>
      </c>
      <c r="C78" s="429" t="s">
        <v>234</v>
      </c>
      <c r="D78" s="208">
        <v>93712071</v>
      </c>
      <c r="E78" s="208">
        <v>0</v>
      </c>
      <c r="F78" s="208">
        <v>93712071</v>
      </c>
      <c r="G78" s="208">
        <v>0</v>
      </c>
      <c r="H78" s="208">
        <v>0</v>
      </c>
      <c r="I78" s="208">
        <v>0</v>
      </c>
      <c r="J78" s="208">
        <v>-552858</v>
      </c>
      <c r="K78" s="208">
        <v>0</v>
      </c>
      <c r="L78" s="208">
        <v>-552858</v>
      </c>
      <c r="M78" s="208">
        <v>0</v>
      </c>
      <c r="N78" s="208">
        <v>0</v>
      </c>
      <c r="O78" s="208">
        <v>0</v>
      </c>
      <c r="P78" s="208">
        <v>-851261</v>
      </c>
      <c r="Q78" s="208">
        <v>0</v>
      </c>
      <c r="R78" s="208">
        <v>-851261</v>
      </c>
      <c r="S78" s="208">
        <v>659095</v>
      </c>
      <c r="T78" s="208">
        <v>0</v>
      </c>
      <c r="U78" s="208">
        <v>659095</v>
      </c>
      <c r="V78" s="208">
        <v>0</v>
      </c>
      <c r="W78" s="208">
        <v>0</v>
      </c>
      <c r="X78" s="208">
        <v>0</v>
      </c>
      <c r="Y78" s="208">
        <v>1151311</v>
      </c>
      <c r="Z78" s="208">
        <v>0</v>
      </c>
      <c r="AA78" s="208">
        <v>1151311</v>
      </c>
      <c r="AB78" s="208">
        <v>-5348469</v>
      </c>
      <c r="AC78" s="208">
        <v>0</v>
      </c>
      <c r="AD78" s="208">
        <v>-5348469</v>
      </c>
      <c r="AE78" s="208">
        <v>89322747</v>
      </c>
      <c r="AF78" s="208">
        <v>0</v>
      </c>
      <c r="AG78" s="208">
        <v>89322747</v>
      </c>
      <c r="AH78" s="208">
        <v>0</v>
      </c>
      <c r="AI78" s="208">
        <v>0</v>
      </c>
      <c r="AJ78" s="208">
        <v>0</v>
      </c>
      <c r="AK78" s="208">
        <v>0</v>
      </c>
      <c r="AL78" s="208">
        <v>0</v>
      </c>
      <c r="AM78" s="208">
        <v>0</v>
      </c>
      <c r="AN78" s="208">
        <v>0</v>
      </c>
      <c r="AO78" s="208">
        <v>0</v>
      </c>
      <c r="AP78" s="208">
        <v>0</v>
      </c>
      <c r="AQ78" s="208">
        <v>0</v>
      </c>
      <c r="AR78" s="208">
        <v>0</v>
      </c>
      <c r="AS78" s="208">
        <v>0</v>
      </c>
      <c r="AT78" s="208">
        <v>0</v>
      </c>
      <c r="AU78" s="208">
        <v>0</v>
      </c>
      <c r="AV78" s="208">
        <v>0</v>
      </c>
      <c r="AW78" s="208">
        <v>0</v>
      </c>
      <c r="AX78" s="208">
        <v>0</v>
      </c>
      <c r="AY78" s="208">
        <v>0</v>
      </c>
      <c r="AZ78" s="208">
        <v>0</v>
      </c>
      <c r="BA78" s="208">
        <v>0</v>
      </c>
      <c r="BB78" s="208">
        <v>0</v>
      </c>
      <c r="BC78" s="208">
        <v>0</v>
      </c>
      <c r="BD78" s="208">
        <v>0</v>
      </c>
      <c r="BE78" s="208">
        <v>0</v>
      </c>
      <c r="BF78" s="208">
        <v>0</v>
      </c>
      <c r="BG78" s="208">
        <v>0</v>
      </c>
      <c r="BH78" s="208">
        <v>0</v>
      </c>
      <c r="BI78" s="208">
        <v>0</v>
      </c>
      <c r="BJ78" s="208">
        <v>0</v>
      </c>
      <c r="BK78" s="208">
        <v>0</v>
      </c>
      <c r="BL78" s="208">
        <v>2012805</v>
      </c>
      <c r="BM78" s="208">
        <v>-2700034</v>
      </c>
      <c r="BN78" s="187" t="s">
        <v>234</v>
      </c>
      <c r="BO78" s="187" t="s">
        <v>786</v>
      </c>
      <c r="BP78" s="187" t="s">
        <v>785</v>
      </c>
      <c r="BQ78" s="187" t="s">
        <v>1054</v>
      </c>
    </row>
    <row r="79" spans="1:69" x14ac:dyDescent="0.2">
      <c r="B79" s="429" t="s">
        <v>237</v>
      </c>
      <c r="C79" s="429" t="s">
        <v>236</v>
      </c>
      <c r="D79" s="208">
        <v>47666900</v>
      </c>
      <c r="E79" s="208">
        <v>0</v>
      </c>
      <c r="F79" s="208">
        <v>47666900</v>
      </c>
      <c r="G79" s="208">
        <v>0</v>
      </c>
      <c r="H79" s="208">
        <v>0</v>
      </c>
      <c r="I79" s="208">
        <v>0</v>
      </c>
      <c r="J79" s="208">
        <v>-164724</v>
      </c>
      <c r="K79" s="208">
        <v>0</v>
      </c>
      <c r="L79" s="208">
        <v>-164724</v>
      </c>
      <c r="M79" s="208">
        <v>-235571</v>
      </c>
      <c r="N79" s="208">
        <v>0</v>
      </c>
      <c r="O79" s="208">
        <v>-235571</v>
      </c>
      <c r="P79" s="208">
        <v>-183671</v>
      </c>
      <c r="Q79" s="208">
        <v>0</v>
      </c>
      <c r="R79" s="208">
        <v>-183671</v>
      </c>
      <c r="S79" s="208">
        <v>858328</v>
      </c>
      <c r="T79" s="208">
        <v>0</v>
      </c>
      <c r="U79" s="208">
        <v>858328</v>
      </c>
      <c r="V79" s="208">
        <v>0</v>
      </c>
      <c r="W79" s="208">
        <v>0</v>
      </c>
      <c r="X79" s="208">
        <v>0</v>
      </c>
      <c r="Y79" s="208">
        <v>-1145502</v>
      </c>
      <c r="Z79" s="208">
        <v>0</v>
      </c>
      <c r="AA79" s="208">
        <v>-1145502</v>
      </c>
      <c r="AB79" s="208">
        <v>-1130445</v>
      </c>
      <c r="AC79" s="208">
        <v>0</v>
      </c>
      <c r="AD79" s="208">
        <v>-1130445</v>
      </c>
      <c r="AE79" s="208">
        <v>45830039</v>
      </c>
      <c r="AF79" s="208">
        <v>0</v>
      </c>
      <c r="AG79" s="208">
        <v>45830039</v>
      </c>
      <c r="AH79" s="208">
        <v>0</v>
      </c>
      <c r="AI79" s="208">
        <v>0</v>
      </c>
      <c r="AJ79" s="208">
        <v>674296</v>
      </c>
      <c r="AK79" s="208">
        <v>0</v>
      </c>
      <c r="AL79" s="208">
        <v>674296</v>
      </c>
      <c r="AM79" s="208">
        <v>0</v>
      </c>
      <c r="AN79" s="208">
        <v>0</v>
      </c>
      <c r="AO79" s="208">
        <v>0</v>
      </c>
      <c r="AP79" s="208">
        <v>0</v>
      </c>
      <c r="AQ79" s="208">
        <v>0</v>
      </c>
      <c r="AR79" s="208">
        <v>0</v>
      </c>
      <c r="AS79" s="208">
        <v>0</v>
      </c>
      <c r="AT79" s="208">
        <v>0</v>
      </c>
      <c r="AU79" s="208">
        <v>0</v>
      </c>
      <c r="AV79" s="208">
        <v>0</v>
      </c>
      <c r="AW79" s="208">
        <v>0</v>
      </c>
      <c r="AX79" s="208">
        <v>0</v>
      </c>
      <c r="AY79" s="208">
        <v>0</v>
      </c>
      <c r="AZ79" s="208">
        <v>0</v>
      </c>
      <c r="BA79" s="208">
        <v>0</v>
      </c>
      <c r="BB79" s="208">
        <v>0</v>
      </c>
      <c r="BC79" s="208">
        <v>0</v>
      </c>
      <c r="BD79" s="208">
        <v>0</v>
      </c>
      <c r="BE79" s="208">
        <v>0</v>
      </c>
      <c r="BF79" s="208">
        <v>0</v>
      </c>
      <c r="BG79" s="208">
        <v>0</v>
      </c>
      <c r="BH79" s="208">
        <v>0</v>
      </c>
      <c r="BI79" s="208">
        <v>0</v>
      </c>
      <c r="BJ79" s="208">
        <v>0</v>
      </c>
      <c r="BK79" s="208">
        <v>0</v>
      </c>
      <c r="BL79" s="208">
        <v>301363</v>
      </c>
      <c r="BM79" s="208">
        <v>-88094</v>
      </c>
      <c r="BN79" s="187" t="s">
        <v>236</v>
      </c>
      <c r="BO79" s="187" t="s">
        <v>775</v>
      </c>
      <c r="BP79" s="187" t="s">
        <v>751</v>
      </c>
      <c r="BQ79" s="187" t="s">
        <v>1054</v>
      </c>
    </row>
    <row r="80" spans="1:69" x14ac:dyDescent="0.2">
      <c r="B80" s="429" t="s">
        <v>239</v>
      </c>
      <c r="C80" s="429" t="s">
        <v>238</v>
      </c>
      <c r="D80" s="208">
        <v>91501457</v>
      </c>
      <c r="E80" s="208">
        <v>120053</v>
      </c>
      <c r="F80" s="208">
        <v>91621510</v>
      </c>
      <c r="G80" s="208">
        <v>0</v>
      </c>
      <c r="H80" s="208">
        <v>0</v>
      </c>
      <c r="I80" s="208">
        <v>0</v>
      </c>
      <c r="J80" s="208">
        <v>-1291853</v>
      </c>
      <c r="K80" s="208">
        <v>0</v>
      </c>
      <c r="L80" s="208">
        <v>-1291853</v>
      </c>
      <c r="M80" s="208">
        <v>0</v>
      </c>
      <c r="N80" s="208">
        <v>0</v>
      </c>
      <c r="O80" s="208">
        <v>0</v>
      </c>
      <c r="P80" s="208">
        <v>-822929</v>
      </c>
      <c r="Q80" s="208">
        <v>0</v>
      </c>
      <c r="R80" s="208">
        <v>-822929</v>
      </c>
      <c r="S80" s="208">
        <v>946199</v>
      </c>
      <c r="T80" s="208">
        <v>0</v>
      </c>
      <c r="U80" s="208">
        <v>946199</v>
      </c>
      <c r="V80" s="208">
        <v>0</v>
      </c>
      <c r="W80" s="208">
        <v>0</v>
      </c>
      <c r="X80" s="208">
        <v>0</v>
      </c>
      <c r="Y80" s="208">
        <v>-1557510</v>
      </c>
      <c r="Z80" s="208">
        <v>0</v>
      </c>
      <c r="AA80" s="208">
        <v>-1557510</v>
      </c>
      <c r="AB80" s="208">
        <v>-2496525</v>
      </c>
      <c r="AC80" s="208">
        <v>0</v>
      </c>
      <c r="AD80" s="208">
        <v>-2496525</v>
      </c>
      <c r="AE80" s="208">
        <v>87570692</v>
      </c>
      <c r="AF80" s="208">
        <v>120053</v>
      </c>
      <c r="AG80" s="208">
        <v>87690745</v>
      </c>
      <c r="AH80" s="208">
        <v>120053</v>
      </c>
      <c r="AI80" s="208">
        <v>120053</v>
      </c>
      <c r="AJ80" s="208">
        <v>729538</v>
      </c>
      <c r="AK80" s="208">
        <v>0</v>
      </c>
      <c r="AL80" s="208">
        <v>729538</v>
      </c>
      <c r="AM80" s="208">
        <v>0</v>
      </c>
      <c r="AN80" s="208">
        <v>0</v>
      </c>
      <c r="AO80" s="208">
        <v>0</v>
      </c>
      <c r="AP80" s="208">
        <v>0</v>
      </c>
      <c r="AQ80" s="208">
        <v>0</v>
      </c>
      <c r="AR80" s="208">
        <v>0</v>
      </c>
      <c r="AS80" s="208">
        <v>0</v>
      </c>
      <c r="AT80" s="208">
        <v>120053</v>
      </c>
      <c r="AU80" s="208">
        <v>0</v>
      </c>
      <c r="AV80" s="208">
        <v>32115</v>
      </c>
      <c r="AW80" s="208">
        <v>32115</v>
      </c>
      <c r="AX80" s="208">
        <v>0</v>
      </c>
      <c r="AY80" s="208">
        <v>0</v>
      </c>
      <c r="AZ80" s="208">
        <v>0</v>
      </c>
      <c r="BA80" s="208">
        <v>0</v>
      </c>
      <c r="BB80" s="208">
        <v>0</v>
      </c>
      <c r="BC80" s="208">
        <v>0</v>
      </c>
      <c r="BD80" s="208">
        <v>0</v>
      </c>
      <c r="BE80" s="208">
        <v>0</v>
      </c>
      <c r="BF80" s="208">
        <v>0</v>
      </c>
      <c r="BG80" s="208">
        <v>0</v>
      </c>
      <c r="BH80" s="208">
        <v>0</v>
      </c>
      <c r="BI80" s="208">
        <v>0</v>
      </c>
      <c r="BJ80" s="208">
        <v>0</v>
      </c>
      <c r="BK80" s="208">
        <v>0</v>
      </c>
      <c r="BL80" s="208">
        <v>4967318</v>
      </c>
      <c r="BM80" s="208">
        <v>-39816</v>
      </c>
      <c r="BN80" s="187" t="s">
        <v>852</v>
      </c>
      <c r="BO80" s="187" t="s">
        <v>742</v>
      </c>
      <c r="BP80" s="187" t="s">
        <v>806</v>
      </c>
      <c r="BQ80" s="187" t="s">
        <v>742</v>
      </c>
    </row>
    <row r="81" spans="1:69" x14ac:dyDescent="0.2">
      <c r="B81" s="429" t="s">
        <v>241</v>
      </c>
      <c r="C81" s="429" t="s">
        <v>240</v>
      </c>
      <c r="D81" s="208">
        <v>18633881</v>
      </c>
      <c r="E81" s="208">
        <v>0</v>
      </c>
      <c r="F81" s="208">
        <v>18633881</v>
      </c>
      <c r="G81" s="208">
        <v>0</v>
      </c>
      <c r="H81" s="208">
        <v>0</v>
      </c>
      <c r="I81" s="208">
        <v>0</v>
      </c>
      <c r="J81" s="208">
        <v>-70868</v>
      </c>
      <c r="K81" s="208">
        <v>0</v>
      </c>
      <c r="L81" s="208">
        <v>-70868</v>
      </c>
      <c r="M81" s="208">
        <v>0</v>
      </c>
      <c r="N81" s="208">
        <v>0</v>
      </c>
      <c r="O81" s="208">
        <v>0</v>
      </c>
      <c r="P81" s="208">
        <v>-67048</v>
      </c>
      <c r="Q81" s="208">
        <v>0</v>
      </c>
      <c r="R81" s="208">
        <v>-67048</v>
      </c>
      <c r="S81" s="208">
        <v>49220</v>
      </c>
      <c r="T81" s="208">
        <v>0</v>
      </c>
      <c r="U81" s="208">
        <v>49220</v>
      </c>
      <c r="V81" s="208">
        <v>0</v>
      </c>
      <c r="W81" s="208">
        <v>0</v>
      </c>
      <c r="X81" s="208">
        <v>0</v>
      </c>
      <c r="Y81" s="208">
        <v>-556517</v>
      </c>
      <c r="Z81" s="208">
        <v>0</v>
      </c>
      <c r="AA81" s="208">
        <v>-556517</v>
      </c>
      <c r="AB81" s="208">
        <v>333672</v>
      </c>
      <c r="AC81" s="208">
        <v>0</v>
      </c>
      <c r="AD81" s="208">
        <v>333672</v>
      </c>
      <c r="AE81" s="208">
        <v>18393208</v>
      </c>
      <c r="AF81" s="208">
        <v>0</v>
      </c>
      <c r="AG81" s="208">
        <v>18393208</v>
      </c>
      <c r="AH81" s="208">
        <v>0</v>
      </c>
      <c r="AI81" s="208">
        <v>0</v>
      </c>
      <c r="AJ81" s="208">
        <v>156767</v>
      </c>
      <c r="AK81" s="208">
        <v>0</v>
      </c>
      <c r="AL81" s="208">
        <v>156767</v>
      </c>
      <c r="AM81" s="208">
        <v>0</v>
      </c>
      <c r="AN81" s="208">
        <v>0</v>
      </c>
      <c r="AO81" s="208">
        <v>0</v>
      </c>
      <c r="AP81" s="208">
        <v>0</v>
      </c>
      <c r="AQ81" s="208">
        <v>0</v>
      </c>
      <c r="AR81" s="208">
        <v>0</v>
      </c>
      <c r="AS81" s="208">
        <v>0</v>
      </c>
      <c r="AT81" s="208">
        <v>0</v>
      </c>
      <c r="AU81" s="208">
        <v>0</v>
      </c>
      <c r="AV81" s="208">
        <v>0</v>
      </c>
      <c r="AW81" s="208">
        <v>0</v>
      </c>
      <c r="AX81" s="208">
        <v>0</v>
      </c>
      <c r="AY81" s="208">
        <v>0</v>
      </c>
      <c r="AZ81" s="208">
        <v>0</v>
      </c>
      <c r="BA81" s="208">
        <v>0</v>
      </c>
      <c r="BB81" s="208">
        <v>0</v>
      </c>
      <c r="BC81" s="208">
        <v>0</v>
      </c>
      <c r="BD81" s="208">
        <v>0</v>
      </c>
      <c r="BE81" s="208">
        <v>0</v>
      </c>
      <c r="BF81" s="208">
        <v>0</v>
      </c>
      <c r="BG81" s="208">
        <v>0</v>
      </c>
      <c r="BH81" s="208">
        <v>0</v>
      </c>
      <c r="BI81" s="208">
        <v>0</v>
      </c>
      <c r="BJ81" s="208">
        <v>0</v>
      </c>
      <c r="BK81" s="208">
        <v>0</v>
      </c>
      <c r="BL81" s="208">
        <v>804506</v>
      </c>
      <c r="BM81" s="208">
        <v>-135758</v>
      </c>
      <c r="BN81" s="187" t="s">
        <v>240</v>
      </c>
      <c r="BO81" s="187" t="s">
        <v>807</v>
      </c>
      <c r="BP81" s="187" t="s">
        <v>806</v>
      </c>
      <c r="BQ81" s="187" t="s">
        <v>1054</v>
      </c>
    </row>
    <row r="82" spans="1:69" x14ac:dyDescent="0.2">
      <c r="B82" s="429" t="s">
        <v>243</v>
      </c>
      <c r="C82" s="429" t="s">
        <v>242</v>
      </c>
      <c r="D82" s="208">
        <v>98482820</v>
      </c>
      <c r="E82" s="208">
        <v>0</v>
      </c>
      <c r="F82" s="208">
        <v>98482820</v>
      </c>
      <c r="G82" s="208">
        <v>0</v>
      </c>
      <c r="H82" s="208">
        <v>0</v>
      </c>
      <c r="I82" s="208">
        <v>0</v>
      </c>
      <c r="J82" s="208">
        <v>-857400</v>
      </c>
      <c r="K82" s="208">
        <v>0</v>
      </c>
      <c r="L82" s="208">
        <v>-857400</v>
      </c>
      <c r="M82" s="208">
        <v>-146614</v>
      </c>
      <c r="N82" s="208">
        <v>0</v>
      </c>
      <c r="O82" s="208">
        <v>-146614</v>
      </c>
      <c r="P82" s="208">
        <v>-786251</v>
      </c>
      <c r="Q82" s="208">
        <v>0</v>
      </c>
      <c r="R82" s="208">
        <v>-786251</v>
      </c>
      <c r="S82" s="208">
        <v>1243962</v>
      </c>
      <c r="T82" s="208">
        <v>0</v>
      </c>
      <c r="U82" s="208">
        <v>1243962</v>
      </c>
      <c r="V82" s="208">
        <v>0</v>
      </c>
      <c r="W82" s="208">
        <v>0</v>
      </c>
      <c r="X82" s="208">
        <v>0</v>
      </c>
      <c r="Y82" s="208">
        <v>1026639</v>
      </c>
      <c r="Z82" s="208">
        <v>0</v>
      </c>
      <c r="AA82" s="208">
        <v>1026639</v>
      </c>
      <c r="AB82" s="208">
        <v>-4181870</v>
      </c>
      <c r="AC82" s="208">
        <v>0</v>
      </c>
      <c r="AD82" s="208">
        <v>-4181870</v>
      </c>
      <c r="AE82" s="208">
        <v>95638686</v>
      </c>
      <c r="AF82" s="208">
        <v>0</v>
      </c>
      <c r="AG82" s="208">
        <v>95638686</v>
      </c>
      <c r="AH82" s="208">
        <v>0</v>
      </c>
      <c r="AI82" s="208">
        <v>0</v>
      </c>
      <c r="AJ82" s="208">
        <v>176028</v>
      </c>
      <c r="AK82" s="208">
        <v>0</v>
      </c>
      <c r="AL82" s="208">
        <v>176028</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H82" s="208">
        <v>0</v>
      </c>
      <c r="BI82" s="208">
        <v>0</v>
      </c>
      <c r="BJ82" s="208">
        <v>0</v>
      </c>
      <c r="BK82" s="208">
        <v>0</v>
      </c>
      <c r="BL82" s="208">
        <v>5525806</v>
      </c>
      <c r="BM82" s="208">
        <v>-1245433</v>
      </c>
      <c r="BN82" s="187" t="s">
        <v>242</v>
      </c>
      <c r="BO82" s="187" t="s">
        <v>754</v>
      </c>
      <c r="BP82" s="187" t="s">
        <v>811</v>
      </c>
      <c r="BQ82" s="187" t="s">
        <v>1056</v>
      </c>
    </row>
    <row r="83" spans="1:69" x14ac:dyDescent="0.2">
      <c r="B83" s="429" t="s">
        <v>245</v>
      </c>
      <c r="C83" s="429" t="s">
        <v>244</v>
      </c>
      <c r="D83" s="208">
        <v>42181787</v>
      </c>
      <c r="E83" s="208">
        <v>0</v>
      </c>
      <c r="F83" s="208">
        <v>42181787</v>
      </c>
      <c r="G83" s="208">
        <v>0</v>
      </c>
      <c r="H83" s="208">
        <v>0</v>
      </c>
      <c r="I83" s="208">
        <v>0</v>
      </c>
      <c r="J83" s="208">
        <v>-363744</v>
      </c>
      <c r="K83" s="208">
        <v>0</v>
      </c>
      <c r="L83" s="208">
        <v>-363744</v>
      </c>
      <c r="M83" s="208">
        <v>0</v>
      </c>
      <c r="N83" s="208">
        <v>0</v>
      </c>
      <c r="O83" s="208">
        <v>0</v>
      </c>
      <c r="P83" s="208">
        <v>-321916</v>
      </c>
      <c r="Q83" s="208">
        <v>0</v>
      </c>
      <c r="R83" s="208">
        <v>-321916</v>
      </c>
      <c r="S83" s="208">
        <v>128000</v>
      </c>
      <c r="T83" s="208">
        <v>0</v>
      </c>
      <c r="U83" s="208">
        <v>128000</v>
      </c>
      <c r="V83" s="208">
        <v>25000</v>
      </c>
      <c r="W83" s="208">
        <v>0</v>
      </c>
      <c r="X83" s="208">
        <v>25000</v>
      </c>
      <c r="Y83" s="208">
        <v>4000</v>
      </c>
      <c r="Z83" s="208">
        <v>0</v>
      </c>
      <c r="AA83" s="208">
        <v>4000</v>
      </c>
      <c r="AB83" s="208">
        <v>-1411000</v>
      </c>
      <c r="AC83" s="208">
        <v>0</v>
      </c>
      <c r="AD83" s="208">
        <v>-1411000</v>
      </c>
      <c r="AE83" s="208">
        <v>40605871</v>
      </c>
      <c r="AF83" s="208">
        <v>0</v>
      </c>
      <c r="AG83" s="208">
        <v>40605871</v>
      </c>
      <c r="AH83" s="208">
        <v>0</v>
      </c>
      <c r="AI83" s="208">
        <v>0</v>
      </c>
      <c r="AJ83" s="208">
        <v>303313</v>
      </c>
      <c r="AK83" s="208">
        <v>0</v>
      </c>
      <c r="AL83" s="208">
        <v>303313</v>
      </c>
      <c r="AM83" s="208">
        <v>0</v>
      </c>
      <c r="AN83" s="208">
        <v>0</v>
      </c>
      <c r="AO83" s="208">
        <v>0</v>
      </c>
      <c r="AP83" s="208">
        <v>0</v>
      </c>
      <c r="AQ83" s="208">
        <v>0</v>
      </c>
      <c r="AR83" s="208">
        <v>0</v>
      </c>
      <c r="AS83" s="208">
        <v>0</v>
      </c>
      <c r="AT83" s="208">
        <v>0</v>
      </c>
      <c r="AU83" s="208">
        <v>2724088</v>
      </c>
      <c r="AV83" s="208">
        <v>0</v>
      </c>
      <c r="AW83" s="208">
        <v>2724088</v>
      </c>
      <c r="AX83" s="208">
        <v>0</v>
      </c>
      <c r="AY83" s="208">
        <v>0</v>
      </c>
      <c r="AZ83" s="208">
        <v>0</v>
      </c>
      <c r="BA83" s="208">
        <v>0</v>
      </c>
      <c r="BB83" s="208">
        <v>0</v>
      </c>
      <c r="BC83" s="208">
        <v>0</v>
      </c>
      <c r="BD83" s="208">
        <v>0</v>
      </c>
      <c r="BE83" s="208">
        <v>0</v>
      </c>
      <c r="BF83" s="208">
        <v>0</v>
      </c>
      <c r="BG83" s="208">
        <v>0</v>
      </c>
      <c r="BH83" s="208">
        <v>0</v>
      </c>
      <c r="BI83" s="208">
        <v>0</v>
      </c>
      <c r="BJ83" s="208">
        <v>0</v>
      </c>
      <c r="BK83" s="208">
        <v>0</v>
      </c>
      <c r="BL83" s="208">
        <v>2681626</v>
      </c>
      <c r="BM83" s="208">
        <v>-719963</v>
      </c>
      <c r="BN83" s="187" t="s">
        <v>244</v>
      </c>
      <c r="BO83" s="187" t="s">
        <v>786</v>
      </c>
      <c r="BP83" s="187" t="s">
        <v>785</v>
      </c>
      <c r="BQ83" s="187" t="s">
        <v>1054</v>
      </c>
    </row>
    <row r="84" spans="1:69" x14ac:dyDescent="0.2">
      <c r="B84" s="429" t="s">
        <v>247</v>
      </c>
      <c r="C84" s="429" t="s">
        <v>246</v>
      </c>
      <c r="D84" s="208">
        <v>89344690</v>
      </c>
      <c r="E84" s="208">
        <v>108303</v>
      </c>
      <c r="F84" s="208">
        <v>89452993</v>
      </c>
      <c r="G84" s="208">
        <v>0</v>
      </c>
      <c r="H84" s="208">
        <v>0</v>
      </c>
      <c r="I84" s="208">
        <v>0</v>
      </c>
      <c r="J84" s="208">
        <v>-4015225</v>
      </c>
      <c r="K84" s="208">
        <v>0</v>
      </c>
      <c r="L84" s="208">
        <v>-4015225</v>
      </c>
      <c r="M84" s="208">
        <v>0</v>
      </c>
      <c r="N84" s="208">
        <v>0</v>
      </c>
      <c r="O84" s="208">
        <v>0</v>
      </c>
      <c r="P84" s="208">
        <v>-1735225</v>
      </c>
      <c r="Q84" s="208">
        <v>0</v>
      </c>
      <c r="R84" s="208">
        <v>-1735225</v>
      </c>
      <c r="S84" s="208">
        <v>1980000</v>
      </c>
      <c r="T84" s="208">
        <v>0</v>
      </c>
      <c r="U84" s="208">
        <v>1980000</v>
      </c>
      <c r="V84" s="208">
        <v>0</v>
      </c>
      <c r="W84" s="208">
        <v>0</v>
      </c>
      <c r="X84" s="208">
        <v>0</v>
      </c>
      <c r="Y84" s="208">
        <v>2320000</v>
      </c>
      <c r="Z84" s="208">
        <v>0</v>
      </c>
      <c r="AA84" s="208">
        <v>2320000</v>
      </c>
      <c r="AB84" s="208">
        <v>-4300000</v>
      </c>
      <c r="AC84" s="208">
        <v>0</v>
      </c>
      <c r="AD84" s="208">
        <v>-4300000</v>
      </c>
      <c r="AE84" s="208">
        <v>87609465</v>
      </c>
      <c r="AF84" s="208">
        <v>108303</v>
      </c>
      <c r="AG84" s="208">
        <v>87717768</v>
      </c>
      <c r="AH84" s="208">
        <v>108303</v>
      </c>
      <c r="AI84" s="208">
        <v>108303</v>
      </c>
      <c r="AJ84" s="208">
        <v>0</v>
      </c>
      <c r="AK84" s="208">
        <v>0</v>
      </c>
      <c r="AL84" s="208">
        <v>0</v>
      </c>
      <c r="AM84" s="208">
        <v>0</v>
      </c>
      <c r="AN84" s="208">
        <v>0</v>
      </c>
      <c r="AO84" s="208">
        <v>0</v>
      </c>
      <c r="AP84" s="208">
        <v>905</v>
      </c>
      <c r="AQ84" s="208">
        <v>905</v>
      </c>
      <c r="AR84" s="208">
        <v>147639</v>
      </c>
      <c r="AS84" s="208">
        <v>147639</v>
      </c>
      <c r="AT84" s="208">
        <v>0</v>
      </c>
      <c r="AU84" s="208">
        <v>184268</v>
      </c>
      <c r="AV84" s="208">
        <v>211097</v>
      </c>
      <c r="AW84" s="208">
        <v>395365</v>
      </c>
      <c r="AX84" s="208">
        <v>0</v>
      </c>
      <c r="AY84" s="208">
        <v>0</v>
      </c>
      <c r="AZ84" s="208">
        <v>0</v>
      </c>
      <c r="BA84" s="208">
        <v>0</v>
      </c>
      <c r="BB84" s="208">
        <v>0</v>
      </c>
      <c r="BC84" s="208">
        <v>0</v>
      </c>
      <c r="BD84" s="208">
        <v>0</v>
      </c>
      <c r="BE84" s="208">
        <v>0</v>
      </c>
      <c r="BF84" s="208">
        <v>0</v>
      </c>
      <c r="BG84" s="208">
        <v>0</v>
      </c>
      <c r="BH84" s="208">
        <v>0</v>
      </c>
      <c r="BI84" s="208">
        <v>0</v>
      </c>
      <c r="BJ84" s="208">
        <v>0</v>
      </c>
      <c r="BK84" s="208">
        <v>0</v>
      </c>
      <c r="BL84" s="208">
        <v>4655275</v>
      </c>
      <c r="BM84" s="208">
        <v>-345823</v>
      </c>
      <c r="BN84" s="187" t="s">
        <v>246</v>
      </c>
      <c r="BO84" s="187" t="s">
        <v>754</v>
      </c>
      <c r="BP84" s="187" t="s">
        <v>753</v>
      </c>
      <c r="BQ84" s="187" t="s">
        <v>1056</v>
      </c>
    </row>
    <row r="85" spans="1:69" x14ac:dyDescent="0.2">
      <c r="B85" s="429" t="s">
        <v>249</v>
      </c>
      <c r="C85" s="429" t="s">
        <v>248</v>
      </c>
      <c r="D85" s="208">
        <v>119124183</v>
      </c>
      <c r="E85" s="208">
        <v>0</v>
      </c>
      <c r="F85" s="208">
        <v>119124183</v>
      </c>
      <c r="G85" s="208">
        <v>0</v>
      </c>
      <c r="H85" s="208">
        <v>0</v>
      </c>
      <c r="I85" s="208">
        <v>0</v>
      </c>
      <c r="J85" s="208">
        <v>-1336509</v>
      </c>
      <c r="K85" s="208">
        <v>0</v>
      </c>
      <c r="L85" s="208">
        <v>-1336509</v>
      </c>
      <c r="M85" s="208">
        <v>0</v>
      </c>
      <c r="N85" s="208">
        <v>0</v>
      </c>
      <c r="O85" s="208">
        <v>0</v>
      </c>
      <c r="P85" s="208">
        <v>-1283364</v>
      </c>
      <c r="Q85" s="208">
        <v>0</v>
      </c>
      <c r="R85" s="208">
        <v>-1283364</v>
      </c>
      <c r="S85" s="208">
        <v>1358402</v>
      </c>
      <c r="T85" s="208">
        <v>0</v>
      </c>
      <c r="U85" s="208">
        <v>1358402</v>
      </c>
      <c r="V85" s="208">
        <v>0</v>
      </c>
      <c r="W85" s="208">
        <v>0</v>
      </c>
      <c r="X85" s="208">
        <v>0</v>
      </c>
      <c r="Y85" s="208">
        <v>1245474</v>
      </c>
      <c r="Z85" s="208">
        <v>0</v>
      </c>
      <c r="AA85" s="208">
        <v>1245474</v>
      </c>
      <c r="AB85" s="208">
        <v>-7617368</v>
      </c>
      <c r="AC85" s="208">
        <v>0</v>
      </c>
      <c r="AD85" s="208">
        <v>-7617368</v>
      </c>
      <c r="AE85" s="208">
        <v>112827327</v>
      </c>
      <c r="AF85" s="208">
        <v>0</v>
      </c>
      <c r="AG85" s="208">
        <v>112827327</v>
      </c>
      <c r="AH85" s="208">
        <v>0</v>
      </c>
      <c r="AI85" s="208">
        <v>0</v>
      </c>
      <c r="AJ85" s="208">
        <v>177655</v>
      </c>
      <c r="AK85" s="208">
        <v>0</v>
      </c>
      <c r="AL85" s="208">
        <v>177655</v>
      </c>
      <c r="AM85" s="208">
        <v>0</v>
      </c>
      <c r="AN85" s="208">
        <v>0</v>
      </c>
      <c r="AO85" s="208">
        <v>0</v>
      </c>
      <c r="AP85" s="208">
        <v>0</v>
      </c>
      <c r="AQ85" s="208">
        <v>0</v>
      </c>
      <c r="AR85" s="208">
        <v>0</v>
      </c>
      <c r="AS85" s="208">
        <v>0</v>
      </c>
      <c r="AT85" s="208">
        <v>0</v>
      </c>
      <c r="AU85" s="208">
        <v>0</v>
      </c>
      <c r="AV85" s="208">
        <v>0</v>
      </c>
      <c r="AW85" s="208">
        <v>0</v>
      </c>
      <c r="AX85" s="208">
        <v>0</v>
      </c>
      <c r="AY85" s="208">
        <v>0</v>
      </c>
      <c r="AZ85" s="208">
        <v>0</v>
      </c>
      <c r="BA85" s="208">
        <v>0</v>
      </c>
      <c r="BB85" s="208">
        <v>0</v>
      </c>
      <c r="BC85" s="208">
        <v>0</v>
      </c>
      <c r="BD85" s="208">
        <v>0</v>
      </c>
      <c r="BE85" s="208">
        <v>0</v>
      </c>
      <c r="BF85" s="208">
        <v>0</v>
      </c>
      <c r="BG85" s="208">
        <v>0</v>
      </c>
      <c r="BH85" s="208">
        <v>0</v>
      </c>
      <c r="BI85" s="208">
        <v>0</v>
      </c>
      <c r="BJ85" s="208">
        <v>0</v>
      </c>
      <c r="BK85" s="208">
        <v>0</v>
      </c>
      <c r="BL85" s="208">
        <v>4594780</v>
      </c>
      <c r="BM85" s="208">
        <v>-2324072</v>
      </c>
      <c r="BN85" s="187" t="s">
        <v>248</v>
      </c>
      <c r="BO85" s="187" t="s">
        <v>742</v>
      </c>
      <c r="BP85" s="187" t="s">
        <v>851</v>
      </c>
      <c r="BQ85" s="187" t="s">
        <v>742</v>
      </c>
    </row>
    <row r="86" spans="1:69" x14ac:dyDescent="0.2">
      <c r="B86" s="429" t="s">
        <v>251</v>
      </c>
      <c r="C86" s="429" t="s">
        <v>250</v>
      </c>
      <c r="D86" s="208">
        <v>148890683</v>
      </c>
      <c r="E86" s="208">
        <v>0</v>
      </c>
      <c r="F86" s="208">
        <v>148890683</v>
      </c>
      <c r="G86" s="208">
        <v>0</v>
      </c>
      <c r="H86" s="208">
        <v>0</v>
      </c>
      <c r="I86" s="208">
        <v>0</v>
      </c>
      <c r="J86" s="208">
        <v>-1409127</v>
      </c>
      <c r="K86" s="208">
        <v>0</v>
      </c>
      <c r="L86" s="208">
        <v>-1409127</v>
      </c>
      <c r="M86" s="208">
        <v>-253121</v>
      </c>
      <c r="N86" s="208">
        <v>0</v>
      </c>
      <c r="O86" s="208">
        <v>-253121</v>
      </c>
      <c r="P86" s="208">
        <v>-1102189</v>
      </c>
      <c r="Q86" s="208">
        <v>0</v>
      </c>
      <c r="R86" s="208">
        <v>-1102189</v>
      </c>
      <c r="S86" s="208">
        <v>4227898</v>
      </c>
      <c r="T86" s="208">
        <v>0</v>
      </c>
      <c r="U86" s="208">
        <v>4227898</v>
      </c>
      <c r="V86" s="208">
        <v>4330600</v>
      </c>
      <c r="W86" s="208">
        <v>0</v>
      </c>
      <c r="X86" s="208">
        <v>4330600</v>
      </c>
      <c r="Y86" s="208">
        <v>317438</v>
      </c>
      <c r="Z86" s="208">
        <v>0</v>
      </c>
      <c r="AA86" s="208">
        <v>317438</v>
      </c>
      <c r="AB86" s="208">
        <v>-8957565</v>
      </c>
      <c r="AC86" s="208">
        <v>0</v>
      </c>
      <c r="AD86" s="208">
        <v>-8957565</v>
      </c>
      <c r="AE86" s="208">
        <v>147453744</v>
      </c>
      <c r="AF86" s="208">
        <v>0</v>
      </c>
      <c r="AG86" s="208">
        <v>147453744</v>
      </c>
      <c r="AH86" s="208">
        <v>0</v>
      </c>
      <c r="AI86" s="208">
        <v>0</v>
      </c>
      <c r="AJ86" s="208">
        <v>0</v>
      </c>
      <c r="AK86" s="208">
        <v>0</v>
      </c>
      <c r="AL86" s="208">
        <v>0</v>
      </c>
      <c r="AM86" s="208">
        <v>0</v>
      </c>
      <c r="AN86" s="208">
        <v>0</v>
      </c>
      <c r="AO86" s="208">
        <v>0</v>
      </c>
      <c r="AP86" s="208">
        <v>0</v>
      </c>
      <c r="AQ86" s="208">
        <v>0</v>
      </c>
      <c r="AR86" s="208">
        <v>0</v>
      </c>
      <c r="AS86" s="208">
        <v>0</v>
      </c>
      <c r="AT86" s="208">
        <v>0</v>
      </c>
      <c r="AU86" s="208">
        <v>0</v>
      </c>
      <c r="AV86" s="208">
        <v>0</v>
      </c>
      <c r="AW86" s="208">
        <v>0</v>
      </c>
      <c r="AX86" s="208">
        <v>0</v>
      </c>
      <c r="AY86" s="208">
        <v>0</v>
      </c>
      <c r="AZ86" s="208">
        <v>0</v>
      </c>
      <c r="BA86" s="208">
        <v>0</v>
      </c>
      <c r="BB86" s="208">
        <v>0</v>
      </c>
      <c r="BC86" s="208">
        <v>0</v>
      </c>
      <c r="BD86" s="208">
        <v>0</v>
      </c>
      <c r="BE86" s="208">
        <v>0</v>
      </c>
      <c r="BF86" s="208">
        <v>0</v>
      </c>
      <c r="BG86" s="208">
        <v>0</v>
      </c>
      <c r="BH86" s="208">
        <v>0</v>
      </c>
      <c r="BI86" s="208">
        <v>0</v>
      </c>
      <c r="BJ86" s="208">
        <v>0</v>
      </c>
      <c r="BK86" s="208">
        <v>0</v>
      </c>
      <c r="BL86" s="208">
        <v>16147065</v>
      </c>
      <c r="BM86" s="208">
        <v>-12962473</v>
      </c>
      <c r="BN86" s="187" t="s">
        <v>250</v>
      </c>
      <c r="BO86" s="187" t="s">
        <v>767</v>
      </c>
      <c r="BP86" s="187" t="s">
        <v>743</v>
      </c>
      <c r="BQ86" s="187" t="s">
        <v>1055</v>
      </c>
    </row>
    <row r="87" spans="1:69" x14ac:dyDescent="0.2">
      <c r="B87" s="429" t="s">
        <v>253</v>
      </c>
      <c r="C87" s="429" t="s">
        <v>252</v>
      </c>
      <c r="D87" s="208">
        <v>21235777</v>
      </c>
      <c r="E87" s="208">
        <v>198405</v>
      </c>
      <c r="F87" s="208">
        <v>21434182</v>
      </c>
      <c r="G87" s="208">
        <v>0</v>
      </c>
      <c r="H87" s="208">
        <v>0</v>
      </c>
      <c r="I87" s="208">
        <v>0</v>
      </c>
      <c r="J87" s="208">
        <v>-79203</v>
      </c>
      <c r="K87" s="208">
        <v>0</v>
      </c>
      <c r="L87" s="208">
        <v>-79203</v>
      </c>
      <c r="M87" s="208">
        <v>0</v>
      </c>
      <c r="N87" s="208">
        <v>0</v>
      </c>
      <c r="O87" s="208">
        <v>0</v>
      </c>
      <c r="P87" s="208">
        <v>-35305</v>
      </c>
      <c r="Q87" s="208">
        <v>0</v>
      </c>
      <c r="R87" s="208">
        <v>-35305</v>
      </c>
      <c r="S87" s="208">
        <v>330672</v>
      </c>
      <c r="T87" s="208">
        <v>0</v>
      </c>
      <c r="U87" s="208">
        <v>330672</v>
      </c>
      <c r="V87" s="208">
        <v>20227</v>
      </c>
      <c r="W87" s="208">
        <v>0</v>
      </c>
      <c r="X87" s="208">
        <v>20227</v>
      </c>
      <c r="Y87" s="208">
        <v>-119181</v>
      </c>
      <c r="Z87" s="208">
        <v>0</v>
      </c>
      <c r="AA87" s="208">
        <v>-119181</v>
      </c>
      <c r="AB87" s="208">
        <v>-1029183</v>
      </c>
      <c r="AC87" s="208">
        <v>0</v>
      </c>
      <c r="AD87" s="208">
        <v>-1029183</v>
      </c>
      <c r="AE87" s="208">
        <v>20403007</v>
      </c>
      <c r="AF87" s="208">
        <v>198405</v>
      </c>
      <c r="AG87" s="208">
        <v>20601412</v>
      </c>
      <c r="AH87" s="208">
        <v>198405</v>
      </c>
      <c r="AI87" s="208">
        <v>198405</v>
      </c>
      <c r="AJ87" s="208">
        <v>840826</v>
      </c>
      <c r="AK87" s="208">
        <v>0</v>
      </c>
      <c r="AL87" s="208">
        <v>840826</v>
      </c>
      <c r="AM87" s="208">
        <v>0</v>
      </c>
      <c r="AN87" s="208">
        <v>0</v>
      </c>
      <c r="AO87" s="208">
        <v>0</v>
      </c>
      <c r="AP87" s="208">
        <v>0</v>
      </c>
      <c r="AQ87" s="208">
        <v>0</v>
      </c>
      <c r="AR87" s="208">
        <v>201303</v>
      </c>
      <c r="AS87" s="208">
        <v>201303</v>
      </c>
      <c r="AT87" s="208">
        <v>0</v>
      </c>
      <c r="AU87" s="208">
        <v>0</v>
      </c>
      <c r="AV87" s="208">
        <v>0</v>
      </c>
      <c r="AW87" s="208">
        <v>0</v>
      </c>
      <c r="AX87" s="208">
        <v>0</v>
      </c>
      <c r="AY87" s="208">
        <v>33564</v>
      </c>
      <c r="AZ87" s="208">
        <v>33564</v>
      </c>
      <c r="BA87" s="208">
        <v>0</v>
      </c>
      <c r="BB87" s="208">
        <v>0</v>
      </c>
      <c r="BC87" s="208">
        <v>0</v>
      </c>
      <c r="BD87" s="208">
        <v>0</v>
      </c>
      <c r="BE87" s="208">
        <v>0</v>
      </c>
      <c r="BF87" s="208">
        <v>0</v>
      </c>
      <c r="BG87" s="208">
        <v>0</v>
      </c>
      <c r="BH87" s="208">
        <v>0</v>
      </c>
      <c r="BI87" s="208">
        <v>0</v>
      </c>
      <c r="BJ87" s="208">
        <v>33564</v>
      </c>
      <c r="BK87" s="208">
        <v>33564</v>
      </c>
      <c r="BL87" s="208">
        <v>969591</v>
      </c>
      <c r="BM87" s="208">
        <v>-600995</v>
      </c>
      <c r="BN87" s="187" t="s">
        <v>252</v>
      </c>
      <c r="BO87" s="187" t="s">
        <v>809</v>
      </c>
      <c r="BP87" s="187" t="s">
        <v>808</v>
      </c>
      <c r="BQ87" s="187" t="s">
        <v>1054</v>
      </c>
    </row>
    <row r="88" spans="1:69" x14ac:dyDescent="0.2">
      <c r="B88" s="429" t="s">
        <v>255</v>
      </c>
      <c r="C88" s="429" t="s">
        <v>254</v>
      </c>
      <c r="D88" s="208">
        <v>36067972</v>
      </c>
      <c r="E88" s="208">
        <v>889793</v>
      </c>
      <c r="F88" s="208">
        <v>36957765</v>
      </c>
      <c r="G88" s="208">
        <v>0</v>
      </c>
      <c r="H88" s="208">
        <v>0</v>
      </c>
      <c r="I88" s="208">
        <v>0</v>
      </c>
      <c r="J88" s="208">
        <v>-105554</v>
      </c>
      <c r="K88" s="208">
        <v>0</v>
      </c>
      <c r="L88" s="208">
        <v>-105554</v>
      </c>
      <c r="M88" s="208">
        <v>6613</v>
      </c>
      <c r="N88" s="208">
        <v>0</v>
      </c>
      <c r="O88" s="208">
        <v>6613</v>
      </c>
      <c r="P88" s="208">
        <v>-76744</v>
      </c>
      <c r="Q88" s="208">
        <v>0</v>
      </c>
      <c r="R88" s="208">
        <v>-76744</v>
      </c>
      <c r="S88" s="208">
        <v>118203</v>
      </c>
      <c r="T88" s="208">
        <v>0</v>
      </c>
      <c r="U88" s="208">
        <v>118203</v>
      </c>
      <c r="V88" s="208">
        <v>378489</v>
      </c>
      <c r="W88" s="208">
        <v>0</v>
      </c>
      <c r="X88" s="208">
        <v>378489</v>
      </c>
      <c r="Y88" s="208">
        <v>63634</v>
      </c>
      <c r="Z88" s="208">
        <v>4342</v>
      </c>
      <c r="AA88" s="208">
        <v>67976</v>
      </c>
      <c r="AB88" s="208">
        <v>-552935</v>
      </c>
      <c r="AC88" s="208">
        <v>-13144</v>
      </c>
      <c r="AD88" s="208">
        <v>-566079</v>
      </c>
      <c r="AE88" s="208">
        <v>36005232</v>
      </c>
      <c r="AF88" s="208">
        <v>880991</v>
      </c>
      <c r="AG88" s="208">
        <v>36886223</v>
      </c>
      <c r="AH88" s="208">
        <v>880991</v>
      </c>
      <c r="AI88" s="208">
        <v>880991</v>
      </c>
      <c r="AJ88" s="208">
        <v>313813</v>
      </c>
      <c r="AK88" s="208">
        <v>0</v>
      </c>
      <c r="AL88" s="208">
        <v>313813</v>
      </c>
      <c r="AM88" s="208">
        <v>0</v>
      </c>
      <c r="AN88" s="208">
        <v>0</v>
      </c>
      <c r="AO88" s="208">
        <v>0</v>
      </c>
      <c r="AP88" s="208">
        <v>3459</v>
      </c>
      <c r="AQ88" s="208">
        <v>3459</v>
      </c>
      <c r="AR88" s="208">
        <v>658138</v>
      </c>
      <c r="AS88" s="208">
        <v>658138</v>
      </c>
      <c r="AT88" s="208">
        <v>232987</v>
      </c>
      <c r="AU88" s="208">
        <v>0</v>
      </c>
      <c r="AV88" s="208">
        <v>184445</v>
      </c>
      <c r="AW88" s="208">
        <v>184445</v>
      </c>
      <c r="AX88" s="208">
        <v>0</v>
      </c>
      <c r="AY88" s="208">
        <v>0</v>
      </c>
      <c r="AZ88" s="208">
        <v>0</v>
      </c>
      <c r="BA88" s="208">
        <v>0</v>
      </c>
      <c r="BB88" s="208">
        <v>0</v>
      </c>
      <c r="BC88" s="208">
        <v>0</v>
      </c>
      <c r="BD88" s="208">
        <v>0</v>
      </c>
      <c r="BE88" s="208">
        <v>0</v>
      </c>
      <c r="BF88" s="208">
        <v>0</v>
      </c>
      <c r="BG88" s="208">
        <v>0</v>
      </c>
      <c r="BH88" s="208">
        <v>0</v>
      </c>
      <c r="BI88" s="208">
        <v>0</v>
      </c>
      <c r="BJ88" s="208">
        <v>0</v>
      </c>
      <c r="BK88" s="208">
        <v>0</v>
      </c>
      <c r="BL88" s="208">
        <v>567280</v>
      </c>
      <c r="BM88" s="208">
        <v>-739288</v>
      </c>
      <c r="BN88" s="187" t="s">
        <v>254</v>
      </c>
      <c r="BO88" s="187" t="s">
        <v>772</v>
      </c>
      <c r="BP88" s="187" t="s">
        <v>768</v>
      </c>
      <c r="BQ88" s="187" t="s">
        <v>1054</v>
      </c>
    </row>
    <row r="89" spans="1:69" x14ac:dyDescent="0.2">
      <c r="B89" s="429" t="s">
        <v>257</v>
      </c>
      <c r="C89" s="429" t="s">
        <v>256</v>
      </c>
      <c r="D89" s="208">
        <v>22629314</v>
      </c>
      <c r="E89" s="208">
        <v>0</v>
      </c>
      <c r="F89" s="208">
        <v>22629314</v>
      </c>
      <c r="G89" s="208">
        <v>0</v>
      </c>
      <c r="H89" s="208">
        <v>0</v>
      </c>
      <c r="I89" s="208">
        <v>0</v>
      </c>
      <c r="J89" s="208">
        <v>-150937</v>
      </c>
      <c r="K89" s="208">
        <v>0</v>
      </c>
      <c r="L89" s="208">
        <v>-150937</v>
      </c>
      <c r="M89" s="208">
        <v>0</v>
      </c>
      <c r="N89" s="208">
        <v>0</v>
      </c>
      <c r="O89" s="208">
        <v>0</v>
      </c>
      <c r="P89" s="208">
        <v>-137421</v>
      </c>
      <c r="Q89" s="208">
        <v>0</v>
      </c>
      <c r="R89" s="208">
        <v>-137421</v>
      </c>
      <c r="S89" s="208">
        <v>386879</v>
      </c>
      <c r="T89" s="208">
        <v>0</v>
      </c>
      <c r="U89" s="208">
        <v>386879</v>
      </c>
      <c r="V89" s="208">
        <v>0</v>
      </c>
      <c r="W89" s="208">
        <v>0</v>
      </c>
      <c r="X89" s="208">
        <v>0</v>
      </c>
      <c r="Y89" s="208">
        <v>-500000</v>
      </c>
      <c r="Z89" s="208">
        <v>0</v>
      </c>
      <c r="AA89" s="208">
        <v>-500000</v>
      </c>
      <c r="AB89" s="208">
        <v>-450000</v>
      </c>
      <c r="AC89" s="208">
        <v>0</v>
      </c>
      <c r="AD89" s="208">
        <v>-450000</v>
      </c>
      <c r="AE89" s="208">
        <v>21928772</v>
      </c>
      <c r="AF89" s="208">
        <v>0</v>
      </c>
      <c r="AG89" s="208">
        <v>21928772</v>
      </c>
      <c r="AH89" s="208">
        <v>0</v>
      </c>
      <c r="AI89" s="208">
        <v>0</v>
      </c>
      <c r="AJ89" s="208">
        <v>210243</v>
      </c>
      <c r="AK89" s="208">
        <v>0</v>
      </c>
      <c r="AL89" s="208">
        <v>210243</v>
      </c>
      <c r="AM89" s="208">
        <v>0</v>
      </c>
      <c r="AN89" s="208">
        <v>0</v>
      </c>
      <c r="AO89" s="208">
        <v>0</v>
      </c>
      <c r="AP89" s="208">
        <v>0</v>
      </c>
      <c r="AQ89" s="208">
        <v>0</v>
      </c>
      <c r="AR89" s="208">
        <v>0</v>
      </c>
      <c r="AS89" s="208">
        <v>0</v>
      </c>
      <c r="AT89" s="208">
        <v>0</v>
      </c>
      <c r="AU89" s="208">
        <v>0</v>
      </c>
      <c r="AV89" s="208">
        <v>0</v>
      </c>
      <c r="AW89" s="208">
        <v>0</v>
      </c>
      <c r="AX89" s="208">
        <v>0</v>
      </c>
      <c r="AY89" s="208">
        <v>0</v>
      </c>
      <c r="AZ89" s="208">
        <v>0</v>
      </c>
      <c r="BA89" s="208">
        <v>0</v>
      </c>
      <c r="BB89" s="208">
        <v>0</v>
      </c>
      <c r="BC89" s="208">
        <v>0</v>
      </c>
      <c r="BD89" s="208">
        <v>0</v>
      </c>
      <c r="BE89" s="208">
        <v>0</v>
      </c>
      <c r="BF89" s="208">
        <v>0</v>
      </c>
      <c r="BG89" s="208">
        <v>0</v>
      </c>
      <c r="BH89" s="208">
        <v>0</v>
      </c>
      <c r="BI89" s="208">
        <v>0</v>
      </c>
      <c r="BJ89" s="208">
        <v>0</v>
      </c>
      <c r="BK89" s="208">
        <v>0</v>
      </c>
      <c r="BL89" s="208">
        <v>626024</v>
      </c>
      <c r="BM89" s="208">
        <v>-488706</v>
      </c>
      <c r="BN89" s="187" t="s">
        <v>256</v>
      </c>
      <c r="BO89" s="187" t="s">
        <v>765</v>
      </c>
      <c r="BP89" s="187" t="s">
        <v>764</v>
      </c>
      <c r="BQ89" s="187" t="s">
        <v>1054</v>
      </c>
    </row>
    <row r="90" spans="1:69" x14ac:dyDescent="0.2">
      <c r="B90" s="429" t="s">
        <v>259</v>
      </c>
      <c r="C90" s="429" t="s">
        <v>258</v>
      </c>
      <c r="D90" s="208">
        <v>31263702</v>
      </c>
      <c r="E90" s="208">
        <v>37657</v>
      </c>
      <c r="F90" s="208">
        <v>31301359</v>
      </c>
      <c r="G90" s="208">
        <v>0</v>
      </c>
      <c r="H90" s="208">
        <v>0</v>
      </c>
      <c r="I90" s="208">
        <v>0</v>
      </c>
      <c r="J90" s="208">
        <v>-157504</v>
      </c>
      <c r="K90" s="208">
        <v>0</v>
      </c>
      <c r="L90" s="208">
        <v>-157504</v>
      </c>
      <c r="M90" s="208">
        <v>0</v>
      </c>
      <c r="N90" s="208">
        <v>0</v>
      </c>
      <c r="O90" s="208">
        <v>0</v>
      </c>
      <c r="P90" s="208">
        <v>-282304</v>
      </c>
      <c r="Q90" s="208">
        <v>0</v>
      </c>
      <c r="R90" s="208">
        <v>-282304</v>
      </c>
      <c r="S90" s="208">
        <v>1893230</v>
      </c>
      <c r="T90" s="208">
        <v>0</v>
      </c>
      <c r="U90" s="208">
        <v>1893230</v>
      </c>
      <c r="V90" s="208">
        <v>0</v>
      </c>
      <c r="W90" s="208">
        <v>0</v>
      </c>
      <c r="X90" s="208">
        <v>0</v>
      </c>
      <c r="Y90" s="208">
        <v>-225578</v>
      </c>
      <c r="Z90" s="208">
        <v>0</v>
      </c>
      <c r="AA90" s="208">
        <v>-225578</v>
      </c>
      <c r="AB90" s="208">
        <v>-2785013</v>
      </c>
      <c r="AC90" s="208">
        <v>0</v>
      </c>
      <c r="AD90" s="208">
        <v>-2785013</v>
      </c>
      <c r="AE90" s="208">
        <v>29864037</v>
      </c>
      <c r="AF90" s="208">
        <v>37657</v>
      </c>
      <c r="AG90" s="208">
        <v>29901694</v>
      </c>
      <c r="AH90" s="208">
        <v>37657</v>
      </c>
      <c r="AI90" s="208">
        <v>37657</v>
      </c>
      <c r="AJ90" s="208">
        <v>0</v>
      </c>
      <c r="AK90" s="208">
        <v>0</v>
      </c>
      <c r="AL90" s="208">
        <v>0</v>
      </c>
      <c r="AM90" s="208">
        <v>0</v>
      </c>
      <c r="AN90" s="208">
        <v>0</v>
      </c>
      <c r="AO90" s="208">
        <v>0</v>
      </c>
      <c r="AP90" s="208">
        <v>0</v>
      </c>
      <c r="AQ90" s="208">
        <v>0</v>
      </c>
      <c r="AR90" s="208">
        <v>0</v>
      </c>
      <c r="AS90" s="208">
        <v>0</v>
      </c>
      <c r="AT90" s="208">
        <v>37657</v>
      </c>
      <c r="AU90" s="208">
        <v>0</v>
      </c>
      <c r="AV90" s="208">
        <v>0</v>
      </c>
      <c r="AW90" s="208">
        <v>0</v>
      </c>
      <c r="AX90" s="208">
        <v>0</v>
      </c>
      <c r="AY90" s="208">
        <v>16126</v>
      </c>
      <c r="AZ90" s="208">
        <v>16126</v>
      </c>
      <c r="BA90" s="208">
        <v>0</v>
      </c>
      <c r="BB90" s="208">
        <v>0</v>
      </c>
      <c r="BC90" s="208">
        <v>0</v>
      </c>
      <c r="BD90" s="208">
        <v>0</v>
      </c>
      <c r="BE90" s="208">
        <v>0</v>
      </c>
      <c r="BF90" s="208">
        <v>0</v>
      </c>
      <c r="BG90" s="208">
        <v>0</v>
      </c>
      <c r="BH90" s="208">
        <v>0</v>
      </c>
      <c r="BI90" s="208">
        <v>0</v>
      </c>
      <c r="BJ90" s="208">
        <v>16126</v>
      </c>
      <c r="BK90" s="208">
        <v>16126</v>
      </c>
      <c r="BL90" s="208">
        <v>1234427</v>
      </c>
      <c r="BM90" s="208">
        <v>-629446</v>
      </c>
      <c r="BN90" s="187" t="s">
        <v>258</v>
      </c>
      <c r="BO90" s="187" t="s">
        <v>761</v>
      </c>
      <c r="BP90" s="187" t="s">
        <v>760</v>
      </c>
      <c r="BQ90" s="187" t="s">
        <v>1054</v>
      </c>
    </row>
    <row r="91" spans="1:69" x14ac:dyDescent="0.2">
      <c r="B91" s="429" t="s">
        <v>261</v>
      </c>
      <c r="C91" s="429" t="s">
        <v>260</v>
      </c>
      <c r="D91" s="208">
        <v>43908130</v>
      </c>
      <c r="E91" s="208">
        <v>0</v>
      </c>
      <c r="F91" s="208">
        <v>43908130</v>
      </c>
      <c r="G91" s="208">
        <v>0</v>
      </c>
      <c r="H91" s="208">
        <v>0</v>
      </c>
      <c r="I91" s="208">
        <v>0</v>
      </c>
      <c r="J91" s="208">
        <v>-306566</v>
      </c>
      <c r="K91" s="208">
        <v>0</v>
      </c>
      <c r="L91" s="208">
        <v>-306566</v>
      </c>
      <c r="M91" s="208">
        <v>0</v>
      </c>
      <c r="N91" s="208">
        <v>0</v>
      </c>
      <c r="O91" s="208">
        <v>0</v>
      </c>
      <c r="P91" s="208">
        <v>-563637</v>
      </c>
      <c r="Q91" s="208">
        <v>0</v>
      </c>
      <c r="R91" s="208">
        <v>-563637</v>
      </c>
      <c r="S91" s="208">
        <v>800550</v>
      </c>
      <c r="T91" s="208">
        <v>0</v>
      </c>
      <c r="U91" s="208">
        <v>800550</v>
      </c>
      <c r="V91" s="208">
        <v>0</v>
      </c>
      <c r="W91" s="208">
        <v>0</v>
      </c>
      <c r="X91" s="208">
        <v>0</v>
      </c>
      <c r="Y91" s="208">
        <v>-965537</v>
      </c>
      <c r="Z91" s="208">
        <v>0</v>
      </c>
      <c r="AA91" s="208">
        <v>-965537</v>
      </c>
      <c r="AB91" s="208">
        <v>0</v>
      </c>
      <c r="AC91" s="208">
        <v>0</v>
      </c>
      <c r="AD91" s="208">
        <v>0</v>
      </c>
      <c r="AE91" s="208">
        <v>43179506</v>
      </c>
      <c r="AF91" s="208">
        <v>0</v>
      </c>
      <c r="AG91" s="208">
        <v>43179506</v>
      </c>
      <c r="AH91" s="208">
        <v>0</v>
      </c>
      <c r="AI91" s="208">
        <v>0</v>
      </c>
      <c r="AJ91" s="208">
        <v>0</v>
      </c>
      <c r="AK91" s="208">
        <v>0</v>
      </c>
      <c r="AL91" s="208">
        <v>0</v>
      </c>
      <c r="AM91" s="208">
        <v>0</v>
      </c>
      <c r="AN91" s="208">
        <v>0</v>
      </c>
      <c r="AO91" s="208">
        <v>0</v>
      </c>
      <c r="AP91" s="208">
        <v>0</v>
      </c>
      <c r="AQ91" s="208">
        <v>0</v>
      </c>
      <c r="AR91" s="208">
        <v>0</v>
      </c>
      <c r="AS91" s="208">
        <v>0</v>
      </c>
      <c r="AT91" s="208">
        <v>0</v>
      </c>
      <c r="AU91" s="208">
        <v>0</v>
      </c>
      <c r="AV91" s="208">
        <v>0</v>
      </c>
      <c r="AW91" s="208">
        <v>0</v>
      </c>
      <c r="AX91" s="208">
        <v>0</v>
      </c>
      <c r="AY91" s="208">
        <v>0</v>
      </c>
      <c r="AZ91" s="208">
        <v>0</v>
      </c>
      <c r="BA91" s="208">
        <v>0</v>
      </c>
      <c r="BB91" s="208">
        <v>0</v>
      </c>
      <c r="BC91" s="208">
        <v>0</v>
      </c>
      <c r="BD91" s="208">
        <v>0</v>
      </c>
      <c r="BE91" s="208">
        <v>0</v>
      </c>
      <c r="BF91" s="208">
        <v>0</v>
      </c>
      <c r="BG91" s="208">
        <v>0</v>
      </c>
      <c r="BH91" s="208">
        <v>0</v>
      </c>
      <c r="BI91" s="208">
        <v>0</v>
      </c>
      <c r="BJ91" s="208">
        <v>0</v>
      </c>
      <c r="BK91" s="208">
        <v>0</v>
      </c>
      <c r="BL91" s="208">
        <v>1251351</v>
      </c>
      <c r="BM91" s="208">
        <v>-897871</v>
      </c>
      <c r="BN91" s="187" t="s">
        <v>260</v>
      </c>
      <c r="BO91" s="187" t="s">
        <v>774</v>
      </c>
      <c r="BP91" s="187" t="s">
        <v>751</v>
      </c>
      <c r="BQ91" s="187" t="s">
        <v>1054</v>
      </c>
    </row>
    <row r="92" spans="1:69" x14ac:dyDescent="0.2">
      <c r="B92" s="429" t="s">
        <v>263</v>
      </c>
      <c r="C92" s="429" t="s">
        <v>262</v>
      </c>
      <c r="D92" s="208">
        <v>35560812</v>
      </c>
      <c r="E92" s="208">
        <v>0</v>
      </c>
      <c r="F92" s="208">
        <v>35560812</v>
      </c>
      <c r="G92" s="208">
        <v>0</v>
      </c>
      <c r="H92" s="208">
        <v>0</v>
      </c>
      <c r="I92" s="208">
        <v>0</v>
      </c>
      <c r="J92" s="208">
        <v>1681</v>
      </c>
      <c r="K92" s="208">
        <v>0</v>
      </c>
      <c r="L92" s="208">
        <v>1681</v>
      </c>
      <c r="M92" s="208">
        <v>0</v>
      </c>
      <c r="N92" s="208">
        <v>0</v>
      </c>
      <c r="O92" s="208">
        <v>0</v>
      </c>
      <c r="P92" s="208">
        <v>-95315</v>
      </c>
      <c r="Q92" s="208">
        <v>0</v>
      </c>
      <c r="R92" s="208">
        <v>-95315</v>
      </c>
      <c r="S92" s="208">
        <v>376336</v>
      </c>
      <c r="T92" s="208">
        <v>0</v>
      </c>
      <c r="U92" s="208">
        <v>376336</v>
      </c>
      <c r="V92" s="208">
        <v>0</v>
      </c>
      <c r="W92" s="208">
        <v>0</v>
      </c>
      <c r="X92" s="208">
        <v>0</v>
      </c>
      <c r="Y92" s="208">
        <v>668652</v>
      </c>
      <c r="Z92" s="208">
        <v>0</v>
      </c>
      <c r="AA92" s="208">
        <v>668652</v>
      </c>
      <c r="AB92" s="208">
        <v>811012</v>
      </c>
      <c r="AC92" s="208">
        <v>0</v>
      </c>
      <c r="AD92" s="208">
        <v>811012</v>
      </c>
      <c r="AE92" s="208">
        <v>37321497</v>
      </c>
      <c r="AF92" s="208">
        <v>0</v>
      </c>
      <c r="AG92" s="208">
        <v>37321497</v>
      </c>
      <c r="AH92" s="208">
        <v>0</v>
      </c>
      <c r="AI92" s="208">
        <v>0</v>
      </c>
      <c r="AJ92" s="208">
        <v>756684</v>
      </c>
      <c r="AK92" s="208">
        <v>0</v>
      </c>
      <c r="AL92" s="208">
        <v>756684</v>
      </c>
      <c r="AM92" s="208">
        <v>0</v>
      </c>
      <c r="AN92" s="208">
        <v>0</v>
      </c>
      <c r="AO92" s="208">
        <v>0</v>
      </c>
      <c r="AP92" s="208">
        <v>0</v>
      </c>
      <c r="AQ92" s="208">
        <v>0</v>
      </c>
      <c r="AR92" s="208">
        <v>0</v>
      </c>
      <c r="AS92" s="208">
        <v>0</v>
      </c>
      <c r="AT92" s="208">
        <v>0</v>
      </c>
      <c r="AU92" s="208">
        <v>0</v>
      </c>
      <c r="AV92" s="208">
        <v>0</v>
      </c>
      <c r="AW92" s="208">
        <v>0</v>
      </c>
      <c r="AX92" s="208">
        <v>0</v>
      </c>
      <c r="AY92" s="208">
        <v>0</v>
      </c>
      <c r="AZ92" s="208">
        <v>0</v>
      </c>
      <c r="BA92" s="208">
        <v>0</v>
      </c>
      <c r="BB92" s="208">
        <v>0</v>
      </c>
      <c r="BC92" s="208">
        <v>0</v>
      </c>
      <c r="BD92" s="208">
        <v>0</v>
      </c>
      <c r="BE92" s="208">
        <v>0</v>
      </c>
      <c r="BF92" s="208">
        <v>0</v>
      </c>
      <c r="BG92" s="208">
        <v>0</v>
      </c>
      <c r="BH92" s="208">
        <v>0</v>
      </c>
      <c r="BI92" s="208">
        <v>0</v>
      </c>
      <c r="BJ92" s="208">
        <v>0</v>
      </c>
      <c r="BK92" s="208">
        <v>0</v>
      </c>
      <c r="BL92" s="208">
        <v>3661049</v>
      </c>
      <c r="BM92" s="208">
        <v>-755097</v>
      </c>
      <c r="BN92" s="187" t="s">
        <v>262</v>
      </c>
      <c r="BO92" s="187" t="s">
        <v>771</v>
      </c>
      <c r="BP92" s="187" t="s">
        <v>751</v>
      </c>
      <c r="BQ92" s="187" t="s">
        <v>1054</v>
      </c>
    </row>
    <row r="93" spans="1:69" x14ac:dyDescent="0.2">
      <c r="A93" s="187" t="s">
        <v>1811</v>
      </c>
      <c r="B93" s="429" t="s">
        <v>265</v>
      </c>
      <c r="C93" s="429" t="s">
        <v>264</v>
      </c>
      <c r="D93" s="208">
        <v>32991832</v>
      </c>
      <c r="E93" s="208">
        <v>0</v>
      </c>
      <c r="F93" s="208">
        <v>32991832</v>
      </c>
      <c r="G93" s="208">
        <v>0</v>
      </c>
      <c r="H93" s="208">
        <v>0</v>
      </c>
      <c r="I93" s="208">
        <v>0</v>
      </c>
      <c r="J93" s="208">
        <v>-80339</v>
      </c>
      <c r="K93" s="208">
        <v>0</v>
      </c>
      <c r="L93" s="208">
        <v>-80339</v>
      </c>
      <c r="M93" s="208">
        <v>0</v>
      </c>
      <c r="N93" s="208">
        <v>0</v>
      </c>
      <c r="O93" s="208">
        <v>0</v>
      </c>
      <c r="P93" s="208">
        <v>220940</v>
      </c>
      <c r="Q93" s="208">
        <v>0</v>
      </c>
      <c r="R93" s="208">
        <v>220940</v>
      </c>
      <c r="S93" s="208">
        <v>37380</v>
      </c>
      <c r="T93" s="208">
        <v>0</v>
      </c>
      <c r="U93" s="208">
        <v>37380</v>
      </c>
      <c r="V93" s="208">
        <v>0</v>
      </c>
      <c r="W93" s="208">
        <v>0</v>
      </c>
      <c r="X93" s="208">
        <v>0</v>
      </c>
      <c r="Y93" s="208">
        <v>1147211</v>
      </c>
      <c r="Z93" s="208">
        <v>0</v>
      </c>
      <c r="AA93" s="208">
        <v>1147211</v>
      </c>
      <c r="AB93" s="208">
        <v>-775308</v>
      </c>
      <c r="AC93" s="208">
        <v>0</v>
      </c>
      <c r="AD93" s="208">
        <v>-775308</v>
      </c>
      <c r="AE93" s="208">
        <v>33622055</v>
      </c>
      <c r="AF93" s="208">
        <v>0</v>
      </c>
      <c r="AG93" s="208">
        <v>33622055</v>
      </c>
      <c r="AH93" s="208">
        <v>0</v>
      </c>
      <c r="AI93" s="208">
        <v>0</v>
      </c>
      <c r="AJ93" s="208">
        <v>445962</v>
      </c>
      <c r="AK93" s="208">
        <v>0</v>
      </c>
      <c r="AL93" s="208">
        <v>445962</v>
      </c>
      <c r="AM93" s="208">
        <v>0</v>
      </c>
      <c r="AN93" s="208">
        <v>0</v>
      </c>
      <c r="AO93" s="208">
        <v>0</v>
      </c>
      <c r="AP93" s="208">
        <v>0</v>
      </c>
      <c r="AQ93" s="208">
        <v>0</v>
      </c>
      <c r="AR93" s="208">
        <v>0</v>
      </c>
      <c r="AS93" s="208">
        <v>0</v>
      </c>
      <c r="AT93" s="208">
        <v>0</v>
      </c>
      <c r="AU93" s="208">
        <v>0</v>
      </c>
      <c r="AV93" s="208">
        <v>0</v>
      </c>
      <c r="AW93" s="208">
        <v>0</v>
      </c>
      <c r="AX93" s="208">
        <v>0</v>
      </c>
      <c r="AY93" s="208">
        <v>0</v>
      </c>
      <c r="AZ93" s="208">
        <v>0</v>
      </c>
      <c r="BA93" s="208">
        <v>0</v>
      </c>
      <c r="BB93" s="208">
        <v>0</v>
      </c>
      <c r="BC93" s="208">
        <v>0</v>
      </c>
      <c r="BD93" s="208">
        <v>0</v>
      </c>
      <c r="BE93" s="208">
        <v>0</v>
      </c>
      <c r="BF93" s="208">
        <v>0</v>
      </c>
      <c r="BG93" s="208">
        <v>0</v>
      </c>
      <c r="BH93" s="208">
        <v>0</v>
      </c>
      <c r="BI93" s="208">
        <v>0</v>
      </c>
      <c r="BJ93" s="208">
        <v>0</v>
      </c>
      <c r="BK93" s="208">
        <v>0</v>
      </c>
      <c r="BL93" s="208">
        <v>628991</v>
      </c>
      <c r="BM93" s="208">
        <v>-23041</v>
      </c>
      <c r="BN93" s="187" t="s">
        <v>264</v>
      </c>
      <c r="BO93" s="187" t="s">
        <v>775</v>
      </c>
      <c r="BP93" s="187" t="s">
        <v>751</v>
      </c>
      <c r="BQ93" s="187" t="s">
        <v>1054</v>
      </c>
    </row>
    <row r="94" spans="1:69" x14ac:dyDescent="0.2">
      <c r="B94" s="429" t="s">
        <v>267</v>
      </c>
      <c r="C94" s="429" t="s">
        <v>266</v>
      </c>
      <c r="D94" s="208">
        <v>109576592</v>
      </c>
      <c r="E94" s="208">
        <v>106981</v>
      </c>
      <c r="F94" s="208">
        <v>109683573</v>
      </c>
      <c r="G94" s="208">
        <v>0</v>
      </c>
      <c r="H94" s="208">
        <v>0</v>
      </c>
      <c r="I94" s="208">
        <v>0</v>
      </c>
      <c r="J94" s="208">
        <v>-480437</v>
      </c>
      <c r="K94" s="208">
        <v>0</v>
      </c>
      <c r="L94" s="208">
        <v>-480437</v>
      </c>
      <c r="M94" s="208">
        <v>0</v>
      </c>
      <c r="N94" s="208">
        <v>0</v>
      </c>
      <c r="O94" s="208">
        <v>0</v>
      </c>
      <c r="P94" s="208">
        <v>-393775</v>
      </c>
      <c r="Q94" s="208">
        <v>0</v>
      </c>
      <c r="R94" s="208">
        <v>-393775</v>
      </c>
      <c r="S94" s="208">
        <v>1583108</v>
      </c>
      <c r="T94" s="208">
        <v>0</v>
      </c>
      <c r="U94" s="208">
        <v>1583108</v>
      </c>
      <c r="V94" s="208">
        <v>0</v>
      </c>
      <c r="W94" s="208">
        <v>0</v>
      </c>
      <c r="X94" s="208">
        <v>0</v>
      </c>
      <c r="Y94" s="208">
        <v>-422038</v>
      </c>
      <c r="Z94" s="208">
        <v>0</v>
      </c>
      <c r="AA94" s="208">
        <v>-422038</v>
      </c>
      <c r="AB94" s="208">
        <v>-3273000</v>
      </c>
      <c r="AC94" s="208">
        <v>0</v>
      </c>
      <c r="AD94" s="208">
        <v>-3273000</v>
      </c>
      <c r="AE94" s="208">
        <v>107070887</v>
      </c>
      <c r="AF94" s="208">
        <v>106981</v>
      </c>
      <c r="AG94" s="208">
        <v>107177868</v>
      </c>
      <c r="AH94" s="208">
        <v>106981</v>
      </c>
      <c r="AI94" s="208">
        <v>106981</v>
      </c>
      <c r="AJ94" s="208">
        <v>4614559</v>
      </c>
      <c r="AK94" s="208">
        <v>0</v>
      </c>
      <c r="AL94" s="208">
        <v>4614559</v>
      </c>
      <c r="AM94" s="208">
        <v>0</v>
      </c>
      <c r="AN94" s="208">
        <v>0</v>
      </c>
      <c r="AO94" s="208">
        <v>0</v>
      </c>
      <c r="AP94" s="208">
        <v>0</v>
      </c>
      <c r="AQ94" s="208">
        <v>0</v>
      </c>
      <c r="AR94" s="208">
        <v>140446</v>
      </c>
      <c r="AS94" s="208">
        <v>140446</v>
      </c>
      <c r="AT94" s="208">
        <v>0</v>
      </c>
      <c r="AU94" s="208">
        <v>0</v>
      </c>
      <c r="AV94" s="208">
        <v>0</v>
      </c>
      <c r="AW94" s="208">
        <v>0</v>
      </c>
      <c r="AX94" s="208">
        <v>72183</v>
      </c>
      <c r="AY94" s="208">
        <v>0</v>
      </c>
      <c r="AZ94" s="208">
        <v>72183</v>
      </c>
      <c r="BA94" s="208">
        <v>0</v>
      </c>
      <c r="BB94" s="208">
        <v>0</v>
      </c>
      <c r="BC94" s="208">
        <v>0</v>
      </c>
      <c r="BD94" s="208">
        <v>0</v>
      </c>
      <c r="BE94" s="208">
        <v>0</v>
      </c>
      <c r="BF94" s="208">
        <v>0</v>
      </c>
      <c r="BG94" s="208">
        <v>0</v>
      </c>
      <c r="BH94" s="208">
        <v>0</v>
      </c>
      <c r="BI94" s="208">
        <v>72183</v>
      </c>
      <c r="BJ94" s="208">
        <v>0</v>
      </c>
      <c r="BK94" s="208">
        <v>72183</v>
      </c>
      <c r="BL94" s="208">
        <v>2894718</v>
      </c>
      <c r="BM94" s="208">
        <v>-1135819</v>
      </c>
      <c r="BN94" s="187" t="s">
        <v>850</v>
      </c>
      <c r="BO94" s="187" t="s">
        <v>742</v>
      </c>
      <c r="BP94" s="187" t="s">
        <v>830</v>
      </c>
      <c r="BQ94" s="187" t="s">
        <v>742</v>
      </c>
    </row>
    <row r="95" spans="1:69" x14ac:dyDescent="0.2">
      <c r="B95" s="429" t="s">
        <v>269</v>
      </c>
      <c r="C95" s="429" t="s">
        <v>268</v>
      </c>
      <c r="D95" s="208">
        <v>55747994</v>
      </c>
      <c r="E95" s="208">
        <v>0</v>
      </c>
      <c r="F95" s="208">
        <v>55747994</v>
      </c>
      <c r="G95" s="208">
        <v>0</v>
      </c>
      <c r="H95" s="208">
        <v>0</v>
      </c>
      <c r="I95" s="208">
        <v>0</v>
      </c>
      <c r="J95" s="208">
        <v>-126652</v>
      </c>
      <c r="K95" s="208">
        <v>0</v>
      </c>
      <c r="L95" s="208">
        <v>-126652</v>
      </c>
      <c r="M95" s="208">
        <v>0</v>
      </c>
      <c r="N95" s="208">
        <v>0</v>
      </c>
      <c r="O95" s="208">
        <v>0</v>
      </c>
      <c r="P95" s="208">
        <v>-379280</v>
      </c>
      <c r="Q95" s="208">
        <v>0</v>
      </c>
      <c r="R95" s="208">
        <v>-379280</v>
      </c>
      <c r="S95" s="208">
        <v>4059235</v>
      </c>
      <c r="T95" s="208">
        <v>0</v>
      </c>
      <c r="U95" s="208">
        <v>4059235</v>
      </c>
      <c r="V95" s="208">
        <v>0</v>
      </c>
      <c r="W95" s="208">
        <v>0</v>
      </c>
      <c r="X95" s="208">
        <v>0</v>
      </c>
      <c r="Y95" s="208">
        <v>-4711632</v>
      </c>
      <c r="Z95" s="208">
        <v>0</v>
      </c>
      <c r="AA95" s="208">
        <v>-4711632</v>
      </c>
      <c r="AB95" s="208">
        <v>-1500658</v>
      </c>
      <c r="AC95" s="208">
        <v>0</v>
      </c>
      <c r="AD95" s="208">
        <v>-1500658</v>
      </c>
      <c r="AE95" s="208">
        <v>53215659</v>
      </c>
      <c r="AF95" s="208">
        <v>0</v>
      </c>
      <c r="AG95" s="208">
        <v>53215659</v>
      </c>
      <c r="AH95" s="208">
        <v>0</v>
      </c>
      <c r="AI95" s="208">
        <v>0</v>
      </c>
      <c r="AJ95" s="208">
        <v>0</v>
      </c>
      <c r="AK95" s="208">
        <v>0</v>
      </c>
      <c r="AL95" s="208">
        <v>0</v>
      </c>
      <c r="AM95" s="208">
        <v>0</v>
      </c>
      <c r="AN95" s="208">
        <v>0</v>
      </c>
      <c r="AO95" s="208">
        <v>0</v>
      </c>
      <c r="AP95" s="208">
        <v>0</v>
      </c>
      <c r="AQ95" s="208">
        <v>0</v>
      </c>
      <c r="AR95" s="208">
        <v>0</v>
      </c>
      <c r="AS95" s="208">
        <v>0</v>
      </c>
      <c r="AT95" s="208">
        <v>0</v>
      </c>
      <c r="AU95" s="208">
        <v>0</v>
      </c>
      <c r="AV95" s="208">
        <v>0</v>
      </c>
      <c r="AW95" s="208">
        <v>0</v>
      </c>
      <c r="AX95" s="208">
        <v>0</v>
      </c>
      <c r="AY95" s="208">
        <v>0</v>
      </c>
      <c r="AZ95" s="208">
        <v>0</v>
      </c>
      <c r="BA95" s="208">
        <v>0</v>
      </c>
      <c r="BB95" s="208">
        <v>0</v>
      </c>
      <c r="BC95" s="208">
        <v>0</v>
      </c>
      <c r="BD95" s="208">
        <v>0</v>
      </c>
      <c r="BE95" s="208">
        <v>0</v>
      </c>
      <c r="BF95" s="208">
        <v>0</v>
      </c>
      <c r="BG95" s="208">
        <v>0</v>
      </c>
      <c r="BH95" s="208">
        <v>0</v>
      </c>
      <c r="BI95" s="208">
        <v>0</v>
      </c>
      <c r="BJ95" s="208">
        <v>0</v>
      </c>
      <c r="BK95" s="208">
        <v>0</v>
      </c>
      <c r="BL95" s="208">
        <v>2569986</v>
      </c>
      <c r="BM95" s="208">
        <v>-1450688</v>
      </c>
      <c r="BN95" s="187" t="s">
        <v>268</v>
      </c>
      <c r="BO95" s="187" t="s">
        <v>794</v>
      </c>
      <c r="BP95" s="187" t="s">
        <v>793</v>
      </c>
      <c r="BQ95" s="187" t="s">
        <v>1054</v>
      </c>
    </row>
    <row r="96" spans="1:69" x14ac:dyDescent="0.2">
      <c r="A96" s="187" t="s">
        <v>1811</v>
      </c>
      <c r="B96" s="429" t="s">
        <v>271</v>
      </c>
      <c r="C96" s="429" t="s">
        <v>270</v>
      </c>
      <c r="D96" s="208">
        <v>34526553</v>
      </c>
      <c r="E96" s="208">
        <v>0</v>
      </c>
      <c r="F96" s="208">
        <v>34526553</v>
      </c>
      <c r="G96" s="208">
        <v>0</v>
      </c>
      <c r="H96" s="208">
        <v>0</v>
      </c>
      <c r="I96" s="208">
        <v>0</v>
      </c>
      <c r="J96" s="208">
        <v>-37226.69</v>
      </c>
      <c r="K96" s="208">
        <v>0</v>
      </c>
      <c r="L96" s="208">
        <v>-37226.69</v>
      </c>
      <c r="M96" s="208">
        <v>0</v>
      </c>
      <c r="N96" s="208">
        <v>0</v>
      </c>
      <c r="O96" s="208">
        <v>0</v>
      </c>
      <c r="P96" s="208">
        <v>-51789</v>
      </c>
      <c r="Q96" s="208">
        <v>0</v>
      </c>
      <c r="R96" s="208">
        <v>-51789</v>
      </c>
      <c r="S96" s="208">
        <v>404213</v>
      </c>
      <c r="T96" s="208">
        <v>0</v>
      </c>
      <c r="U96" s="208">
        <v>404213</v>
      </c>
      <c r="V96" s="208">
        <v>0</v>
      </c>
      <c r="W96" s="208">
        <v>0</v>
      </c>
      <c r="X96" s="208">
        <v>0</v>
      </c>
      <c r="Y96" s="208">
        <v>-299242</v>
      </c>
      <c r="Z96" s="208">
        <v>0</v>
      </c>
      <c r="AA96" s="208">
        <v>-299242</v>
      </c>
      <c r="AB96" s="208">
        <v>-417815</v>
      </c>
      <c r="AC96" s="208">
        <v>0</v>
      </c>
      <c r="AD96" s="208">
        <v>-417815</v>
      </c>
      <c r="AE96" s="208">
        <v>34161920</v>
      </c>
      <c r="AF96" s="208">
        <v>0</v>
      </c>
      <c r="AG96" s="208">
        <v>34161920</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08">
        <v>0</v>
      </c>
      <c r="AX96" s="208">
        <v>0</v>
      </c>
      <c r="AY96" s="208">
        <v>0</v>
      </c>
      <c r="AZ96" s="208">
        <v>0</v>
      </c>
      <c r="BA96" s="208">
        <v>0</v>
      </c>
      <c r="BB96" s="208">
        <v>0</v>
      </c>
      <c r="BC96" s="208">
        <v>0</v>
      </c>
      <c r="BD96" s="208">
        <v>0</v>
      </c>
      <c r="BE96" s="208">
        <v>0</v>
      </c>
      <c r="BF96" s="208">
        <v>0</v>
      </c>
      <c r="BG96" s="208">
        <v>0</v>
      </c>
      <c r="BH96" s="208">
        <v>0</v>
      </c>
      <c r="BI96" s="208">
        <v>0</v>
      </c>
      <c r="BJ96" s="208">
        <v>0</v>
      </c>
      <c r="BK96" s="208">
        <v>0</v>
      </c>
      <c r="BL96" s="208">
        <v>2166934</v>
      </c>
      <c r="BM96" s="208">
        <v>-1403684</v>
      </c>
      <c r="BN96" s="187" t="s">
        <v>270</v>
      </c>
      <c r="BO96" s="187" t="s">
        <v>777</v>
      </c>
      <c r="BP96" s="187" t="s">
        <v>776</v>
      </c>
      <c r="BQ96" s="187" t="s">
        <v>1054</v>
      </c>
    </row>
    <row r="97" spans="1:69" x14ac:dyDescent="0.2">
      <c r="B97" s="429" t="s">
        <v>273</v>
      </c>
      <c r="C97" s="429" t="s">
        <v>272</v>
      </c>
      <c r="D97" s="208">
        <v>60367639</v>
      </c>
      <c r="E97" s="208">
        <v>0</v>
      </c>
      <c r="F97" s="208">
        <v>60367639</v>
      </c>
      <c r="G97" s="208">
        <v>0</v>
      </c>
      <c r="H97" s="208">
        <v>0</v>
      </c>
      <c r="I97" s="208">
        <v>0</v>
      </c>
      <c r="J97" s="208">
        <v>-366833</v>
      </c>
      <c r="K97" s="208">
        <v>0</v>
      </c>
      <c r="L97" s="208">
        <v>-366833</v>
      </c>
      <c r="M97" s="208">
        <v>0</v>
      </c>
      <c r="N97" s="208">
        <v>0</v>
      </c>
      <c r="O97" s="208">
        <v>0</v>
      </c>
      <c r="P97" s="208">
        <v>-277617</v>
      </c>
      <c r="Q97" s="208">
        <v>0</v>
      </c>
      <c r="R97" s="208">
        <v>-277617</v>
      </c>
      <c r="S97" s="208">
        <v>74479</v>
      </c>
      <c r="T97" s="208">
        <v>0</v>
      </c>
      <c r="U97" s="208">
        <v>74479</v>
      </c>
      <c r="V97" s="208">
        <v>574363</v>
      </c>
      <c r="W97" s="208">
        <v>0</v>
      </c>
      <c r="X97" s="208">
        <v>574363</v>
      </c>
      <c r="Y97" s="208">
        <v>293131</v>
      </c>
      <c r="Z97" s="208">
        <v>0</v>
      </c>
      <c r="AA97" s="208">
        <v>293131</v>
      </c>
      <c r="AB97" s="208">
        <v>-1985249</v>
      </c>
      <c r="AC97" s="208">
        <v>0</v>
      </c>
      <c r="AD97" s="208">
        <v>-1985249</v>
      </c>
      <c r="AE97" s="208">
        <v>59046746</v>
      </c>
      <c r="AF97" s="208">
        <v>0</v>
      </c>
      <c r="AG97" s="208">
        <v>59046746</v>
      </c>
      <c r="AH97" s="208">
        <v>0</v>
      </c>
      <c r="AI97" s="208">
        <v>0</v>
      </c>
      <c r="AJ97" s="208">
        <v>0</v>
      </c>
      <c r="AK97" s="208">
        <v>0</v>
      </c>
      <c r="AL97" s="208">
        <v>0</v>
      </c>
      <c r="AM97" s="208">
        <v>0</v>
      </c>
      <c r="AN97" s="208">
        <v>0</v>
      </c>
      <c r="AO97" s="208">
        <v>0</v>
      </c>
      <c r="AP97" s="208">
        <v>0</v>
      </c>
      <c r="AQ97" s="208">
        <v>0</v>
      </c>
      <c r="AR97" s="208">
        <v>0</v>
      </c>
      <c r="AS97" s="208">
        <v>0</v>
      </c>
      <c r="AT97" s="208">
        <v>0</v>
      </c>
      <c r="AU97" s="208">
        <v>0</v>
      </c>
      <c r="AV97" s="208">
        <v>0</v>
      </c>
      <c r="AW97" s="208">
        <v>0</v>
      </c>
      <c r="AX97" s="208">
        <v>0</v>
      </c>
      <c r="AY97" s="208">
        <v>0</v>
      </c>
      <c r="AZ97" s="208">
        <v>0</v>
      </c>
      <c r="BA97" s="208">
        <v>0</v>
      </c>
      <c r="BB97" s="208">
        <v>0</v>
      </c>
      <c r="BC97" s="208">
        <v>0</v>
      </c>
      <c r="BD97" s="208">
        <v>0</v>
      </c>
      <c r="BE97" s="208">
        <v>0</v>
      </c>
      <c r="BF97" s="208">
        <v>0</v>
      </c>
      <c r="BG97" s="208">
        <v>0</v>
      </c>
      <c r="BH97" s="208">
        <v>0</v>
      </c>
      <c r="BI97" s="208">
        <v>0</v>
      </c>
      <c r="BJ97" s="208">
        <v>0</v>
      </c>
      <c r="BK97" s="208">
        <v>0</v>
      </c>
      <c r="BL97" s="208">
        <v>1016809</v>
      </c>
      <c r="BM97" s="208">
        <v>-820658</v>
      </c>
      <c r="BN97" s="187" t="s">
        <v>272</v>
      </c>
      <c r="BO97" s="187" t="s">
        <v>761</v>
      </c>
      <c r="BP97" s="187" t="s">
        <v>760</v>
      </c>
      <c r="BQ97" s="187" t="s">
        <v>1054</v>
      </c>
    </row>
    <row r="98" spans="1:69" x14ac:dyDescent="0.2">
      <c r="A98" s="185"/>
      <c r="B98" s="429" t="s">
        <v>275</v>
      </c>
      <c r="C98" s="429" t="s">
        <v>274</v>
      </c>
      <c r="D98" s="208">
        <v>20522278</v>
      </c>
      <c r="E98" s="208">
        <v>0</v>
      </c>
      <c r="F98" s="208">
        <v>20522278</v>
      </c>
      <c r="G98" s="208">
        <v>0</v>
      </c>
      <c r="H98" s="208">
        <v>0</v>
      </c>
      <c r="I98" s="208">
        <v>0</v>
      </c>
      <c r="J98" s="208">
        <v>-34944</v>
      </c>
      <c r="K98" s="208">
        <v>0</v>
      </c>
      <c r="L98" s="208">
        <v>-34944</v>
      </c>
      <c r="M98" s="208">
        <v>0</v>
      </c>
      <c r="N98" s="208">
        <v>0</v>
      </c>
      <c r="O98" s="208">
        <v>0</v>
      </c>
      <c r="P98" s="208">
        <v>-53721</v>
      </c>
      <c r="Q98" s="208">
        <v>0</v>
      </c>
      <c r="R98" s="208">
        <v>-53721</v>
      </c>
      <c r="S98" s="208">
        <v>483960</v>
      </c>
      <c r="T98" s="208">
        <v>0</v>
      </c>
      <c r="U98" s="208">
        <v>483960</v>
      </c>
      <c r="V98" s="208">
        <v>177185</v>
      </c>
      <c r="W98" s="208">
        <v>0</v>
      </c>
      <c r="X98" s="208">
        <v>177185</v>
      </c>
      <c r="Y98" s="208">
        <v>19219</v>
      </c>
      <c r="Z98" s="208">
        <v>0</v>
      </c>
      <c r="AA98" s="208">
        <v>19219</v>
      </c>
      <c r="AB98" s="208">
        <v>-176097</v>
      </c>
      <c r="AC98" s="208">
        <v>0</v>
      </c>
      <c r="AD98" s="208">
        <v>-176097</v>
      </c>
      <c r="AE98" s="208">
        <v>20972824</v>
      </c>
      <c r="AF98" s="208">
        <v>0</v>
      </c>
      <c r="AG98" s="208">
        <v>20972824</v>
      </c>
      <c r="AH98" s="208">
        <v>0</v>
      </c>
      <c r="AI98" s="208">
        <v>0</v>
      </c>
      <c r="AJ98" s="208">
        <v>20359</v>
      </c>
      <c r="AK98" s="208">
        <v>0</v>
      </c>
      <c r="AL98" s="208">
        <v>20359</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H98" s="208">
        <v>0</v>
      </c>
      <c r="BI98" s="208">
        <v>0</v>
      </c>
      <c r="BJ98" s="208">
        <v>0</v>
      </c>
      <c r="BK98" s="208">
        <v>0</v>
      </c>
      <c r="BL98" s="208">
        <v>871864</v>
      </c>
      <c r="BM98" s="208">
        <v>-293647</v>
      </c>
      <c r="BN98" s="187" t="s">
        <v>274</v>
      </c>
      <c r="BO98" s="187" t="s">
        <v>803</v>
      </c>
      <c r="BP98" s="187" t="s">
        <v>751</v>
      </c>
      <c r="BQ98" s="187" t="s">
        <v>1054</v>
      </c>
    </row>
    <row r="99" spans="1:69" x14ac:dyDescent="0.2">
      <c r="B99" s="429" t="s">
        <v>277</v>
      </c>
      <c r="C99" s="429" t="s">
        <v>276</v>
      </c>
      <c r="D99" s="208">
        <v>63583131</v>
      </c>
      <c r="E99" s="208">
        <v>0</v>
      </c>
      <c r="F99" s="208">
        <v>63583131</v>
      </c>
      <c r="G99" s="208">
        <v>0</v>
      </c>
      <c r="H99" s="208">
        <v>0</v>
      </c>
      <c r="I99" s="208">
        <v>0</v>
      </c>
      <c r="J99" s="208">
        <v>-96953</v>
      </c>
      <c r="K99" s="208">
        <v>0</v>
      </c>
      <c r="L99" s="208">
        <v>-96953</v>
      </c>
      <c r="M99" s="208">
        <v>0</v>
      </c>
      <c r="N99" s="208">
        <v>0</v>
      </c>
      <c r="O99" s="208">
        <v>0</v>
      </c>
      <c r="P99" s="208">
        <v>-329799</v>
      </c>
      <c r="Q99" s="208">
        <v>0</v>
      </c>
      <c r="R99" s="208">
        <v>-329799</v>
      </c>
      <c r="S99" s="208">
        <v>197982</v>
      </c>
      <c r="T99" s="208">
        <v>0</v>
      </c>
      <c r="U99" s="208">
        <v>197982</v>
      </c>
      <c r="V99" s="208">
        <v>47431</v>
      </c>
      <c r="W99" s="208">
        <v>0</v>
      </c>
      <c r="X99" s="208">
        <v>47431</v>
      </c>
      <c r="Y99" s="208">
        <v>123477</v>
      </c>
      <c r="Z99" s="208">
        <v>0</v>
      </c>
      <c r="AA99" s="208">
        <v>123477</v>
      </c>
      <c r="AB99" s="208">
        <v>929134</v>
      </c>
      <c r="AC99" s="208">
        <v>0</v>
      </c>
      <c r="AD99" s="208">
        <v>929134</v>
      </c>
      <c r="AE99" s="208">
        <v>64551356</v>
      </c>
      <c r="AF99" s="208">
        <v>0</v>
      </c>
      <c r="AG99" s="208">
        <v>64551356</v>
      </c>
      <c r="AH99" s="208">
        <v>0</v>
      </c>
      <c r="AI99" s="208">
        <v>0</v>
      </c>
      <c r="AJ99" s="208">
        <v>19741</v>
      </c>
      <c r="AK99" s="208">
        <v>0</v>
      </c>
      <c r="AL99" s="208">
        <v>19741</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0</v>
      </c>
      <c r="BD99" s="208">
        <v>0</v>
      </c>
      <c r="BE99" s="208">
        <v>0</v>
      </c>
      <c r="BF99" s="208">
        <v>0</v>
      </c>
      <c r="BG99" s="208">
        <v>0</v>
      </c>
      <c r="BH99" s="208">
        <v>0</v>
      </c>
      <c r="BI99" s="208">
        <v>0</v>
      </c>
      <c r="BJ99" s="208">
        <v>0</v>
      </c>
      <c r="BK99" s="208">
        <v>0</v>
      </c>
      <c r="BL99" s="208">
        <v>938493</v>
      </c>
      <c r="BM99" s="208">
        <v>-1648511</v>
      </c>
      <c r="BN99" s="187" t="s">
        <v>276</v>
      </c>
      <c r="BO99" s="187" t="s">
        <v>757</v>
      </c>
      <c r="BP99" s="187" t="s">
        <v>751</v>
      </c>
      <c r="BQ99" s="187" t="s">
        <v>1054</v>
      </c>
    </row>
    <row r="100" spans="1:69" x14ac:dyDescent="0.2">
      <c r="B100" s="429" t="s">
        <v>279</v>
      </c>
      <c r="C100" s="429" t="s">
        <v>278</v>
      </c>
      <c r="D100" s="208">
        <v>115378653</v>
      </c>
      <c r="E100" s="208">
        <v>0</v>
      </c>
      <c r="F100" s="208">
        <v>115378653</v>
      </c>
      <c r="G100" s="208">
        <v>0</v>
      </c>
      <c r="H100" s="208">
        <v>0</v>
      </c>
      <c r="I100" s="208">
        <v>0</v>
      </c>
      <c r="J100" s="208">
        <v>-1462778</v>
      </c>
      <c r="K100" s="208">
        <v>0</v>
      </c>
      <c r="L100" s="208">
        <v>-1462778</v>
      </c>
      <c r="M100" s="208">
        <v>0</v>
      </c>
      <c r="N100" s="208">
        <v>0</v>
      </c>
      <c r="O100" s="208">
        <v>0</v>
      </c>
      <c r="P100" s="208">
        <v>-1102853</v>
      </c>
      <c r="Q100" s="208">
        <v>0</v>
      </c>
      <c r="R100" s="208">
        <v>-1102853</v>
      </c>
      <c r="S100" s="208">
        <v>0</v>
      </c>
      <c r="T100" s="208">
        <v>0</v>
      </c>
      <c r="U100" s="208">
        <v>0</v>
      </c>
      <c r="V100" s="208">
        <v>3898954</v>
      </c>
      <c r="W100" s="208">
        <v>0</v>
      </c>
      <c r="X100" s="208">
        <v>3898954</v>
      </c>
      <c r="Y100" s="208">
        <v>0</v>
      </c>
      <c r="Z100" s="208">
        <v>0</v>
      </c>
      <c r="AA100" s="208">
        <v>0</v>
      </c>
      <c r="AB100" s="208">
        <v>-6226000</v>
      </c>
      <c r="AC100" s="208">
        <v>0</v>
      </c>
      <c r="AD100" s="208">
        <v>-6226000</v>
      </c>
      <c r="AE100" s="208">
        <v>111948754</v>
      </c>
      <c r="AF100" s="208">
        <v>0</v>
      </c>
      <c r="AG100" s="208">
        <v>111948754</v>
      </c>
      <c r="AH100" s="208">
        <v>0</v>
      </c>
      <c r="AI100" s="208">
        <v>0</v>
      </c>
      <c r="AJ100" s="208">
        <v>0</v>
      </c>
      <c r="AK100" s="208">
        <v>0</v>
      </c>
      <c r="AL100" s="208">
        <v>0</v>
      </c>
      <c r="AM100" s="208">
        <v>0</v>
      </c>
      <c r="AN100" s="208">
        <v>0</v>
      </c>
      <c r="AO100" s="208">
        <v>0</v>
      </c>
      <c r="AP100" s="208">
        <v>0</v>
      </c>
      <c r="AQ100" s="208">
        <v>0</v>
      </c>
      <c r="AR100" s="208">
        <v>0</v>
      </c>
      <c r="AS100" s="208">
        <v>0</v>
      </c>
      <c r="AT100" s="208">
        <v>0</v>
      </c>
      <c r="AU100" s="208">
        <v>0</v>
      </c>
      <c r="AV100" s="208">
        <v>0</v>
      </c>
      <c r="AW100" s="208">
        <v>0</v>
      </c>
      <c r="AX100" s="208">
        <v>0</v>
      </c>
      <c r="AY100" s="208">
        <v>0</v>
      </c>
      <c r="AZ100" s="208">
        <v>0</v>
      </c>
      <c r="BA100" s="208">
        <v>0</v>
      </c>
      <c r="BB100" s="208">
        <v>0</v>
      </c>
      <c r="BC100" s="208">
        <v>0</v>
      </c>
      <c r="BD100" s="208">
        <v>0</v>
      </c>
      <c r="BE100" s="208">
        <v>0</v>
      </c>
      <c r="BF100" s="208">
        <v>0</v>
      </c>
      <c r="BG100" s="208">
        <v>0</v>
      </c>
      <c r="BH100" s="208">
        <v>0</v>
      </c>
      <c r="BI100" s="208">
        <v>0</v>
      </c>
      <c r="BJ100" s="208">
        <v>0</v>
      </c>
      <c r="BK100" s="208">
        <v>0</v>
      </c>
      <c r="BL100" s="208">
        <v>7187633</v>
      </c>
      <c r="BM100" s="208">
        <v>-5460213</v>
      </c>
      <c r="BN100" s="187" t="s">
        <v>278</v>
      </c>
      <c r="BO100" s="187" t="s">
        <v>767</v>
      </c>
      <c r="BP100" s="187" t="s">
        <v>743</v>
      </c>
      <c r="BQ100" s="187" t="s">
        <v>1055</v>
      </c>
    </row>
    <row r="101" spans="1:69" x14ac:dyDescent="0.2">
      <c r="B101" s="429" t="s">
        <v>281</v>
      </c>
      <c r="C101" s="429" t="s">
        <v>280</v>
      </c>
      <c r="D101" s="208">
        <v>36781150</v>
      </c>
      <c r="E101" s="208">
        <v>0</v>
      </c>
      <c r="F101" s="208">
        <v>36781150</v>
      </c>
      <c r="G101" s="208">
        <v>0</v>
      </c>
      <c r="H101" s="208">
        <v>0</v>
      </c>
      <c r="I101" s="208">
        <v>0</v>
      </c>
      <c r="J101" s="208">
        <v>-20843</v>
      </c>
      <c r="K101" s="208">
        <v>0</v>
      </c>
      <c r="L101" s="208">
        <v>-20843</v>
      </c>
      <c r="M101" s="208">
        <v>0</v>
      </c>
      <c r="N101" s="208">
        <v>0</v>
      </c>
      <c r="O101" s="208">
        <v>0</v>
      </c>
      <c r="P101" s="208">
        <v>-110070</v>
      </c>
      <c r="Q101" s="208">
        <v>0</v>
      </c>
      <c r="R101" s="208">
        <v>-110070</v>
      </c>
      <c r="S101" s="208">
        <v>26314</v>
      </c>
      <c r="T101" s="208">
        <v>0</v>
      </c>
      <c r="U101" s="208">
        <v>26314</v>
      </c>
      <c r="V101" s="208">
        <v>0</v>
      </c>
      <c r="W101" s="208">
        <v>0</v>
      </c>
      <c r="X101" s="208">
        <v>0</v>
      </c>
      <c r="Y101" s="208">
        <v>232440</v>
      </c>
      <c r="Z101" s="208">
        <v>0</v>
      </c>
      <c r="AA101" s="208">
        <v>232440</v>
      </c>
      <c r="AB101" s="208">
        <v>-6416</v>
      </c>
      <c r="AC101" s="208">
        <v>0</v>
      </c>
      <c r="AD101" s="208">
        <v>-6416</v>
      </c>
      <c r="AE101" s="208">
        <v>36923418</v>
      </c>
      <c r="AF101" s="208">
        <v>0</v>
      </c>
      <c r="AG101" s="208">
        <v>36923418</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0</v>
      </c>
      <c r="BH101" s="208">
        <v>0</v>
      </c>
      <c r="BI101" s="208">
        <v>0</v>
      </c>
      <c r="BJ101" s="208">
        <v>0</v>
      </c>
      <c r="BK101" s="208">
        <v>0</v>
      </c>
      <c r="BL101" s="208">
        <v>1358307</v>
      </c>
      <c r="BM101" s="208">
        <v>-633280</v>
      </c>
      <c r="BN101" s="187" t="s">
        <v>280</v>
      </c>
      <c r="BO101" s="187" t="s">
        <v>784</v>
      </c>
      <c r="BP101" s="187" t="s">
        <v>783</v>
      </c>
      <c r="BQ101" s="187" t="s">
        <v>1054</v>
      </c>
    </row>
    <row r="102" spans="1:69" x14ac:dyDescent="0.2">
      <c r="B102" s="429" t="s">
        <v>283</v>
      </c>
      <c r="C102" s="429" t="s">
        <v>282</v>
      </c>
      <c r="D102" s="208">
        <v>24589056</v>
      </c>
      <c r="E102" s="208">
        <v>0</v>
      </c>
      <c r="F102" s="208">
        <v>24589056</v>
      </c>
      <c r="G102" s="208">
        <v>0</v>
      </c>
      <c r="H102" s="208">
        <v>0</v>
      </c>
      <c r="I102" s="208">
        <v>0</v>
      </c>
      <c r="J102" s="208">
        <v>-44005</v>
      </c>
      <c r="K102" s="208">
        <v>0</v>
      </c>
      <c r="L102" s="208">
        <v>-44005</v>
      </c>
      <c r="M102" s="208">
        <v>0</v>
      </c>
      <c r="N102" s="208">
        <v>0</v>
      </c>
      <c r="O102" s="208">
        <v>0</v>
      </c>
      <c r="P102" s="208">
        <v>-32558</v>
      </c>
      <c r="Q102" s="208">
        <v>0</v>
      </c>
      <c r="R102" s="208">
        <v>-32558</v>
      </c>
      <c r="S102" s="208">
        <v>0</v>
      </c>
      <c r="T102" s="208">
        <v>0</v>
      </c>
      <c r="U102" s="208">
        <v>0</v>
      </c>
      <c r="V102" s="208">
        <v>0</v>
      </c>
      <c r="W102" s="208">
        <v>0</v>
      </c>
      <c r="X102" s="208">
        <v>0</v>
      </c>
      <c r="Y102" s="208">
        <v>819319</v>
      </c>
      <c r="Z102" s="208">
        <v>0</v>
      </c>
      <c r="AA102" s="208">
        <v>819319</v>
      </c>
      <c r="AB102" s="208">
        <v>3862661</v>
      </c>
      <c r="AC102" s="208">
        <v>0</v>
      </c>
      <c r="AD102" s="208">
        <v>3862661</v>
      </c>
      <c r="AE102" s="208">
        <v>29238478</v>
      </c>
      <c r="AF102" s="208">
        <v>0</v>
      </c>
      <c r="AG102" s="208">
        <v>29238478</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0</v>
      </c>
      <c r="BE102" s="208">
        <v>0</v>
      </c>
      <c r="BF102" s="208">
        <v>0</v>
      </c>
      <c r="BG102" s="208">
        <v>0</v>
      </c>
      <c r="BH102" s="208">
        <v>0</v>
      </c>
      <c r="BI102" s="208">
        <v>0</v>
      </c>
      <c r="BJ102" s="208">
        <v>0</v>
      </c>
      <c r="BK102" s="208">
        <v>0</v>
      </c>
      <c r="BL102" s="208">
        <v>278713</v>
      </c>
      <c r="BM102" s="208">
        <v>-139166</v>
      </c>
      <c r="BN102" s="187" t="s">
        <v>282</v>
      </c>
      <c r="BO102" s="187" t="s">
        <v>757</v>
      </c>
      <c r="BP102" s="187" t="s">
        <v>751</v>
      </c>
      <c r="BQ102" s="187" t="s">
        <v>1054</v>
      </c>
    </row>
    <row r="103" spans="1:69" x14ac:dyDescent="0.2">
      <c r="B103" s="429" t="s">
        <v>285</v>
      </c>
      <c r="C103" s="429" t="s">
        <v>284</v>
      </c>
      <c r="D103" s="208">
        <v>25867139</v>
      </c>
      <c r="E103" s="208">
        <v>0</v>
      </c>
      <c r="F103" s="208">
        <v>25867139</v>
      </c>
      <c r="G103" s="208">
        <v>0</v>
      </c>
      <c r="H103" s="208">
        <v>0</v>
      </c>
      <c r="I103" s="208">
        <v>0</v>
      </c>
      <c r="J103" s="208">
        <v>-252665</v>
      </c>
      <c r="K103" s="208">
        <v>0</v>
      </c>
      <c r="L103" s="208">
        <v>-252665</v>
      </c>
      <c r="M103" s="208">
        <v>0</v>
      </c>
      <c r="N103" s="208">
        <v>0</v>
      </c>
      <c r="O103" s="208">
        <v>0</v>
      </c>
      <c r="P103" s="208">
        <v>-171119</v>
      </c>
      <c r="Q103" s="208">
        <v>0</v>
      </c>
      <c r="R103" s="208">
        <v>-171119</v>
      </c>
      <c r="S103" s="208">
        <v>197428</v>
      </c>
      <c r="T103" s="208">
        <v>0</v>
      </c>
      <c r="U103" s="208">
        <v>197428</v>
      </c>
      <c r="V103" s="208">
        <v>38406</v>
      </c>
      <c r="W103" s="208">
        <v>0</v>
      </c>
      <c r="X103" s="208">
        <v>38406</v>
      </c>
      <c r="Y103" s="208">
        <v>-15128</v>
      </c>
      <c r="Z103" s="208">
        <v>0</v>
      </c>
      <c r="AA103" s="208">
        <v>-15128</v>
      </c>
      <c r="AB103" s="208">
        <v>-315906</v>
      </c>
      <c r="AC103" s="208">
        <v>0</v>
      </c>
      <c r="AD103" s="208">
        <v>-315906</v>
      </c>
      <c r="AE103" s="208">
        <v>25600820</v>
      </c>
      <c r="AF103" s="208">
        <v>0</v>
      </c>
      <c r="AG103" s="208">
        <v>25600820</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v>0</v>
      </c>
      <c r="AX103" s="208">
        <v>0</v>
      </c>
      <c r="AY103" s="208">
        <v>0</v>
      </c>
      <c r="AZ103" s="208">
        <v>0</v>
      </c>
      <c r="BA103" s="208">
        <v>0</v>
      </c>
      <c r="BB103" s="208">
        <v>0</v>
      </c>
      <c r="BC103" s="208">
        <v>0</v>
      </c>
      <c r="BD103" s="208">
        <v>0</v>
      </c>
      <c r="BE103" s="208">
        <v>0</v>
      </c>
      <c r="BF103" s="208">
        <v>0</v>
      </c>
      <c r="BG103" s="208">
        <v>0</v>
      </c>
      <c r="BH103" s="208">
        <v>0</v>
      </c>
      <c r="BI103" s="208">
        <v>0</v>
      </c>
      <c r="BJ103" s="208">
        <v>0</v>
      </c>
      <c r="BK103" s="208">
        <v>0</v>
      </c>
      <c r="BL103" s="208">
        <v>908127</v>
      </c>
      <c r="BM103" s="208">
        <v>-490803</v>
      </c>
      <c r="BN103" s="187" t="s">
        <v>284</v>
      </c>
      <c r="BO103" s="187" t="s">
        <v>807</v>
      </c>
      <c r="BP103" s="187" t="s">
        <v>806</v>
      </c>
      <c r="BQ103" s="187" t="s">
        <v>1054</v>
      </c>
    </row>
    <row r="104" spans="1:69" x14ac:dyDescent="0.2">
      <c r="B104" s="429" t="s">
        <v>287</v>
      </c>
      <c r="C104" s="429" t="s">
        <v>286</v>
      </c>
      <c r="D104" s="208">
        <v>81530977</v>
      </c>
      <c r="E104" s="208">
        <v>0</v>
      </c>
      <c r="F104" s="208">
        <v>81530977</v>
      </c>
      <c r="G104" s="208">
        <v>0</v>
      </c>
      <c r="H104" s="208">
        <v>0</v>
      </c>
      <c r="I104" s="208">
        <v>0</v>
      </c>
      <c r="J104" s="208">
        <v>0</v>
      </c>
      <c r="K104" s="208">
        <v>0</v>
      </c>
      <c r="L104" s="208">
        <v>0</v>
      </c>
      <c r="M104" s="208">
        <v>73387</v>
      </c>
      <c r="N104" s="208">
        <v>0</v>
      </c>
      <c r="O104" s="208">
        <v>73387</v>
      </c>
      <c r="P104" s="208">
        <v>0</v>
      </c>
      <c r="Q104" s="208">
        <v>0</v>
      </c>
      <c r="R104" s="208">
        <v>0</v>
      </c>
      <c r="S104" s="208">
        <v>0</v>
      </c>
      <c r="T104" s="208">
        <v>0</v>
      </c>
      <c r="U104" s="208">
        <v>0</v>
      </c>
      <c r="V104" s="208">
        <v>0</v>
      </c>
      <c r="W104" s="208">
        <v>0</v>
      </c>
      <c r="X104" s="208">
        <v>0</v>
      </c>
      <c r="Y104" s="208">
        <v>49919</v>
      </c>
      <c r="Z104" s="208">
        <v>0</v>
      </c>
      <c r="AA104" s="208">
        <v>49919</v>
      </c>
      <c r="AB104" s="208">
        <v>-3000000</v>
      </c>
      <c r="AC104" s="208">
        <v>0</v>
      </c>
      <c r="AD104" s="208">
        <v>-3000000</v>
      </c>
      <c r="AE104" s="208">
        <v>78654283</v>
      </c>
      <c r="AF104" s="208">
        <v>0</v>
      </c>
      <c r="AG104" s="208">
        <v>78654283</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v>0</v>
      </c>
      <c r="AX104" s="208">
        <v>0</v>
      </c>
      <c r="AY104" s="208">
        <v>0</v>
      </c>
      <c r="AZ104" s="208">
        <v>0</v>
      </c>
      <c r="BA104" s="208">
        <v>0</v>
      </c>
      <c r="BB104" s="208">
        <v>0</v>
      </c>
      <c r="BC104" s="208">
        <v>0</v>
      </c>
      <c r="BD104" s="208">
        <v>0</v>
      </c>
      <c r="BE104" s="208">
        <v>0</v>
      </c>
      <c r="BF104" s="208">
        <v>0</v>
      </c>
      <c r="BG104" s="208">
        <v>0</v>
      </c>
      <c r="BH104" s="208">
        <v>0</v>
      </c>
      <c r="BI104" s="208">
        <v>0</v>
      </c>
      <c r="BJ104" s="208">
        <v>0</v>
      </c>
      <c r="BK104" s="208">
        <v>0</v>
      </c>
      <c r="BL104" s="208">
        <v>2925698</v>
      </c>
      <c r="BM104" s="208">
        <v>-1323378</v>
      </c>
      <c r="BN104" s="187" t="s">
        <v>286</v>
      </c>
      <c r="BO104" s="187" t="s">
        <v>772</v>
      </c>
      <c r="BP104" s="187" t="s">
        <v>768</v>
      </c>
      <c r="BQ104" s="187" t="s">
        <v>1054</v>
      </c>
    </row>
    <row r="105" spans="1:69" x14ac:dyDescent="0.2">
      <c r="B105" s="429" t="s">
        <v>289</v>
      </c>
      <c r="C105" s="429" t="s">
        <v>288</v>
      </c>
      <c r="D105" s="208">
        <v>42250590</v>
      </c>
      <c r="E105" s="208">
        <v>215940</v>
      </c>
      <c r="F105" s="208">
        <v>42466530</v>
      </c>
      <c r="G105" s="208">
        <v>0</v>
      </c>
      <c r="H105" s="208">
        <v>0</v>
      </c>
      <c r="I105" s="208">
        <v>0</v>
      </c>
      <c r="J105" s="208">
        <v>-103491</v>
      </c>
      <c r="K105" s="208">
        <v>0</v>
      </c>
      <c r="L105" s="208">
        <v>-103491</v>
      </c>
      <c r="M105" s="208">
        <v>0</v>
      </c>
      <c r="N105" s="208">
        <v>0</v>
      </c>
      <c r="O105" s="208">
        <v>0</v>
      </c>
      <c r="P105" s="208">
        <v>155197</v>
      </c>
      <c r="Q105" s="208">
        <v>0</v>
      </c>
      <c r="R105" s="208">
        <v>155197</v>
      </c>
      <c r="S105" s="208">
        <v>77042</v>
      </c>
      <c r="T105" s="208">
        <v>0</v>
      </c>
      <c r="U105" s="208">
        <v>77042</v>
      </c>
      <c r="V105" s="208">
        <v>103837</v>
      </c>
      <c r="W105" s="208">
        <v>0</v>
      </c>
      <c r="X105" s="208">
        <v>103837</v>
      </c>
      <c r="Y105" s="208">
        <v>-898383</v>
      </c>
      <c r="Z105" s="208">
        <v>0</v>
      </c>
      <c r="AA105" s="208">
        <v>-898383</v>
      </c>
      <c r="AB105" s="208">
        <v>-1365543</v>
      </c>
      <c r="AC105" s="208">
        <v>0</v>
      </c>
      <c r="AD105" s="208">
        <v>-1365543</v>
      </c>
      <c r="AE105" s="208">
        <v>40322740</v>
      </c>
      <c r="AF105" s="208">
        <v>215940</v>
      </c>
      <c r="AG105" s="208">
        <v>40538680</v>
      </c>
      <c r="AH105" s="208">
        <v>215940</v>
      </c>
      <c r="AI105" s="208">
        <v>215940</v>
      </c>
      <c r="AJ105" s="208">
        <v>79953</v>
      </c>
      <c r="AK105" s="208">
        <v>0</v>
      </c>
      <c r="AL105" s="208">
        <v>79953</v>
      </c>
      <c r="AM105" s="208">
        <v>0</v>
      </c>
      <c r="AN105" s="208">
        <v>0</v>
      </c>
      <c r="AO105" s="208">
        <v>0</v>
      </c>
      <c r="AP105" s="208">
        <v>0</v>
      </c>
      <c r="AQ105" s="208">
        <v>0</v>
      </c>
      <c r="AR105" s="208">
        <v>111459</v>
      </c>
      <c r="AS105" s="208">
        <v>111459</v>
      </c>
      <c r="AT105" s="208">
        <v>104481</v>
      </c>
      <c r="AU105" s="208">
        <v>0</v>
      </c>
      <c r="AV105" s="208">
        <v>0</v>
      </c>
      <c r="AW105" s="208">
        <v>0</v>
      </c>
      <c r="AX105" s="208">
        <v>0</v>
      </c>
      <c r="AY105" s="208">
        <v>331562</v>
      </c>
      <c r="AZ105" s="208">
        <v>331562</v>
      </c>
      <c r="BA105" s="208">
        <v>0</v>
      </c>
      <c r="BB105" s="208">
        <v>0</v>
      </c>
      <c r="BC105" s="208">
        <v>0</v>
      </c>
      <c r="BD105" s="208">
        <v>0</v>
      </c>
      <c r="BE105" s="208">
        <v>0</v>
      </c>
      <c r="BF105" s="208">
        <v>0</v>
      </c>
      <c r="BG105" s="208">
        <v>0</v>
      </c>
      <c r="BH105" s="208">
        <v>0</v>
      </c>
      <c r="BI105" s="208">
        <v>0</v>
      </c>
      <c r="BJ105" s="208">
        <v>331562</v>
      </c>
      <c r="BK105" s="208">
        <v>331562</v>
      </c>
      <c r="BL105" s="208">
        <v>755353</v>
      </c>
      <c r="BM105" s="208">
        <v>-1011180</v>
      </c>
      <c r="BN105" s="187" t="s">
        <v>288</v>
      </c>
      <c r="BO105" s="187" t="s">
        <v>761</v>
      </c>
      <c r="BP105" s="187" t="s">
        <v>760</v>
      </c>
      <c r="BQ105" s="187" t="s">
        <v>1054</v>
      </c>
    </row>
    <row r="106" spans="1:69" x14ac:dyDescent="0.2">
      <c r="B106" s="429" t="s">
        <v>291</v>
      </c>
      <c r="C106" s="429" t="s">
        <v>290</v>
      </c>
      <c r="D106" s="208">
        <v>24516767</v>
      </c>
      <c r="E106" s="208">
        <v>0</v>
      </c>
      <c r="F106" s="208">
        <v>24516767</v>
      </c>
      <c r="G106" s="208">
        <v>0</v>
      </c>
      <c r="H106" s="208">
        <v>0</v>
      </c>
      <c r="I106" s="208">
        <v>0</v>
      </c>
      <c r="J106" s="208">
        <v>-70817.84</v>
      </c>
      <c r="K106" s="208">
        <v>0</v>
      </c>
      <c r="L106" s="208">
        <v>-70817.84</v>
      </c>
      <c r="M106" s="208">
        <v>0</v>
      </c>
      <c r="N106" s="208">
        <v>0</v>
      </c>
      <c r="O106" s="208">
        <v>0</v>
      </c>
      <c r="P106" s="208">
        <v>-246563.11</v>
      </c>
      <c r="Q106" s="208">
        <v>0</v>
      </c>
      <c r="R106" s="208">
        <v>-246563.11</v>
      </c>
      <c r="S106" s="208">
        <v>1109101</v>
      </c>
      <c r="T106" s="208">
        <v>0</v>
      </c>
      <c r="U106" s="208">
        <v>1109101</v>
      </c>
      <c r="V106" s="208">
        <v>0</v>
      </c>
      <c r="W106" s="208">
        <v>0</v>
      </c>
      <c r="X106" s="208">
        <v>0</v>
      </c>
      <c r="Y106" s="208">
        <v>-611341</v>
      </c>
      <c r="Z106" s="208">
        <v>0</v>
      </c>
      <c r="AA106" s="208">
        <v>-611341</v>
      </c>
      <c r="AB106" s="208">
        <v>-1517752</v>
      </c>
      <c r="AC106" s="208">
        <v>0</v>
      </c>
      <c r="AD106" s="208">
        <v>-1517752</v>
      </c>
      <c r="AE106" s="208">
        <v>23250211.890000001</v>
      </c>
      <c r="AF106" s="208">
        <v>0</v>
      </c>
      <c r="AG106" s="208">
        <v>23250211.890000001</v>
      </c>
      <c r="AH106" s="208">
        <v>0</v>
      </c>
      <c r="AI106" s="208">
        <v>0</v>
      </c>
      <c r="AJ106" s="208">
        <v>302408</v>
      </c>
      <c r="AK106" s="208">
        <v>0</v>
      </c>
      <c r="AL106" s="208">
        <v>302408</v>
      </c>
      <c r="AM106" s="208">
        <v>0</v>
      </c>
      <c r="AN106" s="208">
        <v>0</v>
      </c>
      <c r="AO106" s="208">
        <v>0</v>
      </c>
      <c r="AP106" s="208">
        <v>0</v>
      </c>
      <c r="AQ106" s="208">
        <v>0</v>
      </c>
      <c r="AR106" s="208">
        <v>0</v>
      </c>
      <c r="AS106" s="208">
        <v>0</v>
      </c>
      <c r="AT106" s="208">
        <v>0</v>
      </c>
      <c r="AU106" s="208">
        <v>0</v>
      </c>
      <c r="AV106" s="208">
        <v>0</v>
      </c>
      <c r="AW106" s="208">
        <v>0</v>
      </c>
      <c r="AX106" s="208">
        <v>0</v>
      </c>
      <c r="AY106" s="208">
        <v>0</v>
      </c>
      <c r="AZ106" s="208">
        <v>0</v>
      </c>
      <c r="BA106" s="208">
        <v>0</v>
      </c>
      <c r="BB106" s="208">
        <v>0</v>
      </c>
      <c r="BC106" s="208">
        <v>0</v>
      </c>
      <c r="BD106" s="208">
        <v>0</v>
      </c>
      <c r="BE106" s="208">
        <v>0</v>
      </c>
      <c r="BF106" s="208">
        <v>0</v>
      </c>
      <c r="BG106" s="208">
        <v>0</v>
      </c>
      <c r="BH106" s="208">
        <v>0</v>
      </c>
      <c r="BI106" s="208">
        <v>0</v>
      </c>
      <c r="BJ106" s="208">
        <v>0</v>
      </c>
      <c r="BK106" s="208">
        <v>0</v>
      </c>
      <c r="BL106" s="208">
        <v>1992719</v>
      </c>
      <c r="BM106" s="208">
        <v>-413202</v>
      </c>
      <c r="BN106" s="187" t="s">
        <v>290</v>
      </c>
      <c r="BO106" s="187" t="s">
        <v>809</v>
      </c>
      <c r="BP106" s="187" t="s">
        <v>808</v>
      </c>
      <c r="BQ106" s="187" t="s">
        <v>1054</v>
      </c>
    </row>
    <row r="107" spans="1:69" x14ac:dyDescent="0.2">
      <c r="B107" s="429" t="s">
        <v>550</v>
      </c>
      <c r="C107" s="429" t="s">
        <v>1533</v>
      </c>
      <c r="D107" s="208">
        <v>29109136</v>
      </c>
      <c r="E107" s="208">
        <v>0</v>
      </c>
      <c r="F107" s="208">
        <v>29109136</v>
      </c>
      <c r="G107" s="208">
        <v>0</v>
      </c>
      <c r="H107" s="208">
        <v>0</v>
      </c>
      <c r="I107" s="208">
        <v>0</v>
      </c>
      <c r="J107" s="208">
        <v>-175427</v>
      </c>
      <c r="K107" s="208">
        <v>0</v>
      </c>
      <c r="L107" s="208">
        <v>-175427</v>
      </c>
      <c r="M107" s="208">
        <v>0</v>
      </c>
      <c r="N107" s="208">
        <v>0</v>
      </c>
      <c r="O107" s="208">
        <v>0</v>
      </c>
      <c r="P107" s="208">
        <v>-66946</v>
      </c>
      <c r="Q107" s="208">
        <v>0</v>
      </c>
      <c r="R107" s="208">
        <v>-66946</v>
      </c>
      <c r="S107" s="208">
        <v>962488</v>
      </c>
      <c r="T107" s="208">
        <v>0</v>
      </c>
      <c r="U107" s="208">
        <v>962488</v>
      </c>
      <c r="V107" s="208">
        <v>0</v>
      </c>
      <c r="W107" s="208">
        <v>0</v>
      </c>
      <c r="X107" s="208">
        <v>0</v>
      </c>
      <c r="Y107" s="208">
        <v>326176</v>
      </c>
      <c r="Z107" s="208">
        <v>0</v>
      </c>
      <c r="AA107" s="208">
        <v>326176</v>
      </c>
      <c r="AB107" s="208">
        <v>-919200</v>
      </c>
      <c r="AC107" s="208">
        <v>0</v>
      </c>
      <c r="AD107" s="208">
        <v>-919200</v>
      </c>
      <c r="AE107" s="208">
        <v>29411654</v>
      </c>
      <c r="AF107" s="208">
        <v>0</v>
      </c>
      <c r="AG107" s="208">
        <v>29411654</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H107" s="208">
        <v>0</v>
      </c>
      <c r="BI107" s="208">
        <v>0</v>
      </c>
      <c r="BJ107" s="208">
        <v>0</v>
      </c>
      <c r="BK107" s="208">
        <v>0</v>
      </c>
      <c r="BL107" s="208">
        <v>652111</v>
      </c>
      <c r="BM107" s="208">
        <v>-504675</v>
      </c>
      <c r="BN107" s="188" t="s">
        <v>1536</v>
      </c>
      <c r="BO107" s="647" t="s">
        <v>786</v>
      </c>
      <c r="BP107" s="647" t="s">
        <v>785</v>
      </c>
      <c r="BQ107" s="188" t="s">
        <v>1054</v>
      </c>
    </row>
    <row r="108" spans="1:69" x14ac:dyDescent="0.2">
      <c r="B108" s="429" t="s">
        <v>293</v>
      </c>
      <c r="C108" s="429" t="s">
        <v>292</v>
      </c>
      <c r="D108" s="208">
        <v>24841396</v>
      </c>
      <c r="E108" s="208">
        <v>0</v>
      </c>
      <c r="F108" s="208">
        <v>24841396</v>
      </c>
      <c r="G108" s="208">
        <v>0</v>
      </c>
      <c r="H108" s="208">
        <v>0</v>
      </c>
      <c r="I108" s="208">
        <v>0</v>
      </c>
      <c r="J108" s="208">
        <v>-132460.95000000001</v>
      </c>
      <c r="K108" s="208">
        <v>0</v>
      </c>
      <c r="L108" s="208">
        <v>-132460.95000000001</v>
      </c>
      <c r="M108" s="208">
        <v>0</v>
      </c>
      <c r="N108" s="208">
        <v>0</v>
      </c>
      <c r="O108" s="208">
        <v>0</v>
      </c>
      <c r="P108" s="208">
        <v>-90176</v>
      </c>
      <c r="Q108" s="208">
        <v>0</v>
      </c>
      <c r="R108" s="208">
        <v>-90176</v>
      </c>
      <c r="S108" s="208">
        <v>164991</v>
      </c>
      <c r="T108" s="208">
        <v>0</v>
      </c>
      <c r="U108" s="208">
        <v>164991</v>
      </c>
      <c r="V108" s="208">
        <v>0</v>
      </c>
      <c r="W108" s="208">
        <v>0</v>
      </c>
      <c r="X108" s="208">
        <v>0</v>
      </c>
      <c r="Y108" s="208">
        <v>-75539</v>
      </c>
      <c r="Z108" s="208">
        <v>0</v>
      </c>
      <c r="AA108" s="208">
        <v>-75539</v>
      </c>
      <c r="AB108" s="208">
        <v>-1071924</v>
      </c>
      <c r="AC108" s="208">
        <v>0</v>
      </c>
      <c r="AD108" s="208">
        <v>-1071924</v>
      </c>
      <c r="AE108" s="208">
        <v>23768748</v>
      </c>
      <c r="AF108" s="208">
        <v>0</v>
      </c>
      <c r="AG108" s="208">
        <v>23768748</v>
      </c>
      <c r="AH108" s="208">
        <v>0</v>
      </c>
      <c r="AI108" s="208">
        <v>0</v>
      </c>
      <c r="AJ108" s="208">
        <v>172517</v>
      </c>
      <c r="AK108" s="208">
        <v>0</v>
      </c>
      <c r="AL108" s="208">
        <v>172517</v>
      </c>
      <c r="AM108" s="208">
        <v>0</v>
      </c>
      <c r="AN108" s="208">
        <v>0</v>
      </c>
      <c r="AO108" s="208">
        <v>0</v>
      </c>
      <c r="AP108" s="208">
        <v>0</v>
      </c>
      <c r="AQ108" s="208">
        <v>0</v>
      </c>
      <c r="AR108" s="208">
        <v>0</v>
      </c>
      <c r="AS108" s="208">
        <v>0</v>
      </c>
      <c r="AT108" s="208">
        <v>0</v>
      </c>
      <c r="AU108" s="208">
        <v>0</v>
      </c>
      <c r="AV108" s="208">
        <v>0</v>
      </c>
      <c r="AW108" s="208">
        <v>0</v>
      </c>
      <c r="AX108" s="208">
        <v>0</v>
      </c>
      <c r="AY108" s="208">
        <v>0</v>
      </c>
      <c r="AZ108" s="208">
        <v>0</v>
      </c>
      <c r="BA108" s="208">
        <v>0</v>
      </c>
      <c r="BB108" s="208">
        <v>0</v>
      </c>
      <c r="BC108" s="208">
        <v>0</v>
      </c>
      <c r="BD108" s="208">
        <v>0</v>
      </c>
      <c r="BE108" s="208">
        <v>0</v>
      </c>
      <c r="BF108" s="208">
        <v>0</v>
      </c>
      <c r="BG108" s="208">
        <v>0</v>
      </c>
      <c r="BH108" s="208">
        <v>0</v>
      </c>
      <c r="BI108" s="208">
        <v>0</v>
      </c>
      <c r="BJ108" s="208">
        <v>0</v>
      </c>
      <c r="BK108" s="208">
        <v>0</v>
      </c>
      <c r="BL108" s="208">
        <v>725153</v>
      </c>
      <c r="BM108" s="208">
        <v>-524927</v>
      </c>
      <c r="BN108" s="187" t="s">
        <v>292</v>
      </c>
      <c r="BO108" s="187" t="s">
        <v>778</v>
      </c>
      <c r="BP108" s="187" t="s">
        <v>751</v>
      </c>
      <c r="BQ108" s="187" t="s">
        <v>1054</v>
      </c>
    </row>
    <row r="109" spans="1:69" x14ac:dyDescent="0.2">
      <c r="B109" s="429" t="s">
        <v>295</v>
      </c>
      <c r="C109" s="429" t="s">
        <v>294</v>
      </c>
      <c r="D109" s="208">
        <v>12512228</v>
      </c>
      <c r="E109" s="208">
        <v>0</v>
      </c>
      <c r="F109" s="208">
        <v>12512228</v>
      </c>
      <c r="G109" s="208">
        <v>0</v>
      </c>
      <c r="H109" s="208">
        <v>0</v>
      </c>
      <c r="I109" s="208">
        <v>0</v>
      </c>
      <c r="J109" s="208">
        <v>-29699</v>
      </c>
      <c r="K109" s="208">
        <v>0</v>
      </c>
      <c r="L109" s="208">
        <v>-29699</v>
      </c>
      <c r="M109" s="208">
        <v>0</v>
      </c>
      <c r="N109" s="208">
        <v>0</v>
      </c>
      <c r="O109" s="208">
        <v>0</v>
      </c>
      <c r="P109" s="208">
        <v>-64200</v>
      </c>
      <c r="Q109" s="208">
        <v>0</v>
      </c>
      <c r="R109" s="208">
        <v>-64200</v>
      </c>
      <c r="S109" s="208">
        <v>0</v>
      </c>
      <c r="T109" s="208">
        <v>0</v>
      </c>
      <c r="U109" s="208">
        <v>0</v>
      </c>
      <c r="V109" s="208">
        <v>38747</v>
      </c>
      <c r="W109" s="208">
        <v>0</v>
      </c>
      <c r="X109" s="208">
        <v>38747</v>
      </c>
      <c r="Y109" s="208">
        <v>-42414</v>
      </c>
      <c r="Z109" s="208">
        <v>0</v>
      </c>
      <c r="AA109" s="208">
        <v>-42414</v>
      </c>
      <c r="AB109" s="208">
        <v>-148593</v>
      </c>
      <c r="AC109" s="208">
        <v>0</v>
      </c>
      <c r="AD109" s="208">
        <v>-148593</v>
      </c>
      <c r="AE109" s="208">
        <v>12295768</v>
      </c>
      <c r="AF109" s="208">
        <v>0</v>
      </c>
      <c r="AG109" s="208">
        <v>12295768</v>
      </c>
      <c r="AH109" s="208">
        <v>0</v>
      </c>
      <c r="AI109" s="208">
        <v>0</v>
      </c>
      <c r="AJ109" s="208">
        <v>109520</v>
      </c>
      <c r="AK109" s="208">
        <v>0</v>
      </c>
      <c r="AL109" s="208">
        <v>109520</v>
      </c>
      <c r="AM109" s="208">
        <v>0</v>
      </c>
      <c r="AN109" s="208">
        <v>0</v>
      </c>
      <c r="AO109" s="208">
        <v>0</v>
      </c>
      <c r="AP109" s="208">
        <v>0</v>
      </c>
      <c r="AQ109" s="208">
        <v>0</v>
      </c>
      <c r="AR109" s="208">
        <v>0</v>
      </c>
      <c r="AS109" s="208">
        <v>0</v>
      </c>
      <c r="AT109" s="208">
        <v>0</v>
      </c>
      <c r="AU109" s="208">
        <v>0</v>
      </c>
      <c r="AV109" s="208">
        <v>0</v>
      </c>
      <c r="AW109" s="208">
        <v>0</v>
      </c>
      <c r="AX109" s="208">
        <v>0</v>
      </c>
      <c r="AY109" s="208">
        <v>0</v>
      </c>
      <c r="AZ109" s="208">
        <v>0</v>
      </c>
      <c r="BA109" s="208">
        <v>0</v>
      </c>
      <c r="BB109" s="208">
        <v>0</v>
      </c>
      <c r="BC109" s="208">
        <v>0</v>
      </c>
      <c r="BD109" s="208">
        <v>0</v>
      </c>
      <c r="BE109" s="208">
        <v>0</v>
      </c>
      <c r="BF109" s="208">
        <v>0</v>
      </c>
      <c r="BG109" s="208">
        <v>0</v>
      </c>
      <c r="BH109" s="208">
        <v>0</v>
      </c>
      <c r="BI109" s="208">
        <v>0</v>
      </c>
      <c r="BJ109" s="208">
        <v>0</v>
      </c>
      <c r="BK109" s="208">
        <v>0</v>
      </c>
      <c r="BL109" s="208">
        <v>502623</v>
      </c>
      <c r="BM109" s="208">
        <v>-94779</v>
      </c>
      <c r="BN109" s="187" t="s">
        <v>294</v>
      </c>
      <c r="BO109" s="187" t="s">
        <v>790</v>
      </c>
      <c r="BP109" s="187" t="s">
        <v>751</v>
      </c>
      <c r="BQ109" s="187" t="s">
        <v>1054</v>
      </c>
    </row>
    <row r="110" spans="1:69" x14ac:dyDescent="0.2">
      <c r="B110" s="429" t="s">
        <v>297</v>
      </c>
      <c r="C110" s="429" t="s">
        <v>296</v>
      </c>
      <c r="D110" s="208">
        <v>24014017</v>
      </c>
      <c r="E110" s="208">
        <v>2757504</v>
      </c>
      <c r="F110" s="208">
        <v>26771521</v>
      </c>
      <c r="G110" s="208">
        <v>0</v>
      </c>
      <c r="H110" s="208">
        <v>0</v>
      </c>
      <c r="I110" s="208">
        <v>0</v>
      </c>
      <c r="J110" s="208">
        <v>-257822</v>
      </c>
      <c r="K110" s="208">
        <v>0</v>
      </c>
      <c r="L110" s="208">
        <v>-257822</v>
      </c>
      <c r="M110" s="208">
        <v>0</v>
      </c>
      <c r="N110" s="208">
        <v>0</v>
      </c>
      <c r="O110" s="208">
        <v>0</v>
      </c>
      <c r="P110" s="208">
        <v>-124963</v>
      </c>
      <c r="Q110" s="208">
        <v>0</v>
      </c>
      <c r="R110" s="208">
        <v>-124963</v>
      </c>
      <c r="S110" s="208">
        <v>0</v>
      </c>
      <c r="T110" s="208">
        <v>0</v>
      </c>
      <c r="U110" s="208">
        <v>0</v>
      </c>
      <c r="V110" s="208">
        <v>0</v>
      </c>
      <c r="W110" s="208">
        <v>0</v>
      </c>
      <c r="X110" s="208">
        <v>0</v>
      </c>
      <c r="Y110" s="208">
        <v>49534</v>
      </c>
      <c r="Z110" s="208">
        <v>0</v>
      </c>
      <c r="AA110" s="208">
        <v>49534</v>
      </c>
      <c r="AB110" s="208">
        <v>-1258261</v>
      </c>
      <c r="AC110" s="208">
        <v>0</v>
      </c>
      <c r="AD110" s="208">
        <v>-1258261</v>
      </c>
      <c r="AE110" s="208">
        <v>22680327</v>
      </c>
      <c r="AF110" s="208">
        <v>2757504</v>
      </c>
      <c r="AG110" s="208">
        <v>25437831</v>
      </c>
      <c r="AH110" s="208">
        <v>2757504</v>
      </c>
      <c r="AI110" s="208">
        <v>2757504</v>
      </c>
      <c r="AJ110" s="208">
        <v>57371</v>
      </c>
      <c r="AK110" s="208">
        <v>0</v>
      </c>
      <c r="AL110" s="208">
        <v>57371</v>
      </c>
      <c r="AM110" s="208">
        <v>25390</v>
      </c>
      <c r="AN110" s="208">
        <v>0</v>
      </c>
      <c r="AO110" s="208">
        <v>25390</v>
      </c>
      <c r="AP110" s="208">
        <v>-70010</v>
      </c>
      <c r="AQ110" s="208">
        <v>-70010</v>
      </c>
      <c r="AR110" s="208">
        <v>2949655</v>
      </c>
      <c r="AS110" s="208">
        <v>2949655</v>
      </c>
      <c r="AT110" s="208">
        <v>0</v>
      </c>
      <c r="AU110" s="208">
        <v>0</v>
      </c>
      <c r="AV110" s="208">
        <v>0</v>
      </c>
      <c r="AW110" s="208">
        <v>0</v>
      </c>
      <c r="AX110" s="208">
        <v>0</v>
      </c>
      <c r="AY110" s="208">
        <v>281247</v>
      </c>
      <c r="AZ110" s="208">
        <v>281247</v>
      </c>
      <c r="BA110" s="208">
        <v>0</v>
      </c>
      <c r="BB110" s="208">
        <v>0</v>
      </c>
      <c r="BC110" s="208">
        <v>0</v>
      </c>
      <c r="BD110" s="208">
        <v>0</v>
      </c>
      <c r="BE110" s="208">
        <v>0</v>
      </c>
      <c r="BF110" s="208">
        <v>0</v>
      </c>
      <c r="BG110" s="208">
        <v>0</v>
      </c>
      <c r="BH110" s="208">
        <v>0</v>
      </c>
      <c r="BI110" s="208">
        <v>0</v>
      </c>
      <c r="BJ110" s="208">
        <v>281247</v>
      </c>
      <c r="BK110" s="208">
        <v>281247</v>
      </c>
      <c r="BL110" s="208">
        <v>1531911</v>
      </c>
      <c r="BM110" s="208">
        <v>-482675</v>
      </c>
      <c r="BN110" s="187" t="s">
        <v>296</v>
      </c>
      <c r="BO110" s="187" t="s">
        <v>748</v>
      </c>
      <c r="BP110" s="187" t="s">
        <v>747</v>
      </c>
      <c r="BQ110" s="187" t="s">
        <v>1054</v>
      </c>
    </row>
    <row r="111" spans="1:69" x14ac:dyDescent="0.2">
      <c r="B111" s="429" t="s">
        <v>299</v>
      </c>
      <c r="C111" s="429" t="s">
        <v>298</v>
      </c>
      <c r="D111" s="208">
        <v>89863772</v>
      </c>
      <c r="E111" s="208">
        <v>2021061</v>
      </c>
      <c r="F111" s="208">
        <v>91884833</v>
      </c>
      <c r="G111" s="208">
        <v>0</v>
      </c>
      <c r="H111" s="208">
        <v>0</v>
      </c>
      <c r="I111" s="208">
        <v>0</v>
      </c>
      <c r="J111" s="208">
        <v>-670270</v>
      </c>
      <c r="K111" s="208">
        <v>0</v>
      </c>
      <c r="L111" s="208">
        <v>-670270</v>
      </c>
      <c r="M111" s="208">
        <v>0</v>
      </c>
      <c r="N111" s="208">
        <v>0</v>
      </c>
      <c r="O111" s="208">
        <v>0</v>
      </c>
      <c r="P111" s="208">
        <v>-670270</v>
      </c>
      <c r="Q111" s="208">
        <v>0</v>
      </c>
      <c r="R111" s="208">
        <v>-670270</v>
      </c>
      <c r="S111" s="208">
        <v>1113120</v>
      </c>
      <c r="T111" s="208">
        <v>11949</v>
      </c>
      <c r="U111" s="208">
        <v>1125069</v>
      </c>
      <c r="V111" s="208">
        <v>1585379</v>
      </c>
      <c r="W111" s="208">
        <v>23226</v>
      </c>
      <c r="X111" s="208">
        <v>1608605</v>
      </c>
      <c r="Y111" s="208">
        <v>-1113120</v>
      </c>
      <c r="Z111" s="208">
        <v>-11949</v>
      </c>
      <c r="AA111" s="208">
        <v>-1125069</v>
      </c>
      <c r="AB111" s="208">
        <v>-1585379</v>
      </c>
      <c r="AC111" s="208">
        <v>-23226</v>
      </c>
      <c r="AD111" s="208">
        <v>-1608605</v>
      </c>
      <c r="AE111" s="208">
        <v>89193502</v>
      </c>
      <c r="AF111" s="208">
        <v>2021061</v>
      </c>
      <c r="AG111" s="208">
        <v>91214563</v>
      </c>
      <c r="AH111" s="208">
        <v>2021061</v>
      </c>
      <c r="AI111" s="208">
        <v>2021061</v>
      </c>
      <c r="AJ111" s="208">
        <v>0</v>
      </c>
      <c r="AK111" s="208">
        <v>0</v>
      </c>
      <c r="AL111" s="208">
        <v>0</v>
      </c>
      <c r="AM111" s="208">
        <v>0</v>
      </c>
      <c r="AN111" s="208">
        <v>0</v>
      </c>
      <c r="AO111" s="208">
        <v>0</v>
      </c>
      <c r="AP111" s="208">
        <v>-42373</v>
      </c>
      <c r="AQ111" s="208">
        <v>-42373</v>
      </c>
      <c r="AR111" s="208">
        <v>1379508</v>
      </c>
      <c r="AS111" s="208">
        <v>1379508</v>
      </c>
      <c r="AT111" s="208">
        <v>599180</v>
      </c>
      <c r="AU111" s="208">
        <v>0</v>
      </c>
      <c r="AV111" s="208">
        <v>0</v>
      </c>
      <c r="AW111" s="208">
        <v>0</v>
      </c>
      <c r="AX111" s="208">
        <v>0</v>
      </c>
      <c r="AY111" s="208">
        <v>0</v>
      </c>
      <c r="AZ111" s="208">
        <v>0</v>
      </c>
      <c r="BA111" s="208">
        <v>0</v>
      </c>
      <c r="BB111" s="208">
        <v>0</v>
      </c>
      <c r="BC111" s="208">
        <v>0</v>
      </c>
      <c r="BD111" s="208">
        <v>0</v>
      </c>
      <c r="BE111" s="208">
        <v>0</v>
      </c>
      <c r="BF111" s="208">
        <v>0</v>
      </c>
      <c r="BG111" s="208">
        <v>0</v>
      </c>
      <c r="BH111" s="208">
        <v>0</v>
      </c>
      <c r="BI111" s="208">
        <v>0</v>
      </c>
      <c r="BJ111" s="208">
        <v>0</v>
      </c>
      <c r="BK111" s="208">
        <v>0</v>
      </c>
      <c r="BL111" s="208">
        <v>3167380</v>
      </c>
      <c r="BM111" s="208">
        <v>-1590796</v>
      </c>
      <c r="BN111" s="187" t="s">
        <v>298</v>
      </c>
      <c r="BO111" s="187" t="s">
        <v>754</v>
      </c>
      <c r="BP111" s="187" t="s">
        <v>796</v>
      </c>
      <c r="BQ111" s="187" t="s">
        <v>1056</v>
      </c>
    </row>
    <row r="112" spans="1:69" x14ac:dyDescent="0.2">
      <c r="B112" s="429" t="s">
        <v>301</v>
      </c>
      <c r="C112" s="429" t="s">
        <v>300</v>
      </c>
      <c r="D112" s="208">
        <v>22725863.27</v>
      </c>
      <c r="E112" s="208">
        <v>0</v>
      </c>
      <c r="F112" s="208">
        <v>22725863.27</v>
      </c>
      <c r="G112" s="208">
        <v>0</v>
      </c>
      <c r="H112" s="208">
        <v>0</v>
      </c>
      <c r="I112" s="208">
        <v>0</v>
      </c>
      <c r="J112" s="208">
        <v>-88797</v>
      </c>
      <c r="K112" s="208">
        <v>0</v>
      </c>
      <c r="L112" s="208">
        <v>-88797</v>
      </c>
      <c r="M112" s="208">
        <v>0</v>
      </c>
      <c r="N112" s="208">
        <v>0</v>
      </c>
      <c r="O112" s="208">
        <v>0</v>
      </c>
      <c r="P112" s="208">
        <v>-161020</v>
      </c>
      <c r="Q112" s="208">
        <v>0</v>
      </c>
      <c r="R112" s="208">
        <v>-161020</v>
      </c>
      <c r="S112" s="208">
        <v>167199</v>
      </c>
      <c r="T112" s="208">
        <v>0</v>
      </c>
      <c r="U112" s="208">
        <v>167199</v>
      </c>
      <c r="V112" s="208">
        <v>109038</v>
      </c>
      <c r="W112" s="208">
        <v>0</v>
      </c>
      <c r="X112" s="208">
        <v>109038</v>
      </c>
      <c r="Y112" s="208">
        <v>-50785</v>
      </c>
      <c r="Z112" s="208">
        <v>0</v>
      </c>
      <c r="AA112" s="208">
        <v>-50785</v>
      </c>
      <c r="AB112" s="208">
        <v>-290117</v>
      </c>
      <c r="AC112" s="208">
        <v>0</v>
      </c>
      <c r="AD112" s="208">
        <v>-290117</v>
      </c>
      <c r="AE112" s="208">
        <v>22500178.27</v>
      </c>
      <c r="AF112" s="208">
        <v>0</v>
      </c>
      <c r="AG112" s="208">
        <v>22500178.27</v>
      </c>
      <c r="AH112" s="208">
        <v>0</v>
      </c>
      <c r="AI112" s="208">
        <v>0</v>
      </c>
      <c r="AJ112" s="208">
        <v>134786</v>
      </c>
      <c r="AK112" s="208">
        <v>0</v>
      </c>
      <c r="AL112" s="208">
        <v>134786</v>
      </c>
      <c r="AM112" s="208">
        <v>0</v>
      </c>
      <c r="AN112" s="208">
        <v>0</v>
      </c>
      <c r="AO112" s="208">
        <v>0</v>
      </c>
      <c r="AP112" s="208">
        <v>0</v>
      </c>
      <c r="AQ112" s="208">
        <v>0</v>
      </c>
      <c r="AR112" s="208">
        <v>0</v>
      </c>
      <c r="AS112" s="208">
        <v>0</v>
      </c>
      <c r="AT112" s="208">
        <v>0</v>
      </c>
      <c r="AU112" s="208">
        <v>0</v>
      </c>
      <c r="AV112" s="208">
        <v>0</v>
      </c>
      <c r="AW112" s="208">
        <v>0</v>
      </c>
      <c r="AX112" s="208">
        <v>0</v>
      </c>
      <c r="AY112" s="208">
        <v>0</v>
      </c>
      <c r="AZ112" s="208">
        <v>0</v>
      </c>
      <c r="BA112" s="208">
        <v>0</v>
      </c>
      <c r="BB112" s="208">
        <v>0</v>
      </c>
      <c r="BC112" s="208">
        <v>0</v>
      </c>
      <c r="BD112" s="208">
        <v>0</v>
      </c>
      <c r="BE112" s="208">
        <v>0</v>
      </c>
      <c r="BF112" s="208">
        <v>0</v>
      </c>
      <c r="BG112" s="208">
        <v>0</v>
      </c>
      <c r="BH112" s="208">
        <v>0</v>
      </c>
      <c r="BI112" s="208">
        <v>0</v>
      </c>
      <c r="BJ112" s="208">
        <v>0</v>
      </c>
      <c r="BK112" s="208">
        <v>0</v>
      </c>
      <c r="BL112" s="208">
        <v>687693</v>
      </c>
      <c r="BM112" s="208">
        <v>-350298</v>
      </c>
      <c r="BN112" s="187" t="s">
        <v>300</v>
      </c>
      <c r="BO112" s="187" t="s">
        <v>816</v>
      </c>
      <c r="BP112" s="187" t="s">
        <v>815</v>
      </c>
      <c r="BQ112" s="187" t="s">
        <v>1054</v>
      </c>
    </row>
    <row r="113" spans="2:69" x14ac:dyDescent="0.2">
      <c r="B113" s="429" t="s">
        <v>303</v>
      </c>
      <c r="C113" s="429" t="s">
        <v>302</v>
      </c>
      <c r="D113" s="208">
        <v>54112301</v>
      </c>
      <c r="E113" s="208">
        <v>0</v>
      </c>
      <c r="F113" s="208">
        <v>54112301</v>
      </c>
      <c r="G113" s="208">
        <v>-564</v>
      </c>
      <c r="H113" s="208">
        <v>0</v>
      </c>
      <c r="I113" s="208">
        <v>-564</v>
      </c>
      <c r="J113" s="208">
        <v>-898832</v>
      </c>
      <c r="K113" s="208">
        <v>0</v>
      </c>
      <c r="L113" s="208">
        <v>-898832</v>
      </c>
      <c r="M113" s="208">
        <v>0</v>
      </c>
      <c r="N113" s="208">
        <v>0</v>
      </c>
      <c r="O113" s="208">
        <v>0</v>
      </c>
      <c r="P113" s="208">
        <v>-445900</v>
      </c>
      <c r="Q113" s="208">
        <v>0</v>
      </c>
      <c r="R113" s="208">
        <v>-445900</v>
      </c>
      <c r="S113" s="208">
        <v>303320</v>
      </c>
      <c r="T113" s="208">
        <v>0</v>
      </c>
      <c r="U113" s="208">
        <v>303320</v>
      </c>
      <c r="V113" s="208">
        <v>657060</v>
      </c>
      <c r="W113" s="208">
        <v>0</v>
      </c>
      <c r="X113" s="208">
        <v>657060</v>
      </c>
      <c r="Y113" s="208">
        <v>190421</v>
      </c>
      <c r="Z113" s="208">
        <v>0</v>
      </c>
      <c r="AA113" s="208">
        <v>190421</v>
      </c>
      <c r="AB113" s="208">
        <v>-657490</v>
      </c>
      <c r="AC113" s="208">
        <v>0</v>
      </c>
      <c r="AD113" s="208">
        <v>-657490</v>
      </c>
      <c r="AE113" s="208">
        <v>54159148</v>
      </c>
      <c r="AF113" s="208">
        <v>0</v>
      </c>
      <c r="AG113" s="208">
        <v>54159148</v>
      </c>
      <c r="AH113" s="208">
        <v>0</v>
      </c>
      <c r="AI113" s="208">
        <v>0</v>
      </c>
      <c r="AJ113" s="208">
        <v>0</v>
      </c>
      <c r="AK113" s="208">
        <v>0</v>
      </c>
      <c r="AL113" s="208">
        <v>0</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H113" s="208">
        <v>0</v>
      </c>
      <c r="BI113" s="208">
        <v>0</v>
      </c>
      <c r="BJ113" s="208">
        <v>0</v>
      </c>
      <c r="BK113" s="208">
        <v>0</v>
      </c>
      <c r="BL113" s="208">
        <v>1560312</v>
      </c>
      <c r="BM113" s="208">
        <v>-1506450</v>
      </c>
      <c r="BN113" s="187" t="s">
        <v>302</v>
      </c>
      <c r="BO113" s="187" t="s">
        <v>790</v>
      </c>
      <c r="BP113" s="187" t="s">
        <v>751</v>
      </c>
      <c r="BQ113" s="187" t="s">
        <v>1054</v>
      </c>
    </row>
    <row r="114" spans="2:69" x14ac:dyDescent="0.2">
      <c r="B114" s="429" t="s">
        <v>305</v>
      </c>
      <c r="C114" s="429" t="s">
        <v>304</v>
      </c>
      <c r="D114" s="208">
        <v>15849801</v>
      </c>
      <c r="E114" s="208">
        <v>255343</v>
      </c>
      <c r="F114" s="208">
        <v>16105144</v>
      </c>
      <c r="G114" s="208">
        <v>0</v>
      </c>
      <c r="H114" s="208">
        <v>0</v>
      </c>
      <c r="I114" s="208">
        <v>0</v>
      </c>
      <c r="J114" s="208">
        <v>-49073</v>
      </c>
      <c r="K114" s="208">
        <v>-976</v>
      </c>
      <c r="L114" s="208">
        <v>-50049</v>
      </c>
      <c r="M114" s="208">
        <v>0</v>
      </c>
      <c r="N114" s="208">
        <v>0</v>
      </c>
      <c r="O114" s="208">
        <v>0</v>
      </c>
      <c r="P114" s="208">
        <v>-42525</v>
      </c>
      <c r="Q114" s="208">
        <v>-15224</v>
      </c>
      <c r="R114" s="208">
        <v>-57749</v>
      </c>
      <c r="S114" s="208">
        <v>48585</v>
      </c>
      <c r="T114" s="208">
        <v>0</v>
      </c>
      <c r="U114" s="208">
        <v>48585</v>
      </c>
      <c r="V114" s="208">
        <v>0</v>
      </c>
      <c r="W114" s="208">
        <v>0</v>
      </c>
      <c r="X114" s="208">
        <v>0</v>
      </c>
      <c r="Y114" s="208">
        <v>-735523</v>
      </c>
      <c r="Z114" s="208">
        <v>0</v>
      </c>
      <c r="AA114" s="208">
        <v>-735523</v>
      </c>
      <c r="AB114" s="208">
        <v>-751900</v>
      </c>
      <c r="AC114" s="208">
        <v>-11700</v>
      </c>
      <c r="AD114" s="208">
        <v>-763600</v>
      </c>
      <c r="AE114" s="208">
        <v>14368438</v>
      </c>
      <c r="AF114" s="208">
        <v>228419</v>
      </c>
      <c r="AG114" s="208">
        <v>14596857</v>
      </c>
      <c r="AH114" s="208">
        <v>228419</v>
      </c>
      <c r="AI114" s="208">
        <v>228419</v>
      </c>
      <c r="AJ114" s="208">
        <v>0</v>
      </c>
      <c r="AK114" s="208">
        <v>0</v>
      </c>
      <c r="AL114" s="208">
        <v>0</v>
      </c>
      <c r="AM114" s="208">
        <v>0</v>
      </c>
      <c r="AN114" s="208">
        <v>0</v>
      </c>
      <c r="AO114" s="208">
        <v>0</v>
      </c>
      <c r="AP114" s="208">
        <v>-33779</v>
      </c>
      <c r="AQ114" s="208">
        <v>-33779</v>
      </c>
      <c r="AR114" s="208">
        <v>408862</v>
      </c>
      <c r="AS114" s="208">
        <v>408862</v>
      </c>
      <c r="AT114" s="208">
        <v>0</v>
      </c>
      <c r="AU114" s="208">
        <v>0</v>
      </c>
      <c r="AV114" s="208">
        <v>0</v>
      </c>
      <c r="AW114" s="208">
        <v>0</v>
      </c>
      <c r="AX114" s="208">
        <v>0</v>
      </c>
      <c r="AY114" s="208">
        <v>413426</v>
      </c>
      <c r="AZ114" s="208">
        <v>413426</v>
      </c>
      <c r="BA114" s="208">
        <v>0</v>
      </c>
      <c r="BB114" s="208">
        <v>0</v>
      </c>
      <c r="BC114" s="208">
        <v>0</v>
      </c>
      <c r="BD114" s="208">
        <v>0</v>
      </c>
      <c r="BE114" s="208">
        <v>0</v>
      </c>
      <c r="BF114" s="208">
        <v>0</v>
      </c>
      <c r="BG114" s="208">
        <v>0</v>
      </c>
      <c r="BH114" s="208">
        <v>0</v>
      </c>
      <c r="BI114" s="208">
        <v>0</v>
      </c>
      <c r="BJ114" s="208">
        <v>413426</v>
      </c>
      <c r="BK114" s="208">
        <v>413426</v>
      </c>
      <c r="BL114" s="208">
        <v>908662</v>
      </c>
      <c r="BM114" s="208">
        <v>-212627</v>
      </c>
      <c r="BN114" s="187" t="s">
        <v>304</v>
      </c>
      <c r="BO114" s="187" t="s">
        <v>761</v>
      </c>
      <c r="BP114" s="187" t="s">
        <v>760</v>
      </c>
      <c r="BQ114" s="187" t="s">
        <v>1054</v>
      </c>
    </row>
    <row r="115" spans="2:69" x14ac:dyDescent="0.2">
      <c r="B115" s="429" t="s">
        <v>307</v>
      </c>
      <c r="C115" s="429" t="s">
        <v>306</v>
      </c>
      <c r="D115" s="208">
        <v>24617584</v>
      </c>
      <c r="E115" s="208">
        <v>0</v>
      </c>
      <c r="F115" s="208">
        <v>24617584</v>
      </c>
      <c r="G115" s="208">
        <v>0</v>
      </c>
      <c r="H115" s="208">
        <v>0</v>
      </c>
      <c r="I115" s="208">
        <v>0</v>
      </c>
      <c r="J115" s="208">
        <v>-356104</v>
      </c>
      <c r="K115" s="208">
        <v>0</v>
      </c>
      <c r="L115" s="208">
        <v>-356104</v>
      </c>
      <c r="M115" s="208">
        <v>12</v>
      </c>
      <c r="N115" s="208">
        <v>0</v>
      </c>
      <c r="O115" s="208">
        <v>12</v>
      </c>
      <c r="P115" s="208">
        <v>209559</v>
      </c>
      <c r="Q115" s="208">
        <v>0</v>
      </c>
      <c r="R115" s="208">
        <v>209559</v>
      </c>
      <c r="S115" s="208">
        <v>50910</v>
      </c>
      <c r="T115" s="208">
        <v>0</v>
      </c>
      <c r="U115" s="208">
        <v>50910</v>
      </c>
      <c r="V115" s="208">
        <v>0</v>
      </c>
      <c r="W115" s="208">
        <v>0</v>
      </c>
      <c r="X115" s="208">
        <v>0</v>
      </c>
      <c r="Y115" s="208">
        <v>726530</v>
      </c>
      <c r="Z115" s="208">
        <v>0</v>
      </c>
      <c r="AA115" s="208">
        <v>726530</v>
      </c>
      <c r="AB115" s="208">
        <v>-150000</v>
      </c>
      <c r="AC115" s="208">
        <v>0</v>
      </c>
      <c r="AD115" s="208">
        <v>-150000</v>
      </c>
      <c r="AE115" s="208">
        <v>25454595</v>
      </c>
      <c r="AF115" s="208">
        <v>0</v>
      </c>
      <c r="AG115" s="208">
        <v>25454595</v>
      </c>
      <c r="AH115" s="208">
        <v>0</v>
      </c>
      <c r="AI115" s="208">
        <v>0</v>
      </c>
      <c r="AJ115" s="208">
        <v>0</v>
      </c>
      <c r="AK115" s="208">
        <v>0</v>
      </c>
      <c r="AL115" s="208">
        <v>0</v>
      </c>
      <c r="AM115" s="208">
        <v>0</v>
      </c>
      <c r="AN115" s="208">
        <v>0</v>
      </c>
      <c r="AO115" s="208">
        <v>0</v>
      </c>
      <c r="AP115" s="208">
        <v>0</v>
      </c>
      <c r="AQ115" s="208">
        <v>0</v>
      </c>
      <c r="AR115" s="208">
        <v>0</v>
      </c>
      <c r="AS115" s="208">
        <v>0</v>
      </c>
      <c r="AT115" s="208">
        <v>0</v>
      </c>
      <c r="AU115" s="208">
        <v>0</v>
      </c>
      <c r="AV115" s="208">
        <v>0</v>
      </c>
      <c r="AW115" s="208">
        <v>0</v>
      </c>
      <c r="AX115" s="208">
        <v>0</v>
      </c>
      <c r="AY115" s="208">
        <v>0</v>
      </c>
      <c r="AZ115" s="208">
        <v>0</v>
      </c>
      <c r="BA115" s="208">
        <v>0</v>
      </c>
      <c r="BB115" s="208">
        <v>0</v>
      </c>
      <c r="BC115" s="208">
        <v>0</v>
      </c>
      <c r="BD115" s="208">
        <v>0</v>
      </c>
      <c r="BE115" s="208">
        <v>0</v>
      </c>
      <c r="BF115" s="208">
        <v>0</v>
      </c>
      <c r="BG115" s="208">
        <v>0</v>
      </c>
      <c r="BH115" s="208">
        <v>0</v>
      </c>
      <c r="BI115" s="208">
        <v>0</v>
      </c>
      <c r="BJ115" s="208">
        <v>0</v>
      </c>
      <c r="BK115" s="208">
        <v>0</v>
      </c>
      <c r="BL115" s="208">
        <v>1083361</v>
      </c>
      <c r="BM115" s="208">
        <v>-225330</v>
      </c>
      <c r="BN115" s="187" t="s">
        <v>306</v>
      </c>
      <c r="BO115" s="187" t="s">
        <v>786</v>
      </c>
      <c r="BP115" s="187" t="s">
        <v>785</v>
      </c>
      <c r="BQ115" s="187" t="s">
        <v>1054</v>
      </c>
    </row>
    <row r="116" spans="2:69" x14ac:dyDescent="0.2">
      <c r="B116" s="429" t="s">
        <v>309</v>
      </c>
      <c r="C116" s="429" t="s">
        <v>308</v>
      </c>
      <c r="D116" s="208">
        <v>30915437</v>
      </c>
      <c r="E116" s="208">
        <v>687674</v>
      </c>
      <c r="F116" s="208">
        <v>31603111</v>
      </c>
      <c r="G116" s="208">
        <v>0</v>
      </c>
      <c r="H116" s="208">
        <v>0</v>
      </c>
      <c r="I116" s="208">
        <v>0</v>
      </c>
      <c r="J116" s="208">
        <v>-336797</v>
      </c>
      <c r="K116" s="208">
        <v>0</v>
      </c>
      <c r="L116" s="208">
        <v>-336797</v>
      </c>
      <c r="M116" s="208">
        <v>0</v>
      </c>
      <c r="N116" s="208">
        <v>0</v>
      </c>
      <c r="O116" s="208">
        <v>0</v>
      </c>
      <c r="P116" s="208">
        <v>-287953</v>
      </c>
      <c r="Q116" s="208">
        <v>0</v>
      </c>
      <c r="R116" s="208">
        <v>-287953</v>
      </c>
      <c r="S116" s="208">
        <v>0</v>
      </c>
      <c r="T116" s="208">
        <v>0</v>
      </c>
      <c r="U116" s="208">
        <v>0</v>
      </c>
      <c r="V116" s="208">
        <v>0</v>
      </c>
      <c r="W116" s="208">
        <v>0</v>
      </c>
      <c r="X116" s="208">
        <v>0</v>
      </c>
      <c r="Y116" s="208">
        <v>7353614</v>
      </c>
      <c r="Z116" s="208">
        <v>0</v>
      </c>
      <c r="AA116" s="208">
        <v>7353614</v>
      </c>
      <c r="AB116" s="208">
        <v>-74958</v>
      </c>
      <c r="AC116" s="208">
        <v>0</v>
      </c>
      <c r="AD116" s="208">
        <v>-74958</v>
      </c>
      <c r="AE116" s="208">
        <v>37906140</v>
      </c>
      <c r="AF116" s="208">
        <v>687674</v>
      </c>
      <c r="AG116" s="208">
        <v>38593814</v>
      </c>
      <c r="AH116" s="208">
        <v>687674</v>
      </c>
      <c r="AI116" s="208">
        <v>687674</v>
      </c>
      <c r="AJ116" s="208">
        <v>58034</v>
      </c>
      <c r="AK116" s="208">
        <v>0</v>
      </c>
      <c r="AL116" s="208">
        <v>58034</v>
      </c>
      <c r="AM116" s="208">
        <v>0</v>
      </c>
      <c r="AN116" s="208">
        <v>0</v>
      </c>
      <c r="AO116" s="208">
        <v>0</v>
      </c>
      <c r="AP116" s="208">
        <v>-46762</v>
      </c>
      <c r="AQ116" s="208">
        <v>-46762</v>
      </c>
      <c r="AR116" s="208">
        <v>314231</v>
      </c>
      <c r="AS116" s="208">
        <v>314231</v>
      </c>
      <c r="AT116" s="208">
        <v>338381</v>
      </c>
      <c r="AU116" s="208">
        <v>0</v>
      </c>
      <c r="AV116" s="208">
        <v>0</v>
      </c>
      <c r="AW116" s="208">
        <v>0</v>
      </c>
      <c r="AX116" s="208">
        <v>0</v>
      </c>
      <c r="AY116" s="208">
        <v>573437</v>
      </c>
      <c r="AZ116" s="208">
        <v>573437</v>
      </c>
      <c r="BA116" s="208">
        <v>0</v>
      </c>
      <c r="BB116" s="208">
        <v>0</v>
      </c>
      <c r="BC116" s="208">
        <v>0</v>
      </c>
      <c r="BD116" s="208">
        <v>0</v>
      </c>
      <c r="BE116" s="208">
        <v>0</v>
      </c>
      <c r="BF116" s="208">
        <v>0</v>
      </c>
      <c r="BG116" s="208">
        <v>0</v>
      </c>
      <c r="BH116" s="208">
        <v>0</v>
      </c>
      <c r="BI116" s="208">
        <v>0</v>
      </c>
      <c r="BJ116" s="208">
        <v>573437</v>
      </c>
      <c r="BK116" s="208">
        <v>573437</v>
      </c>
      <c r="BL116" s="208">
        <v>1361357</v>
      </c>
      <c r="BM116" s="208">
        <v>-494496</v>
      </c>
      <c r="BN116" s="187" t="s">
        <v>308</v>
      </c>
      <c r="BO116" s="187" t="s">
        <v>802</v>
      </c>
      <c r="BP116" s="187" t="s">
        <v>751</v>
      </c>
      <c r="BQ116" s="187" t="s">
        <v>1054</v>
      </c>
    </row>
    <row r="117" spans="2:69" x14ac:dyDescent="0.2">
      <c r="B117" s="429" t="s">
        <v>311</v>
      </c>
      <c r="C117" s="429" t="s">
        <v>310</v>
      </c>
      <c r="D117" s="208">
        <v>90508089</v>
      </c>
      <c r="E117" s="208">
        <v>0</v>
      </c>
      <c r="F117" s="208">
        <v>90508089</v>
      </c>
      <c r="G117" s="208">
        <v>0</v>
      </c>
      <c r="H117" s="208">
        <v>0</v>
      </c>
      <c r="I117" s="208">
        <v>0</v>
      </c>
      <c r="J117" s="208">
        <v>-259800</v>
      </c>
      <c r="K117" s="208">
        <v>0</v>
      </c>
      <c r="L117" s="208">
        <v>-259800</v>
      </c>
      <c r="M117" s="208">
        <v>0</v>
      </c>
      <c r="N117" s="208">
        <v>0</v>
      </c>
      <c r="O117" s="208">
        <v>0</v>
      </c>
      <c r="P117" s="208">
        <v>-929381</v>
      </c>
      <c r="Q117" s="208">
        <v>0</v>
      </c>
      <c r="R117" s="208">
        <v>-929381</v>
      </c>
      <c r="S117" s="208">
        <v>0</v>
      </c>
      <c r="T117" s="208">
        <v>0</v>
      </c>
      <c r="U117" s="208">
        <v>0</v>
      </c>
      <c r="V117" s="208">
        <v>0</v>
      </c>
      <c r="W117" s="208">
        <v>0</v>
      </c>
      <c r="X117" s="208">
        <v>0</v>
      </c>
      <c r="Y117" s="208">
        <v>2397114</v>
      </c>
      <c r="Z117" s="208">
        <v>0</v>
      </c>
      <c r="AA117" s="208">
        <v>2397114</v>
      </c>
      <c r="AB117" s="208">
        <v>-3694201</v>
      </c>
      <c r="AC117" s="208">
        <v>0</v>
      </c>
      <c r="AD117" s="208">
        <v>-3694201</v>
      </c>
      <c r="AE117" s="208">
        <v>88281621</v>
      </c>
      <c r="AF117" s="208">
        <v>0</v>
      </c>
      <c r="AG117" s="208">
        <v>88281621</v>
      </c>
      <c r="AH117" s="208">
        <v>0</v>
      </c>
      <c r="AI117" s="208">
        <v>0</v>
      </c>
      <c r="AJ117" s="208">
        <v>0</v>
      </c>
      <c r="AK117" s="208">
        <v>0</v>
      </c>
      <c r="AL117" s="208">
        <v>0</v>
      </c>
      <c r="AM117" s="208">
        <v>0</v>
      </c>
      <c r="AN117" s="208">
        <v>0</v>
      </c>
      <c r="AO117" s="208">
        <v>0</v>
      </c>
      <c r="AP117" s="208">
        <v>0</v>
      </c>
      <c r="AQ117" s="208">
        <v>0</v>
      </c>
      <c r="AR117" s="208">
        <v>0</v>
      </c>
      <c r="AS117" s="208">
        <v>0</v>
      </c>
      <c r="AT117" s="208">
        <v>0</v>
      </c>
      <c r="AU117" s="208">
        <v>0</v>
      </c>
      <c r="AV117" s="208">
        <v>0</v>
      </c>
      <c r="AW117" s="208">
        <v>0</v>
      </c>
      <c r="AX117" s="208">
        <v>0</v>
      </c>
      <c r="AY117" s="208">
        <v>0</v>
      </c>
      <c r="AZ117" s="208">
        <v>0</v>
      </c>
      <c r="BA117" s="208">
        <v>0</v>
      </c>
      <c r="BB117" s="208">
        <v>0</v>
      </c>
      <c r="BC117" s="208">
        <v>0</v>
      </c>
      <c r="BD117" s="208">
        <v>0</v>
      </c>
      <c r="BE117" s="208">
        <v>0</v>
      </c>
      <c r="BF117" s="208">
        <v>0</v>
      </c>
      <c r="BG117" s="208">
        <v>0</v>
      </c>
      <c r="BH117" s="208">
        <v>0</v>
      </c>
      <c r="BI117" s="208">
        <v>0</v>
      </c>
      <c r="BJ117" s="208">
        <v>0</v>
      </c>
      <c r="BK117" s="208">
        <v>0</v>
      </c>
      <c r="BL117" s="208">
        <v>4135508</v>
      </c>
      <c r="BM117" s="208">
        <v>-5425015</v>
      </c>
      <c r="BN117" s="187" t="s">
        <v>310</v>
      </c>
      <c r="BO117" s="187" t="s">
        <v>767</v>
      </c>
      <c r="BP117" s="187" t="s">
        <v>743</v>
      </c>
      <c r="BQ117" s="187" t="s">
        <v>1057</v>
      </c>
    </row>
    <row r="118" spans="2:69" x14ac:dyDescent="0.2">
      <c r="B118" s="429" t="s">
        <v>313</v>
      </c>
      <c r="C118" s="429" t="s">
        <v>312</v>
      </c>
      <c r="D118" s="208">
        <v>87635985</v>
      </c>
      <c r="E118" s="208">
        <v>0</v>
      </c>
      <c r="F118" s="208">
        <v>87635985</v>
      </c>
      <c r="G118" s="208">
        <v>0</v>
      </c>
      <c r="H118" s="208">
        <v>0</v>
      </c>
      <c r="I118" s="208">
        <v>0</v>
      </c>
      <c r="J118" s="208">
        <v>-45359</v>
      </c>
      <c r="K118" s="208">
        <v>0</v>
      </c>
      <c r="L118" s="208">
        <v>-45359</v>
      </c>
      <c r="M118" s="208">
        <v>0</v>
      </c>
      <c r="N118" s="208">
        <v>0</v>
      </c>
      <c r="O118" s="208">
        <v>0</v>
      </c>
      <c r="P118" s="208">
        <v>-65359</v>
      </c>
      <c r="Q118" s="208">
        <v>0</v>
      </c>
      <c r="R118" s="208">
        <v>-65359</v>
      </c>
      <c r="S118" s="208">
        <v>1557215</v>
      </c>
      <c r="T118" s="208">
        <v>0</v>
      </c>
      <c r="U118" s="208">
        <v>1557215</v>
      </c>
      <c r="V118" s="208">
        <v>930564</v>
      </c>
      <c r="W118" s="208">
        <v>0</v>
      </c>
      <c r="X118" s="208">
        <v>930564</v>
      </c>
      <c r="Y118" s="208">
        <v>5195398</v>
      </c>
      <c r="Z118" s="208">
        <v>0</v>
      </c>
      <c r="AA118" s="208">
        <v>5195398</v>
      </c>
      <c r="AB118" s="208">
        <v>-1115564</v>
      </c>
      <c r="AC118" s="208">
        <v>0</v>
      </c>
      <c r="AD118" s="208">
        <v>-1115564</v>
      </c>
      <c r="AE118" s="208">
        <v>94138239</v>
      </c>
      <c r="AF118" s="208">
        <v>0</v>
      </c>
      <c r="AG118" s="208">
        <v>94138239</v>
      </c>
      <c r="AH118" s="208">
        <v>0</v>
      </c>
      <c r="AI118" s="208">
        <v>0</v>
      </c>
      <c r="AJ118" s="208">
        <v>0</v>
      </c>
      <c r="AK118" s="208">
        <v>0</v>
      </c>
      <c r="AL118" s="208">
        <v>0</v>
      </c>
      <c r="AM118" s="208">
        <v>0</v>
      </c>
      <c r="AN118" s="208">
        <v>0</v>
      </c>
      <c r="AO118" s="208">
        <v>0</v>
      </c>
      <c r="AP118" s="208">
        <v>0</v>
      </c>
      <c r="AQ118" s="208">
        <v>0</v>
      </c>
      <c r="AR118" s="208">
        <v>0</v>
      </c>
      <c r="AS118" s="208">
        <v>0</v>
      </c>
      <c r="AT118" s="208">
        <v>0</v>
      </c>
      <c r="AU118" s="208">
        <v>0</v>
      </c>
      <c r="AV118" s="208">
        <v>0</v>
      </c>
      <c r="AW118" s="208">
        <v>0</v>
      </c>
      <c r="AX118" s="208">
        <v>0</v>
      </c>
      <c r="AY118" s="208">
        <v>0</v>
      </c>
      <c r="AZ118" s="208">
        <v>0</v>
      </c>
      <c r="BA118" s="208">
        <v>0</v>
      </c>
      <c r="BB118" s="208">
        <v>0</v>
      </c>
      <c r="BC118" s="208">
        <v>0</v>
      </c>
      <c r="BD118" s="208">
        <v>0</v>
      </c>
      <c r="BE118" s="208">
        <v>0</v>
      </c>
      <c r="BF118" s="208">
        <v>0</v>
      </c>
      <c r="BG118" s="208">
        <v>0</v>
      </c>
      <c r="BH118" s="208">
        <v>0</v>
      </c>
      <c r="BI118" s="208">
        <v>0</v>
      </c>
      <c r="BJ118" s="208">
        <v>0</v>
      </c>
      <c r="BK118" s="208">
        <v>0</v>
      </c>
      <c r="BL118" s="208">
        <v>1280401</v>
      </c>
      <c r="BM118" s="208">
        <v>-1702109</v>
      </c>
      <c r="BN118" s="187" t="s">
        <v>312</v>
      </c>
      <c r="BO118" s="187" t="s">
        <v>757</v>
      </c>
      <c r="BP118" s="187" t="s">
        <v>751</v>
      </c>
      <c r="BQ118" s="187" t="s">
        <v>1054</v>
      </c>
    </row>
    <row r="119" spans="2:69" x14ac:dyDescent="0.2">
      <c r="B119" s="429" t="s">
        <v>315</v>
      </c>
      <c r="C119" s="429" t="s">
        <v>314</v>
      </c>
      <c r="D119" s="208">
        <v>139278207</v>
      </c>
      <c r="E119" s="208">
        <v>0</v>
      </c>
      <c r="F119" s="208">
        <v>139278207</v>
      </c>
      <c r="G119" s="208">
        <v>0</v>
      </c>
      <c r="H119" s="208">
        <v>0</v>
      </c>
      <c r="I119" s="208">
        <v>0</v>
      </c>
      <c r="J119" s="208">
        <v>0</v>
      </c>
      <c r="K119" s="208">
        <v>0</v>
      </c>
      <c r="L119" s="208">
        <v>0</v>
      </c>
      <c r="M119" s="208">
        <v>0</v>
      </c>
      <c r="N119" s="208">
        <v>0</v>
      </c>
      <c r="O119" s="208">
        <v>0</v>
      </c>
      <c r="P119" s="208">
        <v>-2967817</v>
      </c>
      <c r="Q119" s="208">
        <v>0</v>
      </c>
      <c r="R119" s="208">
        <v>-2967817</v>
      </c>
      <c r="S119" s="208">
        <v>1487997</v>
      </c>
      <c r="T119" s="208">
        <v>0</v>
      </c>
      <c r="U119" s="208">
        <v>1487997</v>
      </c>
      <c r="V119" s="208">
        <v>8857662</v>
      </c>
      <c r="W119" s="208">
        <v>0</v>
      </c>
      <c r="X119" s="208">
        <v>8857662</v>
      </c>
      <c r="Y119" s="208">
        <v>0</v>
      </c>
      <c r="Z119" s="208">
        <v>0</v>
      </c>
      <c r="AA119" s="208">
        <v>0</v>
      </c>
      <c r="AB119" s="208">
        <v>-28821768</v>
      </c>
      <c r="AC119" s="208">
        <v>0</v>
      </c>
      <c r="AD119" s="208">
        <v>-28821768</v>
      </c>
      <c r="AE119" s="208">
        <v>117834281</v>
      </c>
      <c r="AF119" s="208">
        <v>0</v>
      </c>
      <c r="AG119" s="208">
        <v>117834281</v>
      </c>
      <c r="AH119" s="208">
        <v>0</v>
      </c>
      <c r="AI119" s="208">
        <v>0</v>
      </c>
      <c r="AJ119" s="208">
        <v>0</v>
      </c>
      <c r="AK119" s="208">
        <v>0</v>
      </c>
      <c r="AL119" s="208">
        <v>0</v>
      </c>
      <c r="AM119" s="208">
        <v>0</v>
      </c>
      <c r="AN119" s="208">
        <v>0</v>
      </c>
      <c r="AO119" s="208">
        <v>0</v>
      </c>
      <c r="AP119" s="208">
        <v>0</v>
      </c>
      <c r="AQ119" s="208">
        <v>0</v>
      </c>
      <c r="AR119" s="208">
        <v>0</v>
      </c>
      <c r="AS119" s="208">
        <v>0</v>
      </c>
      <c r="AT119" s="208">
        <v>0</v>
      </c>
      <c r="AU119" s="208">
        <v>0</v>
      </c>
      <c r="AV119" s="208">
        <v>0</v>
      </c>
      <c r="AW119" s="208">
        <v>0</v>
      </c>
      <c r="AX119" s="208">
        <v>0</v>
      </c>
      <c r="AY119" s="208">
        <v>0</v>
      </c>
      <c r="AZ119" s="208">
        <v>0</v>
      </c>
      <c r="BA119" s="208">
        <v>0</v>
      </c>
      <c r="BB119" s="208">
        <v>0</v>
      </c>
      <c r="BC119" s="208">
        <v>0</v>
      </c>
      <c r="BD119" s="208">
        <v>0</v>
      </c>
      <c r="BE119" s="208">
        <v>0</v>
      </c>
      <c r="BF119" s="208">
        <v>0</v>
      </c>
      <c r="BG119" s="208">
        <v>0</v>
      </c>
      <c r="BH119" s="208">
        <v>0</v>
      </c>
      <c r="BI119" s="208">
        <v>0</v>
      </c>
      <c r="BJ119" s="208">
        <v>0</v>
      </c>
      <c r="BK119" s="208">
        <v>0</v>
      </c>
      <c r="BL119" s="208">
        <v>33631794</v>
      </c>
      <c r="BM119" s="208">
        <v>-13609644</v>
      </c>
      <c r="BN119" s="187" t="s">
        <v>314</v>
      </c>
      <c r="BO119" s="187" t="s">
        <v>767</v>
      </c>
      <c r="BP119" s="187" t="s">
        <v>743</v>
      </c>
      <c r="BQ119" s="187" t="s">
        <v>1057</v>
      </c>
    </row>
    <row r="120" spans="2:69" x14ac:dyDescent="0.2">
      <c r="B120" s="429" t="s">
        <v>317</v>
      </c>
      <c r="C120" s="429" t="s">
        <v>316</v>
      </c>
      <c r="D120" s="208">
        <v>55999175</v>
      </c>
      <c r="E120" s="208">
        <v>26131</v>
      </c>
      <c r="F120" s="208">
        <v>56025306</v>
      </c>
      <c r="G120" s="208">
        <v>0</v>
      </c>
      <c r="H120" s="208">
        <v>0</v>
      </c>
      <c r="I120" s="208">
        <v>0</v>
      </c>
      <c r="J120" s="208">
        <v>-11959</v>
      </c>
      <c r="K120" s="208">
        <v>0</v>
      </c>
      <c r="L120" s="208">
        <v>-11959</v>
      </c>
      <c r="M120" s="208">
        <v>0</v>
      </c>
      <c r="N120" s="208">
        <v>0</v>
      </c>
      <c r="O120" s="208">
        <v>0</v>
      </c>
      <c r="P120" s="208">
        <v>-538757</v>
      </c>
      <c r="Q120" s="208">
        <v>-251</v>
      </c>
      <c r="R120" s="208">
        <v>-539008</v>
      </c>
      <c r="S120" s="208">
        <v>0</v>
      </c>
      <c r="T120" s="208">
        <v>0</v>
      </c>
      <c r="U120" s="208">
        <v>0</v>
      </c>
      <c r="V120" s="208">
        <v>0</v>
      </c>
      <c r="W120" s="208">
        <v>0</v>
      </c>
      <c r="X120" s="208">
        <v>0</v>
      </c>
      <c r="Y120" s="208">
        <v>962086</v>
      </c>
      <c r="Z120" s="208">
        <v>0</v>
      </c>
      <c r="AA120" s="208">
        <v>962086</v>
      </c>
      <c r="AB120" s="208">
        <v>-864377</v>
      </c>
      <c r="AC120" s="208">
        <v>-1252</v>
      </c>
      <c r="AD120" s="208">
        <v>-865629</v>
      </c>
      <c r="AE120" s="208">
        <v>55558127</v>
      </c>
      <c r="AF120" s="208">
        <v>24628</v>
      </c>
      <c r="AG120" s="208">
        <v>55582755</v>
      </c>
      <c r="AH120" s="208">
        <v>24628</v>
      </c>
      <c r="AI120" s="208">
        <v>24628</v>
      </c>
      <c r="AJ120" s="208">
        <v>0</v>
      </c>
      <c r="AK120" s="208">
        <v>0</v>
      </c>
      <c r="AL120" s="208">
        <v>0</v>
      </c>
      <c r="AM120" s="208">
        <v>0</v>
      </c>
      <c r="AN120" s="208">
        <v>0</v>
      </c>
      <c r="AO120" s="208">
        <v>0</v>
      </c>
      <c r="AP120" s="208">
        <v>0</v>
      </c>
      <c r="AQ120" s="208">
        <v>0</v>
      </c>
      <c r="AR120" s="208">
        <v>33252</v>
      </c>
      <c r="AS120" s="208">
        <v>33252</v>
      </c>
      <c r="AT120" s="208">
        <v>0</v>
      </c>
      <c r="AU120" s="208">
        <v>24796</v>
      </c>
      <c r="AV120" s="208">
        <v>311181</v>
      </c>
      <c r="AW120" s="208">
        <v>335977</v>
      </c>
      <c r="AX120" s="208">
        <v>0</v>
      </c>
      <c r="AY120" s="208">
        <v>0</v>
      </c>
      <c r="AZ120" s="208">
        <v>0</v>
      </c>
      <c r="BA120" s="208">
        <v>0</v>
      </c>
      <c r="BB120" s="208">
        <v>0</v>
      </c>
      <c r="BC120" s="208">
        <v>0</v>
      </c>
      <c r="BD120" s="208">
        <v>0</v>
      </c>
      <c r="BE120" s="208">
        <v>0</v>
      </c>
      <c r="BF120" s="208">
        <v>0</v>
      </c>
      <c r="BG120" s="208">
        <v>0</v>
      </c>
      <c r="BH120" s="208">
        <v>0</v>
      </c>
      <c r="BI120" s="208">
        <v>0</v>
      </c>
      <c r="BJ120" s="208">
        <v>0</v>
      </c>
      <c r="BK120" s="208">
        <v>0</v>
      </c>
      <c r="BL120" s="208">
        <v>4751187</v>
      </c>
      <c r="BM120" s="208">
        <v>-581367</v>
      </c>
      <c r="BN120" s="187" t="s">
        <v>849</v>
      </c>
      <c r="BO120" s="187" t="s">
        <v>742</v>
      </c>
      <c r="BP120" s="187" t="s">
        <v>780</v>
      </c>
      <c r="BQ120" s="187" t="s">
        <v>742</v>
      </c>
    </row>
    <row r="121" spans="2:69" x14ac:dyDescent="0.2">
      <c r="B121" s="429" t="s">
        <v>319</v>
      </c>
      <c r="C121" s="429" t="s">
        <v>318</v>
      </c>
      <c r="D121" s="208">
        <v>27551821</v>
      </c>
      <c r="E121" s="208">
        <v>0</v>
      </c>
      <c r="F121" s="208">
        <v>27551821</v>
      </c>
      <c r="G121" s="208">
        <v>0</v>
      </c>
      <c r="H121" s="208">
        <v>0</v>
      </c>
      <c r="I121" s="208">
        <v>0</v>
      </c>
      <c r="J121" s="208">
        <v>-148295</v>
      </c>
      <c r="K121" s="208">
        <v>0</v>
      </c>
      <c r="L121" s="208">
        <v>-148295</v>
      </c>
      <c r="M121" s="208">
        <v>0</v>
      </c>
      <c r="N121" s="208">
        <v>0</v>
      </c>
      <c r="O121" s="208">
        <v>0</v>
      </c>
      <c r="P121" s="208">
        <v>-140571</v>
      </c>
      <c r="Q121" s="208">
        <v>0</v>
      </c>
      <c r="R121" s="208">
        <v>-140571</v>
      </c>
      <c r="S121" s="208">
        <v>518680</v>
      </c>
      <c r="T121" s="208">
        <v>0</v>
      </c>
      <c r="U121" s="208">
        <v>518680</v>
      </c>
      <c r="V121" s="208">
        <v>477340</v>
      </c>
      <c r="W121" s="208">
        <v>0</v>
      </c>
      <c r="X121" s="208">
        <v>477340</v>
      </c>
      <c r="Y121" s="208">
        <v>-817616</v>
      </c>
      <c r="Z121" s="208">
        <v>0</v>
      </c>
      <c r="AA121" s="208">
        <v>-817616</v>
      </c>
      <c r="AB121" s="208">
        <v>-491433</v>
      </c>
      <c r="AC121" s="208">
        <v>0</v>
      </c>
      <c r="AD121" s="208">
        <v>-491433</v>
      </c>
      <c r="AE121" s="208">
        <v>27098221</v>
      </c>
      <c r="AF121" s="208">
        <v>0</v>
      </c>
      <c r="AG121" s="208">
        <v>27098221</v>
      </c>
      <c r="AH121" s="208">
        <v>0</v>
      </c>
      <c r="AI121" s="208">
        <v>0</v>
      </c>
      <c r="AJ121" s="208">
        <v>69576</v>
      </c>
      <c r="AK121" s="208">
        <v>0</v>
      </c>
      <c r="AL121" s="208">
        <v>69576</v>
      </c>
      <c r="AM121" s="208">
        <v>0</v>
      </c>
      <c r="AN121" s="208">
        <v>0</v>
      </c>
      <c r="AO121" s="208">
        <v>0</v>
      </c>
      <c r="AP121" s="208">
        <v>0</v>
      </c>
      <c r="AQ121" s="208">
        <v>0</v>
      </c>
      <c r="AR121" s="208">
        <v>0</v>
      </c>
      <c r="AS121" s="208">
        <v>0</v>
      </c>
      <c r="AT121" s="208">
        <v>0</v>
      </c>
      <c r="AU121" s="208">
        <v>0</v>
      </c>
      <c r="AV121" s="208">
        <v>0</v>
      </c>
      <c r="AW121" s="208">
        <v>0</v>
      </c>
      <c r="AX121" s="208">
        <v>0</v>
      </c>
      <c r="AY121" s="208">
        <v>0</v>
      </c>
      <c r="AZ121" s="208">
        <v>0</v>
      </c>
      <c r="BA121" s="208">
        <v>0</v>
      </c>
      <c r="BB121" s="208">
        <v>0</v>
      </c>
      <c r="BC121" s="208">
        <v>0</v>
      </c>
      <c r="BD121" s="208">
        <v>0</v>
      </c>
      <c r="BE121" s="208">
        <v>0</v>
      </c>
      <c r="BF121" s="208">
        <v>0</v>
      </c>
      <c r="BG121" s="208">
        <v>0</v>
      </c>
      <c r="BH121" s="208">
        <v>0</v>
      </c>
      <c r="BI121" s="208">
        <v>0</v>
      </c>
      <c r="BJ121" s="208">
        <v>0</v>
      </c>
      <c r="BK121" s="208">
        <v>0</v>
      </c>
      <c r="BL121" s="208">
        <v>585362</v>
      </c>
      <c r="BM121" s="208">
        <v>-703085</v>
      </c>
      <c r="BN121" s="187" t="s">
        <v>318</v>
      </c>
      <c r="BO121" s="187" t="s">
        <v>812</v>
      </c>
      <c r="BP121" s="187" t="s">
        <v>741</v>
      </c>
      <c r="BQ121" s="187" t="s">
        <v>1054</v>
      </c>
    </row>
    <row r="122" spans="2:69" x14ac:dyDescent="0.2">
      <c r="B122" s="429" t="s">
        <v>321</v>
      </c>
      <c r="C122" s="429" t="s">
        <v>320</v>
      </c>
      <c r="D122" s="208">
        <v>242303619</v>
      </c>
      <c r="E122" s="208">
        <v>0</v>
      </c>
      <c r="F122" s="208">
        <v>242303619</v>
      </c>
      <c r="G122" s="208">
        <v>0</v>
      </c>
      <c r="H122" s="208">
        <v>0</v>
      </c>
      <c r="I122" s="208">
        <v>0</v>
      </c>
      <c r="J122" s="208">
        <v>-856126</v>
      </c>
      <c r="K122" s="208">
        <v>0</v>
      </c>
      <c r="L122" s="208">
        <v>-856126</v>
      </c>
      <c r="M122" s="208">
        <v>0</v>
      </c>
      <c r="N122" s="208">
        <v>0</v>
      </c>
      <c r="O122" s="208">
        <v>0</v>
      </c>
      <c r="P122" s="208">
        <v>-2066355</v>
      </c>
      <c r="Q122" s="208">
        <v>0</v>
      </c>
      <c r="R122" s="208">
        <v>-2066355</v>
      </c>
      <c r="S122" s="208">
        <v>4709402</v>
      </c>
      <c r="T122" s="208">
        <v>0</v>
      </c>
      <c r="U122" s="208">
        <v>4709402</v>
      </c>
      <c r="V122" s="208">
        <v>5967816</v>
      </c>
      <c r="W122" s="208">
        <v>0</v>
      </c>
      <c r="X122" s="208">
        <v>5967816</v>
      </c>
      <c r="Y122" s="208">
        <v>0</v>
      </c>
      <c r="Z122" s="208">
        <v>0</v>
      </c>
      <c r="AA122" s="208">
        <v>0</v>
      </c>
      <c r="AB122" s="208">
        <v>-23794357</v>
      </c>
      <c r="AC122" s="208">
        <v>0</v>
      </c>
      <c r="AD122" s="208">
        <v>-23794357</v>
      </c>
      <c r="AE122" s="208">
        <v>227120125</v>
      </c>
      <c r="AF122" s="208">
        <v>0</v>
      </c>
      <c r="AG122" s="208">
        <v>227120125</v>
      </c>
      <c r="AH122" s="208">
        <v>0</v>
      </c>
      <c r="AI122" s="208">
        <v>0</v>
      </c>
      <c r="AJ122" s="208">
        <v>0</v>
      </c>
      <c r="AK122" s="208">
        <v>0</v>
      </c>
      <c r="AL122" s="208">
        <v>0</v>
      </c>
      <c r="AM122" s="208">
        <v>0</v>
      </c>
      <c r="AN122" s="208">
        <v>0</v>
      </c>
      <c r="AO122" s="208">
        <v>0</v>
      </c>
      <c r="AP122" s="208">
        <v>0</v>
      </c>
      <c r="AQ122" s="208">
        <v>0</v>
      </c>
      <c r="AR122" s="208">
        <v>0</v>
      </c>
      <c r="AS122" s="208">
        <v>0</v>
      </c>
      <c r="AT122" s="208">
        <v>0</v>
      </c>
      <c r="AU122" s="208">
        <v>0</v>
      </c>
      <c r="AV122" s="208">
        <v>0</v>
      </c>
      <c r="AW122" s="208">
        <v>0</v>
      </c>
      <c r="AX122" s="208">
        <v>0</v>
      </c>
      <c r="AY122" s="208">
        <v>0</v>
      </c>
      <c r="AZ122" s="208">
        <v>0</v>
      </c>
      <c r="BA122" s="208">
        <v>0</v>
      </c>
      <c r="BB122" s="208">
        <v>0</v>
      </c>
      <c r="BC122" s="208">
        <v>0</v>
      </c>
      <c r="BD122" s="208">
        <v>0</v>
      </c>
      <c r="BE122" s="208">
        <v>0</v>
      </c>
      <c r="BF122" s="208">
        <v>0</v>
      </c>
      <c r="BG122" s="208">
        <v>0</v>
      </c>
      <c r="BH122" s="208">
        <v>0</v>
      </c>
      <c r="BI122" s="208">
        <v>0</v>
      </c>
      <c r="BJ122" s="208">
        <v>0</v>
      </c>
      <c r="BK122" s="208">
        <v>0</v>
      </c>
      <c r="BL122" s="208">
        <v>26645874.96000053</v>
      </c>
      <c r="BM122" s="208">
        <v>-23519622.640000001</v>
      </c>
      <c r="BN122" s="187" t="s">
        <v>848</v>
      </c>
      <c r="BO122" s="187" t="s">
        <v>767</v>
      </c>
      <c r="BP122" s="187" t="s">
        <v>743</v>
      </c>
      <c r="BQ122" s="187" t="s">
        <v>1057</v>
      </c>
    </row>
    <row r="123" spans="2:69" x14ac:dyDescent="0.2">
      <c r="B123" s="429" t="s">
        <v>323</v>
      </c>
      <c r="C123" s="429" t="s">
        <v>322</v>
      </c>
      <c r="D123" s="208">
        <v>43663529</v>
      </c>
      <c r="E123" s="208">
        <v>0</v>
      </c>
      <c r="F123" s="208">
        <v>43663529</v>
      </c>
      <c r="G123" s="208">
        <v>0</v>
      </c>
      <c r="H123" s="208">
        <v>0</v>
      </c>
      <c r="I123" s="208">
        <v>0</v>
      </c>
      <c r="J123" s="208">
        <v>-129590</v>
      </c>
      <c r="K123" s="208">
        <v>0</v>
      </c>
      <c r="L123" s="208">
        <v>-129590</v>
      </c>
      <c r="M123" s="208">
        <v>0</v>
      </c>
      <c r="N123" s="208">
        <v>0</v>
      </c>
      <c r="O123" s="208">
        <v>0</v>
      </c>
      <c r="P123" s="208">
        <v>-132512</v>
      </c>
      <c r="Q123" s="208">
        <v>0</v>
      </c>
      <c r="R123" s="208">
        <v>-132512</v>
      </c>
      <c r="S123" s="208">
        <v>707199</v>
      </c>
      <c r="T123" s="208">
        <v>0</v>
      </c>
      <c r="U123" s="208">
        <v>707199</v>
      </c>
      <c r="V123" s="208">
        <v>0</v>
      </c>
      <c r="W123" s="208">
        <v>0</v>
      </c>
      <c r="X123" s="208">
        <v>0</v>
      </c>
      <c r="Y123" s="208">
        <v>1519229</v>
      </c>
      <c r="Z123" s="208">
        <v>0</v>
      </c>
      <c r="AA123" s="208">
        <v>1519229</v>
      </c>
      <c r="AB123" s="208">
        <v>-97381</v>
      </c>
      <c r="AC123" s="208">
        <v>0</v>
      </c>
      <c r="AD123" s="208">
        <v>-97381</v>
      </c>
      <c r="AE123" s="208">
        <v>45660064</v>
      </c>
      <c r="AF123" s="208">
        <v>0</v>
      </c>
      <c r="AG123" s="208">
        <v>45660064</v>
      </c>
      <c r="AH123" s="208">
        <v>0</v>
      </c>
      <c r="AI123" s="208">
        <v>0</v>
      </c>
      <c r="AJ123" s="208">
        <v>36706</v>
      </c>
      <c r="AK123" s="208">
        <v>0</v>
      </c>
      <c r="AL123" s="208">
        <v>36706</v>
      </c>
      <c r="AM123" s="208">
        <v>0</v>
      </c>
      <c r="AN123" s="208">
        <v>0</v>
      </c>
      <c r="AO123" s="208">
        <v>0</v>
      </c>
      <c r="AP123" s="208">
        <v>0</v>
      </c>
      <c r="AQ123" s="208">
        <v>0</v>
      </c>
      <c r="AR123" s="208">
        <v>0</v>
      </c>
      <c r="AS123" s="208">
        <v>0</v>
      </c>
      <c r="AT123" s="208">
        <v>0</v>
      </c>
      <c r="AU123" s="208">
        <v>0</v>
      </c>
      <c r="AV123" s="208">
        <v>0</v>
      </c>
      <c r="AW123" s="208">
        <v>0</v>
      </c>
      <c r="AX123" s="208">
        <v>0</v>
      </c>
      <c r="AY123" s="208">
        <v>0</v>
      </c>
      <c r="AZ123" s="208">
        <v>0</v>
      </c>
      <c r="BA123" s="208">
        <v>0</v>
      </c>
      <c r="BB123" s="208">
        <v>0</v>
      </c>
      <c r="BC123" s="208">
        <v>0</v>
      </c>
      <c r="BD123" s="208">
        <v>0</v>
      </c>
      <c r="BE123" s="208">
        <v>0</v>
      </c>
      <c r="BF123" s="208">
        <v>0</v>
      </c>
      <c r="BG123" s="208">
        <v>0</v>
      </c>
      <c r="BH123" s="208">
        <v>0</v>
      </c>
      <c r="BI123" s="208">
        <v>0</v>
      </c>
      <c r="BJ123" s="208">
        <v>0</v>
      </c>
      <c r="BK123" s="208">
        <v>0</v>
      </c>
      <c r="BL123" s="208">
        <v>228941</v>
      </c>
      <c r="BM123" s="208">
        <v>-510261</v>
      </c>
      <c r="BN123" s="187" t="s">
        <v>322</v>
      </c>
      <c r="BO123" s="187" t="s">
        <v>825</v>
      </c>
      <c r="BP123" s="187" t="s">
        <v>813</v>
      </c>
      <c r="BQ123" s="187" t="s">
        <v>1054</v>
      </c>
    </row>
    <row r="124" spans="2:69" x14ac:dyDescent="0.2">
      <c r="B124" s="429" t="s">
        <v>325</v>
      </c>
      <c r="C124" s="429" t="s">
        <v>324</v>
      </c>
      <c r="D124" s="208">
        <v>70255822</v>
      </c>
      <c r="E124" s="208">
        <v>0</v>
      </c>
      <c r="F124" s="208">
        <v>70255822</v>
      </c>
      <c r="G124" s="208">
        <v>0</v>
      </c>
      <c r="H124" s="208">
        <v>0</v>
      </c>
      <c r="I124" s="208">
        <v>0</v>
      </c>
      <c r="J124" s="208">
        <v>-553831</v>
      </c>
      <c r="K124" s="208">
        <v>0</v>
      </c>
      <c r="L124" s="208">
        <v>-553831</v>
      </c>
      <c r="M124" s="208">
        <v>0</v>
      </c>
      <c r="N124" s="208">
        <v>0</v>
      </c>
      <c r="O124" s="208">
        <v>0</v>
      </c>
      <c r="P124" s="208">
        <v>-458235</v>
      </c>
      <c r="Q124" s="208">
        <v>0</v>
      </c>
      <c r="R124" s="208">
        <v>-458235</v>
      </c>
      <c r="S124" s="208">
        <v>655513</v>
      </c>
      <c r="T124" s="208">
        <v>0</v>
      </c>
      <c r="U124" s="208">
        <v>655513</v>
      </c>
      <c r="V124" s="208">
        <v>300892</v>
      </c>
      <c r="W124" s="208">
        <v>0</v>
      </c>
      <c r="X124" s="208">
        <v>300892</v>
      </c>
      <c r="Y124" s="208">
        <v>2459222</v>
      </c>
      <c r="Z124" s="208">
        <v>0</v>
      </c>
      <c r="AA124" s="208">
        <v>2459222</v>
      </c>
      <c r="AB124" s="208">
        <v>-1730613</v>
      </c>
      <c r="AC124" s="208">
        <v>0</v>
      </c>
      <c r="AD124" s="208">
        <v>-1730613</v>
      </c>
      <c r="AE124" s="208">
        <v>71482601</v>
      </c>
      <c r="AF124" s="208">
        <v>0</v>
      </c>
      <c r="AG124" s="208">
        <v>71482601</v>
      </c>
      <c r="AH124" s="208">
        <v>0</v>
      </c>
      <c r="AI124" s="208">
        <v>0</v>
      </c>
      <c r="AJ124" s="208">
        <v>0</v>
      </c>
      <c r="AK124" s="208">
        <v>0</v>
      </c>
      <c r="AL124" s="208">
        <v>0</v>
      </c>
      <c r="AM124" s="208">
        <v>0</v>
      </c>
      <c r="AN124" s="208">
        <v>0</v>
      </c>
      <c r="AO124" s="208">
        <v>0</v>
      </c>
      <c r="AP124" s="208">
        <v>0</v>
      </c>
      <c r="AQ124" s="208">
        <v>0</v>
      </c>
      <c r="AR124" s="208">
        <v>0</v>
      </c>
      <c r="AS124" s="208">
        <v>0</v>
      </c>
      <c r="AT124" s="208">
        <v>0</v>
      </c>
      <c r="AU124" s="208">
        <v>0</v>
      </c>
      <c r="AV124" s="208">
        <v>0</v>
      </c>
      <c r="AW124" s="208">
        <v>0</v>
      </c>
      <c r="AX124" s="208">
        <v>0</v>
      </c>
      <c r="AY124" s="208">
        <v>0</v>
      </c>
      <c r="AZ124" s="208">
        <v>0</v>
      </c>
      <c r="BA124" s="208">
        <v>0</v>
      </c>
      <c r="BB124" s="208">
        <v>0</v>
      </c>
      <c r="BC124" s="208">
        <v>0</v>
      </c>
      <c r="BD124" s="208">
        <v>0</v>
      </c>
      <c r="BE124" s="208">
        <v>0</v>
      </c>
      <c r="BF124" s="208">
        <v>0</v>
      </c>
      <c r="BG124" s="208">
        <v>0</v>
      </c>
      <c r="BH124" s="208">
        <v>0</v>
      </c>
      <c r="BI124" s="208">
        <v>0</v>
      </c>
      <c r="BJ124" s="208">
        <v>0</v>
      </c>
      <c r="BK124" s="208">
        <v>0</v>
      </c>
      <c r="BL124" s="208">
        <v>10270186</v>
      </c>
      <c r="BM124" s="208">
        <v>-8847221</v>
      </c>
      <c r="BN124" s="187" t="s">
        <v>324</v>
      </c>
      <c r="BO124" s="187" t="s">
        <v>767</v>
      </c>
      <c r="BP124" s="187" t="s">
        <v>743</v>
      </c>
      <c r="BQ124" s="187" t="s">
        <v>1055</v>
      </c>
    </row>
    <row r="125" spans="2:69" x14ac:dyDescent="0.2">
      <c r="B125" s="429" t="s">
        <v>327</v>
      </c>
      <c r="C125" s="429" t="s">
        <v>326</v>
      </c>
      <c r="D125" s="208">
        <v>43013122</v>
      </c>
      <c r="E125" s="208">
        <v>4113502</v>
      </c>
      <c r="F125" s="208">
        <v>47126624</v>
      </c>
      <c r="G125" s="208">
        <v>-33985</v>
      </c>
      <c r="H125" s="208">
        <v>0</v>
      </c>
      <c r="I125" s="208">
        <v>-33985</v>
      </c>
      <c r="J125" s="208">
        <v>-19410</v>
      </c>
      <c r="K125" s="208">
        <v>0</v>
      </c>
      <c r="L125" s="208">
        <v>-19410</v>
      </c>
      <c r="M125" s="208">
        <v>0</v>
      </c>
      <c r="N125" s="208">
        <v>0</v>
      </c>
      <c r="O125" s="208">
        <v>0</v>
      </c>
      <c r="P125" s="208">
        <v>305000</v>
      </c>
      <c r="Q125" s="208">
        <v>0</v>
      </c>
      <c r="R125" s="208">
        <v>305000</v>
      </c>
      <c r="S125" s="208">
        <v>293300</v>
      </c>
      <c r="T125" s="208">
        <v>14454</v>
      </c>
      <c r="U125" s="208">
        <v>307754</v>
      </c>
      <c r="V125" s="208">
        <v>803725</v>
      </c>
      <c r="W125" s="208">
        <v>178353</v>
      </c>
      <c r="X125" s="208">
        <v>982078</v>
      </c>
      <c r="Y125" s="208">
        <v>-1261474</v>
      </c>
      <c r="Z125" s="208">
        <v>-172035</v>
      </c>
      <c r="AA125" s="208">
        <v>-1433509</v>
      </c>
      <c r="AB125" s="208">
        <v>0</v>
      </c>
      <c r="AC125" s="208">
        <v>0</v>
      </c>
      <c r="AD125" s="208">
        <v>0</v>
      </c>
      <c r="AE125" s="208">
        <v>43119688</v>
      </c>
      <c r="AF125" s="208">
        <v>4134274</v>
      </c>
      <c r="AG125" s="208">
        <v>47253962</v>
      </c>
      <c r="AH125" s="208">
        <v>4134274</v>
      </c>
      <c r="AI125" s="208">
        <v>4134274</v>
      </c>
      <c r="AJ125" s="208">
        <v>0</v>
      </c>
      <c r="AK125" s="208">
        <v>0</v>
      </c>
      <c r="AL125" s="208">
        <v>0</v>
      </c>
      <c r="AM125" s="208">
        <v>0</v>
      </c>
      <c r="AN125" s="208">
        <v>0</v>
      </c>
      <c r="AO125" s="208">
        <v>0</v>
      </c>
      <c r="AP125" s="208">
        <v>5899</v>
      </c>
      <c r="AQ125" s="208">
        <v>5899</v>
      </c>
      <c r="AR125" s="208">
        <v>3265075</v>
      </c>
      <c r="AS125" s="208">
        <v>3265075</v>
      </c>
      <c r="AT125" s="208">
        <v>875098</v>
      </c>
      <c r="AU125" s="208">
        <v>0</v>
      </c>
      <c r="AV125" s="208">
        <v>0</v>
      </c>
      <c r="AW125" s="208">
        <v>0</v>
      </c>
      <c r="AX125" s="208">
        <v>0</v>
      </c>
      <c r="AY125" s="208">
        <v>0</v>
      </c>
      <c r="AZ125" s="208">
        <v>0</v>
      </c>
      <c r="BA125" s="208">
        <v>0</v>
      </c>
      <c r="BB125" s="208">
        <v>0</v>
      </c>
      <c r="BC125" s="208">
        <v>0</v>
      </c>
      <c r="BD125" s="208">
        <v>0</v>
      </c>
      <c r="BE125" s="208">
        <v>0</v>
      </c>
      <c r="BF125" s="208">
        <v>0</v>
      </c>
      <c r="BG125" s="208">
        <v>0</v>
      </c>
      <c r="BH125" s="208">
        <v>0</v>
      </c>
      <c r="BI125" s="208">
        <v>0</v>
      </c>
      <c r="BJ125" s="208">
        <v>0</v>
      </c>
      <c r="BK125" s="208">
        <v>0</v>
      </c>
      <c r="BL125" s="208">
        <v>3563632.5</v>
      </c>
      <c r="BM125" s="208">
        <v>-1094340</v>
      </c>
      <c r="BN125" s="187" t="s">
        <v>326</v>
      </c>
      <c r="BO125" s="187" t="s">
        <v>784</v>
      </c>
      <c r="BP125" s="187" t="s">
        <v>783</v>
      </c>
      <c r="BQ125" s="187" t="s">
        <v>1054</v>
      </c>
    </row>
    <row r="126" spans="2:69" x14ac:dyDescent="0.2">
      <c r="B126" s="429" t="s">
        <v>329</v>
      </c>
      <c r="C126" s="429" t="s">
        <v>328</v>
      </c>
      <c r="D126" s="208">
        <v>63471353</v>
      </c>
      <c r="E126" s="208">
        <v>0</v>
      </c>
      <c r="F126" s="208">
        <v>63471353</v>
      </c>
      <c r="G126" s="208">
        <v>0</v>
      </c>
      <c r="H126" s="208">
        <v>0</v>
      </c>
      <c r="I126" s="208">
        <v>0</v>
      </c>
      <c r="J126" s="208">
        <v>-301839</v>
      </c>
      <c r="K126" s="208">
        <v>0</v>
      </c>
      <c r="L126" s="208">
        <v>-301839</v>
      </c>
      <c r="M126" s="208">
        <v>0</v>
      </c>
      <c r="N126" s="208">
        <v>0</v>
      </c>
      <c r="O126" s="208">
        <v>0</v>
      </c>
      <c r="P126" s="208">
        <v>-570528</v>
      </c>
      <c r="Q126" s="208">
        <v>0</v>
      </c>
      <c r="R126" s="208">
        <v>-570528</v>
      </c>
      <c r="S126" s="208">
        <v>1607682</v>
      </c>
      <c r="T126" s="208">
        <v>0</v>
      </c>
      <c r="U126" s="208">
        <v>1607682</v>
      </c>
      <c r="V126" s="208">
        <v>557254</v>
      </c>
      <c r="W126" s="208">
        <v>0</v>
      </c>
      <c r="X126" s="208">
        <v>557254</v>
      </c>
      <c r="Y126" s="208">
        <v>-901618</v>
      </c>
      <c r="Z126" s="208">
        <v>0</v>
      </c>
      <c r="AA126" s="208">
        <v>-901618</v>
      </c>
      <c r="AB126" s="208">
        <v>-2951524</v>
      </c>
      <c r="AC126" s="208">
        <v>0</v>
      </c>
      <c r="AD126" s="208">
        <v>-2951524</v>
      </c>
      <c r="AE126" s="208">
        <v>61212619</v>
      </c>
      <c r="AF126" s="208">
        <v>0</v>
      </c>
      <c r="AG126" s="208">
        <v>61212619</v>
      </c>
      <c r="AH126" s="208">
        <v>0</v>
      </c>
      <c r="AI126" s="208">
        <v>0</v>
      </c>
      <c r="AJ126" s="208">
        <v>237148</v>
      </c>
      <c r="AK126" s="208">
        <v>0</v>
      </c>
      <c r="AL126" s="208">
        <v>237148</v>
      </c>
      <c r="AM126" s="208">
        <v>0</v>
      </c>
      <c r="AN126" s="208">
        <v>0</v>
      </c>
      <c r="AO126" s="208">
        <v>0</v>
      </c>
      <c r="AP126" s="208">
        <v>0</v>
      </c>
      <c r="AQ126" s="208">
        <v>0</v>
      </c>
      <c r="AR126" s="208">
        <v>0</v>
      </c>
      <c r="AS126" s="208">
        <v>0</v>
      </c>
      <c r="AT126" s="208">
        <v>0</v>
      </c>
      <c r="AU126" s="208">
        <v>0</v>
      </c>
      <c r="AV126" s="208">
        <v>0</v>
      </c>
      <c r="AW126" s="208">
        <v>0</v>
      </c>
      <c r="AX126" s="208">
        <v>0</v>
      </c>
      <c r="AY126" s="208">
        <v>0</v>
      </c>
      <c r="AZ126" s="208">
        <v>0</v>
      </c>
      <c r="BA126" s="208">
        <v>0</v>
      </c>
      <c r="BB126" s="208">
        <v>0</v>
      </c>
      <c r="BC126" s="208">
        <v>0</v>
      </c>
      <c r="BD126" s="208">
        <v>0</v>
      </c>
      <c r="BE126" s="208">
        <v>0</v>
      </c>
      <c r="BF126" s="208">
        <v>0</v>
      </c>
      <c r="BG126" s="208">
        <v>0</v>
      </c>
      <c r="BH126" s="208">
        <v>0</v>
      </c>
      <c r="BI126" s="208">
        <v>0</v>
      </c>
      <c r="BJ126" s="208">
        <v>0</v>
      </c>
      <c r="BK126" s="208">
        <v>0</v>
      </c>
      <c r="BL126" s="208">
        <v>2605499</v>
      </c>
      <c r="BM126" s="208">
        <v>-1990499</v>
      </c>
      <c r="BN126" s="187" t="s">
        <v>328</v>
      </c>
      <c r="BO126" s="187" t="s">
        <v>812</v>
      </c>
      <c r="BP126" s="187" t="s">
        <v>741</v>
      </c>
      <c r="BQ126" s="187" t="s">
        <v>1054</v>
      </c>
    </row>
    <row r="127" spans="2:69" x14ac:dyDescent="0.2">
      <c r="B127" s="429" t="s">
        <v>331</v>
      </c>
      <c r="C127" s="429" t="s">
        <v>330</v>
      </c>
      <c r="D127" s="208">
        <v>52783704</v>
      </c>
      <c r="E127" s="208">
        <v>0</v>
      </c>
      <c r="F127" s="208">
        <v>52783704</v>
      </c>
      <c r="G127" s="208">
        <v>0</v>
      </c>
      <c r="H127" s="208">
        <v>0</v>
      </c>
      <c r="I127" s="208">
        <v>0</v>
      </c>
      <c r="J127" s="208">
        <v>-639779</v>
      </c>
      <c r="K127" s="208">
        <v>0</v>
      </c>
      <c r="L127" s="208">
        <v>-639779</v>
      </c>
      <c r="M127" s="208">
        <v>0</v>
      </c>
      <c r="N127" s="208">
        <v>0</v>
      </c>
      <c r="O127" s="208">
        <v>0</v>
      </c>
      <c r="P127" s="208">
        <v>-732539</v>
      </c>
      <c r="Q127" s="208">
        <v>0</v>
      </c>
      <c r="R127" s="208">
        <v>-732539</v>
      </c>
      <c r="S127" s="208">
        <v>3483102</v>
      </c>
      <c r="T127" s="208">
        <v>0</v>
      </c>
      <c r="U127" s="208">
        <v>3483102</v>
      </c>
      <c r="V127" s="208">
        <v>3239402</v>
      </c>
      <c r="W127" s="208">
        <v>0</v>
      </c>
      <c r="X127" s="208">
        <v>3239402</v>
      </c>
      <c r="Y127" s="208">
        <v>-5422504</v>
      </c>
      <c r="Z127" s="208">
        <v>0</v>
      </c>
      <c r="AA127" s="208">
        <v>-5422504</v>
      </c>
      <c r="AB127" s="208">
        <v>-2000000</v>
      </c>
      <c r="AC127" s="208">
        <v>0</v>
      </c>
      <c r="AD127" s="208">
        <v>-2000000</v>
      </c>
      <c r="AE127" s="208">
        <v>51351165</v>
      </c>
      <c r="AF127" s="208">
        <v>0</v>
      </c>
      <c r="AG127" s="208">
        <v>51351165</v>
      </c>
      <c r="AH127" s="208">
        <v>0</v>
      </c>
      <c r="AI127" s="208">
        <v>0</v>
      </c>
      <c r="AJ127" s="208">
        <v>0</v>
      </c>
      <c r="AK127" s="208">
        <v>0</v>
      </c>
      <c r="AL127" s="208">
        <v>0</v>
      </c>
      <c r="AM127" s="208">
        <v>0</v>
      </c>
      <c r="AN127" s="208">
        <v>0</v>
      </c>
      <c r="AO127" s="208">
        <v>0</v>
      </c>
      <c r="AP127" s="208">
        <v>0</v>
      </c>
      <c r="AQ127" s="208">
        <v>0</v>
      </c>
      <c r="AR127" s="208">
        <v>0</v>
      </c>
      <c r="AS127" s="208">
        <v>0</v>
      </c>
      <c r="AT127" s="208">
        <v>0</v>
      </c>
      <c r="AU127" s="208">
        <v>0</v>
      </c>
      <c r="AV127" s="208">
        <v>0</v>
      </c>
      <c r="AW127" s="208">
        <v>0</v>
      </c>
      <c r="AX127" s="208">
        <v>0</v>
      </c>
      <c r="AY127" s="208">
        <v>0</v>
      </c>
      <c r="AZ127" s="208">
        <v>0</v>
      </c>
      <c r="BA127" s="208">
        <v>0</v>
      </c>
      <c r="BB127" s="208">
        <v>0</v>
      </c>
      <c r="BC127" s="208">
        <v>0</v>
      </c>
      <c r="BD127" s="208">
        <v>0</v>
      </c>
      <c r="BE127" s="208">
        <v>0</v>
      </c>
      <c r="BF127" s="208">
        <v>0</v>
      </c>
      <c r="BG127" s="208">
        <v>0</v>
      </c>
      <c r="BH127" s="208">
        <v>0</v>
      </c>
      <c r="BI127" s="208">
        <v>0</v>
      </c>
      <c r="BJ127" s="208">
        <v>0</v>
      </c>
      <c r="BK127" s="208">
        <v>0</v>
      </c>
      <c r="BL127" s="208">
        <v>3639800</v>
      </c>
      <c r="BM127" s="208">
        <v>-1878197</v>
      </c>
      <c r="BN127" s="187" t="s">
        <v>330</v>
      </c>
      <c r="BO127" s="187" t="s">
        <v>767</v>
      </c>
      <c r="BP127" s="187" t="s">
        <v>743</v>
      </c>
      <c r="BQ127" s="187" t="s">
        <v>1055</v>
      </c>
    </row>
    <row r="128" spans="2:69" x14ac:dyDescent="0.2">
      <c r="B128" s="429" t="s">
        <v>333</v>
      </c>
      <c r="C128" s="429" t="s">
        <v>332</v>
      </c>
      <c r="D128" s="208">
        <v>29925709</v>
      </c>
      <c r="E128" s="208">
        <v>0</v>
      </c>
      <c r="F128" s="208">
        <v>29925709</v>
      </c>
      <c r="G128" s="208">
        <v>0</v>
      </c>
      <c r="H128" s="208">
        <v>0</v>
      </c>
      <c r="I128" s="208">
        <v>0</v>
      </c>
      <c r="J128" s="208">
        <v>0</v>
      </c>
      <c r="K128" s="208">
        <v>0</v>
      </c>
      <c r="L128" s="208">
        <v>0</v>
      </c>
      <c r="M128" s="208">
        <v>0</v>
      </c>
      <c r="N128" s="208">
        <v>0</v>
      </c>
      <c r="O128" s="208">
        <v>0</v>
      </c>
      <c r="P128" s="208">
        <v>-130241</v>
      </c>
      <c r="Q128" s="208">
        <v>0</v>
      </c>
      <c r="R128" s="208">
        <v>-130241</v>
      </c>
      <c r="S128" s="208">
        <v>388777</v>
      </c>
      <c r="T128" s="208">
        <v>0</v>
      </c>
      <c r="U128" s="208">
        <v>388777</v>
      </c>
      <c r="V128" s="208">
        <v>0</v>
      </c>
      <c r="W128" s="208">
        <v>0</v>
      </c>
      <c r="X128" s="208">
        <v>0</v>
      </c>
      <c r="Y128" s="208">
        <v>68533</v>
      </c>
      <c r="Z128" s="208">
        <v>0</v>
      </c>
      <c r="AA128" s="208">
        <v>68533</v>
      </c>
      <c r="AB128" s="208">
        <v>-100241</v>
      </c>
      <c r="AC128" s="208">
        <v>0</v>
      </c>
      <c r="AD128" s="208">
        <v>-100241</v>
      </c>
      <c r="AE128" s="208">
        <v>30152537</v>
      </c>
      <c r="AF128" s="208">
        <v>0</v>
      </c>
      <c r="AG128" s="208">
        <v>30152537</v>
      </c>
      <c r="AH128" s="208">
        <v>0</v>
      </c>
      <c r="AI128" s="208">
        <v>0</v>
      </c>
      <c r="AJ128" s="208">
        <v>0</v>
      </c>
      <c r="AK128" s="208">
        <v>0</v>
      </c>
      <c r="AL128" s="208">
        <v>0</v>
      </c>
      <c r="AM128" s="208">
        <v>0</v>
      </c>
      <c r="AN128" s="208">
        <v>0</v>
      </c>
      <c r="AO128" s="208">
        <v>0</v>
      </c>
      <c r="AP128" s="208">
        <v>0</v>
      </c>
      <c r="AQ128" s="208">
        <v>0</v>
      </c>
      <c r="AR128" s="208">
        <v>0</v>
      </c>
      <c r="AS128" s="208">
        <v>0</v>
      </c>
      <c r="AT128" s="208">
        <v>0</v>
      </c>
      <c r="AU128" s="208">
        <v>0</v>
      </c>
      <c r="AV128" s="208">
        <v>0</v>
      </c>
      <c r="AW128" s="208">
        <v>0</v>
      </c>
      <c r="AX128" s="208">
        <v>0</v>
      </c>
      <c r="AY128" s="208">
        <v>0</v>
      </c>
      <c r="AZ128" s="208">
        <v>0</v>
      </c>
      <c r="BA128" s="208">
        <v>0</v>
      </c>
      <c r="BB128" s="208">
        <v>0</v>
      </c>
      <c r="BC128" s="208">
        <v>0</v>
      </c>
      <c r="BD128" s="208">
        <v>0</v>
      </c>
      <c r="BE128" s="208">
        <v>0</v>
      </c>
      <c r="BF128" s="208">
        <v>0</v>
      </c>
      <c r="BG128" s="208">
        <v>0</v>
      </c>
      <c r="BH128" s="208">
        <v>0</v>
      </c>
      <c r="BI128" s="208">
        <v>0</v>
      </c>
      <c r="BJ128" s="208">
        <v>0</v>
      </c>
      <c r="BK128" s="208">
        <v>0</v>
      </c>
      <c r="BL128" s="208">
        <v>1553598</v>
      </c>
      <c r="BM128" s="208">
        <v>-1169444</v>
      </c>
      <c r="BN128" s="187" t="s">
        <v>332</v>
      </c>
      <c r="BO128" s="187" t="s">
        <v>761</v>
      </c>
      <c r="BP128" s="187" t="s">
        <v>760</v>
      </c>
      <c r="BQ128" s="187" t="s">
        <v>1054</v>
      </c>
    </row>
    <row r="129" spans="1:69" x14ac:dyDescent="0.2">
      <c r="B129" s="429" t="s">
        <v>335</v>
      </c>
      <c r="C129" s="429" t="s">
        <v>334</v>
      </c>
      <c r="D129" s="208">
        <v>31804753</v>
      </c>
      <c r="E129" s="208">
        <v>77167</v>
      </c>
      <c r="F129" s="208">
        <v>31881920</v>
      </c>
      <c r="G129" s="208">
        <v>0</v>
      </c>
      <c r="H129" s="208">
        <v>0</v>
      </c>
      <c r="I129" s="208">
        <v>0</v>
      </c>
      <c r="J129" s="208">
        <v>-332315</v>
      </c>
      <c r="K129" s="208">
        <v>0</v>
      </c>
      <c r="L129" s="208">
        <v>-332315</v>
      </c>
      <c r="M129" s="208">
        <v>0</v>
      </c>
      <c r="N129" s="208">
        <v>0</v>
      </c>
      <c r="O129" s="208">
        <v>0</v>
      </c>
      <c r="P129" s="208">
        <v>-272909</v>
      </c>
      <c r="Q129" s="208">
        <v>0</v>
      </c>
      <c r="R129" s="208">
        <v>-272909</v>
      </c>
      <c r="S129" s="208">
        <v>1461201</v>
      </c>
      <c r="T129" s="208">
        <v>0</v>
      </c>
      <c r="U129" s="208">
        <v>1461201</v>
      </c>
      <c r="V129" s="208">
        <v>0</v>
      </c>
      <c r="W129" s="208">
        <v>0</v>
      </c>
      <c r="X129" s="208">
        <v>0</v>
      </c>
      <c r="Y129" s="208">
        <v>-1546950</v>
      </c>
      <c r="Z129" s="208">
        <v>0</v>
      </c>
      <c r="AA129" s="208">
        <v>-1546950</v>
      </c>
      <c r="AB129" s="208">
        <v>-250000</v>
      </c>
      <c r="AC129" s="208">
        <v>0</v>
      </c>
      <c r="AD129" s="208">
        <v>-250000</v>
      </c>
      <c r="AE129" s="208">
        <v>31196095</v>
      </c>
      <c r="AF129" s="208">
        <v>77167</v>
      </c>
      <c r="AG129" s="208">
        <v>31273262</v>
      </c>
      <c r="AH129" s="208">
        <v>77167</v>
      </c>
      <c r="AI129" s="208">
        <v>77167</v>
      </c>
      <c r="AJ129" s="208">
        <v>0</v>
      </c>
      <c r="AK129" s="208">
        <v>0</v>
      </c>
      <c r="AL129" s="208">
        <v>0</v>
      </c>
      <c r="AM129" s="208">
        <v>0</v>
      </c>
      <c r="AN129" s="208">
        <v>0</v>
      </c>
      <c r="AO129" s="208">
        <v>0</v>
      </c>
      <c r="AP129" s="208">
        <v>1345</v>
      </c>
      <c r="AQ129" s="208">
        <v>1345</v>
      </c>
      <c r="AR129" s="208">
        <v>0</v>
      </c>
      <c r="AS129" s="208">
        <v>0</v>
      </c>
      <c r="AT129" s="208">
        <v>78512</v>
      </c>
      <c r="AU129" s="208">
        <v>0</v>
      </c>
      <c r="AV129" s="208">
        <v>0</v>
      </c>
      <c r="AW129" s="208">
        <v>0</v>
      </c>
      <c r="AX129" s="208">
        <v>0</v>
      </c>
      <c r="AY129" s="208">
        <v>58195</v>
      </c>
      <c r="AZ129" s="208">
        <v>58195</v>
      </c>
      <c r="BA129" s="208">
        <v>31902740</v>
      </c>
      <c r="BB129" s="208">
        <v>31902740</v>
      </c>
      <c r="BC129" s="208">
        <v>32719989</v>
      </c>
      <c r="BD129" s="208">
        <v>32719989</v>
      </c>
      <c r="BE129" s="208">
        <v>0</v>
      </c>
      <c r="BF129" s="208">
        <v>0</v>
      </c>
      <c r="BG129" s="208">
        <v>0</v>
      </c>
      <c r="BH129" s="208">
        <v>0</v>
      </c>
      <c r="BI129" s="208">
        <v>0</v>
      </c>
      <c r="BJ129" s="208">
        <v>58195</v>
      </c>
      <c r="BK129" s="208">
        <v>58195</v>
      </c>
      <c r="BL129" s="208">
        <v>1733568</v>
      </c>
      <c r="BM129" s="208">
        <v>-657502</v>
      </c>
      <c r="BN129" s="187" t="s">
        <v>847</v>
      </c>
      <c r="BO129" s="187" t="s">
        <v>742</v>
      </c>
      <c r="BP129" s="187" t="s">
        <v>798</v>
      </c>
      <c r="BQ129" s="187" t="s">
        <v>742</v>
      </c>
    </row>
    <row r="130" spans="1:69" x14ac:dyDescent="0.2">
      <c r="B130" s="429" t="s">
        <v>337</v>
      </c>
      <c r="C130" s="429" t="s">
        <v>336</v>
      </c>
      <c r="D130" s="208">
        <v>22437181</v>
      </c>
      <c r="E130" s="208">
        <v>0</v>
      </c>
      <c r="F130" s="208">
        <v>22437181</v>
      </c>
      <c r="G130" s="208">
        <v>0</v>
      </c>
      <c r="H130" s="208">
        <v>0</v>
      </c>
      <c r="I130" s="208">
        <v>0</v>
      </c>
      <c r="J130" s="208">
        <v>-203579</v>
      </c>
      <c r="K130" s="208">
        <v>0</v>
      </c>
      <c r="L130" s="208">
        <v>-203579</v>
      </c>
      <c r="M130" s="208">
        <v>0</v>
      </c>
      <c r="N130" s="208">
        <v>0</v>
      </c>
      <c r="O130" s="208">
        <v>0</v>
      </c>
      <c r="P130" s="208">
        <v>-777945</v>
      </c>
      <c r="Q130" s="208">
        <v>0</v>
      </c>
      <c r="R130" s="208">
        <v>-777945</v>
      </c>
      <c r="S130" s="208">
        <v>498161</v>
      </c>
      <c r="T130" s="208">
        <v>0</v>
      </c>
      <c r="U130" s="208">
        <v>498161</v>
      </c>
      <c r="V130" s="208">
        <v>0</v>
      </c>
      <c r="W130" s="208">
        <v>0</v>
      </c>
      <c r="X130" s="208">
        <v>0</v>
      </c>
      <c r="Y130" s="208">
        <v>196839</v>
      </c>
      <c r="Z130" s="208">
        <v>0</v>
      </c>
      <c r="AA130" s="208">
        <v>196839</v>
      </c>
      <c r="AB130" s="208">
        <v>-1433000</v>
      </c>
      <c r="AC130" s="208">
        <v>0</v>
      </c>
      <c r="AD130" s="208">
        <v>-1433000</v>
      </c>
      <c r="AE130" s="208">
        <v>20921236</v>
      </c>
      <c r="AF130" s="208">
        <v>0</v>
      </c>
      <c r="AG130" s="208">
        <v>20921236</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1600845</v>
      </c>
      <c r="BM130" s="208">
        <v>-326037</v>
      </c>
      <c r="BN130" s="187" t="s">
        <v>336</v>
      </c>
      <c r="BO130" s="187" t="s">
        <v>777</v>
      </c>
      <c r="BP130" s="187" t="s">
        <v>776</v>
      </c>
      <c r="BQ130" s="187" t="s">
        <v>1054</v>
      </c>
    </row>
    <row r="131" spans="1:69" x14ac:dyDescent="0.2">
      <c r="B131" s="429" t="s">
        <v>339</v>
      </c>
      <c r="C131" s="429" t="s">
        <v>338</v>
      </c>
      <c r="D131" s="208">
        <v>35607955</v>
      </c>
      <c r="E131" s="208">
        <v>0</v>
      </c>
      <c r="F131" s="208">
        <v>35607955</v>
      </c>
      <c r="G131" s="208">
        <v>0</v>
      </c>
      <c r="H131" s="208">
        <v>0</v>
      </c>
      <c r="I131" s="208">
        <v>0</v>
      </c>
      <c r="J131" s="208">
        <v>-54170</v>
      </c>
      <c r="K131" s="208">
        <v>0</v>
      </c>
      <c r="L131" s="208">
        <v>-54170</v>
      </c>
      <c r="M131" s="208">
        <v>0</v>
      </c>
      <c r="N131" s="208">
        <v>0</v>
      </c>
      <c r="O131" s="208">
        <v>0</v>
      </c>
      <c r="P131" s="208">
        <v>-101913</v>
      </c>
      <c r="Q131" s="208">
        <v>0</v>
      </c>
      <c r="R131" s="208">
        <v>-101913</v>
      </c>
      <c r="S131" s="208">
        <v>3878379</v>
      </c>
      <c r="T131" s="208">
        <v>0</v>
      </c>
      <c r="U131" s="208">
        <v>3878379</v>
      </c>
      <c r="V131" s="208">
        <v>0</v>
      </c>
      <c r="W131" s="208">
        <v>0</v>
      </c>
      <c r="X131" s="208">
        <v>0</v>
      </c>
      <c r="Y131" s="208">
        <v>-3342435</v>
      </c>
      <c r="Z131" s="208">
        <v>0</v>
      </c>
      <c r="AA131" s="208">
        <v>-3342435</v>
      </c>
      <c r="AB131" s="208">
        <v>-269424</v>
      </c>
      <c r="AC131" s="208">
        <v>0</v>
      </c>
      <c r="AD131" s="208">
        <v>-269424</v>
      </c>
      <c r="AE131" s="208">
        <v>35772562</v>
      </c>
      <c r="AF131" s="208">
        <v>0</v>
      </c>
      <c r="AG131" s="208">
        <v>35772562</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583062</v>
      </c>
      <c r="BM131" s="208">
        <v>-979269</v>
      </c>
      <c r="BN131" s="187" t="s">
        <v>338</v>
      </c>
      <c r="BO131" s="187" t="s">
        <v>761</v>
      </c>
      <c r="BP131" s="187" t="s">
        <v>760</v>
      </c>
      <c r="BQ131" s="187" t="s">
        <v>1054</v>
      </c>
    </row>
    <row r="132" spans="1:69" x14ac:dyDescent="0.2">
      <c r="A132" s="188"/>
      <c r="B132" s="429" t="s">
        <v>341</v>
      </c>
      <c r="C132" s="429" t="s">
        <v>340</v>
      </c>
      <c r="D132" s="208">
        <v>81648470</v>
      </c>
      <c r="E132" s="208">
        <v>0</v>
      </c>
      <c r="F132" s="208">
        <v>81648470</v>
      </c>
      <c r="G132" s="208">
        <v>0</v>
      </c>
      <c r="H132" s="208">
        <v>0</v>
      </c>
      <c r="I132" s="208">
        <v>0</v>
      </c>
      <c r="J132" s="208">
        <v>-156969</v>
      </c>
      <c r="K132" s="208">
        <v>0</v>
      </c>
      <c r="L132" s="208">
        <v>-156969</v>
      </c>
      <c r="M132" s="208">
        <v>-12789</v>
      </c>
      <c r="N132" s="208">
        <v>0</v>
      </c>
      <c r="O132" s="208">
        <v>-12789</v>
      </c>
      <c r="P132" s="208">
        <v>-306996</v>
      </c>
      <c r="Q132" s="208">
        <v>0</v>
      </c>
      <c r="R132" s="208">
        <v>-306996</v>
      </c>
      <c r="S132" s="208">
        <v>625058</v>
      </c>
      <c r="T132" s="208">
        <v>0</v>
      </c>
      <c r="U132" s="208">
        <v>625058</v>
      </c>
      <c r="V132" s="208">
        <v>1535952</v>
      </c>
      <c r="W132" s="208">
        <v>0</v>
      </c>
      <c r="X132" s="208">
        <v>1535952</v>
      </c>
      <c r="Y132" s="208">
        <v>-595368</v>
      </c>
      <c r="Z132" s="208">
        <v>0</v>
      </c>
      <c r="AA132" s="208">
        <v>-595368</v>
      </c>
      <c r="AB132" s="208">
        <v>-5299089</v>
      </c>
      <c r="AC132" s="208">
        <v>0</v>
      </c>
      <c r="AD132" s="208">
        <v>-5299089</v>
      </c>
      <c r="AE132" s="208">
        <v>77595238</v>
      </c>
      <c r="AF132" s="208">
        <v>0</v>
      </c>
      <c r="AG132" s="208">
        <v>77595238</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3542643</v>
      </c>
      <c r="BM132" s="208">
        <v>-6492339</v>
      </c>
      <c r="BN132" s="187" t="s">
        <v>340</v>
      </c>
      <c r="BO132" s="187" t="s">
        <v>767</v>
      </c>
      <c r="BP132" s="187" t="s">
        <v>743</v>
      </c>
      <c r="BQ132" s="187" t="s">
        <v>1055</v>
      </c>
    </row>
    <row r="133" spans="1:69" x14ac:dyDescent="0.2">
      <c r="B133" s="429" t="s">
        <v>343</v>
      </c>
      <c r="C133" s="429" t="s">
        <v>342</v>
      </c>
      <c r="D133" s="208">
        <v>47182385</v>
      </c>
      <c r="E133" s="208">
        <v>334698</v>
      </c>
      <c r="F133" s="208">
        <v>47517083</v>
      </c>
      <c r="G133" s="208">
        <v>0</v>
      </c>
      <c r="H133" s="208">
        <v>0</v>
      </c>
      <c r="I133" s="208">
        <v>0</v>
      </c>
      <c r="J133" s="208">
        <v>-254922</v>
      </c>
      <c r="K133" s="208">
        <v>0</v>
      </c>
      <c r="L133" s="208">
        <v>-254922</v>
      </c>
      <c r="M133" s="208">
        <v>0</v>
      </c>
      <c r="N133" s="208">
        <v>0</v>
      </c>
      <c r="O133" s="208">
        <v>0</v>
      </c>
      <c r="P133" s="208">
        <v>-305309</v>
      </c>
      <c r="Q133" s="208">
        <v>0</v>
      </c>
      <c r="R133" s="208">
        <v>-305309</v>
      </c>
      <c r="S133" s="208">
        <v>509574</v>
      </c>
      <c r="T133" s="208">
        <v>0</v>
      </c>
      <c r="U133" s="208">
        <v>509574</v>
      </c>
      <c r="V133" s="208">
        <v>0</v>
      </c>
      <c r="W133" s="208">
        <v>0</v>
      </c>
      <c r="X133" s="208">
        <v>0</v>
      </c>
      <c r="Y133" s="208">
        <v>-495034</v>
      </c>
      <c r="Z133" s="208">
        <v>0</v>
      </c>
      <c r="AA133" s="208">
        <v>-495034</v>
      </c>
      <c r="AB133" s="208">
        <v>-2020841</v>
      </c>
      <c r="AC133" s="208">
        <v>0</v>
      </c>
      <c r="AD133" s="208">
        <v>-2020841</v>
      </c>
      <c r="AE133" s="208">
        <v>44870775</v>
      </c>
      <c r="AF133" s="208">
        <v>334698</v>
      </c>
      <c r="AG133" s="208">
        <v>45205473</v>
      </c>
      <c r="AH133" s="208">
        <v>334698</v>
      </c>
      <c r="AI133" s="208">
        <v>334698</v>
      </c>
      <c r="AJ133" s="208">
        <v>177704</v>
      </c>
      <c r="AK133" s="208">
        <v>0</v>
      </c>
      <c r="AL133" s="208">
        <v>177704</v>
      </c>
      <c r="AM133" s="208">
        <v>0</v>
      </c>
      <c r="AN133" s="208">
        <v>0</v>
      </c>
      <c r="AO133" s="208">
        <v>0</v>
      </c>
      <c r="AP133" s="208">
        <v>-13099</v>
      </c>
      <c r="AQ133" s="208">
        <v>-13099</v>
      </c>
      <c r="AR133" s="208">
        <v>244154</v>
      </c>
      <c r="AS133" s="208">
        <v>244154</v>
      </c>
      <c r="AT133" s="208">
        <v>77445</v>
      </c>
      <c r="AU133" s="208">
        <v>0</v>
      </c>
      <c r="AV133" s="208">
        <v>0</v>
      </c>
      <c r="AW133" s="208">
        <v>0</v>
      </c>
      <c r="AX133" s="208">
        <v>0</v>
      </c>
      <c r="AY133" s="208">
        <v>350269</v>
      </c>
      <c r="AZ133" s="208">
        <v>350269</v>
      </c>
      <c r="BA133" s="208">
        <v>0</v>
      </c>
      <c r="BB133" s="208">
        <v>0</v>
      </c>
      <c r="BC133" s="208">
        <v>0</v>
      </c>
      <c r="BD133" s="208">
        <v>0</v>
      </c>
      <c r="BE133" s="208">
        <v>0</v>
      </c>
      <c r="BF133" s="208">
        <v>0</v>
      </c>
      <c r="BG133" s="208">
        <v>0</v>
      </c>
      <c r="BH133" s="208">
        <v>0</v>
      </c>
      <c r="BI133" s="208">
        <v>0</v>
      </c>
      <c r="BJ133" s="208">
        <v>350269</v>
      </c>
      <c r="BK133" s="208">
        <v>350269</v>
      </c>
      <c r="BL133" s="208">
        <v>1649773</v>
      </c>
      <c r="BM133" s="208">
        <v>-686204</v>
      </c>
      <c r="BN133" s="187" t="s">
        <v>846</v>
      </c>
      <c r="BO133" s="187" t="s">
        <v>742</v>
      </c>
      <c r="BP133" s="187" t="s">
        <v>745</v>
      </c>
      <c r="BQ133" s="187" t="s">
        <v>742</v>
      </c>
    </row>
    <row r="134" spans="1:69" x14ac:dyDescent="0.2">
      <c r="B134" s="429" t="s">
        <v>345</v>
      </c>
      <c r="C134" s="429" t="s">
        <v>344</v>
      </c>
      <c r="D134" s="208">
        <v>47720647</v>
      </c>
      <c r="E134" s="208">
        <v>0</v>
      </c>
      <c r="F134" s="208">
        <v>47720647</v>
      </c>
      <c r="G134" s="208">
        <v>0</v>
      </c>
      <c r="H134" s="208">
        <v>0</v>
      </c>
      <c r="I134" s="208">
        <v>0</v>
      </c>
      <c r="J134" s="208">
        <v>-43305</v>
      </c>
      <c r="K134" s="208">
        <v>0</v>
      </c>
      <c r="L134" s="208">
        <v>-43305</v>
      </c>
      <c r="M134" s="208">
        <v>0</v>
      </c>
      <c r="N134" s="208">
        <v>0</v>
      </c>
      <c r="O134" s="208">
        <v>0</v>
      </c>
      <c r="P134" s="208">
        <v>-290342</v>
      </c>
      <c r="Q134" s="208">
        <v>0</v>
      </c>
      <c r="R134" s="208">
        <v>-290342</v>
      </c>
      <c r="S134" s="208">
        <v>825863</v>
      </c>
      <c r="T134" s="208">
        <v>0</v>
      </c>
      <c r="U134" s="208">
        <v>825863</v>
      </c>
      <c r="V134" s="208">
        <v>0</v>
      </c>
      <c r="W134" s="208">
        <v>0</v>
      </c>
      <c r="X134" s="208">
        <v>0</v>
      </c>
      <c r="Y134" s="208">
        <v>169865</v>
      </c>
      <c r="Z134" s="208">
        <v>0</v>
      </c>
      <c r="AA134" s="208">
        <v>169865</v>
      </c>
      <c r="AB134" s="208">
        <v>-3287953</v>
      </c>
      <c r="AC134" s="208">
        <v>0</v>
      </c>
      <c r="AD134" s="208">
        <v>-3287953</v>
      </c>
      <c r="AE134" s="208">
        <v>45138080</v>
      </c>
      <c r="AF134" s="208">
        <v>0</v>
      </c>
      <c r="AG134" s="208">
        <v>45138080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1763290</v>
      </c>
      <c r="BM134" s="208">
        <v>-1093099</v>
      </c>
      <c r="BN134" s="187" t="s">
        <v>344</v>
      </c>
      <c r="BO134" s="187" t="s">
        <v>774</v>
      </c>
      <c r="BP134" s="187" t="s">
        <v>751</v>
      </c>
      <c r="BQ134" s="187" t="s">
        <v>1054</v>
      </c>
    </row>
    <row r="135" spans="1:69" x14ac:dyDescent="0.2">
      <c r="B135" s="429" t="s">
        <v>347</v>
      </c>
      <c r="C135" s="429" t="s">
        <v>346</v>
      </c>
      <c r="D135" s="208">
        <v>26363666</v>
      </c>
      <c r="E135" s="208">
        <v>0</v>
      </c>
      <c r="F135" s="208">
        <v>26363666</v>
      </c>
      <c r="G135" s="208">
        <v>0</v>
      </c>
      <c r="H135" s="208">
        <v>0</v>
      </c>
      <c r="I135" s="208">
        <v>0</v>
      </c>
      <c r="J135" s="208">
        <v>-50165</v>
      </c>
      <c r="K135" s="208">
        <v>0</v>
      </c>
      <c r="L135" s="208">
        <v>-50165</v>
      </c>
      <c r="M135" s="208">
        <v>0</v>
      </c>
      <c r="N135" s="208">
        <v>0</v>
      </c>
      <c r="O135" s="208">
        <v>0</v>
      </c>
      <c r="P135" s="208">
        <v>-136891</v>
      </c>
      <c r="Q135" s="208">
        <v>0</v>
      </c>
      <c r="R135" s="208">
        <v>-136891</v>
      </c>
      <c r="S135" s="208">
        <v>65653</v>
      </c>
      <c r="T135" s="208">
        <v>0</v>
      </c>
      <c r="U135" s="208">
        <v>65653</v>
      </c>
      <c r="V135" s="208">
        <v>11817</v>
      </c>
      <c r="W135" s="208">
        <v>0</v>
      </c>
      <c r="X135" s="208">
        <v>11817</v>
      </c>
      <c r="Y135" s="208">
        <v>-407905</v>
      </c>
      <c r="Z135" s="208">
        <v>0</v>
      </c>
      <c r="AA135" s="208">
        <v>-407905</v>
      </c>
      <c r="AB135" s="208">
        <v>-1239092</v>
      </c>
      <c r="AC135" s="208">
        <v>0</v>
      </c>
      <c r="AD135" s="208">
        <v>-1239092</v>
      </c>
      <c r="AE135" s="208">
        <v>24657248</v>
      </c>
      <c r="AF135" s="208">
        <v>0</v>
      </c>
      <c r="AG135" s="208">
        <v>24657248</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8">
        <v>0</v>
      </c>
      <c r="AZ135" s="208">
        <v>0</v>
      </c>
      <c r="BA135" s="208">
        <v>0</v>
      </c>
      <c r="BB135" s="208">
        <v>0</v>
      </c>
      <c r="BC135" s="208">
        <v>0</v>
      </c>
      <c r="BD135" s="208">
        <v>0</v>
      </c>
      <c r="BE135" s="208">
        <v>0</v>
      </c>
      <c r="BF135" s="208">
        <v>0</v>
      </c>
      <c r="BG135" s="208">
        <v>0</v>
      </c>
      <c r="BH135" s="208">
        <v>0</v>
      </c>
      <c r="BI135" s="208">
        <v>0</v>
      </c>
      <c r="BJ135" s="208">
        <v>0</v>
      </c>
      <c r="BK135" s="208">
        <v>0</v>
      </c>
      <c r="BL135" s="208">
        <v>1114139</v>
      </c>
      <c r="BM135" s="208">
        <v>-578024</v>
      </c>
      <c r="BN135" s="187" t="s">
        <v>346</v>
      </c>
      <c r="BO135" s="187" t="s">
        <v>807</v>
      </c>
      <c r="BP135" s="187" t="s">
        <v>806</v>
      </c>
      <c r="BQ135" s="187" t="s">
        <v>1054</v>
      </c>
    </row>
    <row r="136" spans="1:69" x14ac:dyDescent="0.2">
      <c r="B136" s="429" t="s">
        <v>349</v>
      </c>
      <c r="C136" s="429" t="s">
        <v>348</v>
      </c>
      <c r="D136" s="208">
        <v>384242948</v>
      </c>
      <c r="E136" s="208">
        <v>0</v>
      </c>
      <c r="F136" s="208">
        <v>384242948</v>
      </c>
      <c r="G136" s="208">
        <v>0</v>
      </c>
      <c r="H136" s="208">
        <v>0</v>
      </c>
      <c r="I136" s="208">
        <v>0</v>
      </c>
      <c r="J136" s="208">
        <v>-1990283</v>
      </c>
      <c r="K136" s="208">
        <v>0</v>
      </c>
      <c r="L136" s="208">
        <v>-1990283</v>
      </c>
      <c r="M136" s="208">
        <v>-1974572</v>
      </c>
      <c r="N136" s="208">
        <v>0</v>
      </c>
      <c r="O136" s="208">
        <v>-1974572</v>
      </c>
      <c r="P136" s="208">
        <v>902284</v>
      </c>
      <c r="Q136" s="208">
        <v>0</v>
      </c>
      <c r="R136" s="208">
        <v>902284</v>
      </c>
      <c r="S136" s="208">
        <v>3102499</v>
      </c>
      <c r="T136" s="208">
        <v>0</v>
      </c>
      <c r="U136" s="208">
        <v>3102499</v>
      </c>
      <c r="V136" s="208">
        <v>0</v>
      </c>
      <c r="W136" s="208">
        <v>0</v>
      </c>
      <c r="X136" s="208">
        <v>0</v>
      </c>
      <c r="Y136" s="208">
        <v>-887683</v>
      </c>
      <c r="Z136" s="208">
        <v>0</v>
      </c>
      <c r="AA136" s="208">
        <v>-887683</v>
      </c>
      <c r="AB136" s="208">
        <v>0</v>
      </c>
      <c r="AC136" s="208">
        <v>0</v>
      </c>
      <c r="AD136" s="208">
        <v>0</v>
      </c>
      <c r="AE136" s="208">
        <v>385385476</v>
      </c>
      <c r="AF136" s="208">
        <v>0</v>
      </c>
      <c r="AG136" s="208">
        <v>385385476</v>
      </c>
      <c r="AH136" s="208">
        <v>0</v>
      </c>
      <c r="AI136" s="208">
        <v>0</v>
      </c>
      <c r="AJ136" s="208">
        <v>0</v>
      </c>
      <c r="AK136" s="208">
        <v>0</v>
      </c>
      <c r="AL136" s="208">
        <v>0</v>
      </c>
      <c r="AM136" s="208">
        <v>0</v>
      </c>
      <c r="AN136" s="208">
        <v>0</v>
      </c>
      <c r="AO136" s="208">
        <v>0</v>
      </c>
      <c r="AP136" s="208">
        <v>0</v>
      </c>
      <c r="AQ136" s="208">
        <v>0</v>
      </c>
      <c r="AR136" s="208">
        <v>0</v>
      </c>
      <c r="AS136" s="208">
        <v>0</v>
      </c>
      <c r="AT136" s="208">
        <v>0</v>
      </c>
      <c r="AU136" s="208">
        <v>0</v>
      </c>
      <c r="AV136" s="208">
        <v>0</v>
      </c>
      <c r="AW136" s="208">
        <v>0</v>
      </c>
      <c r="AX136" s="208">
        <v>0</v>
      </c>
      <c r="AY136" s="208">
        <v>0</v>
      </c>
      <c r="AZ136" s="208">
        <v>0</v>
      </c>
      <c r="BA136" s="208">
        <v>0</v>
      </c>
      <c r="BB136" s="208">
        <v>0</v>
      </c>
      <c r="BC136" s="208">
        <v>0</v>
      </c>
      <c r="BD136" s="208">
        <v>0</v>
      </c>
      <c r="BE136" s="208">
        <v>0</v>
      </c>
      <c r="BF136" s="208">
        <v>0</v>
      </c>
      <c r="BG136" s="208">
        <v>0</v>
      </c>
      <c r="BH136" s="208">
        <v>0</v>
      </c>
      <c r="BI136" s="208">
        <v>0</v>
      </c>
      <c r="BJ136" s="208">
        <v>0</v>
      </c>
      <c r="BK136" s="208">
        <v>0</v>
      </c>
      <c r="BL136" s="208">
        <v>8227701</v>
      </c>
      <c r="BM136" s="208">
        <v>-14151681</v>
      </c>
      <c r="BN136" s="187" t="s">
        <v>348</v>
      </c>
      <c r="BO136" s="187" t="s">
        <v>767</v>
      </c>
      <c r="BP136" s="187" t="s">
        <v>743</v>
      </c>
      <c r="BQ136" s="187" t="s">
        <v>1055</v>
      </c>
    </row>
    <row r="137" spans="1:69" x14ac:dyDescent="0.2">
      <c r="A137" s="188"/>
      <c r="B137" s="429" t="s">
        <v>351</v>
      </c>
      <c r="C137" s="429" t="s">
        <v>350</v>
      </c>
      <c r="D137" s="208">
        <v>31711681</v>
      </c>
      <c r="E137" s="208">
        <v>963007</v>
      </c>
      <c r="F137" s="208">
        <v>32674688</v>
      </c>
      <c r="G137" s="208">
        <v>0</v>
      </c>
      <c r="H137" s="208">
        <v>0</v>
      </c>
      <c r="I137" s="208">
        <v>0</v>
      </c>
      <c r="J137" s="208">
        <v>-44090</v>
      </c>
      <c r="K137" s="208">
        <v>0</v>
      </c>
      <c r="L137" s="208">
        <v>-44090</v>
      </c>
      <c r="M137" s="208">
        <v>-170894</v>
      </c>
      <c r="N137" s="208">
        <v>0</v>
      </c>
      <c r="O137" s="208">
        <v>-170894</v>
      </c>
      <c r="P137" s="208">
        <v>-54964</v>
      </c>
      <c r="Q137" s="208">
        <v>0</v>
      </c>
      <c r="R137" s="208">
        <v>-54964</v>
      </c>
      <c r="S137" s="208">
        <v>509183</v>
      </c>
      <c r="T137" s="208">
        <v>0</v>
      </c>
      <c r="U137" s="208">
        <v>509183</v>
      </c>
      <c r="V137" s="208">
        <v>28857</v>
      </c>
      <c r="W137" s="208">
        <v>0</v>
      </c>
      <c r="X137" s="208">
        <v>28857</v>
      </c>
      <c r="Y137" s="208">
        <v>21849</v>
      </c>
      <c r="Z137" s="208">
        <v>0</v>
      </c>
      <c r="AA137" s="208">
        <v>21849</v>
      </c>
      <c r="AB137" s="208">
        <v>-977774</v>
      </c>
      <c r="AC137" s="208">
        <v>0</v>
      </c>
      <c r="AD137" s="208">
        <v>-977774</v>
      </c>
      <c r="AE137" s="208">
        <v>31067938</v>
      </c>
      <c r="AF137" s="208">
        <v>963007</v>
      </c>
      <c r="AG137" s="208">
        <v>32030945</v>
      </c>
      <c r="AH137" s="208">
        <v>963007</v>
      </c>
      <c r="AI137" s="208">
        <v>963007</v>
      </c>
      <c r="AJ137" s="208">
        <v>78899</v>
      </c>
      <c r="AK137" s="208">
        <v>0</v>
      </c>
      <c r="AL137" s="208">
        <v>78899</v>
      </c>
      <c r="AM137" s="208">
        <v>0</v>
      </c>
      <c r="AN137" s="208">
        <v>0</v>
      </c>
      <c r="AO137" s="208">
        <v>0</v>
      </c>
      <c r="AP137" s="208">
        <v>-13601</v>
      </c>
      <c r="AQ137" s="208">
        <v>-13601</v>
      </c>
      <c r="AR137" s="208">
        <v>869270</v>
      </c>
      <c r="AS137" s="208">
        <v>869270</v>
      </c>
      <c r="AT137" s="208">
        <v>80136</v>
      </c>
      <c r="AU137" s="208">
        <v>0</v>
      </c>
      <c r="AV137" s="208">
        <v>0</v>
      </c>
      <c r="AW137" s="208">
        <v>0</v>
      </c>
      <c r="AX137" s="208">
        <v>0</v>
      </c>
      <c r="AY137" s="208">
        <v>224049</v>
      </c>
      <c r="AZ137" s="208">
        <v>224049</v>
      </c>
      <c r="BA137" s="208">
        <v>0</v>
      </c>
      <c r="BB137" s="208">
        <v>0</v>
      </c>
      <c r="BC137" s="208">
        <v>0</v>
      </c>
      <c r="BD137" s="208">
        <v>0</v>
      </c>
      <c r="BE137" s="208">
        <v>0</v>
      </c>
      <c r="BF137" s="208">
        <v>0</v>
      </c>
      <c r="BG137" s="208">
        <v>0</v>
      </c>
      <c r="BH137" s="208">
        <v>0</v>
      </c>
      <c r="BI137" s="208">
        <v>0</v>
      </c>
      <c r="BJ137" s="208">
        <v>224049</v>
      </c>
      <c r="BK137" s="208">
        <v>224049</v>
      </c>
      <c r="BL137" s="208">
        <v>319413</v>
      </c>
      <c r="BM137" s="208">
        <v>-540169</v>
      </c>
      <c r="BN137" s="187" t="s">
        <v>845</v>
      </c>
      <c r="BO137" s="187" t="s">
        <v>825</v>
      </c>
      <c r="BP137" s="187" t="s">
        <v>813</v>
      </c>
      <c r="BQ137" s="187" t="s">
        <v>1054</v>
      </c>
    </row>
    <row r="138" spans="1:69" x14ac:dyDescent="0.2">
      <c r="B138" s="429" t="s">
        <v>353</v>
      </c>
      <c r="C138" s="429" t="s">
        <v>352</v>
      </c>
      <c r="D138" s="208">
        <v>43358957</v>
      </c>
      <c r="E138" s="208">
        <v>0</v>
      </c>
      <c r="F138" s="208">
        <v>43358957</v>
      </c>
      <c r="G138" s="208">
        <v>0</v>
      </c>
      <c r="H138" s="208">
        <v>0</v>
      </c>
      <c r="I138" s="208">
        <v>0</v>
      </c>
      <c r="J138" s="208">
        <v>-440674</v>
      </c>
      <c r="K138" s="208">
        <v>0</v>
      </c>
      <c r="L138" s="208">
        <v>-440674</v>
      </c>
      <c r="M138" s="208">
        <v>0</v>
      </c>
      <c r="N138" s="208">
        <v>0</v>
      </c>
      <c r="O138" s="208">
        <v>0</v>
      </c>
      <c r="P138" s="208">
        <v>-743247</v>
      </c>
      <c r="Q138" s="208">
        <v>0</v>
      </c>
      <c r="R138" s="208">
        <v>-743247</v>
      </c>
      <c r="S138" s="208">
        <v>388675</v>
      </c>
      <c r="T138" s="208">
        <v>0</v>
      </c>
      <c r="U138" s="208">
        <v>388675</v>
      </c>
      <c r="V138" s="208">
        <v>53120</v>
      </c>
      <c r="W138" s="208">
        <v>0</v>
      </c>
      <c r="X138" s="208">
        <v>53120</v>
      </c>
      <c r="Y138" s="208">
        <v>808626</v>
      </c>
      <c r="Z138" s="208">
        <v>0</v>
      </c>
      <c r="AA138" s="208">
        <v>808626</v>
      </c>
      <c r="AB138" s="208">
        <v>-2870939</v>
      </c>
      <c r="AC138" s="208">
        <v>0</v>
      </c>
      <c r="AD138" s="208">
        <v>-2870939</v>
      </c>
      <c r="AE138" s="208">
        <v>40995192</v>
      </c>
      <c r="AF138" s="208">
        <v>0</v>
      </c>
      <c r="AG138" s="208">
        <v>40995192</v>
      </c>
      <c r="AH138" s="208">
        <v>0</v>
      </c>
      <c r="AI138" s="208">
        <v>0</v>
      </c>
      <c r="AJ138" s="208">
        <v>0</v>
      </c>
      <c r="AK138" s="208">
        <v>0</v>
      </c>
      <c r="AL138" s="208">
        <v>0</v>
      </c>
      <c r="AM138" s="208">
        <v>0</v>
      </c>
      <c r="AN138" s="208">
        <v>0</v>
      </c>
      <c r="AO138" s="208">
        <v>0</v>
      </c>
      <c r="AP138" s="208">
        <v>0</v>
      </c>
      <c r="AQ138" s="208">
        <v>0</v>
      </c>
      <c r="AR138" s="208">
        <v>0</v>
      </c>
      <c r="AS138" s="208">
        <v>0</v>
      </c>
      <c r="AT138" s="208">
        <v>0</v>
      </c>
      <c r="AU138" s="208">
        <v>0</v>
      </c>
      <c r="AV138" s="208">
        <v>0</v>
      </c>
      <c r="AW138" s="208">
        <v>0</v>
      </c>
      <c r="AX138" s="208">
        <v>0</v>
      </c>
      <c r="AY138" s="208">
        <v>0</v>
      </c>
      <c r="AZ138" s="208">
        <v>0</v>
      </c>
      <c r="BA138" s="208">
        <v>0</v>
      </c>
      <c r="BB138" s="208">
        <v>0</v>
      </c>
      <c r="BC138" s="208">
        <v>0</v>
      </c>
      <c r="BD138" s="208">
        <v>0</v>
      </c>
      <c r="BE138" s="208">
        <v>0</v>
      </c>
      <c r="BF138" s="208">
        <v>0</v>
      </c>
      <c r="BG138" s="208">
        <v>0</v>
      </c>
      <c r="BH138" s="208">
        <v>0</v>
      </c>
      <c r="BI138" s="208">
        <v>0</v>
      </c>
      <c r="BJ138" s="208">
        <v>0</v>
      </c>
      <c r="BK138" s="208">
        <v>0</v>
      </c>
      <c r="BL138" s="208">
        <v>2535425</v>
      </c>
      <c r="BM138" s="208">
        <v>-2255946</v>
      </c>
      <c r="BN138" s="187" t="s">
        <v>352</v>
      </c>
      <c r="BO138" s="187" t="s">
        <v>752</v>
      </c>
      <c r="BP138" s="187" t="s">
        <v>751</v>
      </c>
      <c r="BQ138" s="187" t="s">
        <v>1054</v>
      </c>
    </row>
    <row r="139" spans="1:69" x14ac:dyDescent="0.2">
      <c r="B139" s="429" t="s">
        <v>355</v>
      </c>
      <c r="C139" s="429" t="s">
        <v>354</v>
      </c>
      <c r="D139" s="208">
        <v>187081937</v>
      </c>
      <c r="E139" s="208">
        <v>0</v>
      </c>
      <c r="F139" s="208">
        <v>187081937</v>
      </c>
      <c r="G139" s="208">
        <v>0</v>
      </c>
      <c r="H139" s="208">
        <v>0</v>
      </c>
      <c r="I139" s="208">
        <v>0</v>
      </c>
      <c r="J139" s="208">
        <v>-686027</v>
      </c>
      <c r="K139" s="208">
        <v>0</v>
      </c>
      <c r="L139" s="208">
        <v>-686027</v>
      </c>
      <c r="M139" s="208">
        <v>0</v>
      </c>
      <c r="N139" s="208">
        <v>0</v>
      </c>
      <c r="O139" s="208">
        <v>0</v>
      </c>
      <c r="P139" s="208">
        <v>-486027</v>
      </c>
      <c r="Q139" s="208">
        <v>0</v>
      </c>
      <c r="R139" s="208">
        <v>-486027</v>
      </c>
      <c r="S139" s="208">
        <v>9200000</v>
      </c>
      <c r="T139" s="208">
        <v>0</v>
      </c>
      <c r="U139" s="208">
        <v>9200000</v>
      </c>
      <c r="V139" s="208">
        <v>2400000</v>
      </c>
      <c r="W139" s="208">
        <v>0</v>
      </c>
      <c r="X139" s="208">
        <v>2400000</v>
      </c>
      <c r="Y139" s="208">
        <v>-3800000</v>
      </c>
      <c r="Z139" s="208">
        <v>0</v>
      </c>
      <c r="AA139" s="208">
        <v>-3800000</v>
      </c>
      <c r="AB139" s="208">
        <v>-2899596</v>
      </c>
      <c r="AC139" s="208">
        <v>0</v>
      </c>
      <c r="AD139" s="208">
        <v>-2899596</v>
      </c>
      <c r="AE139" s="208">
        <v>191496314</v>
      </c>
      <c r="AF139" s="208">
        <v>0</v>
      </c>
      <c r="AG139" s="208">
        <v>191496314</v>
      </c>
      <c r="AH139" s="208">
        <v>0</v>
      </c>
      <c r="AI139" s="208">
        <v>0</v>
      </c>
      <c r="AJ139" s="208">
        <v>0</v>
      </c>
      <c r="AK139" s="208">
        <v>0</v>
      </c>
      <c r="AL139" s="208">
        <v>0</v>
      </c>
      <c r="AM139" s="208">
        <v>0</v>
      </c>
      <c r="AN139" s="208">
        <v>0</v>
      </c>
      <c r="AO139" s="208">
        <v>0</v>
      </c>
      <c r="AP139" s="208">
        <v>0</v>
      </c>
      <c r="AQ139" s="208">
        <v>0</v>
      </c>
      <c r="AR139" s="208">
        <v>0</v>
      </c>
      <c r="AS139" s="208">
        <v>0</v>
      </c>
      <c r="AT139" s="208">
        <v>0</v>
      </c>
      <c r="AU139" s="208">
        <v>0</v>
      </c>
      <c r="AV139" s="208">
        <v>0</v>
      </c>
      <c r="AW139" s="208">
        <v>0</v>
      </c>
      <c r="AX139" s="208">
        <v>0</v>
      </c>
      <c r="AY139" s="208">
        <v>0</v>
      </c>
      <c r="AZ139" s="208">
        <v>0</v>
      </c>
      <c r="BA139" s="208">
        <v>0</v>
      </c>
      <c r="BB139" s="208">
        <v>0</v>
      </c>
      <c r="BC139" s="208">
        <v>0</v>
      </c>
      <c r="BD139" s="208">
        <v>0</v>
      </c>
      <c r="BE139" s="208">
        <v>0</v>
      </c>
      <c r="BF139" s="208">
        <v>0</v>
      </c>
      <c r="BG139" s="208">
        <v>0</v>
      </c>
      <c r="BH139" s="208">
        <v>0</v>
      </c>
      <c r="BI139" s="208">
        <v>0</v>
      </c>
      <c r="BJ139" s="208">
        <v>0</v>
      </c>
      <c r="BK139" s="208">
        <v>0</v>
      </c>
      <c r="BL139" s="208">
        <v>7974458</v>
      </c>
      <c r="BM139" s="208">
        <v>-8755924</v>
      </c>
      <c r="BN139" s="187" t="s">
        <v>354</v>
      </c>
      <c r="BO139" s="187" t="s">
        <v>767</v>
      </c>
      <c r="BP139" s="187" t="s">
        <v>743</v>
      </c>
      <c r="BQ139" s="187" t="s">
        <v>1055</v>
      </c>
    </row>
    <row r="140" spans="1:69" x14ac:dyDescent="0.2">
      <c r="B140" s="429" t="s">
        <v>357</v>
      </c>
      <c r="C140" s="429" t="s">
        <v>356</v>
      </c>
      <c r="D140" s="208">
        <v>63490161</v>
      </c>
      <c r="E140" s="208">
        <v>1862152</v>
      </c>
      <c r="F140" s="208">
        <v>65352313</v>
      </c>
      <c r="G140" s="208">
        <v>0</v>
      </c>
      <c r="H140" s="208">
        <v>0</v>
      </c>
      <c r="I140" s="208">
        <v>0</v>
      </c>
      <c r="J140" s="208">
        <v>268328</v>
      </c>
      <c r="K140" s="208">
        <v>0</v>
      </c>
      <c r="L140" s="208">
        <v>268328</v>
      </c>
      <c r="M140" s="208">
        <v>0</v>
      </c>
      <c r="N140" s="208">
        <v>0</v>
      </c>
      <c r="O140" s="208">
        <v>0</v>
      </c>
      <c r="P140" s="208">
        <v>-827601</v>
      </c>
      <c r="Q140" s="208">
        <v>0</v>
      </c>
      <c r="R140" s="208">
        <v>-827601</v>
      </c>
      <c r="S140" s="208">
        <v>579555</v>
      </c>
      <c r="T140" s="208">
        <v>0</v>
      </c>
      <c r="U140" s="208">
        <v>579555</v>
      </c>
      <c r="V140" s="208">
        <v>0</v>
      </c>
      <c r="W140" s="208">
        <v>0</v>
      </c>
      <c r="X140" s="208">
        <v>0</v>
      </c>
      <c r="Y140" s="208">
        <v>-101751</v>
      </c>
      <c r="Z140" s="208">
        <v>0</v>
      </c>
      <c r="AA140" s="208">
        <v>-101751</v>
      </c>
      <c r="AB140" s="208">
        <v>-384447</v>
      </c>
      <c r="AC140" s="208">
        <v>0</v>
      </c>
      <c r="AD140" s="208">
        <v>-384447</v>
      </c>
      <c r="AE140" s="208">
        <v>62755917</v>
      </c>
      <c r="AF140" s="208">
        <v>1862152</v>
      </c>
      <c r="AG140" s="208">
        <v>64618069</v>
      </c>
      <c r="AH140" s="208">
        <v>1862152</v>
      </c>
      <c r="AI140" s="208">
        <v>1862152</v>
      </c>
      <c r="AJ140" s="208">
        <v>879563</v>
      </c>
      <c r="AK140" s="208">
        <v>0</v>
      </c>
      <c r="AL140" s="208">
        <v>879563</v>
      </c>
      <c r="AM140" s="208">
        <v>0</v>
      </c>
      <c r="AN140" s="208">
        <v>0</v>
      </c>
      <c r="AO140" s="208">
        <v>0</v>
      </c>
      <c r="AP140" s="208">
        <v>28168</v>
      </c>
      <c r="AQ140" s="208">
        <v>28168</v>
      </c>
      <c r="AR140" s="208">
        <v>757872</v>
      </c>
      <c r="AS140" s="208">
        <v>757872</v>
      </c>
      <c r="AT140" s="208">
        <v>1132448</v>
      </c>
      <c r="AU140" s="208">
        <v>0</v>
      </c>
      <c r="AV140" s="208">
        <v>0</v>
      </c>
      <c r="AW140" s="208">
        <v>0</v>
      </c>
      <c r="AX140" s="208">
        <v>0</v>
      </c>
      <c r="AY140" s="208">
        <v>324034</v>
      </c>
      <c r="AZ140" s="208">
        <v>324034</v>
      </c>
      <c r="BA140" s="208">
        <v>0</v>
      </c>
      <c r="BB140" s="208">
        <v>0</v>
      </c>
      <c r="BC140" s="208">
        <v>0</v>
      </c>
      <c r="BD140" s="208">
        <v>0</v>
      </c>
      <c r="BE140" s="208">
        <v>0</v>
      </c>
      <c r="BF140" s="208">
        <v>0</v>
      </c>
      <c r="BG140" s="208">
        <v>0</v>
      </c>
      <c r="BH140" s="208">
        <v>0</v>
      </c>
      <c r="BI140" s="208">
        <v>0</v>
      </c>
      <c r="BJ140" s="208">
        <v>324034</v>
      </c>
      <c r="BK140" s="208">
        <v>324034</v>
      </c>
      <c r="BL140" s="208">
        <v>1417573</v>
      </c>
      <c r="BM140" s="208">
        <v>-49778</v>
      </c>
      <c r="BN140" s="187" t="s">
        <v>356</v>
      </c>
      <c r="BO140" s="187" t="s">
        <v>809</v>
      </c>
      <c r="BP140" s="187" t="s">
        <v>808</v>
      </c>
      <c r="BQ140" s="187" t="s">
        <v>1054</v>
      </c>
    </row>
    <row r="141" spans="1:69" x14ac:dyDescent="0.2">
      <c r="B141" s="429" t="s">
        <v>359</v>
      </c>
      <c r="C141" s="429" t="s">
        <v>358</v>
      </c>
      <c r="D141" s="208">
        <v>19654415</v>
      </c>
      <c r="E141" s="208">
        <v>0</v>
      </c>
      <c r="F141" s="208">
        <v>19654415</v>
      </c>
      <c r="G141" s="208">
        <v>0</v>
      </c>
      <c r="H141" s="208">
        <v>0</v>
      </c>
      <c r="I141" s="208">
        <v>0</v>
      </c>
      <c r="J141" s="208">
        <v>-947057</v>
      </c>
      <c r="K141" s="208">
        <v>0</v>
      </c>
      <c r="L141" s="208">
        <v>-947057</v>
      </c>
      <c r="M141" s="208">
        <v>0</v>
      </c>
      <c r="N141" s="208">
        <v>0</v>
      </c>
      <c r="O141" s="208">
        <v>0</v>
      </c>
      <c r="P141" s="208">
        <v>-434088</v>
      </c>
      <c r="Q141" s="208">
        <v>0</v>
      </c>
      <c r="R141" s="208">
        <v>-434088</v>
      </c>
      <c r="S141" s="208">
        <v>776527</v>
      </c>
      <c r="T141" s="208">
        <v>0</v>
      </c>
      <c r="U141" s="208">
        <v>776527</v>
      </c>
      <c r="V141" s="208">
        <v>212149</v>
      </c>
      <c r="W141" s="208">
        <v>0</v>
      </c>
      <c r="X141" s="208">
        <v>212149</v>
      </c>
      <c r="Y141" s="208">
        <v>-849357</v>
      </c>
      <c r="Z141" s="208">
        <v>0</v>
      </c>
      <c r="AA141" s="208">
        <v>-849357</v>
      </c>
      <c r="AB141" s="208">
        <v>-407013</v>
      </c>
      <c r="AC141" s="208">
        <v>0</v>
      </c>
      <c r="AD141" s="208">
        <v>-407013</v>
      </c>
      <c r="AE141" s="208">
        <v>18952633</v>
      </c>
      <c r="AF141" s="208">
        <v>0</v>
      </c>
      <c r="AG141" s="208">
        <v>18952633</v>
      </c>
      <c r="AH141" s="208">
        <v>0</v>
      </c>
      <c r="AI141" s="208">
        <v>0</v>
      </c>
      <c r="AJ141" s="208">
        <v>0</v>
      </c>
      <c r="AK141" s="208">
        <v>0</v>
      </c>
      <c r="AL141" s="208">
        <v>0</v>
      </c>
      <c r="AM141" s="208">
        <v>0</v>
      </c>
      <c r="AN141" s="208">
        <v>0</v>
      </c>
      <c r="AO141" s="208">
        <v>0</v>
      </c>
      <c r="AP141" s="208">
        <v>0</v>
      </c>
      <c r="AQ141" s="208">
        <v>0</v>
      </c>
      <c r="AR141" s="208">
        <v>0</v>
      </c>
      <c r="AS141" s="208">
        <v>0</v>
      </c>
      <c r="AT141" s="208">
        <v>0</v>
      </c>
      <c r="AU141" s="208">
        <v>0</v>
      </c>
      <c r="AV141" s="208">
        <v>0</v>
      </c>
      <c r="AW141" s="208">
        <v>0</v>
      </c>
      <c r="AX141" s="208">
        <v>0</v>
      </c>
      <c r="AY141" s="208">
        <v>0</v>
      </c>
      <c r="AZ141" s="208">
        <v>0</v>
      </c>
      <c r="BA141" s="208">
        <v>0</v>
      </c>
      <c r="BB141" s="208">
        <v>0</v>
      </c>
      <c r="BC141" s="208">
        <v>0</v>
      </c>
      <c r="BD141" s="208">
        <v>0</v>
      </c>
      <c r="BE141" s="208">
        <v>0</v>
      </c>
      <c r="BF141" s="208">
        <v>0</v>
      </c>
      <c r="BG141" s="208">
        <v>0</v>
      </c>
      <c r="BH141" s="208">
        <v>0</v>
      </c>
      <c r="BI141" s="208">
        <v>0</v>
      </c>
      <c r="BJ141" s="208">
        <v>0</v>
      </c>
      <c r="BK141" s="208">
        <v>0</v>
      </c>
      <c r="BL141" s="208">
        <v>2526455</v>
      </c>
      <c r="BM141" s="208">
        <v>-1019338</v>
      </c>
      <c r="BN141" s="187" t="s">
        <v>358</v>
      </c>
      <c r="BO141" s="187" t="s">
        <v>748</v>
      </c>
      <c r="BP141" s="187" t="s">
        <v>747</v>
      </c>
      <c r="BQ141" s="187" t="s">
        <v>1054</v>
      </c>
    </row>
    <row r="142" spans="1:69" x14ac:dyDescent="0.2">
      <c r="A142" s="188"/>
      <c r="B142" s="429" t="s">
        <v>361</v>
      </c>
      <c r="C142" s="429" t="s">
        <v>360</v>
      </c>
      <c r="D142" s="208">
        <v>55435930</v>
      </c>
      <c r="E142" s="208">
        <v>812175</v>
      </c>
      <c r="F142" s="208">
        <v>56248105</v>
      </c>
      <c r="G142" s="208">
        <v>0</v>
      </c>
      <c r="H142" s="208">
        <v>0</v>
      </c>
      <c r="I142" s="208">
        <v>0</v>
      </c>
      <c r="J142" s="208">
        <v>-379708</v>
      </c>
      <c r="K142" s="208">
        <v>0</v>
      </c>
      <c r="L142" s="208">
        <v>-379708</v>
      </c>
      <c r="M142" s="208">
        <v>0</v>
      </c>
      <c r="N142" s="208">
        <v>0</v>
      </c>
      <c r="O142" s="208">
        <v>0</v>
      </c>
      <c r="P142" s="208">
        <v>-474381</v>
      </c>
      <c r="Q142" s="208">
        <v>-13084</v>
      </c>
      <c r="R142" s="208">
        <v>-487465</v>
      </c>
      <c r="S142" s="208">
        <v>403507</v>
      </c>
      <c r="T142" s="208">
        <v>0</v>
      </c>
      <c r="U142" s="208">
        <v>403507</v>
      </c>
      <c r="V142" s="208">
        <v>0</v>
      </c>
      <c r="W142" s="208">
        <v>0</v>
      </c>
      <c r="X142" s="208">
        <v>0</v>
      </c>
      <c r="Y142" s="208">
        <v>-967986</v>
      </c>
      <c r="Z142" s="208">
        <v>0</v>
      </c>
      <c r="AA142" s="208">
        <v>-967986</v>
      </c>
      <c r="AB142" s="208">
        <v>-56670</v>
      </c>
      <c r="AC142" s="208">
        <v>-32397</v>
      </c>
      <c r="AD142" s="208">
        <v>-89067</v>
      </c>
      <c r="AE142" s="208">
        <v>54340400</v>
      </c>
      <c r="AF142" s="208">
        <v>766694</v>
      </c>
      <c r="AG142" s="208">
        <v>55107094</v>
      </c>
      <c r="AH142" s="208">
        <v>766694</v>
      </c>
      <c r="AI142" s="208">
        <v>766694</v>
      </c>
      <c r="AJ142" s="208">
        <v>3217</v>
      </c>
      <c r="AK142" s="208">
        <v>0</v>
      </c>
      <c r="AL142" s="208">
        <v>3217</v>
      </c>
      <c r="AM142" s="208">
        <v>0</v>
      </c>
      <c r="AN142" s="208">
        <v>0</v>
      </c>
      <c r="AO142" s="208">
        <v>0</v>
      </c>
      <c r="AP142" s="208">
        <v>-481</v>
      </c>
      <c r="AQ142" s="208">
        <v>-481</v>
      </c>
      <c r="AR142" s="208">
        <v>198343</v>
      </c>
      <c r="AS142" s="208">
        <v>198343</v>
      </c>
      <c r="AT142" s="208">
        <v>567870</v>
      </c>
      <c r="AU142" s="208">
        <v>0</v>
      </c>
      <c r="AV142" s="208">
        <v>201667</v>
      </c>
      <c r="AW142" s="208">
        <v>201667</v>
      </c>
      <c r="AX142" s="208">
        <v>0</v>
      </c>
      <c r="AY142" s="208">
        <v>0</v>
      </c>
      <c r="AZ142" s="208">
        <v>0</v>
      </c>
      <c r="BA142" s="208">
        <v>0</v>
      </c>
      <c r="BB142" s="208">
        <v>0</v>
      </c>
      <c r="BC142" s="208">
        <v>0</v>
      </c>
      <c r="BD142" s="208">
        <v>0</v>
      </c>
      <c r="BE142" s="208">
        <v>0</v>
      </c>
      <c r="BF142" s="208">
        <v>0</v>
      </c>
      <c r="BG142" s="208">
        <v>0</v>
      </c>
      <c r="BH142" s="208">
        <v>0</v>
      </c>
      <c r="BI142" s="208">
        <v>0</v>
      </c>
      <c r="BJ142" s="208">
        <v>0</v>
      </c>
      <c r="BK142" s="208">
        <v>0</v>
      </c>
      <c r="BL142" s="208">
        <v>1877494</v>
      </c>
      <c r="BM142" s="208">
        <v>-289323</v>
      </c>
      <c r="BN142" s="187" t="s">
        <v>360</v>
      </c>
      <c r="BO142" s="187" t="s">
        <v>778</v>
      </c>
      <c r="BP142" s="187" t="s">
        <v>751</v>
      </c>
      <c r="BQ142" s="187" t="s">
        <v>1054</v>
      </c>
    </row>
    <row r="143" spans="1:69" x14ac:dyDescent="0.2">
      <c r="B143" s="429" t="s">
        <v>363</v>
      </c>
      <c r="C143" s="429" t="s">
        <v>362</v>
      </c>
      <c r="D143" s="208">
        <v>38591709</v>
      </c>
      <c r="E143" s="208">
        <v>0</v>
      </c>
      <c r="F143" s="208">
        <v>38591709</v>
      </c>
      <c r="G143" s="208">
        <v>0</v>
      </c>
      <c r="H143" s="208">
        <v>0</v>
      </c>
      <c r="I143" s="208">
        <v>0</v>
      </c>
      <c r="J143" s="208">
        <v>-287482</v>
      </c>
      <c r="K143" s="208">
        <v>0</v>
      </c>
      <c r="L143" s="208">
        <v>-287482</v>
      </c>
      <c r="M143" s="208">
        <v>0</v>
      </c>
      <c r="N143" s="208">
        <v>0</v>
      </c>
      <c r="O143" s="208">
        <v>0</v>
      </c>
      <c r="P143" s="208">
        <v>-343631</v>
      </c>
      <c r="Q143" s="208">
        <v>0</v>
      </c>
      <c r="R143" s="208">
        <v>-343631</v>
      </c>
      <c r="S143" s="208">
        <v>616760</v>
      </c>
      <c r="T143" s="208">
        <v>0</v>
      </c>
      <c r="U143" s="208">
        <v>616760</v>
      </c>
      <c r="V143" s="208">
        <v>50045</v>
      </c>
      <c r="W143" s="208">
        <v>0</v>
      </c>
      <c r="X143" s="208">
        <v>50045</v>
      </c>
      <c r="Y143" s="208">
        <v>500888</v>
      </c>
      <c r="Z143" s="208">
        <v>0</v>
      </c>
      <c r="AA143" s="208">
        <v>500888</v>
      </c>
      <c r="AB143" s="208">
        <v>-1838994</v>
      </c>
      <c r="AC143" s="208">
        <v>0</v>
      </c>
      <c r="AD143" s="208">
        <v>-1838994</v>
      </c>
      <c r="AE143" s="208">
        <v>37576777</v>
      </c>
      <c r="AF143" s="208">
        <v>0</v>
      </c>
      <c r="AG143" s="208">
        <v>37576777</v>
      </c>
      <c r="AH143" s="208">
        <v>0</v>
      </c>
      <c r="AI143" s="208">
        <v>0</v>
      </c>
      <c r="AJ143" s="208">
        <v>277491</v>
      </c>
      <c r="AK143" s="208">
        <v>0</v>
      </c>
      <c r="AL143" s="208">
        <v>277491</v>
      </c>
      <c r="AM143" s="208">
        <v>0</v>
      </c>
      <c r="AN143" s="208">
        <v>0</v>
      </c>
      <c r="AO143" s="208">
        <v>0</v>
      </c>
      <c r="AP143" s="208">
        <v>0</v>
      </c>
      <c r="AQ143" s="208">
        <v>0</v>
      </c>
      <c r="AR143" s="208">
        <v>0</v>
      </c>
      <c r="AS143" s="208">
        <v>0</v>
      </c>
      <c r="AT143" s="208">
        <v>0</v>
      </c>
      <c r="AU143" s="208">
        <v>0</v>
      </c>
      <c r="AV143" s="208">
        <v>0</v>
      </c>
      <c r="AW143" s="208">
        <v>0</v>
      </c>
      <c r="AX143" s="208">
        <v>0</v>
      </c>
      <c r="AY143" s="208">
        <v>0</v>
      </c>
      <c r="AZ143" s="208">
        <v>0</v>
      </c>
      <c r="BA143" s="208">
        <v>0</v>
      </c>
      <c r="BB143" s="208">
        <v>0</v>
      </c>
      <c r="BC143" s="208">
        <v>0</v>
      </c>
      <c r="BD143" s="208">
        <v>0</v>
      </c>
      <c r="BE143" s="208">
        <v>0</v>
      </c>
      <c r="BF143" s="208">
        <v>0</v>
      </c>
      <c r="BG143" s="208">
        <v>0</v>
      </c>
      <c r="BH143" s="208">
        <v>0</v>
      </c>
      <c r="BI143" s="208">
        <v>0</v>
      </c>
      <c r="BJ143" s="208">
        <v>0</v>
      </c>
      <c r="BK143" s="208">
        <v>0</v>
      </c>
      <c r="BL143" s="208">
        <v>1328875</v>
      </c>
      <c r="BM143" s="208">
        <v>-731855</v>
      </c>
      <c r="BN143" s="187" t="s">
        <v>844</v>
      </c>
      <c r="BO143" s="187" t="s">
        <v>742</v>
      </c>
      <c r="BP143" s="187" t="s">
        <v>751</v>
      </c>
      <c r="BQ143" s="187" t="s">
        <v>742</v>
      </c>
    </row>
    <row r="144" spans="1:69" x14ac:dyDescent="0.2">
      <c r="B144" s="429" t="s">
        <v>365</v>
      </c>
      <c r="C144" s="429" t="s">
        <v>364</v>
      </c>
      <c r="D144" s="208">
        <v>1516259</v>
      </c>
      <c r="E144" s="208">
        <v>0</v>
      </c>
      <c r="F144" s="208">
        <v>1516259</v>
      </c>
      <c r="G144" s="208">
        <v>0</v>
      </c>
      <c r="H144" s="208">
        <v>0</v>
      </c>
      <c r="I144" s="208">
        <v>0</v>
      </c>
      <c r="J144" s="208">
        <v>0</v>
      </c>
      <c r="K144" s="208">
        <v>0</v>
      </c>
      <c r="L144" s="208">
        <v>0</v>
      </c>
      <c r="M144" s="208">
        <v>-11255</v>
      </c>
      <c r="N144" s="208">
        <v>0</v>
      </c>
      <c r="O144" s="208">
        <v>-11255</v>
      </c>
      <c r="P144" s="208">
        <v>15495</v>
      </c>
      <c r="Q144" s="208">
        <v>0</v>
      </c>
      <c r="R144" s="208">
        <v>15495</v>
      </c>
      <c r="S144" s="208">
        <v>0</v>
      </c>
      <c r="T144" s="208">
        <v>0</v>
      </c>
      <c r="U144" s="208">
        <v>0</v>
      </c>
      <c r="V144" s="208">
        <v>0</v>
      </c>
      <c r="W144" s="208">
        <v>0</v>
      </c>
      <c r="X144" s="208">
        <v>0</v>
      </c>
      <c r="Y144" s="208">
        <v>-16476</v>
      </c>
      <c r="Z144" s="208">
        <v>0</v>
      </c>
      <c r="AA144" s="208">
        <v>-16476</v>
      </c>
      <c r="AB144" s="208">
        <v>0</v>
      </c>
      <c r="AC144" s="208">
        <v>0</v>
      </c>
      <c r="AD144" s="208">
        <v>0</v>
      </c>
      <c r="AE144" s="208">
        <v>1504023</v>
      </c>
      <c r="AF144" s="208">
        <v>0</v>
      </c>
      <c r="AG144" s="208">
        <v>1504023</v>
      </c>
      <c r="AH144" s="208">
        <v>0</v>
      </c>
      <c r="AI144" s="208">
        <v>0</v>
      </c>
      <c r="AJ144" s="208">
        <v>0</v>
      </c>
      <c r="AK144" s="208">
        <v>0</v>
      </c>
      <c r="AL144" s="208">
        <v>0</v>
      </c>
      <c r="AM144" s="208">
        <v>0</v>
      </c>
      <c r="AN144" s="208">
        <v>0</v>
      </c>
      <c r="AO144" s="208">
        <v>0</v>
      </c>
      <c r="AP144" s="208">
        <v>0</v>
      </c>
      <c r="AQ144" s="208">
        <v>0</v>
      </c>
      <c r="AR144" s="208">
        <v>0</v>
      </c>
      <c r="AS144" s="208">
        <v>0</v>
      </c>
      <c r="AT144" s="208">
        <v>0</v>
      </c>
      <c r="AU144" s="208">
        <v>0</v>
      </c>
      <c r="AV144" s="208">
        <v>0</v>
      </c>
      <c r="AW144" s="208">
        <v>0</v>
      </c>
      <c r="AX144" s="208">
        <v>0</v>
      </c>
      <c r="AY144" s="208">
        <v>0</v>
      </c>
      <c r="AZ144" s="208">
        <v>0</v>
      </c>
      <c r="BA144" s="208">
        <v>0</v>
      </c>
      <c r="BB144" s="208">
        <v>0</v>
      </c>
      <c r="BC144" s="208">
        <v>0</v>
      </c>
      <c r="BD144" s="208">
        <v>0</v>
      </c>
      <c r="BE144" s="208">
        <v>0</v>
      </c>
      <c r="BF144" s="208">
        <v>0</v>
      </c>
      <c r="BG144" s="208">
        <v>0</v>
      </c>
      <c r="BH144" s="208">
        <v>0</v>
      </c>
      <c r="BI144" s="208">
        <v>0</v>
      </c>
      <c r="BJ144" s="208">
        <v>0</v>
      </c>
      <c r="BK144" s="208">
        <v>0</v>
      </c>
      <c r="BL144" s="208">
        <v>102455</v>
      </c>
      <c r="BM144" s="208">
        <v>-21473</v>
      </c>
      <c r="BN144" s="187" t="s">
        <v>364</v>
      </c>
      <c r="BO144" s="187" t="s">
        <v>742</v>
      </c>
      <c r="BP144" s="187" t="s">
        <v>751</v>
      </c>
      <c r="BQ144" s="187" t="s">
        <v>742</v>
      </c>
    </row>
    <row r="145" spans="1:69" x14ac:dyDescent="0.2">
      <c r="B145" s="429" t="s">
        <v>367</v>
      </c>
      <c r="C145" s="429" t="s">
        <v>366</v>
      </c>
      <c r="D145" s="208">
        <v>280965141</v>
      </c>
      <c r="E145" s="208">
        <v>0</v>
      </c>
      <c r="F145" s="208">
        <v>280965141</v>
      </c>
      <c r="G145" s="208">
        <v>0</v>
      </c>
      <c r="H145" s="208">
        <v>0</v>
      </c>
      <c r="I145" s="208">
        <v>0</v>
      </c>
      <c r="J145" s="208">
        <v>-2906710</v>
      </c>
      <c r="K145" s="208">
        <v>0</v>
      </c>
      <c r="L145" s="208">
        <v>-2906710</v>
      </c>
      <c r="M145" s="208">
        <v>-74469</v>
      </c>
      <c r="N145" s="208">
        <v>0</v>
      </c>
      <c r="O145" s="208">
        <v>-74469</v>
      </c>
      <c r="P145" s="208">
        <v>-1223892</v>
      </c>
      <c r="Q145" s="208">
        <v>0</v>
      </c>
      <c r="R145" s="208">
        <v>-1223892</v>
      </c>
      <c r="S145" s="208">
        <v>11118952</v>
      </c>
      <c r="T145" s="208">
        <v>0</v>
      </c>
      <c r="U145" s="208">
        <v>11118952</v>
      </c>
      <c r="V145" s="208">
        <v>0</v>
      </c>
      <c r="W145" s="208">
        <v>0</v>
      </c>
      <c r="X145" s="208">
        <v>0</v>
      </c>
      <c r="Y145" s="208">
        <v>0</v>
      </c>
      <c r="Z145" s="208">
        <v>0</v>
      </c>
      <c r="AA145" s="208">
        <v>0</v>
      </c>
      <c r="AB145" s="208">
        <v>-15549842</v>
      </c>
      <c r="AC145" s="208">
        <v>0</v>
      </c>
      <c r="AD145" s="208">
        <v>-15549842</v>
      </c>
      <c r="AE145" s="208">
        <v>275235890</v>
      </c>
      <c r="AF145" s="208">
        <v>0</v>
      </c>
      <c r="AG145" s="208">
        <v>275235890</v>
      </c>
      <c r="AH145" s="208">
        <v>0</v>
      </c>
      <c r="AI145" s="208">
        <v>0</v>
      </c>
      <c r="AJ145" s="208">
        <v>76437</v>
      </c>
      <c r="AK145" s="208">
        <v>0</v>
      </c>
      <c r="AL145" s="208">
        <v>76437</v>
      </c>
      <c r="AM145" s="208">
        <v>0</v>
      </c>
      <c r="AN145" s="208">
        <v>0</v>
      </c>
      <c r="AO145" s="208">
        <v>0</v>
      </c>
      <c r="AP145" s="208">
        <v>0</v>
      </c>
      <c r="AQ145" s="208">
        <v>0</v>
      </c>
      <c r="AR145" s="208">
        <v>0</v>
      </c>
      <c r="AS145" s="208">
        <v>0</v>
      </c>
      <c r="AT145" s="208">
        <v>0</v>
      </c>
      <c r="AU145" s="208">
        <v>0</v>
      </c>
      <c r="AV145" s="208">
        <v>0</v>
      </c>
      <c r="AW145" s="208">
        <v>0</v>
      </c>
      <c r="AX145" s="208">
        <v>0</v>
      </c>
      <c r="AY145" s="208">
        <v>0</v>
      </c>
      <c r="AZ145" s="208">
        <v>0</v>
      </c>
      <c r="BA145" s="208">
        <v>0</v>
      </c>
      <c r="BB145" s="208">
        <v>0</v>
      </c>
      <c r="BC145" s="208">
        <v>0</v>
      </c>
      <c r="BD145" s="208">
        <v>0</v>
      </c>
      <c r="BE145" s="208">
        <v>0</v>
      </c>
      <c r="BF145" s="208">
        <v>0</v>
      </c>
      <c r="BG145" s="208">
        <v>0</v>
      </c>
      <c r="BH145" s="208">
        <v>0</v>
      </c>
      <c r="BI145" s="208">
        <v>0</v>
      </c>
      <c r="BJ145" s="208">
        <v>0</v>
      </c>
      <c r="BK145" s="208">
        <v>0</v>
      </c>
      <c r="BL145" s="208">
        <v>19099379</v>
      </c>
      <c r="BM145" s="208">
        <v>-20912549</v>
      </c>
      <c r="BN145" s="187" t="s">
        <v>366</v>
      </c>
      <c r="BO145" s="187" t="s">
        <v>767</v>
      </c>
      <c r="BP145" s="187" t="s">
        <v>743</v>
      </c>
      <c r="BQ145" s="187" t="s">
        <v>1057</v>
      </c>
    </row>
    <row r="146" spans="1:69" x14ac:dyDescent="0.2">
      <c r="B146" s="429" t="s">
        <v>369</v>
      </c>
      <c r="C146" s="429" t="s">
        <v>368</v>
      </c>
      <c r="D146" s="208">
        <v>343432152</v>
      </c>
      <c r="E146" s="208">
        <v>0</v>
      </c>
      <c r="F146" s="208">
        <v>343432152</v>
      </c>
      <c r="G146" s="208">
        <v>-1916</v>
      </c>
      <c r="H146" s="208">
        <v>0</v>
      </c>
      <c r="I146" s="208">
        <v>-1916</v>
      </c>
      <c r="J146" s="208">
        <v>-1265883</v>
      </c>
      <c r="K146" s="208">
        <v>0</v>
      </c>
      <c r="L146" s="208">
        <v>-1265883</v>
      </c>
      <c r="M146" s="208">
        <v>0</v>
      </c>
      <c r="N146" s="208">
        <v>0</v>
      </c>
      <c r="O146" s="208">
        <v>0</v>
      </c>
      <c r="P146" s="208">
        <v>-2635174</v>
      </c>
      <c r="Q146" s="208">
        <v>0</v>
      </c>
      <c r="R146" s="208">
        <v>-2635174</v>
      </c>
      <c r="S146" s="208">
        <v>9687229</v>
      </c>
      <c r="T146" s="208">
        <v>0</v>
      </c>
      <c r="U146" s="208">
        <v>9687229</v>
      </c>
      <c r="V146" s="208">
        <v>4872765</v>
      </c>
      <c r="W146" s="208">
        <v>0</v>
      </c>
      <c r="X146" s="208">
        <v>4872765</v>
      </c>
      <c r="Y146" s="208">
        <v>-1517714</v>
      </c>
      <c r="Z146" s="208">
        <v>0</v>
      </c>
      <c r="AA146" s="208">
        <v>-1517714</v>
      </c>
      <c r="AB146" s="208">
        <v>-24581693</v>
      </c>
      <c r="AC146" s="208">
        <v>0</v>
      </c>
      <c r="AD146" s="208">
        <v>-24581693</v>
      </c>
      <c r="AE146" s="208">
        <v>329255649</v>
      </c>
      <c r="AF146" s="208">
        <v>0</v>
      </c>
      <c r="AG146" s="208">
        <v>329255649</v>
      </c>
      <c r="AH146" s="208">
        <v>0</v>
      </c>
      <c r="AI146" s="208">
        <v>0</v>
      </c>
      <c r="AJ146" s="208">
        <v>0</v>
      </c>
      <c r="AK146" s="208">
        <v>0</v>
      </c>
      <c r="AL146" s="208">
        <v>0</v>
      </c>
      <c r="AM146" s="208">
        <v>0</v>
      </c>
      <c r="AN146" s="208">
        <v>0</v>
      </c>
      <c r="AO146" s="208">
        <v>0</v>
      </c>
      <c r="AP146" s="208">
        <v>0</v>
      </c>
      <c r="AQ146" s="208">
        <v>0</v>
      </c>
      <c r="AR146" s="208">
        <v>0</v>
      </c>
      <c r="AS146" s="208">
        <v>0</v>
      </c>
      <c r="AT146" s="208">
        <v>0</v>
      </c>
      <c r="AU146" s="208">
        <v>0</v>
      </c>
      <c r="AV146" s="208">
        <v>0</v>
      </c>
      <c r="AW146" s="208">
        <v>0</v>
      </c>
      <c r="AX146" s="208">
        <v>0</v>
      </c>
      <c r="AY146" s="208">
        <v>0</v>
      </c>
      <c r="AZ146" s="208">
        <v>0</v>
      </c>
      <c r="BA146" s="208">
        <v>0</v>
      </c>
      <c r="BB146" s="208">
        <v>0</v>
      </c>
      <c r="BC146" s="208">
        <v>0</v>
      </c>
      <c r="BD146" s="208">
        <v>0</v>
      </c>
      <c r="BE146" s="208">
        <v>0</v>
      </c>
      <c r="BF146" s="208">
        <v>0</v>
      </c>
      <c r="BG146" s="208">
        <v>0</v>
      </c>
      <c r="BH146" s="208">
        <v>0</v>
      </c>
      <c r="BI146" s="208">
        <v>0</v>
      </c>
      <c r="BJ146" s="208">
        <v>0</v>
      </c>
      <c r="BK146" s="208">
        <v>0</v>
      </c>
      <c r="BL146" s="208">
        <v>12718837</v>
      </c>
      <c r="BM146" s="208">
        <v>-14356378</v>
      </c>
      <c r="BN146" s="187" t="s">
        <v>843</v>
      </c>
      <c r="BO146" s="187" t="s">
        <v>767</v>
      </c>
      <c r="BP146" s="187" t="s">
        <v>743</v>
      </c>
      <c r="BQ146" s="187" t="s">
        <v>1057</v>
      </c>
    </row>
    <row r="147" spans="1:69" x14ac:dyDescent="0.2">
      <c r="B147" s="429" t="s">
        <v>371</v>
      </c>
      <c r="C147" s="429" t="s">
        <v>370</v>
      </c>
      <c r="D147" s="208">
        <v>32872587</v>
      </c>
      <c r="E147" s="208">
        <v>0</v>
      </c>
      <c r="F147" s="208">
        <v>32872587</v>
      </c>
      <c r="G147" s="208">
        <v>0</v>
      </c>
      <c r="H147" s="208">
        <v>0</v>
      </c>
      <c r="I147" s="208">
        <v>0</v>
      </c>
      <c r="J147" s="208">
        <v>-116450</v>
      </c>
      <c r="K147" s="208">
        <v>0</v>
      </c>
      <c r="L147" s="208">
        <v>-116450</v>
      </c>
      <c r="M147" s="208">
        <v>0</v>
      </c>
      <c r="N147" s="208">
        <v>0</v>
      </c>
      <c r="O147" s="208">
        <v>0</v>
      </c>
      <c r="P147" s="208">
        <v>-125854</v>
      </c>
      <c r="Q147" s="208">
        <v>0</v>
      </c>
      <c r="R147" s="208">
        <v>-125854</v>
      </c>
      <c r="S147" s="208">
        <v>427269</v>
      </c>
      <c r="T147" s="208">
        <v>0</v>
      </c>
      <c r="U147" s="208">
        <v>427269</v>
      </c>
      <c r="V147" s="208">
        <v>0</v>
      </c>
      <c r="W147" s="208">
        <v>0</v>
      </c>
      <c r="X147" s="208">
        <v>0</v>
      </c>
      <c r="Y147" s="208">
        <v>483433</v>
      </c>
      <c r="Z147" s="208">
        <v>0</v>
      </c>
      <c r="AA147" s="208">
        <v>483433</v>
      </c>
      <c r="AB147" s="208">
        <v>-897387</v>
      </c>
      <c r="AC147" s="208">
        <v>0</v>
      </c>
      <c r="AD147" s="208">
        <v>-897387</v>
      </c>
      <c r="AE147" s="208">
        <v>32760048</v>
      </c>
      <c r="AF147" s="208">
        <v>0</v>
      </c>
      <c r="AG147" s="208">
        <v>32760048</v>
      </c>
      <c r="AH147" s="208">
        <v>0</v>
      </c>
      <c r="AI147" s="208">
        <v>0</v>
      </c>
      <c r="AJ147" s="208">
        <v>347536</v>
      </c>
      <c r="AK147" s="208">
        <v>0</v>
      </c>
      <c r="AL147" s="208">
        <v>347536</v>
      </c>
      <c r="AM147" s="208">
        <v>0</v>
      </c>
      <c r="AN147" s="208">
        <v>0</v>
      </c>
      <c r="AO147" s="208">
        <v>0</v>
      </c>
      <c r="AP147" s="208">
        <v>0</v>
      </c>
      <c r="AQ147" s="208">
        <v>0</v>
      </c>
      <c r="AR147" s="208">
        <v>0</v>
      </c>
      <c r="AS147" s="208">
        <v>0</v>
      </c>
      <c r="AT147" s="208">
        <v>0</v>
      </c>
      <c r="AU147" s="208">
        <v>0</v>
      </c>
      <c r="AV147" s="208">
        <v>0</v>
      </c>
      <c r="AW147" s="208">
        <v>0</v>
      </c>
      <c r="AX147" s="208">
        <v>0</v>
      </c>
      <c r="AY147" s="208">
        <v>0</v>
      </c>
      <c r="AZ147" s="208">
        <v>0</v>
      </c>
      <c r="BA147" s="208">
        <v>0</v>
      </c>
      <c r="BB147" s="208">
        <v>0</v>
      </c>
      <c r="BC147" s="208">
        <v>0</v>
      </c>
      <c r="BD147" s="208">
        <v>0</v>
      </c>
      <c r="BE147" s="208">
        <v>0</v>
      </c>
      <c r="BF147" s="208">
        <v>0</v>
      </c>
      <c r="BG147" s="208">
        <v>0</v>
      </c>
      <c r="BH147" s="208">
        <v>0</v>
      </c>
      <c r="BI147" s="208">
        <v>0</v>
      </c>
      <c r="BJ147" s="208">
        <v>0</v>
      </c>
      <c r="BK147" s="208">
        <v>0</v>
      </c>
      <c r="BL147" s="208">
        <v>172021</v>
      </c>
      <c r="BM147" s="208">
        <v>-367415</v>
      </c>
      <c r="BN147" s="187" t="s">
        <v>370</v>
      </c>
      <c r="BO147" s="187" t="s">
        <v>775</v>
      </c>
      <c r="BP147" s="187" t="s">
        <v>751</v>
      </c>
      <c r="BQ147" s="187" t="s">
        <v>1054</v>
      </c>
    </row>
    <row r="148" spans="1:69" x14ac:dyDescent="0.2">
      <c r="A148" s="187" t="s">
        <v>1817</v>
      </c>
      <c r="B148" s="429" t="s">
        <v>373</v>
      </c>
      <c r="C148" s="429" t="s">
        <v>372</v>
      </c>
      <c r="D148" s="208">
        <v>46944173</v>
      </c>
      <c r="E148" s="208">
        <v>0</v>
      </c>
      <c r="F148" s="208">
        <v>46944173</v>
      </c>
      <c r="G148" s="208">
        <v>0</v>
      </c>
      <c r="H148" s="208">
        <v>0</v>
      </c>
      <c r="I148" s="208">
        <v>0</v>
      </c>
      <c r="J148" s="208">
        <v>-144675</v>
      </c>
      <c r="K148" s="208">
        <v>0</v>
      </c>
      <c r="L148" s="208">
        <v>-144675</v>
      </c>
      <c r="M148" s="208">
        <v>0</v>
      </c>
      <c r="N148" s="208">
        <v>0</v>
      </c>
      <c r="O148" s="208">
        <v>0</v>
      </c>
      <c r="P148" s="208">
        <v>-104686</v>
      </c>
      <c r="Q148" s="208">
        <v>0</v>
      </c>
      <c r="R148" s="208">
        <v>-104686</v>
      </c>
      <c r="S148" s="208">
        <v>0</v>
      </c>
      <c r="T148" s="208">
        <v>0</v>
      </c>
      <c r="U148" s="208">
        <v>0</v>
      </c>
      <c r="V148" s="208">
        <v>0</v>
      </c>
      <c r="W148" s="208">
        <v>0</v>
      </c>
      <c r="X148" s="208">
        <v>0</v>
      </c>
      <c r="Y148" s="208">
        <v>2150490</v>
      </c>
      <c r="Z148" s="208">
        <v>0</v>
      </c>
      <c r="AA148" s="208">
        <v>2150490</v>
      </c>
      <c r="AB148" s="208">
        <v>-2404994</v>
      </c>
      <c r="AC148" s="208">
        <v>0</v>
      </c>
      <c r="AD148" s="208">
        <v>-2404994</v>
      </c>
      <c r="AE148" s="208">
        <v>46584983</v>
      </c>
      <c r="AF148" s="208">
        <v>0</v>
      </c>
      <c r="AG148" s="208">
        <v>46584983</v>
      </c>
      <c r="AH148" s="208">
        <v>0</v>
      </c>
      <c r="AI148" s="208">
        <v>0</v>
      </c>
      <c r="AJ148" s="208">
        <v>3162615</v>
      </c>
      <c r="AK148" s="208">
        <v>0</v>
      </c>
      <c r="AL148" s="208">
        <v>3162615</v>
      </c>
      <c r="AM148" s="208">
        <v>0</v>
      </c>
      <c r="AN148" s="208">
        <v>0</v>
      </c>
      <c r="AO148" s="208">
        <v>0</v>
      </c>
      <c r="AP148" s="208">
        <v>0</v>
      </c>
      <c r="AQ148" s="208">
        <v>0</v>
      </c>
      <c r="AR148" s="208">
        <v>0</v>
      </c>
      <c r="AS148" s="208">
        <v>0</v>
      </c>
      <c r="AT148" s="208">
        <v>0</v>
      </c>
      <c r="AU148" s="208">
        <v>0</v>
      </c>
      <c r="AV148" s="208">
        <v>0</v>
      </c>
      <c r="AW148" s="208">
        <v>0</v>
      </c>
      <c r="AX148" s="208">
        <v>0</v>
      </c>
      <c r="AY148" s="208">
        <v>78133</v>
      </c>
      <c r="AZ148" s="208">
        <v>78133</v>
      </c>
      <c r="BA148" s="208">
        <v>0</v>
      </c>
      <c r="BB148" s="208">
        <v>0</v>
      </c>
      <c r="BC148" s="208">
        <v>0</v>
      </c>
      <c r="BD148" s="208">
        <v>0</v>
      </c>
      <c r="BE148" s="208">
        <v>0</v>
      </c>
      <c r="BF148" s="208">
        <v>0</v>
      </c>
      <c r="BG148" s="208">
        <v>0</v>
      </c>
      <c r="BH148" s="208">
        <v>0</v>
      </c>
      <c r="BI148" s="208">
        <v>0</v>
      </c>
      <c r="BJ148" s="208">
        <v>78133</v>
      </c>
      <c r="BK148" s="208">
        <v>78133</v>
      </c>
      <c r="BL148" s="208">
        <v>673556</v>
      </c>
      <c r="BM148" s="208">
        <v>-425716</v>
      </c>
      <c r="BN148" s="187" t="s">
        <v>842</v>
      </c>
      <c r="BO148" s="187" t="s">
        <v>802</v>
      </c>
      <c r="BP148" s="187" t="s">
        <v>751</v>
      </c>
      <c r="BQ148" s="187" t="s">
        <v>1054</v>
      </c>
    </row>
    <row r="149" spans="1:69" x14ac:dyDescent="0.2">
      <c r="B149" s="429" t="s">
        <v>375</v>
      </c>
      <c r="C149" s="429" t="s">
        <v>374</v>
      </c>
      <c r="D149" s="208">
        <v>84181151</v>
      </c>
      <c r="E149" s="208">
        <v>3128595</v>
      </c>
      <c r="F149" s="208">
        <v>87309746</v>
      </c>
      <c r="G149" s="208">
        <v>0</v>
      </c>
      <c r="H149" s="208">
        <v>0</v>
      </c>
      <c r="I149" s="208">
        <v>0</v>
      </c>
      <c r="J149" s="208">
        <v>-2096695</v>
      </c>
      <c r="K149" s="208">
        <v>0</v>
      </c>
      <c r="L149" s="208">
        <v>-2096695</v>
      </c>
      <c r="M149" s="208">
        <v>0</v>
      </c>
      <c r="N149" s="208">
        <v>0</v>
      </c>
      <c r="O149" s="208">
        <v>0</v>
      </c>
      <c r="P149" s="208">
        <v>-1800000</v>
      </c>
      <c r="Q149" s="208">
        <v>0</v>
      </c>
      <c r="R149" s="208">
        <v>-1800000</v>
      </c>
      <c r="S149" s="208">
        <v>1000000</v>
      </c>
      <c r="T149" s="208">
        <v>0</v>
      </c>
      <c r="U149" s="208">
        <v>1000000</v>
      </c>
      <c r="V149" s="208">
        <v>1700000</v>
      </c>
      <c r="W149" s="208">
        <v>0</v>
      </c>
      <c r="X149" s="208">
        <v>1700000</v>
      </c>
      <c r="Y149" s="208">
        <v>-2000000</v>
      </c>
      <c r="Z149" s="208">
        <v>0</v>
      </c>
      <c r="AA149" s="208">
        <v>-2000000</v>
      </c>
      <c r="AB149" s="208">
        <v>-7500000</v>
      </c>
      <c r="AC149" s="208">
        <v>0</v>
      </c>
      <c r="AD149" s="208">
        <v>-7500000</v>
      </c>
      <c r="AE149" s="208">
        <v>75581151</v>
      </c>
      <c r="AF149" s="208">
        <v>3128595</v>
      </c>
      <c r="AG149" s="208">
        <v>78709746</v>
      </c>
      <c r="AH149" s="208">
        <v>3128595</v>
      </c>
      <c r="AI149" s="208">
        <v>3128595</v>
      </c>
      <c r="AJ149" s="208">
        <v>50509</v>
      </c>
      <c r="AK149" s="208">
        <v>0</v>
      </c>
      <c r="AL149" s="208">
        <v>50509</v>
      </c>
      <c r="AM149" s="208">
        <v>0</v>
      </c>
      <c r="AN149" s="208">
        <v>0</v>
      </c>
      <c r="AO149" s="208">
        <v>0</v>
      </c>
      <c r="AP149" s="208">
        <v>-1772</v>
      </c>
      <c r="AQ149" s="208">
        <v>-1772</v>
      </c>
      <c r="AR149" s="208">
        <v>344524</v>
      </c>
      <c r="AS149" s="208">
        <v>344524</v>
      </c>
      <c r="AT149" s="208">
        <v>2857973</v>
      </c>
      <c r="AU149" s="208">
        <v>0</v>
      </c>
      <c r="AV149" s="208">
        <v>0</v>
      </c>
      <c r="AW149" s="208">
        <v>0</v>
      </c>
      <c r="AX149" s="208">
        <v>0</v>
      </c>
      <c r="AY149" s="208">
        <v>311593</v>
      </c>
      <c r="AZ149" s="208">
        <v>311593</v>
      </c>
      <c r="BA149" s="208">
        <v>0</v>
      </c>
      <c r="BB149" s="208">
        <v>0</v>
      </c>
      <c r="BC149" s="208">
        <v>0</v>
      </c>
      <c r="BD149" s="208">
        <v>0</v>
      </c>
      <c r="BE149" s="208">
        <v>0</v>
      </c>
      <c r="BF149" s="208">
        <v>0</v>
      </c>
      <c r="BG149" s="208">
        <v>0</v>
      </c>
      <c r="BH149" s="208">
        <v>0</v>
      </c>
      <c r="BI149" s="208">
        <v>0</v>
      </c>
      <c r="BJ149" s="208">
        <v>311593</v>
      </c>
      <c r="BK149" s="208">
        <v>311593</v>
      </c>
      <c r="BL149" s="208">
        <v>3465757</v>
      </c>
      <c r="BM149" s="208">
        <v>-1124651</v>
      </c>
      <c r="BN149" s="187" t="s">
        <v>841</v>
      </c>
      <c r="BO149" s="187" t="s">
        <v>742</v>
      </c>
      <c r="BP149" s="187" t="s">
        <v>830</v>
      </c>
      <c r="BQ149" s="187" t="s">
        <v>742</v>
      </c>
    </row>
    <row r="150" spans="1:69" x14ac:dyDescent="0.2">
      <c r="B150" s="429" t="s">
        <v>377</v>
      </c>
      <c r="C150" s="429" t="s">
        <v>376</v>
      </c>
      <c r="D150" s="208">
        <v>87169484</v>
      </c>
      <c r="E150" s="208">
        <v>0</v>
      </c>
      <c r="F150" s="208">
        <v>87169484</v>
      </c>
      <c r="G150" s="208">
        <v>0</v>
      </c>
      <c r="H150" s="208">
        <v>0</v>
      </c>
      <c r="I150" s="208">
        <v>0</v>
      </c>
      <c r="J150" s="208">
        <v>-610190</v>
      </c>
      <c r="K150" s="208">
        <v>0</v>
      </c>
      <c r="L150" s="208">
        <v>-610190</v>
      </c>
      <c r="M150" s="208">
        <v>22489</v>
      </c>
      <c r="N150" s="208">
        <v>0</v>
      </c>
      <c r="O150" s="208">
        <v>22489</v>
      </c>
      <c r="P150" s="208">
        <v>-1095068</v>
      </c>
      <c r="Q150" s="208">
        <v>0</v>
      </c>
      <c r="R150" s="208">
        <v>-1095068</v>
      </c>
      <c r="S150" s="208">
        <v>2281314</v>
      </c>
      <c r="T150" s="208">
        <v>0</v>
      </c>
      <c r="U150" s="208">
        <v>2281314</v>
      </c>
      <c r="V150" s="208">
        <v>0</v>
      </c>
      <c r="W150" s="208">
        <v>0</v>
      </c>
      <c r="X150" s="208">
        <v>0</v>
      </c>
      <c r="Y150" s="208">
        <v>-3012904</v>
      </c>
      <c r="Z150" s="208">
        <v>0</v>
      </c>
      <c r="AA150" s="208">
        <v>-3012904</v>
      </c>
      <c r="AB150" s="208">
        <v>0</v>
      </c>
      <c r="AC150" s="208">
        <v>0</v>
      </c>
      <c r="AD150" s="208">
        <v>0</v>
      </c>
      <c r="AE150" s="208">
        <v>85365315</v>
      </c>
      <c r="AF150" s="208">
        <v>0</v>
      </c>
      <c r="AG150" s="208">
        <v>85365315</v>
      </c>
      <c r="AH150" s="208">
        <v>0</v>
      </c>
      <c r="AI150" s="208">
        <v>0</v>
      </c>
      <c r="AJ150" s="208">
        <v>0</v>
      </c>
      <c r="AK150" s="208">
        <v>0</v>
      </c>
      <c r="AL150" s="208">
        <v>0</v>
      </c>
      <c r="AM150" s="208">
        <v>0</v>
      </c>
      <c r="AN150" s="208">
        <v>0</v>
      </c>
      <c r="AO150" s="208">
        <v>0</v>
      </c>
      <c r="AP150" s="208">
        <v>0</v>
      </c>
      <c r="AQ150" s="208">
        <v>0</v>
      </c>
      <c r="AR150" s="208">
        <v>0</v>
      </c>
      <c r="AS150" s="208">
        <v>0</v>
      </c>
      <c r="AT150" s="208">
        <v>0</v>
      </c>
      <c r="AU150" s="208">
        <v>0</v>
      </c>
      <c r="AV150" s="208">
        <v>0</v>
      </c>
      <c r="AW150" s="208">
        <v>0</v>
      </c>
      <c r="AX150" s="208">
        <v>0</v>
      </c>
      <c r="AY150" s="208">
        <v>0</v>
      </c>
      <c r="AZ150" s="208">
        <v>0</v>
      </c>
      <c r="BA150" s="208">
        <v>0</v>
      </c>
      <c r="BB150" s="208">
        <v>0</v>
      </c>
      <c r="BC150" s="208">
        <v>0</v>
      </c>
      <c r="BD150" s="208">
        <v>0</v>
      </c>
      <c r="BE150" s="208">
        <v>0</v>
      </c>
      <c r="BF150" s="208">
        <v>0</v>
      </c>
      <c r="BG150" s="208">
        <v>0</v>
      </c>
      <c r="BH150" s="208">
        <v>0</v>
      </c>
      <c r="BI150" s="208">
        <v>0</v>
      </c>
      <c r="BJ150" s="208">
        <v>0</v>
      </c>
      <c r="BK150" s="208">
        <v>0</v>
      </c>
      <c r="BL150" s="208">
        <v>4798542</v>
      </c>
      <c r="BM150" s="208">
        <v>-841901.6106444007</v>
      </c>
      <c r="BN150" s="187" t="s">
        <v>840</v>
      </c>
      <c r="BO150" s="187" t="s">
        <v>767</v>
      </c>
      <c r="BP150" s="187" t="s">
        <v>743</v>
      </c>
      <c r="BQ150" s="187" t="s">
        <v>1055</v>
      </c>
    </row>
    <row r="151" spans="1:69" x14ac:dyDescent="0.2">
      <c r="B151" s="429" t="s">
        <v>379</v>
      </c>
      <c r="C151" s="429" t="s">
        <v>378</v>
      </c>
      <c r="D151" s="208">
        <v>105425245</v>
      </c>
      <c r="E151" s="208">
        <v>72366</v>
      </c>
      <c r="F151" s="208">
        <v>105497611</v>
      </c>
      <c r="G151" s="208">
        <v>0</v>
      </c>
      <c r="H151" s="208">
        <v>0</v>
      </c>
      <c r="I151" s="208">
        <v>0</v>
      </c>
      <c r="J151" s="208">
        <v>-910652</v>
      </c>
      <c r="K151" s="208">
        <v>0</v>
      </c>
      <c r="L151" s="208">
        <v>-910652</v>
      </c>
      <c r="M151" s="208">
        <v>0</v>
      </c>
      <c r="N151" s="208">
        <v>0</v>
      </c>
      <c r="O151" s="208">
        <v>0</v>
      </c>
      <c r="P151" s="208">
        <v>-671685</v>
      </c>
      <c r="Q151" s="208">
        <v>0</v>
      </c>
      <c r="R151" s="208">
        <v>-671685</v>
      </c>
      <c r="S151" s="208">
        <v>1725705</v>
      </c>
      <c r="T151" s="208">
        <v>0</v>
      </c>
      <c r="U151" s="208">
        <v>1725705</v>
      </c>
      <c r="V151" s="208">
        <v>90827</v>
      </c>
      <c r="W151" s="208">
        <v>0</v>
      </c>
      <c r="X151" s="208">
        <v>90827</v>
      </c>
      <c r="Y151" s="208">
        <v>4815600</v>
      </c>
      <c r="Z151" s="208">
        <v>0</v>
      </c>
      <c r="AA151" s="208">
        <v>4815600</v>
      </c>
      <c r="AB151" s="208">
        <v>97193</v>
      </c>
      <c r="AC151" s="208">
        <v>0</v>
      </c>
      <c r="AD151" s="208">
        <v>97193</v>
      </c>
      <c r="AE151" s="208">
        <v>111482885</v>
      </c>
      <c r="AF151" s="208">
        <v>72366</v>
      </c>
      <c r="AG151" s="208">
        <v>111555251</v>
      </c>
      <c r="AH151" s="208">
        <v>72366</v>
      </c>
      <c r="AI151" s="208">
        <v>72366</v>
      </c>
      <c r="AJ151" s="208">
        <v>0</v>
      </c>
      <c r="AK151" s="208">
        <v>0</v>
      </c>
      <c r="AL151" s="208">
        <v>0</v>
      </c>
      <c r="AM151" s="208">
        <v>0</v>
      </c>
      <c r="AN151" s="208">
        <v>0</v>
      </c>
      <c r="AO151" s="208">
        <v>0</v>
      </c>
      <c r="AP151" s="208">
        <v>0</v>
      </c>
      <c r="AQ151" s="208">
        <v>0</v>
      </c>
      <c r="AR151" s="208">
        <v>0</v>
      </c>
      <c r="AS151" s="208">
        <v>0</v>
      </c>
      <c r="AT151" s="208">
        <v>72366</v>
      </c>
      <c r="AU151" s="208">
        <v>0</v>
      </c>
      <c r="AV151" s="208">
        <v>115386</v>
      </c>
      <c r="AW151" s="208">
        <v>115386</v>
      </c>
      <c r="AX151" s="208">
        <v>0</v>
      </c>
      <c r="AY151" s="208">
        <v>0</v>
      </c>
      <c r="AZ151" s="208">
        <v>0</v>
      </c>
      <c r="BA151" s="208">
        <v>0</v>
      </c>
      <c r="BB151" s="208">
        <v>0</v>
      </c>
      <c r="BC151" s="208">
        <v>0</v>
      </c>
      <c r="BD151" s="208">
        <v>0</v>
      </c>
      <c r="BE151" s="208">
        <v>0</v>
      </c>
      <c r="BF151" s="208">
        <v>0</v>
      </c>
      <c r="BG151" s="208">
        <v>0</v>
      </c>
      <c r="BH151" s="208">
        <v>0</v>
      </c>
      <c r="BI151" s="208">
        <v>0</v>
      </c>
      <c r="BJ151" s="208">
        <v>0</v>
      </c>
      <c r="BK151" s="208">
        <v>0</v>
      </c>
      <c r="BL151" s="208">
        <v>4353250</v>
      </c>
      <c r="BM151" s="208">
        <v>-1160587</v>
      </c>
      <c r="BN151" s="187" t="s">
        <v>378</v>
      </c>
      <c r="BO151" s="187" t="s">
        <v>754</v>
      </c>
      <c r="BP151" s="187" t="s">
        <v>782</v>
      </c>
      <c r="BQ151" s="187" t="s">
        <v>1056</v>
      </c>
    </row>
    <row r="152" spans="1:69" x14ac:dyDescent="0.2">
      <c r="B152" s="429" t="s">
        <v>381</v>
      </c>
      <c r="C152" s="429" t="s">
        <v>380</v>
      </c>
      <c r="D152" s="208">
        <v>43047889</v>
      </c>
      <c r="E152" s="208">
        <v>0</v>
      </c>
      <c r="F152" s="208">
        <v>43047889</v>
      </c>
      <c r="G152" s="208">
        <v>0</v>
      </c>
      <c r="H152" s="208">
        <v>0</v>
      </c>
      <c r="I152" s="208">
        <v>0</v>
      </c>
      <c r="J152" s="208">
        <v>-5316</v>
      </c>
      <c r="K152" s="208">
        <v>0</v>
      </c>
      <c r="L152" s="208">
        <v>-5316</v>
      </c>
      <c r="M152" s="208">
        <v>0</v>
      </c>
      <c r="N152" s="208">
        <v>0</v>
      </c>
      <c r="O152" s="208">
        <v>0</v>
      </c>
      <c r="P152" s="208">
        <v>0</v>
      </c>
      <c r="Q152" s="208">
        <v>0</v>
      </c>
      <c r="R152" s="208">
        <v>0</v>
      </c>
      <c r="S152" s="208">
        <v>542369</v>
      </c>
      <c r="T152" s="208">
        <v>0</v>
      </c>
      <c r="U152" s="208">
        <v>542369</v>
      </c>
      <c r="V152" s="208">
        <v>2045561</v>
      </c>
      <c r="W152" s="208">
        <v>0</v>
      </c>
      <c r="X152" s="208">
        <v>2045561</v>
      </c>
      <c r="Y152" s="208">
        <v>0</v>
      </c>
      <c r="Z152" s="208">
        <v>0</v>
      </c>
      <c r="AA152" s="208">
        <v>0</v>
      </c>
      <c r="AB152" s="208">
        <v>-864231</v>
      </c>
      <c r="AC152" s="208">
        <v>0</v>
      </c>
      <c r="AD152" s="208">
        <v>-864231</v>
      </c>
      <c r="AE152" s="208">
        <v>44771588</v>
      </c>
      <c r="AF152" s="208">
        <v>0</v>
      </c>
      <c r="AG152" s="208">
        <v>44771588</v>
      </c>
      <c r="AH152" s="208">
        <v>0</v>
      </c>
      <c r="AI152" s="208">
        <v>0</v>
      </c>
      <c r="AJ152" s="208">
        <v>0</v>
      </c>
      <c r="AK152" s="208">
        <v>0</v>
      </c>
      <c r="AL152" s="208">
        <v>0</v>
      </c>
      <c r="AM152" s="208">
        <v>0</v>
      </c>
      <c r="AN152" s="208">
        <v>0</v>
      </c>
      <c r="AO152" s="208">
        <v>0</v>
      </c>
      <c r="AP152" s="208">
        <v>0</v>
      </c>
      <c r="AQ152" s="208">
        <v>0</v>
      </c>
      <c r="AR152" s="208">
        <v>0</v>
      </c>
      <c r="AS152" s="208">
        <v>0</v>
      </c>
      <c r="AT152" s="208">
        <v>0</v>
      </c>
      <c r="AU152" s="208">
        <v>0</v>
      </c>
      <c r="AV152" s="208">
        <v>0</v>
      </c>
      <c r="AW152" s="208">
        <v>0</v>
      </c>
      <c r="AX152" s="208">
        <v>0</v>
      </c>
      <c r="AY152" s="208">
        <v>0</v>
      </c>
      <c r="AZ152" s="208">
        <v>0</v>
      </c>
      <c r="BA152" s="208">
        <v>0</v>
      </c>
      <c r="BB152" s="208">
        <v>0</v>
      </c>
      <c r="BC152" s="208">
        <v>0</v>
      </c>
      <c r="BD152" s="208">
        <v>0</v>
      </c>
      <c r="BE152" s="208">
        <v>0</v>
      </c>
      <c r="BF152" s="208">
        <v>0</v>
      </c>
      <c r="BG152" s="208">
        <v>0</v>
      </c>
      <c r="BH152" s="208">
        <v>0</v>
      </c>
      <c r="BI152" s="208">
        <v>0</v>
      </c>
      <c r="BJ152" s="208">
        <v>0</v>
      </c>
      <c r="BK152" s="208">
        <v>0</v>
      </c>
      <c r="BL152" s="208">
        <v>4441562</v>
      </c>
      <c r="BM152" s="208">
        <v>-1547131</v>
      </c>
      <c r="BN152" s="187" t="s">
        <v>380</v>
      </c>
      <c r="BO152" s="187" t="s">
        <v>754</v>
      </c>
      <c r="BP152" s="187" t="s">
        <v>758</v>
      </c>
      <c r="BQ152" s="187" t="s">
        <v>1056</v>
      </c>
    </row>
    <row r="153" spans="1:69" x14ac:dyDescent="0.2">
      <c r="B153" s="429" t="s">
        <v>383</v>
      </c>
      <c r="C153" s="429" t="s">
        <v>382</v>
      </c>
      <c r="D153" s="208">
        <v>160091908</v>
      </c>
      <c r="E153" s="208">
        <v>1062165</v>
      </c>
      <c r="F153" s="208">
        <v>161154073</v>
      </c>
      <c r="G153" s="208">
        <v>-773</v>
      </c>
      <c r="H153" s="208">
        <v>0</v>
      </c>
      <c r="I153" s="208">
        <v>-773</v>
      </c>
      <c r="J153" s="208">
        <v>-715093</v>
      </c>
      <c r="K153" s="208">
        <v>0</v>
      </c>
      <c r="L153" s="208">
        <v>-715093</v>
      </c>
      <c r="M153" s="208">
        <v>0</v>
      </c>
      <c r="N153" s="208">
        <v>0</v>
      </c>
      <c r="O153" s="208">
        <v>0</v>
      </c>
      <c r="P153" s="208">
        <v>-533304</v>
      </c>
      <c r="Q153" s="208">
        <v>0</v>
      </c>
      <c r="R153" s="208">
        <v>-533304</v>
      </c>
      <c r="S153" s="208">
        <v>4247304</v>
      </c>
      <c r="T153" s="208">
        <v>0</v>
      </c>
      <c r="U153" s="208">
        <v>4247304</v>
      </c>
      <c r="V153" s="208">
        <v>220741</v>
      </c>
      <c r="W153" s="208">
        <v>0</v>
      </c>
      <c r="X153" s="208">
        <v>220741</v>
      </c>
      <c r="Y153" s="208">
        <v>-1566784</v>
      </c>
      <c r="Z153" s="208">
        <v>0</v>
      </c>
      <c r="AA153" s="208">
        <v>-1566784</v>
      </c>
      <c r="AB153" s="208">
        <v>-1204373</v>
      </c>
      <c r="AC153" s="208">
        <v>0</v>
      </c>
      <c r="AD153" s="208">
        <v>-1204373</v>
      </c>
      <c r="AE153" s="208">
        <v>161254719</v>
      </c>
      <c r="AF153" s="208">
        <v>1062165</v>
      </c>
      <c r="AG153" s="208">
        <v>162316884</v>
      </c>
      <c r="AH153" s="208">
        <v>1062165</v>
      </c>
      <c r="AI153" s="208">
        <v>1062165</v>
      </c>
      <c r="AJ153" s="208">
        <v>0</v>
      </c>
      <c r="AK153" s="208">
        <v>0</v>
      </c>
      <c r="AL153" s="208">
        <v>0</v>
      </c>
      <c r="AM153" s="208">
        <v>0</v>
      </c>
      <c r="AN153" s="208">
        <v>0</v>
      </c>
      <c r="AO153" s="208">
        <v>0</v>
      </c>
      <c r="AP153" s="208">
        <v>-132767</v>
      </c>
      <c r="AQ153" s="208">
        <v>-132767</v>
      </c>
      <c r="AR153" s="208">
        <v>1653791</v>
      </c>
      <c r="AS153" s="208">
        <v>1653791</v>
      </c>
      <c r="AT153" s="208">
        <v>0</v>
      </c>
      <c r="AU153" s="208">
        <v>0</v>
      </c>
      <c r="AV153" s="208">
        <v>0</v>
      </c>
      <c r="AW153" s="208">
        <v>0</v>
      </c>
      <c r="AX153" s="208">
        <v>0</v>
      </c>
      <c r="AY153" s="208">
        <v>0</v>
      </c>
      <c r="AZ153" s="208">
        <v>0</v>
      </c>
      <c r="BA153" s="208">
        <v>0</v>
      </c>
      <c r="BB153" s="208">
        <v>0</v>
      </c>
      <c r="BC153" s="208">
        <v>0</v>
      </c>
      <c r="BD153" s="208">
        <v>0</v>
      </c>
      <c r="BE153" s="208">
        <v>0</v>
      </c>
      <c r="BF153" s="208">
        <v>0</v>
      </c>
      <c r="BG153" s="208">
        <v>0</v>
      </c>
      <c r="BH153" s="208">
        <v>0</v>
      </c>
      <c r="BI153" s="208">
        <v>0</v>
      </c>
      <c r="BJ153" s="208">
        <v>0</v>
      </c>
      <c r="BK153" s="208">
        <v>0</v>
      </c>
      <c r="BL153" s="208">
        <v>4134818</v>
      </c>
      <c r="BM153" s="208">
        <v>-7739278</v>
      </c>
      <c r="BN153" s="187" t="s">
        <v>382</v>
      </c>
      <c r="BO153" s="187" t="s">
        <v>767</v>
      </c>
      <c r="BP153" s="187" t="s">
        <v>743</v>
      </c>
      <c r="BQ153" s="187" t="s">
        <v>1057</v>
      </c>
    </row>
    <row r="154" spans="1:69" x14ac:dyDescent="0.2">
      <c r="B154" s="429" t="s">
        <v>385</v>
      </c>
      <c r="C154" s="429" t="s">
        <v>384</v>
      </c>
      <c r="D154" s="208">
        <v>66112772</v>
      </c>
      <c r="E154" s="208">
        <v>0</v>
      </c>
      <c r="F154" s="208">
        <v>66112772</v>
      </c>
      <c r="G154" s="208">
        <v>0</v>
      </c>
      <c r="H154" s="208">
        <v>0</v>
      </c>
      <c r="I154" s="208">
        <v>0</v>
      </c>
      <c r="J154" s="208">
        <v>-259656</v>
      </c>
      <c r="K154" s="208">
        <v>0</v>
      </c>
      <c r="L154" s="208">
        <v>-259656</v>
      </c>
      <c r="M154" s="208">
        <v>-154623</v>
      </c>
      <c r="N154" s="208">
        <v>0</v>
      </c>
      <c r="O154" s="208">
        <v>-154623</v>
      </c>
      <c r="P154" s="208">
        <v>-300000</v>
      </c>
      <c r="Q154" s="208">
        <v>0</v>
      </c>
      <c r="R154" s="208">
        <v>-300000</v>
      </c>
      <c r="S154" s="208">
        <v>0</v>
      </c>
      <c r="T154" s="208">
        <v>0</v>
      </c>
      <c r="U154" s="208">
        <v>0</v>
      </c>
      <c r="V154" s="208">
        <v>0</v>
      </c>
      <c r="W154" s="208">
        <v>0</v>
      </c>
      <c r="X154" s="208">
        <v>0</v>
      </c>
      <c r="Y154" s="208">
        <v>0</v>
      </c>
      <c r="Z154" s="208">
        <v>0</v>
      </c>
      <c r="AA154" s="208">
        <v>0</v>
      </c>
      <c r="AB154" s="208">
        <v>-3107300</v>
      </c>
      <c r="AC154" s="208">
        <v>0</v>
      </c>
      <c r="AD154" s="208">
        <v>-3107300</v>
      </c>
      <c r="AE154" s="208">
        <v>62550849</v>
      </c>
      <c r="AF154" s="208">
        <v>0</v>
      </c>
      <c r="AG154" s="208">
        <v>62550849</v>
      </c>
      <c r="AH154" s="208">
        <v>0</v>
      </c>
      <c r="AI154" s="208">
        <v>0</v>
      </c>
      <c r="AJ154" s="208">
        <v>996554</v>
      </c>
      <c r="AK154" s="208">
        <v>0</v>
      </c>
      <c r="AL154" s="208">
        <v>996554</v>
      </c>
      <c r="AM154" s="208">
        <v>0</v>
      </c>
      <c r="AN154" s="208">
        <v>0</v>
      </c>
      <c r="AO154" s="208">
        <v>0</v>
      </c>
      <c r="AP154" s="208">
        <v>0</v>
      </c>
      <c r="AQ154" s="208">
        <v>0</v>
      </c>
      <c r="AR154" s="208">
        <v>0</v>
      </c>
      <c r="AS154" s="208">
        <v>0</v>
      </c>
      <c r="AT154" s="208">
        <v>0</v>
      </c>
      <c r="AU154" s="208">
        <v>0</v>
      </c>
      <c r="AV154" s="208">
        <v>0</v>
      </c>
      <c r="AW154" s="208">
        <v>0</v>
      </c>
      <c r="AX154" s="208">
        <v>0</v>
      </c>
      <c r="AY154" s="208">
        <v>0</v>
      </c>
      <c r="AZ154" s="208">
        <v>0</v>
      </c>
      <c r="BA154" s="208">
        <v>0</v>
      </c>
      <c r="BB154" s="208">
        <v>0</v>
      </c>
      <c r="BC154" s="208">
        <v>0</v>
      </c>
      <c r="BD154" s="208">
        <v>0</v>
      </c>
      <c r="BE154" s="208">
        <v>0</v>
      </c>
      <c r="BF154" s="208">
        <v>0</v>
      </c>
      <c r="BG154" s="208">
        <v>0</v>
      </c>
      <c r="BH154" s="208">
        <v>0</v>
      </c>
      <c r="BI154" s="208">
        <v>0</v>
      </c>
      <c r="BJ154" s="208">
        <v>0</v>
      </c>
      <c r="BK154" s="208">
        <v>0</v>
      </c>
      <c r="BL154" s="208">
        <v>1591095</v>
      </c>
      <c r="BM154" s="208">
        <v>-361154</v>
      </c>
      <c r="BN154" s="187" t="s">
        <v>384</v>
      </c>
      <c r="BO154" s="187" t="s">
        <v>748</v>
      </c>
      <c r="BP154" s="187" t="s">
        <v>747</v>
      </c>
      <c r="BQ154" s="187" t="s">
        <v>1054</v>
      </c>
    </row>
    <row r="155" spans="1:69" x14ac:dyDescent="0.2">
      <c r="B155" s="429" t="s">
        <v>387</v>
      </c>
      <c r="C155" s="429" t="s">
        <v>386</v>
      </c>
      <c r="D155" s="208">
        <v>380032426</v>
      </c>
      <c r="E155" s="208">
        <v>2215899</v>
      </c>
      <c r="F155" s="208">
        <v>382248325</v>
      </c>
      <c r="G155" s="208">
        <v>0</v>
      </c>
      <c r="H155" s="208">
        <v>0</v>
      </c>
      <c r="I155" s="208">
        <v>0</v>
      </c>
      <c r="J155" s="208">
        <v>-2936662</v>
      </c>
      <c r="K155" s="208">
        <v>0</v>
      </c>
      <c r="L155" s="208">
        <v>-2936662</v>
      </c>
      <c r="M155" s="208">
        <v>0</v>
      </c>
      <c r="N155" s="208">
        <v>0</v>
      </c>
      <c r="O155" s="208">
        <v>0</v>
      </c>
      <c r="P155" s="208">
        <v>-2170269</v>
      </c>
      <c r="Q155" s="208">
        <v>0</v>
      </c>
      <c r="R155" s="208">
        <v>-2170269</v>
      </c>
      <c r="S155" s="208">
        <v>4561776</v>
      </c>
      <c r="T155" s="208">
        <v>0</v>
      </c>
      <c r="U155" s="208">
        <v>4561776</v>
      </c>
      <c r="V155" s="208">
        <v>492924</v>
      </c>
      <c r="W155" s="208">
        <v>0</v>
      </c>
      <c r="X155" s="208">
        <v>492924</v>
      </c>
      <c r="Y155" s="208">
        <v>-6806806</v>
      </c>
      <c r="Z155" s="208">
        <v>0</v>
      </c>
      <c r="AA155" s="208">
        <v>-6806806</v>
      </c>
      <c r="AB155" s="208">
        <v>-6720512</v>
      </c>
      <c r="AC155" s="208">
        <v>0</v>
      </c>
      <c r="AD155" s="208">
        <v>-6720512</v>
      </c>
      <c r="AE155" s="208">
        <v>369389539</v>
      </c>
      <c r="AF155" s="208">
        <v>2215899</v>
      </c>
      <c r="AG155" s="208">
        <v>371605438</v>
      </c>
      <c r="AH155" s="208">
        <v>2215899</v>
      </c>
      <c r="AI155" s="208">
        <v>2215899</v>
      </c>
      <c r="AJ155" s="208">
        <v>226148</v>
      </c>
      <c r="AK155" s="208">
        <v>0</v>
      </c>
      <c r="AL155" s="208">
        <v>226148</v>
      </c>
      <c r="AM155" s="208">
        <v>0</v>
      </c>
      <c r="AN155" s="208">
        <v>0</v>
      </c>
      <c r="AO155" s="208">
        <v>0</v>
      </c>
      <c r="AP155" s="208">
        <v>-83145</v>
      </c>
      <c r="AQ155" s="208">
        <v>-83145</v>
      </c>
      <c r="AR155" s="208">
        <v>1011506</v>
      </c>
      <c r="AS155" s="208">
        <v>1011506</v>
      </c>
      <c r="AT155" s="208">
        <v>1121248</v>
      </c>
      <c r="AU155" s="208">
        <v>0</v>
      </c>
      <c r="AV155" s="208">
        <v>505777</v>
      </c>
      <c r="AW155" s="208">
        <v>505777</v>
      </c>
      <c r="AX155" s="208">
        <v>0</v>
      </c>
      <c r="AY155" s="208">
        <v>0</v>
      </c>
      <c r="AZ155" s="208">
        <v>0</v>
      </c>
      <c r="BA155" s="208">
        <v>0</v>
      </c>
      <c r="BB155" s="208">
        <v>0</v>
      </c>
      <c r="BC155" s="208">
        <v>0</v>
      </c>
      <c r="BD155" s="208">
        <v>0</v>
      </c>
      <c r="BE155" s="208">
        <v>0</v>
      </c>
      <c r="BF155" s="208">
        <v>0</v>
      </c>
      <c r="BG155" s="208">
        <v>0</v>
      </c>
      <c r="BH155" s="208">
        <v>0</v>
      </c>
      <c r="BI155" s="208">
        <v>0</v>
      </c>
      <c r="BJ155" s="208">
        <v>0</v>
      </c>
      <c r="BK155" s="208">
        <v>0</v>
      </c>
      <c r="BL155" s="208">
        <v>11350852</v>
      </c>
      <c r="BM155" s="208">
        <v>-9152056</v>
      </c>
      <c r="BN155" s="187" t="s">
        <v>386</v>
      </c>
      <c r="BO155" s="187" t="s">
        <v>754</v>
      </c>
      <c r="BP155" s="187" t="s">
        <v>782</v>
      </c>
      <c r="BQ155" s="187" t="s">
        <v>1056</v>
      </c>
    </row>
    <row r="156" spans="1:69" x14ac:dyDescent="0.2">
      <c r="B156" s="429" t="s">
        <v>389</v>
      </c>
      <c r="C156" s="429" t="s">
        <v>388</v>
      </c>
      <c r="D156" s="208">
        <v>107557764</v>
      </c>
      <c r="E156" s="208">
        <v>2058192</v>
      </c>
      <c r="F156" s="208">
        <v>109615956</v>
      </c>
      <c r="G156" s="208">
        <v>0</v>
      </c>
      <c r="H156" s="208">
        <v>0</v>
      </c>
      <c r="I156" s="208">
        <v>0</v>
      </c>
      <c r="J156" s="208">
        <v>-2486803</v>
      </c>
      <c r="K156" s="208">
        <v>-45322</v>
      </c>
      <c r="L156" s="208">
        <v>-2532125</v>
      </c>
      <c r="M156" s="208">
        <v>0</v>
      </c>
      <c r="N156" s="208">
        <v>0</v>
      </c>
      <c r="O156" s="208">
        <v>0</v>
      </c>
      <c r="P156" s="208">
        <v>-2140533</v>
      </c>
      <c r="Q156" s="208">
        <v>-35322</v>
      </c>
      <c r="R156" s="208">
        <v>-2175855</v>
      </c>
      <c r="S156" s="208">
        <v>1028749</v>
      </c>
      <c r="T156" s="208">
        <v>0</v>
      </c>
      <c r="U156" s="208">
        <v>1028749</v>
      </c>
      <c r="V156" s="208">
        <v>1511288</v>
      </c>
      <c r="W156" s="208">
        <v>79816</v>
      </c>
      <c r="X156" s="208">
        <v>1591104</v>
      </c>
      <c r="Y156" s="208">
        <v>-1179503</v>
      </c>
      <c r="Z156" s="208">
        <v>242</v>
      </c>
      <c r="AA156" s="208">
        <v>-1179261</v>
      </c>
      <c r="AB156" s="208">
        <v>-7431307</v>
      </c>
      <c r="AC156" s="208">
        <v>-149746</v>
      </c>
      <c r="AD156" s="208">
        <v>-7581053</v>
      </c>
      <c r="AE156" s="208">
        <v>99346458</v>
      </c>
      <c r="AF156" s="208">
        <v>1953182</v>
      </c>
      <c r="AG156" s="208">
        <v>101299640</v>
      </c>
      <c r="AH156" s="208">
        <v>1953182</v>
      </c>
      <c r="AI156" s="208">
        <v>1953182</v>
      </c>
      <c r="AJ156" s="208">
        <v>0</v>
      </c>
      <c r="AK156" s="208">
        <v>0</v>
      </c>
      <c r="AL156" s="208">
        <v>0</v>
      </c>
      <c r="AM156" s="208">
        <v>0</v>
      </c>
      <c r="AN156" s="208">
        <v>0</v>
      </c>
      <c r="AO156" s="208">
        <v>0</v>
      </c>
      <c r="AP156" s="208">
        <v>114085</v>
      </c>
      <c r="AQ156" s="208">
        <v>114085</v>
      </c>
      <c r="AR156" s="208">
        <v>2404197</v>
      </c>
      <c r="AS156" s="208">
        <v>2404197</v>
      </c>
      <c r="AT156" s="208">
        <v>0</v>
      </c>
      <c r="AU156" s="208">
        <v>0</v>
      </c>
      <c r="AV156" s="208">
        <v>0</v>
      </c>
      <c r="AW156" s="208">
        <v>0</v>
      </c>
      <c r="AX156" s="208">
        <v>0</v>
      </c>
      <c r="AY156" s="208">
        <v>9580</v>
      </c>
      <c r="AZ156" s="208">
        <v>9580</v>
      </c>
      <c r="BA156" s="208">
        <v>0</v>
      </c>
      <c r="BB156" s="208">
        <v>0</v>
      </c>
      <c r="BC156" s="208">
        <v>0</v>
      </c>
      <c r="BD156" s="208">
        <v>0</v>
      </c>
      <c r="BE156" s="208">
        <v>0</v>
      </c>
      <c r="BF156" s="208">
        <v>0</v>
      </c>
      <c r="BG156" s="208">
        <v>0</v>
      </c>
      <c r="BH156" s="208">
        <v>0</v>
      </c>
      <c r="BI156" s="208">
        <v>0</v>
      </c>
      <c r="BJ156" s="208">
        <v>9580</v>
      </c>
      <c r="BK156" s="208">
        <v>9580</v>
      </c>
      <c r="BL156" s="208">
        <v>9672118</v>
      </c>
      <c r="BM156" s="208">
        <v>-2344727</v>
      </c>
      <c r="BN156" s="187" t="s">
        <v>839</v>
      </c>
      <c r="BO156" s="187" t="s">
        <v>742</v>
      </c>
      <c r="BP156" s="187" t="s">
        <v>813</v>
      </c>
      <c r="BQ156" s="187" t="s">
        <v>742</v>
      </c>
    </row>
    <row r="157" spans="1:69" x14ac:dyDescent="0.2">
      <c r="A157" s="187" t="s">
        <v>1811</v>
      </c>
      <c r="B157" s="429" t="s">
        <v>391</v>
      </c>
      <c r="C157" s="429" t="s">
        <v>390</v>
      </c>
      <c r="D157" s="208">
        <v>22859194</v>
      </c>
      <c r="E157" s="208">
        <v>2417729</v>
      </c>
      <c r="F157" s="208">
        <v>25276923</v>
      </c>
      <c r="G157" s="208">
        <v>0</v>
      </c>
      <c r="H157" s="208">
        <v>0</v>
      </c>
      <c r="I157" s="208">
        <v>0</v>
      </c>
      <c r="J157" s="208">
        <v>-109500</v>
      </c>
      <c r="K157" s="208">
        <v>-4476</v>
      </c>
      <c r="L157" s="208">
        <v>-113976</v>
      </c>
      <c r="M157" s="208">
        <v>0</v>
      </c>
      <c r="N157" s="208">
        <v>0</v>
      </c>
      <c r="O157" s="208">
        <v>0</v>
      </c>
      <c r="P157" s="208">
        <v>-187327</v>
      </c>
      <c r="Q157" s="208">
        <v>0</v>
      </c>
      <c r="R157" s="208">
        <v>-187327</v>
      </c>
      <c r="S157" s="208">
        <v>0</v>
      </c>
      <c r="T157" s="208">
        <v>0</v>
      </c>
      <c r="U157" s="208">
        <v>0</v>
      </c>
      <c r="V157" s="208">
        <v>0</v>
      </c>
      <c r="W157" s="208">
        <v>0</v>
      </c>
      <c r="X157" s="208">
        <v>0</v>
      </c>
      <c r="Y157" s="208">
        <v>36318</v>
      </c>
      <c r="Z157" s="208">
        <v>325466</v>
      </c>
      <c r="AA157" s="208">
        <v>361784</v>
      </c>
      <c r="AB157" s="208">
        <v>-27496</v>
      </c>
      <c r="AC157" s="208">
        <v>-5574</v>
      </c>
      <c r="AD157" s="208">
        <v>-33070</v>
      </c>
      <c r="AE157" s="208">
        <v>22680689</v>
      </c>
      <c r="AF157" s="208">
        <v>2737621</v>
      </c>
      <c r="AG157" s="208">
        <v>25418310</v>
      </c>
      <c r="AH157" s="208">
        <v>2737621</v>
      </c>
      <c r="AI157" s="208">
        <v>2737621</v>
      </c>
      <c r="AJ157" s="208">
        <v>0</v>
      </c>
      <c r="AK157" s="208">
        <v>0</v>
      </c>
      <c r="AL157" s="208">
        <v>0</v>
      </c>
      <c r="AM157" s="208">
        <v>0</v>
      </c>
      <c r="AN157" s="208">
        <v>0</v>
      </c>
      <c r="AO157" s="208">
        <v>0</v>
      </c>
      <c r="AP157" s="208">
        <v>-28042</v>
      </c>
      <c r="AQ157" s="208">
        <v>-28042</v>
      </c>
      <c r="AR157" s="208">
        <v>2059417</v>
      </c>
      <c r="AS157" s="208">
        <v>2059417</v>
      </c>
      <c r="AT157" s="208">
        <v>342254</v>
      </c>
      <c r="AU157" s="208">
        <v>0</v>
      </c>
      <c r="AV157" s="208">
        <v>0</v>
      </c>
      <c r="AW157" s="208">
        <v>0</v>
      </c>
      <c r="AX157" s="208">
        <v>0</v>
      </c>
      <c r="AY157" s="208">
        <v>361144</v>
      </c>
      <c r="AZ157" s="208">
        <v>361144</v>
      </c>
      <c r="BA157" s="208">
        <v>0</v>
      </c>
      <c r="BB157" s="208">
        <v>0</v>
      </c>
      <c r="BC157" s="208">
        <v>0</v>
      </c>
      <c r="BD157" s="208">
        <v>0</v>
      </c>
      <c r="BE157" s="208">
        <v>0</v>
      </c>
      <c r="BF157" s="208">
        <v>0</v>
      </c>
      <c r="BG157" s="208">
        <v>0</v>
      </c>
      <c r="BH157" s="208">
        <v>0</v>
      </c>
      <c r="BI157" s="208">
        <v>0</v>
      </c>
      <c r="BJ157" s="208">
        <v>361144</v>
      </c>
      <c r="BK157" s="208">
        <v>361144</v>
      </c>
      <c r="BL157" s="208">
        <v>1085285</v>
      </c>
      <c r="BM157" s="208">
        <v>-1124058</v>
      </c>
      <c r="BN157" s="187" t="s">
        <v>390</v>
      </c>
      <c r="BO157" s="187" t="s">
        <v>777</v>
      </c>
      <c r="BP157" s="187" t="s">
        <v>776</v>
      </c>
      <c r="BQ157" s="187" t="s">
        <v>1054</v>
      </c>
    </row>
    <row r="158" spans="1:69" x14ac:dyDescent="0.2">
      <c r="B158" s="429" t="s">
        <v>393</v>
      </c>
      <c r="C158" s="429" t="s">
        <v>392</v>
      </c>
      <c r="D158" s="208">
        <v>61593707</v>
      </c>
      <c r="E158" s="208">
        <v>0</v>
      </c>
      <c r="F158" s="208">
        <v>61593707</v>
      </c>
      <c r="G158" s="208">
        <v>0</v>
      </c>
      <c r="H158" s="208">
        <v>0</v>
      </c>
      <c r="I158" s="208">
        <v>0</v>
      </c>
      <c r="J158" s="208">
        <v>-757861</v>
      </c>
      <c r="K158" s="208">
        <v>0</v>
      </c>
      <c r="L158" s="208">
        <v>-757861</v>
      </c>
      <c r="M158" s="208">
        <v>0</v>
      </c>
      <c r="N158" s="208">
        <v>0</v>
      </c>
      <c r="O158" s="208">
        <v>0</v>
      </c>
      <c r="P158" s="208">
        <v>-542665</v>
      </c>
      <c r="Q158" s="208">
        <v>0</v>
      </c>
      <c r="R158" s="208">
        <v>-542665</v>
      </c>
      <c r="S158" s="208">
        <v>122898</v>
      </c>
      <c r="T158" s="208">
        <v>0</v>
      </c>
      <c r="U158" s="208">
        <v>122898</v>
      </c>
      <c r="V158" s="208">
        <v>42121</v>
      </c>
      <c r="W158" s="208">
        <v>0</v>
      </c>
      <c r="X158" s="208">
        <v>42121</v>
      </c>
      <c r="Y158" s="208">
        <v>-116502</v>
      </c>
      <c r="Z158" s="208">
        <v>0</v>
      </c>
      <c r="AA158" s="208">
        <v>-116502</v>
      </c>
      <c r="AB158" s="208">
        <v>460169</v>
      </c>
      <c r="AC158" s="208">
        <v>0</v>
      </c>
      <c r="AD158" s="208">
        <v>460169</v>
      </c>
      <c r="AE158" s="208">
        <v>61559728</v>
      </c>
      <c r="AF158" s="208">
        <v>0</v>
      </c>
      <c r="AG158" s="208">
        <v>61559728</v>
      </c>
      <c r="AH158" s="208">
        <v>0</v>
      </c>
      <c r="AI158" s="208">
        <v>0</v>
      </c>
      <c r="AJ158" s="208">
        <v>0</v>
      </c>
      <c r="AK158" s="208">
        <v>0</v>
      </c>
      <c r="AL158" s="208">
        <v>0</v>
      </c>
      <c r="AM158" s="208">
        <v>0</v>
      </c>
      <c r="AN158" s="208">
        <v>0</v>
      </c>
      <c r="AO158" s="208">
        <v>0</v>
      </c>
      <c r="AP158" s="208">
        <v>0</v>
      </c>
      <c r="AQ158" s="208">
        <v>0</v>
      </c>
      <c r="AR158" s="208">
        <v>0</v>
      </c>
      <c r="AS158" s="208">
        <v>0</v>
      </c>
      <c r="AT158" s="208">
        <v>0</v>
      </c>
      <c r="AU158" s="208">
        <v>0</v>
      </c>
      <c r="AV158" s="208">
        <v>0</v>
      </c>
      <c r="AW158" s="208">
        <v>0</v>
      </c>
      <c r="AX158" s="208">
        <v>0</v>
      </c>
      <c r="AY158" s="208">
        <v>0</v>
      </c>
      <c r="AZ158" s="208">
        <v>0</v>
      </c>
      <c r="BA158" s="208">
        <v>0</v>
      </c>
      <c r="BB158" s="208">
        <v>0</v>
      </c>
      <c r="BC158" s="208">
        <v>0</v>
      </c>
      <c r="BD158" s="208">
        <v>0</v>
      </c>
      <c r="BE158" s="208">
        <v>0</v>
      </c>
      <c r="BF158" s="208">
        <v>0</v>
      </c>
      <c r="BG158" s="208">
        <v>0</v>
      </c>
      <c r="BH158" s="208">
        <v>0</v>
      </c>
      <c r="BI158" s="208">
        <v>0</v>
      </c>
      <c r="BJ158" s="208">
        <v>0</v>
      </c>
      <c r="BK158" s="208">
        <v>0</v>
      </c>
      <c r="BL158" s="208">
        <v>3278594</v>
      </c>
      <c r="BM158" s="208">
        <v>-9952221</v>
      </c>
      <c r="BN158" s="187" t="s">
        <v>392</v>
      </c>
      <c r="BO158" s="187" t="s">
        <v>767</v>
      </c>
      <c r="BP158" s="187" t="s">
        <v>743</v>
      </c>
      <c r="BQ158" s="187" t="s">
        <v>1057</v>
      </c>
    </row>
    <row r="159" spans="1:69" x14ac:dyDescent="0.2">
      <c r="B159" s="429" t="s">
        <v>395</v>
      </c>
      <c r="C159" s="429" t="s">
        <v>394</v>
      </c>
      <c r="D159" s="208">
        <v>36298620</v>
      </c>
      <c r="E159" s="208">
        <v>0</v>
      </c>
      <c r="F159" s="208">
        <v>36298620</v>
      </c>
      <c r="G159" s="208">
        <v>0</v>
      </c>
      <c r="H159" s="208">
        <v>0</v>
      </c>
      <c r="I159" s="208">
        <v>0</v>
      </c>
      <c r="J159" s="208">
        <v>-82810</v>
      </c>
      <c r="K159" s="208">
        <v>0</v>
      </c>
      <c r="L159" s="208">
        <v>-82810</v>
      </c>
      <c r="M159" s="208">
        <v>0</v>
      </c>
      <c r="N159" s="208">
        <v>0</v>
      </c>
      <c r="O159" s="208">
        <v>0</v>
      </c>
      <c r="P159" s="208">
        <v>-210990</v>
      </c>
      <c r="Q159" s="208">
        <v>0</v>
      </c>
      <c r="R159" s="208">
        <v>-210990</v>
      </c>
      <c r="S159" s="208">
        <v>208018</v>
      </c>
      <c r="T159" s="208">
        <v>0</v>
      </c>
      <c r="U159" s="208">
        <v>208018</v>
      </c>
      <c r="V159" s="208">
        <v>66587</v>
      </c>
      <c r="W159" s="208">
        <v>0</v>
      </c>
      <c r="X159" s="208">
        <v>66587</v>
      </c>
      <c r="Y159" s="208">
        <v>991395</v>
      </c>
      <c r="Z159" s="208">
        <v>0</v>
      </c>
      <c r="AA159" s="208">
        <v>991395</v>
      </c>
      <c r="AB159" s="208">
        <v>-466000</v>
      </c>
      <c r="AC159" s="208">
        <v>0</v>
      </c>
      <c r="AD159" s="208">
        <v>-466000</v>
      </c>
      <c r="AE159" s="208">
        <v>36887630</v>
      </c>
      <c r="AF159" s="208">
        <v>0</v>
      </c>
      <c r="AG159" s="208">
        <v>36887630</v>
      </c>
      <c r="AH159" s="208">
        <v>0</v>
      </c>
      <c r="AI159" s="208">
        <v>0</v>
      </c>
      <c r="AJ159" s="208">
        <v>0</v>
      </c>
      <c r="AK159" s="208">
        <v>0</v>
      </c>
      <c r="AL159" s="208">
        <v>0</v>
      </c>
      <c r="AM159" s="208">
        <v>0</v>
      </c>
      <c r="AN159" s="208">
        <v>0</v>
      </c>
      <c r="AO159" s="208">
        <v>0</v>
      </c>
      <c r="AP159" s="208">
        <v>0</v>
      </c>
      <c r="AQ159" s="208">
        <v>0</v>
      </c>
      <c r="AR159" s="208">
        <v>0</v>
      </c>
      <c r="AS159" s="208">
        <v>0</v>
      </c>
      <c r="AT159" s="208">
        <v>0</v>
      </c>
      <c r="AU159" s="208">
        <v>0</v>
      </c>
      <c r="AV159" s="208">
        <v>0</v>
      </c>
      <c r="AW159" s="208">
        <v>0</v>
      </c>
      <c r="AX159" s="208">
        <v>0</v>
      </c>
      <c r="AY159" s="208">
        <v>0</v>
      </c>
      <c r="AZ159" s="208">
        <v>0</v>
      </c>
      <c r="BA159" s="208">
        <v>0</v>
      </c>
      <c r="BB159" s="208">
        <v>0</v>
      </c>
      <c r="BC159" s="208">
        <v>0</v>
      </c>
      <c r="BD159" s="208">
        <v>0</v>
      </c>
      <c r="BE159" s="208">
        <v>0</v>
      </c>
      <c r="BF159" s="208">
        <v>0</v>
      </c>
      <c r="BG159" s="208">
        <v>0</v>
      </c>
      <c r="BH159" s="208">
        <v>0</v>
      </c>
      <c r="BI159" s="208">
        <v>0</v>
      </c>
      <c r="BJ159" s="208">
        <v>0</v>
      </c>
      <c r="BK159" s="208">
        <v>0</v>
      </c>
      <c r="BL159" s="208">
        <v>812171</v>
      </c>
      <c r="BM159" s="208">
        <v>-747024</v>
      </c>
      <c r="BN159" s="187" t="s">
        <v>394</v>
      </c>
      <c r="BO159" s="187" t="s">
        <v>794</v>
      </c>
      <c r="BP159" s="187" t="s">
        <v>793</v>
      </c>
      <c r="BQ159" s="187" t="s">
        <v>1054</v>
      </c>
    </row>
    <row r="160" spans="1:69" x14ac:dyDescent="0.2">
      <c r="B160" s="429" t="s">
        <v>397</v>
      </c>
      <c r="C160" s="429" t="s">
        <v>396</v>
      </c>
      <c r="D160" s="208">
        <v>43462344</v>
      </c>
      <c r="E160" s="208">
        <v>0</v>
      </c>
      <c r="F160" s="208">
        <v>43462344</v>
      </c>
      <c r="G160" s="208">
        <v>0</v>
      </c>
      <c r="H160" s="208">
        <v>0</v>
      </c>
      <c r="I160" s="208">
        <v>0</v>
      </c>
      <c r="J160" s="208">
        <v>-84323</v>
      </c>
      <c r="K160" s="208">
        <v>0</v>
      </c>
      <c r="L160" s="208">
        <v>-84323</v>
      </c>
      <c r="M160" s="208">
        <v>0</v>
      </c>
      <c r="N160" s="208">
        <v>0</v>
      </c>
      <c r="O160" s="208">
        <v>0</v>
      </c>
      <c r="P160" s="208">
        <v>-141726</v>
      </c>
      <c r="Q160" s="208">
        <v>0</v>
      </c>
      <c r="R160" s="208">
        <v>-141726</v>
      </c>
      <c r="S160" s="208">
        <v>209354</v>
      </c>
      <c r="T160" s="208">
        <v>0</v>
      </c>
      <c r="U160" s="208">
        <v>209354</v>
      </c>
      <c r="V160" s="208">
        <v>0</v>
      </c>
      <c r="W160" s="208">
        <v>0</v>
      </c>
      <c r="X160" s="208">
        <v>0</v>
      </c>
      <c r="Y160" s="208">
        <v>1944204</v>
      </c>
      <c r="Z160" s="208">
        <v>0</v>
      </c>
      <c r="AA160" s="208">
        <v>1944204</v>
      </c>
      <c r="AB160" s="208">
        <v>11013</v>
      </c>
      <c r="AC160" s="208">
        <v>0</v>
      </c>
      <c r="AD160" s="208">
        <v>11013</v>
      </c>
      <c r="AE160" s="208">
        <v>45485189</v>
      </c>
      <c r="AF160" s="208">
        <v>0</v>
      </c>
      <c r="AG160" s="208">
        <v>45485189</v>
      </c>
      <c r="AH160" s="208">
        <v>0</v>
      </c>
      <c r="AI160" s="208">
        <v>0</v>
      </c>
      <c r="AJ160" s="208">
        <v>0</v>
      </c>
      <c r="AK160" s="208">
        <v>0</v>
      </c>
      <c r="AL160" s="208">
        <v>0</v>
      </c>
      <c r="AM160" s="208">
        <v>0</v>
      </c>
      <c r="AN160" s="208">
        <v>0</v>
      </c>
      <c r="AO160" s="208">
        <v>0</v>
      </c>
      <c r="AP160" s="208">
        <v>0</v>
      </c>
      <c r="AQ160" s="208">
        <v>0</v>
      </c>
      <c r="AR160" s="208">
        <v>0</v>
      </c>
      <c r="AS160" s="208">
        <v>0</v>
      </c>
      <c r="AT160" s="208">
        <v>0</v>
      </c>
      <c r="AU160" s="208">
        <v>0</v>
      </c>
      <c r="AV160" s="208">
        <v>0</v>
      </c>
      <c r="AW160" s="208">
        <v>0</v>
      </c>
      <c r="AX160" s="208">
        <v>0</v>
      </c>
      <c r="AY160" s="208">
        <v>0</v>
      </c>
      <c r="AZ160" s="208">
        <v>0</v>
      </c>
      <c r="BA160" s="208">
        <v>0</v>
      </c>
      <c r="BB160" s="208">
        <v>0</v>
      </c>
      <c r="BC160" s="208">
        <v>0</v>
      </c>
      <c r="BD160" s="208">
        <v>0</v>
      </c>
      <c r="BE160" s="208">
        <v>0</v>
      </c>
      <c r="BF160" s="208">
        <v>0</v>
      </c>
      <c r="BG160" s="208">
        <v>0</v>
      </c>
      <c r="BH160" s="208">
        <v>0</v>
      </c>
      <c r="BI160" s="208">
        <v>0</v>
      </c>
      <c r="BJ160" s="208">
        <v>0</v>
      </c>
      <c r="BK160" s="208">
        <v>0</v>
      </c>
      <c r="BL160" s="208">
        <v>1095824</v>
      </c>
      <c r="BM160" s="208">
        <v>-1295741</v>
      </c>
      <c r="BN160" s="187" t="s">
        <v>396</v>
      </c>
      <c r="BO160" s="187" t="s">
        <v>771</v>
      </c>
      <c r="BP160" s="187" t="s">
        <v>751</v>
      </c>
      <c r="BQ160" s="187" t="s">
        <v>1054</v>
      </c>
    </row>
    <row r="161" spans="2:69" x14ac:dyDescent="0.2">
      <c r="B161" s="429" t="s">
        <v>399</v>
      </c>
      <c r="C161" s="429" t="s">
        <v>398</v>
      </c>
      <c r="D161" s="208">
        <v>186170889</v>
      </c>
      <c r="E161" s="208">
        <v>26355257</v>
      </c>
      <c r="F161" s="208">
        <v>212526146</v>
      </c>
      <c r="G161" s="208">
        <v>-1277</v>
      </c>
      <c r="H161" s="208">
        <v>0</v>
      </c>
      <c r="I161" s="208">
        <v>-1277</v>
      </c>
      <c r="J161" s="208">
        <v>-19028390</v>
      </c>
      <c r="K161" s="208">
        <v>-2244231</v>
      </c>
      <c r="L161" s="208">
        <v>-21272621</v>
      </c>
      <c r="M161" s="208">
        <v>0</v>
      </c>
      <c r="N161" s="208">
        <v>0</v>
      </c>
      <c r="O161" s="208">
        <v>0</v>
      </c>
      <c r="P161" s="208">
        <v>-6096781</v>
      </c>
      <c r="Q161" s="208">
        <v>0</v>
      </c>
      <c r="R161" s="208">
        <v>-6096781</v>
      </c>
      <c r="S161" s="208">
        <v>3637384</v>
      </c>
      <c r="T161" s="208">
        <v>0</v>
      </c>
      <c r="U161" s="208">
        <v>3637384</v>
      </c>
      <c r="V161" s="208">
        <v>0</v>
      </c>
      <c r="W161" s="208">
        <v>0</v>
      </c>
      <c r="X161" s="208">
        <v>0</v>
      </c>
      <c r="Y161" s="208">
        <v>-4156802</v>
      </c>
      <c r="Z161" s="208">
        <v>0</v>
      </c>
      <c r="AA161" s="208">
        <v>-4156802</v>
      </c>
      <c r="AB161" s="208">
        <v>-10333843</v>
      </c>
      <c r="AC161" s="208">
        <v>0</v>
      </c>
      <c r="AD161" s="208">
        <v>-10333843</v>
      </c>
      <c r="AE161" s="208">
        <v>169219570</v>
      </c>
      <c r="AF161" s="208">
        <v>26355257</v>
      </c>
      <c r="AG161" s="208">
        <v>195574827</v>
      </c>
      <c r="AH161" s="208">
        <v>26355257</v>
      </c>
      <c r="AI161" s="208">
        <v>26355257</v>
      </c>
      <c r="AJ161" s="208">
        <v>0</v>
      </c>
      <c r="AK161" s="208">
        <v>0</v>
      </c>
      <c r="AL161" s="208">
        <v>0</v>
      </c>
      <c r="AM161" s="208">
        <v>0</v>
      </c>
      <c r="AN161" s="208">
        <v>0</v>
      </c>
      <c r="AO161" s="208">
        <v>0</v>
      </c>
      <c r="AP161" s="208">
        <v>-926382</v>
      </c>
      <c r="AQ161" s="208">
        <v>-926382</v>
      </c>
      <c r="AR161" s="208">
        <v>33846379</v>
      </c>
      <c r="AS161" s="208">
        <v>33846379</v>
      </c>
      <c r="AT161" s="208">
        <v>0</v>
      </c>
      <c r="AU161" s="208">
        <v>0</v>
      </c>
      <c r="AV161" s="208">
        <v>331779</v>
      </c>
      <c r="AW161" s="208">
        <v>331779</v>
      </c>
      <c r="AX161" s="208">
        <v>0</v>
      </c>
      <c r="AY161" s="208">
        <v>0</v>
      </c>
      <c r="AZ161" s="208">
        <v>0</v>
      </c>
      <c r="BA161" s="208">
        <v>0</v>
      </c>
      <c r="BB161" s="208">
        <v>0</v>
      </c>
      <c r="BC161" s="208">
        <v>0</v>
      </c>
      <c r="BD161" s="208">
        <v>0</v>
      </c>
      <c r="BE161" s="208">
        <v>0</v>
      </c>
      <c r="BF161" s="208">
        <v>0</v>
      </c>
      <c r="BG161" s="208">
        <v>0</v>
      </c>
      <c r="BH161" s="208">
        <v>0</v>
      </c>
      <c r="BI161" s="208">
        <v>0</v>
      </c>
      <c r="BJ161" s="208">
        <v>0</v>
      </c>
      <c r="BK161" s="208">
        <v>0</v>
      </c>
      <c r="BL161" s="208">
        <v>33592954</v>
      </c>
      <c r="BM161" s="208">
        <v>-2423986</v>
      </c>
      <c r="BN161" s="187" t="s">
        <v>398</v>
      </c>
      <c r="BO161" s="187" t="s">
        <v>754</v>
      </c>
      <c r="BP161" s="187" t="s">
        <v>758</v>
      </c>
      <c r="BQ161" s="187" t="s">
        <v>1056</v>
      </c>
    </row>
    <row r="162" spans="2:69" x14ac:dyDescent="0.2">
      <c r="B162" s="429" t="s">
        <v>401</v>
      </c>
      <c r="C162" s="429" t="s">
        <v>400</v>
      </c>
      <c r="D162" s="208">
        <v>62357588</v>
      </c>
      <c r="E162" s="208">
        <v>3993408</v>
      </c>
      <c r="F162" s="208">
        <v>66350996</v>
      </c>
      <c r="G162" s="208">
        <v>0</v>
      </c>
      <c r="H162" s="208">
        <v>0</v>
      </c>
      <c r="I162" s="208">
        <v>0</v>
      </c>
      <c r="J162" s="208">
        <v>-227887</v>
      </c>
      <c r="K162" s="208">
        <v>0</v>
      </c>
      <c r="L162" s="208">
        <v>-227887</v>
      </c>
      <c r="M162" s="208">
        <v>0</v>
      </c>
      <c r="N162" s="208">
        <v>0</v>
      </c>
      <c r="O162" s="208">
        <v>0</v>
      </c>
      <c r="P162" s="208">
        <v>-2328557</v>
      </c>
      <c r="Q162" s="208">
        <v>0</v>
      </c>
      <c r="R162" s="208">
        <v>-2328557</v>
      </c>
      <c r="S162" s="208">
        <v>2380644</v>
      </c>
      <c r="T162" s="208">
        <v>0</v>
      </c>
      <c r="U162" s="208">
        <v>2380644</v>
      </c>
      <c r="V162" s="208">
        <v>174875</v>
      </c>
      <c r="W162" s="208">
        <v>0</v>
      </c>
      <c r="X162" s="208">
        <v>174875</v>
      </c>
      <c r="Y162" s="208">
        <v>-152318</v>
      </c>
      <c r="Z162" s="208">
        <v>0</v>
      </c>
      <c r="AA162" s="208">
        <v>-152318</v>
      </c>
      <c r="AB162" s="208">
        <v>-3691099</v>
      </c>
      <c r="AC162" s="208">
        <v>0</v>
      </c>
      <c r="AD162" s="208">
        <v>-3691099</v>
      </c>
      <c r="AE162" s="208">
        <v>58741133</v>
      </c>
      <c r="AF162" s="208">
        <v>3993408</v>
      </c>
      <c r="AG162" s="208">
        <v>62734541</v>
      </c>
      <c r="AH162" s="208">
        <v>3993408</v>
      </c>
      <c r="AI162" s="208">
        <v>3993408</v>
      </c>
      <c r="AJ162" s="208">
        <v>0</v>
      </c>
      <c r="AK162" s="208">
        <v>0</v>
      </c>
      <c r="AL162" s="208">
        <v>0</v>
      </c>
      <c r="AM162" s="208">
        <v>0</v>
      </c>
      <c r="AN162" s="208">
        <v>0</v>
      </c>
      <c r="AO162" s="208">
        <v>0</v>
      </c>
      <c r="AP162" s="208">
        <v>-39518</v>
      </c>
      <c r="AQ162" s="208">
        <v>-39518</v>
      </c>
      <c r="AR162" s="208">
        <v>4661966</v>
      </c>
      <c r="AS162" s="208">
        <v>4661966</v>
      </c>
      <c r="AT162" s="208">
        <v>0</v>
      </c>
      <c r="AU162" s="208">
        <v>0</v>
      </c>
      <c r="AV162" s="208">
        <v>0</v>
      </c>
      <c r="AW162" s="208">
        <v>0</v>
      </c>
      <c r="AX162" s="208">
        <v>0</v>
      </c>
      <c r="AY162" s="208">
        <v>0</v>
      </c>
      <c r="AZ162" s="208">
        <v>0</v>
      </c>
      <c r="BA162" s="208">
        <v>0</v>
      </c>
      <c r="BB162" s="208">
        <v>0</v>
      </c>
      <c r="BC162" s="208">
        <v>0</v>
      </c>
      <c r="BD162" s="208">
        <v>0</v>
      </c>
      <c r="BE162" s="208">
        <v>0</v>
      </c>
      <c r="BF162" s="208">
        <v>0</v>
      </c>
      <c r="BG162" s="208">
        <v>0</v>
      </c>
      <c r="BH162" s="208">
        <v>0</v>
      </c>
      <c r="BI162" s="208">
        <v>0</v>
      </c>
      <c r="BJ162" s="208">
        <v>0</v>
      </c>
      <c r="BK162" s="208">
        <v>0</v>
      </c>
      <c r="BL162" s="208">
        <v>13153471</v>
      </c>
      <c r="BM162" s="208">
        <v>-3940960.98</v>
      </c>
      <c r="BN162" s="187" t="s">
        <v>838</v>
      </c>
      <c r="BO162" s="187" t="s">
        <v>742</v>
      </c>
      <c r="BP162" s="187" t="s">
        <v>837</v>
      </c>
      <c r="BQ162" s="187" t="s">
        <v>742</v>
      </c>
    </row>
    <row r="163" spans="2:69" x14ac:dyDescent="0.2">
      <c r="B163" s="429" t="s">
        <v>403</v>
      </c>
      <c r="C163" s="429" t="s">
        <v>402</v>
      </c>
      <c r="D163" s="208">
        <v>60019073</v>
      </c>
      <c r="E163" s="208">
        <v>0</v>
      </c>
      <c r="F163" s="208">
        <v>60019073</v>
      </c>
      <c r="G163" s="208">
        <v>0</v>
      </c>
      <c r="H163" s="208">
        <v>0</v>
      </c>
      <c r="I163" s="208">
        <v>0</v>
      </c>
      <c r="J163" s="208">
        <v>-427029</v>
      </c>
      <c r="K163" s="208">
        <v>0</v>
      </c>
      <c r="L163" s="208">
        <v>-427029</v>
      </c>
      <c r="M163" s="208">
        <v>0</v>
      </c>
      <c r="N163" s="208">
        <v>0</v>
      </c>
      <c r="O163" s="208">
        <v>0</v>
      </c>
      <c r="P163" s="208">
        <v>-1135024</v>
      </c>
      <c r="Q163" s="208">
        <v>0</v>
      </c>
      <c r="R163" s="208">
        <v>-1135024</v>
      </c>
      <c r="S163" s="208">
        <v>448358</v>
      </c>
      <c r="T163" s="208">
        <v>0</v>
      </c>
      <c r="U163" s="208">
        <v>448358</v>
      </c>
      <c r="V163" s="208">
        <v>70654</v>
      </c>
      <c r="W163" s="208">
        <v>0</v>
      </c>
      <c r="X163" s="208">
        <v>70654</v>
      </c>
      <c r="Y163" s="208">
        <v>201243</v>
      </c>
      <c r="Z163" s="208">
        <v>0</v>
      </c>
      <c r="AA163" s="208">
        <v>201243</v>
      </c>
      <c r="AB163" s="208">
        <v>330036</v>
      </c>
      <c r="AC163" s="208">
        <v>0</v>
      </c>
      <c r="AD163" s="208">
        <v>330036</v>
      </c>
      <c r="AE163" s="208">
        <v>59934340</v>
      </c>
      <c r="AF163" s="208">
        <v>0</v>
      </c>
      <c r="AG163" s="208">
        <v>59934340</v>
      </c>
      <c r="AH163" s="208">
        <v>0</v>
      </c>
      <c r="AI163" s="208">
        <v>0</v>
      </c>
      <c r="AJ163" s="208">
        <v>32817</v>
      </c>
      <c r="AK163" s="208">
        <v>0</v>
      </c>
      <c r="AL163" s="208">
        <v>32817</v>
      </c>
      <c r="AM163" s="208">
        <v>0</v>
      </c>
      <c r="AN163" s="208">
        <v>0</v>
      </c>
      <c r="AO163" s="208">
        <v>0</v>
      </c>
      <c r="AP163" s="208">
        <v>0</v>
      </c>
      <c r="AQ163" s="208">
        <v>0</v>
      </c>
      <c r="AR163" s="208">
        <v>0</v>
      </c>
      <c r="AS163" s="208">
        <v>0</v>
      </c>
      <c r="AT163" s="208">
        <v>0</v>
      </c>
      <c r="AU163" s="208">
        <v>0</v>
      </c>
      <c r="AV163" s="208">
        <v>0</v>
      </c>
      <c r="AW163" s="208">
        <v>0</v>
      </c>
      <c r="AX163" s="208">
        <v>0</v>
      </c>
      <c r="AY163" s="208">
        <v>0</v>
      </c>
      <c r="AZ163" s="208">
        <v>0</v>
      </c>
      <c r="BA163" s="208">
        <v>0</v>
      </c>
      <c r="BB163" s="208">
        <v>0</v>
      </c>
      <c r="BC163" s="208">
        <v>0</v>
      </c>
      <c r="BD163" s="208">
        <v>0</v>
      </c>
      <c r="BE163" s="208">
        <v>0</v>
      </c>
      <c r="BF163" s="208">
        <v>0</v>
      </c>
      <c r="BG163" s="208">
        <v>0</v>
      </c>
      <c r="BH163" s="208">
        <v>0</v>
      </c>
      <c r="BI163" s="208">
        <v>0</v>
      </c>
      <c r="BJ163" s="208">
        <v>0</v>
      </c>
      <c r="BK163" s="208">
        <v>0</v>
      </c>
      <c r="BL163" s="208">
        <v>3989046</v>
      </c>
      <c r="BM163" s="208">
        <v>-1018859</v>
      </c>
      <c r="BN163" s="187" t="s">
        <v>402</v>
      </c>
      <c r="BO163" s="187" t="s">
        <v>786</v>
      </c>
      <c r="BP163" s="187" t="s">
        <v>785</v>
      </c>
      <c r="BQ163" s="187" t="s">
        <v>1054</v>
      </c>
    </row>
    <row r="164" spans="2:69" x14ac:dyDescent="0.2">
      <c r="B164" s="429" t="s">
        <v>405</v>
      </c>
      <c r="C164" s="429" t="s">
        <v>404</v>
      </c>
      <c r="D164" s="208">
        <v>14230112</v>
      </c>
      <c r="E164" s="208">
        <v>0</v>
      </c>
      <c r="F164" s="208">
        <v>14230112</v>
      </c>
      <c r="G164" s="208">
        <v>0</v>
      </c>
      <c r="H164" s="208">
        <v>0</v>
      </c>
      <c r="I164" s="208">
        <v>0</v>
      </c>
      <c r="J164" s="208">
        <v>-84056.88</v>
      </c>
      <c r="K164" s="208">
        <v>0</v>
      </c>
      <c r="L164" s="208">
        <v>-84056.88</v>
      </c>
      <c r="M164" s="208">
        <v>0</v>
      </c>
      <c r="N164" s="208">
        <v>0</v>
      </c>
      <c r="O164" s="208">
        <v>0</v>
      </c>
      <c r="P164" s="208">
        <v>-81057</v>
      </c>
      <c r="Q164" s="208">
        <v>0</v>
      </c>
      <c r="R164" s="208">
        <v>-81057</v>
      </c>
      <c r="S164" s="208">
        <v>473283</v>
      </c>
      <c r="T164" s="208">
        <v>0</v>
      </c>
      <c r="U164" s="208">
        <v>473283</v>
      </c>
      <c r="V164" s="208">
        <v>0</v>
      </c>
      <c r="W164" s="208">
        <v>0</v>
      </c>
      <c r="X164" s="208">
        <v>0</v>
      </c>
      <c r="Y164" s="208">
        <v>-1598549</v>
      </c>
      <c r="Z164" s="208">
        <v>0</v>
      </c>
      <c r="AA164" s="208">
        <v>-1598549</v>
      </c>
      <c r="AB164" s="208">
        <v>0</v>
      </c>
      <c r="AC164" s="208">
        <v>0</v>
      </c>
      <c r="AD164" s="208">
        <v>0</v>
      </c>
      <c r="AE164" s="208">
        <v>13023789</v>
      </c>
      <c r="AF164" s="208">
        <v>0</v>
      </c>
      <c r="AG164" s="208">
        <v>13023789</v>
      </c>
      <c r="AH164" s="208">
        <v>0</v>
      </c>
      <c r="AI164" s="208">
        <v>0</v>
      </c>
      <c r="AJ164" s="208">
        <v>719513.41</v>
      </c>
      <c r="AK164" s="208">
        <v>0</v>
      </c>
      <c r="AL164" s="208">
        <v>719513.41</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c r="BE164" s="208">
        <v>0</v>
      </c>
      <c r="BF164" s="208">
        <v>0</v>
      </c>
      <c r="BG164" s="208">
        <v>0</v>
      </c>
      <c r="BH164" s="208">
        <v>0</v>
      </c>
      <c r="BI164" s="208">
        <v>0</v>
      </c>
      <c r="BJ164" s="208">
        <v>0</v>
      </c>
      <c r="BK164" s="208">
        <v>0</v>
      </c>
      <c r="BL164" s="208">
        <v>715237</v>
      </c>
      <c r="BM164" s="208">
        <v>-257619</v>
      </c>
      <c r="BN164" s="187" t="s">
        <v>404</v>
      </c>
      <c r="BO164" s="187" t="s">
        <v>784</v>
      </c>
      <c r="BP164" s="187" t="s">
        <v>783</v>
      </c>
      <c r="BQ164" s="187" t="s">
        <v>1054</v>
      </c>
    </row>
    <row r="165" spans="2:69" x14ac:dyDescent="0.2">
      <c r="B165" s="429" t="s">
        <v>407</v>
      </c>
      <c r="C165" s="429" t="s">
        <v>406</v>
      </c>
      <c r="D165" s="208">
        <v>15275641</v>
      </c>
      <c r="E165" s="208">
        <v>0</v>
      </c>
      <c r="F165" s="208">
        <v>15275641</v>
      </c>
      <c r="G165" s="208">
        <v>0</v>
      </c>
      <c r="H165" s="208">
        <v>0</v>
      </c>
      <c r="I165" s="208">
        <v>0</v>
      </c>
      <c r="J165" s="208">
        <v>-63098</v>
      </c>
      <c r="K165" s="208">
        <v>0</v>
      </c>
      <c r="L165" s="208">
        <v>-63098</v>
      </c>
      <c r="M165" s="208">
        <v>0</v>
      </c>
      <c r="N165" s="208">
        <v>0</v>
      </c>
      <c r="O165" s="208">
        <v>0</v>
      </c>
      <c r="P165" s="208">
        <v>35538</v>
      </c>
      <c r="Q165" s="208">
        <v>0</v>
      </c>
      <c r="R165" s="208">
        <v>35538</v>
      </c>
      <c r="S165" s="208">
        <v>355413</v>
      </c>
      <c r="T165" s="208">
        <v>0</v>
      </c>
      <c r="U165" s="208">
        <v>355413</v>
      </c>
      <c r="V165" s="208">
        <v>10000</v>
      </c>
      <c r="W165" s="208">
        <v>0</v>
      </c>
      <c r="X165" s="208">
        <v>10000</v>
      </c>
      <c r="Y165" s="208">
        <v>-270402</v>
      </c>
      <c r="Z165" s="208">
        <v>0</v>
      </c>
      <c r="AA165" s="208">
        <v>-270402</v>
      </c>
      <c r="AB165" s="208">
        <v>-1002200</v>
      </c>
      <c r="AC165" s="208">
        <v>0</v>
      </c>
      <c r="AD165" s="208">
        <v>-1002200</v>
      </c>
      <c r="AE165" s="208">
        <v>14403990</v>
      </c>
      <c r="AF165" s="208">
        <v>0</v>
      </c>
      <c r="AG165" s="208">
        <v>14403990</v>
      </c>
      <c r="AH165" s="208">
        <v>0</v>
      </c>
      <c r="AI165" s="208">
        <v>0</v>
      </c>
      <c r="AJ165" s="208">
        <v>0</v>
      </c>
      <c r="AK165" s="208">
        <v>0</v>
      </c>
      <c r="AL165" s="208">
        <v>0</v>
      </c>
      <c r="AM165" s="208">
        <v>0</v>
      </c>
      <c r="AN165" s="208">
        <v>0</v>
      </c>
      <c r="AO165" s="208">
        <v>0</v>
      </c>
      <c r="AP165" s="208">
        <v>0</v>
      </c>
      <c r="AQ165" s="208">
        <v>0</v>
      </c>
      <c r="AR165" s="208">
        <v>0</v>
      </c>
      <c r="AS165" s="208">
        <v>0</v>
      </c>
      <c r="AT165" s="208">
        <v>0</v>
      </c>
      <c r="AU165" s="208">
        <v>0</v>
      </c>
      <c r="AV165" s="208">
        <v>0</v>
      </c>
      <c r="AW165" s="208">
        <v>0</v>
      </c>
      <c r="AX165" s="208">
        <v>0</v>
      </c>
      <c r="AY165" s="208">
        <v>0</v>
      </c>
      <c r="AZ165" s="208">
        <v>0</v>
      </c>
      <c r="BA165" s="208">
        <v>0</v>
      </c>
      <c r="BB165" s="208">
        <v>0</v>
      </c>
      <c r="BC165" s="208">
        <v>0</v>
      </c>
      <c r="BD165" s="208">
        <v>0</v>
      </c>
      <c r="BE165" s="208">
        <v>0</v>
      </c>
      <c r="BF165" s="208">
        <v>0</v>
      </c>
      <c r="BG165" s="208">
        <v>0</v>
      </c>
      <c r="BH165" s="208">
        <v>0</v>
      </c>
      <c r="BI165" s="208">
        <v>0</v>
      </c>
      <c r="BJ165" s="208">
        <v>0</v>
      </c>
      <c r="BK165" s="208">
        <v>0</v>
      </c>
      <c r="BL165" s="208">
        <v>351151</v>
      </c>
      <c r="BM165" s="208">
        <v>-167042</v>
      </c>
      <c r="BN165" s="187" t="s">
        <v>406</v>
      </c>
      <c r="BO165" s="187" t="s">
        <v>746</v>
      </c>
      <c r="BP165" s="187" t="s">
        <v>745</v>
      </c>
      <c r="BQ165" s="187" t="s">
        <v>1054</v>
      </c>
    </row>
    <row r="166" spans="2:69" x14ac:dyDescent="0.2">
      <c r="B166" s="429" t="s">
        <v>409</v>
      </c>
      <c r="C166" s="429" t="s">
        <v>408</v>
      </c>
      <c r="D166" s="208">
        <v>337549264</v>
      </c>
      <c r="E166" s="208">
        <v>13282373</v>
      </c>
      <c r="F166" s="208">
        <v>350831637</v>
      </c>
      <c r="G166" s="208">
        <v>0</v>
      </c>
      <c r="H166" s="208">
        <v>0</v>
      </c>
      <c r="I166" s="208">
        <v>0</v>
      </c>
      <c r="J166" s="208">
        <v>-5613408</v>
      </c>
      <c r="K166" s="208">
        <v>-109887</v>
      </c>
      <c r="L166" s="208">
        <v>-5723295</v>
      </c>
      <c r="M166" s="208">
        <v>0</v>
      </c>
      <c r="N166" s="208">
        <v>0</v>
      </c>
      <c r="O166" s="208">
        <v>0</v>
      </c>
      <c r="P166" s="208">
        <v>-6745327</v>
      </c>
      <c r="Q166" s="208">
        <v>-259272</v>
      </c>
      <c r="R166" s="208">
        <v>-7004599</v>
      </c>
      <c r="S166" s="208">
        <v>11005201</v>
      </c>
      <c r="T166" s="208">
        <v>93537</v>
      </c>
      <c r="U166" s="208">
        <v>11098738</v>
      </c>
      <c r="V166" s="208">
        <v>12354586</v>
      </c>
      <c r="W166" s="208">
        <v>228901</v>
      </c>
      <c r="X166" s="208">
        <v>12583487</v>
      </c>
      <c r="Y166" s="208">
        <v>11587577</v>
      </c>
      <c r="Z166" s="208">
        <v>361518</v>
      </c>
      <c r="AA166" s="208">
        <v>11949095</v>
      </c>
      <c r="AB166" s="208">
        <v>-32874916</v>
      </c>
      <c r="AC166" s="208">
        <v>-950298</v>
      </c>
      <c r="AD166" s="208">
        <v>-33825214</v>
      </c>
      <c r="AE166" s="208">
        <v>332876385</v>
      </c>
      <c r="AF166" s="208">
        <v>12756759</v>
      </c>
      <c r="AG166" s="208">
        <v>345633144</v>
      </c>
      <c r="AH166" s="208">
        <v>12756759</v>
      </c>
      <c r="AI166" s="208">
        <v>12756759</v>
      </c>
      <c r="AJ166" s="208">
        <v>0</v>
      </c>
      <c r="AK166" s="208">
        <v>0</v>
      </c>
      <c r="AL166" s="208">
        <v>0</v>
      </c>
      <c r="AM166" s="208">
        <v>0</v>
      </c>
      <c r="AN166" s="208">
        <v>0</v>
      </c>
      <c r="AO166" s="208">
        <v>0</v>
      </c>
      <c r="AP166" s="208">
        <v>-276284</v>
      </c>
      <c r="AQ166" s="208">
        <v>-276284</v>
      </c>
      <c r="AR166" s="208">
        <v>12105563</v>
      </c>
      <c r="AS166" s="208">
        <v>12105563</v>
      </c>
      <c r="AT166" s="208">
        <v>567752</v>
      </c>
      <c r="AU166" s="208">
        <v>0</v>
      </c>
      <c r="AV166" s="208">
        <v>1570454</v>
      </c>
      <c r="AW166" s="208">
        <v>1570454</v>
      </c>
      <c r="AX166" s="208">
        <v>0</v>
      </c>
      <c r="AY166" s="208">
        <v>0</v>
      </c>
      <c r="AZ166" s="208">
        <v>0</v>
      </c>
      <c r="BA166" s="208">
        <v>0</v>
      </c>
      <c r="BB166" s="208">
        <v>0</v>
      </c>
      <c r="BC166" s="208">
        <v>0</v>
      </c>
      <c r="BD166" s="208">
        <v>0</v>
      </c>
      <c r="BE166" s="208">
        <v>0</v>
      </c>
      <c r="BF166" s="208">
        <v>0</v>
      </c>
      <c r="BG166" s="208">
        <v>0</v>
      </c>
      <c r="BH166" s="208">
        <v>0</v>
      </c>
      <c r="BI166" s="208">
        <v>0</v>
      </c>
      <c r="BJ166" s="208">
        <v>0</v>
      </c>
      <c r="BK166" s="208">
        <v>0</v>
      </c>
      <c r="BL166" s="208">
        <v>34222730</v>
      </c>
      <c r="BM166" s="208">
        <v>-15733057</v>
      </c>
      <c r="BN166" s="187" t="s">
        <v>408</v>
      </c>
      <c r="BO166" s="187" t="s">
        <v>754</v>
      </c>
      <c r="BP166" s="187" t="s">
        <v>763</v>
      </c>
      <c r="BQ166" s="187" t="s">
        <v>1056</v>
      </c>
    </row>
    <row r="167" spans="2:69" x14ac:dyDescent="0.2">
      <c r="B167" s="429" t="s">
        <v>411</v>
      </c>
      <c r="C167" s="429" t="s">
        <v>410</v>
      </c>
      <c r="D167" s="208">
        <v>29361794</v>
      </c>
      <c r="E167" s="208">
        <v>0</v>
      </c>
      <c r="F167" s="208">
        <v>29361794</v>
      </c>
      <c r="G167" s="208">
        <v>0</v>
      </c>
      <c r="H167" s="208">
        <v>0</v>
      </c>
      <c r="I167" s="208">
        <v>0</v>
      </c>
      <c r="J167" s="208">
        <v>-217026</v>
      </c>
      <c r="K167" s="208">
        <v>0</v>
      </c>
      <c r="L167" s="208">
        <v>-217026</v>
      </c>
      <c r="M167" s="208">
        <v>0</v>
      </c>
      <c r="N167" s="208">
        <v>0</v>
      </c>
      <c r="O167" s="208">
        <v>0</v>
      </c>
      <c r="P167" s="208">
        <v>-429277</v>
      </c>
      <c r="Q167" s="208">
        <v>0</v>
      </c>
      <c r="R167" s="208">
        <v>-429277</v>
      </c>
      <c r="S167" s="208">
        <v>157304</v>
      </c>
      <c r="T167" s="208">
        <v>0</v>
      </c>
      <c r="U167" s="208">
        <v>157304</v>
      </c>
      <c r="V167" s="208">
        <v>103164</v>
      </c>
      <c r="W167" s="208">
        <v>0</v>
      </c>
      <c r="X167" s="208">
        <v>103164</v>
      </c>
      <c r="Y167" s="208">
        <v>-353806</v>
      </c>
      <c r="Z167" s="208">
        <v>0</v>
      </c>
      <c r="AA167" s="208">
        <v>-353806</v>
      </c>
      <c r="AB167" s="208">
        <v>-3870243</v>
      </c>
      <c r="AC167" s="208">
        <v>0</v>
      </c>
      <c r="AD167" s="208">
        <v>-3870243</v>
      </c>
      <c r="AE167" s="208">
        <v>24968936</v>
      </c>
      <c r="AF167" s="208">
        <v>0</v>
      </c>
      <c r="AG167" s="208">
        <v>24968936</v>
      </c>
      <c r="AH167" s="208">
        <v>0</v>
      </c>
      <c r="AI167" s="208">
        <v>0</v>
      </c>
      <c r="AJ167" s="208">
        <v>78039</v>
      </c>
      <c r="AK167" s="208">
        <v>0</v>
      </c>
      <c r="AL167" s="208">
        <v>78039</v>
      </c>
      <c r="AM167" s="208">
        <v>0</v>
      </c>
      <c r="AN167" s="208">
        <v>0</v>
      </c>
      <c r="AO167" s="208">
        <v>0</v>
      </c>
      <c r="AP167" s="208">
        <v>0</v>
      </c>
      <c r="AQ167" s="208">
        <v>0</v>
      </c>
      <c r="AR167" s="208">
        <v>0</v>
      </c>
      <c r="AS167" s="208">
        <v>0</v>
      </c>
      <c r="AT167" s="208">
        <v>0</v>
      </c>
      <c r="AU167" s="208">
        <v>0</v>
      </c>
      <c r="AV167" s="208">
        <v>0</v>
      </c>
      <c r="AW167" s="208">
        <v>0</v>
      </c>
      <c r="AX167" s="208">
        <v>0</v>
      </c>
      <c r="AY167" s="208">
        <v>0</v>
      </c>
      <c r="AZ167" s="208">
        <v>0</v>
      </c>
      <c r="BA167" s="208">
        <v>0</v>
      </c>
      <c r="BB167" s="208">
        <v>0</v>
      </c>
      <c r="BC167" s="208">
        <v>0</v>
      </c>
      <c r="BD167" s="208">
        <v>0</v>
      </c>
      <c r="BE167" s="208">
        <v>0</v>
      </c>
      <c r="BF167" s="208">
        <v>0</v>
      </c>
      <c r="BG167" s="208">
        <v>0</v>
      </c>
      <c r="BH167" s="208">
        <v>0</v>
      </c>
      <c r="BI167" s="208">
        <v>0</v>
      </c>
      <c r="BJ167" s="208">
        <v>0</v>
      </c>
      <c r="BK167" s="208">
        <v>0</v>
      </c>
      <c r="BL167" s="208">
        <v>750894</v>
      </c>
      <c r="BM167" s="208">
        <v>-266446</v>
      </c>
      <c r="BN167" s="187" t="s">
        <v>410</v>
      </c>
      <c r="BO167" s="187" t="s">
        <v>816</v>
      </c>
      <c r="BP167" s="187" t="s">
        <v>815</v>
      </c>
      <c r="BQ167" s="187" t="s">
        <v>1054</v>
      </c>
    </row>
    <row r="168" spans="2:69" x14ac:dyDescent="0.2">
      <c r="B168" s="429" t="s">
        <v>413</v>
      </c>
      <c r="C168" s="429" t="s">
        <v>412</v>
      </c>
      <c r="D168" s="208">
        <v>89773306</v>
      </c>
      <c r="E168" s="208">
        <v>34358</v>
      </c>
      <c r="F168" s="208">
        <v>89807664</v>
      </c>
      <c r="G168" s="208">
        <v>0</v>
      </c>
      <c r="H168" s="208">
        <v>0</v>
      </c>
      <c r="I168" s="208">
        <v>0</v>
      </c>
      <c r="J168" s="208">
        <v>-2128852</v>
      </c>
      <c r="K168" s="208">
        <v>0</v>
      </c>
      <c r="L168" s="208">
        <v>-2128852</v>
      </c>
      <c r="M168" s="208">
        <v>0</v>
      </c>
      <c r="N168" s="208">
        <v>0</v>
      </c>
      <c r="O168" s="208">
        <v>0</v>
      </c>
      <c r="P168" s="208">
        <v>-609400</v>
      </c>
      <c r="Q168" s="208">
        <v>0</v>
      </c>
      <c r="R168" s="208">
        <v>-609400</v>
      </c>
      <c r="S168" s="208">
        <v>5455143</v>
      </c>
      <c r="T168" s="208">
        <v>0</v>
      </c>
      <c r="U168" s="208">
        <v>5455143</v>
      </c>
      <c r="V168" s="208">
        <v>0</v>
      </c>
      <c r="W168" s="208">
        <v>0</v>
      </c>
      <c r="X168" s="208">
        <v>0</v>
      </c>
      <c r="Y168" s="208">
        <v>-851381</v>
      </c>
      <c r="Z168" s="208">
        <v>0</v>
      </c>
      <c r="AA168" s="208">
        <v>-851381</v>
      </c>
      <c r="AB168" s="208">
        <v>-3396583</v>
      </c>
      <c r="AC168" s="208">
        <v>0</v>
      </c>
      <c r="AD168" s="208">
        <v>-3396583</v>
      </c>
      <c r="AE168" s="208">
        <v>90371085</v>
      </c>
      <c r="AF168" s="208">
        <v>34358</v>
      </c>
      <c r="AG168" s="208">
        <v>90405443</v>
      </c>
      <c r="AH168" s="208">
        <v>34358</v>
      </c>
      <c r="AI168" s="208">
        <v>34358</v>
      </c>
      <c r="AJ168" s="208">
        <v>0</v>
      </c>
      <c r="AK168" s="208">
        <v>0</v>
      </c>
      <c r="AL168" s="208">
        <v>0</v>
      </c>
      <c r="AM168" s="208">
        <v>0</v>
      </c>
      <c r="AN168" s="208">
        <v>0</v>
      </c>
      <c r="AO168" s="208">
        <v>0</v>
      </c>
      <c r="AP168" s="208">
        <v>0</v>
      </c>
      <c r="AQ168" s="208">
        <v>0</v>
      </c>
      <c r="AR168" s="208">
        <v>11217</v>
      </c>
      <c r="AS168" s="208">
        <v>11217</v>
      </c>
      <c r="AT168" s="208">
        <v>23141</v>
      </c>
      <c r="AU168" s="208">
        <v>0</v>
      </c>
      <c r="AV168" s="208">
        <v>0</v>
      </c>
      <c r="AW168" s="208">
        <v>0</v>
      </c>
      <c r="AX168" s="208">
        <v>0</v>
      </c>
      <c r="AY168" s="208">
        <v>0</v>
      </c>
      <c r="AZ168" s="208">
        <v>0</v>
      </c>
      <c r="BA168" s="208">
        <v>0</v>
      </c>
      <c r="BB168" s="208">
        <v>0</v>
      </c>
      <c r="BC168" s="208">
        <v>0</v>
      </c>
      <c r="BD168" s="208">
        <v>0</v>
      </c>
      <c r="BE168" s="208">
        <v>0</v>
      </c>
      <c r="BF168" s="208">
        <v>0</v>
      </c>
      <c r="BG168" s="208">
        <v>0</v>
      </c>
      <c r="BH168" s="208">
        <v>0</v>
      </c>
      <c r="BI168" s="208">
        <v>0</v>
      </c>
      <c r="BJ168" s="208">
        <v>0</v>
      </c>
      <c r="BK168" s="208">
        <v>0</v>
      </c>
      <c r="BL168" s="208">
        <v>6926477</v>
      </c>
      <c r="BM168" s="208">
        <v>-2873065</v>
      </c>
      <c r="BN168" s="187" t="s">
        <v>836</v>
      </c>
      <c r="BO168" s="187" t="s">
        <v>742</v>
      </c>
      <c r="BP168" s="187" t="s">
        <v>785</v>
      </c>
      <c r="BQ168" s="187" t="s">
        <v>742</v>
      </c>
    </row>
    <row r="169" spans="2:69" x14ac:dyDescent="0.2">
      <c r="B169" s="429" t="s">
        <v>415</v>
      </c>
      <c r="C169" s="429" t="s">
        <v>414</v>
      </c>
      <c r="D169" s="208">
        <v>14556721</v>
      </c>
      <c r="E169" s="208">
        <v>0</v>
      </c>
      <c r="F169" s="208">
        <v>14556721</v>
      </c>
      <c r="G169" s="208">
        <v>0</v>
      </c>
      <c r="H169" s="208">
        <v>0</v>
      </c>
      <c r="I169" s="208">
        <v>0</v>
      </c>
      <c r="J169" s="208">
        <v>-182600</v>
      </c>
      <c r="K169" s="208">
        <v>0</v>
      </c>
      <c r="L169" s="208">
        <v>-182600</v>
      </c>
      <c r="M169" s="208">
        <v>-7450</v>
      </c>
      <c r="N169" s="208">
        <v>0</v>
      </c>
      <c r="O169" s="208">
        <v>-7450</v>
      </c>
      <c r="P169" s="208">
        <v>-83122</v>
      </c>
      <c r="Q169" s="208">
        <v>0</v>
      </c>
      <c r="R169" s="208">
        <v>-83122</v>
      </c>
      <c r="S169" s="208">
        <v>90017</v>
      </c>
      <c r="T169" s="208">
        <v>0</v>
      </c>
      <c r="U169" s="208">
        <v>90017</v>
      </c>
      <c r="V169" s="208">
        <v>137915</v>
      </c>
      <c r="W169" s="208">
        <v>0</v>
      </c>
      <c r="X169" s="208">
        <v>137915</v>
      </c>
      <c r="Y169" s="208">
        <v>35910</v>
      </c>
      <c r="Z169" s="208">
        <v>0</v>
      </c>
      <c r="AA169" s="208">
        <v>35910</v>
      </c>
      <c r="AB169" s="208">
        <v>-692391</v>
      </c>
      <c r="AC169" s="208">
        <v>0</v>
      </c>
      <c r="AD169" s="208">
        <v>-692391</v>
      </c>
      <c r="AE169" s="208">
        <v>14037600</v>
      </c>
      <c r="AF169" s="208">
        <v>0</v>
      </c>
      <c r="AG169" s="208">
        <v>14037600</v>
      </c>
      <c r="AH169" s="208">
        <v>0</v>
      </c>
      <c r="AI169" s="208">
        <v>0</v>
      </c>
      <c r="AJ169" s="208">
        <v>138562</v>
      </c>
      <c r="AK169" s="208">
        <v>0</v>
      </c>
      <c r="AL169" s="208">
        <v>138562</v>
      </c>
      <c r="AM169" s="208">
        <v>0</v>
      </c>
      <c r="AN169" s="208">
        <v>0</v>
      </c>
      <c r="AO169" s="208">
        <v>0</v>
      </c>
      <c r="AP169" s="208">
        <v>0</v>
      </c>
      <c r="AQ169" s="208">
        <v>0</v>
      </c>
      <c r="AR169" s="208">
        <v>0</v>
      </c>
      <c r="AS169" s="208">
        <v>0</v>
      </c>
      <c r="AT169" s="208">
        <v>0</v>
      </c>
      <c r="AU169" s="208">
        <v>0</v>
      </c>
      <c r="AV169" s="208">
        <v>0</v>
      </c>
      <c r="AW169" s="208">
        <v>0</v>
      </c>
      <c r="AX169" s="208">
        <v>0</v>
      </c>
      <c r="AY169" s="208">
        <v>0</v>
      </c>
      <c r="AZ169" s="208">
        <v>0</v>
      </c>
      <c r="BA169" s="208">
        <v>0</v>
      </c>
      <c r="BB169" s="208">
        <v>0</v>
      </c>
      <c r="BC169" s="208">
        <v>0</v>
      </c>
      <c r="BD169" s="208">
        <v>0</v>
      </c>
      <c r="BE169" s="208">
        <v>0</v>
      </c>
      <c r="BF169" s="208">
        <v>0</v>
      </c>
      <c r="BG169" s="208">
        <v>0</v>
      </c>
      <c r="BH169" s="208">
        <v>0</v>
      </c>
      <c r="BI169" s="208">
        <v>0</v>
      </c>
      <c r="BJ169" s="208">
        <v>0</v>
      </c>
      <c r="BK169" s="208">
        <v>0</v>
      </c>
      <c r="BL169" s="208">
        <v>371469</v>
      </c>
      <c r="BM169" s="208">
        <v>-252116</v>
      </c>
      <c r="BN169" s="187" t="s">
        <v>414</v>
      </c>
      <c r="BO169" s="187" t="s">
        <v>825</v>
      </c>
      <c r="BP169" s="187" t="s">
        <v>813</v>
      </c>
      <c r="BQ169" s="187" t="s">
        <v>1054</v>
      </c>
    </row>
    <row r="170" spans="2:69" x14ac:dyDescent="0.2">
      <c r="B170" s="429" t="s">
        <v>417</v>
      </c>
      <c r="C170" s="429" t="s">
        <v>416</v>
      </c>
      <c r="D170" s="208">
        <v>35376630</v>
      </c>
      <c r="E170" s="208">
        <v>0</v>
      </c>
      <c r="F170" s="208">
        <v>35376630</v>
      </c>
      <c r="G170" s="208">
        <v>0</v>
      </c>
      <c r="H170" s="208">
        <v>0</v>
      </c>
      <c r="I170" s="208">
        <v>0</v>
      </c>
      <c r="J170" s="208">
        <v>0</v>
      </c>
      <c r="K170" s="208">
        <v>0</v>
      </c>
      <c r="L170" s="208">
        <v>0</v>
      </c>
      <c r="M170" s="208">
        <v>0</v>
      </c>
      <c r="N170" s="208">
        <v>0</v>
      </c>
      <c r="O170" s="208">
        <v>0</v>
      </c>
      <c r="P170" s="208">
        <v>-173118</v>
      </c>
      <c r="Q170" s="208">
        <v>0</v>
      </c>
      <c r="R170" s="208">
        <v>-173118</v>
      </c>
      <c r="S170" s="208">
        <v>397368</v>
      </c>
      <c r="T170" s="208">
        <v>0</v>
      </c>
      <c r="U170" s="208">
        <v>397368</v>
      </c>
      <c r="V170" s="208">
        <v>0</v>
      </c>
      <c r="W170" s="208">
        <v>0</v>
      </c>
      <c r="X170" s="208">
        <v>0</v>
      </c>
      <c r="Y170" s="208">
        <v>-481482</v>
      </c>
      <c r="Z170" s="208">
        <v>0</v>
      </c>
      <c r="AA170" s="208">
        <v>-481482</v>
      </c>
      <c r="AB170" s="208">
        <v>-127363</v>
      </c>
      <c r="AC170" s="208">
        <v>0</v>
      </c>
      <c r="AD170" s="208">
        <v>-127363</v>
      </c>
      <c r="AE170" s="208">
        <v>34992035</v>
      </c>
      <c r="AF170" s="208">
        <v>0</v>
      </c>
      <c r="AG170" s="208">
        <v>34992035</v>
      </c>
      <c r="AH170" s="208">
        <v>0</v>
      </c>
      <c r="AI170" s="208">
        <v>0</v>
      </c>
      <c r="AJ170" s="208">
        <v>121723</v>
      </c>
      <c r="AK170" s="208">
        <v>0</v>
      </c>
      <c r="AL170" s="208">
        <v>121723</v>
      </c>
      <c r="AM170" s="208">
        <v>0</v>
      </c>
      <c r="AN170" s="208">
        <v>0</v>
      </c>
      <c r="AO170" s="208">
        <v>0</v>
      </c>
      <c r="AP170" s="208">
        <v>0</v>
      </c>
      <c r="AQ170" s="208">
        <v>0</v>
      </c>
      <c r="AR170" s="208">
        <v>0</v>
      </c>
      <c r="AS170" s="208">
        <v>0</v>
      </c>
      <c r="AT170" s="208">
        <v>0</v>
      </c>
      <c r="AU170" s="208">
        <v>0</v>
      </c>
      <c r="AV170" s="208">
        <v>0</v>
      </c>
      <c r="AW170" s="208">
        <v>0</v>
      </c>
      <c r="AX170" s="208">
        <v>0</v>
      </c>
      <c r="AY170" s="208">
        <v>0</v>
      </c>
      <c r="AZ170" s="208">
        <v>0</v>
      </c>
      <c r="BA170" s="208">
        <v>0</v>
      </c>
      <c r="BB170" s="208">
        <v>0</v>
      </c>
      <c r="BC170" s="208">
        <v>0</v>
      </c>
      <c r="BD170" s="208">
        <v>0</v>
      </c>
      <c r="BE170" s="208">
        <v>0</v>
      </c>
      <c r="BF170" s="208">
        <v>0</v>
      </c>
      <c r="BG170" s="208">
        <v>0</v>
      </c>
      <c r="BH170" s="208">
        <v>0</v>
      </c>
      <c r="BI170" s="208">
        <v>0</v>
      </c>
      <c r="BJ170" s="208">
        <v>0</v>
      </c>
      <c r="BK170" s="208">
        <v>0</v>
      </c>
      <c r="BL170" s="208">
        <v>828117</v>
      </c>
      <c r="BM170" s="208">
        <v>-913639</v>
      </c>
      <c r="BN170" s="187" t="s">
        <v>416</v>
      </c>
      <c r="BO170" s="187" t="s">
        <v>769</v>
      </c>
      <c r="BP170" s="187" t="s">
        <v>768</v>
      </c>
      <c r="BQ170" s="187" t="s">
        <v>1054</v>
      </c>
    </row>
    <row r="171" spans="2:69" x14ac:dyDescent="0.2">
      <c r="B171" s="429" t="s">
        <v>419</v>
      </c>
      <c r="C171" s="429" t="s">
        <v>418</v>
      </c>
      <c r="D171" s="208">
        <v>90824445</v>
      </c>
      <c r="E171" s="208">
        <v>0</v>
      </c>
      <c r="F171" s="208">
        <v>90824445</v>
      </c>
      <c r="G171" s="208">
        <v>0</v>
      </c>
      <c r="H171" s="208">
        <v>0</v>
      </c>
      <c r="I171" s="208">
        <v>0</v>
      </c>
      <c r="J171" s="208">
        <v>-378573</v>
      </c>
      <c r="K171" s="208">
        <v>0</v>
      </c>
      <c r="L171" s="208">
        <v>-378573</v>
      </c>
      <c r="M171" s="208">
        <v>0</v>
      </c>
      <c r="N171" s="208">
        <v>0</v>
      </c>
      <c r="O171" s="208">
        <v>0</v>
      </c>
      <c r="P171" s="208">
        <v>227940</v>
      </c>
      <c r="Q171" s="208">
        <v>0</v>
      </c>
      <c r="R171" s="208">
        <v>227940</v>
      </c>
      <c r="S171" s="208">
        <v>654508</v>
      </c>
      <c r="T171" s="208">
        <v>0</v>
      </c>
      <c r="U171" s="208">
        <v>654508</v>
      </c>
      <c r="V171" s="208">
        <v>1201775</v>
      </c>
      <c r="W171" s="208">
        <v>0</v>
      </c>
      <c r="X171" s="208">
        <v>1201775</v>
      </c>
      <c r="Y171" s="208">
        <v>-7331988</v>
      </c>
      <c r="Z171" s="208">
        <v>0</v>
      </c>
      <c r="AA171" s="208">
        <v>-7331988</v>
      </c>
      <c r="AB171" s="208">
        <v>-1038686</v>
      </c>
      <c r="AC171" s="208">
        <v>0</v>
      </c>
      <c r="AD171" s="208">
        <v>-1038686</v>
      </c>
      <c r="AE171" s="208">
        <v>84537994</v>
      </c>
      <c r="AF171" s="208">
        <v>0</v>
      </c>
      <c r="AG171" s="208">
        <v>84537994</v>
      </c>
      <c r="AH171" s="208">
        <v>0</v>
      </c>
      <c r="AI171" s="208">
        <v>0</v>
      </c>
      <c r="AJ171" s="208">
        <v>0</v>
      </c>
      <c r="AK171" s="208">
        <v>0</v>
      </c>
      <c r="AL171" s="208">
        <v>0</v>
      </c>
      <c r="AM171" s="208">
        <v>0</v>
      </c>
      <c r="AN171" s="208">
        <v>0</v>
      </c>
      <c r="AO171" s="208">
        <v>0</v>
      </c>
      <c r="AP171" s="208">
        <v>0</v>
      </c>
      <c r="AQ171" s="208">
        <v>0</v>
      </c>
      <c r="AR171" s="208">
        <v>0</v>
      </c>
      <c r="AS171" s="208">
        <v>0</v>
      </c>
      <c r="AT171" s="208">
        <v>0</v>
      </c>
      <c r="AU171" s="208">
        <v>0</v>
      </c>
      <c r="AV171" s="208">
        <v>0</v>
      </c>
      <c r="AW171" s="208">
        <v>0</v>
      </c>
      <c r="AX171" s="208">
        <v>0</v>
      </c>
      <c r="AY171" s="208">
        <v>0</v>
      </c>
      <c r="AZ171" s="208">
        <v>0</v>
      </c>
      <c r="BA171" s="208">
        <v>0</v>
      </c>
      <c r="BB171" s="208">
        <v>0</v>
      </c>
      <c r="BC171" s="208">
        <v>0</v>
      </c>
      <c r="BD171" s="208">
        <v>0</v>
      </c>
      <c r="BE171" s="208">
        <v>0</v>
      </c>
      <c r="BF171" s="208">
        <v>0</v>
      </c>
      <c r="BG171" s="208">
        <v>0</v>
      </c>
      <c r="BH171" s="208">
        <v>0</v>
      </c>
      <c r="BI171" s="208">
        <v>0</v>
      </c>
      <c r="BJ171" s="208">
        <v>0</v>
      </c>
      <c r="BK171" s="208">
        <v>0</v>
      </c>
      <c r="BL171" s="208">
        <v>3003470</v>
      </c>
      <c r="BM171" s="208">
        <v>-3831244</v>
      </c>
      <c r="BN171" s="187" t="s">
        <v>418</v>
      </c>
      <c r="BO171" s="187" t="s">
        <v>767</v>
      </c>
      <c r="BP171" s="187" t="s">
        <v>743</v>
      </c>
      <c r="BQ171" s="187" t="s">
        <v>1055</v>
      </c>
    </row>
    <row r="172" spans="2:69" x14ac:dyDescent="0.2">
      <c r="B172" s="429" t="s">
        <v>421</v>
      </c>
      <c r="C172" s="429" t="s">
        <v>420</v>
      </c>
      <c r="D172" s="208">
        <v>15136869</v>
      </c>
      <c r="E172" s="208">
        <v>0</v>
      </c>
      <c r="F172" s="208">
        <v>15136869</v>
      </c>
      <c r="G172" s="208">
        <v>-3240</v>
      </c>
      <c r="H172" s="208">
        <v>0</v>
      </c>
      <c r="I172" s="208">
        <v>-3240</v>
      </c>
      <c r="J172" s="208">
        <v>-69280</v>
      </c>
      <c r="K172" s="208">
        <v>0</v>
      </c>
      <c r="L172" s="208">
        <v>-69280</v>
      </c>
      <c r="M172" s="208">
        <v>39822</v>
      </c>
      <c r="N172" s="208">
        <v>0</v>
      </c>
      <c r="O172" s="208">
        <v>39822</v>
      </c>
      <c r="P172" s="208">
        <v>-93399</v>
      </c>
      <c r="Q172" s="208">
        <v>0</v>
      </c>
      <c r="R172" s="208">
        <v>-93399</v>
      </c>
      <c r="S172" s="208">
        <v>11920</v>
      </c>
      <c r="T172" s="208">
        <v>0</v>
      </c>
      <c r="U172" s="208">
        <v>11920</v>
      </c>
      <c r="V172" s="208">
        <v>12000</v>
      </c>
      <c r="W172" s="208">
        <v>0</v>
      </c>
      <c r="X172" s="208">
        <v>12000</v>
      </c>
      <c r="Y172" s="208">
        <v>-950383</v>
      </c>
      <c r="Z172" s="208">
        <v>0</v>
      </c>
      <c r="AA172" s="208">
        <v>-950383</v>
      </c>
      <c r="AB172" s="208">
        <v>58154</v>
      </c>
      <c r="AC172" s="208">
        <v>0</v>
      </c>
      <c r="AD172" s="208">
        <v>58154</v>
      </c>
      <c r="AE172" s="208">
        <v>14211743</v>
      </c>
      <c r="AF172" s="208">
        <v>0</v>
      </c>
      <c r="AG172" s="208">
        <v>14211743</v>
      </c>
      <c r="AH172" s="208">
        <v>0</v>
      </c>
      <c r="AI172" s="208">
        <v>0</v>
      </c>
      <c r="AJ172" s="208">
        <v>175759</v>
      </c>
      <c r="AK172" s="208">
        <v>0</v>
      </c>
      <c r="AL172" s="208">
        <v>175759</v>
      </c>
      <c r="AM172" s="208">
        <v>0</v>
      </c>
      <c r="AN172" s="208">
        <v>0</v>
      </c>
      <c r="AO172" s="208">
        <v>0</v>
      </c>
      <c r="AP172" s="208">
        <v>0</v>
      </c>
      <c r="AQ172" s="208">
        <v>0</v>
      </c>
      <c r="AR172" s="208">
        <v>0</v>
      </c>
      <c r="AS172" s="208">
        <v>0</v>
      </c>
      <c r="AT172" s="208">
        <v>0</v>
      </c>
      <c r="AU172" s="208">
        <v>0</v>
      </c>
      <c r="AV172" s="208">
        <v>0</v>
      </c>
      <c r="AW172" s="208">
        <v>0</v>
      </c>
      <c r="AX172" s="208">
        <v>0</v>
      </c>
      <c r="AY172" s="208">
        <v>0</v>
      </c>
      <c r="AZ172" s="208">
        <v>0</v>
      </c>
      <c r="BA172" s="208">
        <v>0</v>
      </c>
      <c r="BB172" s="208">
        <v>0</v>
      </c>
      <c r="BC172" s="208">
        <v>0</v>
      </c>
      <c r="BD172" s="208">
        <v>0</v>
      </c>
      <c r="BE172" s="208">
        <v>0</v>
      </c>
      <c r="BF172" s="208">
        <v>0</v>
      </c>
      <c r="BG172" s="208">
        <v>0</v>
      </c>
      <c r="BH172" s="208">
        <v>0</v>
      </c>
      <c r="BI172" s="208">
        <v>0</v>
      </c>
      <c r="BJ172" s="208">
        <v>0</v>
      </c>
      <c r="BK172" s="208">
        <v>0</v>
      </c>
      <c r="BL172" s="208">
        <v>414213</v>
      </c>
      <c r="BM172" s="208">
        <v>-461202</v>
      </c>
      <c r="BN172" s="187" t="s">
        <v>420</v>
      </c>
      <c r="BO172" s="187" t="s">
        <v>772</v>
      </c>
      <c r="BP172" s="187" t="s">
        <v>768</v>
      </c>
      <c r="BQ172" s="187" t="s">
        <v>1054</v>
      </c>
    </row>
    <row r="173" spans="2:69" x14ac:dyDescent="0.2">
      <c r="B173" s="429" t="s">
        <v>423</v>
      </c>
      <c r="C173" s="429" t="s">
        <v>422</v>
      </c>
      <c r="D173" s="208">
        <v>22669587</v>
      </c>
      <c r="E173" s="208">
        <v>0</v>
      </c>
      <c r="F173" s="208">
        <v>22669587</v>
      </c>
      <c r="G173" s="208">
        <v>0</v>
      </c>
      <c r="H173" s="208">
        <v>0</v>
      </c>
      <c r="I173" s="208">
        <v>0</v>
      </c>
      <c r="J173" s="208">
        <v>-58790</v>
      </c>
      <c r="K173" s="208">
        <v>0</v>
      </c>
      <c r="L173" s="208">
        <v>-58790</v>
      </c>
      <c r="M173" s="208">
        <v>-178892</v>
      </c>
      <c r="N173" s="208">
        <v>0</v>
      </c>
      <c r="O173" s="208">
        <v>-178892</v>
      </c>
      <c r="P173" s="208">
        <v>-68508</v>
      </c>
      <c r="Q173" s="208">
        <v>0</v>
      </c>
      <c r="R173" s="208">
        <v>-68508</v>
      </c>
      <c r="S173" s="208">
        <v>680573</v>
      </c>
      <c r="T173" s="208">
        <v>0</v>
      </c>
      <c r="U173" s="208">
        <v>680573</v>
      </c>
      <c r="V173" s="208">
        <v>0</v>
      </c>
      <c r="W173" s="208">
        <v>0</v>
      </c>
      <c r="X173" s="208">
        <v>0</v>
      </c>
      <c r="Y173" s="208">
        <v>-435409</v>
      </c>
      <c r="Z173" s="208">
        <v>0</v>
      </c>
      <c r="AA173" s="208">
        <v>-435409</v>
      </c>
      <c r="AB173" s="208">
        <v>-852639</v>
      </c>
      <c r="AC173" s="208">
        <v>0</v>
      </c>
      <c r="AD173" s="208">
        <v>-852639</v>
      </c>
      <c r="AE173" s="208">
        <v>21814712</v>
      </c>
      <c r="AF173" s="208">
        <v>0</v>
      </c>
      <c r="AG173" s="208">
        <v>21814712</v>
      </c>
      <c r="AH173" s="208">
        <v>0</v>
      </c>
      <c r="AI173" s="208">
        <v>0</v>
      </c>
      <c r="AJ173" s="208">
        <v>327904</v>
      </c>
      <c r="AK173" s="208">
        <v>0</v>
      </c>
      <c r="AL173" s="208">
        <v>327904</v>
      </c>
      <c r="AM173" s="208">
        <v>0</v>
      </c>
      <c r="AN173" s="208">
        <v>0</v>
      </c>
      <c r="AO173" s="208">
        <v>0</v>
      </c>
      <c r="AP173" s="208">
        <v>0</v>
      </c>
      <c r="AQ173" s="208">
        <v>0</v>
      </c>
      <c r="AR173" s="208">
        <v>0</v>
      </c>
      <c r="AS173" s="208">
        <v>0</v>
      </c>
      <c r="AT173" s="208">
        <v>0</v>
      </c>
      <c r="AU173" s="208">
        <v>0</v>
      </c>
      <c r="AV173" s="208">
        <v>0</v>
      </c>
      <c r="AW173" s="208">
        <v>0</v>
      </c>
      <c r="AX173" s="208">
        <v>0</v>
      </c>
      <c r="AY173" s="208">
        <v>0</v>
      </c>
      <c r="AZ173" s="208">
        <v>0</v>
      </c>
      <c r="BA173" s="208">
        <v>0</v>
      </c>
      <c r="BB173" s="208">
        <v>0</v>
      </c>
      <c r="BC173" s="208">
        <v>0</v>
      </c>
      <c r="BD173" s="208">
        <v>0</v>
      </c>
      <c r="BE173" s="208">
        <v>0</v>
      </c>
      <c r="BF173" s="208">
        <v>0</v>
      </c>
      <c r="BG173" s="208">
        <v>0</v>
      </c>
      <c r="BH173" s="208">
        <v>0</v>
      </c>
      <c r="BI173" s="208">
        <v>0</v>
      </c>
      <c r="BJ173" s="208">
        <v>0</v>
      </c>
      <c r="BK173" s="208">
        <v>0</v>
      </c>
      <c r="BL173" s="208">
        <v>361151</v>
      </c>
      <c r="BM173" s="208">
        <v>-222850</v>
      </c>
      <c r="BN173" s="187" t="s">
        <v>422</v>
      </c>
      <c r="BO173" s="187" t="s">
        <v>778</v>
      </c>
      <c r="BP173" s="187" t="s">
        <v>751</v>
      </c>
      <c r="BQ173" s="187" t="s">
        <v>1054</v>
      </c>
    </row>
    <row r="174" spans="2:69" x14ac:dyDescent="0.2">
      <c r="B174" s="429" t="s">
        <v>425</v>
      </c>
      <c r="C174" s="429" t="s">
        <v>424</v>
      </c>
      <c r="D174" s="208">
        <v>46128680</v>
      </c>
      <c r="E174" s="208">
        <v>0</v>
      </c>
      <c r="F174" s="208">
        <v>46128680</v>
      </c>
      <c r="G174" s="208">
        <v>0</v>
      </c>
      <c r="H174" s="208">
        <v>0</v>
      </c>
      <c r="I174" s="208">
        <v>0</v>
      </c>
      <c r="J174" s="208">
        <v>-55659</v>
      </c>
      <c r="K174" s="208">
        <v>0</v>
      </c>
      <c r="L174" s="208">
        <v>-55659</v>
      </c>
      <c r="M174" s="208">
        <v>0</v>
      </c>
      <c r="N174" s="208">
        <v>0</v>
      </c>
      <c r="O174" s="208">
        <v>0</v>
      </c>
      <c r="P174" s="208">
        <v>-305746</v>
      </c>
      <c r="Q174" s="208">
        <v>0</v>
      </c>
      <c r="R174" s="208">
        <v>-305746</v>
      </c>
      <c r="S174" s="208">
        <v>139039</v>
      </c>
      <c r="T174" s="208">
        <v>0</v>
      </c>
      <c r="U174" s="208">
        <v>139039</v>
      </c>
      <c r="V174" s="208">
        <v>310604</v>
      </c>
      <c r="W174" s="208">
        <v>0</v>
      </c>
      <c r="X174" s="208">
        <v>310604</v>
      </c>
      <c r="Y174" s="208">
        <v>-81574</v>
      </c>
      <c r="Z174" s="208">
        <v>0</v>
      </c>
      <c r="AA174" s="208">
        <v>-81574</v>
      </c>
      <c r="AB174" s="208">
        <v>-2146321</v>
      </c>
      <c r="AC174" s="208">
        <v>0</v>
      </c>
      <c r="AD174" s="208">
        <v>-2146321</v>
      </c>
      <c r="AE174" s="208">
        <v>44044682</v>
      </c>
      <c r="AF174" s="208">
        <v>0</v>
      </c>
      <c r="AG174" s="208">
        <v>44044682</v>
      </c>
      <c r="AH174" s="208">
        <v>0</v>
      </c>
      <c r="AI174" s="208">
        <v>0</v>
      </c>
      <c r="AJ174" s="208">
        <v>0</v>
      </c>
      <c r="AK174" s="208">
        <v>0</v>
      </c>
      <c r="AL174" s="208">
        <v>0</v>
      </c>
      <c r="AM174" s="208">
        <v>0</v>
      </c>
      <c r="AN174" s="208">
        <v>0</v>
      </c>
      <c r="AO174" s="208">
        <v>0</v>
      </c>
      <c r="AP174" s="208">
        <v>0</v>
      </c>
      <c r="AQ174" s="208">
        <v>0</v>
      </c>
      <c r="AR174" s="208">
        <v>0</v>
      </c>
      <c r="AS174" s="208">
        <v>0</v>
      </c>
      <c r="AT174" s="208">
        <v>0</v>
      </c>
      <c r="AU174" s="208">
        <v>0</v>
      </c>
      <c r="AV174" s="208">
        <v>0</v>
      </c>
      <c r="AW174" s="208">
        <v>0</v>
      </c>
      <c r="AX174" s="208">
        <v>0</v>
      </c>
      <c r="AY174" s="208">
        <v>0</v>
      </c>
      <c r="AZ174" s="208">
        <v>0</v>
      </c>
      <c r="BA174" s="208">
        <v>0</v>
      </c>
      <c r="BB174" s="208">
        <v>0</v>
      </c>
      <c r="BC174" s="208">
        <v>0</v>
      </c>
      <c r="BD174" s="208">
        <v>0</v>
      </c>
      <c r="BE174" s="208">
        <v>0</v>
      </c>
      <c r="BF174" s="208">
        <v>0</v>
      </c>
      <c r="BG174" s="208">
        <v>0</v>
      </c>
      <c r="BH174" s="208">
        <v>0</v>
      </c>
      <c r="BI174" s="208">
        <v>0</v>
      </c>
      <c r="BJ174" s="208">
        <v>0</v>
      </c>
      <c r="BK174" s="208">
        <v>0</v>
      </c>
      <c r="BL174" s="208">
        <v>2078656</v>
      </c>
      <c r="BM174" s="208">
        <v>-1429638</v>
      </c>
      <c r="BN174" s="187" t="s">
        <v>424</v>
      </c>
      <c r="BO174" s="187" t="s">
        <v>752</v>
      </c>
      <c r="BP174" s="187" t="s">
        <v>751</v>
      </c>
      <c r="BQ174" s="187" t="s">
        <v>1054</v>
      </c>
    </row>
    <row r="175" spans="2:69" x14ac:dyDescent="0.2">
      <c r="B175" s="429" t="s">
        <v>427</v>
      </c>
      <c r="C175" s="429" t="s">
        <v>426</v>
      </c>
      <c r="D175" s="208">
        <v>38573625</v>
      </c>
      <c r="E175" s="208">
        <v>3067863</v>
      </c>
      <c r="F175" s="208">
        <v>41641488</v>
      </c>
      <c r="G175" s="208">
        <v>0</v>
      </c>
      <c r="H175" s="208">
        <v>0</v>
      </c>
      <c r="I175" s="208">
        <v>0</v>
      </c>
      <c r="J175" s="208">
        <v>-16620</v>
      </c>
      <c r="K175" s="208">
        <v>0</v>
      </c>
      <c r="L175" s="208">
        <v>-16620</v>
      </c>
      <c r="M175" s="208">
        <v>1768</v>
      </c>
      <c r="N175" s="208">
        <v>2564</v>
      </c>
      <c r="O175" s="208">
        <v>4332</v>
      </c>
      <c r="P175" s="208">
        <v>-278454</v>
      </c>
      <c r="Q175" s="208">
        <v>-96472</v>
      </c>
      <c r="R175" s="208">
        <v>-374926</v>
      </c>
      <c r="S175" s="208">
        <v>280702</v>
      </c>
      <c r="T175" s="208">
        <v>21798</v>
      </c>
      <c r="U175" s="208">
        <v>302500</v>
      </c>
      <c r="V175" s="208">
        <v>332388</v>
      </c>
      <c r="W175" s="208">
        <v>25812</v>
      </c>
      <c r="X175" s="208">
        <v>358200</v>
      </c>
      <c r="Y175" s="208">
        <v>-208938</v>
      </c>
      <c r="Z175" s="208">
        <v>-16225</v>
      </c>
      <c r="AA175" s="208">
        <v>-225163</v>
      </c>
      <c r="AB175" s="208">
        <v>-1440381</v>
      </c>
      <c r="AC175" s="208">
        <v>-111853</v>
      </c>
      <c r="AD175" s="208">
        <v>-1552234</v>
      </c>
      <c r="AE175" s="208">
        <v>37260710</v>
      </c>
      <c r="AF175" s="208">
        <v>2893487</v>
      </c>
      <c r="AG175" s="208">
        <v>40154197</v>
      </c>
      <c r="AH175" s="208">
        <v>2893487</v>
      </c>
      <c r="AI175" s="208">
        <v>2893487</v>
      </c>
      <c r="AJ175" s="208">
        <v>0</v>
      </c>
      <c r="AK175" s="208">
        <v>0</v>
      </c>
      <c r="AL175" s="208">
        <v>0</v>
      </c>
      <c r="AM175" s="208">
        <v>0</v>
      </c>
      <c r="AN175" s="208">
        <v>0</v>
      </c>
      <c r="AO175" s="208">
        <v>0</v>
      </c>
      <c r="AP175" s="208">
        <v>-328633</v>
      </c>
      <c r="AQ175" s="208">
        <v>-328633</v>
      </c>
      <c r="AR175" s="208">
        <v>2864699</v>
      </c>
      <c r="AS175" s="208">
        <v>2864699</v>
      </c>
      <c r="AT175" s="208">
        <v>12541</v>
      </c>
      <c r="AU175" s="208">
        <v>0</v>
      </c>
      <c r="AV175" s="208">
        <v>0</v>
      </c>
      <c r="AW175" s="208">
        <v>0</v>
      </c>
      <c r="AX175" s="208">
        <v>0</v>
      </c>
      <c r="AY175" s="208">
        <v>126822</v>
      </c>
      <c r="AZ175" s="208">
        <v>126822</v>
      </c>
      <c r="BA175" s="208">
        <v>38040121</v>
      </c>
      <c r="BB175" s="208">
        <v>38040121</v>
      </c>
      <c r="BC175" s="208">
        <v>39423388</v>
      </c>
      <c r="BD175" s="208">
        <v>39423388</v>
      </c>
      <c r="BE175" s="208">
        <v>0</v>
      </c>
      <c r="BF175" s="208">
        <v>0</v>
      </c>
      <c r="BG175" s="208">
        <v>0</v>
      </c>
      <c r="BH175" s="208">
        <v>0</v>
      </c>
      <c r="BI175" s="208">
        <v>0</v>
      </c>
      <c r="BJ175" s="208">
        <v>126822</v>
      </c>
      <c r="BK175" s="208">
        <v>126822</v>
      </c>
      <c r="BL175" s="208">
        <v>9680977</v>
      </c>
      <c r="BM175" s="208">
        <v>-2267038</v>
      </c>
      <c r="BN175" s="187" t="s">
        <v>835</v>
      </c>
      <c r="BO175" s="187" t="s">
        <v>742</v>
      </c>
      <c r="BP175" s="187" t="s">
        <v>798</v>
      </c>
      <c r="BQ175" s="187" t="s">
        <v>742</v>
      </c>
    </row>
    <row r="176" spans="2:69" x14ac:dyDescent="0.2">
      <c r="B176" s="429" t="s">
        <v>429</v>
      </c>
      <c r="C176" s="429" t="s">
        <v>428</v>
      </c>
      <c r="D176" s="208">
        <v>172526712</v>
      </c>
      <c r="E176" s="208">
        <v>0</v>
      </c>
      <c r="F176" s="208">
        <v>172526712</v>
      </c>
      <c r="G176" s="208">
        <v>0</v>
      </c>
      <c r="H176" s="208">
        <v>0</v>
      </c>
      <c r="I176" s="208">
        <v>0</v>
      </c>
      <c r="J176" s="208">
        <v>-910353</v>
      </c>
      <c r="K176" s="208">
        <v>0</v>
      </c>
      <c r="L176" s="208">
        <v>-910353</v>
      </c>
      <c r="M176" s="208">
        <v>0</v>
      </c>
      <c r="N176" s="208">
        <v>0</v>
      </c>
      <c r="O176" s="208">
        <v>0</v>
      </c>
      <c r="P176" s="208">
        <v>89647</v>
      </c>
      <c r="Q176" s="208">
        <v>0</v>
      </c>
      <c r="R176" s="208">
        <v>89647</v>
      </c>
      <c r="S176" s="208">
        <v>4647817</v>
      </c>
      <c r="T176" s="208">
        <v>0</v>
      </c>
      <c r="U176" s="208">
        <v>4647817</v>
      </c>
      <c r="V176" s="208">
        <v>2814510</v>
      </c>
      <c r="W176" s="208">
        <v>0</v>
      </c>
      <c r="X176" s="208">
        <v>2814510</v>
      </c>
      <c r="Y176" s="208">
        <v>0</v>
      </c>
      <c r="Z176" s="208">
        <v>0</v>
      </c>
      <c r="AA176" s="208">
        <v>0</v>
      </c>
      <c r="AB176" s="208">
        <v>-17065884</v>
      </c>
      <c r="AC176" s="208">
        <v>0</v>
      </c>
      <c r="AD176" s="208">
        <v>-17065884</v>
      </c>
      <c r="AE176" s="208">
        <v>163012802</v>
      </c>
      <c r="AF176" s="208">
        <v>0</v>
      </c>
      <c r="AG176" s="208">
        <v>163012802</v>
      </c>
      <c r="AH176" s="208">
        <v>0</v>
      </c>
      <c r="AI176" s="208">
        <v>0</v>
      </c>
      <c r="AJ176" s="208">
        <v>249491</v>
      </c>
      <c r="AK176" s="208">
        <v>0</v>
      </c>
      <c r="AL176" s="208">
        <v>249491</v>
      </c>
      <c r="AM176" s="208">
        <v>0</v>
      </c>
      <c r="AN176" s="208">
        <v>0</v>
      </c>
      <c r="AO176" s="208">
        <v>0</v>
      </c>
      <c r="AP176" s="208">
        <v>0</v>
      </c>
      <c r="AQ176" s="208">
        <v>0</v>
      </c>
      <c r="AR176" s="208">
        <v>0</v>
      </c>
      <c r="AS176" s="208">
        <v>0</v>
      </c>
      <c r="AT176" s="208">
        <v>0</v>
      </c>
      <c r="AU176" s="208">
        <v>0</v>
      </c>
      <c r="AV176" s="208">
        <v>0</v>
      </c>
      <c r="AW176" s="208">
        <v>0</v>
      </c>
      <c r="AX176" s="208">
        <v>0</v>
      </c>
      <c r="AY176" s="208">
        <v>0</v>
      </c>
      <c r="AZ176" s="208">
        <v>0</v>
      </c>
      <c r="BA176" s="208">
        <v>0</v>
      </c>
      <c r="BB176" s="208">
        <v>0</v>
      </c>
      <c r="BC176" s="208">
        <v>0</v>
      </c>
      <c r="BD176" s="208">
        <v>0</v>
      </c>
      <c r="BE176" s="208">
        <v>0</v>
      </c>
      <c r="BF176" s="208">
        <v>0</v>
      </c>
      <c r="BG176" s="208">
        <v>0</v>
      </c>
      <c r="BH176" s="208">
        <v>0</v>
      </c>
      <c r="BI176" s="208">
        <v>0</v>
      </c>
      <c r="BJ176" s="208">
        <v>0</v>
      </c>
      <c r="BK176" s="208">
        <v>0</v>
      </c>
      <c r="BL176" s="208">
        <v>3606733</v>
      </c>
      <c r="BM176" s="208">
        <v>-4219566</v>
      </c>
      <c r="BN176" s="187" t="s">
        <v>834</v>
      </c>
      <c r="BO176" s="187" t="s">
        <v>742</v>
      </c>
      <c r="BP176" s="187" t="s">
        <v>749</v>
      </c>
      <c r="BQ176" s="187" t="s">
        <v>742</v>
      </c>
    </row>
    <row r="177" spans="1:69" x14ac:dyDescent="0.2">
      <c r="A177" s="188"/>
      <c r="B177" s="429" t="s">
        <v>431</v>
      </c>
      <c r="C177" s="429" t="s">
        <v>430</v>
      </c>
      <c r="D177" s="208">
        <v>40579004</v>
      </c>
      <c r="E177" s="208">
        <v>0</v>
      </c>
      <c r="F177" s="208">
        <v>40579004</v>
      </c>
      <c r="G177" s="208">
        <v>0</v>
      </c>
      <c r="H177" s="208">
        <v>0</v>
      </c>
      <c r="I177" s="208">
        <v>0</v>
      </c>
      <c r="J177" s="208">
        <v>-89157</v>
      </c>
      <c r="K177" s="208">
        <v>0</v>
      </c>
      <c r="L177" s="208">
        <v>-89157</v>
      </c>
      <c r="M177" s="208">
        <v>0</v>
      </c>
      <c r="N177" s="208">
        <v>0</v>
      </c>
      <c r="O177" s="208">
        <v>0</v>
      </c>
      <c r="P177" s="208">
        <v>-197513</v>
      </c>
      <c r="Q177" s="208">
        <v>0</v>
      </c>
      <c r="R177" s="208">
        <v>-197513</v>
      </c>
      <c r="S177" s="208">
        <v>1469095</v>
      </c>
      <c r="T177" s="208">
        <v>0</v>
      </c>
      <c r="U177" s="208">
        <v>1469095</v>
      </c>
      <c r="V177" s="208">
        <v>6561</v>
      </c>
      <c r="W177" s="208">
        <v>0</v>
      </c>
      <c r="X177" s="208">
        <v>6561</v>
      </c>
      <c r="Y177" s="208">
        <v>3157652</v>
      </c>
      <c r="Z177" s="208">
        <v>0</v>
      </c>
      <c r="AA177" s="208">
        <v>3157652</v>
      </c>
      <c r="AB177" s="208">
        <v>-498</v>
      </c>
      <c r="AC177" s="208">
        <v>0</v>
      </c>
      <c r="AD177" s="208">
        <v>-498</v>
      </c>
      <c r="AE177" s="208">
        <v>45014301</v>
      </c>
      <c r="AF177" s="208">
        <v>0</v>
      </c>
      <c r="AG177" s="208">
        <v>45014301</v>
      </c>
      <c r="AH177" s="208">
        <v>0</v>
      </c>
      <c r="AI177" s="208">
        <v>0</v>
      </c>
      <c r="AJ177" s="208">
        <v>0</v>
      </c>
      <c r="AK177" s="208">
        <v>0</v>
      </c>
      <c r="AL177" s="208">
        <v>0</v>
      </c>
      <c r="AM177" s="208">
        <v>0</v>
      </c>
      <c r="AN177" s="208">
        <v>0</v>
      </c>
      <c r="AO177" s="208">
        <v>0</v>
      </c>
      <c r="AP177" s="208">
        <v>0</v>
      </c>
      <c r="AQ177" s="208">
        <v>0</v>
      </c>
      <c r="AR177" s="208">
        <v>0</v>
      </c>
      <c r="AS177" s="208">
        <v>0</v>
      </c>
      <c r="AT177" s="208">
        <v>0</v>
      </c>
      <c r="AU177" s="208">
        <v>0</v>
      </c>
      <c r="AV177" s="208">
        <v>0</v>
      </c>
      <c r="AW177" s="208">
        <v>0</v>
      </c>
      <c r="AX177" s="208">
        <v>0</v>
      </c>
      <c r="AY177" s="208">
        <v>0</v>
      </c>
      <c r="AZ177" s="208">
        <v>0</v>
      </c>
      <c r="BA177" s="208">
        <v>0</v>
      </c>
      <c r="BB177" s="208">
        <v>0</v>
      </c>
      <c r="BC177" s="208">
        <v>0</v>
      </c>
      <c r="BD177" s="208">
        <v>0</v>
      </c>
      <c r="BE177" s="208">
        <v>0</v>
      </c>
      <c r="BF177" s="208">
        <v>0</v>
      </c>
      <c r="BG177" s="208">
        <v>0</v>
      </c>
      <c r="BH177" s="208">
        <v>0</v>
      </c>
      <c r="BI177" s="208">
        <v>0</v>
      </c>
      <c r="BJ177" s="208">
        <v>0</v>
      </c>
      <c r="BK177" s="208">
        <v>0</v>
      </c>
      <c r="BL177" s="208">
        <v>2040312</v>
      </c>
      <c r="BM177" s="208">
        <v>-1538732</v>
      </c>
      <c r="BN177" s="187" t="s">
        <v>430</v>
      </c>
      <c r="BO177" s="187" t="s">
        <v>757</v>
      </c>
      <c r="BP177" s="187" t="s">
        <v>751</v>
      </c>
      <c r="BQ177" s="187" t="s">
        <v>1054</v>
      </c>
    </row>
    <row r="178" spans="1:69" x14ac:dyDescent="0.2">
      <c r="B178" s="429" t="s">
        <v>433</v>
      </c>
      <c r="C178" s="429" t="s">
        <v>432</v>
      </c>
      <c r="D178" s="208">
        <v>66811304</v>
      </c>
      <c r="E178" s="208">
        <v>0</v>
      </c>
      <c r="F178" s="208">
        <v>66811304</v>
      </c>
      <c r="G178" s="208">
        <v>0</v>
      </c>
      <c r="H178" s="208">
        <v>0</v>
      </c>
      <c r="I178" s="208">
        <v>0</v>
      </c>
      <c r="J178" s="208">
        <v>-183618</v>
      </c>
      <c r="K178" s="208">
        <v>0</v>
      </c>
      <c r="L178" s="208">
        <v>-183618</v>
      </c>
      <c r="M178" s="208">
        <v>0</v>
      </c>
      <c r="N178" s="208">
        <v>0</v>
      </c>
      <c r="O178" s="208">
        <v>0</v>
      </c>
      <c r="P178" s="208">
        <v>-100108</v>
      </c>
      <c r="Q178" s="208">
        <v>0</v>
      </c>
      <c r="R178" s="208">
        <v>-100108</v>
      </c>
      <c r="S178" s="208">
        <v>1691200</v>
      </c>
      <c r="T178" s="208">
        <v>0</v>
      </c>
      <c r="U178" s="208">
        <v>1691200</v>
      </c>
      <c r="V178" s="208">
        <v>139725</v>
      </c>
      <c r="W178" s="208">
        <v>0</v>
      </c>
      <c r="X178" s="208">
        <v>139725</v>
      </c>
      <c r="Y178" s="208">
        <v>-655200</v>
      </c>
      <c r="Z178" s="208">
        <v>0</v>
      </c>
      <c r="AA178" s="208">
        <v>-655200</v>
      </c>
      <c r="AB178" s="208">
        <v>-2734725</v>
      </c>
      <c r="AC178" s="208">
        <v>0</v>
      </c>
      <c r="AD178" s="208">
        <v>-2734725</v>
      </c>
      <c r="AE178" s="208">
        <v>65152196</v>
      </c>
      <c r="AF178" s="208">
        <v>0</v>
      </c>
      <c r="AG178" s="208">
        <v>65152196</v>
      </c>
      <c r="AH178" s="208">
        <v>0</v>
      </c>
      <c r="AI178" s="208">
        <v>0</v>
      </c>
      <c r="AJ178" s="208">
        <v>9851</v>
      </c>
      <c r="AK178" s="208">
        <v>0</v>
      </c>
      <c r="AL178" s="208">
        <v>9851</v>
      </c>
      <c r="AM178" s="208">
        <v>0</v>
      </c>
      <c r="AN178" s="208">
        <v>0</v>
      </c>
      <c r="AO178" s="208">
        <v>0</v>
      </c>
      <c r="AP178" s="208">
        <v>0</v>
      </c>
      <c r="AQ178" s="208">
        <v>0</v>
      </c>
      <c r="AR178" s="208">
        <v>0</v>
      </c>
      <c r="AS178" s="208">
        <v>0</v>
      </c>
      <c r="AT178" s="208">
        <v>0</v>
      </c>
      <c r="AU178" s="208">
        <v>0</v>
      </c>
      <c r="AV178" s="208">
        <v>0</v>
      </c>
      <c r="AW178" s="208">
        <v>0</v>
      </c>
      <c r="AX178" s="208">
        <v>0</v>
      </c>
      <c r="AY178" s="208">
        <v>0</v>
      </c>
      <c r="AZ178" s="208">
        <v>0</v>
      </c>
      <c r="BA178" s="208">
        <v>0</v>
      </c>
      <c r="BB178" s="208">
        <v>0</v>
      </c>
      <c r="BC178" s="208">
        <v>0</v>
      </c>
      <c r="BD178" s="208">
        <v>0</v>
      </c>
      <c r="BE178" s="208">
        <v>0</v>
      </c>
      <c r="BF178" s="208">
        <v>0</v>
      </c>
      <c r="BG178" s="208">
        <v>0</v>
      </c>
      <c r="BH178" s="208">
        <v>0</v>
      </c>
      <c r="BI178" s="208">
        <v>0</v>
      </c>
      <c r="BJ178" s="208">
        <v>0</v>
      </c>
      <c r="BK178" s="208">
        <v>0</v>
      </c>
      <c r="BL178" s="208">
        <v>759762</v>
      </c>
      <c r="BM178" s="208">
        <v>-932839</v>
      </c>
      <c r="BN178" s="187" t="s">
        <v>432</v>
      </c>
      <c r="BO178" s="187" t="s">
        <v>761</v>
      </c>
      <c r="BP178" s="187" t="s">
        <v>760</v>
      </c>
      <c r="BQ178" s="187" t="s">
        <v>1054</v>
      </c>
    </row>
    <row r="179" spans="1:69" x14ac:dyDescent="0.2">
      <c r="B179" s="429" t="s">
        <v>435</v>
      </c>
      <c r="C179" s="429" t="s">
        <v>434</v>
      </c>
      <c r="D179" s="208">
        <v>42459850</v>
      </c>
      <c r="E179" s="208">
        <v>0</v>
      </c>
      <c r="F179" s="208">
        <v>42459850</v>
      </c>
      <c r="G179" s="208">
        <v>0</v>
      </c>
      <c r="H179" s="208">
        <v>0</v>
      </c>
      <c r="I179" s="208">
        <v>0</v>
      </c>
      <c r="J179" s="208">
        <v>-121345</v>
      </c>
      <c r="K179" s="208">
        <v>0</v>
      </c>
      <c r="L179" s="208">
        <v>-121345</v>
      </c>
      <c r="M179" s="208">
        <v>0</v>
      </c>
      <c r="N179" s="208">
        <v>0</v>
      </c>
      <c r="O179" s="208">
        <v>0</v>
      </c>
      <c r="P179" s="208">
        <v>-186176</v>
      </c>
      <c r="Q179" s="208">
        <v>0</v>
      </c>
      <c r="R179" s="208">
        <v>-186176</v>
      </c>
      <c r="S179" s="208">
        <v>664921</v>
      </c>
      <c r="T179" s="208">
        <v>0</v>
      </c>
      <c r="U179" s="208">
        <v>664921</v>
      </c>
      <c r="V179" s="208">
        <v>194695</v>
      </c>
      <c r="W179" s="208">
        <v>0</v>
      </c>
      <c r="X179" s="208">
        <v>194695</v>
      </c>
      <c r="Y179" s="208">
        <v>147109</v>
      </c>
      <c r="Z179" s="208">
        <v>0</v>
      </c>
      <c r="AA179" s="208">
        <v>147109</v>
      </c>
      <c r="AB179" s="208">
        <v>-2390301</v>
      </c>
      <c r="AC179" s="208">
        <v>0</v>
      </c>
      <c r="AD179" s="208">
        <v>-2390301</v>
      </c>
      <c r="AE179" s="208">
        <v>40890098</v>
      </c>
      <c r="AF179" s="208">
        <v>0</v>
      </c>
      <c r="AG179" s="208">
        <v>40890098</v>
      </c>
      <c r="AH179" s="208">
        <v>0</v>
      </c>
      <c r="AI179" s="208">
        <v>0</v>
      </c>
      <c r="AJ179" s="208">
        <v>518671</v>
      </c>
      <c r="AK179" s="208">
        <v>0</v>
      </c>
      <c r="AL179" s="208">
        <v>518671</v>
      </c>
      <c r="AM179" s="208">
        <v>0</v>
      </c>
      <c r="AN179" s="208">
        <v>0</v>
      </c>
      <c r="AO179" s="208">
        <v>0</v>
      </c>
      <c r="AP179" s="208">
        <v>0</v>
      </c>
      <c r="AQ179" s="208">
        <v>0</v>
      </c>
      <c r="AR179" s="208">
        <v>0</v>
      </c>
      <c r="AS179" s="208">
        <v>0</v>
      </c>
      <c r="AT179" s="208">
        <v>0</v>
      </c>
      <c r="AU179" s="208">
        <v>0</v>
      </c>
      <c r="AV179" s="208">
        <v>0</v>
      </c>
      <c r="AW179" s="208">
        <v>0</v>
      </c>
      <c r="AX179" s="208">
        <v>0</v>
      </c>
      <c r="AY179" s="208">
        <v>0</v>
      </c>
      <c r="AZ179" s="208">
        <v>0</v>
      </c>
      <c r="BA179" s="208">
        <v>0</v>
      </c>
      <c r="BB179" s="208">
        <v>0</v>
      </c>
      <c r="BC179" s="208">
        <v>0</v>
      </c>
      <c r="BD179" s="208">
        <v>0</v>
      </c>
      <c r="BE179" s="208">
        <v>0</v>
      </c>
      <c r="BF179" s="208">
        <v>0</v>
      </c>
      <c r="BG179" s="208">
        <v>0</v>
      </c>
      <c r="BH179" s="208">
        <v>0</v>
      </c>
      <c r="BI179" s="208">
        <v>0</v>
      </c>
      <c r="BJ179" s="208">
        <v>0</v>
      </c>
      <c r="BK179" s="208">
        <v>0</v>
      </c>
      <c r="BL179" s="208">
        <v>1118896</v>
      </c>
      <c r="BM179" s="208">
        <v>-466196</v>
      </c>
      <c r="BN179" s="187" t="s">
        <v>833</v>
      </c>
      <c r="BO179" s="187" t="s">
        <v>816</v>
      </c>
      <c r="BP179" s="187" t="s">
        <v>815</v>
      </c>
      <c r="BQ179" s="187" t="s">
        <v>1054</v>
      </c>
    </row>
    <row r="180" spans="1:69" x14ac:dyDescent="0.2">
      <c r="B180" s="429" t="s">
        <v>437</v>
      </c>
      <c r="C180" s="429" t="s">
        <v>970</v>
      </c>
      <c r="D180" s="208">
        <v>143586723</v>
      </c>
      <c r="E180" s="208">
        <v>7998815</v>
      </c>
      <c r="F180" s="208">
        <v>151585538</v>
      </c>
      <c r="G180" s="208">
        <v>0</v>
      </c>
      <c r="H180" s="208">
        <v>0</v>
      </c>
      <c r="I180" s="208">
        <v>0</v>
      </c>
      <c r="J180" s="208">
        <v>-2220143</v>
      </c>
      <c r="K180" s="208">
        <v>0</v>
      </c>
      <c r="L180" s="208">
        <v>-2220143</v>
      </c>
      <c r="M180" s="208">
        <v>0</v>
      </c>
      <c r="N180" s="208">
        <v>0</v>
      </c>
      <c r="O180" s="208">
        <v>0</v>
      </c>
      <c r="P180" s="208">
        <v>-1824353</v>
      </c>
      <c r="Q180" s="208">
        <v>0</v>
      </c>
      <c r="R180" s="208">
        <v>-1824353</v>
      </c>
      <c r="S180" s="208">
        <v>5238220</v>
      </c>
      <c r="T180" s="208">
        <v>248127</v>
      </c>
      <c r="U180" s="208">
        <v>5486347</v>
      </c>
      <c r="V180" s="208">
        <v>0</v>
      </c>
      <c r="W180" s="208">
        <v>0</v>
      </c>
      <c r="X180" s="208">
        <v>0</v>
      </c>
      <c r="Y180" s="208">
        <v>1615755</v>
      </c>
      <c r="Z180" s="208">
        <v>0</v>
      </c>
      <c r="AA180" s="208">
        <v>1615755</v>
      </c>
      <c r="AB180" s="208">
        <v>-14930028</v>
      </c>
      <c r="AC180" s="208">
        <v>0</v>
      </c>
      <c r="AD180" s="208">
        <v>-14930028</v>
      </c>
      <c r="AE180" s="208">
        <v>133686317</v>
      </c>
      <c r="AF180" s="208">
        <v>8246942</v>
      </c>
      <c r="AG180" s="208">
        <v>141933259</v>
      </c>
      <c r="AH180" s="208">
        <v>8246942</v>
      </c>
      <c r="AI180" s="208">
        <v>8246942</v>
      </c>
      <c r="AJ180" s="208">
        <v>0</v>
      </c>
      <c r="AK180" s="208">
        <v>0</v>
      </c>
      <c r="AL180" s="208">
        <v>0</v>
      </c>
      <c r="AM180" s="208">
        <v>0</v>
      </c>
      <c r="AN180" s="208">
        <v>0</v>
      </c>
      <c r="AO180" s="208">
        <v>0</v>
      </c>
      <c r="AP180" s="208">
        <v>-707449</v>
      </c>
      <c r="AQ180" s="208">
        <v>-707449</v>
      </c>
      <c r="AR180" s="208">
        <v>5426647</v>
      </c>
      <c r="AS180" s="208">
        <v>5426647</v>
      </c>
      <c r="AT180" s="208">
        <v>2112846</v>
      </c>
      <c r="AU180" s="208">
        <v>0</v>
      </c>
      <c r="AV180" s="208">
        <v>0</v>
      </c>
      <c r="AW180" s="208">
        <v>0</v>
      </c>
      <c r="AX180" s="208">
        <v>0</v>
      </c>
      <c r="AY180" s="208">
        <v>0</v>
      </c>
      <c r="AZ180" s="208">
        <v>0</v>
      </c>
      <c r="BA180" s="208">
        <v>0</v>
      </c>
      <c r="BB180" s="208">
        <v>0</v>
      </c>
      <c r="BC180" s="208">
        <v>0</v>
      </c>
      <c r="BD180" s="208">
        <v>0</v>
      </c>
      <c r="BE180" s="208">
        <v>0</v>
      </c>
      <c r="BF180" s="208">
        <v>0</v>
      </c>
      <c r="BG180" s="208">
        <v>0</v>
      </c>
      <c r="BH180" s="208">
        <v>0</v>
      </c>
      <c r="BI180" s="208">
        <v>0</v>
      </c>
      <c r="BJ180" s="208">
        <v>0</v>
      </c>
      <c r="BK180" s="208">
        <v>0</v>
      </c>
      <c r="BL180" s="208">
        <v>7243983</v>
      </c>
      <c r="BM180" s="208">
        <v>-5877652</v>
      </c>
      <c r="BN180" s="187" t="s">
        <v>436</v>
      </c>
      <c r="BO180" s="187" t="s">
        <v>754</v>
      </c>
      <c r="BP180" s="187" t="s">
        <v>796</v>
      </c>
      <c r="BQ180" s="187" t="s">
        <v>1056</v>
      </c>
    </row>
    <row r="181" spans="1:69" x14ac:dyDescent="0.2">
      <c r="B181" s="429" t="s">
        <v>439</v>
      </c>
      <c r="C181" s="429" t="s">
        <v>438</v>
      </c>
      <c r="D181" s="208">
        <v>33725274</v>
      </c>
      <c r="E181" s="208">
        <v>0</v>
      </c>
      <c r="F181" s="208">
        <v>33725274</v>
      </c>
      <c r="G181" s="208">
        <v>-307</v>
      </c>
      <c r="H181" s="208">
        <v>0</v>
      </c>
      <c r="I181" s="208">
        <v>-307</v>
      </c>
      <c r="J181" s="208">
        <v>-370616</v>
      </c>
      <c r="K181" s="208">
        <v>0</v>
      </c>
      <c r="L181" s="208">
        <v>-370616</v>
      </c>
      <c r="M181" s="208">
        <v>0</v>
      </c>
      <c r="N181" s="208">
        <v>0</v>
      </c>
      <c r="O181" s="208">
        <v>0</v>
      </c>
      <c r="P181" s="208">
        <v>-139579</v>
      </c>
      <c r="Q181" s="208">
        <v>0</v>
      </c>
      <c r="R181" s="208">
        <v>-139579</v>
      </c>
      <c r="S181" s="208">
        <v>1321669</v>
      </c>
      <c r="T181" s="208">
        <v>0</v>
      </c>
      <c r="U181" s="208">
        <v>1321669</v>
      </c>
      <c r="V181" s="208">
        <v>0</v>
      </c>
      <c r="W181" s="208">
        <v>0</v>
      </c>
      <c r="X181" s="208">
        <v>0</v>
      </c>
      <c r="Y181" s="208">
        <v>-1316217</v>
      </c>
      <c r="Z181" s="208">
        <v>0</v>
      </c>
      <c r="AA181" s="208">
        <v>-1316217</v>
      </c>
      <c r="AB181" s="208">
        <v>-457904</v>
      </c>
      <c r="AC181" s="208">
        <v>0</v>
      </c>
      <c r="AD181" s="208">
        <v>-457904</v>
      </c>
      <c r="AE181" s="208">
        <v>33132936</v>
      </c>
      <c r="AF181" s="208">
        <v>0</v>
      </c>
      <c r="AG181" s="208">
        <v>33132936</v>
      </c>
      <c r="AH181" s="208">
        <v>0</v>
      </c>
      <c r="AI181" s="208">
        <v>0</v>
      </c>
      <c r="AJ181" s="208">
        <v>0</v>
      </c>
      <c r="AK181" s="208">
        <v>0</v>
      </c>
      <c r="AL181" s="208">
        <v>0</v>
      </c>
      <c r="AM181" s="208">
        <v>0</v>
      </c>
      <c r="AN181" s="208">
        <v>0</v>
      </c>
      <c r="AO181" s="208">
        <v>0</v>
      </c>
      <c r="AP181" s="208">
        <v>0</v>
      </c>
      <c r="AQ181" s="208">
        <v>0</v>
      </c>
      <c r="AR181" s="208">
        <v>0</v>
      </c>
      <c r="AS181" s="208">
        <v>0</v>
      </c>
      <c r="AT181" s="208">
        <v>0</v>
      </c>
      <c r="AU181" s="208">
        <v>0</v>
      </c>
      <c r="AV181" s="208">
        <v>0</v>
      </c>
      <c r="AW181" s="208">
        <v>0</v>
      </c>
      <c r="AX181" s="208">
        <v>0</v>
      </c>
      <c r="AY181" s="208">
        <v>0</v>
      </c>
      <c r="AZ181" s="208">
        <v>0</v>
      </c>
      <c r="BA181" s="208">
        <v>0</v>
      </c>
      <c r="BB181" s="208">
        <v>0</v>
      </c>
      <c r="BC181" s="208">
        <v>0</v>
      </c>
      <c r="BD181" s="208">
        <v>0</v>
      </c>
      <c r="BE181" s="208">
        <v>0</v>
      </c>
      <c r="BF181" s="208">
        <v>0</v>
      </c>
      <c r="BG181" s="208">
        <v>0</v>
      </c>
      <c r="BH181" s="208">
        <v>0</v>
      </c>
      <c r="BI181" s="208">
        <v>0</v>
      </c>
      <c r="BJ181" s="208">
        <v>0</v>
      </c>
      <c r="BK181" s="208">
        <v>0</v>
      </c>
      <c r="BL181" s="208">
        <v>1374491</v>
      </c>
      <c r="BM181" s="208">
        <v>-749524</v>
      </c>
      <c r="BN181" s="187" t="s">
        <v>438</v>
      </c>
      <c r="BO181" s="187" t="s">
        <v>794</v>
      </c>
      <c r="BP181" s="187" t="s">
        <v>793</v>
      </c>
      <c r="BQ181" s="187" t="s">
        <v>1054</v>
      </c>
    </row>
    <row r="182" spans="1:69" x14ac:dyDescent="0.2">
      <c r="B182" s="429" t="s">
        <v>441</v>
      </c>
      <c r="C182" s="429" t="s">
        <v>440</v>
      </c>
      <c r="D182" s="208">
        <v>149253656</v>
      </c>
      <c r="E182" s="208">
        <v>1877525</v>
      </c>
      <c r="F182" s="208">
        <v>151131181</v>
      </c>
      <c r="G182" s="208">
        <v>0</v>
      </c>
      <c r="H182" s="208">
        <v>0</v>
      </c>
      <c r="I182" s="208">
        <v>0</v>
      </c>
      <c r="J182" s="208">
        <v>-802786</v>
      </c>
      <c r="K182" s="208">
        <v>0</v>
      </c>
      <c r="L182" s="208">
        <v>-802786</v>
      </c>
      <c r="M182" s="208">
        <v>802786</v>
      </c>
      <c r="N182" s="208">
        <v>0</v>
      </c>
      <c r="O182" s="208">
        <v>802786</v>
      </c>
      <c r="P182" s="208">
        <v>-1377512</v>
      </c>
      <c r="Q182" s="208">
        <v>0</v>
      </c>
      <c r="R182" s="208">
        <v>-1377512</v>
      </c>
      <c r="S182" s="208">
        <v>807569</v>
      </c>
      <c r="T182" s="208">
        <v>0</v>
      </c>
      <c r="U182" s="208">
        <v>807569</v>
      </c>
      <c r="V182" s="208">
        <v>0</v>
      </c>
      <c r="W182" s="208">
        <v>0</v>
      </c>
      <c r="X182" s="208">
        <v>0</v>
      </c>
      <c r="Y182" s="208">
        <v>1738412</v>
      </c>
      <c r="Z182" s="208">
        <v>0</v>
      </c>
      <c r="AA182" s="208">
        <v>1738412</v>
      </c>
      <c r="AB182" s="208">
        <v>-14507135</v>
      </c>
      <c r="AC182" s="208">
        <v>0</v>
      </c>
      <c r="AD182" s="208">
        <v>-14507135</v>
      </c>
      <c r="AE182" s="208">
        <v>136717776</v>
      </c>
      <c r="AF182" s="208">
        <v>1877525</v>
      </c>
      <c r="AG182" s="208">
        <v>138595301</v>
      </c>
      <c r="AH182" s="208">
        <v>1877525</v>
      </c>
      <c r="AI182" s="208">
        <v>1877525</v>
      </c>
      <c r="AJ182" s="208">
        <v>0</v>
      </c>
      <c r="AK182" s="208">
        <v>0</v>
      </c>
      <c r="AL182" s="208">
        <v>0</v>
      </c>
      <c r="AM182" s="208">
        <v>0</v>
      </c>
      <c r="AN182" s="208">
        <v>0</v>
      </c>
      <c r="AO182" s="208">
        <v>0</v>
      </c>
      <c r="AP182" s="208">
        <v>-6094</v>
      </c>
      <c r="AQ182" s="208">
        <v>-6094</v>
      </c>
      <c r="AR182" s="208">
        <v>237770</v>
      </c>
      <c r="AS182" s="208">
        <v>237770</v>
      </c>
      <c r="AT182" s="208">
        <v>1633661</v>
      </c>
      <c r="AU182" s="208">
        <v>0</v>
      </c>
      <c r="AV182" s="208">
        <v>530716</v>
      </c>
      <c r="AW182" s="208">
        <v>530716</v>
      </c>
      <c r="AX182" s="208">
        <v>0</v>
      </c>
      <c r="AY182" s="208">
        <v>0</v>
      </c>
      <c r="AZ182" s="208">
        <v>0</v>
      </c>
      <c r="BA182" s="208">
        <v>0</v>
      </c>
      <c r="BB182" s="208">
        <v>0</v>
      </c>
      <c r="BC182" s="208">
        <v>0</v>
      </c>
      <c r="BD182" s="208">
        <v>0</v>
      </c>
      <c r="BE182" s="208">
        <v>0</v>
      </c>
      <c r="BF182" s="208">
        <v>0</v>
      </c>
      <c r="BG182" s="208">
        <v>0</v>
      </c>
      <c r="BH182" s="208">
        <v>0</v>
      </c>
      <c r="BI182" s="208">
        <v>0</v>
      </c>
      <c r="BJ182" s="208">
        <v>0</v>
      </c>
      <c r="BK182" s="208">
        <v>0</v>
      </c>
      <c r="BL182" s="208">
        <v>4261940</v>
      </c>
      <c r="BM182" s="208">
        <v>-4444571</v>
      </c>
      <c r="BN182" s="187" t="s">
        <v>440</v>
      </c>
      <c r="BO182" s="187" t="s">
        <v>767</v>
      </c>
      <c r="BP182" s="187" t="s">
        <v>743</v>
      </c>
      <c r="BQ182" s="187" t="s">
        <v>1055</v>
      </c>
    </row>
    <row r="183" spans="1:69" x14ac:dyDescent="0.2">
      <c r="B183" s="429" t="s">
        <v>443</v>
      </c>
      <c r="C183" s="429" t="s">
        <v>442</v>
      </c>
      <c r="D183" s="208">
        <v>32672239</v>
      </c>
      <c r="E183" s="208">
        <v>0</v>
      </c>
      <c r="F183" s="208">
        <v>32672239</v>
      </c>
      <c r="G183" s="208">
        <v>-423</v>
      </c>
      <c r="H183" s="208">
        <v>0</v>
      </c>
      <c r="I183" s="208">
        <v>-423</v>
      </c>
      <c r="J183" s="208">
        <v>-412895</v>
      </c>
      <c r="K183" s="208">
        <v>0</v>
      </c>
      <c r="L183" s="208">
        <v>-412895</v>
      </c>
      <c r="M183" s="208">
        <v>0</v>
      </c>
      <c r="N183" s="208">
        <v>0</v>
      </c>
      <c r="O183" s="208">
        <v>0</v>
      </c>
      <c r="P183" s="208">
        <v>-341011</v>
      </c>
      <c r="Q183" s="208">
        <v>0</v>
      </c>
      <c r="R183" s="208">
        <v>-341011</v>
      </c>
      <c r="S183" s="208">
        <v>158560</v>
      </c>
      <c r="T183" s="208">
        <v>0</v>
      </c>
      <c r="U183" s="208">
        <v>158560</v>
      </c>
      <c r="V183" s="208">
        <v>89729</v>
      </c>
      <c r="W183" s="208">
        <v>0</v>
      </c>
      <c r="X183" s="208">
        <v>89729</v>
      </c>
      <c r="Y183" s="208">
        <v>-408560</v>
      </c>
      <c r="Z183" s="208">
        <v>0</v>
      </c>
      <c r="AA183" s="208">
        <v>-408560</v>
      </c>
      <c r="AB183" s="208">
        <v>-189707</v>
      </c>
      <c r="AC183" s="208">
        <v>0</v>
      </c>
      <c r="AD183" s="208">
        <v>-189707</v>
      </c>
      <c r="AE183" s="208">
        <v>31980827</v>
      </c>
      <c r="AF183" s="208">
        <v>0</v>
      </c>
      <c r="AG183" s="208">
        <v>31980827</v>
      </c>
      <c r="AH183" s="208">
        <v>0</v>
      </c>
      <c r="AI183" s="208">
        <v>0</v>
      </c>
      <c r="AJ183" s="208">
        <v>344640</v>
      </c>
      <c r="AK183" s="208">
        <v>0</v>
      </c>
      <c r="AL183" s="208">
        <v>344640</v>
      </c>
      <c r="AM183" s="208">
        <v>0</v>
      </c>
      <c r="AN183" s="208">
        <v>0</v>
      </c>
      <c r="AO183" s="208">
        <v>0</v>
      </c>
      <c r="AP183" s="208">
        <v>0</v>
      </c>
      <c r="AQ183" s="208">
        <v>0</v>
      </c>
      <c r="AR183" s="208">
        <v>0</v>
      </c>
      <c r="AS183" s="208">
        <v>0</v>
      </c>
      <c r="AT183" s="208">
        <v>0</v>
      </c>
      <c r="AU183" s="208">
        <v>0</v>
      </c>
      <c r="AV183" s="208">
        <v>0</v>
      </c>
      <c r="AW183" s="208">
        <v>0</v>
      </c>
      <c r="AX183" s="208">
        <v>0</v>
      </c>
      <c r="AY183" s="208">
        <v>0</v>
      </c>
      <c r="AZ183" s="208">
        <v>0</v>
      </c>
      <c r="BA183" s="208">
        <v>0</v>
      </c>
      <c r="BB183" s="208">
        <v>0</v>
      </c>
      <c r="BC183" s="208">
        <v>0</v>
      </c>
      <c r="BD183" s="208">
        <v>0</v>
      </c>
      <c r="BE183" s="208">
        <v>0</v>
      </c>
      <c r="BF183" s="208">
        <v>0</v>
      </c>
      <c r="BG183" s="208">
        <v>0</v>
      </c>
      <c r="BH183" s="208">
        <v>0</v>
      </c>
      <c r="BI183" s="208">
        <v>0</v>
      </c>
      <c r="BJ183" s="208">
        <v>0</v>
      </c>
      <c r="BK183" s="208">
        <v>0</v>
      </c>
      <c r="BL183" s="208">
        <v>1255064</v>
      </c>
      <c r="BM183" s="208">
        <v>-643839</v>
      </c>
      <c r="BN183" s="187" t="s">
        <v>442</v>
      </c>
      <c r="BO183" s="187" t="s">
        <v>772</v>
      </c>
      <c r="BP183" s="187" t="s">
        <v>768</v>
      </c>
      <c r="BQ183" s="187" t="s">
        <v>1054</v>
      </c>
    </row>
    <row r="184" spans="1:69" x14ac:dyDescent="0.2">
      <c r="B184" s="429" t="s">
        <v>445</v>
      </c>
      <c r="C184" s="429" t="s">
        <v>444</v>
      </c>
      <c r="D184" s="208">
        <v>14199616</v>
      </c>
      <c r="E184" s="208">
        <v>0</v>
      </c>
      <c r="F184" s="208">
        <v>14199616</v>
      </c>
      <c r="G184" s="208">
        <v>0</v>
      </c>
      <c r="H184" s="208">
        <v>0</v>
      </c>
      <c r="I184" s="208">
        <v>0</v>
      </c>
      <c r="J184" s="208">
        <v>-40896</v>
      </c>
      <c r="K184" s="208">
        <v>0</v>
      </c>
      <c r="L184" s="208">
        <v>-40896</v>
      </c>
      <c r="M184" s="208">
        <v>0</v>
      </c>
      <c r="N184" s="208">
        <v>0</v>
      </c>
      <c r="O184" s="208">
        <v>0</v>
      </c>
      <c r="P184" s="208">
        <v>-42896</v>
      </c>
      <c r="Q184" s="208">
        <v>0</v>
      </c>
      <c r="R184" s="208">
        <v>-42896</v>
      </c>
      <c r="S184" s="208">
        <v>254055</v>
      </c>
      <c r="T184" s="208">
        <v>0</v>
      </c>
      <c r="U184" s="208">
        <v>254055</v>
      </c>
      <c r="V184" s="208">
        <v>0</v>
      </c>
      <c r="W184" s="208">
        <v>0</v>
      </c>
      <c r="X184" s="208">
        <v>0</v>
      </c>
      <c r="Y184" s="208">
        <v>-1450000</v>
      </c>
      <c r="Z184" s="208">
        <v>0</v>
      </c>
      <c r="AA184" s="208">
        <v>-1450000</v>
      </c>
      <c r="AB184" s="208">
        <v>-752580</v>
      </c>
      <c r="AC184" s="208">
        <v>0</v>
      </c>
      <c r="AD184" s="208">
        <v>-752580</v>
      </c>
      <c r="AE184" s="208">
        <v>12208195</v>
      </c>
      <c r="AF184" s="208">
        <v>0</v>
      </c>
      <c r="AG184" s="208">
        <v>12208195</v>
      </c>
      <c r="AH184" s="208">
        <v>0</v>
      </c>
      <c r="AI184" s="208">
        <v>0</v>
      </c>
      <c r="AJ184" s="208">
        <v>132321</v>
      </c>
      <c r="AK184" s="208">
        <v>0</v>
      </c>
      <c r="AL184" s="208">
        <v>132321</v>
      </c>
      <c r="AM184" s="208">
        <v>0</v>
      </c>
      <c r="AN184" s="208">
        <v>0</v>
      </c>
      <c r="AO184" s="208">
        <v>0</v>
      </c>
      <c r="AP184" s="208">
        <v>0</v>
      </c>
      <c r="AQ184" s="208">
        <v>0</v>
      </c>
      <c r="AR184" s="208">
        <v>0</v>
      </c>
      <c r="AS184" s="208">
        <v>0</v>
      </c>
      <c r="AT184" s="208">
        <v>0</v>
      </c>
      <c r="AU184" s="208">
        <v>0</v>
      </c>
      <c r="AV184" s="208">
        <v>0</v>
      </c>
      <c r="AW184" s="208">
        <v>0</v>
      </c>
      <c r="AX184" s="208">
        <v>0</v>
      </c>
      <c r="AY184" s="208">
        <v>0</v>
      </c>
      <c r="AZ184" s="208">
        <v>0</v>
      </c>
      <c r="BA184" s="208">
        <v>0</v>
      </c>
      <c r="BB184" s="208">
        <v>0</v>
      </c>
      <c r="BC184" s="208">
        <v>0</v>
      </c>
      <c r="BD184" s="208">
        <v>0</v>
      </c>
      <c r="BE184" s="208">
        <v>0</v>
      </c>
      <c r="BF184" s="208">
        <v>0</v>
      </c>
      <c r="BG184" s="208">
        <v>0</v>
      </c>
      <c r="BH184" s="208">
        <v>0</v>
      </c>
      <c r="BI184" s="208">
        <v>0</v>
      </c>
      <c r="BJ184" s="208">
        <v>0</v>
      </c>
      <c r="BK184" s="208">
        <v>0</v>
      </c>
      <c r="BL184" s="208">
        <v>449957</v>
      </c>
      <c r="BM184" s="208">
        <v>-108702</v>
      </c>
      <c r="BN184" s="187" t="s">
        <v>444</v>
      </c>
      <c r="BO184" s="187" t="s">
        <v>765</v>
      </c>
      <c r="BP184" s="187" t="s">
        <v>764</v>
      </c>
      <c r="BQ184" s="187" t="s">
        <v>1054</v>
      </c>
    </row>
    <row r="185" spans="1:69" x14ac:dyDescent="0.2">
      <c r="B185" s="429" t="s">
        <v>447</v>
      </c>
      <c r="C185" s="429" t="s">
        <v>446</v>
      </c>
      <c r="D185" s="208">
        <v>16165927</v>
      </c>
      <c r="E185" s="208">
        <v>0</v>
      </c>
      <c r="F185" s="208">
        <v>16165927</v>
      </c>
      <c r="G185" s="208">
        <v>0</v>
      </c>
      <c r="H185" s="208">
        <v>0</v>
      </c>
      <c r="I185" s="208">
        <v>0</v>
      </c>
      <c r="J185" s="208">
        <v>-151108</v>
      </c>
      <c r="K185" s="208">
        <v>0</v>
      </c>
      <c r="L185" s="208">
        <v>-151108</v>
      </c>
      <c r="M185" s="208">
        <v>0</v>
      </c>
      <c r="N185" s="208">
        <v>0</v>
      </c>
      <c r="O185" s="208">
        <v>0</v>
      </c>
      <c r="P185" s="208">
        <v>23984</v>
      </c>
      <c r="Q185" s="208">
        <v>0</v>
      </c>
      <c r="R185" s="208">
        <v>23984</v>
      </c>
      <c r="S185" s="208">
        <v>543503</v>
      </c>
      <c r="T185" s="208">
        <v>0</v>
      </c>
      <c r="U185" s="208">
        <v>543503</v>
      </c>
      <c r="V185" s="208">
        <v>1071737</v>
      </c>
      <c r="W185" s="208">
        <v>0</v>
      </c>
      <c r="X185" s="208">
        <v>1071737</v>
      </c>
      <c r="Y185" s="208">
        <v>-507968</v>
      </c>
      <c r="Z185" s="208">
        <v>0</v>
      </c>
      <c r="AA185" s="208">
        <v>-507968</v>
      </c>
      <c r="AB185" s="208">
        <v>-811116</v>
      </c>
      <c r="AC185" s="208">
        <v>0</v>
      </c>
      <c r="AD185" s="208">
        <v>-811116</v>
      </c>
      <c r="AE185" s="208">
        <v>16486067</v>
      </c>
      <c r="AF185" s="208">
        <v>0</v>
      </c>
      <c r="AG185" s="208">
        <v>16486067</v>
      </c>
      <c r="AH185" s="208">
        <v>0</v>
      </c>
      <c r="AI185" s="208">
        <v>0</v>
      </c>
      <c r="AJ185" s="208">
        <v>0</v>
      </c>
      <c r="AK185" s="208">
        <v>0</v>
      </c>
      <c r="AL185" s="208">
        <v>0</v>
      </c>
      <c r="AM185" s="208">
        <v>0</v>
      </c>
      <c r="AN185" s="208">
        <v>0</v>
      </c>
      <c r="AO185" s="208">
        <v>0</v>
      </c>
      <c r="AP185" s="208">
        <v>0</v>
      </c>
      <c r="AQ185" s="208">
        <v>0</v>
      </c>
      <c r="AR185" s="208">
        <v>0</v>
      </c>
      <c r="AS185" s="208">
        <v>0</v>
      </c>
      <c r="AT185" s="208">
        <v>0</v>
      </c>
      <c r="AU185" s="208">
        <v>0</v>
      </c>
      <c r="AV185" s="208">
        <v>0</v>
      </c>
      <c r="AW185" s="208">
        <v>0</v>
      </c>
      <c r="AX185" s="208">
        <v>0</v>
      </c>
      <c r="AY185" s="208">
        <v>0</v>
      </c>
      <c r="AZ185" s="208">
        <v>0</v>
      </c>
      <c r="BA185" s="208">
        <v>0</v>
      </c>
      <c r="BB185" s="208">
        <v>0</v>
      </c>
      <c r="BC185" s="208">
        <v>0</v>
      </c>
      <c r="BD185" s="208">
        <v>0</v>
      </c>
      <c r="BE185" s="208">
        <v>0</v>
      </c>
      <c r="BF185" s="208">
        <v>0</v>
      </c>
      <c r="BG185" s="208">
        <v>0</v>
      </c>
      <c r="BH185" s="208">
        <v>0</v>
      </c>
      <c r="BI185" s="208">
        <v>0</v>
      </c>
      <c r="BJ185" s="208">
        <v>0</v>
      </c>
      <c r="BK185" s="208">
        <v>0</v>
      </c>
      <c r="BL185" s="208">
        <v>597139</v>
      </c>
      <c r="BM185" s="208">
        <v>-106265</v>
      </c>
      <c r="BN185" s="187" t="s">
        <v>446</v>
      </c>
      <c r="BO185" s="187" t="s">
        <v>807</v>
      </c>
      <c r="BP185" s="187" t="s">
        <v>806</v>
      </c>
      <c r="BQ185" s="187" t="s">
        <v>1054</v>
      </c>
    </row>
    <row r="186" spans="1:69" x14ac:dyDescent="0.2">
      <c r="B186" s="429" t="s">
        <v>449</v>
      </c>
      <c r="C186" s="429" t="s">
        <v>448</v>
      </c>
      <c r="D186" s="208">
        <v>61006504</v>
      </c>
      <c r="E186" s="208">
        <v>0</v>
      </c>
      <c r="F186" s="208">
        <v>61006504</v>
      </c>
      <c r="G186" s="208">
        <v>0</v>
      </c>
      <c r="H186" s="208">
        <v>0</v>
      </c>
      <c r="I186" s="208">
        <v>0</v>
      </c>
      <c r="J186" s="208">
        <v>-741941</v>
      </c>
      <c r="K186" s="208">
        <v>0</v>
      </c>
      <c r="L186" s="208">
        <v>-741941</v>
      </c>
      <c r="M186" s="208">
        <v>0</v>
      </c>
      <c r="N186" s="208">
        <v>0</v>
      </c>
      <c r="O186" s="208">
        <v>0</v>
      </c>
      <c r="P186" s="208">
        <v>-755989</v>
      </c>
      <c r="Q186" s="208">
        <v>0</v>
      </c>
      <c r="R186" s="208">
        <v>-755989</v>
      </c>
      <c r="S186" s="208">
        <v>3240326</v>
      </c>
      <c r="T186" s="208">
        <v>0</v>
      </c>
      <c r="U186" s="208">
        <v>3240326</v>
      </c>
      <c r="V186" s="208">
        <v>0</v>
      </c>
      <c r="W186" s="208">
        <v>0</v>
      </c>
      <c r="X186" s="208">
        <v>0</v>
      </c>
      <c r="Y186" s="208">
        <v>-922451</v>
      </c>
      <c r="Z186" s="208">
        <v>0</v>
      </c>
      <c r="AA186" s="208">
        <v>-922451</v>
      </c>
      <c r="AB186" s="208">
        <v>-2867306</v>
      </c>
      <c r="AC186" s="208">
        <v>0</v>
      </c>
      <c r="AD186" s="208">
        <v>-2867306</v>
      </c>
      <c r="AE186" s="208">
        <v>59701084</v>
      </c>
      <c r="AF186" s="208">
        <v>0</v>
      </c>
      <c r="AG186" s="208">
        <v>59701084</v>
      </c>
      <c r="AH186" s="208">
        <v>0</v>
      </c>
      <c r="AI186" s="208">
        <v>0</v>
      </c>
      <c r="AJ186" s="208">
        <v>134891</v>
      </c>
      <c r="AK186" s="208">
        <v>0</v>
      </c>
      <c r="AL186" s="208">
        <v>134891</v>
      </c>
      <c r="AM186" s="208">
        <v>0</v>
      </c>
      <c r="AN186" s="208">
        <v>0</v>
      </c>
      <c r="AO186" s="208">
        <v>0</v>
      </c>
      <c r="AP186" s="208">
        <v>0</v>
      </c>
      <c r="AQ186" s="208">
        <v>0</v>
      </c>
      <c r="AR186" s="208">
        <v>0</v>
      </c>
      <c r="AS186" s="208">
        <v>0</v>
      </c>
      <c r="AT186" s="208">
        <v>0</v>
      </c>
      <c r="AU186" s="208">
        <v>0</v>
      </c>
      <c r="AV186" s="208">
        <v>0</v>
      </c>
      <c r="AW186" s="208">
        <v>0</v>
      </c>
      <c r="AX186" s="208">
        <v>0</v>
      </c>
      <c r="AY186" s="208">
        <v>128131</v>
      </c>
      <c r="AZ186" s="208">
        <v>128131</v>
      </c>
      <c r="BA186" s="208">
        <v>0</v>
      </c>
      <c r="BB186" s="208">
        <v>0</v>
      </c>
      <c r="BC186" s="208">
        <v>0</v>
      </c>
      <c r="BD186" s="208">
        <v>0</v>
      </c>
      <c r="BE186" s="208">
        <v>0</v>
      </c>
      <c r="BF186" s="208">
        <v>0</v>
      </c>
      <c r="BG186" s="208">
        <v>0</v>
      </c>
      <c r="BH186" s="208">
        <v>0</v>
      </c>
      <c r="BI186" s="208">
        <v>0</v>
      </c>
      <c r="BJ186" s="208">
        <v>128131</v>
      </c>
      <c r="BK186" s="208">
        <v>128131</v>
      </c>
      <c r="BL186" s="208">
        <v>5973441</v>
      </c>
      <c r="BM186" s="208">
        <v>-3047999</v>
      </c>
      <c r="BN186" s="187" t="s">
        <v>832</v>
      </c>
      <c r="BO186" s="187" t="s">
        <v>742</v>
      </c>
      <c r="BP186" s="187" t="s">
        <v>830</v>
      </c>
      <c r="BQ186" s="187" t="s">
        <v>742</v>
      </c>
    </row>
    <row r="187" spans="1:69" x14ac:dyDescent="0.2">
      <c r="A187" s="188"/>
      <c r="B187" s="429" t="s">
        <v>451</v>
      </c>
      <c r="C187" s="429" t="s">
        <v>450</v>
      </c>
      <c r="D187" s="208">
        <v>37565636</v>
      </c>
      <c r="E187" s="208">
        <v>0</v>
      </c>
      <c r="F187" s="208">
        <v>37565636</v>
      </c>
      <c r="G187" s="208">
        <v>0</v>
      </c>
      <c r="H187" s="208">
        <v>0</v>
      </c>
      <c r="I187" s="208">
        <v>0</v>
      </c>
      <c r="J187" s="208">
        <v>-231256</v>
      </c>
      <c r="K187" s="208">
        <v>0</v>
      </c>
      <c r="L187" s="208">
        <v>-231256</v>
      </c>
      <c r="M187" s="208">
        <v>0</v>
      </c>
      <c r="N187" s="208">
        <v>0</v>
      </c>
      <c r="O187" s="208">
        <v>0</v>
      </c>
      <c r="P187" s="208">
        <v>-200558</v>
      </c>
      <c r="Q187" s="208">
        <v>0</v>
      </c>
      <c r="R187" s="208">
        <v>-200558</v>
      </c>
      <c r="S187" s="208">
        <v>1155455</v>
      </c>
      <c r="T187" s="208">
        <v>0</v>
      </c>
      <c r="U187" s="208">
        <v>1155455</v>
      </c>
      <c r="V187" s="208">
        <v>0</v>
      </c>
      <c r="W187" s="208">
        <v>0</v>
      </c>
      <c r="X187" s="208">
        <v>0</v>
      </c>
      <c r="Y187" s="208">
        <v>-1139997</v>
      </c>
      <c r="Z187" s="208">
        <v>0</v>
      </c>
      <c r="AA187" s="208">
        <v>-1139997</v>
      </c>
      <c r="AB187" s="208">
        <v>-950756</v>
      </c>
      <c r="AC187" s="208">
        <v>0</v>
      </c>
      <c r="AD187" s="208">
        <v>-950756</v>
      </c>
      <c r="AE187" s="208">
        <v>36429780</v>
      </c>
      <c r="AF187" s="208">
        <v>0</v>
      </c>
      <c r="AG187" s="208">
        <v>36429780</v>
      </c>
      <c r="AH187" s="208">
        <v>0</v>
      </c>
      <c r="AI187" s="208">
        <v>0</v>
      </c>
      <c r="AJ187" s="208">
        <v>42349</v>
      </c>
      <c r="AK187" s="208">
        <v>0</v>
      </c>
      <c r="AL187" s="208">
        <v>42349</v>
      </c>
      <c r="AM187" s="208">
        <v>0</v>
      </c>
      <c r="AN187" s="208">
        <v>0</v>
      </c>
      <c r="AO187" s="208">
        <v>0</v>
      </c>
      <c r="AP187" s="208">
        <v>0</v>
      </c>
      <c r="AQ187" s="208">
        <v>0</v>
      </c>
      <c r="AR187" s="208">
        <v>0</v>
      </c>
      <c r="AS187" s="208">
        <v>0</v>
      </c>
      <c r="AT187" s="208">
        <v>0</v>
      </c>
      <c r="AU187" s="208">
        <v>0</v>
      </c>
      <c r="AV187" s="208">
        <v>0</v>
      </c>
      <c r="AW187" s="208">
        <v>0</v>
      </c>
      <c r="AX187" s="208">
        <v>0</v>
      </c>
      <c r="AY187" s="208">
        <v>0</v>
      </c>
      <c r="AZ187" s="208">
        <v>0</v>
      </c>
      <c r="BA187" s="208">
        <v>0</v>
      </c>
      <c r="BB187" s="208">
        <v>0</v>
      </c>
      <c r="BC187" s="208">
        <v>0</v>
      </c>
      <c r="BD187" s="208">
        <v>0</v>
      </c>
      <c r="BE187" s="208">
        <v>0</v>
      </c>
      <c r="BF187" s="208">
        <v>0</v>
      </c>
      <c r="BG187" s="208">
        <v>0</v>
      </c>
      <c r="BH187" s="208">
        <v>0</v>
      </c>
      <c r="BI187" s="208">
        <v>0</v>
      </c>
      <c r="BJ187" s="208">
        <v>0</v>
      </c>
      <c r="BK187" s="208">
        <v>0</v>
      </c>
      <c r="BL187" s="208">
        <v>1610557</v>
      </c>
      <c r="BM187" s="208">
        <v>-647128</v>
      </c>
      <c r="BN187" s="187" t="s">
        <v>450</v>
      </c>
      <c r="BO187" s="187" t="s">
        <v>774</v>
      </c>
      <c r="BP187" s="187" t="s">
        <v>751</v>
      </c>
      <c r="BQ187" s="187" t="s">
        <v>1054</v>
      </c>
    </row>
    <row r="188" spans="1:69" x14ac:dyDescent="0.2">
      <c r="B188" s="429" t="s">
        <v>453</v>
      </c>
      <c r="C188" s="429" t="s">
        <v>452</v>
      </c>
      <c r="D188" s="208">
        <v>26479963</v>
      </c>
      <c r="E188" s="208">
        <v>0</v>
      </c>
      <c r="F188" s="208">
        <v>26479963</v>
      </c>
      <c r="G188" s="208">
        <v>-2573</v>
      </c>
      <c r="H188" s="208">
        <v>0</v>
      </c>
      <c r="I188" s="208">
        <v>-2573</v>
      </c>
      <c r="J188" s="208">
        <v>-79506</v>
      </c>
      <c r="K188" s="208">
        <v>0</v>
      </c>
      <c r="L188" s="208">
        <v>-79506</v>
      </c>
      <c r="M188" s="208">
        <v>0</v>
      </c>
      <c r="N188" s="208">
        <v>0</v>
      </c>
      <c r="O188" s="208">
        <v>0</v>
      </c>
      <c r="P188" s="208">
        <v>-95374</v>
      </c>
      <c r="Q188" s="208">
        <v>0</v>
      </c>
      <c r="R188" s="208">
        <v>-95374</v>
      </c>
      <c r="S188" s="208">
        <v>1471241</v>
      </c>
      <c r="T188" s="208">
        <v>0</v>
      </c>
      <c r="U188" s="208">
        <v>1471241</v>
      </c>
      <c r="V188" s="208">
        <v>0</v>
      </c>
      <c r="W188" s="208">
        <v>0</v>
      </c>
      <c r="X188" s="208">
        <v>0</v>
      </c>
      <c r="Y188" s="208">
        <v>1532523</v>
      </c>
      <c r="Z188" s="208">
        <v>0</v>
      </c>
      <c r="AA188" s="208">
        <v>1532523</v>
      </c>
      <c r="AB188" s="208">
        <v>1014161</v>
      </c>
      <c r="AC188" s="208">
        <v>0</v>
      </c>
      <c r="AD188" s="208">
        <v>1014161</v>
      </c>
      <c r="AE188" s="208">
        <v>30399941</v>
      </c>
      <c r="AF188" s="208">
        <v>0</v>
      </c>
      <c r="AG188" s="208">
        <v>30399941</v>
      </c>
      <c r="AH188" s="208">
        <v>0</v>
      </c>
      <c r="AI188" s="208">
        <v>0</v>
      </c>
      <c r="AJ188" s="208">
        <v>1654081</v>
      </c>
      <c r="AK188" s="208">
        <v>0</v>
      </c>
      <c r="AL188" s="208">
        <v>1654081</v>
      </c>
      <c r="AM188" s="208">
        <v>0</v>
      </c>
      <c r="AN188" s="208">
        <v>0</v>
      </c>
      <c r="AO188" s="208">
        <v>0</v>
      </c>
      <c r="AP188" s="208">
        <v>0</v>
      </c>
      <c r="AQ188" s="208">
        <v>0</v>
      </c>
      <c r="AR188" s="208">
        <v>0</v>
      </c>
      <c r="AS188" s="208">
        <v>0</v>
      </c>
      <c r="AT188" s="208">
        <v>0</v>
      </c>
      <c r="AU188" s="208">
        <v>0</v>
      </c>
      <c r="AV188" s="208">
        <v>0</v>
      </c>
      <c r="AW188" s="208">
        <v>0</v>
      </c>
      <c r="AX188" s="208">
        <v>0</v>
      </c>
      <c r="AY188" s="208">
        <v>0</v>
      </c>
      <c r="AZ188" s="208">
        <v>0</v>
      </c>
      <c r="BA188" s="208">
        <v>0</v>
      </c>
      <c r="BB188" s="208">
        <v>0</v>
      </c>
      <c r="BC188" s="208">
        <v>0</v>
      </c>
      <c r="BD188" s="208">
        <v>0</v>
      </c>
      <c r="BE188" s="208">
        <v>0</v>
      </c>
      <c r="BF188" s="208">
        <v>0</v>
      </c>
      <c r="BG188" s="208">
        <v>0</v>
      </c>
      <c r="BH188" s="208">
        <v>0</v>
      </c>
      <c r="BI188" s="208">
        <v>0</v>
      </c>
      <c r="BJ188" s="208">
        <v>0</v>
      </c>
      <c r="BK188" s="208">
        <v>0</v>
      </c>
      <c r="BL188" s="208">
        <v>497053</v>
      </c>
      <c r="BM188" s="208">
        <v>-728074</v>
      </c>
      <c r="BN188" s="187" t="s">
        <v>452</v>
      </c>
      <c r="BO188" s="187" t="s">
        <v>771</v>
      </c>
      <c r="BP188" s="187" t="s">
        <v>751</v>
      </c>
      <c r="BQ188" s="187" t="s">
        <v>1054</v>
      </c>
    </row>
    <row r="189" spans="1:69" x14ac:dyDescent="0.2">
      <c r="B189" s="429" t="s">
        <v>455</v>
      </c>
      <c r="C189" s="429" t="s">
        <v>454</v>
      </c>
      <c r="D189" s="208">
        <v>85708935</v>
      </c>
      <c r="E189" s="208">
        <v>1972772</v>
      </c>
      <c r="F189" s="208">
        <v>87681707</v>
      </c>
      <c r="G189" s="208">
        <v>0</v>
      </c>
      <c r="H189" s="208">
        <v>0</v>
      </c>
      <c r="I189" s="208">
        <v>0</v>
      </c>
      <c r="J189" s="208">
        <v>-441883</v>
      </c>
      <c r="K189" s="208">
        <v>0</v>
      </c>
      <c r="L189" s="208">
        <v>-441883</v>
      </c>
      <c r="M189" s="208">
        <v>0</v>
      </c>
      <c r="N189" s="208">
        <v>0</v>
      </c>
      <c r="O189" s="208">
        <v>0</v>
      </c>
      <c r="P189" s="208">
        <v>-458883</v>
      </c>
      <c r="Q189" s="208">
        <v>0</v>
      </c>
      <c r="R189" s="208">
        <v>-458883</v>
      </c>
      <c r="S189" s="208">
        <v>4108003</v>
      </c>
      <c r="T189" s="208">
        <v>0</v>
      </c>
      <c r="U189" s="208">
        <v>4108003</v>
      </c>
      <c r="V189" s="208">
        <v>0</v>
      </c>
      <c r="W189" s="208">
        <v>0</v>
      </c>
      <c r="X189" s="208">
        <v>0</v>
      </c>
      <c r="Y189" s="208">
        <v>-13612003</v>
      </c>
      <c r="Z189" s="208">
        <v>0</v>
      </c>
      <c r="AA189" s="208">
        <v>-13612003</v>
      </c>
      <c r="AB189" s="208">
        <v>13946000</v>
      </c>
      <c r="AC189" s="208">
        <v>0</v>
      </c>
      <c r="AD189" s="208">
        <v>13946000</v>
      </c>
      <c r="AE189" s="208">
        <v>89692052</v>
      </c>
      <c r="AF189" s="208">
        <v>1972772</v>
      </c>
      <c r="AG189" s="208">
        <v>91664824</v>
      </c>
      <c r="AH189" s="208">
        <v>1972772</v>
      </c>
      <c r="AI189" s="208">
        <v>1972772</v>
      </c>
      <c r="AJ189" s="208">
        <v>2805911</v>
      </c>
      <c r="AK189" s="208">
        <v>0</v>
      </c>
      <c r="AL189" s="208">
        <v>2805911</v>
      </c>
      <c r="AM189" s="208">
        <v>0</v>
      </c>
      <c r="AN189" s="208">
        <v>0</v>
      </c>
      <c r="AO189" s="208">
        <v>0</v>
      </c>
      <c r="AP189" s="208">
        <v>9762</v>
      </c>
      <c r="AQ189" s="208">
        <v>9762</v>
      </c>
      <c r="AR189" s="208">
        <v>944527</v>
      </c>
      <c r="AS189" s="208">
        <v>944527</v>
      </c>
      <c r="AT189" s="208">
        <v>1038007</v>
      </c>
      <c r="AU189" s="208">
        <v>0</v>
      </c>
      <c r="AV189" s="208">
        <v>137787</v>
      </c>
      <c r="AW189" s="208">
        <v>137787</v>
      </c>
      <c r="AX189" s="208">
        <v>0</v>
      </c>
      <c r="AY189" s="208">
        <v>0</v>
      </c>
      <c r="AZ189" s="208">
        <v>0</v>
      </c>
      <c r="BA189" s="208">
        <v>0</v>
      </c>
      <c r="BB189" s="208">
        <v>0</v>
      </c>
      <c r="BC189" s="208">
        <v>0</v>
      </c>
      <c r="BD189" s="208">
        <v>0</v>
      </c>
      <c r="BE189" s="208">
        <v>0</v>
      </c>
      <c r="BF189" s="208">
        <v>0</v>
      </c>
      <c r="BG189" s="208">
        <v>0</v>
      </c>
      <c r="BH189" s="208">
        <v>0</v>
      </c>
      <c r="BI189" s="208">
        <v>0</v>
      </c>
      <c r="BJ189" s="208">
        <v>0</v>
      </c>
      <c r="BK189" s="208">
        <v>0</v>
      </c>
      <c r="BL189" s="208">
        <v>3756265</v>
      </c>
      <c r="BM189" s="208">
        <v>-145292</v>
      </c>
      <c r="BN189" s="187" t="s">
        <v>831</v>
      </c>
      <c r="BO189" s="187" t="s">
        <v>742</v>
      </c>
      <c r="BP189" s="187" t="s">
        <v>830</v>
      </c>
      <c r="BQ189" s="187" t="s">
        <v>742</v>
      </c>
    </row>
    <row r="190" spans="1:69" x14ac:dyDescent="0.2">
      <c r="B190" s="429" t="s">
        <v>457</v>
      </c>
      <c r="C190" s="429" t="s">
        <v>456</v>
      </c>
      <c r="D190" s="208">
        <v>27163012</v>
      </c>
      <c r="E190" s="208">
        <v>10274</v>
      </c>
      <c r="F190" s="208">
        <v>27173286</v>
      </c>
      <c r="G190" s="208">
        <v>0</v>
      </c>
      <c r="H190" s="208">
        <v>0</v>
      </c>
      <c r="I190" s="208">
        <v>0</v>
      </c>
      <c r="J190" s="208">
        <v>-134889</v>
      </c>
      <c r="K190" s="208">
        <v>0</v>
      </c>
      <c r="L190" s="208">
        <v>-134889</v>
      </c>
      <c r="M190" s="208">
        <v>0</v>
      </c>
      <c r="N190" s="208">
        <v>0</v>
      </c>
      <c r="O190" s="208">
        <v>0</v>
      </c>
      <c r="P190" s="208">
        <v>-101216</v>
      </c>
      <c r="Q190" s="208">
        <v>0</v>
      </c>
      <c r="R190" s="208">
        <v>-101216</v>
      </c>
      <c r="S190" s="208">
        <v>340953</v>
      </c>
      <c r="T190" s="208">
        <v>0</v>
      </c>
      <c r="U190" s="208">
        <v>340953</v>
      </c>
      <c r="V190" s="208">
        <v>157723</v>
      </c>
      <c r="W190" s="208">
        <v>0</v>
      </c>
      <c r="X190" s="208">
        <v>157723</v>
      </c>
      <c r="Y190" s="208">
        <v>0</v>
      </c>
      <c r="Z190" s="208">
        <v>0</v>
      </c>
      <c r="AA190" s="208">
        <v>0</v>
      </c>
      <c r="AB190" s="208">
        <v>-2032504</v>
      </c>
      <c r="AC190" s="208">
        <v>0</v>
      </c>
      <c r="AD190" s="208">
        <v>-2032504</v>
      </c>
      <c r="AE190" s="208">
        <v>25527968</v>
      </c>
      <c r="AF190" s="208">
        <v>10274</v>
      </c>
      <c r="AG190" s="208">
        <v>25538242</v>
      </c>
      <c r="AH190" s="208">
        <v>10274</v>
      </c>
      <c r="AI190" s="208">
        <v>10274</v>
      </c>
      <c r="AJ190" s="208">
        <v>623732</v>
      </c>
      <c r="AK190" s="208">
        <v>0</v>
      </c>
      <c r="AL190" s="208">
        <v>623732</v>
      </c>
      <c r="AM190" s="208">
        <v>0</v>
      </c>
      <c r="AN190" s="208">
        <v>0</v>
      </c>
      <c r="AO190" s="208">
        <v>0</v>
      </c>
      <c r="AP190" s="208">
        <v>55217</v>
      </c>
      <c r="AQ190" s="208">
        <v>55217</v>
      </c>
      <c r="AR190" s="208">
        <v>0</v>
      </c>
      <c r="AS190" s="208">
        <v>0</v>
      </c>
      <c r="AT190" s="208">
        <v>61392</v>
      </c>
      <c r="AU190" s="208">
        <v>0</v>
      </c>
      <c r="AV190" s="208">
        <v>0</v>
      </c>
      <c r="AW190" s="208">
        <v>0</v>
      </c>
      <c r="AX190" s="208">
        <v>0</v>
      </c>
      <c r="AY190" s="208">
        <v>202138</v>
      </c>
      <c r="AZ190" s="208">
        <v>202138</v>
      </c>
      <c r="BA190" s="208">
        <v>0</v>
      </c>
      <c r="BB190" s="208">
        <v>0</v>
      </c>
      <c r="BC190" s="208">
        <v>0</v>
      </c>
      <c r="BD190" s="208">
        <v>0</v>
      </c>
      <c r="BE190" s="208">
        <v>0</v>
      </c>
      <c r="BF190" s="208">
        <v>0</v>
      </c>
      <c r="BG190" s="208">
        <v>0</v>
      </c>
      <c r="BH190" s="208">
        <v>0</v>
      </c>
      <c r="BI190" s="208">
        <v>0</v>
      </c>
      <c r="BJ190" s="208">
        <v>202138</v>
      </c>
      <c r="BK190" s="208">
        <v>202138</v>
      </c>
      <c r="BL190" s="208">
        <v>75786</v>
      </c>
      <c r="BM190" s="208">
        <v>-627630</v>
      </c>
      <c r="BN190" s="187" t="s">
        <v>456</v>
      </c>
      <c r="BO190" s="187" t="s">
        <v>802</v>
      </c>
      <c r="BP190" s="187" t="s">
        <v>751</v>
      </c>
      <c r="BQ190" s="187" t="s">
        <v>1054</v>
      </c>
    </row>
    <row r="191" spans="1:69" x14ac:dyDescent="0.2">
      <c r="B191" s="429" t="s">
        <v>459</v>
      </c>
      <c r="C191" s="429" t="s">
        <v>458</v>
      </c>
      <c r="D191" s="208">
        <v>62743719</v>
      </c>
      <c r="E191" s="208">
        <v>815253</v>
      </c>
      <c r="F191" s="208">
        <v>63558972</v>
      </c>
      <c r="G191" s="208">
        <v>0</v>
      </c>
      <c r="H191" s="208">
        <v>0</v>
      </c>
      <c r="I191" s="208">
        <v>0</v>
      </c>
      <c r="J191" s="208">
        <v>-484808</v>
      </c>
      <c r="K191" s="208">
        <v>57</v>
      </c>
      <c r="L191" s="208">
        <v>-484751</v>
      </c>
      <c r="M191" s="208">
        <v>0</v>
      </c>
      <c r="N191" s="208">
        <v>0</v>
      </c>
      <c r="O191" s="208">
        <v>0</v>
      </c>
      <c r="P191" s="208">
        <v>-462928</v>
      </c>
      <c r="Q191" s="208">
        <v>-8832</v>
      </c>
      <c r="R191" s="208">
        <v>-471760</v>
      </c>
      <c r="S191" s="208">
        <v>876141</v>
      </c>
      <c r="T191" s="208">
        <v>8267</v>
      </c>
      <c r="U191" s="208">
        <v>884408</v>
      </c>
      <c r="V191" s="208">
        <v>0</v>
      </c>
      <c r="W191" s="208">
        <v>0</v>
      </c>
      <c r="X191" s="208">
        <v>0</v>
      </c>
      <c r="Y191" s="208">
        <v>-1193672</v>
      </c>
      <c r="Z191" s="208">
        <v>15616</v>
      </c>
      <c r="AA191" s="208">
        <v>-1178056</v>
      </c>
      <c r="AB191" s="208">
        <v>-3243331</v>
      </c>
      <c r="AC191" s="208">
        <v>-40247</v>
      </c>
      <c r="AD191" s="208">
        <v>-3283578</v>
      </c>
      <c r="AE191" s="208">
        <v>58719929</v>
      </c>
      <c r="AF191" s="208">
        <v>790057</v>
      </c>
      <c r="AG191" s="208">
        <v>59509986</v>
      </c>
      <c r="AH191" s="208">
        <v>790057</v>
      </c>
      <c r="AI191" s="208">
        <v>790057</v>
      </c>
      <c r="AJ191" s="208">
        <v>103713</v>
      </c>
      <c r="AK191" s="208">
        <v>0</v>
      </c>
      <c r="AL191" s="208">
        <v>103713</v>
      </c>
      <c r="AM191" s="208">
        <v>0</v>
      </c>
      <c r="AN191" s="208">
        <v>0</v>
      </c>
      <c r="AO191" s="208">
        <v>0</v>
      </c>
      <c r="AP191" s="208">
        <v>-75332</v>
      </c>
      <c r="AQ191" s="208">
        <v>-75332</v>
      </c>
      <c r="AR191" s="208">
        <v>189544</v>
      </c>
      <c r="AS191" s="208">
        <v>189544</v>
      </c>
      <c r="AT191" s="208">
        <v>525181</v>
      </c>
      <c r="AU191" s="208">
        <v>0</v>
      </c>
      <c r="AV191" s="208">
        <v>0</v>
      </c>
      <c r="AW191" s="208">
        <v>0</v>
      </c>
      <c r="AX191" s="208">
        <v>0</v>
      </c>
      <c r="AY191" s="208">
        <v>0</v>
      </c>
      <c r="AZ191" s="208">
        <v>0</v>
      </c>
      <c r="BA191" s="208">
        <v>0</v>
      </c>
      <c r="BB191" s="208">
        <v>0</v>
      </c>
      <c r="BC191" s="208">
        <v>0</v>
      </c>
      <c r="BD191" s="208">
        <v>0</v>
      </c>
      <c r="BE191" s="208">
        <v>0</v>
      </c>
      <c r="BF191" s="208">
        <v>0</v>
      </c>
      <c r="BG191" s="208">
        <v>749487</v>
      </c>
      <c r="BH191" s="208">
        <v>382238</v>
      </c>
      <c r="BI191" s="208">
        <v>382238</v>
      </c>
      <c r="BJ191" s="208">
        <v>0</v>
      </c>
      <c r="BK191" s="208">
        <v>382238</v>
      </c>
      <c r="BL191" s="208">
        <v>3519818</v>
      </c>
      <c r="BM191" s="208">
        <v>-1770908</v>
      </c>
      <c r="BN191" s="187" t="s">
        <v>829</v>
      </c>
      <c r="BO191" s="187" t="s">
        <v>742</v>
      </c>
      <c r="BP191" s="187" t="s">
        <v>804</v>
      </c>
      <c r="BQ191" s="187" t="s">
        <v>742</v>
      </c>
    </row>
    <row r="192" spans="1:69" x14ac:dyDescent="0.2">
      <c r="B192" s="429" t="s">
        <v>461</v>
      </c>
      <c r="C192" s="429" t="s">
        <v>460</v>
      </c>
      <c r="D192" s="208">
        <v>56871111</v>
      </c>
      <c r="E192" s="208">
        <v>573708</v>
      </c>
      <c r="F192" s="208">
        <v>57444819</v>
      </c>
      <c r="G192" s="208">
        <v>0</v>
      </c>
      <c r="H192" s="208">
        <v>0</v>
      </c>
      <c r="I192" s="208">
        <v>0</v>
      </c>
      <c r="J192" s="208">
        <v>-322292</v>
      </c>
      <c r="K192" s="208">
        <v>0</v>
      </c>
      <c r="L192" s="208">
        <v>-322292</v>
      </c>
      <c r="M192" s="208">
        <v>0</v>
      </c>
      <c r="N192" s="208">
        <v>0</v>
      </c>
      <c r="O192" s="208">
        <v>0</v>
      </c>
      <c r="P192" s="208">
        <v>-121301</v>
      </c>
      <c r="Q192" s="208">
        <v>0</v>
      </c>
      <c r="R192" s="208">
        <v>-121301</v>
      </c>
      <c r="S192" s="208">
        <v>413843</v>
      </c>
      <c r="T192" s="208">
        <v>0</v>
      </c>
      <c r="U192" s="208">
        <v>413843</v>
      </c>
      <c r="V192" s="208">
        <v>0</v>
      </c>
      <c r="W192" s="208">
        <v>0</v>
      </c>
      <c r="X192" s="208">
        <v>0</v>
      </c>
      <c r="Y192" s="208">
        <v>0</v>
      </c>
      <c r="Z192" s="208">
        <v>0</v>
      </c>
      <c r="AA192" s="208">
        <v>0</v>
      </c>
      <c r="AB192" s="208">
        <v>-1486965</v>
      </c>
      <c r="AC192" s="208">
        <v>0</v>
      </c>
      <c r="AD192" s="208">
        <v>-1486965</v>
      </c>
      <c r="AE192" s="208">
        <v>55676688</v>
      </c>
      <c r="AF192" s="208">
        <v>573708</v>
      </c>
      <c r="AG192" s="208">
        <v>56250396</v>
      </c>
      <c r="AH192" s="208">
        <v>573708</v>
      </c>
      <c r="AI192" s="208">
        <v>573708</v>
      </c>
      <c r="AJ192" s="208">
        <v>0</v>
      </c>
      <c r="AK192" s="208">
        <v>0</v>
      </c>
      <c r="AL192" s="208">
        <v>0</v>
      </c>
      <c r="AM192" s="208">
        <v>0</v>
      </c>
      <c r="AN192" s="208">
        <v>0</v>
      </c>
      <c r="AO192" s="208">
        <v>0</v>
      </c>
      <c r="AP192" s="208">
        <v>13262</v>
      </c>
      <c r="AQ192" s="208">
        <v>13262</v>
      </c>
      <c r="AR192" s="208">
        <v>599874</v>
      </c>
      <c r="AS192" s="208">
        <v>599874</v>
      </c>
      <c r="AT192" s="208">
        <v>0</v>
      </c>
      <c r="AU192" s="208">
        <v>0</v>
      </c>
      <c r="AV192" s="208">
        <v>0</v>
      </c>
      <c r="AW192" s="208">
        <v>0</v>
      </c>
      <c r="AX192" s="208">
        <v>0</v>
      </c>
      <c r="AY192" s="208">
        <v>34588</v>
      </c>
      <c r="AZ192" s="208">
        <v>34588</v>
      </c>
      <c r="BA192" s="208">
        <v>0</v>
      </c>
      <c r="BB192" s="208">
        <v>0</v>
      </c>
      <c r="BC192" s="208">
        <v>0</v>
      </c>
      <c r="BD192" s="208">
        <v>0</v>
      </c>
      <c r="BE192" s="208">
        <v>0</v>
      </c>
      <c r="BF192" s="208">
        <v>0</v>
      </c>
      <c r="BG192" s="208">
        <v>0</v>
      </c>
      <c r="BH192" s="208">
        <v>0</v>
      </c>
      <c r="BI192" s="208">
        <v>0</v>
      </c>
      <c r="BJ192" s="208">
        <v>34588</v>
      </c>
      <c r="BK192" s="208">
        <v>34588</v>
      </c>
      <c r="BL192" s="208">
        <v>5313630</v>
      </c>
      <c r="BM192" s="208">
        <v>-1801486</v>
      </c>
      <c r="BN192" s="187" t="s">
        <v>460</v>
      </c>
      <c r="BO192" s="187" t="s">
        <v>754</v>
      </c>
      <c r="BP192" s="187" t="s">
        <v>796</v>
      </c>
      <c r="BQ192" s="187" t="s">
        <v>1056</v>
      </c>
    </row>
    <row r="193" spans="1:69" x14ac:dyDescent="0.2">
      <c r="A193" s="188"/>
      <c r="B193" s="429" t="s">
        <v>463</v>
      </c>
      <c r="C193" s="429" t="s">
        <v>462</v>
      </c>
      <c r="D193" s="208">
        <v>51528985</v>
      </c>
      <c r="E193" s="208">
        <v>0</v>
      </c>
      <c r="F193" s="208">
        <v>51528985</v>
      </c>
      <c r="G193" s="208">
        <v>0</v>
      </c>
      <c r="H193" s="208">
        <v>0</v>
      </c>
      <c r="I193" s="208">
        <v>0</v>
      </c>
      <c r="J193" s="208">
        <v>-29705</v>
      </c>
      <c r="K193" s="208">
        <v>0</v>
      </c>
      <c r="L193" s="208">
        <v>-29705</v>
      </c>
      <c r="M193" s="208">
        <v>0</v>
      </c>
      <c r="N193" s="208">
        <v>0</v>
      </c>
      <c r="O193" s="208">
        <v>0</v>
      </c>
      <c r="P193" s="208">
        <v>-63801</v>
      </c>
      <c r="Q193" s="208">
        <v>0</v>
      </c>
      <c r="R193" s="208">
        <v>-63801</v>
      </c>
      <c r="S193" s="208">
        <v>2085263</v>
      </c>
      <c r="T193" s="208">
        <v>0</v>
      </c>
      <c r="U193" s="208">
        <v>2085263</v>
      </c>
      <c r="V193" s="208">
        <v>552009</v>
      </c>
      <c r="W193" s="208">
        <v>0</v>
      </c>
      <c r="X193" s="208">
        <v>552009</v>
      </c>
      <c r="Y193" s="208">
        <v>1526788</v>
      </c>
      <c r="Z193" s="208">
        <v>0</v>
      </c>
      <c r="AA193" s="208">
        <v>1526788</v>
      </c>
      <c r="AB193" s="208">
        <v>-1845936</v>
      </c>
      <c r="AC193" s="208">
        <v>0</v>
      </c>
      <c r="AD193" s="208">
        <v>-1845936</v>
      </c>
      <c r="AE193" s="208">
        <v>53783308</v>
      </c>
      <c r="AF193" s="208">
        <v>0</v>
      </c>
      <c r="AG193" s="208">
        <v>53783308</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208">
        <v>0</v>
      </c>
      <c r="BM193" s="208">
        <v>0</v>
      </c>
      <c r="BN193" s="187" t="s">
        <v>462</v>
      </c>
      <c r="BO193" s="187" t="s">
        <v>779</v>
      </c>
      <c r="BP193" s="187" t="s">
        <v>751</v>
      </c>
      <c r="BQ193" s="187" t="s">
        <v>1054</v>
      </c>
    </row>
    <row r="194" spans="1:69" x14ac:dyDescent="0.2">
      <c r="B194" s="429" t="s">
        <v>465</v>
      </c>
      <c r="C194" s="429" t="s">
        <v>464</v>
      </c>
      <c r="D194" s="208">
        <v>61245106</v>
      </c>
      <c r="E194" s="208">
        <v>0</v>
      </c>
      <c r="F194" s="208">
        <v>61245106</v>
      </c>
      <c r="G194" s="208">
        <v>0</v>
      </c>
      <c r="H194" s="208">
        <v>0</v>
      </c>
      <c r="I194" s="208">
        <v>0</v>
      </c>
      <c r="J194" s="208">
        <v>-369949</v>
      </c>
      <c r="K194" s="208">
        <v>0</v>
      </c>
      <c r="L194" s="208">
        <v>-369949</v>
      </c>
      <c r="M194" s="208">
        <v>0</v>
      </c>
      <c r="N194" s="208">
        <v>0</v>
      </c>
      <c r="O194" s="208">
        <v>0</v>
      </c>
      <c r="P194" s="208">
        <v>-444047</v>
      </c>
      <c r="Q194" s="208">
        <v>0</v>
      </c>
      <c r="R194" s="208">
        <v>-444047</v>
      </c>
      <c r="S194" s="208">
        <v>678137</v>
      </c>
      <c r="T194" s="208">
        <v>0</v>
      </c>
      <c r="U194" s="208">
        <v>678137</v>
      </c>
      <c r="V194" s="208">
        <v>0</v>
      </c>
      <c r="W194" s="208">
        <v>0</v>
      </c>
      <c r="X194" s="208">
        <v>0</v>
      </c>
      <c r="Y194" s="208">
        <v>-98016</v>
      </c>
      <c r="Z194" s="208">
        <v>0</v>
      </c>
      <c r="AA194" s="208">
        <v>-98016</v>
      </c>
      <c r="AB194" s="208">
        <v>-1407922</v>
      </c>
      <c r="AC194" s="208">
        <v>0</v>
      </c>
      <c r="AD194" s="208">
        <v>-1407922</v>
      </c>
      <c r="AE194" s="208">
        <v>59973258</v>
      </c>
      <c r="AF194" s="208">
        <v>0</v>
      </c>
      <c r="AG194" s="208">
        <v>59973258</v>
      </c>
      <c r="AH194" s="208">
        <v>0</v>
      </c>
      <c r="AI194" s="208">
        <v>0</v>
      </c>
      <c r="AJ194" s="208">
        <v>167172</v>
      </c>
      <c r="AK194" s="208">
        <v>0</v>
      </c>
      <c r="AL194" s="208">
        <v>167172</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208">
        <v>420523</v>
      </c>
      <c r="BM194" s="208">
        <v>-1128534</v>
      </c>
      <c r="BN194" s="187" t="s">
        <v>464</v>
      </c>
      <c r="BO194" s="187" t="s">
        <v>825</v>
      </c>
      <c r="BP194" s="187" t="s">
        <v>813</v>
      </c>
      <c r="BQ194" s="187" t="s">
        <v>1054</v>
      </c>
    </row>
    <row r="195" spans="1:69" x14ac:dyDescent="0.2">
      <c r="A195" s="188" t="s">
        <v>1817</v>
      </c>
      <c r="B195" s="429" t="s">
        <v>467</v>
      </c>
      <c r="C195" s="429" t="s">
        <v>466</v>
      </c>
      <c r="D195" s="208">
        <v>97884448</v>
      </c>
      <c r="E195" s="208">
        <v>4790597</v>
      </c>
      <c r="F195" s="208">
        <v>102675045</v>
      </c>
      <c r="G195" s="208">
        <v>0</v>
      </c>
      <c r="H195" s="208">
        <v>0</v>
      </c>
      <c r="I195" s="208">
        <v>0</v>
      </c>
      <c r="J195" s="208">
        <v>-1244317</v>
      </c>
      <c r="K195" s="208">
        <v>-77266</v>
      </c>
      <c r="L195" s="208">
        <v>-1321583</v>
      </c>
      <c r="M195" s="208">
        <v>0</v>
      </c>
      <c r="N195" s="208">
        <v>0</v>
      </c>
      <c r="O195" s="208">
        <v>0</v>
      </c>
      <c r="P195" s="208">
        <v>-623455</v>
      </c>
      <c r="Q195" s="208">
        <v>0</v>
      </c>
      <c r="R195" s="208">
        <v>-623455</v>
      </c>
      <c r="S195" s="208">
        <v>1898409</v>
      </c>
      <c r="T195" s="208">
        <v>0</v>
      </c>
      <c r="U195" s="208">
        <v>1898409</v>
      </c>
      <c r="V195" s="208">
        <v>0</v>
      </c>
      <c r="W195" s="208">
        <v>0</v>
      </c>
      <c r="X195" s="208">
        <v>0</v>
      </c>
      <c r="Y195" s="208">
        <v>300394</v>
      </c>
      <c r="Z195" s="208">
        <v>0</v>
      </c>
      <c r="AA195" s="208">
        <v>300394</v>
      </c>
      <c r="AB195" s="208">
        <v>-2584337</v>
      </c>
      <c r="AC195" s="208">
        <v>0</v>
      </c>
      <c r="AD195" s="208">
        <v>-2584337</v>
      </c>
      <c r="AE195" s="208">
        <v>96875459</v>
      </c>
      <c r="AF195" s="208">
        <v>4790597</v>
      </c>
      <c r="AG195" s="208">
        <v>101666056</v>
      </c>
      <c r="AH195" s="208">
        <v>4790597</v>
      </c>
      <c r="AI195" s="208">
        <v>4790597</v>
      </c>
      <c r="AJ195" s="208">
        <v>0</v>
      </c>
      <c r="AK195" s="208">
        <v>0</v>
      </c>
      <c r="AL195" s="208">
        <v>0</v>
      </c>
      <c r="AM195" s="208">
        <v>0</v>
      </c>
      <c r="AN195" s="208">
        <v>0</v>
      </c>
      <c r="AO195" s="208">
        <v>0</v>
      </c>
      <c r="AP195" s="208">
        <v>-185355</v>
      </c>
      <c r="AQ195" s="208">
        <v>-185355</v>
      </c>
      <c r="AR195" s="208">
        <v>3260926</v>
      </c>
      <c r="AS195" s="208">
        <v>3260926</v>
      </c>
      <c r="AT195" s="208">
        <v>1344316</v>
      </c>
      <c r="AU195" s="208">
        <v>0</v>
      </c>
      <c r="AV195" s="208">
        <v>0</v>
      </c>
      <c r="AW195" s="208">
        <v>0</v>
      </c>
      <c r="AX195" s="208">
        <v>0</v>
      </c>
      <c r="AY195" s="208">
        <v>609912</v>
      </c>
      <c r="AZ195" s="208">
        <v>609912</v>
      </c>
      <c r="BA195" s="208">
        <v>0</v>
      </c>
      <c r="BB195" s="208">
        <v>0</v>
      </c>
      <c r="BC195" s="208">
        <v>0</v>
      </c>
      <c r="BD195" s="208">
        <v>0</v>
      </c>
      <c r="BE195" s="208">
        <v>0</v>
      </c>
      <c r="BF195" s="208">
        <v>0</v>
      </c>
      <c r="BG195" s="208">
        <v>0</v>
      </c>
      <c r="BH195" s="208">
        <v>0</v>
      </c>
      <c r="BI195" s="208">
        <v>0</v>
      </c>
      <c r="BJ195" s="208">
        <v>609912</v>
      </c>
      <c r="BK195" s="208">
        <v>609912</v>
      </c>
      <c r="BL195" s="208">
        <v>2549563</v>
      </c>
      <c r="BM195" s="208">
        <v>-2742614</v>
      </c>
      <c r="BN195" s="187" t="s">
        <v>466</v>
      </c>
      <c r="BO195" s="187" t="s">
        <v>775</v>
      </c>
      <c r="BP195" s="187" t="s">
        <v>751</v>
      </c>
      <c r="BQ195" s="187" t="s">
        <v>1054</v>
      </c>
    </row>
    <row r="196" spans="1:69" x14ac:dyDescent="0.2">
      <c r="B196" s="429" t="s">
        <v>469</v>
      </c>
      <c r="C196" s="429" t="s">
        <v>468</v>
      </c>
      <c r="D196" s="208">
        <v>78564024</v>
      </c>
      <c r="E196" s="208">
        <v>256886</v>
      </c>
      <c r="F196" s="208">
        <v>78820910</v>
      </c>
      <c r="G196" s="208">
        <v>0</v>
      </c>
      <c r="H196" s="208">
        <v>0</v>
      </c>
      <c r="I196" s="208">
        <v>0</v>
      </c>
      <c r="J196" s="208">
        <v>-750297</v>
      </c>
      <c r="K196" s="208">
        <v>0</v>
      </c>
      <c r="L196" s="208">
        <v>-750297</v>
      </c>
      <c r="M196" s="208">
        <v>0</v>
      </c>
      <c r="N196" s="208">
        <v>0</v>
      </c>
      <c r="O196" s="208">
        <v>0</v>
      </c>
      <c r="P196" s="208">
        <v>-1260928</v>
      </c>
      <c r="Q196" s="208">
        <v>0</v>
      </c>
      <c r="R196" s="208">
        <v>-1260928</v>
      </c>
      <c r="S196" s="208">
        <v>4666522</v>
      </c>
      <c r="T196" s="208">
        <v>0</v>
      </c>
      <c r="U196" s="208">
        <v>4666522</v>
      </c>
      <c r="V196" s="208">
        <v>0</v>
      </c>
      <c r="W196" s="208">
        <v>0</v>
      </c>
      <c r="X196" s="208">
        <v>0</v>
      </c>
      <c r="Y196" s="208">
        <v>-1417727</v>
      </c>
      <c r="Z196" s="208">
        <v>0</v>
      </c>
      <c r="AA196" s="208">
        <v>-1417727</v>
      </c>
      <c r="AB196" s="208">
        <v>-3731999</v>
      </c>
      <c r="AC196" s="208">
        <v>0</v>
      </c>
      <c r="AD196" s="208">
        <v>-3731999</v>
      </c>
      <c r="AE196" s="208">
        <v>76819892</v>
      </c>
      <c r="AF196" s="208">
        <v>256886</v>
      </c>
      <c r="AG196" s="208">
        <v>77076778</v>
      </c>
      <c r="AH196" s="208">
        <v>256886</v>
      </c>
      <c r="AI196" s="208">
        <v>256886</v>
      </c>
      <c r="AJ196" s="208">
        <v>2174386</v>
      </c>
      <c r="AK196" s="208">
        <v>0</v>
      </c>
      <c r="AL196" s="208">
        <v>2174386</v>
      </c>
      <c r="AM196" s="208">
        <v>0</v>
      </c>
      <c r="AN196" s="208">
        <v>0</v>
      </c>
      <c r="AO196" s="208">
        <v>0</v>
      </c>
      <c r="AP196" s="208">
        <v>21988</v>
      </c>
      <c r="AQ196" s="208">
        <v>21988</v>
      </c>
      <c r="AR196" s="208">
        <v>35402</v>
      </c>
      <c r="AS196" s="208">
        <v>35402</v>
      </c>
      <c r="AT196" s="208">
        <v>257207</v>
      </c>
      <c r="AU196" s="208">
        <v>0</v>
      </c>
      <c r="AV196" s="208">
        <v>0</v>
      </c>
      <c r="AW196" s="208">
        <v>0</v>
      </c>
      <c r="AX196" s="208">
        <v>0</v>
      </c>
      <c r="AY196" s="208">
        <v>112701</v>
      </c>
      <c r="AZ196" s="208">
        <v>112701</v>
      </c>
      <c r="BA196" s="208">
        <v>0</v>
      </c>
      <c r="BB196" s="208">
        <v>0</v>
      </c>
      <c r="BC196" s="208">
        <v>0</v>
      </c>
      <c r="BD196" s="208">
        <v>0</v>
      </c>
      <c r="BE196" s="208">
        <v>0</v>
      </c>
      <c r="BF196" s="208">
        <v>0</v>
      </c>
      <c r="BG196" s="208">
        <v>0</v>
      </c>
      <c r="BH196" s="208">
        <v>0</v>
      </c>
      <c r="BI196" s="208">
        <v>0</v>
      </c>
      <c r="BJ196" s="208">
        <v>112701</v>
      </c>
      <c r="BK196" s="208">
        <v>112701</v>
      </c>
      <c r="BL196" s="208">
        <v>2640243</v>
      </c>
      <c r="BM196" s="208">
        <v>-639786</v>
      </c>
      <c r="BN196" s="187" t="s">
        <v>468</v>
      </c>
      <c r="BO196" s="187" t="s">
        <v>742</v>
      </c>
      <c r="BP196" s="187" t="s">
        <v>751</v>
      </c>
      <c r="BQ196" s="187" t="s">
        <v>742</v>
      </c>
    </row>
    <row r="197" spans="1:69" x14ac:dyDescent="0.2">
      <c r="B197" s="429" t="s">
        <v>471</v>
      </c>
      <c r="C197" s="429" t="s">
        <v>470</v>
      </c>
      <c r="D197" s="208">
        <v>79890288</v>
      </c>
      <c r="E197" s="208">
        <v>0</v>
      </c>
      <c r="F197" s="208">
        <v>79890288</v>
      </c>
      <c r="G197" s="208">
        <v>-2546</v>
      </c>
      <c r="H197" s="208">
        <v>0</v>
      </c>
      <c r="I197" s="208">
        <v>-2546</v>
      </c>
      <c r="J197" s="208">
        <v>-1257030</v>
      </c>
      <c r="K197" s="208">
        <v>0</v>
      </c>
      <c r="L197" s="208">
        <v>-1257030</v>
      </c>
      <c r="M197" s="208">
        <v>0</v>
      </c>
      <c r="N197" s="208">
        <v>0</v>
      </c>
      <c r="O197" s="208">
        <v>0</v>
      </c>
      <c r="P197" s="208">
        <v>-1132957</v>
      </c>
      <c r="Q197" s="208">
        <v>0</v>
      </c>
      <c r="R197" s="208">
        <v>-1132957</v>
      </c>
      <c r="S197" s="208">
        <v>461573</v>
      </c>
      <c r="T197" s="208">
        <v>0</v>
      </c>
      <c r="U197" s="208">
        <v>461573</v>
      </c>
      <c r="V197" s="208">
        <v>444864</v>
      </c>
      <c r="W197" s="208">
        <v>0</v>
      </c>
      <c r="X197" s="208">
        <v>444864</v>
      </c>
      <c r="Y197" s="208">
        <v>-455095</v>
      </c>
      <c r="Z197" s="208">
        <v>0</v>
      </c>
      <c r="AA197" s="208">
        <v>-455095</v>
      </c>
      <c r="AB197" s="208">
        <v>-942844</v>
      </c>
      <c r="AC197" s="208">
        <v>0</v>
      </c>
      <c r="AD197" s="208">
        <v>-942844</v>
      </c>
      <c r="AE197" s="208">
        <v>78263283</v>
      </c>
      <c r="AF197" s="208">
        <v>0</v>
      </c>
      <c r="AG197" s="208">
        <v>78263283</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208">
        <v>2405750</v>
      </c>
      <c r="BM197" s="208">
        <v>-1025511</v>
      </c>
      <c r="BN197" s="187" t="s">
        <v>470</v>
      </c>
      <c r="BO197" s="187" t="s">
        <v>802</v>
      </c>
      <c r="BP197" s="187" t="s">
        <v>751</v>
      </c>
      <c r="BQ197" s="187" t="s">
        <v>1054</v>
      </c>
    </row>
    <row r="198" spans="1:69" x14ac:dyDescent="0.2">
      <c r="B198" s="429" t="s">
        <v>473</v>
      </c>
      <c r="C198" s="429" t="s">
        <v>472</v>
      </c>
      <c r="D198" s="208">
        <v>128049218</v>
      </c>
      <c r="E198" s="208">
        <v>10710913</v>
      </c>
      <c r="F198" s="208">
        <v>138760131</v>
      </c>
      <c r="G198" s="208">
        <v>-382</v>
      </c>
      <c r="H198" s="208">
        <v>0</v>
      </c>
      <c r="I198" s="208">
        <v>-382</v>
      </c>
      <c r="J198" s="208">
        <v>-510869</v>
      </c>
      <c r="K198" s="208">
        <v>21718</v>
      </c>
      <c r="L198" s="208">
        <v>-489151</v>
      </c>
      <c r="M198" s="208">
        <v>0</v>
      </c>
      <c r="N198" s="208">
        <v>0</v>
      </c>
      <c r="O198" s="208">
        <v>0</v>
      </c>
      <c r="P198" s="208">
        <v>-1788949</v>
      </c>
      <c r="Q198" s="208">
        <v>-134652</v>
      </c>
      <c r="R198" s="208">
        <v>-1923601</v>
      </c>
      <c r="S198" s="208">
        <v>788346</v>
      </c>
      <c r="T198" s="208">
        <v>7533</v>
      </c>
      <c r="U198" s="208">
        <v>795879</v>
      </c>
      <c r="V198" s="208">
        <v>1182519</v>
      </c>
      <c r="W198" s="208">
        <v>11300</v>
      </c>
      <c r="X198" s="208">
        <v>1193819</v>
      </c>
      <c r="Y198" s="208">
        <v>2109453</v>
      </c>
      <c r="Z198" s="208">
        <v>158776</v>
      </c>
      <c r="AA198" s="208">
        <v>2268229</v>
      </c>
      <c r="AB198" s="208">
        <v>375079</v>
      </c>
      <c r="AC198" s="208">
        <v>28232</v>
      </c>
      <c r="AD198" s="208">
        <v>403311</v>
      </c>
      <c r="AE198" s="208">
        <v>130715284</v>
      </c>
      <c r="AF198" s="208">
        <v>10782102</v>
      </c>
      <c r="AG198" s="208">
        <v>141497386</v>
      </c>
      <c r="AH198" s="208">
        <v>10782102</v>
      </c>
      <c r="AI198" s="208">
        <v>10782102</v>
      </c>
      <c r="AJ198" s="208">
        <v>0</v>
      </c>
      <c r="AK198" s="208">
        <v>0</v>
      </c>
      <c r="AL198" s="208">
        <v>0</v>
      </c>
      <c r="AM198" s="208">
        <v>0</v>
      </c>
      <c r="AN198" s="208">
        <v>0</v>
      </c>
      <c r="AO198" s="208">
        <v>0</v>
      </c>
      <c r="AP198" s="208">
        <v>200320</v>
      </c>
      <c r="AQ198" s="208">
        <v>200320</v>
      </c>
      <c r="AR198" s="208">
        <v>11264837</v>
      </c>
      <c r="AS198" s="208">
        <v>11264837</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208">
        <v>12927893</v>
      </c>
      <c r="BM198" s="208">
        <v>-3357171</v>
      </c>
      <c r="BN198" s="187" t="s">
        <v>828</v>
      </c>
      <c r="BO198" s="187" t="s">
        <v>742</v>
      </c>
      <c r="BP198" s="187" t="s">
        <v>815</v>
      </c>
      <c r="BQ198" s="187" t="s">
        <v>742</v>
      </c>
    </row>
    <row r="199" spans="1:69" x14ac:dyDescent="0.2">
      <c r="B199" s="429" t="s">
        <v>475</v>
      </c>
      <c r="C199" s="429" t="s">
        <v>474</v>
      </c>
      <c r="D199" s="208">
        <v>35906488</v>
      </c>
      <c r="E199" s="208">
        <v>0</v>
      </c>
      <c r="F199" s="208">
        <v>35906488</v>
      </c>
      <c r="G199" s="208">
        <v>0</v>
      </c>
      <c r="H199" s="208">
        <v>0</v>
      </c>
      <c r="I199" s="208">
        <v>0</v>
      </c>
      <c r="J199" s="208">
        <v>-261210</v>
      </c>
      <c r="K199" s="208">
        <v>0</v>
      </c>
      <c r="L199" s="208">
        <v>-261210</v>
      </c>
      <c r="M199" s="208">
        <v>0</v>
      </c>
      <c r="N199" s="208">
        <v>0</v>
      </c>
      <c r="O199" s="208">
        <v>0</v>
      </c>
      <c r="P199" s="208">
        <v>-193710</v>
      </c>
      <c r="Q199" s="208">
        <v>0</v>
      </c>
      <c r="R199" s="208">
        <v>-193710</v>
      </c>
      <c r="S199" s="208">
        <v>361673</v>
      </c>
      <c r="T199" s="208">
        <v>0</v>
      </c>
      <c r="U199" s="208">
        <v>361673</v>
      </c>
      <c r="V199" s="208">
        <v>250577</v>
      </c>
      <c r="W199" s="208">
        <v>0</v>
      </c>
      <c r="X199" s="208">
        <v>250577</v>
      </c>
      <c r="Y199" s="208">
        <v>285219</v>
      </c>
      <c r="Z199" s="208">
        <v>0</v>
      </c>
      <c r="AA199" s="208">
        <v>285219</v>
      </c>
      <c r="AB199" s="208">
        <v>-704713</v>
      </c>
      <c r="AC199" s="208">
        <v>0</v>
      </c>
      <c r="AD199" s="208">
        <v>-704713</v>
      </c>
      <c r="AE199" s="208">
        <v>35905534</v>
      </c>
      <c r="AF199" s="208">
        <v>0</v>
      </c>
      <c r="AG199" s="208">
        <v>35905534</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208">
        <v>1169756</v>
      </c>
      <c r="BM199" s="208">
        <v>-291516</v>
      </c>
      <c r="BN199" s="187" t="s">
        <v>827</v>
      </c>
      <c r="BO199" s="187" t="s">
        <v>779</v>
      </c>
      <c r="BP199" s="187" t="s">
        <v>751</v>
      </c>
      <c r="BQ199" s="187" t="s">
        <v>1054</v>
      </c>
    </row>
    <row r="200" spans="1:69" x14ac:dyDescent="0.2">
      <c r="B200" s="429" t="s">
        <v>477</v>
      </c>
      <c r="C200" s="429" t="s">
        <v>476</v>
      </c>
      <c r="D200" s="208">
        <v>12059610</v>
      </c>
      <c r="E200" s="208">
        <v>0</v>
      </c>
      <c r="F200" s="208">
        <v>12059610</v>
      </c>
      <c r="G200" s="208">
        <v>0</v>
      </c>
      <c r="H200" s="208">
        <v>0</v>
      </c>
      <c r="I200" s="208">
        <v>0</v>
      </c>
      <c r="J200" s="208">
        <v>-97754</v>
      </c>
      <c r="K200" s="208">
        <v>0</v>
      </c>
      <c r="L200" s="208">
        <v>-97754</v>
      </c>
      <c r="M200" s="208">
        <v>0</v>
      </c>
      <c r="N200" s="208">
        <v>0</v>
      </c>
      <c r="O200" s="208">
        <v>0</v>
      </c>
      <c r="P200" s="208">
        <v>-36553</v>
      </c>
      <c r="Q200" s="208">
        <v>0</v>
      </c>
      <c r="R200" s="208">
        <v>-36553</v>
      </c>
      <c r="S200" s="208">
        <v>79500</v>
      </c>
      <c r="T200" s="208">
        <v>0</v>
      </c>
      <c r="U200" s="208">
        <v>79500</v>
      </c>
      <c r="V200" s="208">
        <v>0</v>
      </c>
      <c r="W200" s="208">
        <v>0</v>
      </c>
      <c r="X200" s="208">
        <v>0</v>
      </c>
      <c r="Y200" s="208">
        <v>-203601</v>
      </c>
      <c r="Z200" s="208">
        <v>0</v>
      </c>
      <c r="AA200" s="208">
        <v>-203601</v>
      </c>
      <c r="AB200" s="208">
        <v>-363027</v>
      </c>
      <c r="AC200" s="208">
        <v>0</v>
      </c>
      <c r="AD200" s="208">
        <v>-363027</v>
      </c>
      <c r="AE200" s="208">
        <v>11535929</v>
      </c>
      <c r="AF200" s="208">
        <v>0</v>
      </c>
      <c r="AG200" s="208">
        <v>11535929</v>
      </c>
      <c r="AH200" s="208">
        <v>0</v>
      </c>
      <c r="AI200" s="208">
        <v>0</v>
      </c>
      <c r="AJ200" s="208">
        <v>6360</v>
      </c>
      <c r="AK200" s="208">
        <v>0</v>
      </c>
      <c r="AL200" s="208">
        <v>6360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208">
        <v>700124</v>
      </c>
      <c r="BM200" s="208">
        <v>-639876</v>
      </c>
      <c r="BN200" s="187" t="s">
        <v>826</v>
      </c>
      <c r="BO200" s="187" t="s">
        <v>825</v>
      </c>
      <c r="BP200" s="187" t="s">
        <v>813</v>
      </c>
      <c r="BQ200" s="187" t="s">
        <v>1054</v>
      </c>
    </row>
    <row r="201" spans="1:69" x14ac:dyDescent="0.2">
      <c r="B201" s="429" t="s">
        <v>479</v>
      </c>
      <c r="C201" s="429" t="s">
        <v>478</v>
      </c>
      <c r="D201" s="208">
        <v>58431139</v>
      </c>
      <c r="E201" s="208">
        <v>0</v>
      </c>
      <c r="F201" s="208">
        <v>58431139</v>
      </c>
      <c r="G201" s="208">
        <v>0</v>
      </c>
      <c r="H201" s="208">
        <v>0</v>
      </c>
      <c r="I201" s="208">
        <v>0</v>
      </c>
      <c r="J201" s="208">
        <v>-995537</v>
      </c>
      <c r="K201" s="208">
        <v>0</v>
      </c>
      <c r="L201" s="208">
        <v>-995537</v>
      </c>
      <c r="M201" s="208">
        <v>0</v>
      </c>
      <c r="N201" s="208">
        <v>0</v>
      </c>
      <c r="O201" s="208">
        <v>0</v>
      </c>
      <c r="P201" s="208">
        <v>-1159138</v>
      </c>
      <c r="Q201" s="208">
        <v>0</v>
      </c>
      <c r="R201" s="208">
        <v>-1159138</v>
      </c>
      <c r="S201" s="208">
        <v>493700</v>
      </c>
      <c r="T201" s="208">
        <v>0</v>
      </c>
      <c r="U201" s="208">
        <v>493700</v>
      </c>
      <c r="V201" s="208">
        <v>0</v>
      </c>
      <c r="W201" s="208">
        <v>0</v>
      </c>
      <c r="X201" s="208">
        <v>0</v>
      </c>
      <c r="Y201" s="208">
        <v>24407</v>
      </c>
      <c r="Z201" s="208">
        <v>0</v>
      </c>
      <c r="AA201" s="208">
        <v>24407</v>
      </c>
      <c r="AB201" s="208">
        <v>-823326</v>
      </c>
      <c r="AC201" s="208">
        <v>0</v>
      </c>
      <c r="AD201" s="208">
        <v>-823326</v>
      </c>
      <c r="AE201" s="208">
        <v>56966782</v>
      </c>
      <c r="AF201" s="208">
        <v>0</v>
      </c>
      <c r="AG201" s="208">
        <v>56966782</v>
      </c>
      <c r="AH201" s="208">
        <v>0</v>
      </c>
      <c r="AI201" s="208">
        <v>0</v>
      </c>
      <c r="AJ201" s="208">
        <v>0</v>
      </c>
      <c r="AK201" s="208">
        <v>0</v>
      </c>
      <c r="AL201" s="208">
        <v>0</v>
      </c>
      <c r="AM201" s="208">
        <v>0</v>
      </c>
      <c r="AN201" s="208">
        <v>0</v>
      </c>
      <c r="AO201" s="208">
        <v>0</v>
      </c>
      <c r="AP201" s="208">
        <v>0</v>
      </c>
      <c r="AQ201" s="208">
        <v>0</v>
      </c>
      <c r="AR201" s="208">
        <v>0</v>
      </c>
      <c r="AS201" s="208">
        <v>0</v>
      </c>
      <c r="AT201" s="208">
        <v>0</v>
      </c>
      <c r="AU201" s="208">
        <v>0</v>
      </c>
      <c r="AV201" s="208">
        <v>0</v>
      </c>
      <c r="AW201" s="208">
        <v>0</v>
      </c>
      <c r="AX201" s="208">
        <v>0</v>
      </c>
      <c r="AY201" s="208">
        <v>0</v>
      </c>
      <c r="AZ201" s="208">
        <v>0</v>
      </c>
      <c r="BA201" s="208">
        <v>0</v>
      </c>
      <c r="BB201" s="208">
        <v>0</v>
      </c>
      <c r="BC201" s="208">
        <v>0</v>
      </c>
      <c r="BD201" s="208">
        <v>0</v>
      </c>
      <c r="BE201" s="208">
        <v>0</v>
      </c>
      <c r="BF201" s="208">
        <v>0</v>
      </c>
      <c r="BG201" s="208">
        <v>0</v>
      </c>
      <c r="BH201" s="208">
        <v>0</v>
      </c>
      <c r="BI201" s="208">
        <v>0</v>
      </c>
      <c r="BJ201" s="208">
        <v>0</v>
      </c>
      <c r="BK201" s="208">
        <v>0</v>
      </c>
      <c r="BL201" s="208">
        <v>6284035</v>
      </c>
      <c r="BM201" s="208">
        <v>-1557307</v>
      </c>
      <c r="BN201" s="187" t="s">
        <v>478</v>
      </c>
      <c r="BO201" s="187" t="s">
        <v>754</v>
      </c>
      <c r="BP201" s="187" t="s">
        <v>763</v>
      </c>
      <c r="BQ201" s="187" t="s">
        <v>1056</v>
      </c>
    </row>
    <row r="202" spans="1:69" x14ac:dyDescent="0.2">
      <c r="B202" s="429" t="s">
        <v>481</v>
      </c>
      <c r="C202" s="429" t="s">
        <v>480</v>
      </c>
      <c r="D202" s="208">
        <v>106710171</v>
      </c>
      <c r="E202" s="208">
        <v>0</v>
      </c>
      <c r="F202" s="208">
        <v>106710171</v>
      </c>
      <c r="G202" s="208">
        <v>0</v>
      </c>
      <c r="H202" s="208">
        <v>0</v>
      </c>
      <c r="I202" s="208">
        <v>0</v>
      </c>
      <c r="J202" s="208">
        <v>0</v>
      </c>
      <c r="K202" s="208">
        <v>0</v>
      </c>
      <c r="L202" s="208">
        <v>0</v>
      </c>
      <c r="M202" s="208">
        <v>-357852</v>
      </c>
      <c r="N202" s="208">
        <v>0</v>
      </c>
      <c r="O202" s="208">
        <v>-357852</v>
      </c>
      <c r="P202" s="208">
        <v>308334</v>
      </c>
      <c r="Q202" s="208">
        <v>0</v>
      </c>
      <c r="R202" s="208">
        <v>308334</v>
      </c>
      <c r="S202" s="208">
        <v>1134026</v>
      </c>
      <c r="T202" s="208">
        <v>0</v>
      </c>
      <c r="U202" s="208">
        <v>1134026</v>
      </c>
      <c r="V202" s="208">
        <v>184713</v>
      </c>
      <c r="W202" s="208">
        <v>0</v>
      </c>
      <c r="X202" s="208">
        <v>184713</v>
      </c>
      <c r="Y202" s="208">
        <v>1157988</v>
      </c>
      <c r="Z202" s="208">
        <v>0</v>
      </c>
      <c r="AA202" s="208">
        <v>1157988</v>
      </c>
      <c r="AB202" s="208">
        <v>-3416840</v>
      </c>
      <c r="AC202" s="208">
        <v>0</v>
      </c>
      <c r="AD202" s="208">
        <v>-3416840</v>
      </c>
      <c r="AE202" s="208">
        <v>105720540</v>
      </c>
      <c r="AF202" s="208">
        <v>0</v>
      </c>
      <c r="AG202" s="208">
        <v>105720540</v>
      </c>
      <c r="AH202" s="208">
        <v>0</v>
      </c>
      <c r="AI202" s="208">
        <v>0</v>
      </c>
      <c r="AJ202" s="208">
        <v>8315</v>
      </c>
      <c r="AK202" s="208">
        <v>0</v>
      </c>
      <c r="AL202" s="208">
        <v>8315</v>
      </c>
      <c r="AM202" s="208">
        <v>0</v>
      </c>
      <c r="AN202" s="208">
        <v>0</v>
      </c>
      <c r="AO202" s="208">
        <v>0</v>
      </c>
      <c r="AP202" s="208">
        <v>0</v>
      </c>
      <c r="AQ202" s="208">
        <v>0</v>
      </c>
      <c r="AR202" s="208">
        <v>0</v>
      </c>
      <c r="AS202" s="208">
        <v>0</v>
      </c>
      <c r="AT202" s="208">
        <v>0</v>
      </c>
      <c r="AU202" s="208">
        <v>0</v>
      </c>
      <c r="AV202" s="208">
        <v>0</v>
      </c>
      <c r="AW202" s="208">
        <v>0</v>
      </c>
      <c r="AX202" s="208">
        <v>0</v>
      </c>
      <c r="AY202" s="208">
        <v>0</v>
      </c>
      <c r="AZ202" s="208">
        <v>0</v>
      </c>
      <c r="BA202" s="208">
        <v>0</v>
      </c>
      <c r="BB202" s="208">
        <v>0</v>
      </c>
      <c r="BC202" s="208">
        <v>0</v>
      </c>
      <c r="BD202" s="208">
        <v>0</v>
      </c>
      <c r="BE202" s="208">
        <v>0</v>
      </c>
      <c r="BF202" s="208">
        <v>0</v>
      </c>
      <c r="BG202" s="208">
        <v>0</v>
      </c>
      <c r="BH202" s="208">
        <v>0</v>
      </c>
      <c r="BI202" s="208">
        <v>0</v>
      </c>
      <c r="BJ202" s="208">
        <v>0</v>
      </c>
      <c r="BK202" s="208">
        <v>0</v>
      </c>
      <c r="BL202" s="208">
        <v>3078680</v>
      </c>
      <c r="BM202" s="208">
        <v>-3867492</v>
      </c>
      <c r="BN202" s="187" t="s">
        <v>480</v>
      </c>
      <c r="BO202" s="187" t="s">
        <v>770</v>
      </c>
      <c r="BP202" s="187" t="s">
        <v>751</v>
      </c>
      <c r="BQ202" s="187" t="s">
        <v>1054</v>
      </c>
    </row>
    <row r="203" spans="1:69" x14ac:dyDescent="0.2">
      <c r="B203" s="429" t="s">
        <v>483</v>
      </c>
      <c r="C203" s="429" t="s">
        <v>482</v>
      </c>
      <c r="D203" s="208">
        <v>19217300</v>
      </c>
      <c r="E203" s="208">
        <v>0</v>
      </c>
      <c r="F203" s="208">
        <v>19217300</v>
      </c>
      <c r="G203" s="208">
        <v>0</v>
      </c>
      <c r="H203" s="208">
        <v>0</v>
      </c>
      <c r="I203" s="208">
        <v>0</v>
      </c>
      <c r="J203" s="208">
        <v>0</v>
      </c>
      <c r="K203" s="208">
        <v>0</v>
      </c>
      <c r="L203" s="208">
        <v>0</v>
      </c>
      <c r="M203" s="208">
        <v>-287582</v>
      </c>
      <c r="N203" s="208">
        <v>0</v>
      </c>
      <c r="O203" s="208">
        <v>-287582</v>
      </c>
      <c r="P203" s="208">
        <v>-110000</v>
      </c>
      <c r="Q203" s="208">
        <v>0</v>
      </c>
      <c r="R203" s="208">
        <v>-110000</v>
      </c>
      <c r="S203" s="208">
        <v>359620</v>
      </c>
      <c r="T203" s="208">
        <v>0</v>
      </c>
      <c r="U203" s="208">
        <v>359620</v>
      </c>
      <c r="V203" s="208">
        <v>0</v>
      </c>
      <c r="W203" s="208">
        <v>0</v>
      </c>
      <c r="X203" s="208">
        <v>0</v>
      </c>
      <c r="Y203" s="208">
        <v>-370530</v>
      </c>
      <c r="Z203" s="208">
        <v>0</v>
      </c>
      <c r="AA203" s="208">
        <v>-370530</v>
      </c>
      <c r="AB203" s="208">
        <v>-1126090</v>
      </c>
      <c r="AC203" s="208">
        <v>0</v>
      </c>
      <c r="AD203" s="208">
        <v>-1126090</v>
      </c>
      <c r="AE203" s="208">
        <v>17682718</v>
      </c>
      <c r="AF203" s="208">
        <v>0</v>
      </c>
      <c r="AG203" s="208">
        <v>17682718</v>
      </c>
      <c r="AH203" s="208">
        <v>0</v>
      </c>
      <c r="AI203" s="208">
        <v>0</v>
      </c>
      <c r="AJ203" s="208">
        <v>0</v>
      </c>
      <c r="AK203" s="208">
        <v>0</v>
      </c>
      <c r="AL203" s="208">
        <v>0</v>
      </c>
      <c r="AM203" s="208">
        <v>0</v>
      </c>
      <c r="AN203" s="208">
        <v>0</v>
      </c>
      <c r="AO203" s="208">
        <v>0</v>
      </c>
      <c r="AP203" s="208">
        <v>0</v>
      </c>
      <c r="AQ203" s="208">
        <v>0</v>
      </c>
      <c r="AR203" s="208">
        <v>0</v>
      </c>
      <c r="AS203" s="208">
        <v>0</v>
      </c>
      <c r="AT203" s="208">
        <v>0</v>
      </c>
      <c r="AU203" s="208">
        <v>0</v>
      </c>
      <c r="AV203" s="208">
        <v>0</v>
      </c>
      <c r="AW203" s="208">
        <v>0</v>
      </c>
      <c r="AX203" s="208">
        <v>0</v>
      </c>
      <c r="AY203" s="208">
        <v>0</v>
      </c>
      <c r="AZ203" s="208">
        <v>0</v>
      </c>
      <c r="BA203" s="208">
        <v>0</v>
      </c>
      <c r="BB203" s="208">
        <v>0</v>
      </c>
      <c r="BC203" s="208">
        <v>0</v>
      </c>
      <c r="BD203" s="208">
        <v>0</v>
      </c>
      <c r="BE203" s="208">
        <v>0</v>
      </c>
      <c r="BF203" s="208">
        <v>0</v>
      </c>
      <c r="BG203" s="208">
        <v>0</v>
      </c>
      <c r="BH203" s="208">
        <v>0</v>
      </c>
      <c r="BI203" s="208">
        <v>0</v>
      </c>
      <c r="BJ203" s="208">
        <v>0</v>
      </c>
      <c r="BK203" s="208">
        <v>0</v>
      </c>
      <c r="BL203" s="208">
        <v>468393</v>
      </c>
      <c r="BM203" s="208">
        <v>-132291</v>
      </c>
      <c r="BN203" s="187" t="s">
        <v>482</v>
      </c>
      <c r="BO203" s="187" t="s">
        <v>748</v>
      </c>
      <c r="BP203" s="187" t="s">
        <v>747</v>
      </c>
      <c r="BQ203" s="187" t="s">
        <v>1054</v>
      </c>
    </row>
    <row r="204" spans="1:69" x14ac:dyDescent="0.2">
      <c r="B204" s="429" t="s">
        <v>485</v>
      </c>
      <c r="C204" s="429" t="s">
        <v>484</v>
      </c>
      <c r="D204" s="208">
        <v>100811960</v>
      </c>
      <c r="E204" s="208">
        <v>0</v>
      </c>
      <c r="F204" s="208">
        <v>100811960</v>
      </c>
      <c r="G204" s="208">
        <v>0</v>
      </c>
      <c r="H204" s="208">
        <v>0</v>
      </c>
      <c r="I204" s="208">
        <v>0</v>
      </c>
      <c r="J204" s="208">
        <v>-1465914</v>
      </c>
      <c r="K204" s="208">
        <v>0</v>
      </c>
      <c r="L204" s="208">
        <v>-1465914</v>
      </c>
      <c r="M204" s="208">
        <v>0</v>
      </c>
      <c r="N204" s="208">
        <v>0</v>
      </c>
      <c r="O204" s="208">
        <v>0</v>
      </c>
      <c r="P204" s="208">
        <v>-1007576</v>
      </c>
      <c r="Q204" s="208">
        <v>0</v>
      </c>
      <c r="R204" s="208">
        <v>-1007576</v>
      </c>
      <c r="S204" s="208">
        <v>612114</v>
      </c>
      <c r="T204" s="208">
        <v>0</v>
      </c>
      <c r="U204" s="208">
        <v>612114</v>
      </c>
      <c r="V204" s="208">
        <v>0</v>
      </c>
      <c r="W204" s="208">
        <v>0</v>
      </c>
      <c r="X204" s="208">
        <v>0</v>
      </c>
      <c r="Y204" s="208">
        <v>0</v>
      </c>
      <c r="Z204" s="208">
        <v>0</v>
      </c>
      <c r="AA204" s="208">
        <v>0</v>
      </c>
      <c r="AB204" s="208">
        <v>-4491000</v>
      </c>
      <c r="AC204" s="208">
        <v>0</v>
      </c>
      <c r="AD204" s="208">
        <v>-4491000</v>
      </c>
      <c r="AE204" s="208">
        <v>95925498</v>
      </c>
      <c r="AF204" s="208">
        <v>0</v>
      </c>
      <c r="AG204" s="208">
        <v>95925498</v>
      </c>
      <c r="AH204" s="208">
        <v>0</v>
      </c>
      <c r="AI204" s="208">
        <v>0</v>
      </c>
      <c r="AJ204" s="208">
        <v>335745</v>
      </c>
      <c r="AK204" s="208">
        <v>0</v>
      </c>
      <c r="AL204" s="208">
        <v>335745</v>
      </c>
      <c r="AM204" s="208">
        <v>0</v>
      </c>
      <c r="AN204" s="208">
        <v>0</v>
      </c>
      <c r="AO204" s="208">
        <v>0</v>
      </c>
      <c r="AP204" s="208">
        <v>0</v>
      </c>
      <c r="AQ204" s="208">
        <v>0</v>
      </c>
      <c r="AR204" s="208">
        <v>0</v>
      </c>
      <c r="AS204" s="208">
        <v>0</v>
      </c>
      <c r="AT204" s="208">
        <v>0</v>
      </c>
      <c r="AU204" s="208">
        <v>0</v>
      </c>
      <c r="AV204" s="208">
        <v>0</v>
      </c>
      <c r="AW204" s="208">
        <v>0</v>
      </c>
      <c r="AX204" s="208">
        <v>0</v>
      </c>
      <c r="AY204" s="208">
        <v>0</v>
      </c>
      <c r="AZ204" s="208">
        <v>0</v>
      </c>
      <c r="BA204" s="208">
        <v>0</v>
      </c>
      <c r="BB204" s="208">
        <v>0</v>
      </c>
      <c r="BC204" s="208">
        <v>0</v>
      </c>
      <c r="BD204" s="208">
        <v>0</v>
      </c>
      <c r="BE204" s="208">
        <v>0</v>
      </c>
      <c r="BF204" s="208">
        <v>0</v>
      </c>
      <c r="BG204" s="208">
        <v>0</v>
      </c>
      <c r="BH204" s="208">
        <v>0</v>
      </c>
      <c r="BI204" s="208">
        <v>0</v>
      </c>
      <c r="BJ204" s="208">
        <v>0</v>
      </c>
      <c r="BK204" s="208">
        <v>0</v>
      </c>
      <c r="BL204" s="208">
        <v>8683114</v>
      </c>
      <c r="BM204" s="208">
        <v>-2365817</v>
      </c>
      <c r="BN204" s="187" t="s">
        <v>824</v>
      </c>
      <c r="BO204" s="187" t="s">
        <v>742</v>
      </c>
      <c r="BP204" s="187" t="s">
        <v>808</v>
      </c>
      <c r="BQ204" s="187" t="s">
        <v>742</v>
      </c>
    </row>
    <row r="205" spans="1:69" x14ac:dyDescent="0.2">
      <c r="B205" s="429" t="s">
        <v>487</v>
      </c>
      <c r="C205" s="429" t="s">
        <v>486</v>
      </c>
      <c r="D205" s="208">
        <v>84800006</v>
      </c>
      <c r="E205" s="208">
        <v>369</v>
      </c>
      <c r="F205" s="208">
        <v>84800375</v>
      </c>
      <c r="G205" s="208">
        <v>0</v>
      </c>
      <c r="H205" s="208">
        <v>0</v>
      </c>
      <c r="I205" s="208">
        <v>0</v>
      </c>
      <c r="J205" s="208">
        <v>-293982</v>
      </c>
      <c r="K205" s="208">
        <v>0</v>
      </c>
      <c r="L205" s="208">
        <v>-293982</v>
      </c>
      <c r="M205" s="208">
        <v>0</v>
      </c>
      <c r="N205" s="208">
        <v>0</v>
      </c>
      <c r="O205" s="208">
        <v>0</v>
      </c>
      <c r="P205" s="208">
        <v>-293192</v>
      </c>
      <c r="Q205" s="208">
        <v>0</v>
      </c>
      <c r="R205" s="208">
        <v>-293192</v>
      </c>
      <c r="S205" s="208">
        <v>4300851</v>
      </c>
      <c r="T205" s="208">
        <v>0</v>
      </c>
      <c r="U205" s="208">
        <v>4300851</v>
      </c>
      <c r="V205" s="208">
        <v>127157</v>
      </c>
      <c r="W205" s="208">
        <v>0</v>
      </c>
      <c r="X205" s="208">
        <v>127157</v>
      </c>
      <c r="Y205" s="208">
        <v>1529973</v>
      </c>
      <c r="Z205" s="208">
        <v>0</v>
      </c>
      <c r="AA205" s="208">
        <v>1529973</v>
      </c>
      <c r="AB205" s="208">
        <v>-387316</v>
      </c>
      <c r="AC205" s="208">
        <v>0</v>
      </c>
      <c r="AD205" s="208">
        <v>-387316</v>
      </c>
      <c r="AE205" s="208">
        <v>90077479</v>
      </c>
      <c r="AF205" s="208">
        <v>369</v>
      </c>
      <c r="AG205" s="208">
        <v>90077848</v>
      </c>
      <c r="AH205" s="208">
        <v>369</v>
      </c>
      <c r="AI205" s="208">
        <v>369</v>
      </c>
      <c r="AJ205" s="208">
        <v>227823</v>
      </c>
      <c r="AK205" s="208">
        <v>0</v>
      </c>
      <c r="AL205" s="208">
        <v>227823</v>
      </c>
      <c r="AM205" s="208">
        <v>0</v>
      </c>
      <c r="AN205" s="208">
        <v>0</v>
      </c>
      <c r="AO205" s="208">
        <v>0</v>
      </c>
      <c r="AP205" s="208">
        <v>0</v>
      </c>
      <c r="AQ205" s="208">
        <v>0</v>
      </c>
      <c r="AR205" s="208">
        <v>544342</v>
      </c>
      <c r="AS205" s="208">
        <v>544342</v>
      </c>
      <c r="AT205" s="208">
        <v>0</v>
      </c>
      <c r="AU205" s="208">
        <v>0</v>
      </c>
      <c r="AV205" s="208">
        <v>0</v>
      </c>
      <c r="AW205" s="208">
        <v>0</v>
      </c>
      <c r="AX205" s="208">
        <v>0</v>
      </c>
      <c r="AY205" s="208">
        <v>0</v>
      </c>
      <c r="AZ205" s="208">
        <v>0</v>
      </c>
      <c r="BA205" s="208">
        <v>0</v>
      </c>
      <c r="BB205" s="208">
        <v>0</v>
      </c>
      <c r="BC205" s="208">
        <v>0</v>
      </c>
      <c r="BD205" s="208">
        <v>0</v>
      </c>
      <c r="BE205" s="208">
        <v>0</v>
      </c>
      <c r="BF205" s="208">
        <v>0</v>
      </c>
      <c r="BG205" s="208">
        <v>0</v>
      </c>
      <c r="BH205" s="208">
        <v>0</v>
      </c>
      <c r="BI205" s="208">
        <v>0</v>
      </c>
      <c r="BJ205" s="208">
        <v>0</v>
      </c>
      <c r="BK205" s="208">
        <v>0</v>
      </c>
      <c r="BL205" s="208">
        <v>1338119</v>
      </c>
      <c r="BM205" s="208">
        <v>-1816453</v>
      </c>
      <c r="BN205" s="187" t="s">
        <v>823</v>
      </c>
      <c r="BO205" s="187" t="s">
        <v>742</v>
      </c>
      <c r="BP205" s="187" t="s">
        <v>768</v>
      </c>
      <c r="BQ205" s="187" t="s">
        <v>742</v>
      </c>
    </row>
    <row r="206" spans="1:69" x14ac:dyDescent="0.2">
      <c r="B206" s="429" t="s">
        <v>489</v>
      </c>
      <c r="C206" s="429" t="s">
        <v>488</v>
      </c>
      <c r="D206" s="208">
        <v>63479510</v>
      </c>
      <c r="E206" s="208">
        <v>0</v>
      </c>
      <c r="F206" s="208">
        <v>63479510</v>
      </c>
      <c r="G206" s="208">
        <v>0</v>
      </c>
      <c r="H206" s="208">
        <v>0</v>
      </c>
      <c r="I206" s="208">
        <v>0</v>
      </c>
      <c r="J206" s="208">
        <v>-262092</v>
      </c>
      <c r="K206" s="208">
        <v>0</v>
      </c>
      <c r="L206" s="208">
        <v>-262092</v>
      </c>
      <c r="M206" s="208">
        <v>0</v>
      </c>
      <c r="N206" s="208">
        <v>0</v>
      </c>
      <c r="O206" s="208">
        <v>0</v>
      </c>
      <c r="P206" s="208">
        <v>-288294</v>
      </c>
      <c r="Q206" s="208">
        <v>0</v>
      </c>
      <c r="R206" s="208">
        <v>-288294</v>
      </c>
      <c r="S206" s="208">
        <v>781828</v>
      </c>
      <c r="T206" s="208">
        <v>0</v>
      </c>
      <c r="U206" s="208">
        <v>781828</v>
      </c>
      <c r="V206" s="208">
        <v>0</v>
      </c>
      <c r="W206" s="208">
        <v>0</v>
      </c>
      <c r="X206" s="208">
        <v>0</v>
      </c>
      <c r="Y206" s="208">
        <v>-3262062</v>
      </c>
      <c r="Z206" s="208">
        <v>0</v>
      </c>
      <c r="AA206" s="208">
        <v>-3262062</v>
      </c>
      <c r="AB206" s="208">
        <v>-4319341</v>
      </c>
      <c r="AC206" s="208">
        <v>0</v>
      </c>
      <c r="AD206" s="208">
        <v>-4319341</v>
      </c>
      <c r="AE206" s="208">
        <v>56391641</v>
      </c>
      <c r="AF206" s="208">
        <v>0</v>
      </c>
      <c r="AG206" s="208">
        <v>56391641</v>
      </c>
      <c r="AH206" s="208">
        <v>0</v>
      </c>
      <c r="AI206" s="208">
        <v>0</v>
      </c>
      <c r="AJ206" s="208">
        <v>322</v>
      </c>
      <c r="AK206" s="208">
        <v>0</v>
      </c>
      <c r="AL206" s="208">
        <v>322</v>
      </c>
      <c r="AM206" s="208">
        <v>0</v>
      </c>
      <c r="AN206" s="208">
        <v>0</v>
      </c>
      <c r="AO206" s="208">
        <v>0</v>
      </c>
      <c r="AP206" s="208">
        <v>0</v>
      </c>
      <c r="AQ206" s="208">
        <v>0</v>
      </c>
      <c r="AR206" s="208">
        <v>0</v>
      </c>
      <c r="AS206" s="208">
        <v>0</v>
      </c>
      <c r="AT206" s="208">
        <v>0</v>
      </c>
      <c r="AU206" s="208">
        <v>0</v>
      </c>
      <c r="AV206" s="208">
        <v>0</v>
      </c>
      <c r="AW206" s="208">
        <v>0</v>
      </c>
      <c r="AX206" s="208">
        <v>0</v>
      </c>
      <c r="AY206" s="208">
        <v>0</v>
      </c>
      <c r="AZ206" s="208">
        <v>0</v>
      </c>
      <c r="BA206" s="208">
        <v>0</v>
      </c>
      <c r="BB206" s="208">
        <v>0</v>
      </c>
      <c r="BC206" s="208">
        <v>0</v>
      </c>
      <c r="BD206" s="208">
        <v>0</v>
      </c>
      <c r="BE206" s="208">
        <v>0</v>
      </c>
      <c r="BF206" s="208">
        <v>0</v>
      </c>
      <c r="BG206" s="208">
        <v>0</v>
      </c>
      <c r="BH206" s="208">
        <v>0</v>
      </c>
      <c r="BI206" s="208">
        <v>0</v>
      </c>
      <c r="BJ206" s="208">
        <v>0</v>
      </c>
      <c r="BK206" s="208">
        <v>0</v>
      </c>
      <c r="BL206" s="208">
        <v>1454061</v>
      </c>
      <c r="BM206" s="208">
        <v>-1272015</v>
      </c>
      <c r="BN206" s="187" t="s">
        <v>822</v>
      </c>
      <c r="BO206" s="187" t="s">
        <v>742</v>
      </c>
      <c r="BP206" s="187" t="s">
        <v>764</v>
      </c>
      <c r="BQ206" s="187" t="s">
        <v>742</v>
      </c>
    </row>
    <row r="207" spans="1:69" x14ac:dyDescent="0.2">
      <c r="B207" s="429" t="s">
        <v>491</v>
      </c>
      <c r="C207" s="429" t="s">
        <v>490</v>
      </c>
      <c r="D207" s="208">
        <v>88912151</v>
      </c>
      <c r="E207" s="208">
        <v>0</v>
      </c>
      <c r="F207" s="208">
        <v>88912151</v>
      </c>
      <c r="G207" s="208">
        <v>0</v>
      </c>
      <c r="H207" s="208">
        <v>0</v>
      </c>
      <c r="I207" s="208">
        <v>0</v>
      </c>
      <c r="J207" s="208">
        <v>-572919</v>
      </c>
      <c r="K207" s="208">
        <v>0</v>
      </c>
      <c r="L207" s="208">
        <v>-572919</v>
      </c>
      <c r="M207" s="208">
        <v>0</v>
      </c>
      <c r="N207" s="208">
        <v>0</v>
      </c>
      <c r="O207" s="208">
        <v>0</v>
      </c>
      <c r="P207" s="208">
        <v>-375461</v>
      </c>
      <c r="Q207" s="208">
        <v>0</v>
      </c>
      <c r="R207" s="208">
        <v>-375461</v>
      </c>
      <c r="S207" s="208">
        <v>949242</v>
      </c>
      <c r="T207" s="208">
        <v>0</v>
      </c>
      <c r="U207" s="208">
        <v>949242</v>
      </c>
      <c r="V207" s="208">
        <v>216184</v>
      </c>
      <c r="W207" s="208">
        <v>0</v>
      </c>
      <c r="X207" s="208">
        <v>216184</v>
      </c>
      <c r="Y207" s="208">
        <v>4796049</v>
      </c>
      <c r="Z207" s="208">
        <v>0</v>
      </c>
      <c r="AA207" s="208">
        <v>4796049</v>
      </c>
      <c r="AB207" s="208">
        <v>-4146117</v>
      </c>
      <c r="AC207" s="208">
        <v>0</v>
      </c>
      <c r="AD207" s="208">
        <v>-4146117</v>
      </c>
      <c r="AE207" s="208">
        <v>90352048</v>
      </c>
      <c r="AF207" s="208">
        <v>0</v>
      </c>
      <c r="AG207" s="208">
        <v>90352048</v>
      </c>
      <c r="AH207" s="208">
        <v>0</v>
      </c>
      <c r="AI207" s="208">
        <v>0</v>
      </c>
      <c r="AJ207" s="208">
        <v>0</v>
      </c>
      <c r="AK207" s="208">
        <v>0</v>
      </c>
      <c r="AL207" s="208">
        <v>0</v>
      </c>
      <c r="AM207" s="208">
        <v>0</v>
      </c>
      <c r="AN207" s="208">
        <v>0</v>
      </c>
      <c r="AO207" s="208">
        <v>0</v>
      </c>
      <c r="AP207" s="208">
        <v>0</v>
      </c>
      <c r="AQ207" s="208">
        <v>0</v>
      </c>
      <c r="AR207" s="208">
        <v>0</v>
      </c>
      <c r="AS207" s="208">
        <v>0</v>
      </c>
      <c r="AT207" s="208">
        <v>0</v>
      </c>
      <c r="AU207" s="208">
        <v>0</v>
      </c>
      <c r="AV207" s="208">
        <v>0</v>
      </c>
      <c r="AW207" s="208">
        <v>0</v>
      </c>
      <c r="AX207" s="208">
        <v>0</v>
      </c>
      <c r="AY207" s="208">
        <v>0</v>
      </c>
      <c r="AZ207" s="208">
        <v>0</v>
      </c>
      <c r="BA207" s="208">
        <v>0</v>
      </c>
      <c r="BB207" s="208">
        <v>0</v>
      </c>
      <c r="BC207" s="208">
        <v>0</v>
      </c>
      <c r="BD207" s="208">
        <v>0</v>
      </c>
      <c r="BE207" s="208">
        <v>0</v>
      </c>
      <c r="BF207" s="208">
        <v>0</v>
      </c>
      <c r="BG207" s="208">
        <v>0</v>
      </c>
      <c r="BH207" s="208">
        <v>0</v>
      </c>
      <c r="BI207" s="208">
        <v>0</v>
      </c>
      <c r="BJ207" s="208">
        <v>0</v>
      </c>
      <c r="BK207" s="208">
        <v>0</v>
      </c>
      <c r="BL207" s="208">
        <v>5059278</v>
      </c>
      <c r="BM207" s="208">
        <v>-2372048</v>
      </c>
      <c r="BN207" s="187" t="s">
        <v>821</v>
      </c>
      <c r="BO207" s="187" t="s">
        <v>742</v>
      </c>
      <c r="BP207" s="187" t="s">
        <v>760</v>
      </c>
      <c r="BQ207" s="187" t="s">
        <v>742</v>
      </c>
    </row>
    <row r="208" spans="1:69" x14ac:dyDescent="0.2">
      <c r="B208" s="429" t="s">
        <v>493</v>
      </c>
      <c r="C208" s="429" t="s">
        <v>492</v>
      </c>
      <c r="D208" s="208">
        <v>63025407</v>
      </c>
      <c r="E208" s="208">
        <v>0</v>
      </c>
      <c r="F208" s="208">
        <v>63025407</v>
      </c>
      <c r="G208" s="208">
        <v>-2337</v>
      </c>
      <c r="H208" s="208">
        <v>0</v>
      </c>
      <c r="I208" s="208">
        <v>-2337</v>
      </c>
      <c r="J208" s="208">
        <v>-97603</v>
      </c>
      <c r="K208" s="208">
        <v>0</v>
      </c>
      <c r="L208" s="208">
        <v>-97603</v>
      </c>
      <c r="M208" s="208">
        <v>0</v>
      </c>
      <c r="N208" s="208">
        <v>0</v>
      </c>
      <c r="O208" s="208">
        <v>0</v>
      </c>
      <c r="P208" s="208">
        <v>-1707685</v>
      </c>
      <c r="Q208" s="208">
        <v>0</v>
      </c>
      <c r="R208" s="208">
        <v>-1707685</v>
      </c>
      <c r="S208" s="208">
        <v>1702288</v>
      </c>
      <c r="T208" s="208">
        <v>0</v>
      </c>
      <c r="U208" s="208">
        <v>1702288</v>
      </c>
      <c r="V208" s="208">
        <v>408229</v>
      </c>
      <c r="W208" s="208">
        <v>0</v>
      </c>
      <c r="X208" s="208">
        <v>408229</v>
      </c>
      <c r="Y208" s="208">
        <v>-2630365</v>
      </c>
      <c r="Z208" s="208">
        <v>0</v>
      </c>
      <c r="AA208" s="208">
        <v>-2630365</v>
      </c>
      <c r="AB208" s="208">
        <v>-2658493</v>
      </c>
      <c r="AC208" s="208">
        <v>0</v>
      </c>
      <c r="AD208" s="208">
        <v>-2658493</v>
      </c>
      <c r="AE208" s="208">
        <v>58137044</v>
      </c>
      <c r="AF208" s="208">
        <v>0</v>
      </c>
      <c r="AG208" s="208">
        <v>58137044</v>
      </c>
      <c r="AH208" s="208">
        <v>0</v>
      </c>
      <c r="AI208" s="208">
        <v>0</v>
      </c>
      <c r="AJ208" s="208">
        <v>68061</v>
      </c>
      <c r="AK208" s="208">
        <v>0</v>
      </c>
      <c r="AL208" s="208">
        <v>68061</v>
      </c>
      <c r="AM208" s="208">
        <v>0</v>
      </c>
      <c r="AN208" s="208">
        <v>0</v>
      </c>
      <c r="AO208" s="208">
        <v>0</v>
      </c>
      <c r="AP208" s="208">
        <v>0</v>
      </c>
      <c r="AQ208" s="208">
        <v>0</v>
      </c>
      <c r="AR208" s="208">
        <v>0</v>
      </c>
      <c r="AS208" s="208">
        <v>0</v>
      </c>
      <c r="AT208" s="208">
        <v>0</v>
      </c>
      <c r="AU208" s="208">
        <v>0</v>
      </c>
      <c r="AV208" s="208">
        <v>0</v>
      </c>
      <c r="AW208" s="208">
        <v>0</v>
      </c>
      <c r="AX208" s="208">
        <v>0</v>
      </c>
      <c r="AY208" s="208">
        <v>0</v>
      </c>
      <c r="AZ208" s="208">
        <v>0</v>
      </c>
      <c r="BA208" s="208">
        <v>0</v>
      </c>
      <c r="BB208" s="208">
        <v>0</v>
      </c>
      <c r="BC208" s="208">
        <v>0</v>
      </c>
      <c r="BD208" s="208">
        <v>0</v>
      </c>
      <c r="BE208" s="208">
        <v>0</v>
      </c>
      <c r="BF208" s="208">
        <v>0</v>
      </c>
      <c r="BG208" s="208">
        <v>0</v>
      </c>
      <c r="BH208" s="208">
        <v>0</v>
      </c>
      <c r="BI208" s="208">
        <v>0</v>
      </c>
      <c r="BJ208" s="208">
        <v>0</v>
      </c>
      <c r="BK208" s="208">
        <v>0</v>
      </c>
      <c r="BL208" s="208">
        <v>8070374</v>
      </c>
      <c r="BM208" s="208">
        <v>-1101832</v>
      </c>
      <c r="BN208" s="187" t="s">
        <v>492</v>
      </c>
      <c r="BO208" s="187" t="s">
        <v>748</v>
      </c>
      <c r="BP208" s="187" t="s">
        <v>747</v>
      </c>
      <c r="BQ208" s="187" t="s">
        <v>1054</v>
      </c>
    </row>
    <row r="209" spans="1:69" x14ac:dyDescent="0.2">
      <c r="B209" s="429" t="s">
        <v>495</v>
      </c>
      <c r="C209" s="429" t="s">
        <v>494</v>
      </c>
      <c r="D209" s="208">
        <v>14582141</v>
      </c>
      <c r="E209" s="208">
        <v>362748</v>
      </c>
      <c r="F209" s="208">
        <v>14944889</v>
      </c>
      <c r="G209" s="208">
        <v>0</v>
      </c>
      <c r="H209" s="208">
        <v>0</v>
      </c>
      <c r="I209" s="208">
        <v>0</v>
      </c>
      <c r="J209" s="208">
        <v>-67135</v>
      </c>
      <c r="K209" s="208">
        <v>0</v>
      </c>
      <c r="L209" s="208">
        <v>-67135</v>
      </c>
      <c r="M209" s="208">
        <v>0</v>
      </c>
      <c r="N209" s="208">
        <v>0</v>
      </c>
      <c r="O209" s="208">
        <v>0</v>
      </c>
      <c r="P209" s="208">
        <v>-97000</v>
      </c>
      <c r="Q209" s="208">
        <v>0</v>
      </c>
      <c r="R209" s="208">
        <v>-97000</v>
      </c>
      <c r="S209" s="208">
        <v>1367719</v>
      </c>
      <c r="T209" s="208">
        <v>0</v>
      </c>
      <c r="U209" s="208">
        <v>1367719</v>
      </c>
      <c r="V209" s="208">
        <v>0</v>
      </c>
      <c r="W209" s="208">
        <v>0</v>
      </c>
      <c r="X209" s="208">
        <v>0</v>
      </c>
      <c r="Y209" s="208">
        <v>-1250000</v>
      </c>
      <c r="Z209" s="208">
        <v>0</v>
      </c>
      <c r="AA209" s="208">
        <v>-1250000</v>
      </c>
      <c r="AB209" s="208">
        <v>-792079</v>
      </c>
      <c r="AC209" s="208">
        <v>0</v>
      </c>
      <c r="AD209" s="208">
        <v>-792079</v>
      </c>
      <c r="AE209" s="208">
        <v>13810781</v>
      </c>
      <c r="AF209" s="208">
        <v>362748</v>
      </c>
      <c r="AG209" s="208">
        <v>14173529</v>
      </c>
      <c r="AH209" s="208">
        <v>362748</v>
      </c>
      <c r="AI209" s="208">
        <v>362748</v>
      </c>
      <c r="AJ209" s="208">
        <v>130891</v>
      </c>
      <c r="AK209" s="208">
        <v>0</v>
      </c>
      <c r="AL209" s="208">
        <v>130891</v>
      </c>
      <c r="AM209" s="208">
        <v>0</v>
      </c>
      <c r="AN209" s="208">
        <v>0</v>
      </c>
      <c r="AO209" s="208">
        <v>0</v>
      </c>
      <c r="AP209" s="208">
        <v>0</v>
      </c>
      <c r="AQ209" s="208">
        <v>0</v>
      </c>
      <c r="AR209" s="208">
        <v>271309</v>
      </c>
      <c r="AS209" s="208">
        <v>271309</v>
      </c>
      <c r="AT209" s="208">
        <v>91439</v>
      </c>
      <c r="AU209" s="208">
        <v>0</v>
      </c>
      <c r="AV209" s="208">
        <v>0</v>
      </c>
      <c r="AW209" s="208">
        <v>0</v>
      </c>
      <c r="AX209" s="208">
        <v>0</v>
      </c>
      <c r="AY209" s="208">
        <v>47849</v>
      </c>
      <c r="AZ209" s="208">
        <v>47849</v>
      </c>
      <c r="BA209" s="208">
        <v>0</v>
      </c>
      <c r="BB209" s="208">
        <v>0</v>
      </c>
      <c r="BC209" s="208">
        <v>0</v>
      </c>
      <c r="BD209" s="208">
        <v>0</v>
      </c>
      <c r="BE209" s="208">
        <v>0</v>
      </c>
      <c r="BF209" s="208">
        <v>0</v>
      </c>
      <c r="BG209" s="208">
        <v>0</v>
      </c>
      <c r="BH209" s="208">
        <v>0</v>
      </c>
      <c r="BI209" s="208">
        <v>0</v>
      </c>
      <c r="BJ209" s="208">
        <v>47849</v>
      </c>
      <c r="BK209" s="208">
        <v>47849</v>
      </c>
      <c r="BL209" s="208">
        <v>387015</v>
      </c>
      <c r="BM209" s="208">
        <v>-78350</v>
      </c>
      <c r="BN209" s="187" t="s">
        <v>494</v>
      </c>
      <c r="BO209" s="187" t="s">
        <v>765</v>
      </c>
      <c r="BP209" s="187" t="s">
        <v>764</v>
      </c>
      <c r="BQ209" s="187" t="s">
        <v>1054</v>
      </c>
    </row>
    <row r="210" spans="1:69" x14ac:dyDescent="0.2">
      <c r="A210" s="188" t="s">
        <v>1817</v>
      </c>
      <c r="B210" s="429" t="s">
        <v>497</v>
      </c>
      <c r="C210" s="429" t="s">
        <v>496</v>
      </c>
      <c r="D210" s="208">
        <v>134284519</v>
      </c>
      <c r="E210" s="208">
        <v>0</v>
      </c>
      <c r="F210" s="208">
        <v>134284519</v>
      </c>
      <c r="G210" s="208">
        <v>0</v>
      </c>
      <c r="H210" s="208">
        <v>0</v>
      </c>
      <c r="I210" s="208">
        <v>0</v>
      </c>
      <c r="J210" s="208">
        <v>-294571</v>
      </c>
      <c r="K210" s="208">
        <v>0</v>
      </c>
      <c r="L210" s="208">
        <v>-294571</v>
      </c>
      <c r="M210" s="208">
        <v>0</v>
      </c>
      <c r="N210" s="208">
        <v>0</v>
      </c>
      <c r="O210" s="208">
        <v>0</v>
      </c>
      <c r="P210" s="208">
        <v>216543</v>
      </c>
      <c r="Q210" s="208">
        <v>0</v>
      </c>
      <c r="R210" s="208">
        <v>216543</v>
      </c>
      <c r="S210" s="208">
        <v>3239186</v>
      </c>
      <c r="T210" s="208">
        <v>0</v>
      </c>
      <c r="U210" s="208">
        <v>3239186</v>
      </c>
      <c r="V210" s="208">
        <v>0</v>
      </c>
      <c r="W210" s="208">
        <v>0</v>
      </c>
      <c r="X210" s="208">
        <v>0</v>
      </c>
      <c r="Y210" s="208">
        <v>-585496</v>
      </c>
      <c r="Z210" s="208">
        <v>0</v>
      </c>
      <c r="AA210" s="208">
        <v>-585496</v>
      </c>
      <c r="AB210" s="208">
        <v>2885549</v>
      </c>
      <c r="AC210" s="208">
        <v>0</v>
      </c>
      <c r="AD210" s="208">
        <v>2885549</v>
      </c>
      <c r="AE210" s="208">
        <v>140040301</v>
      </c>
      <c r="AF210" s="208">
        <v>0</v>
      </c>
      <c r="AG210" s="208">
        <v>140040301</v>
      </c>
      <c r="AH210" s="208">
        <v>0</v>
      </c>
      <c r="AI210" s="208">
        <v>0</v>
      </c>
      <c r="AJ210" s="208">
        <v>0</v>
      </c>
      <c r="AK210" s="208">
        <v>0</v>
      </c>
      <c r="AL210" s="208">
        <v>0</v>
      </c>
      <c r="AM210" s="208">
        <v>0</v>
      </c>
      <c r="AN210" s="208">
        <v>0</v>
      </c>
      <c r="AO210" s="208">
        <v>0</v>
      </c>
      <c r="AP210" s="208">
        <v>0</v>
      </c>
      <c r="AQ210" s="208">
        <v>0</v>
      </c>
      <c r="AR210" s="208">
        <v>0</v>
      </c>
      <c r="AS210" s="208">
        <v>0</v>
      </c>
      <c r="AT210" s="208">
        <v>0</v>
      </c>
      <c r="AU210" s="208">
        <v>0</v>
      </c>
      <c r="AV210" s="208">
        <v>0</v>
      </c>
      <c r="AW210" s="208">
        <v>0</v>
      </c>
      <c r="AX210" s="208">
        <v>0</v>
      </c>
      <c r="AY210" s="208">
        <v>0</v>
      </c>
      <c r="AZ210" s="208">
        <v>0</v>
      </c>
      <c r="BA210" s="208">
        <v>0</v>
      </c>
      <c r="BB210" s="208">
        <v>0</v>
      </c>
      <c r="BC210" s="208">
        <v>0</v>
      </c>
      <c r="BD210" s="208">
        <v>0</v>
      </c>
      <c r="BE210" s="208">
        <v>0</v>
      </c>
      <c r="BF210" s="208">
        <v>0</v>
      </c>
      <c r="BG210" s="208">
        <v>0</v>
      </c>
      <c r="BH210" s="208">
        <v>0</v>
      </c>
      <c r="BI210" s="208">
        <v>0</v>
      </c>
      <c r="BJ210" s="208">
        <v>0</v>
      </c>
      <c r="BK210" s="208">
        <v>0</v>
      </c>
      <c r="BL210" s="208">
        <v>6350420</v>
      </c>
      <c r="BM210" s="208">
        <v>-4328358</v>
      </c>
      <c r="BN210" s="187" t="s">
        <v>820</v>
      </c>
      <c r="BO210" s="187" t="s">
        <v>742</v>
      </c>
      <c r="BP210" s="187" t="s">
        <v>755</v>
      </c>
      <c r="BQ210" s="187" t="s">
        <v>742</v>
      </c>
    </row>
    <row r="211" spans="1:69" x14ac:dyDescent="0.2">
      <c r="B211" s="429" t="s">
        <v>499</v>
      </c>
      <c r="C211" s="429" t="s">
        <v>498</v>
      </c>
      <c r="D211" s="208">
        <v>55284902</v>
      </c>
      <c r="E211" s="208">
        <v>0</v>
      </c>
      <c r="F211" s="208">
        <v>55284902</v>
      </c>
      <c r="G211" s="208">
        <v>0</v>
      </c>
      <c r="H211" s="208">
        <v>0</v>
      </c>
      <c r="I211" s="208">
        <v>0</v>
      </c>
      <c r="J211" s="208">
        <v>-1573962</v>
      </c>
      <c r="K211" s="208">
        <v>0</v>
      </c>
      <c r="L211" s="208">
        <v>-1573962</v>
      </c>
      <c r="M211" s="208">
        <v>0</v>
      </c>
      <c r="N211" s="208">
        <v>0</v>
      </c>
      <c r="O211" s="208">
        <v>0</v>
      </c>
      <c r="P211" s="208">
        <v>306000</v>
      </c>
      <c r="Q211" s="208">
        <v>0</v>
      </c>
      <c r="R211" s="208">
        <v>306000</v>
      </c>
      <c r="S211" s="208">
        <v>3987703</v>
      </c>
      <c r="T211" s="208">
        <v>0</v>
      </c>
      <c r="U211" s="208">
        <v>3987703</v>
      </c>
      <c r="V211" s="208">
        <v>385706</v>
      </c>
      <c r="W211" s="208">
        <v>0</v>
      </c>
      <c r="X211" s="208">
        <v>385706</v>
      </c>
      <c r="Y211" s="208">
        <v>-2278762</v>
      </c>
      <c r="Z211" s="208">
        <v>0</v>
      </c>
      <c r="AA211" s="208">
        <v>-2278762</v>
      </c>
      <c r="AB211" s="208">
        <v>-3006754</v>
      </c>
      <c r="AC211" s="208">
        <v>0</v>
      </c>
      <c r="AD211" s="208">
        <v>-3006754</v>
      </c>
      <c r="AE211" s="208">
        <v>54678795</v>
      </c>
      <c r="AF211" s="208">
        <v>0</v>
      </c>
      <c r="AG211" s="208">
        <v>54678795</v>
      </c>
      <c r="AH211" s="208">
        <v>0</v>
      </c>
      <c r="AI211" s="208">
        <v>0</v>
      </c>
      <c r="AJ211" s="208">
        <v>0</v>
      </c>
      <c r="AK211" s="208">
        <v>0</v>
      </c>
      <c r="AL211" s="208">
        <v>0</v>
      </c>
      <c r="AM211" s="208">
        <v>0</v>
      </c>
      <c r="AN211" s="208">
        <v>0</v>
      </c>
      <c r="AO211" s="208">
        <v>0</v>
      </c>
      <c r="AP211" s="208">
        <v>0</v>
      </c>
      <c r="AQ211" s="208">
        <v>0</v>
      </c>
      <c r="AR211" s="208">
        <v>0</v>
      </c>
      <c r="AS211" s="208">
        <v>0</v>
      </c>
      <c r="AT211" s="208">
        <v>0</v>
      </c>
      <c r="AU211" s="208">
        <v>0</v>
      </c>
      <c r="AV211" s="208">
        <v>0</v>
      </c>
      <c r="AW211" s="208">
        <v>0</v>
      </c>
      <c r="AX211" s="208">
        <v>0</v>
      </c>
      <c r="AY211" s="208">
        <v>0</v>
      </c>
      <c r="AZ211" s="208">
        <v>0</v>
      </c>
      <c r="BA211" s="208">
        <v>0</v>
      </c>
      <c r="BB211" s="208">
        <v>0</v>
      </c>
      <c r="BC211" s="208">
        <v>0</v>
      </c>
      <c r="BD211" s="208">
        <v>0</v>
      </c>
      <c r="BE211" s="208">
        <v>0</v>
      </c>
      <c r="BF211" s="208">
        <v>0</v>
      </c>
      <c r="BG211" s="208">
        <v>0</v>
      </c>
      <c r="BH211" s="208">
        <v>0</v>
      </c>
      <c r="BI211" s="208">
        <v>0</v>
      </c>
      <c r="BJ211" s="208">
        <v>0</v>
      </c>
      <c r="BK211" s="208">
        <v>0</v>
      </c>
      <c r="BL211" s="208">
        <v>7738730</v>
      </c>
      <c r="BM211" s="208">
        <v>-3199961</v>
      </c>
      <c r="BN211" s="187" t="s">
        <v>498</v>
      </c>
      <c r="BO211" s="187" t="s">
        <v>767</v>
      </c>
      <c r="BP211" s="187" t="s">
        <v>743</v>
      </c>
      <c r="BQ211" s="187" t="s">
        <v>1055</v>
      </c>
    </row>
    <row r="212" spans="1:69" x14ac:dyDescent="0.2">
      <c r="B212" s="429" t="s">
        <v>501</v>
      </c>
      <c r="C212" s="429" t="s">
        <v>500</v>
      </c>
      <c r="D212" s="208">
        <v>36951844</v>
      </c>
      <c r="E212" s="208">
        <v>2149947</v>
      </c>
      <c r="F212" s="208">
        <v>39101791</v>
      </c>
      <c r="G212" s="208">
        <v>0</v>
      </c>
      <c r="H212" s="208">
        <v>0</v>
      </c>
      <c r="I212" s="208">
        <v>0</v>
      </c>
      <c r="J212" s="208">
        <v>-133361</v>
      </c>
      <c r="K212" s="208">
        <v>0</v>
      </c>
      <c r="L212" s="208">
        <v>-133361</v>
      </c>
      <c r="M212" s="208">
        <v>0</v>
      </c>
      <c r="N212" s="208">
        <v>0</v>
      </c>
      <c r="O212" s="208">
        <v>0</v>
      </c>
      <c r="P212" s="208">
        <v>286990</v>
      </c>
      <c r="Q212" s="208">
        <v>0</v>
      </c>
      <c r="R212" s="208">
        <v>286990</v>
      </c>
      <c r="S212" s="208">
        <v>220740</v>
      </c>
      <c r="T212" s="208">
        <v>0</v>
      </c>
      <c r="U212" s="208">
        <v>220740</v>
      </c>
      <c r="V212" s="208">
        <v>0</v>
      </c>
      <c r="W212" s="208">
        <v>0</v>
      </c>
      <c r="X212" s="208">
        <v>0</v>
      </c>
      <c r="Y212" s="208">
        <v>12737</v>
      </c>
      <c r="Z212" s="208">
        <v>0</v>
      </c>
      <c r="AA212" s="208">
        <v>12737</v>
      </c>
      <c r="AB212" s="208">
        <v>-776692</v>
      </c>
      <c r="AC212" s="208">
        <v>-45146</v>
      </c>
      <c r="AD212" s="208">
        <v>-821838</v>
      </c>
      <c r="AE212" s="208">
        <v>36695619</v>
      </c>
      <c r="AF212" s="208">
        <v>2104801</v>
      </c>
      <c r="AG212" s="208">
        <v>38800420</v>
      </c>
      <c r="AH212" s="208">
        <v>2104801</v>
      </c>
      <c r="AI212" s="208">
        <v>2104801</v>
      </c>
      <c r="AJ212" s="208">
        <v>0</v>
      </c>
      <c r="AK212" s="208">
        <v>0</v>
      </c>
      <c r="AL212" s="208">
        <v>0</v>
      </c>
      <c r="AM212" s="208">
        <v>0</v>
      </c>
      <c r="AN212" s="208">
        <v>0</v>
      </c>
      <c r="AO212" s="208">
        <v>0</v>
      </c>
      <c r="AP212" s="208">
        <v>-94223</v>
      </c>
      <c r="AQ212" s="208">
        <v>-94223</v>
      </c>
      <c r="AR212" s="208">
        <v>0</v>
      </c>
      <c r="AS212" s="208">
        <v>0</v>
      </c>
      <c r="AT212" s="208">
        <v>2010578</v>
      </c>
      <c r="AU212" s="208">
        <v>0</v>
      </c>
      <c r="AV212" s="208">
        <v>0</v>
      </c>
      <c r="AW212" s="208">
        <v>0</v>
      </c>
      <c r="AX212" s="208">
        <v>0</v>
      </c>
      <c r="AY212" s="208">
        <v>0</v>
      </c>
      <c r="AZ212" s="208">
        <v>0</v>
      </c>
      <c r="BA212" s="208">
        <v>37828903</v>
      </c>
      <c r="BB212" s="208">
        <v>37828903</v>
      </c>
      <c r="BC212" s="208">
        <v>31726501</v>
      </c>
      <c r="BD212" s="208">
        <v>31726501</v>
      </c>
      <c r="BE212" s="208">
        <v>3051201</v>
      </c>
      <c r="BF212" s="208">
        <v>3051201</v>
      </c>
      <c r="BG212" s="208">
        <v>0</v>
      </c>
      <c r="BH212" s="208">
        <v>0</v>
      </c>
      <c r="BI212" s="208">
        <v>3051201</v>
      </c>
      <c r="BJ212" s="208">
        <v>0</v>
      </c>
      <c r="BK212" s="208">
        <v>3051201</v>
      </c>
      <c r="BL212" s="208">
        <v>12749303</v>
      </c>
      <c r="BM212" s="208">
        <v>-532154</v>
      </c>
      <c r="BN212" s="187" t="s">
        <v>819</v>
      </c>
      <c r="BO212" s="187" t="s">
        <v>742</v>
      </c>
      <c r="BP212" s="187" t="s">
        <v>798</v>
      </c>
      <c r="BQ212" s="187" t="s">
        <v>742</v>
      </c>
    </row>
    <row r="213" spans="1:69" x14ac:dyDescent="0.2">
      <c r="B213" s="429" t="s">
        <v>503</v>
      </c>
      <c r="C213" s="429" t="s">
        <v>502</v>
      </c>
      <c r="D213" s="208">
        <v>34799306</v>
      </c>
      <c r="E213" s="208">
        <v>0</v>
      </c>
      <c r="F213" s="208">
        <v>34799306</v>
      </c>
      <c r="G213" s="208">
        <v>0</v>
      </c>
      <c r="H213" s="208">
        <v>0</v>
      </c>
      <c r="I213" s="208">
        <v>0</v>
      </c>
      <c r="J213" s="208">
        <v>-1517635</v>
      </c>
      <c r="K213" s="208">
        <v>0</v>
      </c>
      <c r="L213" s="208">
        <v>-1517635</v>
      </c>
      <c r="M213" s="208">
        <v>0</v>
      </c>
      <c r="N213" s="208">
        <v>0</v>
      </c>
      <c r="O213" s="208">
        <v>0</v>
      </c>
      <c r="P213" s="208">
        <v>-100325</v>
      </c>
      <c r="Q213" s="208">
        <v>0</v>
      </c>
      <c r="R213" s="208">
        <v>-100325</v>
      </c>
      <c r="S213" s="208">
        <v>953067</v>
      </c>
      <c r="T213" s="208">
        <v>0</v>
      </c>
      <c r="U213" s="208">
        <v>953067</v>
      </c>
      <c r="V213" s="208">
        <v>0</v>
      </c>
      <c r="W213" s="208">
        <v>0</v>
      </c>
      <c r="X213" s="208">
        <v>0</v>
      </c>
      <c r="Y213" s="208">
        <v>-600536</v>
      </c>
      <c r="Z213" s="208">
        <v>0</v>
      </c>
      <c r="AA213" s="208">
        <v>-600536</v>
      </c>
      <c r="AB213" s="208">
        <v>-1751515</v>
      </c>
      <c r="AC213" s="208">
        <v>0</v>
      </c>
      <c r="AD213" s="208">
        <v>-1751515</v>
      </c>
      <c r="AE213" s="208">
        <v>33299997</v>
      </c>
      <c r="AF213" s="208">
        <v>0</v>
      </c>
      <c r="AG213" s="208">
        <v>33299997</v>
      </c>
      <c r="AH213" s="208">
        <v>0</v>
      </c>
      <c r="AI213" s="208">
        <v>0</v>
      </c>
      <c r="AJ213" s="208">
        <v>0</v>
      </c>
      <c r="AK213" s="208">
        <v>0</v>
      </c>
      <c r="AL213" s="208">
        <v>0</v>
      </c>
      <c r="AM213" s="208">
        <v>0</v>
      </c>
      <c r="AN213" s="208">
        <v>0</v>
      </c>
      <c r="AO213" s="208">
        <v>0</v>
      </c>
      <c r="AP213" s="208">
        <v>0</v>
      </c>
      <c r="AQ213" s="208">
        <v>0</v>
      </c>
      <c r="AR213" s="208">
        <v>0</v>
      </c>
      <c r="AS213" s="208">
        <v>0</v>
      </c>
      <c r="AT213" s="208">
        <v>0</v>
      </c>
      <c r="AU213" s="208">
        <v>0</v>
      </c>
      <c r="AV213" s="208">
        <v>0</v>
      </c>
      <c r="AW213" s="208">
        <v>0</v>
      </c>
      <c r="AX213" s="208">
        <v>0</v>
      </c>
      <c r="AY213" s="208">
        <v>0</v>
      </c>
      <c r="AZ213" s="208">
        <v>0</v>
      </c>
      <c r="BA213" s="208">
        <v>0</v>
      </c>
      <c r="BB213" s="208">
        <v>0</v>
      </c>
      <c r="BC213" s="208">
        <v>0</v>
      </c>
      <c r="BD213" s="208">
        <v>0</v>
      </c>
      <c r="BE213" s="208">
        <v>0</v>
      </c>
      <c r="BF213" s="208">
        <v>0</v>
      </c>
      <c r="BG213" s="208">
        <v>0</v>
      </c>
      <c r="BH213" s="208">
        <v>0</v>
      </c>
      <c r="BI213" s="208">
        <v>0</v>
      </c>
      <c r="BJ213" s="208">
        <v>0</v>
      </c>
      <c r="BK213" s="208">
        <v>0</v>
      </c>
      <c r="BL213" s="208">
        <v>1449497</v>
      </c>
      <c r="BM213" s="208">
        <v>-603385</v>
      </c>
      <c r="BN213" s="187" t="s">
        <v>502</v>
      </c>
      <c r="BO213" s="187" t="s">
        <v>746</v>
      </c>
      <c r="BP213" s="187" t="s">
        <v>745</v>
      </c>
      <c r="BQ213" s="187" t="s">
        <v>1054</v>
      </c>
    </row>
    <row r="214" spans="1:69" x14ac:dyDescent="0.2">
      <c r="B214" s="429" t="s">
        <v>505</v>
      </c>
      <c r="C214" s="429" t="s">
        <v>504</v>
      </c>
      <c r="D214" s="208">
        <v>53182075</v>
      </c>
      <c r="E214" s="208">
        <v>0</v>
      </c>
      <c r="F214" s="208">
        <v>53182075</v>
      </c>
      <c r="G214" s="208">
        <v>0</v>
      </c>
      <c r="H214" s="208">
        <v>0</v>
      </c>
      <c r="I214" s="208">
        <v>0</v>
      </c>
      <c r="J214" s="208">
        <v>-106783</v>
      </c>
      <c r="K214" s="208">
        <v>0</v>
      </c>
      <c r="L214" s="208">
        <v>-106783</v>
      </c>
      <c r="M214" s="208">
        <v>0</v>
      </c>
      <c r="N214" s="208">
        <v>0</v>
      </c>
      <c r="O214" s="208">
        <v>0</v>
      </c>
      <c r="P214" s="208">
        <v>-117003</v>
      </c>
      <c r="Q214" s="208">
        <v>0</v>
      </c>
      <c r="R214" s="208">
        <v>-117003</v>
      </c>
      <c r="S214" s="208">
        <v>700336</v>
      </c>
      <c r="T214" s="208">
        <v>0</v>
      </c>
      <c r="U214" s="208">
        <v>700336</v>
      </c>
      <c r="V214" s="208">
        <v>1579745</v>
      </c>
      <c r="W214" s="208">
        <v>0</v>
      </c>
      <c r="X214" s="208">
        <v>1579745</v>
      </c>
      <c r="Y214" s="208">
        <v>1634221</v>
      </c>
      <c r="Z214" s="208">
        <v>0</v>
      </c>
      <c r="AA214" s="208">
        <v>1634221</v>
      </c>
      <c r="AB214" s="208">
        <v>-1391235</v>
      </c>
      <c r="AC214" s="208">
        <v>0</v>
      </c>
      <c r="AD214" s="208">
        <v>-1391235</v>
      </c>
      <c r="AE214" s="208">
        <v>55588139</v>
      </c>
      <c r="AF214" s="208">
        <v>0</v>
      </c>
      <c r="AG214" s="208">
        <v>55588139</v>
      </c>
      <c r="AH214" s="208">
        <v>0</v>
      </c>
      <c r="AI214" s="208">
        <v>0</v>
      </c>
      <c r="AJ214" s="208">
        <v>0</v>
      </c>
      <c r="AK214" s="208">
        <v>0</v>
      </c>
      <c r="AL214" s="208">
        <v>0</v>
      </c>
      <c r="AM214" s="208">
        <v>0</v>
      </c>
      <c r="AN214" s="208">
        <v>0</v>
      </c>
      <c r="AO214" s="208">
        <v>0</v>
      </c>
      <c r="AP214" s="208">
        <v>0</v>
      </c>
      <c r="AQ214" s="208">
        <v>0</v>
      </c>
      <c r="AR214" s="208">
        <v>0</v>
      </c>
      <c r="AS214" s="208">
        <v>0</v>
      </c>
      <c r="AT214" s="208">
        <v>0</v>
      </c>
      <c r="AU214" s="208">
        <v>0</v>
      </c>
      <c r="AV214" s="208">
        <v>0</v>
      </c>
      <c r="AW214" s="208">
        <v>0</v>
      </c>
      <c r="AX214" s="208">
        <v>0</v>
      </c>
      <c r="AY214" s="208">
        <v>0</v>
      </c>
      <c r="AZ214" s="208">
        <v>0</v>
      </c>
      <c r="BA214" s="208">
        <v>0</v>
      </c>
      <c r="BB214" s="208">
        <v>0</v>
      </c>
      <c r="BC214" s="208">
        <v>0</v>
      </c>
      <c r="BD214" s="208">
        <v>0</v>
      </c>
      <c r="BE214" s="208">
        <v>0</v>
      </c>
      <c r="BF214" s="208">
        <v>0</v>
      </c>
      <c r="BG214" s="208">
        <v>0</v>
      </c>
      <c r="BH214" s="208">
        <v>0</v>
      </c>
      <c r="BI214" s="208">
        <v>0</v>
      </c>
      <c r="BJ214" s="208">
        <v>0</v>
      </c>
      <c r="BK214" s="208">
        <v>0</v>
      </c>
      <c r="BL214" s="208">
        <v>845834</v>
      </c>
      <c r="BM214" s="208">
        <v>-1948757</v>
      </c>
      <c r="BN214" s="187" t="s">
        <v>818</v>
      </c>
      <c r="BO214" s="187" t="s">
        <v>757</v>
      </c>
      <c r="BP214" s="187" t="s">
        <v>751</v>
      </c>
      <c r="BQ214" s="187" t="s">
        <v>1054</v>
      </c>
    </row>
    <row r="215" spans="1:69" x14ac:dyDescent="0.2">
      <c r="B215" s="429" t="s">
        <v>507</v>
      </c>
      <c r="C215" s="429" t="s">
        <v>506</v>
      </c>
      <c r="D215" s="208">
        <v>13225645</v>
      </c>
      <c r="E215" s="208">
        <v>2149754</v>
      </c>
      <c r="F215" s="208">
        <v>15375399</v>
      </c>
      <c r="G215" s="208">
        <v>0</v>
      </c>
      <c r="H215" s="208">
        <v>0</v>
      </c>
      <c r="I215" s="208">
        <v>0</v>
      </c>
      <c r="J215" s="208">
        <v>-42207</v>
      </c>
      <c r="K215" s="208">
        <v>0</v>
      </c>
      <c r="L215" s="208">
        <v>-42207</v>
      </c>
      <c r="M215" s="208">
        <v>0</v>
      </c>
      <c r="N215" s="208">
        <v>0</v>
      </c>
      <c r="O215" s="208">
        <v>0</v>
      </c>
      <c r="P215" s="208">
        <v>-92207</v>
      </c>
      <c r="Q215" s="208">
        <v>0</v>
      </c>
      <c r="R215" s="208">
        <v>-92207</v>
      </c>
      <c r="S215" s="208">
        <v>239832</v>
      </c>
      <c r="T215" s="208">
        <v>1770</v>
      </c>
      <c r="U215" s="208">
        <v>241602</v>
      </c>
      <c r="V215" s="208">
        <v>6008</v>
      </c>
      <c r="W215" s="208">
        <v>0</v>
      </c>
      <c r="X215" s="208">
        <v>6008</v>
      </c>
      <c r="Y215" s="208">
        <v>99128</v>
      </c>
      <c r="Z215" s="208">
        <v>-270</v>
      </c>
      <c r="AA215" s="208">
        <v>98858</v>
      </c>
      <c r="AB215" s="208">
        <v>-400000</v>
      </c>
      <c r="AC215" s="208">
        <v>0</v>
      </c>
      <c r="AD215" s="208">
        <v>-400000</v>
      </c>
      <c r="AE215" s="208">
        <v>13078406</v>
      </c>
      <c r="AF215" s="208">
        <v>2151254</v>
      </c>
      <c r="AG215" s="208">
        <v>15229660</v>
      </c>
      <c r="AH215" s="208">
        <v>2151254</v>
      </c>
      <c r="AI215" s="208">
        <v>2151254</v>
      </c>
      <c r="AJ215" s="208">
        <v>44756</v>
      </c>
      <c r="AK215" s="208">
        <v>47722</v>
      </c>
      <c r="AL215" s="208">
        <v>92478</v>
      </c>
      <c r="AM215" s="208">
        <v>0</v>
      </c>
      <c r="AN215" s="208">
        <v>0</v>
      </c>
      <c r="AO215" s="208">
        <v>0</v>
      </c>
      <c r="AP215" s="208">
        <v>-12822</v>
      </c>
      <c r="AQ215" s="208">
        <v>-12822</v>
      </c>
      <c r="AR215" s="208">
        <v>1895330</v>
      </c>
      <c r="AS215" s="208">
        <v>1895330</v>
      </c>
      <c r="AT215" s="208">
        <v>195380</v>
      </c>
      <c r="AU215" s="208">
        <v>0</v>
      </c>
      <c r="AV215" s="208">
        <v>0</v>
      </c>
      <c r="AW215" s="208">
        <v>0</v>
      </c>
      <c r="AX215" s="208">
        <v>0</v>
      </c>
      <c r="AY215" s="208">
        <v>0</v>
      </c>
      <c r="AZ215" s="208">
        <v>0</v>
      </c>
      <c r="BA215" s="208">
        <v>0</v>
      </c>
      <c r="BB215" s="208">
        <v>0</v>
      </c>
      <c r="BC215" s="208">
        <v>0</v>
      </c>
      <c r="BD215" s="208">
        <v>0</v>
      </c>
      <c r="BE215" s="208">
        <v>0</v>
      </c>
      <c r="BF215" s="208">
        <v>0</v>
      </c>
      <c r="BG215" s="208">
        <v>0</v>
      </c>
      <c r="BH215" s="208">
        <v>0</v>
      </c>
      <c r="BI215" s="208">
        <v>0</v>
      </c>
      <c r="BJ215" s="208">
        <v>0</v>
      </c>
      <c r="BK215" s="208">
        <v>0</v>
      </c>
      <c r="BL215" s="208">
        <v>628241</v>
      </c>
      <c r="BM215" s="208">
        <v>-202956</v>
      </c>
      <c r="BN215" s="187" t="s">
        <v>506</v>
      </c>
      <c r="BO215" s="187" t="s">
        <v>748</v>
      </c>
      <c r="BP215" s="187" t="s">
        <v>747</v>
      </c>
      <c r="BQ215" s="187" t="s">
        <v>1054</v>
      </c>
    </row>
    <row r="216" spans="1:69" x14ac:dyDescent="0.2">
      <c r="B216" s="429" t="s">
        <v>509</v>
      </c>
      <c r="C216" s="429" t="s">
        <v>508</v>
      </c>
      <c r="D216" s="208">
        <v>89477836</v>
      </c>
      <c r="E216" s="208">
        <v>0</v>
      </c>
      <c r="F216" s="208">
        <v>89477836</v>
      </c>
      <c r="G216" s="208">
        <v>0</v>
      </c>
      <c r="H216" s="208">
        <v>0</v>
      </c>
      <c r="I216" s="208">
        <v>0</v>
      </c>
      <c r="J216" s="208">
        <v>-357808</v>
      </c>
      <c r="K216" s="208">
        <v>0</v>
      </c>
      <c r="L216" s="208">
        <v>-357808</v>
      </c>
      <c r="M216" s="208">
        <v>0</v>
      </c>
      <c r="N216" s="208">
        <v>0</v>
      </c>
      <c r="O216" s="208">
        <v>0</v>
      </c>
      <c r="P216" s="208">
        <v>-765213</v>
      </c>
      <c r="Q216" s="208">
        <v>0</v>
      </c>
      <c r="R216" s="208">
        <v>-765213</v>
      </c>
      <c r="S216" s="208">
        <v>2051010</v>
      </c>
      <c r="T216" s="208">
        <v>0</v>
      </c>
      <c r="U216" s="208">
        <v>2051010</v>
      </c>
      <c r="V216" s="208">
        <v>0</v>
      </c>
      <c r="W216" s="208">
        <v>0</v>
      </c>
      <c r="X216" s="208">
        <v>0</v>
      </c>
      <c r="Y216" s="208">
        <v>-126835</v>
      </c>
      <c r="Z216" s="208">
        <v>0</v>
      </c>
      <c r="AA216" s="208">
        <v>-126835</v>
      </c>
      <c r="AB216" s="208">
        <v>0</v>
      </c>
      <c r="AC216" s="208">
        <v>0</v>
      </c>
      <c r="AD216" s="208">
        <v>0</v>
      </c>
      <c r="AE216" s="208">
        <v>90636798</v>
      </c>
      <c r="AF216" s="208">
        <v>0</v>
      </c>
      <c r="AG216" s="208">
        <v>90636798</v>
      </c>
      <c r="AH216" s="208">
        <v>0</v>
      </c>
      <c r="AI216" s="208">
        <v>0</v>
      </c>
      <c r="AJ216" s="208">
        <v>0</v>
      </c>
      <c r="AK216" s="208">
        <v>0</v>
      </c>
      <c r="AL216" s="208">
        <v>0</v>
      </c>
      <c r="AM216" s="208">
        <v>0</v>
      </c>
      <c r="AN216" s="208">
        <v>0</v>
      </c>
      <c r="AO216" s="208">
        <v>0</v>
      </c>
      <c r="AP216" s="208">
        <v>0</v>
      </c>
      <c r="AQ216" s="208">
        <v>0</v>
      </c>
      <c r="AR216" s="208">
        <v>0</v>
      </c>
      <c r="AS216" s="208">
        <v>0</v>
      </c>
      <c r="AT216" s="208">
        <v>0</v>
      </c>
      <c r="AU216" s="208">
        <v>0</v>
      </c>
      <c r="AV216" s="208">
        <v>0</v>
      </c>
      <c r="AW216" s="208">
        <v>0</v>
      </c>
      <c r="AX216" s="208">
        <v>0</v>
      </c>
      <c r="AY216" s="208">
        <v>0</v>
      </c>
      <c r="AZ216" s="208">
        <v>0</v>
      </c>
      <c r="BA216" s="208">
        <v>0</v>
      </c>
      <c r="BB216" s="208">
        <v>0</v>
      </c>
      <c r="BC216" s="208">
        <v>0</v>
      </c>
      <c r="BD216" s="208">
        <v>0</v>
      </c>
      <c r="BE216" s="208">
        <v>0</v>
      </c>
      <c r="BF216" s="208">
        <v>0</v>
      </c>
      <c r="BG216" s="208">
        <v>0</v>
      </c>
      <c r="BH216" s="208">
        <v>0</v>
      </c>
      <c r="BI216" s="208">
        <v>0</v>
      </c>
      <c r="BJ216" s="208">
        <v>0</v>
      </c>
      <c r="BK216" s="208">
        <v>0</v>
      </c>
      <c r="BL216" s="208">
        <v>4667410</v>
      </c>
      <c r="BM216" s="208">
        <v>-3188946</v>
      </c>
      <c r="BN216" s="187" t="s">
        <v>817</v>
      </c>
      <c r="BO216" s="187" t="s">
        <v>767</v>
      </c>
      <c r="BP216" s="187" t="s">
        <v>743</v>
      </c>
      <c r="BQ216" s="187" t="s">
        <v>1055</v>
      </c>
    </row>
    <row r="217" spans="1:69" x14ac:dyDescent="0.2">
      <c r="B217" s="429" t="s">
        <v>511</v>
      </c>
      <c r="C217" s="429" t="s">
        <v>510</v>
      </c>
      <c r="D217" s="208">
        <v>13440780</v>
      </c>
      <c r="E217" s="208">
        <v>0</v>
      </c>
      <c r="F217" s="208">
        <v>13440780</v>
      </c>
      <c r="G217" s="208">
        <v>0</v>
      </c>
      <c r="H217" s="208">
        <v>0</v>
      </c>
      <c r="I217" s="208">
        <v>0</v>
      </c>
      <c r="J217" s="208">
        <v>-126425</v>
      </c>
      <c r="K217" s="208">
        <v>0</v>
      </c>
      <c r="L217" s="208">
        <v>-126425</v>
      </c>
      <c r="M217" s="208">
        <v>0</v>
      </c>
      <c r="N217" s="208">
        <v>0</v>
      </c>
      <c r="O217" s="208">
        <v>0</v>
      </c>
      <c r="P217" s="208">
        <v>-84942</v>
      </c>
      <c r="Q217" s="208">
        <v>0</v>
      </c>
      <c r="R217" s="208">
        <v>-84942</v>
      </c>
      <c r="S217" s="208">
        <v>32793</v>
      </c>
      <c r="T217" s="208">
        <v>0</v>
      </c>
      <c r="U217" s="208">
        <v>32793</v>
      </c>
      <c r="V217" s="208">
        <v>150028</v>
      </c>
      <c r="W217" s="208">
        <v>0</v>
      </c>
      <c r="X217" s="208">
        <v>150028</v>
      </c>
      <c r="Y217" s="208">
        <v>-1359189</v>
      </c>
      <c r="Z217" s="208">
        <v>0</v>
      </c>
      <c r="AA217" s="208">
        <v>-1359189</v>
      </c>
      <c r="AB217" s="208">
        <v>-504885</v>
      </c>
      <c r="AC217" s="208">
        <v>0</v>
      </c>
      <c r="AD217" s="208">
        <v>-504885</v>
      </c>
      <c r="AE217" s="208">
        <v>11674585</v>
      </c>
      <c r="AF217" s="208">
        <v>0</v>
      </c>
      <c r="AG217" s="208">
        <v>11674585</v>
      </c>
      <c r="AH217" s="208">
        <v>0</v>
      </c>
      <c r="AI217" s="208">
        <v>0</v>
      </c>
      <c r="AJ217" s="208">
        <v>0</v>
      </c>
      <c r="AK217" s="208">
        <v>0</v>
      </c>
      <c r="AL217" s="208">
        <v>0</v>
      </c>
      <c r="AM217" s="208">
        <v>0</v>
      </c>
      <c r="AN217" s="208">
        <v>0</v>
      </c>
      <c r="AO217" s="208">
        <v>0</v>
      </c>
      <c r="AP217" s="208">
        <v>0</v>
      </c>
      <c r="AQ217" s="208">
        <v>0</v>
      </c>
      <c r="AR217" s="208">
        <v>0</v>
      </c>
      <c r="AS217" s="208">
        <v>0</v>
      </c>
      <c r="AT217" s="208">
        <v>0</v>
      </c>
      <c r="AU217" s="208">
        <v>0</v>
      </c>
      <c r="AV217" s="208">
        <v>0</v>
      </c>
      <c r="AW217" s="208">
        <v>0</v>
      </c>
      <c r="AX217" s="208">
        <v>0</v>
      </c>
      <c r="AY217" s="208">
        <v>0</v>
      </c>
      <c r="AZ217" s="208">
        <v>0</v>
      </c>
      <c r="BA217" s="208">
        <v>0</v>
      </c>
      <c r="BB217" s="208">
        <v>0</v>
      </c>
      <c r="BC217" s="208">
        <v>0</v>
      </c>
      <c r="BD217" s="208">
        <v>0</v>
      </c>
      <c r="BE217" s="208">
        <v>0</v>
      </c>
      <c r="BF217" s="208">
        <v>0</v>
      </c>
      <c r="BG217" s="208">
        <v>0</v>
      </c>
      <c r="BH217" s="208">
        <v>0</v>
      </c>
      <c r="BI217" s="208">
        <v>0</v>
      </c>
      <c r="BJ217" s="208">
        <v>0</v>
      </c>
      <c r="BK217" s="208">
        <v>0</v>
      </c>
      <c r="BL217" s="208">
        <v>322265</v>
      </c>
      <c r="BM217" s="208">
        <v>-192916</v>
      </c>
      <c r="BN217" s="187" t="s">
        <v>510</v>
      </c>
      <c r="BO217" s="187" t="s">
        <v>812</v>
      </c>
      <c r="BP217" s="187" t="s">
        <v>741</v>
      </c>
      <c r="BQ217" s="187" t="s">
        <v>1054</v>
      </c>
    </row>
    <row r="218" spans="1:69" x14ac:dyDescent="0.2">
      <c r="B218" s="429" t="s">
        <v>513</v>
      </c>
      <c r="C218" s="429" t="s">
        <v>512</v>
      </c>
      <c r="D218" s="208">
        <v>65103835</v>
      </c>
      <c r="E218" s="208">
        <v>0</v>
      </c>
      <c r="F218" s="208">
        <v>65103835</v>
      </c>
      <c r="G218" s="208">
        <v>0</v>
      </c>
      <c r="H218" s="208">
        <v>0</v>
      </c>
      <c r="I218" s="208">
        <v>0</v>
      </c>
      <c r="J218" s="208">
        <v>-571778</v>
      </c>
      <c r="K218" s="208">
        <v>0</v>
      </c>
      <c r="L218" s="208">
        <v>-571778</v>
      </c>
      <c r="M218" s="208">
        <v>-136916</v>
      </c>
      <c r="N218" s="208">
        <v>0</v>
      </c>
      <c r="O218" s="208">
        <v>-136916</v>
      </c>
      <c r="P218" s="208">
        <v>-491240</v>
      </c>
      <c r="Q218" s="208">
        <v>0</v>
      </c>
      <c r="R218" s="208">
        <v>-491240</v>
      </c>
      <c r="S218" s="208">
        <v>1608823</v>
      </c>
      <c r="T218" s="208">
        <v>0</v>
      </c>
      <c r="U218" s="208">
        <v>1608823</v>
      </c>
      <c r="V218" s="208">
        <v>547380</v>
      </c>
      <c r="W218" s="208">
        <v>0</v>
      </c>
      <c r="X218" s="208">
        <v>547380</v>
      </c>
      <c r="Y218" s="208">
        <v>0</v>
      </c>
      <c r="Z218" s="208">
        <v>0</v>
      </c>
      <c r="AA218" s="208">
        <v>0</v>
      </c>
      <c r="AB218" s="208">
        <v>-3641083</v>
      </c>
      <c r="AC218" s="208">
        <v>0</v>
      </c>
      <c r="AD218" s="208">
        <v>-3641083</v>
      </c>
      <c r="AE218" s="208">
        <v>62990799</v>
      </c>
      <c r="AF218" s="208">
        <v>0</v>
      </c>
      <c r="AG218" s="208">
        <v>62990799</v>
      </c>
      <c r="AH218" s="208">
        <v>0</v>
      </c>
      <c r="AI218" s="208">
        <v>0</v>
      </c>
      <c r="AJ218" s="208">
        <v>532579</v>
      </c>
      <c r="AK218" s="208">
        <v>0</v>
      </c>
      <c r="AL218" s="208">
        <v>532579</v>
      </c>
      <c r="AM218" s="208">
        <v>0</v>
      </c>
      <c r="AN218" s="208">
        <v>0</v>
      </c>
      <c r="AO218" s="208">
        <v>0</v>
      </c>
      <c r="AP218" s="208">
        <v>0</v>
      </c>
      <c r="AQ218" s="208">
        <v>0</v>
      </c>
      <c r="AR218" s="208">
        <v>0</v>
      </c>
      <c r="AS218" s="208">
        <v>0</v>
      </c>
      <c r="AT218" s="208">
        <v>0</v>
      </c>
      <c r="AU218" s="208">
        <v>0</v>
      </c>
      <c r="AV218" s="208">
        <v>0</v>
      </c>
      <c r="AW218" s="208">
        <v>0</v>
      </c>
      <c r="AX218" s="208">
        <v>0</v>
      </c>
      <c r="AY218" s="208">
        <v>0</v>
      </c>
      <c r="AZ218" s="208">
        <v>0</v>
      </c>
      <c r="BA218" s="208">
        <v>0</v>
      </c>
      <c r="BB218" s="208">
        <v>0</v>
      </c>
      <c r="BC218" s="208">
        <v>0</v>
      </c>
      <c r="BD218" s="208">
        <v>0</v>
      </c>
      <c r="BE218" s="208">
        <v>0</v>
      </c>
      <c r="BF218" s="208">
        <v>0</v>
      </c>
      <c r="BG218" s="208">
        <v>0</v>
      </c>
      <c r="BH218" s="208">
        <v>0</v>
      </c>
      <c r="BI218" s="208">
        <v>0</v>
      </c>
      <c r="BJ218" s="208">
        <v>0</v>
      </c>
      <c r="BK218" s="208">
        <v>0</v>
      </c>
      <c r="BL218" s="208">
        <v>1195868</v>
      </c>
      <c r="BM218" s="208">
        <v>-1053221</v>
      </c>
      <c r="BN218" s="187" t="s">
        <v>512</v>
      </c>
      <c r="BO218" s="187" t="s">
        <v>754</v>
      </c>
      <c r="BP218" s="187" t="s">
        <v>763</v>
      </c>
      <c r="BQ218" s="187" t="s">
        <v>1056</v>
      </c>
    </row>
    <row r="219" spans="1:69" x14ac:dyDescent="0.2">
      <c r="B219" s="429" t="s">
        <v>515</v>
      </c>
      <c r="C219" s="429" t="s">
        <v>514</v>
      </c>
      <c r="D219" s="208">
        <v>15644153</v>
      </c>
      <c r="E219" s="208">
        <v>0</v>
      </c>
      <c r="F219" s="208">
        <v>15644153</v>
      </c>
      <c r="G219" s="208">
        <v>-423</v>
      </c>
      <c r="H219" s="208">
        <v>0</v>
      </c>
      <c r="I219" s="208">
        <v>-423</v>
      </c>
      <c r="J219" s="208">
        <v>-9937</v>
      </c>
      <c r="K219" s="208">
        <v>0</v>
      </c>
      <c r="L219" s="208">
        <v>-9937</v>
      </c>
      <c r="M219" s="208">
        <v>0</v>
      </c>
      <c r="N219" s="208">
        <v>0</v>
      </c>
      <c r="O219" s="208">
        <v>0</v>
      </c>
      <c r="P219" s="208">
        <v>169539</v>
      </c>
      <c r="Q219" s="208">
        <v>0</v>
      </c>
      <c r="R219" s="208">
        <v>169539</v>
      </c>
      <c r="S219" s="208">
        <v>363378</v>
      </c>
      <c r="T219" s="208">
        <v>0</v>
      </c>
      <c r="U219" s="208">
        <v>363378</v>
      </c>
      <c r="V219" s="208">
        <v>0</v>
      </c>
      <c r="W219" s="208">
        <v>0</v>
      </c>
      <c r="X219" s="208">
        <v>0</v>
      </c>
      <c r="Y219" s="208">
        <v>-65320.5</v>
      </c>
      <c r="Z219" s="208">
        <v>0</v>
      </c>
      <c r="AA219" s="208">
        <v>-65320.5</v>
      </c>
      <c r="AB219" s="208">
        <v>-254249.36</v>
      </c>
      <c r="AC219" s="208">
        <v>0</v>
      </c>
      <c r="AD219" s="208">
        <v>-254249.36</v>
      </c>
      <c r="AE219" s="208">
        <v>15857077.140000001</v>
      </c>
      <c r="AF219" s="208">
        <v>0</v>
      </c>
      <c r="AG219" s="208">
        <v>15857077.140000001</v>
      </c>
      <c r="AH219" s="208">
        <v>0</v>
      </c>
      <c r="AI219" s="208">
        <v>0</v>
      </c>
      <c r="AJ219" s="208">
        <v>47421</v>
      </c>
      <c r="AK219" s="208">
        <v>0</v>
      </c>
      <c r="AL219" s="208">
        <v>47421</v>
      </c>
      <c r="AM219" s="208">
        <v>0</v>
      </c>
      <c r="AN219" s="208">
        <v>0</v>
      </c>
      <c r="AO219" s="208">
        <v>0</v>
      </c>
      <c r="AP219" s="208">
        <v>0</v>
      </c>
      <c r="AQ219" s="208">
        <v>0</v>
      </c>
      <c r="AR219" s="208">
        <v>0</v>
      </c>
      <c r="AS219" s="208">
        <v>0</v>
      </c>
      <c r="AT219" s="208">
        <v>0</v>
      </c>
      <c r="AU219" s="208">
        <v>0</v>
      </c>
      <c r="AV219" s="208">
        <v>0</v>
      </c>
      <c r="AW219" s="208">
        <v>0</v>
      </c>
      <c r="AX219" s="208">
        <v>0</v>
      </c>
      <c r="AY219" s="208">
        <v>0</v>
      </c>
      <c r="AZ219" s="208">
        <v>0</v>
      </c>
      <c r="BA219" s="208">
        <v>0</v>
      </c>
      <c r="BB219" s="208">
        <v>0</v>
      </c>
      <c r="BC219" s="208">
        <v>0</v>
      </c>
      <c r="BD219" s="208">
        <v>0</v>
      </c>
      <c r="BE219" s="208">
        <v>0</v>
      </c>
      <c r="BF219" s="208">
        <v>0</v>
      </c>
      <c r="BG219" s="208">
        <v>0</v>
      </c>
      <c r="BH219" s="208">
        <v>0</v>
      </c>
      <c r="BI219" s="208">
        <v>0</v>
      </c>
      <c r="BJ219" s="208">
        <v>0</v>
      </c>
      <c r="BK219" s="208">
        <v>0</v>
      </c>
      <c r="BL219" s="208">
        <v>300554</v>
      </c>
      <c r="BM219" s="208">
        <v>-188212</v>
      </c>
      <c r="BN219" s="187" t="s">
        <v>514</v>
      </c>
      <c r="BO219" s="187" t="s">
        <v>784</v>
      </c>
      <c r="BP219" s="187" t="s">
        <v>783</v>
      </c>
      <c r="BQ219" s="187" t="s">
        <v>1054</v>
      </c>
    </row>
    <row r="220" spans="1:69" x14ac:dyDescent="0.2">
      <c r="A220" s="187" t="s">
        <v>1811</v>
      </c>
      <c r="B220" s="429" t="s">
        <v>517</v>
      </c>
      <c r="C220" s="429" t="s">
        <v>516</v>
      </c>
      <c r="D220" s="208">
        <v>13104801</v>
      </c>
      <c r="E220" s="208">
        <v>0</v>
      </c>
      <c r="F220" s="208">
        <v>13104801</v>
      </c>
      <c r="G220" s="208">
        <v>0</v>
      </c>
      <c r="H220" s="208">
        <v>0</v>
      </c>
      <c r="I220" s="208">
        <v>0</v>
      </c>
      <c r="J220" s="208">
        <v>-113756</v>
      </c>
      <c r="K220" s="208">
        <v>0</v>
      </c>
      <c r="L220" s="208">
        <v>-113756</v>
      </c>
      <c r="M220" s="208">
        <v>0</v>
      </c>
      <c r="N220" s="208">
        <v>0</v>
      </c>
      <c r="O220" s="208">
        <v>0</v>
      </c>
      <c r="P220" s="208">
        <v>-226645</v>
      </c>
      <c r="Q220" s="208">
        <v>0</v>
      </c>
      <c r="R220" s="208">
        <v>-226645</v>
      </c>
      <c r="S220" s="208">
        <v>199620</v>
      </c>
      <c r="T220" s="208">
        <v>0</v>
      </c>
      <c r="U220" s="208">
        <v>199620</v>
      </c>
      <c r="V220" s="208">
        <v>0</v>
      </c>
      <c r="W220" s="208">
        <v>0</v>
      </c>
      <c r="X220" s="208">
        <v>0</v>
      </c>
      <c r="Y220" s="208">
        <v>-1445630</v>
      </c>
      <c r="Z220" s="208">
        <v>0</v>
      </c>
      <c r="AA220" s="208">
        <v>-1445630</v>
      </c>
      <c r="AB220" s="208">
        <v>1445630</v>
      </c>
      <c r="AC220" s="208">
        <v>0</v>
      </c>
      <c r="AD220" s="208">
        <v>1445630</v>
      </c>
      <c r="AE220" s="208">
        <v>13077776</v>
      </c>
      <c r="AF220" s="208">
        <v>0</v>
      </c>
      <c r="AG220" s="208">
        <v>13077776</v>
      </c>
      <c r="AH220" s="208">
        <v>0</v>
      </c>
      <c r="AI220" s="208">
        <v>0</v>
      </c>
      <c r="AJ220" s="208">
        <v>163328</v>
      </c>
      <c r="AK220" s="208">
        <v>0</v>
      </c>
      <c r="AL220" s="208">
        <v>163328</v>
      </c>
      <c r="AM220" s="208">
        <v>0</v>
      </c>
      <c r="AN220" s="208">
        <v>0</v>
      </c>
      <c r="AO220" s="208">
        <v>0</v>
      </c>
      <c r="AP220" s="208">
        <v>0</v>
      </c>
      <c r="AQ220" s="208">
        <v>0</v>
      </c>
      <c r="AR220" s="208">
        <v>0</v>
      </c>
      <c r="AS220" s="208">
        <v>0</v>
      </c>
      <c r="AT220" s="208">
        <v>0</v>
      </c>
      <c r="AU220" s="208">
        <v>0</v>
      </c>
      <c r="AV220" s="208">
        <v>0</v>
      </c>
      <c r="AW220" s="208">
        <v>0</v>
      </c>
      <c r="AX220" s="208">
        <v>0</v>
      </c>
      <c r="AY220" s="208">
        <v>0</v>
      </c>
      <c r="AZ220" s="208">
        <v>0</v>
      </c>
      <c r="BA220" s="208">
        <v>0</v>
      </c>
      <c r="BB220" s="208">
        <v>0</v>
      </c>
      <c r="BC220" s="208">
        <v>0</v>
      </c>
      <c r="BD220" s="208">
        <v>0</v>
      </c>
      <c r="BE220" s="208">
        <v>0</v>
      </c>
      <c r="BF220" s="208">
        <v>0</v>
      </c>
      <c r="BG220" s="208">
        <v>0</v>
      </c>
      <c r="BH220" s="208">
        <v>0</v>
      </c>
      <c r="BI220" s="208">
        <v>0</v>
      </c>
      <c r="BJ220" s="208">
        <v>0</v>
      </c>
      <c r="BK220" s="208">
        <v>0</v>
      </c>
      <c r="BL220" s="208">
        <v>1314321</v>
      </c>
      <c r="BM220" s="208">
        <v>-279387</v>
      </c>
      <c r="BN220" s="187" t="s">
        <v>516</v>
      </c>
      <c r="BO220" s="187" t="s">
        <v>748</v>
      </c>
      <c r="BP220" s="187" t="s">
        <v>747</v>
      </c>
      <c r="BQ220" s="187" t="s">
        <v>1054</v>
      </c>
    </row>
    <row r="221" spans="1:69" x14ac:dyDescent="0.2">
      <c r="B221" s="429" t="s">
        <v>519</v>
      </c>
      <c r="C221" s="429" t="s">
        <v>518</v>
      </c>
      <c r="D221" s="208">
        <v>17633732</v>
      </c>
      <c r="E221" s="208">
        <v>0</v>
      </c>
      <c r="F221" s="208">
        <v>17633732</v>
      </c>
      <c r="G221" s="208">
        <v>0</v>
      </c>
      <c r="H221" s="208">
        <v>0</v>
      </c>
      <c r="I221" s="208">
        <v>0</v>
      </c>
      <c r="J221" s="208">
        <v>-77436.83</v>
      </c>
      <c r="K221" s="208">
        <v>0</v>
      </c>
      <c r="L221" s="208">
        <v>-77436.83</v>
      </c>
      <c r="M221" s="208">
        <v>0</v>
      </c>
      <c r="N221" s="208">
        <v>0</v>
      </c>
      <c r="O221" s="208">
        <v>0</v>
      </c>
      <c r="P221" s="208">
        <v>-110767</v>
      </c>
      <c r="Q221" s="208">
        <v>0</v>
      </c>
      <c r="R221" s="208">
        <v>-110767</v>
      </c>
      <c r="S221" s="208">
        <v>68072</v>
      </c>
      <c r="T221" s="208">
        <v>0</v>
      </c>
      <c r="U221" s="208">
        <v>68072</v>
      </c>
      <c r="V221" s="208">
        <v>379474</v>
      </c>
      <c r="W221" s="208">
        <v>0</v>
      </c>
      <c r="X221" s="208">
        <v>379474</v>
      </c>
      <c r="Y221" s="208">
        <v>-284253.76</v>
      </c>
      <c r="Z221" s="208">
        <v>0</v>
      </c>
      <c r="AA221" s="208">
        <v>-284253.76</v>
      </c>
      <c r="AB221" s="208">
        <v>-231639</v>
      </c>
      <c r="AC221" s="208">
        <v>0</v>
      </c>
      <c r="AD221" s="208">
        <v>-231639</v>
      </c>
      <c r="AE221" s="208">
        <v>17454618.239999998</v>
      </c>
      <c r="AF221" s="208">
        <v>0</v>
      </c>
      <c r="AG221" s="208">
        <v>17454618.239999998</v>
      </c>
      <c r="AH221" s="208">
        <v>0</v>
      </c>
      <c r="AI221" s="208">
        <v>0</v>
      </c>
      <c r="AJ221" s="208">
        <v>0</v>
      </c>
      <c r="AK221" s="208">
        <v>0</v>
      </c>
      <c r="AL221" s="208">
        <v>0</v>
      </c>
      <c r="AM221" s="208">
        <v>0</v>
      </c>
      <c r="AN221" s="208">
        <v>0</v>
      </c>
      <c r="AO221" s="208">
        <v>0</v>
      </c>
      <c r="AP221" s="208">
        <v>0</v>
      </c>
      <c r="AQ221" s="208">
        <v>0</v>
      </c>
      <c r="AR221" s="208">
        <v>0</v>
      </c>
      <c r="AS221" s="208">
        <v>0</v>
      </c>
      <c r="AT221" s="208">
        <v>0</v>
      </c>
      <c r="AU221" s="208">
        <v>0</v>
      </c>
      <c r="AV221" s="208">
        <v>0</v>
      </c>
      <c r="AW221" s="208">
        <v>0</v>
      </c>
      <c r="AX221" s="208">
        <v>0</v>
      </c>
      <c r="AY221" s="208">
        <v>0</v>
      </c>
      <c r="AZ221" s="208">
        <v>0</v>
      </c>
      <c r="BA221" s="208">
        <v>0</v>
      </c>
      <c r="BB221" s="208">
        <v>0</v>
      </c>
      <c r="BC221" s="208">
        <v>0</v>
      </c>
      <c r="BD221" s="208">
        <v>0</v>
      </c>
      <c r="BE221" s="208">
        <v>0</v>
      </c>
      <c r="BF221" s="208">
        <v>0</v>
      </c>
      <c r="BG221" s="208">
        <v>0</v>
      </c>
      <c r="BH221" s="208">
        <v>0</v>
      </c>
      <c r="BI221" s="208">
        <v>0</v>
      </c>
      <c r="BJ221" s="208">
        <v>0</v>
      </c>
      <c r="BK221" s="208">
        <v>0</v>
      </c>
      <c r="BL221" s="208">
        <v>764322</v>
      </c>
      <c r="BM221" s="208">
        <v>-10466</v>
      </c>
      <c r="BN221" s="187" t="s">
        <v>518</v>
      </c>
      <c r="BO221" s="187" t="s">
        <v>777</v>
      </c>
      <c r="BP221" s="187" t="s">
        <v>776</v>
      </c>
      <c r="BQ221" s="187" t="s">
        <v>1054</v>
      </c>
    </row>
    <row r="222" spans="1:69" x14ac:dyDescent="0.2">
      <c r="B222" s="429" t="s">
        <v>521</v>
      </c>
      <c r="C222" s="429" t="s">
        <v>520</v>
      </c>
      <c r="D222" s="208">
        <v>75646052</v>
      </c>
      <c r="E222" s="208">
        <v>775693</v>
      </c>
      <c r="F222" s="208">
        <v>76421745</v>
      </c>
      <c r="G222" s="208">
        <v>0</v>
      </c>
      <c r="H222" s="208">
        <v>0</v>
      </c>
      <c r="I222" s="208">
        <v>0</v>
      </c>
      <c r="J222" s="208">
        <v>-362248</v>
      </c>
      <c r="K222" s="208">
        <v>0</v>
      </c>
      <c r="L222" s="208">
        <v>-362248</v>
      </c>
      <c r="M222" s="208">
        <v>0</v>
      </c>
      <c r="N222" s="208">
        <v>0</v>
      </c>
      <c r="O222" s="208">
        <v>0</v>
      </c>
      <c r="P222" s="208">
        <v>-721839</v>
      </c>
      <c r="Q222" s="208">
        <v>0</v>
      </c>
      <c r="R222" s="208">
        <v>-721839</v>
      </c>
      <c r="S222" s="208">
        <v>740612</v>
      </c>
      <c r="T222" s="208">
        <v>0</v>
      </c>
      <c r="U222" s="208">
        <v>740612</v>
      </c>
      <c r="V222" s="208">
        <v>154380</v>
      </c>
      <c r="W222" s="208">
        <v>0</v>
      </c>
      <c r="X222" s="208">
        <v>154380</v>
      </c>
      <c r="Y222" s="208">
        <v>461629</v>
      </c>
      <c r="Z222" s="208">
        <v>0</v>
      </c>
      <c r="AA222" s="208">
        <v>461629</v>
      </c>
      <c r="AB222" s="208">
        <v>-1375914</v>
      </c>
      <c r="AC222" s="208">
        <v>0</v>
      </c>
      <c r="AD222" s="208">
        <v>-1375914</v>
      </c>
      <c r="AE222" s="208">
        <v>74904920</v>
      </c>
      <c r="AF222" s="208">
        <v>775693</v>
      </c>
      <c r="AG222" s="208">
        <v>75680613</v>
      </c>
      <c r="AH222" s="208">
        <v>775693</v>
      </c>
      <c r="AI222" s="208">
        <v>775693</v>
      </c>
      <c r="AJ222" s="208">
        <v>89399</v>
      </c>
      <c r="AK222" s="208">
        <v>1808</v>
      </c>
      <c r="AL222" s="208">
        <v>91207</v>
      </c>
      <c r="AM222" s="208">
        <v>0</v>
      </c>
      <c r="AN222" s="208">
        <v>0</v>
      </c>
      <c r="AO222" s="208">
        <v>0</v>
      </c>
      <c r="AP222" s="208">
        <v>6279</v>
      </c>
      <c r="AQ222" s="208">
        <v>6279</v>
      </c>
      <c r="AR222" s="208">
        <v>331277</v>
      </c>
      <c r="AS222" s="208">
        <v>331277</v>
      </c>
      <c r="AT222" s="208">
        <v>448887</v>
      </c>
      <c r="AU222" s="208">
        <v>0</v>
      </c>
      <c r="AV222" s="208">
        <v>0</v>
      </c>
      <c r="AW222" s="208">
        <v>0</v>
      </c>
      <c r="AX222" s="208">
        <v>0</v>
      </c>
      <c r="AY222" s="208">
        <v>244749</v>
      </c>
      <c r="AZ222" s="208">
        <v>244749</v>
      </c>
      <c r="BA222" s="208">
        <v>0</v>
      </c>
      <c r="BB222" s="208">
        <v>0</v>
      </c>
      <c r="BC222" s="208">
        <v>0</v>
      </c>
      <c r="BD222" s="208">
        <v>0</v>
      </c>
      <c r="BE222" s="208">
        <v>0</v>
      </c>
      <c r="BF222" s="208">
        <v>0</v>
      </c>
      <c r="BG222" s="208">
        <v>0</v>
      </c>
      <c r="BH222" s="208">
        <v>0</v>
      </c>
      <c r="BI222" s="208">
        <v>0</v>
      </c>
      <c r="BJ222" s="208">
        <v>244749</v>
      </c>
      <c r="BK222" s="208">
        <v>244749</v>
      </c>
      <c r="BL222" s="208">
        <v>3317628</v>
      </c>
      <c r="BM222" s="208">
        <v>-746812</v>
      </c>
      <c r="BN222" s="187" t="s">
        <v>520</v>
      </c>
      <c r="BO222" s="187" t="s">
        <v>754</v>
      </c>
      <c r="BP222" s="187" t="s">
        <v>811</v>
      </c>
      <c r="BQ222" s="187" t="s">
        <v>1056</v>
      </c>
    </row>
    <row r="223" spans="1:69" x14ac:dyDescent="0.2">
      <c r="B223" s="429" t="s">
        <v>523</v>
      </c>
      <c r="C223" s="429" t="s">
        <v>522</v>
      </c>
      <c r="D223" s="208">
        <v>53580287</v>
      </c>
      <c r="E223" s="208">
        <v>0</v>
      </c>
      <c r="F223" s="208">
        <v>53580287</v>
      </c>
      <c r="G223" s="208">
        <v>0</v>
      </c>
      <c r="H223" s="208">
        <v>0</v>
      </c>
      <c r="I223" s="208">
        <v>0</v>
      </c>
      <c r="J223" s="208">
        <v>-156094</v>
      </c>
      <c r="K223" s="208">
        <v>0</v>
      </c>
      <c r="L223" s="208">
        <v>-156094</v>
      </c>
      <c r="M223" s="208">
        <v>0</v>
      </c>
      <c r="N223" s="208">
        <v>0</v>
      </c>
      <c r="O223" s="208">
        <v>0</v>
      </c>
      <c r="P223" s="208">
        <v>-120770</v>
      </c>
      <c r="Q223" s="208">
        <v>0</v>
      </c>
      <c r="R223" s="208">
        <v>-120770</v>
      </c>
      <c r="S223" s="208">
        <v>1695778</v>
      </c>
      <c r="T223" s="208">
        <v>0</v>
      </c>
      <c r="U223" s="208">
        <v>1695778</v>
      </c>
      <c r="V223" s="208">
        <v>418647</v>
      </c>
      <c r="W223" s="208">
        <v>0</v>
      </c>
      <c r="X223" s="208">
        <v>418647</v>
      </c>
      <c r="Y223" s="208">
        <v>-302574</v>
      </c>
      <c r="Z223" s="208">
        <v>0</v>
      </c>
      <c r="AA223" s="208">
        <v>-302574</v>
      </c>
      <c r="AB223" s="208">
        <v>-3772898</v>
      </c>
      <c r="AC223" s="208">
        <v>0</v>
      </c>
      <c r="AD223" s="208">
        <v>-3772898</v>
      </c>
      <c r="AE223" s="208">
        <v>51498470</v>
      </c>
      <c r="AF223" s="208">
        <v>0</v>
      </c>
      <c r="AG223" s="208">
        <v>51498470</v>
      </c>
      <c r="AH223" s="208">
        <v>0</v>
      </c>
      <c r="AI223" s="208">
        <v>0</v>
      </c>
      <c r="AJ223" s="208">
        <v>0</v>
      </c>
      <c r="AK223" s="208">
        <v>0</v>
      </c>
      <c r="AL223" s="208">
        <v>0</v>
      </c>
      <c r="AM223" s="208">
        <v>0</v>
      </c>
      <c r="AN223" s="208">
        <v>0</v>
      </c>
      <c r="AO223" s="208">
        <v>0</v>
      </c>
      <c r="AP223" s="208">
        <v>0</v>
      </c>
      <c r="AQ223" s="208">
        <v>0</v>
      </c>
      <c r="AR223" s="208">
        <v>0</v>
      </c>
      <c r="AS223" s="208">
        <v>0</v>
      </c>
      <c r="AT223" s="208">
        <v>0</v>
      </c>
      <c r="AU223" s="208">
        <v>0</v>
      </c>
      <c r="AV223" s="208">
        <v>0</v>
      </c>
      <c r="AW223" s="208">
        <v>0</v>
      </c>
      <c r="AX223" s="208">
        <v>0</v>
      </c>
      <c r="AY223" s="208">
        <v>0</v>
      </c>
      <c r="AZ223" s="208">
        <v>0</v>
      </c>
      <c r="BA223" s="208">
        <v>0</v>
      </c>
      <c r="BB223" s="208">
        <v>0</v>
      </c>
      <c r="BC223" s="208">
        <v>0</v>
      </c>
      <c r="BD223" s="208">
        <v>0</v>
      </c>
      <c r="BE223" s="208">
        <v>0</v>
      </c>
      <c r="BF223" s="208">
        <v>0</v>
      </c>
      <c r="BG223" s="208">
        <v>0</v>
      </c>
      <c r="BH223" s="208">
        <v>0</v>
      </c>
      <c r="BI223" s="208">
        <v>0</v>
      </c>
      <c r="BJ223" s="208">
        <v>0</v>
      </c>
      <c r="BK223" s="208">
        <v>0</v>
      </c>
      <c r="BL223" s="208">
        <v>1009296</v>
      </c>
      <c r="BM223" s="208">
        <v>-709913</v>
      </c>
      <c r="BN223" s="187" t="s">
        <v>522</v>
      </c>
      <c r="BO223" s="187" t="s">
        <v>779</v>
      </c>
      <c r="BP223" s="187" t="s">
        <v>751</v>
      </c>
      <c r="BQ223" s="187" t="s">
        <v>1054</v>
      </c>
    </row>
    <row r="224" spans="1:69" x14ac:dyDescent="0.2">
      <c r="B224" s="429" t="s">
        <v>525</v>
      </c>
      <c r="C224" s="429" t="s">
        <v>524</v>
      </c>
      <c r="D224" s="208">
        <v>56220033</v>
      </c>
      <c r="E224" s="208">
        <v>795025</v>
      </c>
      <c r="F224" s="208">
        <v>57015058</v>
      </c>
      <c r="G224" s="208">
        <v>0</v>
      </c>
      <c r="H224" s="208">
        <v>0</v>
      </c>
      <c r="I224" s="208">
        <v>0</v>
      </c>
      <c r="J224" s="208">
        <v>0</v>
      </c>
      <c r="K224" s="208">
        <v>0</v>
      </c>
      <c r="L224" s="208">
        <v>0</v>
      </c>
      <c r="M224" s="208">
        <v>-164455</v>
      </c>
      <c r="N224" s="208">
        <v>0</v>
      </c>
      <c r="O224" s="208">
        <v>-164455</v>
      </c>
      <c r="P224" s="208">
        <v>8371700</v>
      </c>
      <c r="Q224" s="208">
        <v>0</v>
      </c>
      <c r="R224" s="208">
        <v>8371700</v>
      </c>
      <c r="S224" s="208">
        <v>0</v>
      </c>
      <c r="T224" s="208">
        <v>0</v>
      </c>
      <c r="U224" s="208">
        <v>0</v>
      </c>
      <c r="V224" s="208">
        <v>0</v>
      </c>
      <c r="W224" s="208">
        <v>0</v>
      </c>
      <c r="X224" s="208">
        <v>0</v>
      </c>
      <c r="Y224" s="208">
        <v>0</v>
      </c>
      <c r="Z224" s="208">
        <v>0</v>
      </c>
      <c r="AA224" s="208">
        <v>0</v>
      </c>
      <c r="AB224" s="208">
        <v>5343000</v>
      </c>
      <c r="AC224" s="208">
        <v>0</v>
      </c>
      <c r="AD224" s="208">
        <v>5343000</v>
      </c>
      <c r="AE224" s="208">
        <v>69770278</v>
      </c>
      <c r="AF224" s="208">
        <v>795025</v>
      </c>
      <c r="AG224" s="208">
        <v>70565303</v>
      </c>
      <c r="AH224" s="208">
        <v>795025</v>
      </c>
      <c r="AI224" s="208">
        <v>795025</v>
      </c>
      <c r="AJ224" s="208">
        <v>0</v>
      </c>
      <c r="AK224" s="208">
        <v>0</v>
      </c>
      <c r="AL224" s="208">
        <v>0</v>
      </c>
      <c r="AM224" s="208">
        <v>0</v>
      </c>
      <c r="AN224" s="208">
        <v>0</v>
      </c>
      <c r="AO224" s="208">
        <v>0</v>
      </c>
      <c r="AP224" s="208">
        <v>5037</v>
      </c>
      <c r="AQ224" s="208">
        <v>5037</v>
      </c>
      <c r="AR224" s="208">
        <v>620788</v>
      </c>
      <c r="AS224" s="208">
        <v>620788</v>
      </c>
      <c r="AT224" s="208">
        <v>179274</v>
      </c>
      <c r="AU224" s="208">
        <v>0</v>
      </c>
      <c r="AV224" s="208">
        <v>0</v>
      </c>
      <c r="AW224" s="208">
        <v>0</v>
      </c>
      <c r="AX224" s="208">
        <v>0</v>
      </c>
      <c r="AY224" s="208">
        <v>0</v>
      </c>
      <c r="AZ224" s="208">
        <v>0</v>
      </c>
      <c r="BA224" s="208">
        <v>0</v>
      </c>
      <c r="BB224" s="208">
        <v>0</v>
      </c>
      <c r="BC224" s="208">
        <v>0</v>
      </c>
      <c r="BD224" s="208">
        <v>0</v>
      </c>
      <c r="BE224" s="208">
        <v>0</v>
      </c>
      <c r="BF224" s="208">
        <v>0</v>
      </c>
      <c r="BG224" s="208">
        <v>0</v>
      </c>
      <c r="BH224" s="208">
        <v>0</v>
      </c>
      <c r="BI224" s="208">
        <v>0</v>
      </c>
      <c r="BJ224" s="208">
        <v>0</v>
      </c>
      <c r="BK224" s="208">
        <v>0</v>
      </c>
      <c r="BL224" s="208">
        <v>1170620</v>
      </c>
      <c r="BM224" s="208">
        <v>-2561766</v>
      </c>
      <c r="BN224" s="187" t="s">
        <v>524</v>
      </c>
      <c r="BO224" s="187" t="s">
        <v>757</v>
      </c>
      <c r="BP224" s="187" t="s">
        <v>751</v>
      </c>
      <c r="BQ224" s="187" t="s">
        <v>1054</v>
      </c>
    </row>
    <row r="225" spans="1:69" x14ac:dyDescent="0.2">
      <c r="B225" s="429" t="s">
        <v>527</v>
      </c>
      <c r="C225" s="429" t="s">
        <v>526</v>
      </c>
      <c r="D225" s="208">
        <v>29488374</v>
      </c>
      <c r="E225" s="208">
        <v>0</v>
      </c>
      <c r="F225" s="208">
        <v>29488374</v>
      </c>
      <c r="G225" s="208">
        <v>0</v>
      </c>
      <c r="H225" s="208">
        <v>0</v>
      </c>
      <c r="I225" s="208">
        <v>0</v>
      </c>
      <c r="J225" s="208">
        <v>-87615</v>
      </c>
      <c r="K225" s="208">
        <v>0</v>
      </c>
      <c r="L225" s="208">
        <v>-87615</v>
      </c>
      <c r="M225" s="208">
        <v>0</v>
      </c>
      <c r="N225" s="208">
        <v>0</v>
      </c>
      <c r="O225" s="208">
        <v>0</v>
      </c>
      <c r="P225" s="208">
        <v>-162916</v>
      </c>
      <c r="Q225" s="208">
        <v>0</v>
      </c>
      <c r="R225" s="208">
        <v>-162916</v>
      </c>
      <c r="S225" s="208">
        <v>315405</v>
      </c>
      <c r="T225" s="208">
        <v>0</v>
      </c>
      <c r="U225" s="208">
        <v>315405</v>
      </c>
      <c r="V225" s="208">
        <v>33769</v>
      </c>
      <c r="W225" s="208">
        <v>0</v>
      </c>
      <c r="X225" s="208">
        <v>33769</v>
      </c>
      <c r="Y225" s="208">
        <v>-360000</v>
      </c>
      <c r="Z225" s="208">
        <v>0</v>
      </c>
      <c r="AA225" s="208">
        <v>-360000</v>
      </c>
      <c r="AB225" s="208">
        <v>-86990</v>
      </c>
      <c r="AC225" s="208">
        <v>0</v>
      </c>
      <c r="AD225" s="208">
        <v>-86990</v>
      </c>
      <c r="AE225" s="208">
        <v>29227642</v>
      </c>
      <c r="AF225" s="208">
        <v>0</v>
      </c>
      <c r="AG225" s="208">
        <v>29227642</v>
      </c>
      <c r="AH225" s="208">
        <v>0</v>
      </c>
      <c r="AI225" s="208">
        <v>0</v>
      </c>
      <c r="AJ225" s="208">
        <v>543164</v>
      </c>
      <c r="AK225" s="208">
        <v>0</v>
      </c>
      <c r="AL225" s="208">
        <v>543164</v>
      </c>
      <c r="AM225" s="208">
        <v>0</v>
      </c>
      <c r="AN225" s="208">
        <v>0</v>
      </c>
      <c r="AO225" s="208">
        <v>0</v>
      </c>
      <c r="AP225" s="208">
        <v>0</v>
      </c>
      <c r="AQ225" s="208">
        <v>0</v>
      </c>
      <c r="AR225" s="208">
        <v>0</v>
      </c>
      <c r="AS225" s="208">
        <v>0</v>
      </c>
      <c r="AT225" s="208">
        <v>0</v>
      </c>
      <c r="AU225" s="208">
        <v>0</v>
      </c>
      <c r="AV225" s="208">
        <v>0</v>
      </c>
      <c r="AW225" s="208">
        <v>0</v>
      </c>
      <c r="AX225" s="208">
        <v>0</v>
      </c>
      <c r="AY225" s="208">
        <v>0</v>
      </c>
      <c r="AZ225" s="208">
        <v>0</v>
      </c>
      <c r="BA225" s="208">
        <v>0</v>
      </c>
      <c r="BB225" s="208">
        <v>0</v>
      </c>
      <c r="BC225" s="208">
        <v>0</v>
      </c>
      <c r="BD225" s="208">
        <v>0</v>
      </c>
      <c r="BE225" s="208">
        <v>0</v>
      </c>
      <c r="BF225" s="208">
        <v>0</v>
      </c>
      <c r="BG225" s="208">
        <v>0</v>
      </c>
      <c r="BH225" s="208">
        <v>0</v>
      </c>
      <c r="BI225" s="208">
        <v>0</v>
      </c>
      <c r="BJ225" s="208">
        <v>0</v>
      </c>
      <c r="BK225" s="208">
        <v>0</v>
      </c>
      <c r="BL225" s="208">
        <v>491012</v>
      </c>
      <c r="BM225" s="208">
        <v>-267691</v>
      </c>
      <c r="BN225" s="187" t="s">
        <v>526</v>
      </c>
      <c r="BO225" s="187" t="s">
        <v>816</v>
      </c>
      <c r="BP225" s="187" t="s">
        <v>815</v>
      </c>
      <c r="BQ225" s="187" t="s">
        <v>1054</v>
      </c>
    </row>
    <row r="226" spans="1:69" x14ac:dyDescent="0.2">
      <c r="B226" s="429" t="s">
        <v>529</v>
      </c>
      <c r="C226" s="429" t="s">
        <v>528</v>
      </c>
      <c r="D226" s="208">
        <v>51164106</v>
      </c>
      <c r="E226" s="208">
        <v>0</v>
      </c>
      <c r="F226" s="208">
        <v>51164106</v>
      </c>
      <c r="G226" s="208">
        <v>0</v>
      </c>
      <c r="H226" s="208">
        <v>0</v>
      </c>
      <c r="I226" s="208">
        <v>0</v>
      </c>
      <c r="J226" s="208">
        <v>-363889</v>
      </c>
      <c r="K226" s="208">
        <v>0</v>
      </c>
      <c r="L226" s="208">
        <v>-363889</v>
      </c>
      <c r="M226" s="208">
        <v>0</v>
      </c>
      <c r="N226" s="208">
        <v>0</v>
      </c>
      <c r="O226" s="208">
        <v>0</v>
      </c>
      <c r="P226" s="208">
        <v>-337110</v>
      </c>
      <c r="Q226" s="208">
        <v>0</v>
      </c>
      <c r="R226" s="208">
        <v>-337110</v>
      </c>
      <c r="S226" s="208">
        <v>1108502</v>
      </c>
      <c r="T226" s="208">
        <v>0</v>
      </c>
      <c r="U226" s="208">
        <v>1108502</v>
      </c>
      <c r="V226" s="208">
        <v>899179</v>
      </c>
      <c r="W226" s="208">
        <v>0</v>
      </c>
      <c r="X226" s="208">
        <v>899179</v>
      </c>
      <c r="Y226" s="208">
        <v>959476</v>
      </c>
      <c r="Z226" s="208">
        <v>0</v>
      </c>
      <c r="AA226" s="208">
        <v>959476</v>
      </c>
      <c r="AB226" s="208">
        <v>-5789512</v>
      </c>
      <c r="AC226" s="208">
        <v>0</v>
      </c>
      <c r="AD226" s="208">
        <v>-5789512</v>
      </c>
      <c r="AE226" s="208">
        <v>48004641</v>
      </c>
      <c r="AF226" s="208">
        <v>0</v>
      </c>
      <c r="AG226" s="208">
        <v>48004641</v>
      </c>
      <c r="AH226" s="208">
        <v>0</v>
      </c>
      <c r="AI226" s="208">
        <v>0</v>
      </c>
      <c r="AJ226" s="208">
        <v>0</v>
      </c>
      <c r="AK226" s="208">
        <v>0</v>
      </c>
      <c r="AL226" s="208">
        <v>0</v>
      </c>
      <c r="AM226" s="208">
        <v>0</v>
      </c>
      <c r="AN226" s="208">
        <v>0</v>
      </c>
      <c r="AO226" s="208">
        <v>0</v>
      </c>
      <c r="AP226" s="208">
        <v>0</v>
      </c>
      <c r="AQ226" s="208">
        <v>0</v>
      </c>
      <c r="AR226" s="208">
        <v>0</v>
      </c>
      <c r="AS226" s="208">
        <v>0</v>
      </c>
      <c r="AT226" s="208">
        <v>0</v>
      </c>
      <c r="AU226" s="208">
        <v>0</v>
      </c>
      <c r="AV226" s="208">
        <v>0</v>
      </c>
      <c r="AW226" s="208">
        <v>0</v>
      </c>
      <c r="AX226" s="208">
        <v>0</v>
      </c>
      <c r="AY226" s="208">
        <v>0</v>
      </c>
      <c r="AZ226" s="208">
        <v>0</v>
      </c>
      <c r="BA226" s="208">
        <v>0</v>
      </c>
      <c r="BB226" s="208">
        <v>0</v>
      </c>
      <c r="BC226" s="208">
        <v>0</v>
      </c>
      <c r="BD226" s="208">
        <v>0</v>
      </c>
      <c r="BE226" s="208">
        <v>0</v>
      </c>
      <c r="BF226" s="208">
        <v>0</v>
      </c>
      <c r="BG226" s="208">
        <v>0</v>
      </c>
      <c r="BH226" s="208">
        <v>0</v>
      </c>
      <c r="BI226" s="208">
        <v>0</v>
      </c>
      <c r="BJ226" s="208">
        <v>0</v>
      </c>
      <c r="BK226" s="208">
        <v>0</v>
      </c>
      <c r="BL226" s="208">
        <v>1570336</v>
      </c>
      <c r="BM226" s="208">
        <v>-1309206</v>
      </c>
      <c r="BN226" s="187" t="s">
        <v>528</v>
      </c>
      <c r="BO226" s="187" t="s">
        <v>761</v>
      </c>
      <c r="BP226" s="187" t="s">
        <v>760</v>
      </c>
      <c r="BQ226" s="187" t="s">
        <v>1054</v>
      </c>
    </row>
    <row r="227" spans="1:69" x14ac:dyDescent="0.2">
      <c r="B227" s="429" t="s">
        <v>531</v>
      </c>
      <c r="C227" s="429" t="s">
        <v>530</v>
      </c>
      <c r="D227" s="208">
        <v>11375629</v>
      </c>
      <c r="E227" s="208">
        <v>0</v>
      </c>
      <c r="F227" s="208">
        <v>11375629</v>
      </c>
      <c r="G227" s="208">
        <v>0</v>
      </c>
      <c r="H227" s="208">
        <v>0</v>
      </c>
      <c r="I227" s="208">
        <v>0</v>
      </c>
      <c r="J227" s="208">
        <v>-23302</v>
      </c>
      <c r="K227" s="208">
        <v>0</v>
      </c>
      <c r="L227" s="208">
        <v>-23302</v>
      </c>
      <c r="M227" s="208">
        <v>0</v>
      </c>
      <c r="N227" s="208">
        <v>0</v>
      </c>
      <c r="O227" s="208">
        <v>0</v>
      </c>
      <c r="P227" s="208">
        <v>-8270</v>
      </c>
      <c r="Q227" s="208">
        <v>0</v>
      </c>
      <c r="R227" s="208">
        <v>-8270</v>
      </c>
      <c r="S227" s="208">
        <v>252712</v>
      </c>
      <c r="T227" s="208">
        <v>0</v>
      </c>
      <c r="U227" s="208">
        <v>252712</v>
      </c>
      <c r="V227" s="208">
        <v>0</v>
      </c>
      <c r="W227" s="208">
        <v>0</v>
      </c>
      <c r="X227" s="208">
        <v>0</v>
      </c>
      <c r="Y227" s="208">
        <v>-74041</v>
      </c>
      <c r="Z227" s="208">
        <v>0</v>
      </c>
      <c r="AA227" s="208">
        <v>-74041</v>
      </c>
      <c r="AB227" s="208">
        <v>-748414</v>
      </c>
      <c r="AC227" s="208">
        <v>0</v>
      </c>
      <c r="AD227" s="208">
        <v>-748414</v>
      </c>
      <c r="AE227" s="208">
        <v>10797616</v>
      </c>
      <c r="AF227" s="208">
        <v>0</v>
      </c>
      <c r="AG227" s="208">
        <v>10797616</v>
      </c>
      <c r="AH227" s="208">
        <v>0</v>
      </c>
      <c r="AI227" s="208">
        <v>0</v>
      </c>
      <c r="AJ227" s="208">
        <v>44576</v>
      </c>
      <c r="AK227" s="208">
        <v>0</v>
      </c>
      <c r="AL227" s="208">
        <v>44576</v>
      </c>
      <c r="AM227" s="208">
        <v>0</v>
      </c>
      <c r="AN227" s="208">
        <v>0</v>
      </c>
      <c r="AO227" s="208">
        <v>0</v>
      </c>
      <c r="AP227" s="208">
        <v>0</v>
      </c>
      <c r="AQ227" s="208">
        <v>0</v>
      </c>
      <c r="AR227" s="208">
        <v>0</v>
      </c>
      <c r="AS227" s="208">
        <v>0</v>
      </c>
      <c r="AT227" s="208">
        <v>0</v>
      </c>
      <c r="AU227" s="208">
        <v>0</v>
      </c>
      <c r="AV227" s="208">
        <v>0</v>
      </c>
      <c r="AW227" s="208">
        <v>0</v>
      </c>
      <c r="AX227" s="208">
        <v>0</v>
      </c>
      <c r="AY227" s="208">
        <v>0</v>
      </c>
      <c r="AZ227" s="208">
        <v>0</v>
      </c>
      <c r="BA227" s="208">
        <v>0</v>
      </c>
      <c r="BB227" s="208">
        <v>0</v>
      </c>
      <c r="BC227" s="208">
        <v>0</v>
      </c>
      <c r="BD227" s="208">
        <v>0</v>
      </c>
      <c r="BE227" s="208">
        <v>0</v>
      </c>
      <c r="BF227" s="208">
        <v>0</v>
      </c>
      <c r="BG227" s="208">
        <v>0</v>
      </c>
      <c r="BH227" s="208">
        <v>0</v>
      </c>
      <c r="BI227" s="208">
        <v>0</v>
      </c>
      <c r="BJ227" s="208">
        <v>0</v>
      </c>
      <c r="BK227" s="208">
        <v>0</v>
      </c>
      <c r="BL227" s="208">
        <v>164082</v>
      </c>
      <c r="BM227" s="208">
        <v>-110526</v>
      </c>
      <c r="BN227" s="187" t="s">
        <v>814</v>
      </c>
      <c r="BO227" s="187" t="s">
        <v>742</v>
      </c>
      <c r="BP227" s="187" t="s">
        <v>813</v>
      </c>
      <c r="BQ227" s="187" t="s">
        <v>742</v>
      </c>
    </row>
    <row r="228" spans="1:69" x14ac:dyDescent="0.2">
      <c r="B228" s="429" t="s">
        <v>533</v>
      </c>
      <c r="C228" s="429" t="s">
        <v>532</v>
      </c>
      <c r="D228" s="208">
        <v>15551298</v>
      </c>
      <c r="E228" s="208">
        <v>0</v>
      </c>
      <c r="F228" s="208">
        <v>15551298</v>
      </c>
      <c r="G228" s="208">
        <v>0</v>
      </c>
      <c r="H228" s="208">
        <v>0</v>
      </c>
      <c r="I228" s="208">
        <v>0</v>
      </c>
      <c r="J228" s="208">
        <v>0</v>
      </c>
      <c r="K228" s="208">
        <v>0</v>
      </c>
      <c r="L228" s="208">
        <v>0</v>
      </c>
      <c r="M228" s="208">
        <v>-14327</v>
      </c>
      <c r="N228" s="208">
        <v>0</v>
      </c>
      <c r="O228" s="208">
        <v>-14327</v>
      </c>
      <c r="P228" s="208">
        <v>29907</v>
      </c>
      <c r="Q228" s="208">
        <v>0</v>
      </c>
      <c r="R228" s="208">
        <v>29907</v>
      </c>
      <c r="S228" s="208">
        <v>2301694</v>
      </c>
      <c r="T228" s="208">
        <v>0</v>
      </c>
      <c r="U228" s="208">
        <v>2301694</v>
      </c>
      <c r="V228" s="208">
        <v>811749</v>
      </c>
      <c r="W228" s="208">
        <v>0</v>
      </c>
      <c r="X228" s="208">
        <v>811749</v>
      </c>
      <c r="Y228" s="208">
        <v>-304052</v>
      </c>
      <c r="Z228" s="208">
        <v>0</v>
      </c>
      <c r="AA228" s="208">
        <v>-304052</v>
      </c>
      <c r="AB228" s="208">
        <v>-1130145</v>
      </c>
      <c r="AC228" s="208">
        <v>0</v>
      </c>
      <c r="AD228" s="208">
        <v>-1130145</v>
      </c>
      <c r="AE228" s="208">
        <v>17246124</v>
      </c>
      <c r="AF228" s="208">
        <v>0</v>
      </c>
      <c r="AG228" s="208">
        <v>17246124</v>
      </c>
      <c r="AH228" s="208">
        <v>0</v>
      </c>
      <c r="AI228" s="208">
        <v>0</v>
      </c>
      <c r="AJ228" s="208">
        <v>26950</v>
      </c>
      <c r="AK228" s="208">
        <v>0</v>
      </c>
      <c r="AL228" s="208">
        <v>26950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101486</v>
      </c>
      <c r="BM228" s="208">
        <v>-111634</v>
      </c>
      <c r="BN228" s="187" t="s">
        <v>532</v>
      </c>
      <c r="BO228" s="187" t="s">
        <v>812</v>
      </c>
      <c r="BP228" s="187" t="s">
        <v>741</v>
      </c>
      <c r="BQ228" s="187" t="s">
        <v>1054</v>
      </c>
    </row>
    <row r="229" spans="1:69" x14ac:dyDescent="0.2">
      <c r="B229" s="429" t="s">
        <v>535</v>
      </c>
      <c r="C229" s="429" t="s">
        <v>534</v>
      </c>
      <c r="D229" s="208">
        <v>96166288</v>
      </c>
      <c r="E229" s="208">
        <v>0</v>
      </c>
      <c r="F229" s="208">
        <v>96166288</v>
      </c>
      <c r="G229" s="208">
        <v>0</v>
      </c>
      <c r="H229" s="208">
        <v>0</v>
      </c>
      <c r="I229" s="208">
        <v>0</v>
      </c>
      <c r="J229" s="208">
        <v>-3734309</v>
      </c>
      <c r="K229" s="208">
        <v>0</v>
      </c>
      <c r="L229" s="208">
        <v>-3734309</v>
      </c>
      <c r="M229" s="208">
        <v>0</v>
      </c>
      <c r="N229" s="208">
        <v>0</v>
      </c>
      <c r="O229" s="208">
        <v>0</v>
      </c>
      <c r="P229" s="208">
        <v>-2969726</v>
      </c>
      <c r="Q229" s="208">
        <v>0</v>
      </c>
      <c r="R229" s="208">
        <v>-2969726</v>
      </c>
      <c r="S229" s="208">
        <v>1479523</v>
      </c>
      <c r="T229" s="208">
        <v>0</v>
      </c>
      <c r="U229" s="208">
        <v>1479523</v>
      </c>
      <c r="V229" s="208">
        <v>1299204</v>
      </c>
      <c r="W229" s="208">
        <v>0</v>
      </c>
      <c r="X229" s="208">
        <v>1299204</v>
      </c>
      <c r="Y229" s="208">
        <v>128814</v>
      </c>
      <c r="Z229" s="208">
        <v>0</v>
      </c>
      <c r="AA229" s="208">
        <v>128814</v>
      </c>
      <c r="AB229" s="208">
        <v>-3270601</v>
      </c>
      <c r="AC229" s="208">
        <v>0</v>
      </c>
      <c r="AD229" s="208">
        <v>-3270601</v>
      </c>
      <c r="AE229" s="208">
        <v>92833502</v>
      </c>
      <c r="AF229" s="208">
        <v>0</v>
      </c>
      <c r="AG229" s="208">
        <v>92833502</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23051015</v>
      </c>
      <c r="BM229" s="208">
        <v>-5170288</v>
      </c>
      <c r="BN229" s="187" t="s">
        <v>534</v>
      </c>
      <c r="BO229" s="187" t="s">
        <v>754</v>
      </c>
      <c r="BP229" s="187" t="s">
        <v>763</v>
      </c>
      <c r="BQ229" s="187" t="s">
        <v>1056</v>
      </c>
    </row>
    <row r="230" spans="1:69" x14ac:dyDescent="0.2">
      <c r="B230" s="429" t="s">
        <v>537</v>
      </c>
      <c r="C230" s="429" t="s">
        <v>536</v>
      </c>
      <c r="D230" s="208">
        <v>100252770</v>
      </c>
      <c r="E230" s="208">
        <v>0</v>
      </c>
      <c r="F230" s="208">
        <v>100252770</v>
      </c>
      <c r="G230" s="208">
        <v>-423</v>
      </c>
      <c r="H230" s="208">
        <v>0</v>
      </c>
      <c r="I230" s="208">
        <v>-423</v>
      </c>
      <c r="J230" s="208">
        <v>-1535305</v>
      </c>
      <c r="K230" s="208">
        <v>0</v>
      </c>
      <c r="L230" s="208">
        <v>-1535305</v>
      </c>
      <c r="M230" s="208">
        <v>0</v>
      </c>
      <c r="N230" s="208">
        <v>0</v>
      </c>
      <c r="O230" s="208">
        <v>0</v>
      </c>
      <c r="P230" s="208">
        <v>-123205</v>
      </c>
      <c r="Q230" s="208">
        <v>0</v>
      </c>
      <c r="R230" s="208">
        <v>-123205</v>
      </c>
      <c r="S230" s="208">
        <v>0</v>
      </c>
      <c r="T230" s="208">
        <v>0</v>
      </c>
      <c r="U230" s="208">
        <v>0</v>
      </c>
      <c r="V230" s="208">
        <v>0</v>
      </c>
      <c r="W230" s="208">
        <v>0</v>
      </c>
      <c r="X230" s="208">
        <v>0</v>
      </c>
      <c r="Y230" s="208">
        <v>-1667209</v>
      </c>
      <c r="Z230" s="208">
        <v>0</v>
      </c>
      <c r="AA230" s="208">
        <v>-1667209</v>
      </c>
      <c r="AB230" s="208">
        <v>0</v>
      </c>
      <c r="AC230" s="208">
        <v>0</v>
      </c>
      <c r="AD230" s="208">
        <v>0</v>
      </c>
      <c r="AE230" s="208">
        <v>98461933</v>
      </c>
      <c r="AF230" s="208">
        <v>0</v>
      </c>
      <c r="AG230" s="208">
        <v>98461933</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3177364</v>
      </c>
      <c r="BM230" s="208">
        <v>-1025553</v>
      </c>
      <c r="BN230" s="187" t="s">
        <v>536</v>
      </c>
      <c r="BO230" s="187" t="s">
        <v>754</v>
      </c>
      <c r="BP230" s="187" t="s">
        <v>753</v>
      </c>
      <c r="BQ230" s="187" t="s">
        <v>1056</v>
      </c>
    </row>
    <row r="231" spans="1:69" x14ac:dyDescent="0.2">
      <c r="B231" s="429" t="s">
        <v>539</v>
      </c>
      <c r="C231" s="429" t="s">
        <v>538</v>
      </c>
      <c r="D231" s="208">
        <v>35009457</v>
      </c>
      <c r="E231" s="208">
        <v>0</v>
      </c>
      <c r="F231" s="208">
        <v>35009457</v>
      </c>
      <c r="G231" s="208">
        <v>0</v>
      </c>
      <c r="H231" s="208">
        <v>0</v>
      </c>
      <c r="I231" s="208">
        <v>0</v>
      </c>
      <c r="J231" s="208">
        <v>0</v>
      </c>
      <c r="K231" s="208">
        <v>0</v>
      </c>
      <c r="L231" s="208">
        <v>0</v>
      </c>
      <c r="M231" s="208">
        <v>-455558</v>
      </c>
      <c r="N231" s="208">
        <v>0</v>
      </c>
      <c r="O231" s="208">
        <v>-455558</v>
      </c>
      <c r="P231" s="208">
        <v>15990</v>
      </c>
      <c r="Q231" s="208">
        <v>0</v>
      </c>
      <c r="R231" s="208">
        <v>15990</v>
      </c>
      <c r="S231" s="208">
        <v>620931</v>
      </c>
      <c r="T231" s="208">
        <v>0</v>
      </c>
      <c r="U231" s="208">
        <v>620931</v>
      </c>
      <c r="V231" s="208">
        <v>861010</v>
      </c>
      <c r="W231" s="208">
        <v>0</v>
      </c>
      <c r="X231" s="208">
        <v>861010</v>
      </c>
      <c r="Y231" s="208">
        <v>-47477</v>
      </c>
      <c r="Z231" s="208">
        <v>0</v>
      </c>
      <c r="AA231" s="208">
        <v>-47477</v>
      </c>
      <c r="AB231" s="208">
        <v>-1818522</v>
      </c>
      <c r="AC231" s="208">
        <v>0</v>
      </c>
      <c r="AD231" s="208">
        <v>-1818522</v>
      </c>
      <c r="AE231" s="208">
        <v>34185831</v>
      </c>
      <c r="AF231" s="208">
        <v>0</v>
      </c>
      <c r="AG231" s="208">
        <v>34185831</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1384118</v>
      </c>
      <c r="BM231" s="208">
        <v>-896846</v>
      </c>
      <c r="BN231" s="187" t="s">
        <v>538</v>
      </c>
      <c r="BO231" s="187" t="s">
        <v>812</v>
      </c>
      <c r="BP231" s="187" t="s">
        <v>741</v>
      </c>
      <c r="BQ231" s="187" t="s">
        <v>1054</v>
      </c>
    </row>
    <row r="232" spans="1:69" x14ac:dyDescent="0.2">
      <c r="B232" s="429" t="s">
        <v>541</v>
      </c>
      <c r="C232" s="429" t="s">
        <v>540</v>
      </c>
      <c r="D232" s="208">
        <v>41372055</v>
      </c>
      <c r="E232" s="208">
        <v>18241</v>
      </c>
      <c r="F232" s="208">
        <v>41390296</v>
      </c>
      <c r="G232" s="208">
        <v>0</v>
      </c>
      <c r="H232" s="208">
        <v>0</v>
      </c>
      <c r="I232" s="208">
        <v>0</v>
      </c>
      <c r="J232" s="208">
        <v>-211450</v>
      </c>
      <c r="K232" s="208">
        <v>0</v>
      </c>
      <c r="L232" s="208">
        <v>-211450</v>
      </c>
      <c r="M232" s="208">
        <v>211450</v>
      </c>
      <c r="N232" s="208">
        <v>0</v>
      </c>
      <c r="O232" s="208">
        <v>211450</v>
      </c>
      <c r="P232" s="208">
        <v>-120797</v>
      </c>
      <c r="Q232" s="208">
        <v>0</v>
      </c>
      <c r="R232" s="208">
        <v>-120797</v>
      </c>
      <c r="S232" s="208">
        <v>423167</v>
      </c>
      <c r="T232" s="208">
        <v>0</v>
      </c>
      <c r="U232" s="208">
        <v>423167</v>
      </c>
      <c r="V232" s="208">
        <v>49902</v>
      </c>
      <c r="W232" s="208">
        <v>0</v>
      </c>
      <c r="X232" s="208">
        <v>49902</v>
      </c>
      <c r="Y232" s="208">
        <v>-178136</v>
      </c>
      <c r="Z232" s="208">
        <v>0</v>
      </c>
      <c r="AA232" s="208">
        <v>-178136</v>
      </c>
      <c r="AB232" s="208">
        <v>-1139803</v>
      </c>
      <c r="AC232" s="208">
        <v>0</v>
      </c>
      <c r="AD232" s="208">
        <v>-1139803</v>
      </c>
      <c r="AE232" s="208">
        <v>40617838</v>
      </c>
      <c r="AF232" s="208">
        <v>18241</v>
      </c>
      <c r="AG232" s="208">
        <v>40636079</v>
      </c>
      <c r="AH232" s="208">
        <v>18241</v>
      </c>
      <c r="AI232" s="208">
        <v>18241</v>
      </c>
      <c r="AJ232" s="208">
        <v>252287</v>
      </c>
      <c r="AK232" s="208">
        <v>0</v>
      </c>
      <c r="AL232" s="208">
        <v>252287</v>
      </c>
      <c r="AM232" s="208">
        <v>0</v>
      </c>
      <c r="AN232" s="208">
        <v>0</v>
      </c>
      <c r="AO232" s="208">
        <v>0</v>
      </c>
      <c r="AP232" s="208">
        <v>0</v>
      </c>
      <c r="AQ232" s="208">
        <v>0</v>
      </c>
      <c r="AR232" s="208">
        <v>21364</v>
      </c>
      <c r="AS232" s="208">
        <v>21364</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1162247</v>
      </c>
      <c r="BM232" s="208">
        <v>-550463</v>
      </c>
      <c r="BN232" s="187" t="s">
        <v>540</v>
      </c>
      <c r="BO232" s="187" t="s">
        <v>769</v>
      </c>
      <c r="BP232" s="187" t="s">
        <v>768</v>
      </c>
      <c r="BQ232" s="187" t="s">
        <v>1054</v>
      </c>
    </row>
    <row r="233" spans="1:69" x14ac:dyDescent="0.2">
      <c r="B233" s="429" t="s">
        <v>543</v>
      </c>
      <c r="C233" s="429" t="s">
        <v>542</v>
      </c>
      <c r="D233" s="208">
        <v>69755407</v>
      </c>
      <c r="E233" s="208">
        <v>0</v>
      </c>
      <c r="F233" s="208">
        <v>69755407</v>
      </c>
      <c r="G233" s="208">
        <v>0</v>
      </c>
      <c r="H233" s="208">
        <v>0</v>
      </c>
      <c r="I233" s="208">
        <v>0</v>
      </c>
      <c r="J233" s="208">
        <v>-610708</v>
      </c>
      <c r="K233" s="208">
        <v>0</v>
      </c>
      <c r="L233" s="208">
        <v>-610708</v>
      </c>
      <c r="M233" s="208">
        <v>0</v>
      </c>
      <c r="N233" s="208">
        <v>0</v>
      </c>
      <c r="O233" s="208">
        <v>0</v>
      </c>
      <c r="P233" s="208">
        <v>-1020308</v>
      </c>
      <c r="Q233" s="208">
        <v>0</v>
      </c>
      <c r="R233" s="208">
        <v>-1020308</v>
      </c>
      <c r="S233" s="208">
        <v>2513921</v>
      </c>
      <c r="T233" s="208">
        <v>0</v>
      </c>
      <c r="U233" s="208">
        <v>2513921</v>
      </c>
      <c r="V233" s="208">
        <v>884271</v>
      </c>
      <c r="W233" s="208">
        <v>0</v>
      </c>
      <c r="X233" s="208">
        <v>884271</v>
      </c>
      <c r="Y233" s="208">
        <v>51479</v>
      </c>
      <c r="Z233" s="208">
        <v>0</v>
      </c>
      <c r="AA233" s="208">
        <v>51479</v>
      </c>
      <c r="AB233" s="208">
        <v>-4662371</v>
      </c>
      <c r="AC233" s="208">
        <v>0</v>
      </c>
      <c r="AD233" s="208">
        <v>-4662371</v>
      </c>
      <c r="AE233" s="208">
        <v>67522399</v>
      </c>
      <c r="AF233" s="208">
        <v>0</v>
      </c>
      <c r="AG233" s="208">
        <v>67522399</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3621339</v>
      </c>
      <c r="BM233" s="208">
        <v>-1765434</v>
      </c>
      <c r="BN233" s="187" t="s">
        <v>542</v>
      </c>
      <c r="BO233" s="187" t="s">
        <v>754</v>
      </c>
      <c r="BP233" s="187" t="s">
        <v>758</v>
      </c>
      <c r="BQ233" s="187" t="s">
        <v>1056</v>
      </c>
    </row>
    <row r="234" spans="1:69" x14ac:dyDescent="0.2">
      <c r="B234" s="429" t="s">
        <v>545</v>
      </c>
      <c r="C234" s="429" t="s">
        <v>544</v>
      </c>
      <c r="D234" s="208">
        <v>39490793</v>
      </c>
      <c r="E234" s="208">
        <v>0</v>
      </c>
      <c r="F234" s="208">
        <v>39490793</v>
      </c>
      <c r="G234" s="208">
        <v>0</v>
      </c>
      <c r="H234" s="208">
        <v>0</v>
      </c>
      <c r="I234" s="208">
        <v>0</v>
      </c>
      <c r="J234" s="208">
        <v>-32227</v>
      </c>
      <c r="K234" s="208">
        <v>0</v>
      </c>
      <c r="L234" s="208">
        <v>-32227</v>
      </c>
      <c r="M234" s="208">
        <v>0</v>
      </c>
      <c r="N234" s="208">
        <v>0</v>
      </c>
      <c r="O234" s="208">
        <v>0</v>
      </c>
      <c r="P234" s="208">
        <v>-73892</v>
      </c>
      <c r="Q234" s="208">
        <v>0</v>
      </c>
      <c r="R234" s="208">
        <v>-73892</v>
      </c>
      <c r="S234" s="208">
        <v>1096798</v>
      </c>
      <c r="T234" s="208">
        <v>0</v>
      </c>
      <c r="U234" s="208">
        <v>1096798</v>
      </c>
      <c r="V234" s="208">
        <v>396202</v>
      </c>
      <c r="W234" s="208">
        <v>0</v>
      </c>
      <c r="X234" s="208">
        <v>396202</v>
      </c>
      <c r="Y234" s="208">
        <v>-336253</v>
      </c>
      <c r="Z234" s="208">
        <v>0</v>
      </c>
      <c r="AA234" s="208">
        <v>-336253</v>
      </c>
      <c r="AB234" s="208">
        <v>-2225901</v>
      </c>
      <c r="AC234" s="208">
        <v>0</v>
      </c>
      <c r="AD234" s="208">
        <v>-2225901</v>
      </c>
      <c r="AE234" s="208">
        <v>38347747</v>
      </c>
      <c r="AF234" s="208">
        <v>0</v>
      </c>
      <c r="AG234" s="208">
        <v>38347747</v>
      </c>
      <c r="AH234" s="208">
        <v>0</v>
      </c>
      <c r="AI234" s="208">
        <v>0</v>
      </c>
      <c r="AJ234" s="208">
        <v>8343583</v>
      </c>
      <c r="AK234" s="208">
        <v>0</v>
      </c>
      <c r="AL234" s="208">
        <v>8343583</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999910</v>
      </c>
      <c r="BM234" s="208">
        <v>-420261</v>
      </c>
      <c r="BN234" s="187" t="s">
        <v>544</v>
      </c>
      <c r="BO234" s="187" t="s">
        <v>812</v>
      </c>
      <c r="BP234" s="187" t="s">
        <v>741</v>
      </c>
      <c r="BQ234" s="187" t="s">
        <v>1054</v>
      </c>
    </row>
    <row r="235" spans="1:69" x14ac:dyDescent="0.2">
      <c r="B235" s="429" t="s">
        <v>547</v>
      </c>
      <c r="C235" s="429" t="s">
        <v>546</v>
      </c>
      <c r="D235" s="208">
        <v>36279081</v>
      </c>
      <c r="E235" s="208">
        <v>0</v>
      </c>
      <c r="F235" s="208">
        <v>36279081</v>
      </c>
      <c r="G235" s="208">
        <v>0</v>
      </c>
      <c r="H235" s="208">
        <v>0</v>
      </c>
      <c r="I235" s="208">
        <v>0</v>
      </c>
      <c r="J235" s="208">
        <v>-40010</v>
      </c>
      <c r="K235" s="208">
        <v>0</v>
      </c>
      <c r="L235" s="208">
        <v>-40010</v>
      </c>
      <c r="M235" s="208">
        <v>0</v>
      </c>
      <c r="N235" s="208">
        <v>0</v>
      </c>
      <c r="O235" s="208">
        <v>0</v>
      </c>
      <c r="P235" s="208">
        <v>-108910</v>
      </c>
      <c r="Q235" s="208">
        <v>0</v>
      </c>
      <c r="R235" s="208">
        <v>-108910</v>
      </c>
      <c r="S235" s="208">
        <v>454934</v>
      </c>
      <c r="T235" s="208">
        <v>0</v>
      </c>
      <c r="U235" s="208">
        <v>454934</v>
      </c>
      <c r="V235" s="208">
        <v>0</v>
      </c>
      <c r="W235" s="208">
        <v>0</v>
      </c>
      <c r="X235" s="208">
        <v>0</v>
      </c>
      <c r="Y235" s="208">
        <v>66927</v>
      </c>
      <c r="Z235" s="208">
        <v>0</v>
      </c>
      <c r="AA235" s="208">
        <v>66927</v>
      </c>
      <c r="AB235" s="208">
        <v>-1310275</v>
      </c>
      <c r="AC235" s="208">
        <v>0</v>
      </c>
      <c r="AD235" s="208">
        <v>-1310275</v>
      </c>
      <c r="AE235" s="208">
        <v>35381757</v>
      </c>
      <c r="AF235" s="208">
        <v>0</v>
      </c>
      <c r="AG235" s="208">
        <v>35381757</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1922495</v>
      </c>
      <c r="BM235" s="208">
        <v>-1563879</v>
      </c>
      <c r="BN235" s="187" t="s">
        <v>546</v>
      </c>
      <c r="BO235" s="187" t="s">
        <v>786</v>
      </c>
      <c r="BP235" s="187" t="s">
        <v>785</v>
      </c>
      <c r="BQ235" s="187" t="s">
        <v>1054</v>
      </c>
    </row>
    <row r="236" spans="1:69" x14ac:dyDescent="0.2">
      <c r="B236" s="429" t="s">
        <v>549</v>
      </c>
      <c r="C236" s="429" t="s">
        <v>548</v>
      </c>
      <c r="D236" s="208">
        <v>221062550</v>
      </c>
      <c r="E236" s="208">
        <v>3516639</v>
      </c>
      <c r="F236" s="208">
        <v>224579189</v>
      </c>
      <c r="G236" s="208">
        <v>0</v>
      </c>
      <c r="H236" s="208">
        <v>0</v>
      </c>
      <c r="I236" s="208">
        <v>0</v>
      </c>
      <c r="J236" s="208">
        <v>-2281016</v>
      </c>
      <c r="K236" s="208">
        <v>-4609</v>
      </c>
      <c r="L236" s="208">
        <v>-2285625</v>
      </c>
      <c r="M236" s="208">
        <v>0</v>
      </c>
      <c r="N236" s="208">
        <v>0</v>
      </c>
      <c r="O236" s="208">
        <v>0</v>
      </c>
      <c r="P236" s="208">
        <v>-1001322</v>
      </c>
      <c r="Q236" s="208">
        <v>0</v>
      </c>
      <c r="R236" s="208">
        <v>-1001322</v>
      </c>
      <c r="S236" s="208">
        <v>1408189</v>
      </c>
      <c r="T236" s="208">
        <v>0</v>
      </c>
      <c r="U236" s="208">
        <v>1408189</v>
      </c>
      <c r="V236" s="208">
        <v>0</v>
      </c>
      <c r="W236" s="208">
        <v>0</v>
      </c>
      <c r="X236" s="208">
        <v>0</v>
      </c>
      <c r="Y236" s="208">
        <v>6379558</v>
      </c>
      <c r="Z236" s="208">
        <v>0</v>
      </c>
      <c r="AA236" s="208">
        <v>6379558</v>
      </c>
      <c r="AB236" s="208">
        <v>-6922640</v>
      </c>
      <c r="AC236" s="208">
        <v>-83741</v>
      </c>
      <c r="AD236" s="208">
        <v>-7006381</v>
      </c>
      <c r="AE236" s="208">
        <v>220926335</v>
      </c>
      <c r="AF236" s="208">
        <v>3432898</v>
      </c>
      <c r="AG236" s="208">
        <v>224359233</v>
      </c>
      <c r="AH236" s="208">
        <v>3432898</v>
      </c>
      <c r="AI236" s="208">
        <v>3432898</v>
      </c>
      <c r="AJ236" s="208">
        <v>1538824</v>
      </c>
      <c r="AK236" s="208">
        <v>0</v>
      </c>
      <c r="AL236" s="208">
        <v>1538824</v>
      </c>
      <c r="AM236" s="208">
        <v>0</v>
      </c>
      <c r="AN236" s="208">
        <v>0</v>
      </c>
      <c r="AO236" s="208">
        <v>0</v>
      </c>
      <c r="AP236" s="208">
        <v>-112962</v>
      </c>
      <c r="AQ236" s="208">
        <v>-112962</v>
      </c>
      <c r="AR236" s="208">
        <v>3412804</v>
      </c>
      <c r="AS236" s="208">
        <v>3412804</v>
      </c>
      <c r="AT236" s="208">
        <v>607256</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12950908</v>
      </c>
      <c r="BM236" s="208">
        <v>-3287426</v>
      </c>
      <c r="BN236" s="187" t="s">
        <v>548</v>
      </c>
      <c r="BO236" s="187" t="s">
        <v>754</v>
      </c>
      <c r="BP236" s="187" t="s">
        <v>811</v>
      </c>
      <c r="BQ236" s="187" t="s">
        <v>1056</v>
      </c>
    </row>
    <row r="237" spans="1:69" x14ac:dyDescent="0.2">
      <c r="B237" s="429" t="s">
        <v>552</v>
      </c>
      <c r="C237" s="429" t="s">
        <v>551</v>
      </c>
      <c r="D237" s="208">
        <v>82886474</v>
      </c>
      <c r="E237" s="208">
        <v>0</v>
      </c>
      <c r="F237" s="208">
        <v>82886474</v>
      </c>
      <c r="G237" s="208">
        <v>0</v>
      </c>
      <c r="H237" s="208">
        <v>0</v>
      </c>
      <c r="I237" s="208">
        <v>0</v>
      </c>
      <c r="J237" s="208">
        <v>-410401</v>
      </c>
      <c r="K237" s="208">
        <v>0</v>
      </c>
      <c r="L237" s="208">
        <v>-410401</v>
      </c>
      <c r="M237" s="208">
        <v>0</v>
      </c>
      <c r="N237" s="208">
        <v>0</v>
      </c>
      <c r="O237" s="208">
        <v>0</v>
      </c>
      <c r="P237" s="208">
        <v>-502222</v>
      </c>
      <c r="Q237" s="208">
        <v>0</v>
      </c>
      <c r="R237" s="208">
        <v>-502222</v>
      </c>
      <c r="S237" s="208">
        <v>1022879</v>
      </c>
      <c r="T237" s="208">
        <v>0</v>
      </c>
      <c r="U237" s="208">
        <v>1022879</v>
      </c>
      <c r="V237" s="208">
        <v>261569</v>
      </c>
      <c r="W237" s="208">
        <v>0</v>
      </c>
      <c r="X237" s="208">
        <v>261569</v>
      </c>
      <c r="Y237" s="208">
        <v>-403527</v>
      </c>
      <c r="Z237" s="208">
        <v>0</v>
      </c>
      <c r="AA237" s="208">
        <v>-403527</v>
      </c>
      <c r="AB237" s="208">
        <v>-5453214</v>
      </c>
      <c r="AC237" s="208">
        <v>0</v>
      </c>
      <c r="AD237" s="208">
        <v>-5453214</v>
      </c>
      <c r="AE237" s="208">
        <v>77811959</v>
      </c>
      <c r="AF237" s="208">
        <v>0</v>
      </c>
      <c r="AG237" s="208">
        <v>77811959</v>
      </c>
      <c r="AH237" s="208">
        <v>0</v>
      </c>
      <c r="AI237" s="208">
        <v>0</v>
      </c>
      <c r="AJ237" s="208">
        <v>1183158</v>
      </c>
      <c r="AK237" s="208">
        <v>0</v>
      </c>
      <c r="AL237" s="208">
        <v>1183158</v>
      </c>
      <c r="AM237" s="208">
        <v>0</v>
      </c>
      <c r="AN237" s="208">
        <v>0</v>
      </c>
      <c r="AO237" s="208">
        <v>0</v>
      </c>
      <c r="AP237" s="208">
        <v>0</v>
      </c>
      <c r="AQ237" s="208">
        <v>0</v>
      </c>
      <c r="AR237" s="208">
        <v>0</v>
      </c>
      <c r="AS237" s="208">
        <v>0</v>
      </c>
      <c r="AT237" s="208">
        <v>0</v>
      </c>
      <c r="AU237" s="208">
        <v>0</v>
      </c>
      <c r="AV237" s="208">
        <v>0</v>
      </c>
      <c r="AW237" s="208">
        <v>0</v>
      </c>
      <c r="AX237" s="208">
        <v>0</v>
      </c>
      <c r="AY237" s="208">
        <v>0</v>
      </c>
      <c r="AZ237" s="208">
        <v>0</v>
      </c>
      <c r="BA237" s="208">
        <v>0</v>
      </c>
      <c r="BB237" s="208">
        <v>0</v>
      </c>
      <c r="BC237" s="208">
        <v>0</v>
      </c>
      <c r="BD237" s="208">
        <v>0</v>
      </c>
      <c r="BE237" s="208">
        <v>0</v>
      </c>
      <c r="BF237" s="208">
        <v>0</v>
      </c>
      <c r="BG237" s="208">
        <v>0</v>
      </c>
      <c r="BH237" s="208">
        <v>0</v>
      </c>
      <c r="BI237" s="208">
        <v>0</v>
      </c>
      <c r="BJ237" s="208">
        <v>0</v>
      </c>
      <c r="BK237" s="208">
        <v>0</v>
      </c>
      <c r="BL237" s="208">
        <v>4068093</v>
      </c>
      <c r="BM237" s="208">
        <v>-4004675</v>
      </c>
      <c r="BN237" s="187" t="s">
        <v>551</v>
      </c>
      <c r="BO237" s="187" t="s">
        <v>742</v>
      </c>
      <c r="BP237" s="187" t="s">
        <v>791</v>
      </c>
      <c r="BQ237" s="187" t="s">
        <v>742</v>
      </c>
    </row>
    <row r="238" spans="1:69" x14ac:dyDescent="0.2">
      <c r="A238" s="187" t="s">
        <v>1811</v>
      </c>
      <c r="B238" s="429" t="s">
        <v>554</v>
      </c>
      <c r="C238" s="429" t="s">
        <v>553</v>
      </c>
      <c r="D238" s="208">
        <v>105654660</v>
      </c>
      <c r="E238" s="208">
        <v>0</v>
      </c>
      <c r="F238" s="208">
        <v>105654660</v>
      </c>
      <c r="G238" s="208">
        <v>0</v>
      </c>
      <c r="H238" s="208">
        <v>0</v>
      </c>
      <c r="I238" s="208">
        <v>0</v>
      </c>
      <c r="J238" s="208">
        <v>-784113</v>
      </c>
      <c r="K238" s="208">
        <v>0</v>
      </c>
      <c r="L238" s="208">
        <v>-784113</v>
      </c>
      <c r="M238" s="208">
        <v>0</v>
      </c>
      <c r="N238" s="208">
        <v>0</v>
      </c>
      <c r="O238" s="208">
        <v>0</v>
      </c>
      <c r="P238" s="208">
        <v>-1014847</v>
      </c>
      <c r="Q238" s="208">
        <v>0</v>
      </c>
      <c r="R238" s="208">
        <v>-1014847</v>
      </c>
      <c r="S238" s="208">
        <v>649403</v>
      </c>
      <c r="T238" s="208">
        <v>0</v>
      </c>
      <c r="U238" s="208">
        <v>649403</v>
      </c>
      <c r="V238" s="208">
        <v>1422911</v>
      </c>
      <c r="W238" s="208">
        <v>0</v>
      </c>
      <c r="X238" s="208">
        <v>1422911</v>
      </c>
      <c r="Y238" s="208">
        <v>0</v>
      </c>
      <c r="Z238" s="208">
        <v>0</v>
      </c>
      <c r="AA238" s="208">
        <v>0</v>
      </c>
      <c r="AB238" s="208">
        <v>-2100000</v>
      </c>
      <c r="AC238" s="208">
        <v>0</v>
      </c>
      <c r="AD238" s="208">
        <v>-2100000</v>
      </c>
      <c r="AE238" s="208">
        <v>104612127</v>
      </c>
      <c r="AF238" s="208">
        <v>0</v>
      </c>
      <c r="AG238" s="208">
        <v>104612127</v>
      </c>
      <c r="AH238" s="208">
        <v>0</v>
      </c>
      <c r="AI238" s="208">
        <v>0</v>
      </c>
      <c r="AJ238" s="208">
        <v>0</v>
      </c>
      <c r="AK238" s="208">
        <v>0</v>
      </c>
      <c r="AL238" s="208">
        <v>0</v>
      </c>
      <c r="AM238" s="208">
        <v>0</v>
      </c>
      <c r="AN238" s="208">
        <v>0</v>
      </c>
      <c r="AO238" s="208">
        <v>0</v>
      </c>
      <c r="AP238" s="208">
        <v>0</v>
      </c>
      <c r="AQ238" s="208">
        <v>0</v>
      </c>
      <c r="AR238" s="208">
        <v>0</v>
      </c>
      <c r="AS238" s="208">
        <v>0</v>
      </c>
      <c r="AT238" s="208">
        <v>0</v>
      </c>
      <c r="AU238" s="208">
        <v>0</v>
      </c>
      <c r="AV238" s="208">
        <v>0</v>
      </c>
      <c r="AW238" s="208">
        <v>0</v>
      </c>
      <c r="AX238" s="208">
        <v>0</v>
      </c>
      <c r="AY238" s="208">
        <v>0</v>
      </c>
      <c r="AZ238" s="208">
        <v>0</v>
      </c>
      <c r="BA238" s="208">
        <v>0</v>
      </c>
      <c r="BB238" s="208">
        <v>0</v>
      </c>
      <c r="BC238" s="208">
        <v>0</v>
      </c>
      <c r="BD238" s="208">
        <v>0</v>
      </c>
      <c r="BE238" s="208">
        <v>0</v>
      </c>
      <c r="BF238" s="208">
        <v>0</v>
      </c>
      <c r="BG238" s="208">
        <v>0</v>
      </c>
      <c r="BH238" s="208">
        <v>0</v>
      </c>
      <c r="BI238" s="208">
        <v>0</v>
      </c>
      <c r="BJ238" s="208">
        <v>0</v>
      </c>
      <c r="BK238" s="208">
        <v>0</v>
      </c>
      <c r="BL238" s="208">
        <v>4172544</v>
      </c>
      <c r="BM238" s="208">
        <v>-446631</v>
      </c>
      <c r="BN238" s="187" t="s">
        <v>810</v>
      </c>
      <c r="BO238" s="187" t="s">
        <v>742</v>
      </c>
      <c r="BP238" s="187" t="s">
        <v>755</v>
      </c>
      <c r="BQ238" s="187" t="s">
        <v>742</v>
      </c>
    </row>
    <row r="239" spans="1:69" x14ac:dyDescent="0.2">
      <c r="B239" s="429" t="s">
        <v>556</v>
      </c>
      <c r="C239" s="429" t="s">
        <v>555</v>
      </c>
      <c r="D239" s="208">
        <v>118641579</v>
      </c>
      <c r="E239" s="208">
        <v>0</v>
      </c>
      <c r="F239" s="208">
        <v>118641579</v>
      </c>
      <c r="G239" s="208">
        <v>-154</v>
      </c>
      <c r="H239" s="208">
        <v>0</v>
      </c>
      <c r="I239" s="208">
        <v>-154</v>
      </c>
      <c r="J239" s="208">
        <v>-1253033</v>
      </c>
      <c r="K239" s="208">
        <v>0</v>
      </c>
      <c r="L239" s="208">
        <v>-1253033</v>
      </c>
      <c r="M239" s="208">
        <v>0</v>
      </c>
      <c r="N239" s="208">
        <v>0</v>
      </c>
      <c r="O239" s="208">
        <v>0</v>
      </c>
      <c r="P239" s="208">
        <v>-761698</v>
      </c>
      <c r="Q239" s="208">
        <v>0</v>
      </c>
      <c r="R239" s="208">
        <v>-761698</v>
      </c>
      <c r="S239" s="208">
        <v>1890408</v>
      </c>
      <c r="T239" s="208">
        <v>0</v>
      </c>
      <c r="U239" s="208">
        <v>1890408</v>
      </c>
      <c r="V239" s="208">
        <v>16682</v>
      </c>
      <c r="W239" s="208">
        <v>0</v>
      </c>
      <c r="X239" s="208">
        <v>16682</v>
      </c>
      <c r="Y239" s="208">
        <v>1178188</v>
      </c>
      <c r="Z239" s="208">
        <v>0</v>
      </c>
      <c r="AA239" s="208">
        <v>1178188</v>
      </c>
      <c r="AB239" s="208">
        <v>-2626946</v>
      </c>
      <c r="AC239" s="208">
        <v>0</v>
      </c>
      <c r="AD239" s="208">
        <v>-2626946</v>
      </c>
      <c r="AE239" s="208">
        <v>118338059</v>
      </c>
      <c r="AF239" s="208">
        <v>0</v>
      </c>
      <c r="AG239" s="208">
        <v>118338059</v>
      </c>
      <c r="AH239" s="208">
        <v>0</v>
      </c>
      <c r="AI239" s="208">
        <v>0</v>
      </c>
      <c r="AJ239" s="208">
        <v>0</v>
      </c>
      <c r="AK239" s="208">
        <v>0</v>
      </c>
      <c r="AL239" s="208">
        <v>0</v>
      </c>
      <c r="AM239" s="208">
        <v>0</v>
      </c>
      <c r="AN239" s="208">
        <v>0</v>
      </c>
      <c r="AO239" s="208">
        <v>0</v>
      </c>
      <c r="AP239" s="208">
        <v>0</v>
      </c>
      <c r="AQ239" s="208">
        <v>0</v>
      </c>
      <c r="AR239" s="208">
        <v>0</v>
      </c>
      <c r="AS239" s="208">
        <v>0</v>
      </c>
      <c r="AT239" s="208">
        <v>0</v>
      </c>
      <c r="AU239" s="208">
        <v>0</v>
      </c>
      <c r="AV239" s="208">
        <v>0</v>
      </c>
      <c r="AW239" s="208">
        <v>0</v>
      </c>
      <c r="AX239" s="208">
        <v>0</v>
      </c>
      <c r="AY239" s="208">
        <v>0</v>
      </c>
      <c r="AZ239" s="208">
        <v>0</v>
      </c>
      <c r="BA239" s="208">
        <v>0</v>
      </c>
      <c r="BB239" s="208">
        <v>0</v>
      </c>
      <c r="BC239" s="208">
        <v>0</v>
      </c>
      <c r="BD239" s="208">
        <v>0</v>
      </c>
      <c r="BE239" s="208">
        <v>0</v>
      </c>
      <c r="BF239" s="208">
        <v>0</v>
      </c>
      <c r="BG239" s="208">
        <v>0</v>
      </c>
      <c r="BH239" s="208">
        <v>0</v>
      </c>
      <c r="BI239" s="208">
        <v>0</v>
      </c>
      <c r="BJ239" s="208">
        <v>0</v>
      </c>
      <c r="BK239" s="208">
        <v>0</v>
      </c>
      <c r="BL239" s="208">
        <v>2693712</v>
      </c>
      <c r="BM239" s="208">
        <v>-3253683</v>
      </c>
      <c r="BN239" s="187" t="s">
        <v>555</v>
      </c>
      <c r="BO239" s="187" t="s">
        <v>754</v>
      </c>
      <c r="BP239" s="187" t="s">
        <v>753</v>
      </c>
      <c r="BQ239" s="187" t="s">
        <v>1056</v>
      </c>
    </row>
    <row r="240" spans="1:69" x14ac:dyDescent="0.2">
      <c r="A240" s="188"/>
      <c r="B240" s="429" t="s">
        <v>558</v>
      </c>
      <c r="C240" s="429" t="s">
        <v>557</v>
      </c>
      <c r="D240" s="208">
        <v>32326827</v>
      </c>
      <c r="E240" s="208">
        <v>0</v>
      </c>
      <c r="F240" s="208">
        <v>32326827</v>
      </c>
      <c r="G240" s="208">
        <v>0</v>
      </c>
      <c r="H240" s="208">
        <v>0</v>
      </c>
      <c r="I240" s="208">
        <v>0</v>
      </c>
      <c r="J240" s="208">
        <v>-481731</v>
      </c>
      <c r="K240" s="208">
        <v>0</v>
      </c>
      <c r="L240" s="208">
        <v>-481731</v>
      </c>
      <c r="M240" s="208">
        <v>0</v>
      </c>
      <c r="N240" s="208">
        <v>0</v>
      </c>
      <c r="O240" s="208">
        <v>0</v>
      </c>
      <c r="P240" s="208">
        <v>-319731</v>
      </c>
      <c r="Q240" s="208">
        <v>0</v>
      </c>
      <c r="R240" s="208">
        <v>-319731</v>
      </c>
      <c r="S240" s="208">
        <v>1455658</v>
      </c>
      <c r="T240" s="208">
        <v>0</v>
      </c>
      <c r="U240" s="208">
        <v>1455658</v>
      </c>
      <c r="V240" s="208">
        <v>0</v>
      </c>
      <c r="W240" s="208">
        <v>0</v>
      </c>
      <c r="X240" s="208">
        <v>0</v>
      </c>
      <c r="Y240" s="208">
        <v>-794373</v>
      </c>
      <c r="Z240" s="208">
        <v>0</v>
      </c>
      <c r="AA240" s="208">
        <v>-794373</v>
      </c>
      <c r="AB240" s="208">
        <v>-721493</v>
      </c>
      <c r="AC240" s="208">
        <v>0</v>
      </c>
      <c r="AD240" s="208">
        <v>-721493</v>
      </c>
      <c r="AE240" s="208">
        <v>31946888</v>
      </c>
      <c r="AF240" s="208">
        <v>0</v>
      </c>
      <c r="AG240" s="208">
        <v>31946888</v>
      </c>
      <c r="AH240" s="208">
        <v>0</v>
      </c>
      <c r="AI240" s="208">
        <v>0</v>
      </c>
      <c r="AJ240" s="208">
        <v>0</v>
      </c>
      <c r="AK240" s="208">
        <v>0</v>
      </c>
      <c r="AL240" s="208">
        <v>0</v>
      </c>
      <c r="AM240" s="208">
        <v>0</v>
      </c>
      <c r="AN240" s="208">
        <v>0</v>
      </c>
      <c r="AO240" s="208">
        <v>0</v>
      </c>
      <c r="AP240" s="208">
        <v>0</v>
      </c>
      <c r="AQ240" s="208">
        <v>0</v>
      </c>
      <c r="AR240" s="208">
        <v>0</v>
      </c>
      <c r="AS240" s="208">
        <v>0</v>
      </c>
      <c r="AT240" s="208">
        <v>0</v>
      </c>
      <c r="AU240" s="208">
        <v>0</v>
      </c>
      <c r="AV240" s="208">
        <v>0</v>
      </c>
      <c r="AW240" s="208">
        <v>0</v>
      </c>
      <c r="AX240" s="208">
        <v>0</v>
      </c>
      <c r="AY240" s="208">
        <v>0</v>
      </c>
      <c r="AZ240" s="208">
        <v>0</v>
      </c>
      <c r="BA240" s="208">
        <v>0</v>
      </c>
      <c r="BB240" s="208">
        <v>0</v>
      </c>
      <c r="BC240" s="208">
        <v>0</v>
      </c>
      <c r="BD240" s="208">
        <v>0</v>
      </c>
      <c r="BE240" s="208">
        <v>0</v>
      </c>
      <c r="BF240" s="208">
        <v>0</v>
      </c>
      <c r="BG240" s="208">
        <v>0</v>
      </c>
      <c r="BH240" s="208">
        <v>0</v>
      </c>
      <c r="BI240" s="208">
        <v>0</v>
      </c>
      <c r="BJ240" s="208">
        <v>0</v>
      </c>
      <c r="BK240" s="208">
        <v>0</v>
      </c>
      <c r="BL240" s="208">
        <v>1665975</v>
      </c>
      <c r="BM240" s="208">
        <v>-1344753</v>
      </c>
      <c r="BN240" s="187" t="s">
        <v>557</v>
      </c>
      <c r="BO240" s="187" t="s">
        <v>750</v>
      </c>
      <c r="BP240" s="187" t="s">
        <v>749</v>
      </c>
      <c r="BQ240" s="187" t="s">
        <v>1054</v>
      </c>
    </row>
    <row r="241" spans="1:69" x14ac:dyDescent="0.2">
      <c r="B241" s="429" t="s">
        <v>560</v>
      </c>
      <c r="C241" s="429" t="s">
        <v>559</v>
      </c>
      <c r="D241" s="208">
        <v>88851441</v>
      </c>
      <c r="E241" s="208">
        <v>752412</v>
      </c>
      <c r="F241" s="208">
        <v>89603853</v>
      </c>
      <c r="G241" s="208">
        <v>0</v>
      </c>
      <c r="H241" s="208">
        <v>0</v>
      </c>
      <c r="I241" s="208">
        <v>0</v>
      </c>
      <c r="J241" s="208">
        <v>-109713</v>
      </c>
      <c r="K241" s="208">
        <v>0</v>
      </c>
      <c r="L241" s="208">
        <v>-109713</v>
      </c>
      <c r="M241" s="208">
        <v>963</v>
      </c>
      <c r="N241" s="208">
        <v>0</v>
      </c>
      <c r="O241" s="208">
        <v>963</v>
      </c>
      <c r="P241" s="208">
        <v>-105883</v>
      </c>
      <c r="Q241" s="208">
        <v>0</v>
      </c>
      <c r="R241" s="208">
        <v>-105883</v>
      </c>
      <c r="S241" s="208">
        <v>472934</v>
      </c>
      <c r="T241" s="208">
        <v>0</v>
      </c>
      <c r="U241" s="208">
        <v>472934</v>
      </c>
      <c r="V241" s="208">
        <v>0</v>
      </c>
      <c r="W241" s="208">
        <v>0</v>
      </c>
      <c r="X241" s="208">
        <v>0</v>
      </c>
      <c r="Y241" s="208">
        <v>0</v>
      </c>
      <c r="Z241" s="208">
        <v>0</v>
      </c>
      <c r="AA241" s="208">
        <v>0</v>
      </c>
      <c r="AB241" s="208">
        <v>-2131977</v>
      </c>
      <c r="AC241" s="208">
        <v>0</v>
      </c>
      <c r="AD241" s="208">
        <v>-2131977</v>
      </c>
      <c r="AE241" s="208">
        <v>87087478</v>
      </c>
      <c r="AF241" s="208">
        <v>752412</v>
      </c>
      <c r="AG241" s="208">
        <v>87839890</v>
      </c>
      <c r="AH241" s="208">
        <v>752412</v>
      </c>
      <c r="AI241" s="208">
        <v>752412</v>
      </c>
      <c r="AJ241" s="208">
        <v>834462</v>
      </c>
      <c r="AK241" s="208">
        <v>0</v>
      </c>
      <c r="AL241" s="208">
        <v>834462</v>
      </c>
      <c r="AM241" s="208">
        <v>0</v>
      </c>
      <c r="AN241" s="208">
        <v>0</v>
      </c>
      <c r="AO241" s="208">
        <v>0</v>
      </c>
      <c r="AP241" s="208">
        <v>0</v>
      </c>
      <c r="AQ241" s="208">
        <v>0</v>
      </c>
      <c r="AR241" s="208">
        <v>0</v>
      </c>
      <c r="AS241" s="208">
        <v>0</v>
      </c>
      <c r="AT241" s="208">
        <v>752412</v>
      </c>
      <c r="AU241" s="208">
        <v>0</v>
      </c>
      <c r="AV241" s="208">
        <v>0</v>
      </c>
      <c r="AW241" s="208">
        <v>0</v>
      </c>
      <c r="AX241" s="208">
        <v>0</v>
      </c>
      <c r="AY241" s="208">
        <v>0</v>
      </c>
      <c r="AZ241" s="208">
        <v>0</v>
      </c>
      <c r="BA241" s="208">
        <v>0</v>
      </c>
      <c r="BB241" s="208">
        <v>0</v>
      </c>
      <c r="BC241" s="208">
        <v>0</v>
      </c>
      <c r="BD241" s="208">
        <v>0</v>
      </c>
      <c r="BE241" s="208">
        <v>0</v>
      </c>
      <c r="BF241" s="208">
        <v>0</v>
      </c>
      <c r="BG241" s="208">
        <v>0</v>
      </c>
      <c r="BH241" s="208">
        <v>0</v>
      </c>
      <c r="BI241" s="208">
        <v>0</v>
      </c>
      <c r="BJ241" s="208">
        <v>0</v>
      </c>
      <c r="BK241" s="208">
        <v>0</v>
      </c>
      <c r="BL241" s="208">
        <v>655515</v>
      </c>
      <c r="BM241" s="208">
        <v>-2228962</v>
      </c>
      <c r="BN241" s="187" t="s">
        <v>559</v>
      </c>
      <c r="BO241" s="187" t="s">
        <v>809</v>
      </c>
      <c r="BP241" s="187" t="s">
        <v>808</v>
      </c>
      <c r="BQ241" s="187" t="s">
        <v>1054</v>
      </c>
    </row>
    <row r="242" spans="1:69" x14ac:dyDescent="0.2">
      <c r="A242" s="188"/>
      <c r="B242" s="429" t="s">
        <v>562</v>
      </c>
      <c r="C242" s="429" t="s">
        <v>561</v>
      </c>
      <c r="D242" s="208">
        <v>25226107</v>
      </c>
      <c r="E242" s="208">
        <v>0</v>
      </c>
      <c r="F242" s="208">
        <v>25226107</v>
      </c>
      <c r="G242" s="208">
        <v>0</v>
      </c>
      <c r="H242" s="208">
        <v>0</v>
      </c>
      <c r="I242" s="208">
        <v>0</v>
      </c>
      <c r="J242" s="208">
        <v>-141661</v>
      </c>
      <c r="K242" s="208">
        <v>0</v>
      </c>
      <c r="L242" s="208">
        <v>-141661</v>
      </c>
      <c r="M242" s="208">
        <v>0</v>
      </c>
      <c r="N242" s="208">
        <v>0</v>
      </c>
      <c r="O242" s="208">
        <v>0</v>
      </c>
      <c r="P242" s="208">
        <v>-250106</v>
      </c>
      <c r="Q242" s="208">
        <v>0</v>
      </c>
      <c r="R242" s="208">
        <v>-250106</v>
      </c>
      <c r="S242" s="208">
        <v>359868</v>
      </c>
      <c r="T242" s="208">
        <v>0</v>
      </c>
      <c r="U242" s="208">
        <v>359868</v>
      </c>
      <c r="V242" s="208">
        <v>0</v>
      </c>
      <c r="W242" s="208">
        <v>0</v>
      </c>
      <c r="X242" s="208">
        <v>0</v>
      </c>
      <c r="Y242" s="208">
        <v>-258095</v>
      </c>
      <c r="Z242" s="208">
        <v>0</v>
      </c>
      <c r="AA242" s="208">
        <v>-258095</v>
      </c>
      <c r="AB242" s="208">
        <v>-29644</v>
      </c>
      <c r="AC242" s="208">
        <v>0</v>
      </c>
      <c r="AD242" s="208">
        <v>-29644</v>
      </c>
      <c r="AE242" s="208">
        <v>25048130</v>
      </c>
      <c r="AF242" s="208">
        <v>0</v>
      </c>
      <c r="AG242" s="208">
        <v>25048130</v>
      </c>
      <c r="AH242" s="208">
        <v>0</v>
      </c>
      <c r="AI242" s="208">
        <v>0</v>
      </c>
      <c r="AJ242" s="208">
        <v>0</v>
      </c>
      <c r="AK242" s="208">
        <v>0</v>
      </c>
      <c r="AL242" s="208">
        <v>0</v>
      </c>
      <c r="AM242" s="208">
        <v>0</v>
      </c>
      <c r="AN242" s="208">
        <v>0</v>
      </c>
      <c r="AO242" s="208">
        <v>0</v>
      </c>
      <c r="AP242" s="208">
        <v>0</v>
      </c>
      <c r="AQ242" s="208">
        <v>0</v>
      </c>
      <c r="AR242" s="208">
        <v>0</v>
      </c>
      <c r="AS242" s="208">
        <v>0</v>
      </c>
      <c r="AT242" s="208">
        <v>0</v>
      </c>
      <c r="AU242" s="208">
        <v>0</v>
      </c>
      <c r="AV242" s="208">
        <v>0</v>
      </c>
      <c r="AW242" s="208">
        <v>0</v>
      </c>
      <c r="AX242" s="208">
        <v>0</v>
      </c>
      <c r="AY242" s="208">
        <v>0</v>
      </c>
      <c r="AZ242" s="208">
        <v>0</v>
      </c>
      <c r="BA242" s="208">
        <v>0</v>
      </c>
      <c r="BB242" s="208">
        <v>0</v>
      </c>
      <c r="BC242" s="208">
        <v>0</v>
      </c>
      <c r="BD242" s="208">
        <v>0</v>
      </c>
      <c r="BE242" s="208">
        <v>0</v>
      </c>
      <c r="BF242" s="208">
        <v>0</v>
      </c>
      <c r="BG242" s="208">
        <v>0</v>
      </c>
      <c r="BH242" s="208">
        <v>0</v>
      </c>
      <c r="BI242" s="208">
        <v>0</v>
      </c>
      <c r="BJ242" s="208">
        <v>0</v>
      </c>
      <c r="BK242" s="208">
        <v>0</v>
      </c>
      <c r="BL242" s="208">
        <v>1867224</v>
      </c>
      <c r="BM242" s="208">
        <v>-551418</v>
      </c>
      <c r="BN242" s="187" t="s">
        <v>561</v>
      </c>
      <c r="BO242" s="187" t="s">
        <v>807</v>
      </c>
      <c r="BP242" s="187" t="s">
        <v>806</v>
      </c>
      <c r="BQ242" s="187" t="s">
        <v>1054</v>
      </c>
    </row>
    <row r="243" spans="1:69" x14ac:dyDescent="0.2">
      <c r="B243" s="429" t="s">
        <v>564</v>
      </c>
      <c r="C243" s="429" t="s">
        <v>563</v>
      </c>
      <c r="D243" s="208">
        <v>133719273</v>
      </c>
      <c r="E243" s="208">
        <v>13588773</v>
      </c>
      <c r="F243" s="208">
        <v>147308046</v>
      </c>
      <c r="G243" s="208">
        <v>0</v>
      </c>
      <c r="H243" s="208">
        <v>0</v>
      </c>
      <c r="I243" s="208">
        <v>0</v>
      </c>
      <c r="J243" s="208">
        <v>-616556</v>
      </c>
      <c r="K243" s="208">
        <v>0</v>
      </c>
      <c r="L243" s="208">
        <v>-616556</v>
      </c>
      <c r="M243" s="208">
        <v>0</v>
      </c>
      <c r="N243" s="208">
        <v>0</v>
      </c>
      <c r="O243" s="208">
        <v>0</v>
      </c>
      <c r="P243" s="208">
        <v>-316556</v>
      </c>
      <c r="Q243" s="208">
        <v>0</v>
      </c>
      <c r="R243" s="208">
        <v>-316556</v>
      </c>
      <c r="S243" s="208">
        <v>976436</v>
      </c>
      <c r="T243" s="208">
        <v>28107</v>
      </c>
      <c r="U243" s="208">
        <v>1004543</v>
      </c>
      <c r="V243" s="208">
        <v>0</v>
      </c>
      <c r="W243" s="208">
        <v>0</v>
      </c>
      <c r="X243" s="208">
        <v>0</v>
      </c>
      <c r="Y243" s="208">
        <v>7440258</v>
      </c>
      <c r="Z243" s="208">
        <v>-22295</v>
      </c>
      <c r="AA243" s="208">
        <v>7417963</v>
      </c>
      <c r="AB243" s="208">
        <v>-6284806</v>
      </c>
      <c r="AC243" s="208">
        <v>-638673</v>
      </c>
      <c r="AD243" s="208">
        <v>-6923479</v>
      </c>
      <c r="AE243" s="208">
        <v>135534605</v>
      </c>
      <c r="AF243" s="208">
        <v>12955912</v>
      </c>
      <c r="AG243" s="208">
        <v>148490517</v>
      </c>
      <c r="AH243" s="208">
        <v>12955912</v>
      </c>
      <c r="AI243" s="208">
        <v>12955912</v>
      </c>
      <c r="AJ243" s="208">
        <v>287330</v>
      </c>
      <c r="AK243" s="208">
        <v>288319</v>
      </c>
      <c r="AL243" s="208">
        <v>575649</v>
      </c>
      <c r="AM243" s="208">
        <v>0</v>
      </c>
      <c r="AN243" s="208">
        <v>0</v>
      </c>
      <c r="AO243" s="208">
        <v>0</v>
      </c>
      <c r="AP243" s="208">
        <v>-153009</v>
      </c>
      <c r="AQ243" s="208">
        <v>-153009</v>
      </c>
      <c r="AR243" s="208">
        <v>714250</v>
      </c>
      <c r="AS243" s="208">
        <v>714250</v>
      </c>
      <c r="AT243" s="208">
        <v>11800334</v>
      </c>
      <c r="AU243" s="208">
        <v>0</v>
      </c>
      <c r="AV243" s="208">
        <v>0</v>
      </c>
      <c r="AW243" s="208">
        <v>0</v>
      </c>
      <c r="AX243" s="208">
        <v>0</v>
      </c>
      <c r="AY243" s="208">
        <v>0</v>
      </c>
      <c r="AZ243" s="208">
        <v>0</v>
      </c>
      <c r="BA243" s="208">
        <v>0</v>
      </c>
      <c r="BB243" s="208">
        <v>0</v>
      </c>
      <c r="BC243" s="208">
        <v>0</v>
      </c>
      <c r="BD243" s="208">
        <v>0</v>
      </c>
      <c r="BE243" s="208">
        <v>0</v>
      </c>
      <c r="BF243" s="208">
        <v>0</v>
      </c>
      <c r="BG243" s="208">
        <v>0</v>
      </c>
      <c r="BH243" s="208">
        <v>0</v>
      </c>
      <c r="BI243" s="208">
        <v>0</v>
      </c>
      <c r="BJ243" s="208">
        <v>0</v>
      </c>
      <c r="BK243" s="208">
        <v>0</v>
      </c>
      <c r="BL243" s="208">
        <v>2604611</v>
      </c>
      <c r="BM243" s="208">
        <v>-5367136</v>
      </c>
      <c r="BN243" s="187" t="s">
        <v>805</v>
      </c>
      <c r="BO243" s="187" t="s">
        <v>742</v>
      </c>
      <c r="BP243" s="187" t="s">
        <v>804</v>
      </c>
      <c r="BQ243" s="187" t="s">
        <v>742</v>
      </c>
    </row>
    <row r="244" spans="1:69" x14ac:dyDescent="0.2">
      <c r="B244" s="429" t="s">
        <v>566</v>
      </c>
      <c r="C244" s="429" t="s">
        <v>565</v>
      </c>
      <c r="D244" s="208">
        <v>30648038</v>
      </c>
      <c r="E244" s="208">
        <v>0</v>
      </c>
      <c r="F244" s="208">
        <v>30648038</v>
      </c>
      <c r="G244" s="208">
        <v>0</v>
      </c>
      <c r="H244" s="208">
        <v>0</v>
      </c>
      <c r="I244" s="208">
        <v>0</v>
      </c>
      <c r="J244" s="208">
        <v>-67324</v>
      </c>
      <c r="K244" s="208">
        <v>0</v>
      </c>
      <c r="L244" s="208">
        <v>-67324</v>
      </c>
      <c r="M244" s="208">
        <v>0</v>
      </c>
      <c r="N244" s="208">
        <v>0</v>
      </c>
      <c r="O244" s="208">
        <v>0</v>
      </c>
      <c r="P244" s="208">
        <v>-208844</v>
      </c>
      <c r="Q244" s="208">
        <v>0</v>
      </c>
      <c r="R244" s="208">
        <v>-208844</v>
      </c>
      <c r="S244" s="208">
        <v>153445</v>
      </c>
      <c r="T244" s="208">
        <v>0</v>
      </c>
      <c r="U244" s="208">
        <v>153445</v>
      </c>
      <c r="V244" s="208">
        <v>202574</v>
      </c>
      <c r="W244" s="208">
        <v>0</v>
      </c>
      <c r="X244" s="208">
        <v>202574</v>
      </c>
      <c r="Y244" s="208">
        <v>-209391</v>
      </c>
      <c r="Z244" s="208">
        <v>0</v>
      </c>
      <c r="AA244" s="208">
        <v>-209391</v>
      </c>
      <c r="AB244" s="208">
        <v>752470</v>
      </c>
      <c r="AC244" s="208">
        <v>0</v>
      </c>
      <c r="AD244" s="208">
        <v>752470</v>
      </c>
      <c r="AE244" s="208">
        <v>31338292</v>
      </c>
      <c r="AF244" s="208">
        <v>0</v>
      </c>
      <c r="AG244" s="208">
        <v>31338292</v>
      </c>
      <c r="AH244" s="208">
        <v>0</v>
      </c>
      <c r="AI244" s="208">
        <v>0</v>
      </c>
      <c r="AJ244" s="208">
        <v>0</v>
      </c>
      <c r="AK244" s="208">
        <v>0</v>
      </c>
      <c r="AL244" s="208">
        <v>0</v>
      </c>
      <c r="AM244" s="208">
        <v>0</v>
      </c>
      <c r="AN244" s="208">
        <v>0</v>
      </c>
      <c r="AO244" s="208">
        <v>0</v>
      </c>
      <c r="AP244" s="208">
        <v>0</v>
      </c>
      <c r="AQ244" s="208">
        <v>0</v>
      </c>
      <c r="AR244" s="208">
        <v>0</v>
      </c>
      <c r="AS244" s="208">
        <v>0</v>
      </c>
      <c r="AT244" s="208">
        <v>0</v>
      </c>
      <c r="AU244" s="208">
        <v>0</v>
      </c>
      <c r="AV244" s="208">
        <v>0</v>
      </c>
      <c r="AW244" s="208">
        <v>0</v>
      </c>
      <c r="AX244" s="208">
        <v>0</v>
      </c>
      <c r="AY244" s="208">
        <v>0</v>
      </c>
      <c r="AZ244" s="208">
        <v>0</v>
      </c>
      <c r="BA244" s="208">
        <v>0</v>
      </c>
      <c r="BB244" s="208">
        <v>0</v>
      </c>
      <c r="BC244" s="208">
        <v>0</v>
      </c>
      <c r="BD244" s="208">
        <v>0</v>
      </c>
      <c r="BE244" s="208">
        <v>0</v>
      </c>
      <c r="BF244" s="208">
        <v>0</v>
      </c>
      <c r="BG244" s="208">
        <v>0</v>
      </c>
      <c r="BH244" s="208">
        <v>0</v>
      </c>
      <c r="BI244" s="208">
        <v>0</v>
      </c>
      <c r="BJ244" s="208">
        <v>0</v>
      </c>
      <c r="BK244" s="208">
        <v>0</v>
      </c>
      <c r="BL244" s="208">
        <v>1957367</v>
      </c>
      <c r="BM244" s="208">
        <v>-558104</v>
      </c>
      <c r="BN244" s="187" t="s">
        <v>565</v>
      </c>
      <c r="BO244" s="187" t="s">
        <v>772</v>
      </c>
      <c r="BP244" s="187" t="s">
        <v>768</v>
      </c>
      <c r="BQ244" s="187" t="s">
        <v>1054</v>
      </c>
    </row>
    <row r="245" spans="1:69" x14ac:dyDescent="0.2">
      <c r="B245" s="429" t="s">
        <v>568</v>
      </c>
      <c r="C245" s="429" t="s">
        <v>567</v>
      </c>
      <c r="D245" s="208">
        <v>26612070</v>
      </c>
      <c r="E245" s="208">
        <v>0</v>
      </c>
      <c r="F245" s="208">
        <v>26612070</v>
      </c>
      <c r="G245" s="208">
        <v>0</v>
      </c>
      <c r="H245" s="208">
        <v>0</v>
      </c>
      <c r="I245" s="208">
        <v>0</v>
      </c>
      <c r="J245" s="208">
        <v>-2827</v>
      </c>
      <c r="K245" s="208">
        <v>0</v>
      </c>
      <c r="L245" s="208">
        <v>-2827</v>
      </c>
      <c r="M245" s="208">
        <v>0</v>
      </c>
      <c r="N245" s="208">
        <v>0</v>
      </c>
      <c r="O245" s="208">
        <v>0</v>
      </c>
      <c r="P245" s="208">
        <v>-78748</v>
      </c>
      <c r="Q245" s="208">
        <v>0</v>
      </c>
      <c r="R245" s="208">
        <v>-78748</v>
      </c>
      <c r="S245" s="208">
        <v>103225</v>
      </c>
      <c r="T245" s="208">
        <v>0</v>
      </c>
      <c r="U245" s="208">
        <v>103225</v>
      </c>
      <c r="V245" s="208">
        <v>0</v>
      </c>
      <c r="W245" s="208">
        <v>0</v>
      </c>
      <c r="X245" s="208">
        <v>0</v>
      </c>
      <c r="Y245" s="208">
        <v>464234</v>
      </c>
      <c r="Z245" s="208">
        <v>0</v>
      </c>
      <c r="AA245" s="208">
        <v>464234</v>
      </c>
      <c r="AB245" s="208">
        <v>734541</v>
      </c>
      <c r="AC245" s="208">
        <v>0</v>
      </c>
      <c r="AD245" s="208">
        <v>734541</v>
      </c>
      <c r="AE245" s="208">
        <v>27835322</v>
      </c>
      <c r="AF245" s="208">
        <v>0</v>
      </c>
      <c r="AG245" s="208">
        <v>27835322</v>
      </c>
      <c r="AH245" s="208">
        <v>0</v>
      </c>
      <c r="AI245" s="208">
        <v>0</v>
      </c>
      <c r="AJ245" s="208">
        <v>302265</v>
      </c>
      <c r="AK245" s="208">
        <v>0</v>
      </c>
      <c r="AL245" s="208">
        <v>302265</v>
      </c>
      <c r="AM245" s="208">
        <v>0</v>
      </c>
      <c r="AN245" s="208">
        <v>0</v>
      </c>
      <c r="AO245" s="208">
        <v>0</v>
      </c>
      <c r="AP245" s="208">
        <v>0</v>
      </c>
      <c r="AQ245" s="208">
        <v>0</v>
      </c>
      <c r="AR245" s="208">
        <v>0</v>
      </c>
      <c r="AS245" s="208">
        <v>0</v>
      </c>
      <c r="AT245" s="208">
        <v>0</v>
      </c>
      <c r="AU245" s="208">
        <v>0</v>
      </c>
      <c r="AV245" s="208">
        <v>0</v>
      </c>
      <c r="AW245" s="208">
        <v>0</v>
      </c>
      <c r="AX245" s="208">
        <v>0</v>
      </c>
      <c r="AY245" s="208">
        <v>0</v>
      </c>
      <c r="AZ245" s="208">
        <v>0</v>
      </c>
      <c r="BA245" s="208">
        <v>0</v>
      </c>
      <c r="BB245" s="208">
        <v>0</v>
      </c>
      <c r="BC245" s="208">
        <v>0</v>
      </c>
      <c r="BD245" s="208">
        <v>0</v>
      </c>
      <c r="BE245" s="208">
        <v>0</v>
      </c>
      <c r="BF245" s="208">
        <v>0</v>
      </c>
      <c r="BG245" s="208">
        <v>0</v>
      </c>
      <c r="BH245" s="208">
        <v>0</v>
      </c>
      <c r="BI245" s="208">
        <v>0</v>
      </c>
      <c r="BJ245" s="208">
        <v>0</v>
      </c>
      <c r="BK245" s="208">
        <v>0</v>
      </c>
      <c r="BL245" s="208">
        <v>1020627</v>
      </c>
      <c r="BM245" s="208">
        <v>-359800</v>
      </c>
      <c r="BN245" s="187" t="s">
        <v>567</v>
      </c>
      <c r="BO245" s="187" t="s">
        <v>771</v>
      </c>
      <c r="BP245" s="187" t="s">
        <v>751</v>
      </c>
      <c r="BQ245" s="187" t="s">
        <v>1054</v>
      </c>
    </row>
    <row r="246" spans="1:69" x14ac:dyDescent="0.2">
      <c r="B246" s="429" t="s">
        <v>570</v>
      </c>
      <c r="C246" s="429" t="s">
        <v>569</v>
      </c>
      <c r="D246" s="208">
        <v>42380035</v>
      </c>
      <c r="E246" s="208">
        <v>0</v>
      </c>
      <c r="F246" s="208">
        <v>42380035</v>
      </c>
      <c r="G246" s="208">
        <v>0</v>
      </c>
      <c r="H246" s="208">
        <v>0</v>
      </c>
      <c r="I246" s="208">
        <v>0</v>
      </c>
      <c r="J246" s="208">
        <v>0</v>
      </c>
      <c r="K246" s="208">
        <v>0</v>
      </c>
      <c r="L246" s="208">
        <v>0</v>
      </c>
      <c r="M246" s="208">
        <v>-145609</v>
      </c>
      <c r="N246" s="208">
        <v>0</v>
      </c>
      <c r="O246" s="208">
        <v>-145609</v>
      </c>
      <c r="P246" s="208">
        <v>20000</v>
      </c>
      <c r="Q246" s="208">
        <v>0</v>
      </c>
      <c r="R246" s="208">
        <v>20000</v>
      </c>
      <c r="S246" s="208">
        <v>548422</v>
      </c>
      <c r="T246" s="208">
        <v>0</v>
      </c>
      <c r="U246" s="208">
        <v>548422</v>
      </c>
      <c r="V246" s="208">
        <v>0</v>
      </c>
      <c r="W246" s="208">
        <v>0</v>
      </c>
      <c r="X246" s="208">
        <v>0</v>
      </c>
      <c r="Y246" s="208">
        <v>0</v>
      </c>
      <c r="Z246" s="208">
        <v>0</v>
      </c>
      <c r="AA246" s="208">
        <v>0</v>
      </c>
      <c r="AB246" s="208">
        <v>342072</v>
      </c>
      <c r="AC246" s="208">
        <v>0</v>
      </c>
      <c r="AD246" s="208">
        <v>342072</v>
      </c>
      <c r="AE246" s="208">
        <v>43144920</v>
      </c>
      <c r="AF246" s="208">
        <v>0</v>
      </c>
      <c r="AG246" s="208">
        <v>43144920</v>
      </c>
      <c r="AH246" s="208">
        <v>0</v>
      </c>
      <c r="AI246" s="208">
        <v>0</v>
      </c>
      <c r="AJ246" s="208">
        <v>0</v>
      </c>
      <c r="AK246" s="208">
        <v>0</v>
      </c>
      <c r="AL246" s="208">
        <v>0</v>
      </c>
      <c r="AM246" s="208">
        <v>0</v>
      </c>
      <c r="AN246" s="208">
        <v>0</v>
      </c>
      <c r="AO246" s="208">
        <v>0</v>
      </c>
      <c r="AP246" s="208">
        <v>0</v>
      </c>
      <c r="AQ246" s="208">
        <v>0</v>
      </c>
      <c r="AR246" s="208">
        <v>0</v>
      </c>
      <c r="AS246" s="208">
        <v>0</v>
      </c>
      <c r="AT246" s="208">
        <v>0</v>
      </c>
      <c r="AU246" s="208">
        <v>0</v>
      </c>
      <c r="AV246" s="208">
        <v>0</v>
      </c>
      <c r="AW246" s="208">
        <v>0</v>
      </c>
      <c r="AX246" s="208">
        <v>0</v>
      </c>
      <c r="AY246" s="208">
        <v>0</v>
      </c>
      <c r="AZ246" s="208">
        <v>0</v>
      </c>
      <c r="BA246" s="208">
        <v>0</v>
      </c>
      <c r="BB246" s="208">
        <v>0</v>
      </c>
      <c r="BC246" s="208">
        <v>0</v>
      </c>
      <c r="BD246" s="208">
        <v>0</v>
      </c>
      <c r="BE246" s="208">
        <v>0</v>
      </c>
      <c r="BF246" s="208">
        <v>0</v>
      </c>
      <c r="BG246" s="208">
        <v>0</v>
      </c>
      <c r="BH246" s="208">
        <v>0</v>
      </c>
      <c r="BI246" s="208">
        <v>0</v>
      </c>
      <c r="BJ246" s="208">
        <v>0</v>
      </c>
      <c r="BK246" s="208">
        <v>0</v>
      </c>
      <c r="BL246" s="208">
        <v>1165293</v>
      </c>
      <c r="BM246" s="208">
        <v>-817151</v>
      </c>
      <c r="BN246" s="187" t="s">
        <v>569</v>
      </c>
      <c r="BO246" s="187" t="s">
        <v>771</v>
      </c>
      <c r="BP246" s="187" t="s">
        <v>751</v>
      </c>
      <c r="BQ246" s="187" t="s">
        <v>1054</v>
      </c>
    </row>
    <row r="247" spans="1:69" x14ac:dyDescent="0.2">
      <c r="B247" s="429" t="s">
        <v>572</v>
      </c>
      <c r="C247" s="429" t="s">
        <v>571</v>
      </c>
      <c r="D247" s="208">
        <v>42868669</v>
      </c>
      <c r="E247" s="208">
        <v>0</v>
      </c>
      <c r="F247" s="208">
        <v>42868669</v>
      </c>
      <c r="G247" s="208">
        <v>0</v>
      </c>
      <c r="H247" s="208">
        <v>0</v>
      </c>
      <c r="I247" s="208">
        <v>0</v>
      </c>
      <c r="J247" s="208">
        <v>-189356</v>
      </c>
      <c r="K247" s="208">
        <v>0</v>
      </c>
      <c r="L247" s="208">
        <v>-189356</v>
      </c>
      <c r="M247" s="208">
        <v>0</v>
      </c>
      <c r="N247" s="208">
        <v>0</v>
      </c>
      <c r="O247" s="208">
        <v>0</v>
      </c>
      <c r="P247" s="208">
        <v>-450735</v>
      </c>
      <c r="Q247" s="208">
        <v>0</v>
      </c>
      <c r="R247" s="208">
        <v>-450735</v>
      </c>
      <c r="S247" s="208">
        <v>332048</v>
      </c>
      <c r="T247" s="208">
        <v>0</v>
      </c>
      <c r="U247" s="208">
        <v>332048</v>
      </c>
      <c r="V247" s="208">
        <v>150964</v>
      </c>
      <c r="W247" s="208">
        <v>0</v>
      </c>
      <c r="X247" s="208">
        <v>150964</v>
      </c>
      <c r="Y247" s="208">
        <v>-51550</v>
      </c>
      <c r="Z247" s="208">
        <v>0</v>
      </c>
      <c r="AA247" s="208">
        <v>-51550</v>
      </c>
      <c r="AB247" s="208">
        <v>-121987</v>
      </c>
      <c r="AC247" s="208">
        <v>0</v>
      </c>
      <c r="AD247" s="208">
        <v>-121987</v>
      </c>
      <c r="AE247" s="208">
        <v>42727409</v>
      </c>
      <c r="AF247" s="208">
        <v>0</v>
      </c>
      <c r="AG247" s="208">
        <v>42727409</v>
      </c>
      <c r="AH247" s="208">
        <v>0</v>
      </c>
      <c r="AI247" s="208">
        <v>0</v>
      </c>
      <c r="AJ247" s="208">
        <v>0</v>
      </c>
      <c r="AK247" s="208">
        <v>0</v>
      </c>
      <c r="AL247" s="208">
        <v>0</v>
      </c>
      <c r="AM247" s="208">
        <v>0</v>
      </c>
      <c r="AN247" s="208">
        <v>0</v>
      </c>
      <c r="AO247" s="208">
        <v>0</v>
      </c>
      <c r="AP247" s="208">
        <v>0</v>
      </c>
      <c r="AQ247" s="208">
        <v>0</v>
      </c>
      <c r="AR247" s="208">
        <v>0</v>
      </c>
      <c r="AS247" s="208">
        <v>0</v>
      </c>
      <c r="AT247" s="208">
        <v>0</v>
      </c>
      <c r="AU247" s="208">
        <v>0</v>
      </c>
      <c r="AV247" s="208">
        <v>0</v>
      </c>
      <c r="AW247" s="208">
        <v>0</v>
      </c>
      <c r="AX247" s="208">
        <v>0</v>
      </c>
      <c r="AY247" s="208">
        <v>0</v>
      </c>
      <c r="AZ247" s="208">
        <v>0</v>
      </c>
      <c r="BA247" s="208">
        <v>0</v>
      </c>
      <c r="BB247" s="208">
        <v>0</v>
      </c>
      <c r="BC247" s="208">
        <v>0</v>
      </c>
      <c r="BD247" s="208">
        <v>0</v>
      </c>
      <c r="BE247" s="208">
        <v>0</v>
      </c>
      <c r="BF247" s="208">
        <v>0</v>
      </c>
      <c r="BG247" s="208">
        <v>0</v>
      </c>
      <c r="BH247" s="208">
        <v>0</v>
      </c>
      <c r="BI247" s="208">
        <v>0</v>
      </c>
      <c r="BJ247" s="208">
        <v>0</v>
      </c>
      <c r="BK247" s="208">
        <v>0</v>
      </c>
      <c r="BL247" s="208">
        <v>2075258</v>
      </c>
      <c r="BM247" s="208">
        <v>-669638</v>
      </c>
      <c r="BN247" s="187" t="s">
        <v>571</v>
      </c>
      <c r="BO247" s="187" t="s">
        <v>803</v>
      </c>
      <c r="BP247" s="187" t="s">
        <v>751</v>
      </c>
      <c r="BQ247" s="187" t="s">
        <v>1054</v>
      </c>
    </row>
    <row r="248" spans="1:69" x14ac:dyDescent="0.2">
      <c r="B248" s="429" t="s">
        <v>574</v>
      </c>
      <c r="C248" s="429" t="s">
        <v>573</v>
      </c>
      <c r="D248" s="208">
        <v>30109506</v>
      </c>
      <c r="E248" s="208">
        <v>12248</v>
      </c>
      <c r="F248" s="208">
        <v>30121754</v>
      </c>
      <c r="G248" s="208">
        <v>0</v>
      </c>
      <c r="H248" s="208">
        <v>0</v>
      </c>
      <c r="I248" s="208">
        <v>0</v>
      </c>
      <c r="J248" s="208">
        <v>-349586</v>
      </c>
      <c r="K248" s="208">
        <v>0</v>
      </c>
      <c r="L248" s="208">
        <v>-349586</v>
      </c>
      <c r="M248" s="208">
        <v>0</v>
      </c>
      <c r="N248" s="208">
        <v>0</v>
      </c>
      <c r="O248" s="208">
        <v>0</v>
      </c>
      <c r="P248" s="208">
        <v>-141909</v>
      </c>
      <c r="Q248" s="208">
        <v>0</v>
      </c>
      <c r="R248" s="208">
        <v>-141909</v>
      </c>
      <c r="S248" s="208">
        <v>759498</v>
      </c>
      <c r="T248" s="208">
        <v>0</v>
      </c>
      <c r="U248" s="208">
        <v>759498</v>
      </c>
      <c r="V248" s="208">
        <v>413452</v>
      </c>
      <c r="W248" s="208">
        <v>0</v>
      </c>
      <c r="X248" s="208">
        <v>413452</v>
      </c>
      <c r="Y248" s="208">
        <v>306422</v>
      </c>
      <c r="Z248" s="208">
        <v>-2398</v>
      </c>
      <c r="AA248" s="208">
        <v>304024</v>
      </c>
      <c r="AB248" s="208">
        <v>-2863534</v>
      </c>
      <c r="AC248" s="208">
        <v>-1658</v>
      </c>
      <c r="AD248" s="208">
        <v>-2865192</v>
      </c>
      <c r="AE248" s="208">
        <v>28583435</v>
      </c>
      <c r="AF248" s="208">
        <v>8192</v>
      </c>
      <c r="AG248" s="208">
        <v>28591627</v>
      </c>
      <c r="AH248" s="208">
        <v>8192</v>
      </c>
      <c r="AI248" s="208">
        <v>8192</v>
      </c>
      <c r="AJ248" s="208">
        <v>158783</v>
      </c>
      <c r="AK248" s="208">
        <v>0</v>
      </c>
      <c r="AL248" s="208">
        <v>158783</v>
      </c>
      <c r="AM248" s="208">
        <v>0</v>
      </c>
      <c r="AN248" s="208">
        <v>0</v>
      </c>
      <c r="AO248" s="208">
        <v>0</v>
      </c>
      <c r="AP248" s="208">
        <v>-3778</v>
      </c>
      <c r="AQ248" s="208">
        <v>-3778</v>
      </c>
      <c r="AR248" s="208">
        <v>203582</v>
      </c>
      <c r="AS248" s="208">
        <v>203582</v>
      </c>
      <c r="AT248" s="208">
        <v>0</v>
      </c>
      <c r="AU248" s="208">
        <v>0</v>
      </c>
      <c r="AV248" s="208">
        <v>0</v>
      </c>
      <c r="AW248" s="208">
        <v>0</v>
      </c>
      <c r="AX248" s="208">
        <v>0</v>
      </c>
      <c r="AY248" s="208">
        <v>272462</v>
      </c>
      <c r="AZ248" s="208">
        <v>272462</v>
      </c>
      <c r="BA248" s="208">
        <v>0</v>
      </c>
      <c r="BB248" s="208">
        <v>0</v>
      </c>
      <c r="BC248" s="208">
        <v>0</v>
      </c>
      <c r="BD248" s="208">
        <v>0</v>
      </c>
      <c r="BE248" s="208">
        <v>0</v>
      </c>
      <c r="BF248" s="208">
        <v>0</v>
      </c>
      <c r="BG248" s="208">
        <v>0</v>
      </c>
      <c r="BH248" s="208">
        <v>0</v>
      </c>
      <c r="BI248" s="208">
        <v>0</v>
      </c>
      <c r="BJ248" s="208">
        <v>272462</v>
      </c>
      <c r="BK248" s="208">
        <v>272462</v>
      </c>
      <c r="BL248" s="208">
        <v>1055964</v>
      </c>
      <c r="BM248" s="208">
        <v>-215253</v>
      </c>
      <c r="BN248" s="187" t="s">
        <v>573</v>
      </c>
      <c r="BO248" s="187" t="s">
        <v>802</v>
      </c>
      <c r="BP248" s="187" t="s">
        <v>751</v>
      </c>
      <c r="BQ248" s="187" t="s">
        <v>1054</v>
      </c>
    </row>
    <row r="249" spans="1:69" x14ac:dyDescent="0.2">
      <c r="B249" s="429" t="s">
        <v>576</v>
      </c>
      <c r="C249" s="429" t="s">
        <v>575</v>
      </c>
      <c r="D249" s="208">
        <v>24215421</v>
      </c>
      <c r="E249" s="208">
        <v>0</v>
      </c>
      <c r="F249" s="208">
        <v>24215421</v>
      </c>
      <c r="G249" s="208">
        <v>0</v>
      </c>
      <c r="H249" s="208">
        <v>0</v>
      </c>
      <c r="I249" s="208">
        <v>0</v>
      </c>
      <c r="J249" s="208">
        <v>0</v>
      </c>
      <c r="K249" s="208">
        <v>0</v>
      </c>
      <c r="L249" s="208">
        <v>0</v>
      </c>
      <c r="M249" s="208">
        <v>-18700</v>
      </c>
      <c r="N249" s="208">
        <v>0</v>
      </c>
      <c r="O249" s="208">
        <v>-18700</v>
      </c>
      <c r="P249" s="208">
        <v>228841</v>
      </c>
      <c r="Q249" s="208">
        <v>0</v>
      </c>
      <c r="R249" s="208">
        <v>228841</v>
      </c>
      <c r="S249" s="208">
        <v>216305</v>
      </c>
      <c r="T249" s="208">
        <v>0</v>
      </c>
      <c r="U249" s="208">
        <v>216305</v>
      </c>
      <c r="V249" s="208">
        <v>61612</v>
      </c>
      <c r="W249" s="208">
        <v>0</v>
      </c>
      <c r="X249" s="208">
        <v>61612</v>
      </c>
      <c r="Y249" s="208">
        <v>90845</v>
      </c>
      <c r="Z249" s="208">
        <v>0</v>
      </c>
      <c r="AA249" s="208">
        <v>90845</v>
      </c>
      <c r="AB249" s="208">
        <v>-257880</v>
      </c>
      <c r="AC249" s="208">
        <v>0</v>
      </c>
      <c r="AD249" s="208">
        <v>-257880</v>
      </c>
      <c r="AE249" s="208">
        <v>24536444</v>
      </c>
      <c r="AF249" s="208">
        <v>0</v>
      </c>
      <c r="AG249" s="208">
        <v>24536444</v>
      </c>
      <c r="AH249" s="208">
        <v>0</v>
      </c>
      <c r="AI249" s="208">
        <v>0</v>
      </c>
      <c r="AJ249" s="208">
        <v>377645</v>
      </c>
      <c r="AK249" s="208">
        <v>0</v>
      </c>
      <c r="AL249" s="208">
        <v>377645</v>
      </c>
      <c r="AM249" s="208">
        <v>0</v>
      </c>
      <c r="AN249" s="208">
        <v>0</v>
      </c>
      <c r="AO249" s="208">
        <v>0</v>
      </c>
      <c r="AP249" s="208">
        <v>0</v>
      </c>
      <c r="AQ249" s="208">
        <v>0</v>
      </c>
      <c r="AR249" s="208">
        <v>0</v>
      </c>
      <c r="AS249" s="208">
        <v>0</v>
      </c>
      <c r="AT249" s="208">
        <v>0</v>
      </c>
      <c r="AU249" s="208">
        <v>0</v>
      </c>
      <c r="AV249" s="208">
        <v>0</v>
      </c>
      <c r="AW249" s="208">
        <v>0</v>
      </c>
      <c r="AX249" s="208">
        <v>0</v>
      </c>
      <c r="AY249" s="208">
        <v>0</v>
      </c>
      <c r="AZ249" s="208">
        <v>0</v>
      </c>
      <c r="BA249" s="208">
        <v>0</v>
      </c>
      <c r="BB249" s="208">
        <v>0</v>
      </c>
      <c r="BC249" s="208">
        <v>0</v>
      </c>
      <c r="BD249" s="208">
        <v>0</v>
      </c>
      <c r="BE249" s="208">
        <v>0</v>
      </c>
      <c r="BF249" s="208">
        <v>0</v>
      </c>
      <c r="BG249" s="208">
        <v>0</v>
      </c>
      <c r="BH249" s="208">
        <v>0</v>
      </c>
      <c r="BI249" s="208">
        <v>0</v>
      </c>
      <c r="BJ249" s="208">
        <v>0</v>
      </c>
      <c r="BK249" s="208">
        <v>0</v>
      </c>
      <c r="BL249" s="208">
        <v>581185</v>
      </c>
      <c r="BM249" s="208">
        <v>-1070762</v>
      </c>
      <c r="BN249" s="187" t="s">
        <v>575</v>
      </c>
      <c r="BO249" s="187" t="s">
        <v>775</v>
      </c>
      <c r="BP249" s="187" t="s">
        <v>751</v>
      </c>
      <c r="BQ249" s="187" t="s">
        <v>1054</v>
      </c>
    </row>
    <row r="250" spans="1:69" x14ac:dyDescent="0.2">
      <c r="B250" s="429" t="s">
        <v>578</v>
      </c>
      <c r="C250" s="429" t="s">
        <v>577</v>
      </c>
      <c r="D250" s="208">
        <v>44632504</v>
      </c>
      <c r="E250" s="208">
        <v>238119</v>
      </c>
      <c r="F250" s="208">
        <v>44870623</v>
      </c>
      <c r="G250" s="208">
        <v>0</v>
      </c>
      <c r="H250" s="208">
        <v>0</v>
      </c>
      <c r="I250" s="208">
        <v>0</v>
      </c>
      <c r="J250" s="208">
        <v>-146465</v>
      </c>
      <c r="K250" s="208">
        <v>0</v>
      </c>
      <c r="L250" s="208">
        <v>-146465</v>
      </c>
      <c r="M250" s="208">
        <v>0</v>
      </c>
      <c r="N250" s="208">
        <v>0</v>
      </c>
      <c r="O250" s="208">
        <v>0</v>
      </c>
      <c r="P250" s="208">
        <v>-432585</v>
      </c>
      <c r="Q250" s="208">
        <v>0</v>
      </c>
      <c r="R250" s="208">
        <v>-432585</v>
      </c>
      <c r="S250" s="208">
        <v>795876</v>
      </c>
      <c r="T250" s="208">
        <v>0</v>
      </c>
      <c r="U250" s="208">
        <v>795876</v>
      </c>
      <c r="V250" s="208">
        <v>1153402</v>
      </c>
      <c r="W250" s="208">
        <v>0</v>
      </c>
      <c r="X250" s="208">
        <v>1153402</v>
      </c>
      <c r="Y250" s="208">
        <v>256381</v>
      </c>
      <c r="Z250" s="208">
        <v>0</v>
      </c>
      <c r="AA250" s="208">
        <v>256381</v>
      </c>
      <c r="AB250" s="208">
        <v>-3396933</v>
      </c>
      <c r="AC250" s="208">
        <v>0</v>
      </c>
      <c r="AD250" s="208">
        <v>-3396933</v>
      </c>
      <c r="AE250" s="208">
        <v>43008645</v>
      </c>
      <c r="AF250" s="208">
        <v>238119</v>
      </c>
      <c r="AG250" s="208">
        <v>43246764</v>
      </c>
      <c r="AH250" s="208">
        <v>238119</v>
      </c>
      <c r="AI250" s="208">
        <v>238119</v>
      </c>
      <c r="AJ250" s="208">
        <v>87112</v>
      </c>
      <c r="AK250" s="208">
        <v>0</v>
      </c>
      <c r="AL250" s="208">
        <v>87112</v>
      </c>
      <c r="AM250" s="208">
        <v>0</v>
      </c>
      <c r="AN250" s="208">
        <v>0</v>
      </c>
      <c r="AO250" s="208">
        <v>0</v>
      </c>
      <c r="AP250" s="208">
        <v>0</v>
      </c>
      <c r="AQ250" s="208">
        <v>0</v>
      </c>
      <c r="AR250" s="208">
        <v>188410</v>
      </c>
      <c r="AS250" s="208">
        <v>188410</v>
      </c>
      <c r="AT250" s="208">
        <v>49709</v>
      </c>
      <c r="AU250" s="208">
        <v>0</v>
      </c>
      <c r="AV250" s="208">
        <v>0</v>
      </c>
      <c r="AW250" s="208">
        <v>0</v>
      </c>
      <c r="AX250" s="208">
        <v>0</v>
      </c>
      <c r="AY250" s="208">
        <v>0</v>
      </c>
      <c r="AZ250" s="208">
        <v>0</v>
      </c>
      <c r="BA250" s="208">
        <v>0</v>
      </c>
      <c r="BB250" s="208">
        <v>0</v>
      </c>
      <c r="BC250" s="208">
        <v>0</v>
      </c>
      <c r="BD250" s="208">
        <v>0</v>
      </c>
      <c r="BE250" s="208">
        <v>0</v>
      </c>
      <c r="BF250" s="208">
        <v>0</v>
      </c>
      <c r="BG250" s="208">
        <v>0</v>
      </c>
      <c r="BH250" s="208">
        <v>0</v>
      </c>
      <c r="BI250" s="208">
        <v>0</v>
      </c>
      <c r="BJ250" s="208">
        <v>0</v>
      </c>
      <c r="BK250" s="208">
        <v>0</v>
      </c>
      <c r="BL250" s="208">
        <v>2146750</v>
      </c>
      <c r="BM250" s="208">
        <v>-1447521</v>
      </c>
      <c r="BN250" s="187" t="s">
        <v>577</v>
      </c>
      <c r="BO250" s="187" t="s">
        <v>770</v>
      </c>
      <c r="BP250" s="187" t="s">
        <v>751</v>
      </c>
      <c r="BQ250" s="187" t="s">
        <v>1054</v>
      </c>
    </row>
    <row r="251" spans="1:69" x14ac:dyDescent="0.2">
      <c r="B251" s="429" t="s">
        <v>580</v>
      </c>
      <c r="C251" s="429" t="s">
        <v>579</v>
      </c>
      <c r="D251" s="208">
        <v>35310655</v>
      </c>
      <c r="E251" s="208">
        <v>422088</v>
      </c>
      <c r="F251" s="208">
        <v>35732743</v>
      </c>
      <c r="G251" s="208">
        <v>0</v>
      </c>
      <c r="H251" s="208">
        <v>0</v>
      </c>
      <c r="I251" s="208">
        <v>0</v>
      </c>
      <c r="J251" s="208">
        <v>-187691</v>
      </c>
      <c r="K251" s="208">
        <v>0</v>
      </c>
      <c r="L251" s="208">
        <v>-187691</v>
      </c>
      <c r="M251" s="208">
        <v>-59328</v>
      </c>
      <c r="N251" s="208">
        <v>0</v>
      </c>
      <c r="O251" s="208">
        <v>-59328</v>
      </c>
      <c r="P251" s="208">
        <v>-109848</v>
      </c>
      <c r="Q251" s="208">
        <v>0</v>
      </c>
      <c r="R251" s="208">
        <v>-109848</v>
      </c>
      <c r="S251" s="208">
        <v>2156076</v>
      </c>
      <c r="T251" s="208">
        <v>0</v>
      </c>
      <c r="U251" s="208">
        <v>2156076</v>
      </c>
      <c r="V251" s="208">
        <v>0</v>
      </c>
      <c r="W251" s="208">
        <v>0</v>
      </c>
      <c r="X251" s="208">
        <v>0</v>
      </c>
      <c r="Y251" s="208">
        <v>-236076</v>
      </c>
      <c r="Z251" s="208">
        <v>0</v>
      </c>
      <c r="AA251" s="208">
        <v>-236076</v>
      </c>
      <c r="AB251" s="208">
        <v>-2253000</v>
      </c>
      <c r="AC251" s="208">
        <v>0</v>
      </c>
      <c r="AD251" s="208">
        <v>-2253000</v>
      </c>
      <c r="AE251" s="208">
        <v>34808479</v>
      </c>
      <c r="AF251" s="208">
        <v>422088</v>
      </c>
      <c r="AG251" s="208">
        <v>35230567</v>
      </c>
      <c r="AH251" s="208">
        <v>422088</v>
      </c>
      <c r="AI251" s="208">
        <v>422088</v>
      </c>
      <c r="AJ251" s="208">
        <v>78211</v>
      </c>
      <c r="AK251" s="208">
        <v>0</v>
      </c>
      <c r="AL251" s="208">
        <v>78211</v>
      </c>
      <c r="AM251" s="208">
        <v>0</v>
      </c>
      <c r="AN251" s="208">
        <v>0</v>
      </c>
      <c r="AO251" s="208">
        <v>0</v>
      </c>
      <c r="AP251" s="208">
        <v>-3917</v>
      </c>
      <c r="AQ251" s="208">
        <v>-3917</v>
      </c>
      <c r="AR251" s="208">
        <v>0</v>
      </c>
      <c r="AS251" s="208">
        <v>0</v>
      </c>
      <c r="AT251" s="208">
        <v>418171</v>
      </c>
      <c r="AU251" s="208">
        <v>0</v>
      </c>
      <c r="AV251" s="208">
        <v>0</v>
      </c>
      <c r="AW251" s="208">
        <v>0</v>
      </c>
      <c r="AX251" s="208">
        <v>0</v>
      </c>
      <c r="AY251" s="208">
        <v>0</v>
      </c>
      <c r="AZ251" s="208">
        <v>0</v>
      </c>
      <c r="BA251" s="208">
        <v>0</v>
      </c>
      <c r="BB251" s="208">
        <v>0</v>
      </c>
      <c r="BC251" s="208">
        <v>0</v>
      </c>
      <c r="BD251" s="208">
        <v>0</v>
      </c>
      <c r="BE251" s="208">
        <v>0</v>
      </c>
      <c r="BF251" s="208">
        <v>0</v>
      </c>
      <c r="BG251" s="208">
        <v>0</v>
      </c>
      <c r="BH251" s="208">
        <v>0</v>
      </c>
      <c r="BI251" s="208">
        <v>0</v>
      </c>
      <c r="BJ251" s="208">
        <v>0</v>
      </c>
      <c r="BK251" s="208">
        <v>0</v>
      </c>
      <c r="BL251" s="208">
        <v>942036</v>
      </c>
      <c r="BM251" s="208">
        <v>-552659</v>
      </c>
      <c r="BN251" s="187" t="s">
        <v>579</v>
      </c>
      <c r="BO251" s="187" t="s">
        <v>748</v>
      </c>
      <c r="BP251" s="187" t="s">
        <v>747</v>
      </c>
      <c r="BQ251" s="187" t="s">
        <v>1054</v>
      </c>
    </row>
    <row r="252" spans="1:69" x14ac:dyDescent="0.2">
      <c r="B252" s="429" t="s">
        <v>582</v>
      </c>
      <c r="C252" s="429" t="s">
        <v>581</v>
      </c>
      <c r="D252" s="208">
        <v>45755828</v>
      </c>
      <c r="E252" s="208">
        <v>0</v>
      </c>
      <c r="F252" s="208">
        <v>45755828</v>
      </c>
      <c r="G252" s="208">
        <v>0</v>
      </c>
      <c r="H252" s="208">
        <v>0</v>
      </c>
      <c r="I252" s="208">
        <v>0</v>
      </c>
      <c r="J252" s="208">
        <v>-93607</v>
      </c>
      <c r="K252" s="208">
        <v>0</v>
      </c>
      <c r="L252" s="208">
        <v>-93607</v>
      </c>
      <c r="M252" s="208">
        <v>0</v>
      </c>
      <c r="N252" s="208">
        <v>0</v>
      </c>
      <c r="O252" s="208">
        <v>0</v>
      </c>
      <c r="P252" s="208">
        <v>-269590</v>
      </c>
      <c r="Q252" s="208">
        <v>0</v>
      </c>
      <c r="R252" s="208">
        <v>-269590</v>
      </c>
      <c r="S252" s="208">
        <v>160168</v>
      </c>
      <c r="T252" s="208">
        <v>0</v>
      </c>
      <c r="U252" s="208">
        <v>160168</v>
      </c>
      <c r="V252" s="208">
        <v>0</v>
      </c>
      <c r="W252" s="208">
        <v>0</v>
      </c>
      <c r="X252" s="208">
        <v>0</v>
      </c>
      <c r="Y252" s="208">
        <v>2560</v>
      </c>
      <c r="Z252" s="208">
        <v>0</v>
      </c>
      <c r="AA252" s="208">
        <v>2560</v>
      </c>
      <c r="AB252" s="208">
        <v>-294762</v>
      </c>
      <c r="AC252" s="208">
        <v>0</v>
      </c>
      <c r="AD252" s="208">
        <v>-294762</v>
      </c>
      <c r="AE252" s="208">
        <v>45354204</v>
      </c>
      <c r="AF252" s="208">
        <v>0</v>
      </c>
      <c r="AG252" s="208">
        <v>45354204</v>
      </c>
      <c r="AH252" s="208">
        <v>0</v>
      </c>
      <c r="AI252" s="208">
        <v>0</v>
      </c>
      <c r="AJ252" s="208">
        <v>484965</v>
      </c>
      <c r="AK252" s="208">
        <v>0</v>
      </c>
      <c r="AL252" s="208">
        <v>484965</v>
      </c>
      <c r="AM252" s="208">
        <v>0</v>
      </c>
      <c r="AN252" s="208">
        <v>0</v>
      </c>
      <c r="AO252" s="208">
        <v>0</v>
      </c>
      <c r="AP252" s="208">
        <v>0</v>
      </c>
      <c r="AQ252" s="208">
        <v>0</v>
      </c>
      <c r="AR252" s="208">
        <v>0</v>
      </c>
      <c r="AS252" s="208">
        <v>0</v>
      </c>
      <c r="AT252" s="208">
        <v>0</v>
      </c>
      <c r="AU252" s="208">
        <v>0</v>
      </c>
      <c r="AV252" s="208">
        <v>0</v>
      </c>
      <c r="AW252" s="208">
        <v>0</v>
      </c>
      <c r="AX252" s="208">
        <v>0</v>
      </c>
      <c r="AY252" s="208">
        <v>0</v>
      </c>
      <c r="AZ252" s="208">
        <v>0</v>
      </c>
      <c r="BA252" s="208">
        <v>0</v>
      </c>
      <c r="BB252" s="208">
        <v>0</v>
      </c>
      <c r="BC252" s="208">
        <v>0</v>
      </c>
      <c r="BD252" s="208">
        <v>0</v>
      </c>
      <c r="BE252" s="208">
        <v>0</v>
      </c>
      <c r="BF252" s="208">
        <v>0</v>
      </c>
      <c r="BG252" s="208">
        <v>0</v>
      </c>
      <c r="BH252" s="208">
        <v>0</v>
      </c>
      <c r="BI252" s="208">
        <v>0</v>
      </c>
      <c r="BJ252" s="208">
        <v>0</v>
      </c>
      <c r="BK252" s="208">
        <v>0</v>
      </c>
      <c r="BL252" s="208">
        <v>2734508</v>
      </c>
      <c r="BM252" s="208">
        <v>-522933</v>
      </c>
      <c r="BN252" s="187" t="s">
        <v>581</v>
      </c>
      <c r="BO252" s="187" t="s">
        <v>769</v>
      </c>
      <c r="BP252" s="187" t="s">
        <v>768</v>
      </c>
      <c r="BQ252" s="187" t="s">
        <v>1054</v>
      </c>
    </row>
    <row r="253" spans="1:69" x14ac:dyDescent="0.2">
      <c r="B253" s="429" t="s">
        <v>584</v>
      </c>
      <c r="C253" s="429" t="s">
        <v>583</v>
      </c>
      <c r="D253" s="208">
        <v>22348783</v>
      </c>
      <c r="E253" s="208">
        <v>2963268</v>
      </c>
      <c r="F253" s="208">
        <v>25312051</v>
      </c>
      <c r="G253" s="208">
        <v>0</v>
      </c>
      <c r="H253" s="208">
        <v>0</v>
      </c>
      <c r="I253" s="208">
        <v>0</v>
      </c>
      <c r="J253" s="208">
        <v>-164771</v>
      </c>
      <c r="K253" s="208">
        <v>0</v>
      </c>
      <c r="L253" s="208">
        <v>-164771</v>
      </c>
      <c r="M253" s="208">
        <v>0</v>
      </c>
      <c r="N253" s="208">
        <v>0</v>
      </c>
      <c r="O253" s="208">
        <v>0</v>
      </c>
      <c r="P253" s="208">
        <v>-12677</v>
      </c>
      <c r="Q253" s="208">
        <v>0</v>
      </c>
      <c r="R253" s="208">
        <v>-12677</v>
      </c>
      <c r="S253" s="208">
        <v>393048</v>
      </c>
      <c r="T253" s="208">
        <v>0</v>
      </c>
      <c r="U253" s="208">
        <v>393048</v>
      </c>
      <c r="V253" s="208">
        <v>566907</v>
      </c>
      <c r="W253" s="208">
        <v>0</v>
      </c>
      <c r="X253" s="208">
        <v>566907</v>
      </c>
      <c r="Y253" s="208">
        <v>5026</v>
      </c>
      <c r="Z253" s="208">
        <v>0</v>
      </c>
      <c r="AA253" s="208">
        <v>5026</v>
      </c>
      <c r="AB253" s="208">
        <v>-1211796</v>
      </c>
      <c r="AC253" s="208">
        <v>0</v>
      </c>
      <c r="AD253" s="208">
        <v>-1211796</v>
      </c>
      <c r="AE253" s="208">
        <v>22089291</v>
      </c>
      <c r="AF253" s="208">
        <v>2963268</v>
      </c>
      <c r="AG253" s="208">
        <v>25052559</v>
      </c>
      <c r="AH253" s="208">
        <v>2963268</v>
      </c>
      <c r="AI253" s="208">
        <v>2963268</v>
      </c>
      <c r="AJ253" s="208">
        <v>232817</v>
      </c>
      <c r="AK253" s="208">
        <v>0</v>
      </c>
      <c r="AL253" s="208">
        <v>232817</v>
      </c>
      <c r="AM253" s="208">
        <v>0</v>
      </c>
      <c r="AN253" s="208">
        <v>0</v>
      </c>
      <c r="AO253" s="208">
        <v>0</v>
      </c>
      <c r="AP253" s="208">
        <v>-47359</v>
      </c>
      <c r="AQ253" s="208">
        <v>-47359</v>
      </c>
      <c r="AR253" s="208">
        <v>0</v>
      </c>
      <c r="AS253" s="208">
        <v>0</v>
      </c>
      <c r="AT253" s="208">
        <v>2915909</v>
      </c>
      <c r="AU253" s="208">
        <v>0</v>
      </c>
      <c r="AV253" s="208">
        <v>0</v>
      </c>
      <c r="AW253" s="208">
        <v>0</v>
      </c>
      <c r="AX253" s="208">
        <v>0</v>
      </c>
      <c r="AY253" s="208">
        <v>164875</v>
      </c>
      <c r="AZ253" s="208">
        <v>164875</v>
      </c>
      <c r="BA253" s="208">
        <v>0</v>
      </c>
      <c r="BB253" s="208">
        <v>0</v>
      </c>
      <c r="BC253" s="208">
        <v>0</v>
      </c>
      <c r="BD253" s="208">
        <v>0</v>
      </c>
      <c r="BE253" s="208">
        <v>0</v>
      </c>
      <c r="BF253" s="208">
        <v>0</v>
      </c>
      <c r="BG253" s="208">
        <v>0</v>
      </c>
      <c r="BH253" s="208">
        <v>0</v>
      </c>
      <c r="BI253" s="208">
        <v>0</v>
      </c>
      <c r="BJ253" s="208">
        <v>164875</v>
      </c>
      <c r="BK253" s="208">
        <v>164875</v>
      </c>
      <c r="BL253" s="208">
        <v>635992</v>
      </c>
      <c r="BM253" s="208">
        <v>-243729</v>
      </c>
      <c r="BN253" s="187" t="s">
        <v>583</v>
      </c>
      <c r="BO253" s="187" t="s">
        <v>794</v>
      </c>
      <c r="BP253" s="187" t="s">
        <v>793</v>
      </c>
      <c r="BQ253" s="187" t="s">
        <v>1054</v>
      </c>
    </row>
    <row r="254" spans="1:69" x14ac:dyDescent="0.2">
      <c r="B254" s="429" t="s">
        <v>586</v>
      </c>
      <c r="C254" s="429" t="s">
        <v>585</v>
      </c>
      <c r="D254" s="208">
        <v>30137313</v>
      </c>
      <c r="E254" s="208">
        <v>0</v>
      </c>
      <c r="F254" s="208">
        <v>30137313</v>
      </c>
      <c r="G254" s="208">
        <v>0</v>
      </c>
      <c r="H254" s="208">
        <v>0</v>
      </c>
      <c r="I254" s="208">
        <v>0</v>
      </c>
      <c r="J254" s="208">
        <v>-295250</v>
      </c>
      <c r="K254" s="208">
        <v>0</v>
      </c>
      <c r="L254" s="208">
        <v>-295250</v>
      </c>
      <c r="M254" s="208">
        <v>0</v>
      </c>
      <c r="N254" s="208">
        <v>0</v>
      </c>
      <c r="O254" s="208">
        <v>0</v>
      </c>
      <c r="P254" s="208">
        <v>-358841</v>
      </c>
      <c r="Q254" s="208">
        <v>0</v>
      </c>
      <c r="R254" s="208">
        <v>-358841</v>
      </c>
      <c r="S254" s="208">
        <v>706639</v>
      </c>
      <c r="T254" s="208">
        <v>0</v>
      </c>
      <c r="U254" s="208">
        <v>706639</v>
      </c>
      <c r="V254" s="208">
        <v>302845</v>
      </c>
      <c r="W254" s="208">
        <v>0</v>
      </c>
      <c r="X254" s="208">
        <v>302845</v>
      </c>
      <c r="Y254" s="208">
        <v>-855814</v>
      </c>
      <c r="Z254" s="208">
        <v>0</v>
      </c>
      <c r="AA254" s="208">
        <v>-855814</v>
      </c>
      <c r="AB254" s="208">
        <v>-366777</v>
      </c>
      <c r="AC254" s="208">
        <v>0</v>
      </c>
      <c r="AD254" s="208">
        <v>-366777</v>
      </c>
      <c r="AE254" s="208">
        <v>29565365</v>
      </c>
      <c r="AF254" s="208">
        <v>0</v>
      </c>
      <c r="AG254" s="208">
        <v>29565365</v>
      </c>
      <c r="AH254" s="208">
        <v>0</v>
      </c>
      <c r="AI254" s="208">
        <v>0</v>
      </c>
      <c r="AJ254" s="208">
        <v>0</v>
      </c>
      <c r="AK254" s="208">
        <v>0</v>
      </c>
      <c r="AL254" s="208">
        <v>0</v>
      </c>
      <c r="AM254" s="208">
        <v>0</v>
      </c>
      <c r="AN254" s="208">
        <v>0</v>
      </c>
      <c r="AO254" s="208">
        <v>0</v>
      </c>
      <c r="AP254" s="208">
        <v>0</v>
      </c>
      <c r="AQ254" s="208">
        <v>0</v>
      </c>
      <c r="AR254" s="208">
        <v>0</v>
      </c>
      <c r="AS254" s="208">
        <v>0</v>
      </c>
      <c r="AT254" s="208">
        <v>0</v>
      </c>
      <c r="AU254" s="208">
        <v>0</v>
      </c>
      <c r="AV254" s="208">
        <v>0</v>
      </c>
      <c r="AW254" s="208">
        <v>0</v>
      </c>
      <c r="AX254" s="208">
        <v>0</v>
      </c>
      <c r="AY254" s="208">
        <v>0</v>
      </c>
      <c r="AZ254" s="208">
        <v>0</v>
      </c>
      <c r="BA254" s="208">
        <v>0</v>
      </c>
      <c r="BB254" s="208">
        <v>0</v>
      </c>
      <c r="BC254" s="208">
        <v>0</v>
      </c>
      <c r="BD254" s="208">
        <v>0</v>
      </c>
      <c r="BE254" s="208">
        <v>0</v>
      </c>
      <c r="BF254" s="208">
        <v>0</v>
      </c>
      <c r="BG254" s="208">
        <v>0</v>
      </c>
      <c r="BH254" s="208">
        <v>0</v>
      </c>
      <c r="BI254" s="208">
        <v>0</v>
      </c>
      <c r="BJ254" s="208">
        <v>0</v>
      </c>
      <c r="BK254" s="208">
        <v>0</v>
      </c>
      <c r="BL254" s="208">
        <v>1888792</v>
      </c>
      <c r="BM254" s="208">
        <v>-991695</v>
      </c>
      <c r="BN254" s="187" t="s">
        <v>585</v>
      </c>
      <c r="BO254" s="187" t="s">
        <v>754</v>
      </c>
      <c r="BP254" s="187" t="s">
        <v>796</v>
      </c>
      <c r="BQ254" s="187" t="s">
        <v>1056</v>
      </c>
    </row>
    <row r="255" spans="1:69" x14ac:dyDescent="0.2">
      <c r="B255" s="429" t="s">
        <v>588</v>
      </c>
      <c r="C255" s="429" t="s">
        <v>587</v>
      </c>
      <c r="D255" s="208">
        <v>111057441</v>
      </c>
      <c r="E255" s="208">
        <v>0</v>
      </c>
      <c r="F255" s="208">
        <v>111057441</v>
      </c>
      <c r="G255" s="208">
        <v>0</v>
      </c>
      <c r="H255" s="208">
        <v>0</v>
      </c>
      <c r="I255" s="208">
        <v>0</v>
      </c>
      <c r="J255" s="208">
        <v>-4120220</v>
      </c>
      <c r="K255" s="208">
        <v>0</v>
      </c>
      <c r="L255" s="208">
        <v>-4120220</v>
      </c>
      <c r="M255" s="208">
        <v>0</v>
      </c>
      <c r="N255" s="208">
        <v>0</v>
      </c>
      <c r="O255" s="208">
        <v>0</v>
      </c>
      <c r="P255" s="208">
        <v>-2408991</v>
      </c>
      <c r="Q255" s="208">
        <v>0</v>
      </c>
      <c r="R255" s="208">
        <v>-2408991</v>
      </c>
      <c r="S255" s="208">
        <v>3613383</v>
      </c>
      <c r="T255" s="208">
        <v>0</v>
      </c>
      <c r="U255" s="208">
        <v>3613383</v>
      </c>
      <c r="V255" s="208">
        <v>1460373</v>
      </c>
      <c r="W255" s="208">
        <v>0</v>
      </c>
      <c r="X255" s="208">
        <v>1460373</v>
      </c>
      <c r="Y255" s="208">
        <v>2952706</v>
      </c>
      <c r="Z255" s="208">
        <v>0</v>
      </c>
      <c r="AA255" s="208">
        <v>2952706</v>
      </c>
      <c r="AB255" s="208">
        <v>-5425940</v>
      </c>
      <c r="AC255" s="208">
        <v>0</v>
      </c>
      <c r="AD255" s="208">
        <v>-5425940</v>
      </c>
      <c r="AE255" s="208">
        <v>111248972</v>
      </c>
      <c r="AF255" s="208">
        <v>0</v>
      </c>
      <c r="AG255" s="208">
        <v>111248972</v>
      </c>
      <c r="AH255" s="208">
        <v>0</v>
      </c>
      <c r="AI255" s="208">
        <v>0</v>
      </c>
      <c r="AJ255" s="208">
        <v>0</v>
      </c>
      <c r="AK255" s="208">
        <v>0</v>
      </c>
      <c r="AL255" s="208">
        <v>0</v>
      </c>
      <c r="AM255" s="208">
        <v>0</v>
      </c>
      <c r="AN255" s="208">
        <v>0</v>
      </c>
      <c r="AO255" s="208">
        <v>0</v>
      </c>
      <c r="AP255" s="208">
        <v>0</v>
      </c>
      <c r="AQ255" s="208">
        <v>0</v>
      </c>
      <c r="AR255" s="208">
        <v>0</v>
      </c>
      <c r="AS255" s="208">
        <v>0</v>
      </c>
      <c r="AT255" s="208">
        <v>0</v>
      </c>
      <c r="AU255" s="208">
        <v>0</v>
      </c>
      <c r="AV255" s="208">
        <v>0</v>
      </c>
      <c r="AW255" s="208">
        <v>0</v>
      </c>
      <c r="AX255" s="208">
        <v>0</v>
      </c>
      <c r="AY255" s="208">
        <v>0</v>
      </c>
      <c r="AZ255" s="208">
        <v>0</v>
      </c>
      <c r="BA255" s="208">
        <v>0</v>
      </c>
      <c r="BB255" s="208">
        <v>0</v>
      </c>
      <c r="BC255" s="208">
        <v>0</v>
      </c>
      <c r="BD255" s="208">
        <v>0</v>
      </c>
      <c r="BE255" s="208">
        <v>0</v>
      </c>
      <c r="BF255" s="208">
        <v>0</v>
      </c>
      <c r="BG255" s="208">
        <v>0</v>
      </c>
      <c r="BH255" s="208">
        <v>0</v>
      </c>
      <c r="BI255" s="208">
        <v>0</v>
      </c>
      <c r="BJ255" s="208">
        <v>0</v>
      </c>
      <c r="BK255" s="208">
        <v>0</v>
      </c>
      <c r="BL255" s="208">
        <v>3966057</v>
      </c>
      <c r="BM255" s="208">
        <v>-6620570</v>
      </c>
      <c r="BN255" s="187" t="s">
        <v>801</v>
      </c>
      <c r="BO255" s="187" t="s">
        <v>742</v>
      </c>
      <c r="BP255" s="187" t="s">
        <v>760</v>
      </c>
      <c r="BQ255" s="187" t="s">
        <v>742</v>
      </c>
    </row>
    <row r="256" spans="1:69" x14ac:dyDescent="0.2">
      <c r="B256" s="429" t="s">
        <v>590</v>
      </c>
      <c r="C256" s="429" t="s">
        <v>589</v>
      </c>
      <c r="D256" s="208">
        <v>46410709</v>
      </c>
      <c r="E256" s="208">
        <v>0</v>
      </c>
      <c r="F256" s="208">
        <v>46410709</v>
      </c>
      <c r="G256" s="208">
        <v>0</v>
      </c>
      <c r="H256" s="208">
        <v>0</v>
      </c>
      <c r="I256" s="208">
        <v>0</v>
      </c>
      <c r="J256" s="208">
        <v>-336293</v>
      </c>
      <c r="K256" s="208">
        <v>0</v>
      </c>
      <c r="L256" s="208">
        <v>-336293</v>
      </c>
      <c r="M256" s="208">
        <v>-132452</v>
      </c>
      <c r="N256" s="208">
        <v>0</v>
      </c>
      <c r="O256" s="208">
        <v>-132452</v>
      </c>
      <c r="P256" s="208">
        <v>-176283</v>
      </c>
      <c r="Q256" s="208">
        <v>0</v>
      </c>
      <c r="R256" s="208">
        <v>-176283</v>
      </c>
      <c r="S256" s="208">
        <v>420241</v>
      </c>
      <c r="T256" s="208">
        <v>0</v>
      </c>
      <c r="U256" s="208">
        <v>420241</v>
      </c>
      <c r="V256" s="208">
        <v>221306</v>
      </c>
      <c r="W256" s="208">
        <v>0</v>
      </c>
      <c r="X256" s="208">
        <v>221306</v>
      </c>
      <c r="Y256" s="208">
        <v>99525</v>
      </c>
      <c r="Z256" s="208">
        <v>0</v>
      </c>
      <c r="AA256" s="208">
        <v>99525</v>
      </c>
      <c r="AB256" s="208">
        <v>-1918345</v>
      </c>
      <c r="AC256" s="208">
        <v>0</v>
      </c>
      <c r="AD256" s="208">
        <v>-1918345</v>
      </c>
      <c r="AE256" s="208">
        <v>44924701</v>
      </c>
      <c r="AF256" s="208">
        <v>0</v>
      </c>
      <c r="AG256" s="208">
        <v>44924701</v>
      </c>
      <c r="AH256" s="208">
        <v>0</v>
      </c>
      <c r="AI256" s="208">
        <v>0</v>
      </c>
      <c r="AJ256" s="208">
        <v>0</v>
      </c>
      <c r="AK256" s="208">
        <v>0</v>
      </c>
      <c r="AL256" s="208">
        <v>0</v>
      </c>
      <c r="AM256" s="208">
        <v>0</v>
      </c>
      <c r="AN256" s="208">
        <v>0</v>
      </c>
      <c r="AO256" s="208">
        <v>0</v>
      </c>
      <c r="AP256" s="208">
        <v>0</v>
      </c>
      <c r="AQ256" s="208">
        <v>0</v>
      </c>
      <c r="AR256" s="208">
        <v>0</v>
      </c>
      <c r="AS256" s="208">
        <v>0</v>
      </c>
      <c r="AT256" s="208">
        <v>0</v>
      </c>
      <c r="AU256" s="208">
        <v>0</v>
      </c>
      <c r="AV256" s="208">
        <v>0</v>
      </c>
      <c r="AW256" s="208">
        <v>0</v>
      </c>
      <c r="AX256" s="208">
        <v>0</v>
      </c>
      <c r="AY256" s="208">
        <v>0</v>
      </c>
      <c r="AZ256" s="208">
        <v>0</v>
      </c>
      <c r="BA256" s="208">
        <v>0</v>
      </c>
      <c r="BB256" s="208">
        <v>0</v>
      </c>
      <c r="BC256" s="208">
        <v>0</v>
      </c>
      <c r="BD256" s="208">
        <v>0</v>
      </c>
      <c r="BE256" s="208">
        <v>0</v>
      </c>
      <c r="BF256" s="208">
        <v>0</v>
      </c>
      <c r="BG256" s="208">
        <v>0</v>
      </c>
      <c r="BH256" s="208">
        <v>0</v>
      </c>
      <c r="BI256" s="208">
        <v>0</v>
      </c>
      <c r="BJ256" s="208">
        <v>0</v>
      </c>
      <c r="BK256" s="208">
        <v>0</v>
      </c>
      <c r="BL256" s="208">
        <v>1680556</v>
      </c>
      <c r="BM256" s="208">
        <v>-1682041</v>
      </c>
      <c r="BN256" s="187" t="s">
        <v>800</v>
      </c>
      <c r="BO256" s="187" t="s">
        <v>742</v>
      </c>
      <c r="BP256" s="187" t="s">
        <v>783</v>
      </c>
      <c r="BQ256" s="187" t="s">
        <v>742</v>
      </c>
    </row>
    <row r="257" spans="1:69" x14ac:dyDescent="0.2">
      <c r="B257" s="429" t="s">
        <v>592</v>
      </c>
      <c r="C257" s="429" t="s">
        <v>591</v>
      </c>
      <c r="D257" s="208">
        <v>289666069</v>
      </c>
      <c r="E257" s="208">
        <v>0</v>
      </c>
      <c r="F257" s="208">
        <v>289666069</v>
      </c>
      <c r="G257" s="208">
        <v>0</v>
      </c>
      <c r="H257" s="208">
        <v>0</v>
      </c>
      <c r="I257" s="208">
        <v>0</v>
      </c>
      <c r="J257" s="208">
        <v>-935178</v>
      </c>
      <c r="K257" s="208">
        <v>0</v>
      </c>
      <c r="L257" s="208">
        <v>-935178</v>
      </c>
      <c r="M257" s="208">
        <v>0</v>
      </c>
      <c r="N257" s="208">
        <v>0</v>
      </c>
      <c r="O257" s="208">
        <v>0</v>
      </c>
      <c r="P257" s="208">
        <v>-1443695</v>
      </c>
      <c r="Q257" s="208">
        <v>0</v>
      </c>
      <c r="R257" s="208">
        <v>-1443695</v>
      </c>
      <c r="S257" s="208">
        <v>11862130</v>
      </c>
      <c r="T257" s="208">
        <v>0</v>
      </c>
      <c r="U257" s="208">
        <v>11862130</v>
      </c>
      <c r="V257" s="208">
        <v>0</v>
      </c>
      <c r="W257" s="208">
        <v>0</v>
      </c>
      <c r="X257" s="208">
        <v>0</v>
      </c>
      <c r="Y257" s="208">
        <v>-11862130</v>
      </c>
      <c r="Z257" s="208">
        <v>0</v>
      </c>
      <c r="AA257" s="208">
        <v>-11862130</v>
      </c>
      <c r="AB257" s="208">
        <v>0</v>
      </c>
      <c r="AC257" s="208">
        <v>0</v>
      </c>
      <c r="AD257" s="208">
        <v>0</v>
      </c>
      <c r="AE257" s="208">
        <v>288222374</v>
      </c>
      <c r="AF257" s="208">
        <v>0</v>
      </c>
      <c r="AG257" s="208">
        <v>288222374</v>
      </c>
      <c r="AH257" s="208">
        <v>0</v>
      </c>
      <c r="AI257" s="208">
        <v>0</v>
      </c>
      <c r="AJ257" s="208">
        <v>0</v>
      </c>
      <c r="AK257" s="208">
        <v>0</v>
      </c>
      <c r="AL257" s="208">
        <v>0</v>
      </c>
      <c r="AM257" s="208">
        <v>0</v>
      </c>
      <c r="AN257" s="208">
        <v>0</v>
      </c>
      <c r="AO257" s="208">
        <v>0</v>
      </c>
      <c r="AP257" s="208">
        <v>0</v>
      </c>
      <c r="AQ257" s="208">
        <v>0</v>
      </c>
      <c r="AR257" s="208">
        <v>0</v>
      </c>
      <c r="AS257" s="208">
        <v>0</v>
      </c>
      <c r="AT257" s="208">
        <v>0</v>
      </c>
      <c r="AU257" s="208">
        <v>0</v>
      </c>
      <c r="AV257" s="208">
        <v>0</v>
      </c>
      <c r="AW257" s="208">
        <v>0</v>
      </c>
      <c r="AX257" s="208">
        <v>0</v>
      </c>
      <c r="AY257" s="208">
        <v>0</v>
      </c>
      <c r="AZ257" s="208">
        <v>0</v>
      </c>
      <c r="BA257" s="208">
        <v>0</v>
      </c>
      <c r="BB257" s="208">
        <v>0</v>
      </c>
      <c r="BC257" s="208">
        <v>0</v>
      </c>
      <c r="BD257" s="208">
        <v>0</v>
      </c>
      <c r="BE257" s="208">
        <v>0</v>
      </c>
      <c r="BF257" s="208">
        <v>0</v>
      </c>
      <c r="BG257" s="208">
        <v>0</v>
      </c>
      <c r="BH257" s="208">
        <v>0</v>
      </c>
      <c r="BI257" s="208">
        <v>0</v>
      </c>
      <c r="BJ257" s="208">
        <v>0</v>
      </c>
      <c r="BK257" s="208">
        <v>0</v>
      </c>
      <c r="BL257" s="208">
        <v>26656366</v>
      </c>
      <c r="BM257" s="208">
        <v>-24511394</v>
      </c>
      <c r="BN257" s="187" t="s">
        <v>591</v>
      </c>
      <c r="BO257" s="187" t="s">
        <v>767</v>
      </c>
      <c r="BP257" s="187" t="s">
        <v>743</v>
      </c>
      <c r="BQ257" s="187" t="s">
        <v>1057</v>
      </c>
    </row>
    <row r="258" spans="1:69" x14ac:dyDescent="0.2">
      <c r="A258" s="187" t="s">
        <v>1811</v>
      </c>
      <c r="B258" s="429" t="s">
        <v>594</v>
      </c>
      <c r="C258" s="429" t="s">
        <v>593</v>
      </c>
      <c r="D258" s="208">
        <v>51053496</v>
      </c>
      <c r="E258" s="208">
        <v>0</v>
      </c>
      <c r="F258" s="208">
        <v>51053496</v>
      </c>
      <c r="G258" s="208">
        <v>0</v>
      </c>
      <c r="H258" s="208">
        <v>0</v>
      </c>
      <c r="I258" s="208">
        <v>0</v>
      </c>
      <c r="J258" s="208">
        <v>-2682</v>
      </c>
      <c r="K258" s="208">
        <v>0</v>
      </c>
      <c r="L258" s="208">
        <v>-2682</v>
      </c>
      <c r="M258" s="208">
        <v>0</v>
      </c>
      <c r="N258" s="208">
        <v>0</v>
      </c>
      <c r="O258" s="208">
        <v>0</v>
      </c>
      <c r="P258" s="208">
        <v>-519000</v>
      </c>
      <c r="Q258" s="208">
        <v>0</v>
      </c>
      <c r="R258" s="208">
        <v>-519000</v>
      </c>
      <c r="S258" s="208">
        <v>848503</v>
      </c>
      <c r="T258" s="208">
        <v>0</v>
      </c>
      <c r="U258" s="208">
        <v>848503</v>
      </c>
      <c r="V258" s="208">
        <v>0</v>
      </c>
      <c r="W258" s="208">
        <v>0</v>
      </c>
      <c r="X258" s="208">
        <v>0</v>
      </c>
      <c r="Y258" s="208">
        <v>-400000</v>
      </c>
      <c r="Z258" s="208">
        <v>0</v>
      </c>
      <c r="AA258" s="208">
        <v>-400000</v>
      </c>
      <c r="AB258" s="208">
        <v>0</v>
      </c>
      <c r="AC258" s="208">
        <v>0</v>
      </c>
      <c r="AD258" s="208">
        <v>0</v>
      </c>
      <c r="AE258" s="208">
        <v>50982999</v>
      </c>
      <c r="AF258" s="208">
        <v>0</v>
      </c>
      <c r="AG258" s="208">
        <v>50982999</v>
      </c>
      <c r="AH258" s="208">
        <v>0</v>
      </c>
      <c r="AI258" s="208">
        <v>0</v>
      </c>
      <c r="AJ258" s="208">
        <v>0</v>
      </c>
      <c r="AK258" s="208">
        <v>0</v>
      </c>
      <c r="AL258" s="208">
        <v>0</v>
      </c>
      <c r="AM258" s="208">
        <v>0</v>
      </c>
      <c r="AN258" s="208">
        <v>0</v>
      </c>
      <c r="AO258" s="208">
        <v>0</v>
      </c>
      <c r="AP258" s="208">
        <v>0</v>
      </c>
      <c r="AQ258" s="208">
        <v>0</v>
      </c>
      <c r="AR258" s="208">
        <v>0</v>
      </c>
      <c r="AS258" s="208">
        <v>0</v>
      </c>
      <c r="AT258" s="208">
        <v>0</v>
      </c>
      <c r="AU258" s="208">
        <v>0</v>
      </c>
      <c r="AV258" s="208">
        <v>0</v>
      </c>
      <c r="AW258" s="208">
        <v>0</v>
      </c>
      <c r="AX258" s="208">
        <v>0</v>
      </c>
      <c r="AY258" s="208">
        <v>0</v>
      </c>
      <c r="AZ258" s="208">
        <v>0</v>
      </c>
      <c r="BA258" s="208">
        <v>0</v>
      </c>
      <c r="BB258" s="208">
        <v>0</v>
      </c>
      <c r="BC258" s="208">
        <v>0</v>
      </c>
      <c r="BD258" s="208">
        <v>0</v>
      </c>
      <c r="BE258" s="208">
        <v>0</v>
      </c>
      <c r="BF258" s="208">
        <v>0</v>
      </c>
      <c r="BG258" s="208">
        <v>0</v>
      </c>
      <c r="BH258" s="208">
        <v>0</v>
      </c>
      <c r="BI258" s="208">
        <v>0</v>
      </c>
      <c r="BJ258" s="208">
        <v>0</v>
      </c>
      <c r="BK258" s="208">
        <v>0</v>
      </c>
      <c r="BL258" s="208">
        <v>1706274</v>
      </c>
      <c r="BM258" s="208">
        <v>-863796</v>
      </c>
      <c r="BN258" s="187" t="s">
        <v>593</v>
      </c>
      <c r="BO258" s="187" t="s">
        <v>757</v>
      </c>
      <c r="BP258" s="187" t="s">
        <v>751</v>
      </c>
      <c r="BQ258" s="187" t="s">
        <v>1054</v>
      </c>
    </row>
    <row r="259" spans="1:69" x14ac:dyDescent="0.2">
      <c r="B259" s="429" t="s">
        <v>596</v>
      </c>
      <c r="C259" s="429" t="s">
        <v>595</v>
      </c>
      <c r="D259" s="208">
        <v>54990337</v>
      </c>
      <c r="E259" s="208">
        <v>614864</v>
      </c>
      <c r="F259" s="208">
        <v>55605201</v>
      </c>
      <c r="G259" s="208">
        <v>0</v>
      </c>
      <c r="H259" s="208">
        <v>0</v>
      </c>
      <c r="I259" s="208">
        <v>0</v>
      </c>
      <c r="J259" s="208">
        <v>-69373.94</v>
      </c>
      <c r="K259" s="208">
        <v>0</v>
      </c>
      <c r="L259" s="208">
        <v>-69373.94</v>
      </c>
      <c r="M259" s="208">
        <v>0</v>
      </c>
      <c r="N259" s="208">
        <v>0</v>
      </c>
      <c r="O259" s="208">
        <v>0</v>
      </c>
      <c r="P259" s="208">
        <v>-234374</v>
      </c>
      <c r="Q259" s="208">
        <v>0</v>
      </c>
      <c r="R259" s="208">
        <v>-234374</v>
      </c>
      <c r="S259" s="208">
        <v>3897712</v>
      </c>
      <c r="T259" s="208">
        <v>0</v>
      </c>
      <c r="U259" s="208">
        <v>3897712</v>
      </c>
      <c r="V259" s="208">
        <v>758148</v>
      </c>
      <c r="W259" s="208">
        <v>0</v>
      </c>
      <c r="X259" s="208">
        <v>758148</v>
      </c>
      <c r="Y259" s="208">
        <v>-8156908</v>
      </c>
      <c r="Z259" s="208">
        <v>0</v>
      </c>
      <c r="AA259" s="208">
        <v>-8156908</v>
      </c>
      <c r="AB259" s="208">
        <v>3255425</v>
      </c>
      <c r="AC259" s="208">
        <v>0</v>
      </c>
      <c r="AD259" s="208">
        <v>3255425</v>
      </c>
      <c r="AE259" s="208">
        <v>54510340</v>
      </c>
      <c r="AF259" s="208">
        <v>614864</v>
      </c>
      <c r="AG259" s="208">
        <v>55125204</v>
      </c>
      <c r="AH259" s="208">
        <v>614864</v>
      </c>
      <c r="AI259" s="208">
        <v>614864</v>
      </c>
      <c r="AJ259" s="208">
        <v>0</v>
      </c>
      <c r="AK259" s="208">
        <v>0</v>
      </c>
      <c r="AL259" s="208">
        <v>0</v>
      </c>
      <c r="AM259" s="208">
        <v>0</v>
      </c>
      <c r="AN259" s="208">
        <v>0</v>
      </c>
      <c r="AO259" s="208">
        <v>0</v>
      </c>
      <c r="AP259" s="208">
        <v>115928</v>
      </c>
      <c r="AQ259" s="208">
        <v>115928</v>
      </c>
      <c r="AR259" s="208">
        <v>1027067</v>
      </c>
      <c r="AS259" s="208">
        <v>1027067</v>
      </c>
      <c r="AT259" s="208">
        <v>257499</v>
      </c>
      <c r="AU259" s="208">
        <v>0</v>
      </c>
      <c r="AV259" s="208">
        <v>0</v>
      </c>
      <c r="AW259" s="208">
        <v>0</v>
      </c>
      <c r="AX259" s="208">
        <v>0</v>
      </c>
      <c r="AY259" s="208">
        <v>0</v>
      </c>
      <c r="AZ259" s="208">
        <v>0</v>
      </c>
      <c r="BA259" s="208">
        <v>0</v>
      </c>
      <c r="BB259" s="208">
        <v>0</v>
      </c>
      <c r="BC259" s="208">
        <v>0</v>
      </c>
      <c r="BD259" s="208">
        <v>0</v>
      </c>
      <c r="BE259" s="208">
        <v>0</v>
      </c>
      <c r="BF259" s="208">
        <v>0</v>
      </c>
      <c r="BG259" s="208">
        <v>0</v>
      </c>
      <c r="BH259" s="208">
        <v>0</v>
      </c>
      <c r="BI259" s="208">
        <v>0</v>
      </c>
      <c r="BJ259" s="208">
        <v>0</v>
      </c>
      <c r="BK259" s="208">
        <v>0</v>
      </c>
      <c r="BL259" s="208">
        <v>2203603</v>
      </c>
      <c r="BM259" s="208">
        <v>-919682</v>
      </c>
      <c r="BN259" s="187" t="s">
        <v>595</v>
      </c>
      <c r="BO259" s="187" t="s">
        <v>774</v>
      </c>
      <c r="BP259" s="187" t="s">
        <v>751</v>
      </c>
      <c r="BQ259" s="187" t="s">
        <v>1054</v>
      </c>
    </row>
    <row r="260" spans="1:69" x14ac:dyDescent="0.2">
      <c r="B260" s="429" t="s">
        <v>598</v>
      </c>
      <c r="C260" s="429" t="s">
        <v>597</v>
      </c>
      <c r="D260" s="208">
        <v>47794174</v>
      </c>
      <c r="E260" s="208">
        <v>0</v>
      </c>
      <c r="F260" s="208">
        <v>47794174</v>
      </c>
      <c r="G260" s="208">
        <v>0</v>
      </c>
      <c r="H260" s="208">
        <v>0</v>
      </c>
      <c r="I260" s="208">
        <v>0</v>
      </c>
      <c r="J260" s="208">
        <v>-222655</v>
      </c>
      <c r="K260" s="208">
        <v>0</v>
      </c>
      <c r="L260" s="208">
        <v>-222655</v>
      </c>
      <c r="M260" s="208">
        <v>0</v>
      </c>
      <c r="N260" s="208">
        <v>0</v>
      </c>
      <c r="O260" s="208">
        <v>0</v>
      </c>
      <c r="P260" s="208">
        <v>-165567</v>
      </c>
      <c r="Q260" s="208">
        <v>0</v>
      </c>
      <c r="R260" s="208">
        <v>-165567</v>
      </c>
      <c r="S260" s="208">
        <v>125386</v>
      </c>
      <c r="T260" s="208">
        <v>0</v>
      </c>
      <c r="U260" s="208">
        <v>125386</v>
      </c>
      <c r="V260" s="208">
        <v>932</v>
      </c>
      <c r="W260" s="208">
        <v>0</v>
      </c>
      <c r="X260" s="208">
        <v>932</v>
      </c>
      <c r="Y260" s="208">
        <v>263042</v>
      </c>
      <c r="Z260" s="208">
        <v>0</v>
      </c>
      <c r="AA260" s="208">
        <v>263042</v>
      </c>
      <c r="AB260" s="208">
        <v>-2294534</v>
      </c>
      <c r="AC260" s="208">
        <v>0</v>
      </c>
      <c r="AD260" s="208">
        <v>-2294534</v>
      </c>
      <c r="AE260" s="208">
        <v>45723433</v>
      </c>
      <c r="AF260" s="208">
        <v>0</v>
      </c>
      <c r="AG260" s="208">
        <v>45723433</v>
      </c>
      <c r="AH260" s="208">
        <v>0</v>
      </c>
      <c r="AI260" s="208">
        <v>0</v>
      </c>
      <c r="AJ260" s="208">
        <v>422348</v>
      </c>
      <c r="AK260" s="208">
        <v>0</v>
      </c>
      <c r="AL260" s="208">
        <v>422348</v>
      </c>
      <c r="AM260" s="208">
        <v>0</v>
      </c>
      <c r="AN260" s="208">
        <v>0</v>
      </c>
      <c r="AO260" s="208">
        <v>0</v>
      </c>
      <c r="AP260" s="208">
        <v>0</v>
      </c>
      <c r="AQ260" s="208">
        <v>0</v>
      </c>
      <c r="AR260" s="208">
        <v>0</v>
      </c>
      <c r="AS260" s="208">
        <v>0</v>
      </c>
      <c r="AT260" s="208">
        <v>0</v>
      </c>
      <c r="AU260" s="208">
        <v>0</v>
      </c>
      <c r="AV260" s="208">
        <v>0</v>
      </c>
      <c r="AW260" s="208">
        <v>0</v>
      </c>
      <c r="AX260" s="208">
        <v>0</v>
      </c>
      <c r="AY260" s="208">
        <v>0</v>
      </c>
      <c r="AZ260" s="208">
        <v>0</v>
      </c>
      <c r="BA260" s="208">
        <v>0</v>
      </c>
      <c r="BB260" s="208">
        <v>0</v>
      </c>
      <c r="BC260" s="208">
        <v>0</v>
      </c>
      <c r="BD260" s="208">
        <v>0</v>
      </c>
      <c r="BE260" s="208">
        <v>0</v>
      </c>
      <c r="BF260" s="208">
        <v>0</v>
      </c>
      <c r="BG260" s="208">
        <v>0</v>
      </c>
      <c r="BH260" s="208">
        <v>0</v>
      </c>
      <c r="BI260" s="208">
        <v>0</v>
      </c>
      <c r="BJ260" s="208">
        <v>0</v>
      </c>
      <c r="BK260" s="208">
        <v>0</v>
      </c>
      <c r="BL260" s="208">
        <v>1403674</v>
      </c>
      <c r="BM260" s="208">
        <v>-752120</v>
      </c>
      <c r="BN260" s="187" t="s">
        <v>597</v>
      </c>
      <c r="BO260" s="187" t="s">
        <v>778</v>
      </c>
      <c r="BP260" s="187" t="s">
        <v>751</v>
      </c>
      <c r="BQ260" s="187" t="s">
        <v>1054</v>
      </c>
    </row>
    <row r="261" spans="1:69" x14ac:dyDescent="0.2">
      <c r="B261" s="429" t="s">
        <v>600</v>
      </c>
      <c r="C261" s="429" t="s">
        <v>599</v>
      </c>
      <c r="D261" s="208">
        <v>51551750</v>
      </c>
      <c r="E261" s="208">
        <v>0</v>
      </c>
      <c r="F261" s="208">
        <v>51551750</v>
      </c>
      <c r="G261" s="208">
        <v>0</v>
      </c>
      <c r="H261" s="208">
        <v>0</v>
      </c>
      <c r="I261" s="208">
        <v>0</v>
      </c>
      <c r="J261" s="208">
        <v>-566698</v>
      </c>
      <c r="K261" s="208">
        <v>0</v>
      </c>
      <c r="L261" s="208">
        <v>-566698</v>
      </c>
      <c r="M261" s="208">
        <v>0</v>
      </c>
      <c r="N261" s="208">
        <v>0</v>
      </c>
      <c r="O261" s="208">
        <v>0</v>
      </c>
      <c r="P261" s="208">
        <v>-1624282</v>
      </c>
      <c r="Q261" s="208">
        <v>0</v>
      </c>
      <c r="R261" s="208">
        <v>-1624282</v>
      </c>
      <c r="S261" s="208">
        <v>430792</v>
      </c>
      <c r="T261" s="208">
        <v>0</v>
      </c>
      <c r="U261" s="208">
        <v>430792</v>
      </c>
      <c r="V261" s="208">
        <v>0</v>
      </c>
      <c r="W261" s="208">
        <v>0</v>
      </c>
      <c r="X261" s="208">
        <v>0</v>
      </c>
      <c r="Y261" s="208">
        <v>1976610</v>
      </c>
      <c r="Z261" s="208">
        <v>0</v>
      </c>
      <c r="AA261" s="208">
        <v>1976610</v>
      </c>
      <c r="AB261" s="208">
        <v>-2541501</v>
      </c>
      <c r="AC261" s="208">
        <v>0</v>
      </c>
      <c r="AD261" s="208">
        <v>-2541501</v>
      </c>
      <c r="AE261" s="208">
        <v>49793369</v>
      </c>
      <c r="AF261" s="208">
        <v>0</v>
      </c>
      <c r="AG261" s="208">
        <v>49793369</v>
      </c>
      <c r="AH261" s="208">
        <v>0</v>
      </c>
      <c r="AI261" s="208">
        <v>0</v>
      </c>
      <c r="AJ261" s="208">
        <v>0</v>
      </c>
      <c r="AK261" s="208">
        <v>0</v>
      </c>
      <c r="AL261" s="208">
        <v>0</v>
      </c>
      <c r="AM261" s="208">
        <v>0</v>
      </c>
      <c r="AN261" s="208">
        <v>0</v>
      </c>
      <c r="AO261" s="208">
        <v>0</v>
      </c>
      <c r="AP261" s="208">
        <v>0</v>
      </c>
      <c r="AQ261" s="208">
        <v>0</v>
      </c>
      <c r="AR261" s="208">
        <v>0</v>
      </c>
      <c r="AS261" s="208">
        <v>0</v>
      </c>
      <c r="AT261" s="208">
        <v>0</v>
      </c>
      <c r="AU261" s="208">
        <v>0</v>
      </c>
      <c r="AV261" s="208">
        <v>0</v>
      </c>
      <c r="AW261" s="208">
        <v>0</v>
      </c>
      <c r="AX261" s="208">
        <v>0</v>
      </c>
      <c r="AY261" s="208">
        <v>0</v>
      </c>
      <c r="AZ261" s="208">
        <v>0</v>
      </c>
      <c r="BA261" s="208">
        <v>0</v>
      </c>
      <c r="BB261" s="208">
        <v>0</v>
      </c>
      <c r="BC261" s="208">
        <v>0</v>
      </c>
      <c r="BD261" s="208">
        <v>0</v>
      </c>
      <c r="BE261" s="208">
        <v>0</v>
      </c>
      <c r="BF261" s="208">
        <v>0</v>
      </c>
      <c r="BG261" s="208">
        <v>0</v>
      </c>
      <c r="BH261" s="208">
        <v>0</v>
      </c>
      <c r="BI261" s="208">
        <v>0</v>
      </c>
      <c r="BJ261" s="208">
        <v>0</v>
      </c>
      <c r="BK261" s="208">
        <v>0</v>
      </c>
      <c r="BL261" s="208">
        <v>6122972</v>
      </c>
      <c r="BM261" s="208">
        <v>-1086200</v>
      </c>
      <c r="BN261" s="187" t="s">
        <v>599</v>
      </c>
      <c r="BO261" s="187" t="s">
        <v>754</v>
      </c>
      <c r="BP261" s="187" t="s">
        <v>758</v>
      </c>
      <c r="BQ261" s="187" t="s">
        <v>1056</v>
      </c>
    </row>
    <row r="262" spans="1:69" x14ac:dyDescent="0.2">
      <c r="B262" s="429" t="s">
        <v>602</v>
      </c>
      <c r="C262" s="429" t="s">
        <v>601</v>
      </c>
      <c r="D262" s="208">
        <v>51367258</v>
      </c>
      <c r="E262" s="208">
        <v>0</v>
      </c>
      <c r="F262" s="208">
        <v>51367258</v>
      </c>
      <c r="G262" s="208">
        <v>0</v>
      </c>
      <c r="H262" s="208">
        <v>0</v>
      </c>
      <c r="I262" s="208">
        <v>0</v>
      </c>
      <c r="J262" s="208">
        <v>-434151</v>
      </c>
      <c r="K262" s="208">
        <v>0</v>
      </c>
      <c r="L262" s="208">
        <v>-434151</v>
      </c>
      <c r="M262" s="208">
        <v>0</v>
      </c>
      <c r="N262" s="208">
        <v>0</v>
      </c>
      <c r="O262" s="208">
        <v>0</v>
      </c>
      <c r="P262" s="208">
        <v>-332662</v>
      </c>
      <c r="Q262" s="208">
        <v>0</v>
      </c>
      <c r="R262" s="208">
        <v>-332662</v>
      </c>
      <c r="S262" s="208">
        <v>750316</v>
      </c>
      <c r="T262" s="208">
        <v>0</v>
      </c>
      <c r="U262" s="208">
        <v>750316</v>
      </c>
      <c r="V262" s="208">
        <v>418679</v>
      </c>
      <c r="W262" s="208">
        <v>0</v>
      </c>
      <c r="X262" s="208">
        <v>418679</v>
      </c>
      <c r="Y262" s="208">
        <v>-3256361</v>
      </c>
      <c r="Z262" s="208">
        <v>0</v>
      </c>
      <c r="AA262" s="208">
        <v>-3256361</v>
      </c>
      <c r="AB262" s="208">
        <v>-4696292</v>
      </c>
      <c r="AC262" s="208">
        <v>0</v>
      </c>
      <c r="AD262" s="208">
        <v>-4696292</v>
      </c>
      <c r="AE262" s="208">
        <v>44250938</v>
      </c>
      <c r="AF262" s="208">
        <v>0</v>
      </c>
      <c r="AG262" s="208">
        <v>44250938</v>
      </c>
      <c r="AH262" s="208">
        <v>0</v>
      </c>
      <c r="AI262" s="208">
        <v>0</v>
      </c>
      <c r="AJ262" s="208">
        <v>0</v>
      </c>
      <c r="AK262" s="208">
        <v>0</v>
      </c>
      <c r="AL262" s="208">
        <v>0</v>
      </c>
      <c r="AM262" s="208">
        <v>0</v>
      </c>
      <c r="AN262" s="208">
        <v>0</v>
      </c>
      <c r="AO262" s="208">
        <v>0</v>
      </c>
      <c r="AP262" s="208">
        <v>0</v>
      </c>
      <c r="AQ262" s="208">
        <v>0</v>
      </c>
      <c r="AR262" s="208">
        <v>0</v>
      </c>
      <c r="AS262" s="208">
        <v>0</v>
      </c>
      <c r="AT262" s="208">
        <v>0</v>
      </c>
      <c r="AU262" s="208">
        <v>0</v>
      </c>
      <c r="AV262" s="208">
        <v>0</v>
      </c>
      <c r="AW262" s="208">
        <v>0</v>
      </c>
      <c r="AX262" s="208">
        <v>0</v>
      </c>
      <c r="AY262" s="208">
        <v>0</v>
      </c>
      <c r="AZ262" s="208">
        <v>0</v>
      </c>
      <c r="BA262" s="208">
        <v>0</v>
      </c>
      <c r="BB262" s="208">
        <v>0</v>
      </c>
      <c r="BC262" s="208">
        <v>0</v>
      </c>
      <c r="BD262" s="208">
        <v>0</v>
      </c>
      <c r="BE262" s="208">
        <v>0</v>
      </c>
      <c r="BF262" s="208">
        <v>0</v>
      </c>
      <c r="BG262" s="208">
        <v>0</v>
      </c>
      <c r="BH262" s="208">
        <v>0</v>
      </c>
      <c r="BI262" s="208">
        <v>0</v>
      </c>
      <c r="BJ262" s="208">
        <v>0</v>
      </c>
      <c r="BK262" s="208">
        <v>0</v>
      </c>
      <c r="BL262" s="208">
        <v>1274361</v>
      </c>
      <c r="BM262" s="208">
        <v>-523115</v>
      </c>
      <c r="BN262" s="187" t="s">
        <v>601</v>
      </c>
      <c r="BO262" s="187" t="s">
        <v>794</v>
      </c>
      <c r="BP262" s="187" t="s">
        <v>793</v>
      </c>
      <c r="BQ262" s="187" t="s">
        <v>1054</v>
      </c>
    </row>
    <row r="263" spans="1:69" x14ac:dyDescent="0.2">
      <c r="B263" s="429" t="s">
        <v>604</v>
      </c>
      <c r="C263" s="429" t="s">
        <v>603</v>
      </c>
      <c r="D263" s="208">
        <v>19989093</v>
      </c>
      <c r="E263" s="208">
        <v>0</v>
      </c>
      <c r="F263" s="208">
        <v>19989093</v>
      </c>
      <c r="G263" s="208">
        <v>0</v>
      </c>
      <c r="H263" s="208">
        <v>0</v>
      </c>
      <c r="I263" s="208">
        <v>0</v>
      </c>
      <c r="J263" s="208">
        <v>-7310</v>
      </c>
      <c r="K263" s="208">
        <v>0</v>
      </c>
      <c r="L263" s="208">
        <v>-7310</v>
      </c>
      <c r="M263" s="208">
        <v>0</v>
      </c>
      <c r="N263" s="208">
        <v>0</v>
      </c>
      <c r="O263" s="208">
        <v>0</v>
      </c>
      <c r="P263" s="208">
        <v>-95868</v>
      </c>
      <c r="Q263" s="208">
        <v>0</v>
      </c>
      <c r="R263" s="208">
        <v>-95868</v>
      </c>
      <c r="S263" s="208">
        <v>134159</v>
      </c>
      <c r="T263" s="208">
        <v>0</v>
      </c>
      <c r="U263" s="208">
        <v>134159</v>
      </c>
      <c r="V263" s="208">
        <v>9145</v>
      </c>
      <c r="W263" s="208">
        <v>0</v>
      </c>
      <c r="X263" s="208">
        <v>9145</v>
      </c>
      <c r="Y263" s="208">
        <v>-534621</v>
      </c>
      <c r="Z263" s="208">
        <v>0</v>
      </c>
      <c r="AA263" s="208">
        <v>-534621</v>
      </c>
      <c r="AB263" s="208">
        <v>-939487</v>
      </c>
      <c r="AC263" s="208">
        <v>0</v>
      </c>
      <c r="AD263" s="208">
        <v>-939487</v>
      </c>
      <c r="AE263" s="208">
        <v>18562421</v>
      </c>
      <c r="AF263" s="208">
        <v>0</v>
      </c>
      <c r="AG263" s="208">
        <v>18562421</v>
      </c>
      <c r="AH263" s="208">
        <v>0</v>
      </c>
      <c r="AI263" s="208">
        <v>0</v>
      </c>
      <c r="AJ263" s="208">
        <v>0</v>
      </c>
      <c r="AK263" s="208">
        <v>0</v>
      </c>
      <c r="AL263" s="208">
        <v>0</v>
      </c>
      <c r="AM263" s="208">
        <v>0</v>
      </c>
      <c r="AN263" s="208">
        <v>0</v>
      </c>
      <c r="AO263" s="208">
        <v>0</v>
      </c>
      <c r="AP263" s="208">
        <v>0</v>
      </c>
      <c r="AQ263" s="208">
        <v>0</v>
      </c>
      <c r="AR263" s="208">
        <v>0</v>
      </c>
      <c r="AS263" s="208">
        <v>0</v>
      </c>
      <c r="AT263" s="208">
        <v>0</v>
      </c>
      <c r="AU263" s="208">
        <v>0</v>
      </c>
      <c r="AV263" s="208">
        <v>0</v>
      </c>
      <c r="AW263" s="208">
        <v>0</v>
      </c>
      <c r="AX263" s="208">
        <v>0</v>
      </c>
      <c r="AY263" s="208">
        <v>0</v>
      </c>
      <c r="AZ263" s="208">
        <v>0</v>
      </c>
      <c r="BA263" s="208">
        <v>0</v>
      </c>
      <c r="BB263" s="208">
        <v>0</v>
      </c>
      <c r="BC263" s="208">
        <v>0</v>
      </c>
      <c r="BD263" s="208">
        <v>0</v>
      </c>
      <c r="BE263" s="208">
        <v>0</v>
      </c>
      <c r="BF263" s="208">
        <v>0</v>
      </c>
      <c r="BG263" s="208">
        <v>0</v>
      </c>
      <c r="BH263" s="208">
        <v>0</v>
      </c>
      <c r="BI263" s="208">
        <v>0</v>
      </c>
      <c r="BJ263" s="208">
        <v>0</v>
      </c>
      <c r="BK263" s="208">
        <v>0</v>
      </c>
      <c r="BL263" s="208">
        <v>639834</v>
      </c>
      <c r="BM263" s="208">
        <v>-423603</v>
      </c>
      <c r="BN263" s="187" t="s">
        <v>603</v>
      </c>
      <c r="BO263" s="187" t="s">
        <v>794</v>
      </c>
      <c r="BP263" s="187" t="s">
        <v>793</v>
      </c>
      <c r="BQ263" s="187" t="s">
        <v>1054</v>
      </c>
    </row>
    <row r="264" spans="1:69" x14ac:dyDescent="0.2">
      <c r="A264" s="188"/>
      <c r="B264" s="429" t="s">
        <v>606</v>
      </c>
      <c r="C264" s="429" t="s">
        <v>605</v>
      </c>
      <c r="D264" s="208">
        <v>45046939</v>
      </c>
      <c r="E264" s="208">
        <v>0</v>
      </c>
      <c r="F264" s="208">
        <v>45046939</v>
      </c>
      <c r="G264" s="208">
        <v>0</v>
      </c>
      <c r="H264" s="208">
        <v>0</v>
      </c>
      <c r="I264" s="208">
        <v>0</v>
      </c>
      <c r="J264" s="208">
        <v>-199518</v>
      </c>
      <c r="K264" s="208">
        <v>0</v>
      </c>
      <c r="L264" s="208">
        <v>-199518</v>
      </c>
      <c r="M264" s="208">
        <v>0</v>
      </c>
      <c r="N264" s="208">
        <v>0</v>
      </c>
      <c r="O264" s="208">
        <v>0</v>
      </c>
      <c r="P264" s="208">
        <v>195937</v>
      </c>
      <c r="Q264" s="208">
        <v>0</v>
      </c>
      <c r="R264" s="208">
        <v>195937</v>
      </c>
      <c r="S264" s="208">
        <v>2746317</v>
      </c>
      <c r="T264" s="208">
        <v>0</v>
      </c>
      <c r="U264" s="208">
        <v>2746317</v>
      </c>
      <c r="V264" s="208">
        <v>0</v>
      </c>
      <c r="W264" s="208">
        <v>0</v>
      </c>
      <c r="X264" s="208">
        <v>0</v>
      </c>
      <c r="Y264" s="208">
        <v>1661654</v>
      </c>
      <c r="Z264" s="208">
        <v>0</v>
      </c>
      <c r="AA264" s="208">
        <v>1661654</v>
      </c>
      <c r="AB264" s="208">
        <v>-4274319</v>
      </c>
      <c r="AC264" s="208">
        <v>0</v>
      </c>
      <c r="AD264" s="208">
        <v>-4274319</v>
      </c>
      <c r="AE264" s="208">
        <v>45376528</v>
      </c>
      <c r="AF264" s="208">
        <v>0</v>
      </c>
      <c r="AG264" s="208">
        <v>45376528</v>
      </c>
      <c r="AH264" s="208">
        <v>0</v>
      </c>
      <c r="AI264" s="208">
        <v>0</v>
      </c>
      <c r="AJ264" s="208">
        <v>0</v>
      </c>
      <c r="AK264" s="208">
        <v>0</v>
      </c>
      <c r="AL264" s="208">
        <v>0</v>
      </c>
      <c r="AM264" s="208">
        <v>0</v>
      </c>
      <c r="AN264" s="208">
        <v>0</v>
      </c>
      <c r="AO264" s="208">
        <v>0</v>
      </c>
      <c r="AP264" s="208">
        <v>0</v>
      </c>
      <c r="AQ264" s="208">
        <v>0</v>
      </c>
      <c r="AR264" s="208">
        <v>0</v>
      </c>
      <c r="AS264" s="208">
        <v>0</v>
      </c>
      <c r="AT264" s="208">
        <v>0</v>
      </c>
      <c r="AU264" s="208">
        <v>0</v>
      </c>
      <c r="AV264" s="208">
        <v>0</v>
      </c>
      <c r="AW264" s="208">
        <v>0</v>
      </c>
      <c r="AX264" s="208">
        <v>0</v>
      </c>
      <c r="AY264" s="208">
        <v>0</v>
      </c>
      <c r="AZ264" s="208">
        <v>0</v>
      </c>
      <c r="BA264" s="208">
        <v>0</v>
      </c>
      <c r="BB264" s="208">
        <v>0</v>
      </c>
      <c r="BC264" s="208">
        <v>0</v>
      </c>
      <c r="BD264" s="208">
        <v>0</v>
      </c>
      <c r="BE264" s="208">
        <v>0</v>
      </c>
      <c r="BF264" s="208">
        <v>0</v>
      </c>
      <c r="BG264" s="208">
        <v>0</v>
      </c>
      <c r="BH264" s="208">
        <v>0</v>
      </c>
      <c r="BI264" s="208">
        <v>0</v>
      </c>
      <c r="BJ264" s="208">
        <v>0</v>
      </c>
      <c r="BK264" s="208">
        <v>0</v>
      </c>
      <c r="BL264" s="208">
        <v>706253</v>
      </c>
      <c r="BM264" s="208">
        <v>-1192086</v>
      </c>
      <c r="BN264" s="187" t="s">
        <v>605</v>
      </c>
      <c r="BO264" s="187" t="s">
        <v>774</v>
      </c>
      <c r="BP264" s="187" t="s">
        <v>751</v>
      </c>
      <c r="BQ264" s="187" t="s">
        <v>1054</v>
      </c>
    </row>
    <row r="265" spans="1:69" x14ac:dyDescent="0.2">
      <c r="B265" s="429" t="s">
        <v>608</v>
      </c>
      <c r="C265" s="429" t="s">
        <v>607</v>
      </c>
      <c r="D265" s="208">
        <v>93556973</v>
      </c>
      <c r="E265" s="208">
        <v>0</v>
      </c>
      <c r="F265" s="208">
        <v>93556973</v>
      </c>
      <c r="G265" s="208">
        <v>0</v>
      </c>
      <c r="H265" s="208">
        <v>0</v>
      </c>
      <c r="I265" s="208">
        <v>0</v>
      </c>
      <c r="J265" s="208">
        <v>-1335911</v>
      </c>
      <c r="K265" s="208">
        <v>0</v>
      </c>
      <c r="L265" s="208">
        <v>-1335911</v>
      </c>
      <c r="M265" s="208">
        <v>0</v>
      </c>
      <c r="N265" s="208">
        <v>0</v>
      </c>
      <c r="O265" s="208">
        <v>0</v>
      </c>
      <c r="P265" s="208">
        <v>-2132096</v>
      </c>
      <c r="Q265" s="208">
        <v>0</v>
      </c>
      <c r="R265" s="208">
        <v>-2132096</v>
      </c>
      <c r="S265" s="208">
        <v>1392752</v>
      </c>
      <c r="T265" s="208">
        <v>0</v>
      </c>
      <c r="U265" s="208">
        <v>1392752</v>
      </c>
      <c r="V265" s="208">
        <v>473154</v>
      </c>
      <c r="W265" s="208">
        <v>0</v>
      </c>
      <c r="X265" s="208">
        <v>473154</v>
      </c>
      <c r="Y265" s="208">
        <v>-1061834</v>
      </c>
      <c r="Z265" s="208">
        <v>0</v>
      </c>
      <c r="AA265" s="208">
        <v>-1061834</v>
      </c>
      <c r="AB265" s="208">
        <v>-4930863</v>
      </c>
      <c r="AC265" s="208">
        <v>0</v>
      </c>
      <c r="AD265" s="208">
        <v>-4930863</v>
      </c>
      <c r="AE265" s="208">
        <v>87298086</v>
      </c>
      <c r="AF265" s="208">
        <v>0</v>
      </c>
      <c r="AG265" s="208">
        <v>87298086</v>
      </c>
      <c r="AH265" s="208">
        <v>0</v>
      </c>
      <c r="AI265" s="208">
        <v>0</v>
      </c>
      <c r="AJ265" s="208">
        <v>0</v>
      </c>
      <c r="AK265" s="208">
        <v>0</v>
      </c>
      <c r="AL265" s="208">
        <v>0</v>
      </c>
      <c r="AM265" s="208">
        <v>0</v>
      </c>
      <c r="AN265" s="208">
        <v>0</v>
      </c>
      <c r="AO265" s="208">
        <v>0</v>
      </c>
      <c r="AP265" s="208">
        <v>0</v>
      </c>
      <c r="AQ265" s="208">
        <v>0</v>
      </c>
      <c r="AR265" s="208">
        <v>0</v>
      </c>
      <c r="AS265" s="208">
        <v>0</v>
      </c>
      <c r="AT265" s="208">
        <v>0</v>
      </c>
      <c r="AU265" s="208">
        <v>0</v>
      </c>
      <c r="AV265" s="208">
        <v>0</v>
      </c>
      <c r="AW265" s="208">
        <v>0</v>
      </c>
      <c r="AX265" s="208">
        <v>0</v>
      </c>
      <c r="AY265" s="208">
        <v>0</v>
      </c>
      <c r="AZ265" s="208">
        <v>0</v>
      </c>
      <c r="BA265" s="208">
        <v>0</v>
      </c>
      <c r="BB265" s="208">
        <v>0</v>
      </c>
      <c r="BC265" s="208">
        <v>0</v>
      </c>
      <c r="BD265" s="208">
        <v>0</v>
      </c>
      <c r="BE265" s="208">
        <v>0</v>
      </c>
      <c r="BF265" s="208">
        <v>0</v>
      </c>
      <c r="BG265" s="208">
        <v>0</v>
      </c>
      <c r="BH265" s="208">
        <v>0</v>
      </c>
      <c r="BI265" s="208">
        <v>0</v>
      </c>
      <c r="BJ265" s="208">
        <v>0</v>
      </c>
      <c r="BK265" s="208">
        <v>0</v>
      </c>
      <c r="BL265" s="208">
        <v>6812549</v>
      </c>
      <c r="BM265" s="208">
        <v>-2548317</v>
      </c>
      <c r="BN265" s="187" t="s">
        <v>607</v>
      </c>
      <c r="BO265" s="187" t="s">
        <v>754</v>
      </c>
      <c r="BP265" s="187" t="s">
        <v>763</v>
      </c>
      <c r="BQ265" s="187" t="s">
        <v>1056</v>
      </c>
    </row>
    <row r="266" spans="1:69" x14ac:dyDescent="0.2">
      <c r="B266" s="429" t="s">
        <v>610</v>
      </c>
      <c r="C266" s="429" t="s">
        <v>609</v>
      </c>
      <c r="D266" s="208">
        <v>86809862</v>
      </c>
      <c r="E266" s="208">
        <v>244497</v>
      </c>
      <c r="F266" s="208">
        <v>87054359</v>
      </c>
      <c r="G266" s="208">
        <v>0</v>
      </c>
      <c r="H266" s="208">
        <v>0</v>
      </c>
      <c r="I266" s="208">
        <v>0</v>
      </c>
      <c r="J266" s="208">
        <v>-648322</v>
      </c>
      <c r="K266" s="208">
        <v>0</v>
      </c>
      <c r="L266" s="208">
        <v>-648322</v>
      </c>
      <c r="M266" s="208">
        <v>0</v>
      </c>
      <c r="N266" s="208">
        <v>0</v>
      </c>
      <c r="O266" s="208">
        <v>0</v>
      </c>
      <c r="P266" s="208">
        <v>-348322</v>
      </c>
      <c r="Q266" s="208">
        <v>0</v>
      </c>
      <c r="R266" s="208">
        <v>-348322</v>
      </c>
      <c r="S266" s="208">
        <v>1397962</v>
      </c>
      <c r="T266" s="208">
        <v>0</v>
      </c>
      <c r="U266" s="208">
        <v>1397962</v>
      </c>
      <c r="V266" s="208">
        <v>0</v>
      </c>
      <c r="W266" s="208">
        <v>0</v>
      </c>
      <c r="X266" s="208">
        <v>0</v>
      </c>
      <c r="Y266" s="208">
        <v>-6780462</v>
      </c>
      <c r="Z266" s="208">
        <v>0</v>
      </c>
      <c r="AA266" s="208">
        <v>-6780462</v>
      </c>
      <c r="AB266" s="208">
        <v>0</v>
      </c>
      <c r="AC266" s="208">
        <v>0</v>
      </c>
      <c r="AD266" s="208">
        <v>0</v>
      </c>
      <c r="AE266" s="208">
        <v>81079040</v>
      </c>
      <c r="AF266" s="208">
        <v>244497</v>
      </c>
      <c r="AG266" s="208">
        <v>81323537</v>
      </c>
      <c r="AH266" s="208">
        <v>244497</v>
      </c>
      <c r="AI266" s="208">
        <v>244497</v>
      </c>
      <c r="AJ266" s="208">
        <v>110533</v>
      </c>
      <c r="AK266" s="208">
        <v>0</v>
      </c>
      <c r="AL266" s="208">
        <v>110533</v>
      </c>
      <c r="AM266" s="208">
        <v>0</v>
      </c>
      <c r="AN266" s="208">
        <v>0</v>
      </c>
      <c r="AO266" s="208">
        <v>0</v>
      </c>
      <c r="AP266" s="208">
        <v>-54836</v>
      </c>
      <c r="AQ266" s="208">
        <v>-54836</v>
      </c>
      <c r="AR266" s="208">
        <v>74637</v>
      </c>
      <c r="AS266" s="208">
        <v>74637</v>
      </c>
      <c r="AT266" s="208">
        <v>115024</v>
      </c>
      <c r="AU266" s="208">
        <v>0</v>
      </c>
      <c r="AV266" s="208">
        <v>0</v>
      </c>
      <c r="AW266" s="208">
        <v>0</v>
      </c>
      <c r="AX266" s="208">
        <v>22992</v>
      </c>
      <c r="AY266" s="208">
        <v>60488</v>
      </c>
      <c r="AZ266" s="208">
        <v>83480</v>
      </c>
      <c r="BA266" s="208">
        <v>85793672</v>
      </c>
      <c r="BB266" s="208">
        <v>85793672</v>
      </c>
      <c r="BC266" s="208">
        <v>85745280</v>
      </c>
      <c r="BD266" s="208">
        <v>85745280</v>
      </c>
      <c r="BE266" s="208">
        <v>24196</v>
      </c>
      <c r="BF266" s="208">
        <v>24196</v>
      </c>
      <c r="BG266" s="208">
        <v>0</v>
      </c>
      <c r="BH266" s="208">
        <v>0</v>
      </c>
      <c r="BI266" s="208">
        <v>47188</v>
      </c>
      <c r="BJ266" s="208">
        <v>60488</v>
      </c>
      <c r="BK266" s="208">
        <v>107676</v>
      </c>
      <c r="BL266" s="208">
        <v>472537</v>
      </c>
      <c r="BM266" s="208">
        <v>-1510827</v>
      </c>
      <c r="BN266" s="187" t="s">
        <v>799</v>
      </c>
      <c r="BO266" s="187" t="s">
        <v>742</v>
      </c>
      <c r="BP266" s="187" t="s">
        <v>798</v>
      </c>
      <c r="BQ266" s="187" t="s">
        <v>742</v>
      </c>
    </row>
    <row r="267" spans="1:69" x14ac:dyDescent="0.2">
      <c r="B267" s="429" t="s">
        <v>612</v>
      </c>
      <c r="C267" s="429" t="s">
        <v>611</v>
      </c>
      <c r="D267" s="208">
        <v>91807694</v>
      </c>
      <c r="E267" s="208">
        <v>821713</v>
      </c>
      <c r="F267" s="208">
        <v>92629407</v>
      </c>
      <c r="G267" s="208">
        <v>0</v>
      </c>
      <c r="H267" s="208">
        <v>0</v>
      </c>
      <c r="I267" s="208">
        <v>0</v>
      </c>
      <c r="J267" s="208">
        <v>26936</v>
      </c>
      <c r="K267" s="208">
        <v>0</v>
      </c>
      <c r="L267" s="208">
        <v>26936</v>
      </c>
      <c r="M267" s="208">
        <v>0</v>
      </c>
      <c r="N267" s="208">
        <v>0</v>
      </c>
      <c r="O267" s="208">
        <v>0</v>
      </c>
      <c r="P267" s="208">
        <v>-1415236</v>
      </c>
      <c r="Q267" s="208">
        <v>0</v>
      </c>
      <c r="R267" s="208">
        <v>-1415236</v>
      </c>
      <c r="S267" s="208">
        <v>896829</v>
      </c>
      <c r="T267" s="208">
        <v>0</v>
      </c>
      <c r="U267" s="208">
        <v>896829</v>
      </c>
      <c r="V267" s="208">
        <v>0</v>
      </c>
      <c r="W267" s="208">
        <v>0</v>
      </c>
      <c r="X267" s="208">
        <v>0</v>
      </c>
      <c r="Y267" s="208">
        <v>-673533</v>
      </c>
      <c r="Z267" s="208">
        <v>0</v>
      </c>
      <c r="AA267" s="208">
        <v>-673533</v>
      </c>
      <c r="AB267" s="208">
        <v>-353296</v>
      </c>
      <c r="AC267" s="208">
        <v>0</v>
      </c>
      <c r="AD267" s="208">
        <v>-353296</v>
      </c>
      <c r="AE267" s="208">
        <v>90262458</v>
      </c>
      <c r="AF267" s="208">
        <v>821713</v>
      </c>
      <c r="AG267" s="208">
        <v>91084171</v>
      </c>
      <c r="AH267" s="208">
        <v>821713</v>
      </c>
      <c r="AI267" s="208">
        <v>821713</v>
      </c>
      <c r="AJ267" s="208">
        <v>0</v>
      </c>
      <c r="AK267" s="208">
        <v>0</v>
      </c>
      <c r="AL267" s="208">
        <v>0</v>
      </c>
      <c r="AM267" s="208">
        <v>0</v>
      </c>
      <c r="AN267" s="208">
        <v>0</v>
      </c>
      <c r="AO267" s="208">
        <v>0</v>
      </c>
      <c r="AP267" s="208">
        <v>4555</v>
      </c>
      <c r="AQ267" s="208">
        <v>4555</v>
      </c>
      <c r="AR267" s="208">
        <v>380847</v>
      </c>
      <c r="AS267" s="208">
        <v>380847</v>
      </c>
      <c r="AT267" s="208">
        <v>504668</v>
      </c>
      <c r="AU267" s="208">
        <v>0</v>
      </c>
      <c r="AV267" s="208">
        <v>0</v>
      </c>
      <c r="AW267" s="208">
        <v>0</v>
      </c>
      <c r="AX267" s="208">
        <v>0</v>
      </c>
      <c r="AY267" s="208">
        <v>67071</v>
      </c>
      <c r="AZ267" s="208">
        <v>67071</v>
      </c>
      <c r="BA267" s="208">
        <v>0</v>
      </c>
      <c r="BB267" s="208">
        <v>0</v>
      </c>
      <c r="BC267" s="208">
        <v>0</v>
      </c>
      <c r="BD267" s="208">
        <v>0</v>
      </c>
      <c r="BE267" s="208">
        <v>0</v>
      </c>
      <c r="BF267" s="208">
        <v>0</v>
      </c>
      <c r="BG267" s="208">
        <v>0</v>
      </c>
      <c r="BH267" s="208">
        <v>0</v>
      </c>
      <c r="BI267" s="208">
        <v>0</v>
      </c>
      <c r="BJ267" s="208">
        <v>67071</v>
      </c>
      <c r="BK267" s="208">
        <v>67071</v>
      </c>
      <c r="BL267" s="208">
        <v>5996801</v>
      </c>
      <c r="BM267" s="208">
        <v>-1323587</v>
      </c>
      <c r="BN267" s="187" t="s">
        <v>797</v>
      </c>
      <c r="BO267" s="187" t="s">
        <v>742</v>
      </c>
      <c r="BP267" s="187" t="s">
        <v>793</v>
      </c>
      <c r="BQ267" s="187" t="s">
        <v>742</v>
      </c>
    </row>
    <row r="268" spans="1:69" x14ac:dyDescent="0.2">
      <c r="B268" s="429" t="s">
        <v>614</v>
      </c>
      <c r="C268" s="429" t="s">
        <v>613</v>
      </c>
      <c r="D268" s="208">
        <v>56452818.579999998</v>
      </c>
      <c r="E268" s="208">
        <v>0</v>
      </c>
      <c r="F268" s="208">
        <v>56452818.579999998</v>
      </c>
      <c r="G268" s="208">
        <v>0</v>
      </c>
      <c r="H268" s="208">
        <v>0</v>
      </c>
      <c r="I268" s="208">
        <v>0</v>
      </c>
      <c r="J268" s="208">
        <v>-417952</v>
      </c>
      <c r="K268" s="208">
        <v>0</v>
      </c>
      <c r="L268" s="208">
        <v>-417952</v>
      </c>
      <c r="M268" s="208">
        <v>0</v>
      </c>
      <c r="N268" s="208">
        <v>0</v>
      </c>
      <c r="O268" s="208">
        <v>0</v>
      </c>
      <c r="P268" s="208">
        <v>-460441</v>
      </c>
      <c r="Q268" s="208">
        <v>0</v>
      </c>
      <c r="R268" s="208">
        <v>-460441</v>
      </c>
      <c r="S268" s="208">
        <v>0</v>
      </c>
      <c r="T268" s="208">
        <v>0</v>
      </c>
      <c r="U268" s="208">
        <v>0</v>
      </c>
      <c r="V268" s="208">
        <v>0</v>
      </c>
      <c r="W268" s="208">
        <v>0</v>
      </c>
      <c r="X268" s="208">
        <v>0</v>
      </c>
      <c r="Y268" s="208">
        <v>-823990</v>
      </c>
      <c r="Z268" s="208">
        <v>0</v>
      </c>
      <c r="AA268" s="208">
        <v>-823990</v>
      </c>
      <c r="AB268" s="208">
        <v>-2998431</v>
      </c>
      <c r="AC268" s="208">
        <v>0</v>
      </c>
      <c r="AD268" s="208">
        <v>-2998431</v>
      </c>
      <c r="AE268" s="208">
        <v>52169956.579999998</v>
      </c>
      <c r="AF268" s="208">
        <v>0</v>
      </c>
      <c r="AG268" s="208">
        <v>52169956.579999998</v>
      </c>
      <c r="AH268" s="208">
        <v>0</v>
      </c>
      <c r="AI268" s="208">
        <v>0</v>
      </c>
      <c r="AJ268" s="208">
        <v>32846</v>
      </c>
      <c r="AK268" s="208">
        <v>0</v>
      </c>
      <c r="AL268" s="208">
        <v>32846</v>
      </c>
      <c r="AM268" s="208">
        <v>0</v>
      </c>
      <c r="AN268" s="208">
        <v>0</v>
      </c>
      <c r="AO268" s="208">
        <v>0</v>
      </c>
      <c r="AP268" s="208">
        <v>0</v>
      </c>
      <c r="AQ268" s="208">
        <v>0</v>
      </c>
      <c r="AR268" s="208">
        <v>0</v>
      </c>
      <c r="AS268" s="208">
        <v>0</v>
      </c>
      <c r="AT268" s="208">
        <v>0</v>
      </c>
      <c r="AU268" s="208">
        <v>0</v>
      </c>
      <c r="AV268" s="208">
        <v>0</v>
      </c>
      <c r="AW268" s="208">
        <v>0</v>
      </c>
      <c r="AX268" s="208">
        <v>0</v>
      </c>
      <c r="AY268" s="208">
        <v>0</v>
      </c>
      <c r="AZ268" s="208">
        <v>0</v>
      </c>
      <c r="BA268" s="208">
        <v>0</v>
      </c>
      <c r="BB268" s="208">
        <v>0</v>
      </c>
      <c r="BC268" s="208">
        <v>0</v>
      </c>
      <c r="BD268" s="208">
        <v>0</v>
      </c>
      <c r="BE268" s="208">
        <v>0</v>
      </c>
      <c r="BF268" s="208">
        <v>0</v>
      </c>
      <c r="BG268" s="208">
        <v>0</v>
      </c>
      <c r="BH268" s="208">
        <v>0</v>
      </c>
      <c r="BI268" s="208">
        <v>0</v>
      </c>
      <c r="BJ268" s="208">
        <v>0</v>
      </c>
      <c r="BK268" s="208">
        <v>0</v>
      </c>
      <c r="BL268" s="208">
        <v>2392664</v>
      </c>
      <c r="BM268" s="208">
        <v>-814008</v>
      </c>
      <c r="BN268" s="187" t="s">
        <v>613</v>
      </c>
      <c r="BO268" s="187" t="s">
        <v>779</v>
      </c>
      <c r="BP268" s="187" t="s">
        <v>751</v>
      </c>
      <c r="BQ268" s="187" t="s">
        <v>1054</v>
      </c>
    </row>
    <row r="269" spans="1:69" x14ac:dyDescent="0.2">
      <c r="B269" s="429" t="s">
        <v>616</v>
      </c>
      <c r="C269" s="429" t="s">
        <v>615</v>
      </c>
      <c r="D269" s="208">
        <v>28357418</v>
      </c>
      <c r="E269" s="208">
        <v>0</v>
      </c>
      <c r="F269" s="208">
        <v>28357418</v>
      </c>
      <c r="G269" s="208">
        <v>0</v>
      </c>
      <c r="H269" s="208">
        <v>0</v>
      </c>
      <c r="I269" s="208">
        <v>0</v>
      </c>
      <c r="J269" s="208">
        <v>-170474</v>
      </c>
      <c r="K269" s="208">
        <v>0</v>
      </c>
      <c r="L269" s="208">
        <v>-170474</v>
      </c>
      <c r="M269" s="208">
        <v>98805</v>
      </c>
      <c r="N269" s="208">
        <v>0</v>
      </c>
      <c r="O269" s="208">
        <v>98805</v>
      </c>
      <c r="P269" s="208">
        <v>47421</v>
      </c>
      <c r="Q269" s="208">
        <v>0</v>
      </c>
      <c r="R269" s="208">
        <v>47421</v>
      </c>
      <c r="S269" s="208">
        <v>468958</v>
      </c>
      <c r="T269" s="208">
        <v>0</v>
      </c>
      <c r="U269" s="208">
        <v>468958</v>
      </c>
      <c r="V269" s="208">
        <v>0</v>
      </c>
      <c r="W269" s="208">
        <v>0</v>
      </c>
      <c r="X269" s="208">
        <v>0</v>
      </c>
      <c r="Y269" s="208">
        <v>268162</v>
      </c>
      <c r="Z269" s="208">
        <v>0</v>
      </c>
      <c r="AA269" s="208">
        <v>268162</v>
      </c>
      <c r="AB269" s="208">
        <v>-847483</v>
      </c>
      <c r="AC269" s="208">
        <v>0</v>
      </c>
      <c r="AD269" s="208">
        <v>-847483</v>
      </c>
      <c r="AE269" s="208">
        <v>28393281</v>
      </c>
      <c r="AF269" s="208">
        <v>0</v>
      </c>
      <c r="AG269" s="208">
        <v>28393281</v>
      </c>
      <c r="AH269" s="208">
        <v>0</v>
      </c>
      <c r="AI269" s="208">
        <v>0</v>
      </c>
      <c r="AJ269" s="208">
        <v>105970</v>
      </c>
      <c r="AK269" s="208">
        <v>0</v>
      </c>
      <c r="AL269" s="208">
        <v>105970</v>
      </c>
      <c r="AM269" s="208">
        <v>0</v>
      </c>
      <c r="AN269" s="208">
        <v>0</v>
      </c>
      <c r="AO269" s="208">
        <v>0</v>
      </c>
      <c r="AP269" s="208">
        <v>0</v>
      </c>
      <c r="AQ269" s="208">
        <v>0</v>
      </c>
      <c r="AR269" s="208">
        <v>0</v>
      </c>
      <c r="AS269" s="208">
        <v>0</v>
      </c>
      <c r="AT269" s="208">
        <v>0</v>
      </c>
      <c r="AU269" s="208">
        <v>0</v>
      </c>
      <c r="AV269" s="208">
        <v>0</v>
      </c>
      <c r="AW269" s="208">
        <v>0</v>
      </c>
      <c r="AX269" s="208">
        <v>0</v>
      </c>
      <c r="AY269" s="208">
        <v>0</v>
      </c>
      <c r="AZ269" s="208">
        <v>0</v>
      </c>
      <c r="BA269" s="208">
        <v>0</v>
      </c>
      <c r="BB269" s="208">
        <v>0</v>
      </c>
      <c r="BC269" s="208">
        <v>0</v>
      </c>
      <c r="BD269" s="208">
        <v>0</v>
      </c>
      <c r="BE269" s="208">
        <v>0</v>
      </c>
      <c r="BF269" s="208">
        <v>0</v>
      </c>
      <c r="BG269" s="208">
        <v>0</v>
      </c>
      <c r="BH269" s="208">
        <v>0</v>
      </c>
      <c r="BI269" s="208">
        <v>0</v>
      </c>
      <c r="BJ269" s="208">
        <v>0</v>
      </c>
      <c r="BK269" s="208">
        <v>0</v>
      </c>
      <c r="BL269" s="208">
        <v>609749</v>
      </c>
      <c r="BM269" s="208">
        <v>-527649</v>
      </c>
      <c r="BN269" s="187" t="s">
        <v>615</v>
      </c>
      <c r="BO269" s="187" t="s">
        <v>790</v>
      </c>
      <c r="BP269" s="187" t="s">
        <v>751</v>
      </c>
      <c r="BQ269" s="187" t="s">
        <v>1054</v>
      </c>
    </row>
    <row r="270" spans="1:69" x14ac:dyDescent="0.2">
      <c r="A270" s="187" t="s">
        <v>1817</v>
      </c>
      <c r="B270" s="429" t="s">
        <v>618</v>
      </c>
      <c r="C270" s="429" t="s">
        <v>617</v>
      </c>
      <c r="D270" s="208">
        <v>69426944</v>
      </c>
      <c r="E270" s="208">
        <v>0</v>
      </c>
      <c r="F270" s="208">
        <v>69426944</v>
      </c>
      <c r="G270" s="208">
        <v>0</v>
      </c>
      <c r="H270" s="208">
        <v>0</v>
      </c>
      <c r="I270" s="208">
        <v>0</v>
      </c>
      <c r="J270" s="208">
        <v>-373738</v>
      </c>
      <c r="K270" s="208">
        <v>0</v>
      </c>
      <c r="L270" s="208">
        <v>-373738</v>
      </c>
      <c r="M270" s="208">
        <v>0</v>
      </c>
      <c r="N270" s="208">
        <v>0</v>
      </c>
      <c r="O270" s="208">
        <v>0</v>
      </c>
      <c r="P270" s="208">
        <v>-436309</v>
      </c>
      <c r="Q270" s="208">
        <v>0</v>
      </c>
      <c r="R270" s="208">
        <v>-436309</v>
      </c>
      <c r="S270" s="208">
        <v>560210</v>
      </c>
      <c r="T270" s="208">
        <v>0</v>
      </c>
      <c r="U270" s="208">
        <v>560210</v>
      </c>
      <c r="V270" s="208">
        <v>1205</v>
      </c>
      <c r="W270" s="208">
        <v>0</v>
      </c>
      <c r="X270" s="208">
        <v>1205</v>
      </c>
      <c r="Y270" s="208">
        <v>2975693</v>
      </c>
      <c r="Z270" s="208">
        <v>0</v>
      </c>
      <c r="AA270" s="208">
        <v>2975693</v>
      </c>
      <c r="AB270" s="208">
        <v>-581135</v>
      </c>
      <c r="AC270" s="208">
        <v>0</v>
      </c>
      <c r="AD270" s="208">
        <v>-581135</v>
      </c>
      <c r="AE270" s="208">
        <v>71946608</v>
      </c>
      <c r="AF270" s="208">
        <v>0</v>
      </c>
      <c r="AG270" s="208">
        <v>71946608</v>
      </c>
      <c r="AH270" s="208">
        <v>0</v>
      </c>
      <c r="AI270" s="208">
        <v>0</v>
      </c>
      <c r="AJ270" s="208">
        <v>139065</v>
      </c>
      <c r="AK270" s="208">
        <v>0</v>
      </c>
      <c r="AL270" s="208">
        <v>139065</v>
      </c>
      <c r="AM270" s="208">
        <v>0</v>
      </c>
      <c r="AN270" s="208">
        <v>0</v>
      </c>
      <c r="AO270" s="208">
        <v>0</v>
      </c>
      <c r="AP270" s="208">
        <v>0</v>
      </c>
      <c r="AQ270" s="208">
        <v>0</v>
      </c>
      <c r="AR270" s="208">
        <v>0</v>
      </c>
      <c r="AS270" s="208">
        <v>0</v>
      </c>
      <c r="AT270" s="208">
        <v>0</v>
      </c>
      <c r="AU270" s="208">
        <v>0</v>
      </c>
      <c r="AV270" s="208">
        <v>0</v>
      </c>
      <c r="AW270" s="208">
        <v>0</v>
      </c>
      <c r="AX270" s="208">
        <v>0</v>
      </c>
      <c r="AY270" s="208">
        <v>0</v>
      </c>
      <c r="AZ270" s="208">
        <v>0</v>
      </c>
      <c r="BA270" s="208">
        <v>0</v>
      </c>
      <c r="BB270" s="208">
        <v>0</v>
      </c>
      <c r="BC270" s="208">
        <v>0</v>
      </c>
      <c r="BD270" s="208">
        <v>0</v>
      </c>
      <c r="BE270" s="208">
        <v>0</v>
      </c>
      <c r="BF270" s="208">
        <v>0</v>
      </c>
      <c r="BG270" s="208">
        <v>0</v>
      </c>
      <c r="BH270" s="208">
        <v>0</v>
      </c>
      <c r="BI270" s="208">
        <v>0</v>
      </c>
      <c r="BJ270" s="208">
        <v>0</v>
      </c>
      <c r="BK270" s="208">
        <v>0</v>
      </c>
      <c r="BL270" s="208">
        <v>2130454</v>
      </c>
      <c r="BM270" s="208">
        <v>-3222936</v>
      </c>
      <c r="BN270" s="187" t="s">
        <v>617</v>
      </c>
      <c r="BO270" s="187" t="s">
        <v>778</v>
      </c>
      <c r="BP270" s="187" t="s">
        <v>751</v>
      </c>
      <c r="BQ270" s="187" t="s">
        <v>1054</v>
      </c>
    </row>
    <row r="271" spans="1:69" x14ac:dyDescent="0.2">
      <c r="B271" s="429" t="s">
        <v>620</v>
      </c>
      <c r="C271" s="429" t="s">
        <v>619</v>
      </c>
      <c r="D271" s="208">
        <v>92218658</v>
      </c>
      <c r="E271" s="208">
        <v>889115</v>
      </c>
      <c r="F271" s="208">
        <v>93107773</v>
      </c>
      <c r="G271" s="208">
        <v>0</v>
      </c>
      <c r="H271" s="208">
        <v>0</v>
      </c>
      <c r="I271" s="208">
        <v>0</v>
      </c>
      <c r="J271" s="208">
        <v>-1649408</v>
      </c>
      <c r="K271" s="208">
        <v>0</v>
      </c>
      <c r="L271" s="208">
        <v>-1649408</v>
      </c>
      <c r="M271" s="208">
        <v>0</v>
      </c>
      <c r="N271" s="208">
        <v>0</v>
      </c>
      <c r="O271" s="208">
        <v>0</v>
      </c>
      <c r="P271" s="208">
        <v>-813753</v>
      </c>
      <c r="Q271" s="208">
        <v>0</v>
      </c>
      <c r="R271" s="208">
        <v>-813753</v>
      </c>
      <c r="S271" s="208">
        <v>3395073</v>
      </c>
      <c r="T271" s="208">
        <v>0</v>
      </c>
      <c r="U271" s="208">
        <v>3395073</v>
      </c>
      <c r="V271" s="208">
        <v>295419</v>
      </c>
      <c r="W271" s="208">
        <v>0</v>
      </c>
      <c r="X271" s="208">
        <v>295419</v>
      </c>
      <c r="Y271" s="208">
        <v>-207428</v>
      </c>
      <c r="Z271" s="208">
        <v>0</v>
      </c>
      <c r="AA271" s="208">
        <v>-207428</v>
      </c>
      <c r="AB271" s="208">
        <v>-3659264</v>
      </c>
      <c r="AC271" s="208">
        <v>0</v>
      </c>
      <c r="AD271" s="208">
        <v>-3659264</v>
      </c>
      <c r="AE271" s="208">
        <v>91228705</v>
      </c>
      <c r="AF271" s="208">
        <v>889115</v>
      </c>
      <c r="AG271" s="208">
        <v>92117820</v>
      </c>
      <c r="AH271" s="208">
        <v>889115</v>
      </c>
      <c r="AI271" s="208">
        <v>889115</v>
      </c>
      <c r="AJ271" s="208">
        <v>0</v>
      </c>
      <c r="AK271" s="208">
        <v>0</v>
      </c>
      <c r="AL271" s="208">
        <v>0</v>
      </c>
      <c r="AM271" s="208">
        <v>0</v>
      </c>
      <c r="AN271" s="208">
        <v>0</v>
      </c>
      <c r="AO271" s="208">
        <v>0</v>
      </c>
      <c r="AP271" s="208">
        <v>-72</v>
      </c>
      <c r="AQ271" s="208">
        <v>-72</v>
      </c>
      <c r="AR271" s="208">
        <v>138825</v>
      </c>
      <c r="AS271" s="208">
        <v>138825</v>
      </c>
      <c r="AT271" s="208">
        <v>750218</v>
      </c>
      <c r="AU271" s="208">
        <v>0</v>
      </c>
      <c r="AV271" s="208">
        <v>0</v>
      </c>
      <c r="AW271" s="208">
        <v>0</v>
      </c>
      <c r="AX271" s="208">
        <v>0</v>
      </c>
      <c r="AY271" s="208">
        <v>0</v>
      </c>
      <c r="AZ271" s="208">
        <v>0</v>
      </c>
      <c r="BA271" s="208">
        <v>0</v>
      </c>
      <c r="BB271" s="208">
        <v>0</v>
      </c>
      <c r="BC271" s="208">
        <v>0</v>
      </c>
      <c r="BD271" s="208">
        <v>0</v>
      </c>
      <c r="BE271" s="208">
        <v>0</v>
      </c>
      <c r="BF271" s="208">
        <v>0</v>
      </c>
      <c r="BG271" s="208">
        <v>0</v>
      </c>
      <c r="BH271" s="208">
        <v>0</v>
      </c>
      <c r="BI271" s="208">
        <v>0</v>
      </c>
      <c r="BJ271" s="208">
        <v>0</v>
      </c>
      <c r="BK271" s="208">
        <v>0</v>
      </c>
      <c r="BL271" s="208">
        <v>4323809</v>
      </c>
      <c r="BM271" s="208">
        <v>-598549</v>
      </c>
      <c r="BN271" s="187" t="s">
        <v>619</v>
      </c>
      <c r="BO271" s="187" t="s">
        <v>754</v>
      </c>
      <c r="BP271" s="187" t="s">
        <v>796</v>
      </c>
      <c r="BQ271" s="187" t="s">
        <v>1056</v>
      </c>
    </row>
    <row r="272" spans="1:69" x14ac:dyDescent="0.2">
      <c r="B272" s="429" t="s">
        <v>622</v>
      </c>
      <c r="C272" s="429" t="s">
        <v>621</v>
      </c>
      <c r="D272" s="208">
        <v>37182319</v>
      </c>
      <c r="E272" s="208">
        <v>0</v>
      </c>
      <c r="F272" s="208">
        <v>37182319</v>
      </c>
      <c r="G272" s="208">
        <v>0</v>
      </c>
      <c r="H272" s="208">
        <v>0</v>
      </c>
      <c r="I272" s="208">
        <v>0</v>
      </c>
      <c r="J272" s="208">
        <v>-9184</v>
      </c>
      <c r="K272" s="208">
        <v>0</v>
      </c>
      <c r="L272" s="208">
        <v>-9184</v>
      </c>
      <c r="M272" s="208">
        <v>0</v>
      </c>
      <c r="N272" s="208">
        <v>0</v>
      </c>
      <c r="O272" s="208">
        <v>0</v>
      </c>
      <c r="P272" s="208">
        <v>209752</v>
      </c>
      <c r="Q272" s="208">
        <v>0</v>
      </c>
      <c r="R272" s="208">
        <v>209752</v>
      </c>
      <c r="S272" s="208">
        <v>342280</v>
      </c>
      <c r="T272" s="208">
        <v>0</v>
      </c>
      <c r="U272" s="208">
        <v>342280</v>
      </c>
      <c r="V272" s="208">
        <v>196593</v>
      </c>
      <c r="W272" s="208">
        <v>0</v>
      </c>
      <c r="X272" s="208">
        <v>196593</v>
      </c>
      <c r="Y272" s="208">
        <v>-900457</v>
      </c>
      <c r="Z272" s="208">
        <v>0</v>
      </c>
      <c r="AA272" s="208">
        <v>-900457</v>
      </c>
      <c r="AB272" s="208">
        <v>5362105</v>
      </c>
      <c r="AC272" s="208">
        <v>0</v>
      </c>
      <c r="AD272" s="208">
        <v>5362105</v>
      </c>
      <c r="AE272" s="208">
        <v>42392592</v>
      </c>
      <c r="AF272" s="208">
        <v>0</v>
      </c>
      <c r="AG272" s="208">
        <v>42392592</v>
      </c>
      <c r="AH272" s="208">
        <v>0</v>
      </c>
      <c r="AI272" s="208">
        <v>0</v>
      </c>
      <c r="AJ272" s="208">
        <v>0</v>
      </c>
      <c r="AK272" s="208">
        <v>0</v>
      </c>
      <c r="AL272" s="208">
        <v>0</v>
      </c>
      <c r="AM272" s="208">
        <v>0</v>
      </c>
      <c r="AN272" s="208">
        <v>0</v>
      </c>
      <c r="AO272" s="208">
        <v>0</v>
      </c>
      <c r="AP272" s="208">
        <v>0</v>
      </c>
      <c r="AQ272" s="208">
        <v>0</v>
      </c>
      <c r="AR272" s="208">
        <v>0</v>
      </c>
      <c r="AS272" s="208">
        <v>0</v>
      </c>
      <c r="AT272" s="208">
        <v>0</v>
      </c>
      <c r="AU272" s="208">
        <v>0</v>
      </c>
      <c r="AV272" s="208">
        <v>0</v>
      </c>
      <c r="AW272" s="208">
        <v>0</v>
      </c>
      <c r="AX272" s="208">
        <v>0</v>
      </c>
      <c r="AY272" s="208">
        <v>0</v>
      </c>
      <c r="AZ272" s="208">
        <v>0</v>
      </c>
      <c r="BA272" s="208">
        <v>0</v>
      </c>
      <c r="BB272" s="208">
        <v>0</v>
      </c>
      <c r="BC272" s="208">
        <v>0</v>
      </c>
      <c r="BD272" s="208">
        <v>0</v>
      </c>
      <c r="BE272" s="208">
        <v>0</v>
      </c>
      <c r="BF272" s="208">
        <v>0</v>
      </c>
      <c r="BG272" s="208">
        <v>0</v>
      </c>
      <c r="BH272" s="208">
        <v>0</v>
      </c>
      <c r="BI272" s="208">
        <v>0</v>
      </c>
      <c r="BJ272" s="208">
        <v>0</v>
      </c>
      <c r="BK272" s="208">
        <v>0</v>
      </c>
      <c r="BL272" s="208">
        <v>2008884</v>
      </c>
      <c r="BM272" s="208">
        <v>-1027578</v>
      </c>
      <c r="BN272" s="187" t="s">
        <v>621</v>
      </c>
      <c r="BO272" s="187" t="s">
        <v>757</v>
      </c>
      <c r="BP272" s="187" t="s">
        <v>751</v>
      </c>
      <c r="BQ272" s="187" t="s">
        <v>1054</v>
      </c>
    </row>
    <row r="273" spans="2:69" x14ac:dyDescent="0.2">
      <c r="B273" s="429" t="s">
        <v>624</v>
      </c>
      <c r="C273" s="429" t="s">
        <v>623</v>
      </c>
      <c r="D273" s="208">
        <v>55199139</v>
      </c>
      <c r="E273" s="208">
        <v>0</v>
      </c>
      <c r="F273" s="208">
        <v>55199139</v>
      </c>
      <c r="G273" s="208">
        <v>0</v>
      </c>
      <c r="H273" s="208">
        <v>0</v>
      </c>
      <c r="I273" s="208">
        <v>0</v>
      </c>
      <c r="J273" s="208">
        <v>-654447</v>
      </c>
      <c r="K273" s="208">
        <v>0</v>
      </c>
      <c r="L273" s="208">
        <v>-654447</v>
      </c>
      <c r="M273" s="208">
        <v>0</v>
      </c>
      <c r="N273" s="208">
        <v>0</v>
      </c>
      <c r="O273" s="208">
        <v>0</v>
      </c>
      <c r="P273" s="208">
        <v>-460638</v>
      </c>
      <c r="Q273" s="208">
        <v>0</v>
      </c>
      <c r="R273" s="208">
        <v>-460638</v>
      </c>
      <c r="S273" s="208">
        <v>0</v>
      </c>
      <c r="T273" s="208">
        <v>0</v>
      </c>
      <c r="U273" s="208">
        <v>0</v>
      </c>
      <c r="V273" s="208">
        <v>941370</v>
      </c>
      <c r="W273" s="208">
        <v>0</v>
      </c>
      <c r="X273" s="208">
        <v>941370</v>
      </c>
      <c r="Y273" s="208">
        <v>0</v>
      </c>
      <c r="Z273" s="208">
        <v>0</v>
      </c>
      <c r="AA273" s="208">
        <v>0</v>
      </c>
      <c r="AB273" s="208">
        <v>0</v>
      </c>
      <c r="AC273" s="208">
        <v>0</v>
      </c>
      <c r="AD273" s="208">
        <v>0</v>
      </c>
      <c r="AE273" s="208">
        <v>55679871</v>
      </c>
      <c r="AF273" s="208">
        <v>0</v>
      </c>
      <c r="AG273" s="208">
        <v>55679871</v>
      </c>
      <c r="AH273" s="208">
        <v>0</v>
      </c>
      <c r="AI273" s="208">
        <v>0</v>
      </c>
      <c r="AJ273" s="208">
        <v>0</v>
      </c>
      <c r="AK273" s="208">
        <v>0</v>
      </c>
      <c r="AL273" s="208">
        <v>0</v>
      </c>
      <c r="AM273" s="208">
        <v>0</v>
      </c>
      <c r="AN273" s="208">
        <v>0</v>
      </c>
      <c r="AO273" s="208">
        <v>0</v>
      </c>
      <c r="AP273" s="208">
        <v>0</v>
      </c>
      <c r="AQ273" s="208">
        <v>0</v>
      </c>
      <c r="AR273" s="208">
        <v>0</v>
      </c>
      <c r="AS273" s="208">
        <v>0</v>
      </c>
      <c r="AT273" s="208">
        <v>0</v>
      </c>
      <c r="AU273" s="208">
        <v>0</v>
      </c>
      <c r="AV273" s="208">
        <v>0</v>
      </c>
      <c r="AW273" s="208">
        <v>0</v>
      </c>
      <c r="AX273" s="208">
        <v>0</v>
      </c>
      <c r="AY273" s="208">
        <v>0</v>
      </c>
      <c r="AZ273" s="208">
        <v>0</v>
      </c>
      <c r="BA273" s="208">
        <v>0</v>
      </c>
      <c r="BB273" s="208">
        <v>0</v>
      </c>
      <c r="BC273" s="208">
        <v>0</v>
      </c>
      <c r="BD273" s="208">
        <v>0</v>
      </c>
      <c r="BE273" s="208">
        <v>0</v>
      </c>
      <c r="BF273" s="208">
        <v>0</v>
      </c>
      <c r="BG273" s="208">
        <v>0</v>
      </c>
      <c r="BH273" s="208">
        <v>0</v>
      </c>
      <c r="BI273" s="208">
        <v>0</v>
      </c>
      <c r="BJ273" s="208">
        <v>0</v>
      </c>
      <c r="BK273" s="208">
        <v>0</v>
      </c>
      <c r="BL273" s="208">
        <v>1557907</v>
      </c>
      <c r="BM273" s="208">
        <v>-429756</v>
      </c>
      <c r="BN273" s="187" t="s">
        <v>623</v>
      </c>
      <c r="BO273" s="187" t="s">
        <v>767</v>
      </c>
      <c r="BP273" s="187" t="s">
        <v>743</v>
      </c>
      <c r="BQ273" s="187" t="s">
        <v>1055</v>
      </c>
    </row>
    <row r="274" spans="2:69" x14ac:dyDescent="0.2">
      <c r="B274" s="429" t="s">
        <v>626</v>
      </c>
      <c r="C274" s="429" t="s">
        <v>625</v>
      </c>
      <c r="D274" s="208">
        <v>50535329</v>
      </c>
      <c r="E274" s="208">
        <v>0</v>
      </c>
      <c r="F274" s="208">
        <v>50535329</v>
      </c>
      <c r="G274" s="208">
        <v>0</v>
      </c>
      <c r="H274" s="208">
        <v>0</v>
      </c>
      <c r="I274" s="208">
        <v>0</v>
      </c>
      <c r="J274" s="208">
        <v>-198944</v>
      </c>
      <c r="K274" s="208">
        <v>0</v>
      </c>
      <c r="L274" s="208">
        <v>-198944</v>
      </c>
      <c r="M274" s="208">
        <v>0</v>
      </c>
      <c r="N274" s="208">
        <v>0</v>
      </c>
      <c r="O274" s="208">
        <v>0</v>
      </c>
      <c r="P274" s="208">
        <v>-365194</v>
      </c>
      <c r="Q274" s="208">
        <v>0</v>
      </c>
      <c r="R274" s="208">
        <v>-365194</v>
      </c>
      <c r="S274" s="208">
        <v>327436</v>
      </c>
      <c r="T274" s="208">
        <v>0</v>
      </c>
      <c r="U274" s="208">
        <v>327436</v>
      </c>
      <c r="V274" s="208">
        <v>0</v>
      </c>
      <c r="W274" s="208">
        <v>0</v>
      </c>
      <c r="X274" s="208">
        <v>0</v>
      </c>
      <c r="Y274" s="208">
        <v>574138</v>
      </c>
      <c r="Z274" s="208">
        <v>0</v>
      </c>
      <c r="AA274" s="208">
        <v>574138</v>
      </c>
      <c r="AB274" s="208">
        <v>-2321680</v>
      </c>
      <c r="AC274" s="208">
        <v>0</v>
      </c>
      <c r="AD274" s="208">
        <v>-2321680</v>
      </c>
      <c r="AE274" s="208">
        <v>48750029</v>
      </c>
      <c r="AF274" s="208">
        <v>0</v>
      </c>
      <c r="AG274" s="208">
        <v>48750029</v>
      </c>
      <c r="AH274" s="208">
        <v>0</v>
      </c>
      <c r="AI274" s="208">
        <v>0</v>
      </c>
      <c r="AJ274" s="208">
        <v>1239272</v>
      </c>
      <c r="AK274" s="208">
        <v>0</v>
      </c>
      <c r="AL274" s="208">
        <v>1239272</v>
      </c>
      <c r="AM274" s="208">
        <v>0</v>
      </c>
      <c r="AN274" s="208">
        <v>0</v>
      </c>
      <c r="AO274" s="208">
        <v>0</v>
      </c>
      <c r="AP274" s="208">
        <v>0</v>
      </c>
      <c r="AQ274" s="208">
        <v>0</v>
      </c>
      <c r="AR274" s="208">
        <v>0</v>
      </c>
      <c r="AS274" s="208">
        <v>0</v>
      </c>
      <c r="AT274" s="208">
        <v>0</v>
      </c>
      <c r="AU274" s="208">
        <v>0</v>
      </c>
      <c r="AV274" s="208">
        <v>0</v>
      </c>
      <c r="AW274" s="208">
        <v>0</v>
      </c>
      <c r="AX274" s="208">
        <v>0</v>
      </c>
      <c r="AY274" s="208">
        <v>0</v>
      </c>
      <c r="AZ274" s="208">
        <v>0</v>
      </c>
      <c r="BA274" s="208">
        <v>0</v>
      </c>
      <c r="BB274" s="208">
        <v>0</v>
      </c>
      <c r="BC274" s="208">
        <v>0</v>
      </c>
      <c r="BD274" s="208">
        <v>0</v>
      </c>
      <c r="BE274" s="208">
        <v>0</v>
      </c>
      <c r="BF274" s="208">
        <v>0</v>
      </c>
      <c r="BG274" s="208">
        <v>0</v>
      </c>
      <c r="BH274" s="208">
        <v>0</v>
      </c>
      <c r="BI274" s="208">
        <v>0</v>
      </c>
      <c r="BJ274" s="208">
        <v>0</v>
      </c>
      <c r="BK274" s="208">
        <v>0</v>
      </c>
      <c r="BL274" s="208">
        <v>2446477</v>
      </c>
      <c r="BM274" s="208">
        <v>-954701</v>
      </c>
      <c r="BN274" s="187" t="s">
        <v>625</v>
      </c>
      <c r="BO274" s="187" t="s">
        <v>786</v>
      </c>
      <c r="BP274" s="187" t="s">
        <v>785</v>
      </c>
      <c r="BQ274" s="187" t="s">
        <v>1054</v>
      </c>
    </row>
    <row r="275" spans="2:69" x14ac:dyDescent="0.2">
      <c r="B275" s="429" t="s">
        <v>628</v>
      </c>
      <c r="C275" s="429" t="s">
        <v>627</v>
      </c>
      <c r="D275" s="208">
        <v>112593880</v>
      </c>
      <c r="E275" s="208">
        <v>0</v>
      </c>
      <c r="F275" s="208">
        <v>112593880</v>
      </c>
      <c r="G275" s="208">
        <v>0</v>
      </c>
      <c r="H275" s="208">
        <v>0</v>
      </c>
      <c r="I275" s="208">
        <v>0</v>
      </c>
      <c r="J275" s="208">
        <v>-815638</v>
      </c>
      <c r="K275" s="208">
        <v>0</v>
      </c>
      <c r="L275" s="208">
        <v>-815638</v>
      </c>
      <c r="M275" s="208">
        <v>0</v>
      </c>
      <c r="N275" s="208">
        <v>0</v>
      </c>
      <c r="O275" s="208">
        <v>0</v>
      </c>
      <c r="P275" s="208">
        <v>-891002</v>
      </c>
      <c r="Q275" s="208">
        <v>0</v>
      </c>
      <c r="R275" s="208">
        <v>-891002</v>
      </c>
      <c r="S275" s="208">
        <v>561415</v>
      </c>
      <c r="T275" s="208">
        <v>0</v>
      </c>
      <c r="U275" s="208">
        <v>561415</v>
      </c>
      <c r="V275" s="208">
        <v>110864</v>
      </c>
      <c r="W275" s="208">
        <v>0</v>
      </c>
      <c r="X275" s="208">
        <v>110864</v>
      </c>
      <c r="Y275" s="208">
        <v>182597</v>
      </c>
      <c r="Z275" s="208">
        <v>0</v>
      </c>
      <c r="AA275" s="208">
        <v>182597</v>
      </c>
      <c r="AB275" s="208">
        <v>-3919408</v>
      </c>
      <c r="AC275" s="208">
        <v>0</v>
      </c>
      <c r="AD275" s="208">
        <v>-3919408</v>
      </c>
      <c r="AE275" s="208">
        <v>108638346</v>
      </c>
      <c r="AF275" s="208">
        <v>0</v>
      </c>
      <c r="AG275" s="208">
        <v>108638346</v>
      </c>
      <c r="AH275" s="208">
        <v>0</v>
      </c>
      <c r="AI275" s="208">
        <v>0</v>
      </c>
      <c r="AJ275" s="208">
        <v>567166</v>
      </c>
      <c r="AK275" s="208">
        <v>0</v>
      </c>
      <c r="AL275" s="208">
        <v>567166</v>
      </c>
      <c r="AM275" s="208">
        <v>0</v>
      </c>
      <c r="AN275" s="208">
        <v>0</v>
      </c>
      <c r="AO275" s="208">
        <v>0</v>
      </c>
      <c r="AP275" s="208">
        <v>0</v>
      </c>
      <c r="AQ275" s="208">
        <v>0</v>
      </c>
      <c r="AR275" s="208">
        <v>0</v>
      </c>
      <c r="AS275" s="208">
        <v>0</v>
      </c>
      <c r="AT275" s="208">
        <v>0</v>
      </c>
      <c r="AU275" s="208">
        <v>0</v>
      </c>
      <c r="AV275" s="208">
        <v>0</v>
      </c>
      <c r="AW275" s="208">
        <v>0</v>
      </c>
      <c r="AX275" s="208">
        <v>0</v>
      </c>
      <c r="AY275" s="208">
        <v>0</v>
      </c>
      <c r="AZ275" s="208">
        <v>0</v>
      </c>
      <c r="BA275" s="208">
        <v>0</v>
      </c>
      <c r="BB275" s="208">
        <v>0</v>
      </c>
      <c r="BC275" s="208">
        <v>0</v>
      </c>
      <c r="BD275" s="208">
        <v>0</v>
      </c>
      <c r="BE275" s="208">
        <v>0</v>
      </c>
      <c r="BF275" s="208">
        <v>0</v>
      </c>
      <c r="BG275" s="208">
        <v>0</v>
      </c>
      <c r="BH275" s="208">
        <v>0</v>
      </c>
      <c r="BI275" s="208">
        <v>0</v>
      </c>
      <c r="BJ275" s="208">
        <v>0</v>
      </c>
      <c r="BK275" s="208">
        <v>0</v>
      </c>
      <c r="BL275" s="208">
        <v>3849705</v>
      </c>
      <c r="BM275" s="208">
        <v>-983333</v>
      </c>
      <c r="BN275" s="187" t="s">
        <v>795</v>
      </c>
      <c r="BO275" s="187" t="s">
        <v>742</v>
      </c>
      <c r="BP275" s="187" t="s">
        <v>762</v>
      </c>
      <c r="BQ275" s="187" t="s">
        <v>742</v>
      </c>
    </row>
    <row r="276" spans="2:69" x14ac:dyDescent="0.2">
      <c r="B276" s="429" t="s">
        <v>630</v>
      </c>
      <c r="C276" s="429" t="s">
        <v>629</v>
      </c>
      <c r="D276" s="208">
        <v>56569278</v>
      </c>
      <c r="E276" s="208">
        <v>0</v>
      </c>
      <c r="F276" s="208">
        <v>56569278</v>
      </c>
      <c r="G276" s="208">
        <v>0</v>
      </c>
      <c r="H276" s="208">
        <v>0</v>
      </c>
      <c r="I276" s="208">
        <v>0</v>
      </c>
      <c r="J276" s="208">
        <v>-1822650</v>
      </c>
      <c r="K276" s="208">
        <v>0</v>
      </c>
      <c r="L276" s="208">
        <v>-1822650</v>
      </c>
      <c r="M276" s="208">
        <v>0</v>
      </c>
      <c r="N276" s="208">
        <v>0</v>
      </c>
      <c r="O276" s="208">
        <v>0</v>
      </c>
      <c r="P276" s="208">
        <v>-1583972</v>
      </c>
      <c r="Q276" s="208">
        <v>0</v>
      </c>
      <c r="R276" s="208">
        <v>-1583972</v>
      </c>
      <c r="S276" s="208">
        <v>876833</v>
      </c>
      <c r="T276" s="208">
        <v>0</v>
      </c>
      <c r="U276" s="208">
        <v>876833</v>
      </c>
      <c r="V276" s="208">
        <v>13007</v>
      </c>
      <c r="W276" s="208">
        <v>0</v>
      </c>
      <c r="X276" s="208">
        <v>13007</v>
      </c>
      <c r="Y276" s="208">
        <v>502767</v>
      </c>
      <c r="Z276" s="208">
        <v>0</v>
      </c>
      <c r="AA276" s="208">
        <v>502767</v>
      </c>
      <c r="AB276" s="208">
        <v>-3393419</v>
      </c>
      <c r="AC276" s="208">
        <v>0</v>
      </c>
      <c r="AD276" s="208">
        <v>-3393419</v>
      </c>
      <c r="AE276" s="208">
        <v>52984494</v>
      </c>
      <c r="AF276" s="208">
        <v>0</v>
      </c>
      <c r="AG276" s="208">
        <v>52984494</v>
      </c>
      <c r="AH276" s="208">
        <v>0</v>
      </c>
      <c r="AI276" s="208">
        <v>0</v>
      </c>
      <c r="AJ276" s="208">
        <v>0</v>
      </c>
      <c r="AK276" s="208">
        <v>0</v>
      </c>
      <c r="AL276" s="208">
        <v>0</v>
      </c>
      <c r="AM276" s="208">
        <v>0</v>
      </c>
      <c r="AN276" s="208">
        <v>0</v>
      </c>
      <c r="AO276" s="208">
        <v>0</v>
      </c>
      <c r="AP276" s="208">
        <v>0</v>
      </c>
      <c r="AQ276" s="208">
        <v>0</v>
      </c>
      <c r="AR276" s="208">
        <v>0</v>
      </c>
      <c r="AS276" s="208">
        <v>0</v>
      </c>
      <c r="AT276" s="208">
        <v>0</v>
      </c>
      <c r="AU276" s="208">
        <v>0</v>
      </c>
      <c r="AV276" s="208">
        <v>0</v>
      </c>
      <c r="AW276" s="208">
        <v>0</v>
      </c>
      <c r="AX276" s="208">
        <v>0</v>
      </c>
      <c r="AY276" s="208">
        <v>0</v>
      </c>
      <c r="AZ276" s="208">
        <v>0</v>
      </c>
      <c r="BA276" s="208">
        <v>0</v>
      </c>
      <c r="BB276" s="208">
        <v>0</v>
      </c>
      <c r="BC276" s="208">
        <v>0</v>
      </c>
      <c r="BD276" s="208">
        <v>0</v>
      </c>
      <c r="BE276" s="208">
        <v>0</v>
      </c>
      <c r="BF276" s="208">
        <v>0</v>
      </c>
      <c r="BG276" s="208">
        <v>0</v>
      </c>
      <c r="BH276" s="208">
        <v>0</v>
      </c>
      <c r="BI276" s="208">
        <v>0</v>
      </c>
      <c r="BJ276" s="208">
        <v>0</v>
      </c>
      <c r="BK276" s="208">
        <v>0</v>
      </c>
      <c r="BL276" s="208">
        <v>5509729</v>
      </c>
      <c r="BM276" s="208">
        <v>-1891877</v>
      </c>
      <c r="BN276" s="187" t="s">
        <v>629</v>
      </c>
      <c r="BO276" s="187" t="s">
        <v>754</v>
      </c>
      <c r="BP276" s="187" t="s">
        <v>763</v>
      </c>
      <c r="BQ276" s="187" t="s">
        <v>1056</v>
      </c>
    </row>
    <row r="277" spans="2:69" x14ac:dyDescent="0.2">
      <c r="B277" s="429" t="s">
        <v>632</v>
      </c>
      <c r="C277" s="429" t="s">
        <v>631</v>
      </c>
      <c r="D277" s="208">
        <v>35469428</v>
      </c>
      <c r="E277" s="208">
        <v>0</v>
      </c>
      <c r="F277" s="208">
        <v>35469428</v>
      </c>
      <c r="G277" s="208">
        <v>0</v>
      </c>
      <c r="H277" s="208">
        <v>0</v>
      </c>
      <c r="I277" s="208">
        <v>0</v>
      </c>
      <c r="J277" s="208">
        <v>-380379</v>
      </c>
      <c r="K277" s="208">
        <v>0</v>
      </c>
      <c r="L277" s="208">
        <v>-380379</v>
      </c>
      <c r="M277" s="208">
        <v>0</v>
      </c>
      <c r="N277" s="208">
        <v>0</v>
      </c>
      <c r="O277" s="208">
        <v>0</v>
      </c>
      <c r="P277" s="208">
        <v>-189415</v>
      </c>
      <c r="Q277" s="208">
        <v>0</v>
      </c>
      <c r="R277" s="208">
        <v>-189415</v>
      </c>
      <c r="S277" s="208">
        <v>244168</v>
      </c>
      <c r="T277" s="208">
        <v>0</v>
      </c>
      <c r="U277" s="208">
        <v>244168</v>
      </c>
      <c r="V277" s="208">
        <v>220092</v>
      </c>
      <c r="W277" s="208">
        <v>0</v>
      </c>
      <c r="X277" s="208">
        <v>220092</v>
      </c>
      <c r="Y277" s="208">
        <v>738500</v>
      </c>
      <c r="Z277" s="208">
        <v>0</v>
      </c>
      <c r="AA277" s="208">
        <v>738500</v>
      </c>
      <c r="AB277" s="208">
        <v>-1878348</v>
      </c>
      <c r="AC277" s="208">
        <v>0</v>
      </c>
      <c r="AD277" s="208">
        <v>-1878348</v>
      </c>
      <c r="AE277" s="208">
        <v>34604425</v>
      </c>
      <c r="AF277" s="208">
        <v>0</v>
      </c>
      <c r="AG277" s="208">
        <v>34604425</v>
      </c>
      <c r="AH277" s="208">
        <v>0</v>
      </c>
      <c r="AI277" s="208">
        <v>0</v>
      </c>
      <c r="AJ277" s="208">
        <v>0</v>
      </c>
      <c r="AK277" s="208">
        <v>0</v>
      </c>
      <c r="AL277" s="208">
        <v>0</v>
      </c>
      <c r="AM277" s="208">
        <v>0</v>
      </c>
      <c r="AN277" s="208">
        <v>0</v>
      </c>
      <c r="AO277" s="208">
        <v>0</v>
      </c>
      <c r="AP277" s="208">
        <v>0</v>
      </c>
      <c r="AQ277" s="208">
        <v>0</v>
      </c>
      <c r="AR277" s="208">
        <v>0</v>
      </c>
      <c r="AS277" s="208">
        <v>0</v>
      </c>
      <c r="AT277" s="208">
        <v>0</v>
      </c>
      <c r="AU277" s="208">
        <v>0</v>
      </c>
      <c r="AV277" s="208">
        <v>0</v>
      </c>
      <c r="AW277" s="208">
        <v>0</v>
      </c>
      <c r="AX277" s="208">
        <v>0</v>
      </c>
      <c r="AY277" s="208">
        <v>0</v>
      </c>
      <c r="AZ277" s="208">
        <v>0</v>
      </c>
      <c r="BA277" s="208">
        <v>0</v>
      </c>
      <c r="BB277" s="208">
        <v>0</v>
      </c>
      <c r="BC277" s="208">
        <v>0</v>
      </c>
      <c r="BD277" s="208">
        <v>0</v>
      </c>
      <c r="BE277" s="208">
        <v>0</v>
      </c>
      <c r="BF277" s="208">
        <v>0</v>
      </c>
      <c r="BG277" s="208">
        <v>0</v>
      </c>
      <c r="BH277" s="208">
        <v>0</v>
      </c>
      <c r="BI277" s="208">
        <v>0</v>
      </c>
      <c r="BJ277" s="208">
        <v>0</v>
      </c>
      <c r="BK277" s="208">
        <v>0</v>
      </c>
      <c r="BL277" s="208">
        <v>641718</v>
      </c>
      <c r="BM277" s="208">
        <v>-1165967</v>
      </c>
      <c r="BN277" s="187" t="s">
        <v>631</v>
      </c>
      <c r="BO277" s="187" t="s">
        <v>794</v>
      </c>
      <c r="BP277" s="187" t="s">
        <v>793</v>
      </c>
      <c r="BQ277" s="187" t="s">
        <v>1054</v>
      </c>
    </row>
    <row r="278" spans="2:69" x14ac:dyDescent="0.2">
      <c r="B278" s="429" t="s">
        <v>634</v>
      </c>
      <c r="C278" s="429" t="s">
        <v>633</v>
      </c>
      <c r="D278" s="208">
        <v>21346719</v>
      </c>
      <c r="E278" s="208">
        <v>0</v>
      </c>
      <c r="F278" s="208">
        <v>21346719</v>
      </c>
      <c r="G278" s="208">
        <v>0</v>
      </c>
      <c r="H278" s="208">
        <v>0</v>
      </c>
      <c r="I278" s="208">
        <v>0</v>
      </c>
      <c r="J278" s="208">
        <v>-25110</v>
      </c>
      <c r="K278" s="208">
        <v>0</v>
      </c>
      <c r="L278" s="208">
        <v>-25110</v>
      </c>
      <c r="M278" s="208">
        <v>0</v>
      </c>
      <c r="N278" s="208">
        <v>0</v>
      </c>
      <c r="O278" s="208">
        <v>0</v>
      </c>
      <c r="P278" s="208">
        <v>-476922</v>
      </c>
      <c r="Q278" s="208">
        <v>0</v>
      </c>
      <c r="R278" s="208">
        <v>-476922</v>
      </c>
      <c r="S278" s="208">
        <v>107655</v>
      </c>
      <c r="T278" s="208">
        <v>0</v>
      </c>
      <c r="U278" s="208">
        <v>107655</v>
      </c>
      <c r="V278" s="208">
        <v>308907</v>
      </c>
      <c r="W278" s="208">
        <v>0</v>
      </c>
      <c r="X278" s="208">
        <v>308907</v>
      </c>
      <c r="Y278" s="208">
        <v>-308446</v>
      </c>
      <c r="Z278" s="208">
        <v>0</v>
      </c>
      <c r="AA278" s="208">
        <v>-308446</v>
      </c>
      <c r="AB278" s="208">
        <v>-490850</v>
      </c>
      <c r="AC278" s="208">
        <v>0</v>
      </c>
      <c r="AD278" s="208">
        <v>-490850</v>
      </c>
      <c r="AE278" s="208">
        <v>20487063</v>
      </c>
      <c r="AF278" s="208">
        <v>0</v>
      </c>
      <c r="AG278" s="208">
        <v>20487063</v>
      </c>
      <c r="AH278" s="208">
        <v>0</v>
      </c>
      <c r="AI278" s="208">
        <v>0</v>
      </c>
      <c r="AJ278" s="208">
        <v>0</v>
      </c>
      <c r="AK278" s="208">
        <v>0</v>
      </c>
      <c r="AL278" s="208">
        <v>0</v>
      </c>
      <c r="AM278" s="208">
        <v>0</v>
      </c>
      <c r="AN278" s="208">
        <v>0</v>
      </c>
      <c r="AO278" s="208">
        <v>0</v>
      </c>
      <c r="AP278" s="208">
        <v>0</v>
      </c>
      <c r="AQ278" s="208">
        <v>0</v>
      </c>
      <c r="AR278" s="208">
        <v>0</v>
      </c>
      <c r="AS278" s="208">
        <v>0</v>
      </c>
      <c r="AT278" s="208">
        <v>0</v>
      </c>
      <c r="AU278" s="208">
        <v>0</v>
      </c>
      <c r="AV278" s="208">
        <v>0</v>
      </c>
      <c r="AW278" s="208">
        <v>0</v>
      </c>
      <c r="AX278" s="208">
        <v>0</v>
      </c>
      <c r="AY278" s="208">
        <v>0</v>
      </c>
      <c r="AZ278" s="208">
        <v>0</v>
      </c>
      <c r="BA278" s="208">
        <v>0</v>
      </c>
      <c r="BB278" s="208">
        <v>0</v>
      </c>
      <c r="BC278" s="208">
        <v>0</v>
      </c>
      <c r="BD278" s="208">
        <v>0</v>
      </c>
      <c r="BE278" s="208">
        <v>0</v>
      </c>
      <c r="BF278" s="208">
        <v>0</v>
      </c>
      <c r="BG278" s="208">
        <v>0</v>
      </c>
      <c r="BH278" s="208">
        <v>0</v>
      </c>
      <c r="BI278" s="208">
        <v>0</v>
      </c>
      <c r="BJ278" s="208">
        <v>0</v>
      </c>
      <c r="BK278" s="208">
        <v>0</v>
      </c>
      <c r="BL278" s="208">
        <v>584699</v>
      </c>
      <c r="BM278" s="208">
        <v>-365280</v>
      </c>
      <c r="BN278" s="187" t="s">
        <v>633</v>
      </c>
      <c r="BO278" s="187" t="s">
        <v>757</v>
      </c>
      <c r="BP278" s="187" t="s">
        <v>751</v>
      </c>
      <c r="BQ278" s="187" t="s">
        <v>1054</v>
      </c>
    </row>
    <row r="279" spans="2:69" x14ac:dyDescent="0.2">
      <c r="B279" s="429" t="s">
        <v>636</v>
      </c>
      <c r="C279" s="429" t="s">
        <v>635</v>
      </c>
      <c r="D279" s="208">
        <v>40059190</v>
      </c>
      <c r="E279" s="208">
        <v>0</v>
      </c>
      <c r="F279" s="208">
        <v>40059190</v>
      </c>
      <c r="G279" s="208">
        <v>-564</v>
      </c>
      <c r="H279" s="208">
        <v>0</v>
      </c>
      <c r="I279" s="208">
        <v>-564</v>
      </c>
      <c r="J279" s="208">
        <v>-242543</v>
      </c>
      <c r="K279" s="208">
        <v>0</v>
      </c>
      <c r="L279" s="208">
        <v>-242543</v>
      </c>
      <c r="M279" s="208">
        <v>0</v>
      </c>
      <c r="N279" s="208">
        <v>0</v>
      </c>
      <c r="O279" s="208">
        <v>0</v>
      </c>
      <c r="P279" s="208">
        <v>-399715</v>
      </c>
      <c r="Q279" s="208">
        <v>0</v>
      </c>
      <c r="R279" s="208">
        <v>-399715</v>
      </c>
      <c r="S279" s="208">
        <v>330478</v>
      </c>
      <c r="T279" s="208">
        <v>0</v>
      </c>
      <c r="U279" s="208">
        <v>330478</v>
      </c>
      <c r="V279" s="208">
        <v>34593</v>
      </c>
      <c r="W279" s="208">
        <v>0</v>
      </c>
      <c r="X279" s="208">
        <v>34593</v>
      </c>
      <c r="Y279" s="208">
        <v>261759</v>
      </c>
      <c r="Z279" s="208">
        <v>0</v>
      </c>
      <c r="AA279" s="208">
        <v>261759</v>
      </c>
      <c r="AB279" s="208">
        <v>-152558</v>
      </c>
      <c r="AC279" s="208">
        <v>0</v>
      </c>
      <c r="AD279" s="208">
        <v>-152558</v>
      </c>
      <c r="AE279" s="208">
        <v>40133183</v>
      </c>
      <c r="AF279" s="208">
        <v>0</v>
      </c>
      <c r="AG279" s="208">
        <v>40133183</v>
      </c>
      <c r="AH279" s="208">
        <v>0</v>
      </c>
      <c r="AI279" s="208">
        <v>0</v>
      </c>
      <c r="AJ279" s="208">
        <v>166364</v>
      </c>
      <c r="AK279" s="208">
        <v>0</v>
      </c>
      <c r="AL279" s="208">
        <v>166364</v>
      </c>
      <c r="AM279" s="208">
        <v>0</v>
      </c>
      <c r="AN279" s="208">
        <v>0</v>
      </c>
      <c r="AO279" s="208">
        <v>0</v>
      </c>
      <c r="AP279" s="208">
        <v>0</v>
      </c>
      <c r="AQ279" s="208">
        <v>0</v>
      </c>
      <c r="AR279" s="208">
        <v>0</v>
      </c>
      <c r="AS279" s="208">
        <v>0</v>
      </c>
      <c r="AT279" s="208">
        <v>0</v>
      </c>
      <c r="AU279" s="208">
        <v>0</v>
      </c>
      <c r="AV279" s="208">
        <v>0</v>
      </c>
      <c r="AW279" s="208">
        <v>0</v>
      </c>
      <c r="AX279" s="208">
        <v>0</v>
      </c>
      <c r="AY279" s="208">
        <v>0</v>
      </c>
      <c r="AZ279" s="208">
        <v>0</v>
      </c>
      <c r="BA279" s="208">
        <v>0</v>
      </c>
      <c r="BB279" s="208">
        <v>0</v>
      </c>
      <c r="BC279" s="208">
        <v>0</v>
      </c>
      <c r="BD279" s="208">
        <v>0</v>
      </c>
      <c r="BE279" s="208">
        <v>0</v>
      </c>
      <c r="BF279" s="208">
        <v>0</v>
      </c>
      <c r="BG279" s="208">
        <v>0</v>
      </c>
      <c r="BH279" s="208">
        <v>0</v>
      </c>
      <c r="BI279" s="208">
        <v>0</v>
      </c>
      <c r="BJ279" s="208">
        <v>0</v>
      </c>
      <c r="BK279" s="208">
        <v>0</v>
      </c>
      <c r="BL279" s="208">
        <v>2613350</v>
      </c>
      <c r="BM279" s="208">
        <v>-1171611</v>
      </c>
      <c r="BN279" s="187" t="s">
        <v>635</v>
      </c>
      <c r="BO279" s="187" t="s">
        <v>769</v>
      </c>
      <c r="BP279" s="187" t="s">
        <v>768</v>
      </c>
      <c r="BQ279" s="187" t="s">
        <v>1054</v>
      </c>
    </row>
    <row r="280" spans="2:69" x14ac:dyDescent="0.2">
      <c r="B280" s="429" t="s">
        <v>638</v>
      </c>
      <c r="C280" s="429" t="s">
        <v>637</v>
      </c>
      <c r="D280" s="208">
        <v>30630261</v>
      </c>
      <c r="E280" s="208">
        <v>0</v>
      </c>
      <c r="F280" s="208">
        <v>30630261</v>
      </c>
      <c r="G280" s="208">
        <v>0</v>
      </c>
      <c r="H280" s="208">
        <v>0</v>
      </c>
      <c r="I280" s="208">
        <v>0</v>
      </c>
      <c r="J280" s="208">
        <v>-77551</v>
      </c>
      <c r="K280" s="208">
        <v>0</v>
      </c>
      <c r="L280" s="208">
        <v>-77551</v>
      </c>
      <c r="M280" s="208">
        <v>0</v>
      </c>
      <c r="N280" s="208">
        <v>0</v>
      </c>
      <c r="O280" s="208">
        <v>0</v>
      </c>
      <c r="P280" s="208">
        <v>-567551</v>
      </c>
      <c r="Q280" s="208">
        <v>0</v>
      </c>
      <c r="R280" s="208">
        <v>-567551</v>
      </c>
      <c r="S280" s="208">
        <v>140490</v>
      </c>
      <c r="T280" s="208">
        <v>0</v>
      </c>
      <c r="U280" s="208">
        <v>140490</v>
      </c>
      <c r="V280" s="208">
        <v>312367</v>
      </c>
      <c r="W280" s="208">
        <v>0</v>
      </c>
      <c r="X280" s="208">
        <v>312367</v>
      </c>
      <c r="Y280" s="208">
        <v>-90490</v>
      </c>
      <c r="Z280" s="208">
        <v>0</v>
      </c>
      <c r="AA280" s="208">
        <v>-90490</v>
      </c>
      <c r="AB280" s="208">
        <v>-362367</v>
      </c>
      <c r="AC280" s="208">
        <v>0</v>
      </c>
      <c r="AD280" s="208">
        <v>-362367</v>
      </c>
      <c r="AE280" s="208">
        <v>30062710</v>
      </c>
      <c r="AF280" s="208">
        <v>0</v>
      </c>
      <c r="AG280" s="208">
        <v>30062710</v>
      </c>
      <c r="AH280" s="208">
        <v>0</v>
      </c>
      <c r="AI280" s="208">
        <v>0</v>
      </c>
      <c r="AJ280" s="208">
        <v>73117</v>
      </c>
      <c r="AK280" s="208">
        <v>0</v>
      </c>
      <c r="AL280" s="208">
        <v>73117</v>
      </c>
      <c r="AM280" s="208">
        <v>0</v>
      </c>
      <c r="AN280" s="208">
        <v>0</v>
      </c>
      <c r="AO280" s="208">
        <v>0</v>
      </c>
      <c r="AP280" s="208">
        <v>0</v>
      </c>
      <c r="AQ280" s="208">
        <v>0</v>
      </c>
      <c r="AR280" s="208">
        <v>0</v>
      </c>
      <c r="AS280" s="208">
        <v>0</v>
      </c>
      <c r="AT280" s="208">
        <v>0</v>
      </c>
      <c r="AU280" s="208">
        <v>0</v>
      </c>
      <c r="AV280" s="208">
        <v>0</v>
      </c>
      <c r="AW280" s="208">
        <v>0</v>
      </c>
      <c r="AX280" s="208">
        <v>0</v>
      </c>
      <c r="AY280" s="208">
        <v>0</v>
      </c>
      <c r="AZ280" s="208">
        <v>0</v>
      </c>
      <c r="BA280" s="208">
        <v>0</v>
      </c>
      <c r="BB280" s="208">
        <v>0</v>
      </c>
      <c r="BC280" s="208">
        <v>0</v>
      </c>
      <c r="BD280" s="208">
        <v>0</v>
      </c>
      <c r="BE280" s="208">
        <v>0</v>
      </c>
      <c r="BF280" s="208">
        <v>0</v>
      </c>
      <c r="BG280" s="208">
        <v>0</v>
      </c>
      <c r="BH280" s="208">
        <v>0</v>
      </c>
      <c r="BI280" s="208">
        <v>0</v>
      </c>
      <c r="BJ280" s="208">
        <v>0</v>
      </c>
      <c r="BK280" s="208">
        <v>0</v>
      </c>
      <c r="BL280" s="208">
        <v>390147</v>
      </c>
      <c r="BM280" s="208">
        <v>-375982</v>
      </c>
      <c r="BN280" s="187" t="s">
        <v>637</v>
      </c>
      <c r="BO280" s="187" t="s">
        <v>772</v>
      </c>
      <c r="BP280" s="187" t="s">
        <v>768</v>
      </c>
      <c r="BQ280" s="187" t="s">
        <v>1054</v>
      </c>
    </row>
    <row r="281" spans="2:69" x14ac:dyDescent="0.2">
      <c r="B281" s="429" t="s">
        <v>640</v>
      </c>
      <c r="C281" s="429" t="s">
        <v>639</v>
      </c>
      <c r="D281" s="208">
        <v>73650221</v>
      </c>
      <c r="E281" s="208">
        <v>0</v>
      </c>
      <c r="F281" s="208">
        <v>73650221</v>
      </c>
      <c r="G281" s="208">
        <v>0</v>
      </c>
      <c r="H281" s="208">
        <v>0</v>
      </c>
      <c r="I281" s="208">
        <v>0</v>
      </c>
      <c r="J281" s="208">
        <v>-707566</v>
      </c>
      <c r="K281" s="208">
        <v>0</v>
      </c>
      <c r="L281" s="208">
        <v>-707566</v>
      </c>
      <c r="M281" s="208">
        <v>0</v>
      </c>
      <c r="N281" s="208">
        <v>0</v>
      </c>
      <c r="O281" s="208">
        <v>0</v>
      </c>
      <c r="P281" s="208">
        <v>-538566</v>
      </c>
      <c r="Q281" s="208">
        <v>0</v>
      </c>
      <c r="R281" s="208">
        <v>-538566</v>
      </c>
      <c r="S281" s="208">
        <v>782095</v>
      </c>
      <c r="T281" s="208">
        <v>0</v>
      </c>
      <c r="U281" s="208">
        <v>782095</v>
      </c>
      <c r="V281" s="208">
        <v>829666</v>
      </c>
      <c r="W281" s="208">
        <v>0</v>
      </c>
      <c r="X281" s="208">
        <v>829666</v>
      </c>
      <c r="Y281" s="208">
        <v>651905</v>
      </c>
      <c r="Z281" s="208">
        <v>0</v>
      </c>
      <c r="AA281" s="208">
        <v>651905</v>
      </c>
      <c r="AB281" s="208">
        <v>-291666</v>
      </c>
      <c r="AC281" s="208">
        <v>0</v>
      </c>
      <c r="AD281" s="208">
        <v>-291666</v>
      </c>
      <c r="AE281" s="208">
        <v>75083655</v>
      </c>
      <c r="AF281" s="208">
        <v>0</v>
      </c>
      <c r="AG281" s="208">
        <v>75083655</v>
      </c>
      <c r="AH281" s="208">
        <v>0</v>
      </c>
      <c r="AI281" s="208">
        <v>0</v>
      </c>
      <c r="AJ281" s="208">
        <v>76140</v>
      </c>
      <c r="AK281" s="208">
        <v>0</v>
      </c>
      <c r="AL281" s="208">
        <v>76140</v>
      </c>
      <c r="AM281" s="208">
        <v>0</v>
      </c>
      <c r="AN281" s="208">
        <v>0</v>
      </c>
      <c r="AO281" s="208">
        <v>0</v>
      </c>
      <c r="AP281" s="208">
        <v>0</v>
      </c>
      <c r="AQ281" s="208">
        <v>0</v>
      </c>
      <c r="AR281" s="208">
        <v>0</v>
      </c>
      <c r="AS281" s="208">
        <v>0</v>
      </c>
      <c r="AT281" s="208">
        <v>0</v>
      </c>
      <c r="AU281" s="208">
        <v>0</v>
      </c>
      <c r="AV281" s="208">
        <v>0</v>
      </c>
      <c r="AW281" s="208">
        <v>0</v>
      </c>
      <c r="AX281" s="208">
        <v>0</v>
      </c>
      <c r="AY281" s="208">
        <v>0</v>
      </c>
      <c r="AZ281" s="208">
        <v>0</v>
      </c>
      <c r="BA281" s="208">
        <v>0</v>
      </c>
      <c r="BB281" s="208">
        <v>0</v>
      </c>
      <c r="BC281" s="208">
        <v>0</v>
      </c>
      <c r="BD281" s="208">
        <v>0</v>
      </c>
      <c r="BE281" s="208">
        <v>0</v>
      </c>
      <c r="BF281" s="208">
        <v>0</v>
      </c>
      <c r="BG281" s="208">
        <v>0</v>
      </c>
      <c r="BH281" s="208">
        <v>0</v>
      </c>
      <c r="BI281" s="208">
        <v>0</v>
      </c>
      <c r="BJ281" s="208">
        <v>0</v>
      </c>
      <c r="BK281" s="208">
        <v>0</v>
      </c>
      <c r="BL281" s="208">
        <v>2076022</v>
      </c>
      <c r="BM281" s="208">
        <v>-1922345</v>
      </c>
      <c r="BN281" s="187" t="s">
        <v>792</v>
      </c>
      <c r="BO281" s="187" t="s">
        <v>742</v>
      </c>
      <c r="BP281" s="187" t="s">
        <v>791</v>
      </c>
      <c r="BQ281" s="187" t="s">
        <v>742</v>
      </c>
    </row>
    <row r="282" spans="2:69" x14ac:dyDescent="0.2">
      <c r="B282" s="429" t="s">
        <v>642</v>
      </c>
      <c r="C282" s="429" t="s">
        <v>641</v>
      </c>
      <c r="D282" s="208">
        <v>27925607</v>
      </c>
      <c r="E282" s="208">
        <v>0</v>
      </c>
      <c r="F282" s="208">
        <v>27925607</v>
      </c>
      <c r="G282" s="208">
        <v>0</v>
      </c>
      <c r="H282" s="208">
        <v>0</v>
      </c>
      <c r="I282" s="208">
        <v>0</v>
      </c>
      <c r="J282" s="208">
        <v>-258717</v>
      </c>
      <c r="K282" s="208">
        <v>0</v>
      </c>
      <c r="L282" s="208">
        <v>-258717</v>
      </c>
      <c r="M282" s="208">
        <v>0</v>
      </c>
      <c r="N282" s="208">
        <v>0</v>
      </c>
      <c r="O282" s="208">
        <v>0</v>
      </c>
      <c r="P282" s="208">
        <v>-408346</v>
      </c>
      <c r="Q282" s="208">
        <v>0</v>
      </c>
      <c r="R282" s="208">
        <v>-408346</v>
      </c>
      <c r="S282" s="208">
        <v>541263</v>
      </c>
      <c r="T282" s="208">
        <v>0</v>
      </c>
      <c r="U282" s="208">
        <v>541263</v>
      </c>
      <c r="V282" s="208">
        <v>212000</v>
      </c>
      <c r="W282" s="208">
        <v>0</v>
      </c>
      <c r="X282" s="208">
        <v>212000</v>
      </c>
      <c r="Y282" s="208">
        <v>73737</v>
      </c>
      <c r="Z282" s="208">
        <v>0</v>
      </c>
      <c r="AA282" s="208">
        <v>73737</v>
      </c>
      <c r="AB282" s="208">
        <v>-1313000</v>
      </c>
      <c r="AC282" s="208">
        <v>0</v>
      </c>
      <c r="AD282" s="208">
        <v>-1313000</v>
      </c>
      <c r="AE282" s="208">
        <v>27031261</v>
      </c>
      <c r="AF282" s="208">
        <v>0</v>
      </c>
      <c r="AG282" s="208">
        <v>27031261</v>
      </c>
      <c r="AH282" s="208">
        <v>0</v>
      </c>
      <c r="AI282" s="208">
        <v>0</v>
      </c>
      <c r="AJ282" s="208">
        <v>263821</v>
      </c>
      <c r="AK282" s="208">
        <v>0</v>
      </c>
      <c r="AL282" s="208">
        <v>263821</v>
      </c>
      <c r="AM282" s="208">
        <v>0</v>
      </c>
      <c r="AN282" s="208">
        <v>0</v>
      </c>
      <c r="AO282" s="208">
        <v>0</v>
      </c>
      <c r="AP282" s="208">
        <v>0</v>
      </c>
      <c r="AQ282" s="208">
        <v>0</v>
      </c>
      <c r="AR282" s="208">
        <v>0</v>
      </c>
      <c r="AS282" s="208">
        <v>0</v>
      </c>
      <c r="AT282" s="208">
        <v>0</v>
      </c>
      <c r="AU282" s="208">
        <v>0</v>
      </c>
      <c r="AV282" s="208">
        <v>0</v>
      </c>
      <c r="AW282" s="208">
        <v>0</v>
      </c>
      <c r="AX282" s="208">
        <v>0</v>
      </c>
      <c r="AY282" s="208">
        <v>0</v>
      </c>
      <c r="AZ282" s="208">
        <v>0</v>
      </c>
      <c r="BA282" s="208">
        <v>0</v>
      </c>
      <c r="BB282" s="208">
        <v>0</v>
      </c>
      <c r="BC282" s="208">
        <v>0</v>
      </c>
      <c r="BD282" s="208">
        <v>0</v>
      </c>
      <c r="BE282" s="208">
        <v>0</v>
      </c>
      <c r="BF282" s="208">
        <v>0</v>
      </c>
      <c r="BG282" s="208">
        <v>0</v>
      </c>
      <c r="BH282" s="208">
        <v>0</v>
      </c>
      <c r="BI282" s="208">
        <v>0</v>
      </c>
      <c r="BJ282" s="208">
        <v>0</v>
      </c>
      <c r="BK282" s="208">
        <v>0</v>
      </c>
      <c r="BL282" s="208">
        <v>855913</v>
      </c>
      <c r="BM282" s="208">
        <v>-684409</v>
      </c>
      <c r="BN282" s="187" t="s">
        <v>641</v>
      </c>
      <c r="BO282" s="187" t="s">
        <v>784</v>
      </c>
      <c r="BP282" s="187" t="s">
        <v>783</v>
      </c>
      <c r="BQ282" s="187" t="s">
        <v>1054</v>
      </c>
    </row>
    <row r="283" spans="2:69" x14ac:dyDescent="0.2">
      <c r="B283" s="429" t="s">
        <v>644</v>
      </c>
      <c r="C283" s="429" t="s">
        <v>643</v>
      </c>
      <c r="D283" s="208">
        <v>55410154</v>
      </c>
      <c r="E283" s="208">
        <v>0</v>
      </c>
      <c r="F283" s="208">
        <v>55410154</v>
      </c>
      <c r="G283" s="208">
        <v>0</v>
      </c>
      <c r="H283" s="208">
        <v>0</v>
      </c>
      <c r="I283" s="208">
        <v>0</v>
      </c>
      <c r="J283" s="208">
        <v>-282616</v>
      </c>
      <c r="K283" s="208">
        <v>0</v>
      </c>
      <c r="L283" s="208">
        <v>-282616</v>
      </c>
      <c r="M283" s="208">
        <v>0</v>
      </c>
      <c r="N283" s="208">
        <v>0</v>
      </c>
      <c r="O283" s="208">
        <v>0</v>
      </c>
      <c r="P283" s="208">
        <v>-696224</v>
      </c>
      <c r="Q283" s="208">
        <v>0</v>
      </c>
      <c r="R283" s="208">
        <v>-696224</v>
      </c>
      <c r="S283" s="208">
        <v>90627</v>
      </c>
      <c r="T283" s="208">
        <v>0</v>
      </c>
      <c r="U283" s="208">
        <v>90627</v>
      </c>
      <c r="V283" s="208">
        <v>949691</v>
      </c>
      <c r="W283" s="208">
        <v>0</v>
      </c>
      <c r="X283" s="208">
        <v>949691</v>
      </c>
      <c r="Y283" s="208">
        <v>-1398871</v>
      </c>
      <c r="Z283" s="208">
        <v>0</v>
      </c>
      <c r="AA283" s="208">
        <v>-1398871</v>
      </c>
      <c r="AB283" s="208">
        <v>-2604277</v>
      </c>
      <c r="AC283" s="208">
        <v>0</v>
      </c>
      <c r="AD283" s="208">
        <v>-2604277</v>
      </c>
      <c r="AE283" s="208">
        <v>51751100</v>
      </c>
      <c r="AF283" s="208">
        <v>0</v>
      </c>
      <c r="AG283" s="208">
        <v>51751100</v>
      </c>
      <c r="AH283" s="208">
        <v>0</v>
      </c>
      <c r="AI283" s="208">
        <v>0</v>
      </c>
      <c r="AJ283" s="208">
        <v>457464</v>
      </c>
      <c r="AK283" s="208">
        <v>0</v>
      </c>
      <c r="AL283" s="208">
        <v>457464</v>
      </c>
      <c r="AM283" s="208">
        <v>0</v>
      </c>
      <c r="AN283" s="208">
        <v>0</v>
      </c>
      <c r="AO283" s="208">
        <v>0</v>
      </c>
      <c r="AP283" s="208">
        <v>0</v>
      </c>
      <c r="AQ283" s="208">
        <v>0</v>
      </c>
      <c r="AR283" s="208">
        <v>0</v>
      </c>
      <c r="AS283" s="208">
        <v>0</v>
      </c>
      <c r="AT283" s="208">
        <v>0</v>
      </c>
      <c r="AU283" s="208">
        <v>0</v>
      </c>
      <c r="AV283" s="208">
        <v>0</v>
      </c>
      <c r="AW283" s="208">
        <v>0</v>
      </c>
      <c r="AX283" s="208">
        <v>0</v>
      </c>
      <c r="AY283" s="208">
        <v>0</v>
      </c>
      <c r="AZ283" s="208">
        <v>0</v>
      </c>
      <c r="BA283" s="208">
        <v>0</v>
      </c>
      <c r="BB283" s="208">
        <v>0</v>
      </c>
      <c r="BC283" s="208">
        <v>0</v>
      </c>
      <c r="BD283" s="208">
        <v>0</v>
      </c>
      <c r="BE283" s="208">
        <v>0</v>
      </c>
      <c r="BF283" s="208">
        <v>0</v>
      </c>
      <c r="BG283" s="208">
        <v>0</v>
      </c>
      <c r="BH283" s="208">
        <v>0</v>
      </c>
      <c r="BI283" s="208">
        <v>0</v>
      </c>
      <c r="BJ283" s="208">
        <v>0</v>
      </c>
      <c r="BK283" s="208">
        <v>0</v>
      </c>
      <c r="BL283" s="208">
        <v>1404336</v>
      </c>
      <c r="BM283" s="208">
        <v>-659256</v>
      </c>
      <c r="BN283" s="187" t="s">
        <v>643</v>
      </c>
      <c r="BO283" s="187" t="s">
        <v>761</v>
      </c>
      <c r="BP283" s="187" t="s">
        <v>760</v>
      </c>
      <c r="BQ283" s="187" t="s">
        <v>1054</v>
      </c>
    </row>
    <row r="284" spans="2:69" x14ac:dyDescent="0.2">
      <c r="B284" s="429" t="s">
        <v>646</v>
      </c>
      <c r="C284" s="429" t="s">
        <v>645</v>
      </c>
      <c r="D284" s="208">
        <v>38728235</v>
      </c>
      <c r="E284" s="208">
        <v>0</v>
      </c>
      <c r="F284" s="208">
        <v>38728235</v>
      </c>
      <c r="G284" s="208">
        <v>0</v>
      </c>
      <c r="H284" s="208">
        <v>0</v>
      </c>
      <c r="I284" s="208">
        <v>0</v>
      </c>
      <c r="J284" s="208">
        <v>-128007</v>
      </c>
      <c r="K284" s="208">
        <v>0</v>
      </c>
      <c r="L284" s="208">
        <v>-128007</v>
      </c>
      <c r="M284" s="208">
        <v>254</v>
      </c>
      <c r="N284" s="208">
        <v>0</v>
      </c>
      <c r="O284" s="208">
        <v>254</v>
      </c>
      <c r="P284" s="208">
        <v>-159445</v>
      </c>
      <c r="Q284" s="208">
        <v>0</v>
      </c>
      <c r="R284" s="208">
        <v>-159445</v>
      </c>
      <c r="S284" s="208">
        <v>49263</v>
      </c>
      <c r="T284" s="208">
        <v>0</v>
      </c>
      <c r="U284" s="208">
        <v>49263</v>
      </c>
      <c r="V284" s="208">
        <v>0</v>
      </c>
      <c r="W284" s="208">
        <v>0</v>
      </c>
      <c r="X284" s="208">
        <v>0</v>
      </c>
      <c r="Y284" s="208">
        <v>508401</v>
      </c>
      <c r="Z284" s="208">
        <v>0</v>
      </c>
      <c r="AA284" s="208">
        <v>508401</v>
      </c>
      <c r="AB284" s="208">
        <v>-3385240</v>
      </c>
      <c r="AC284" s="208">
        <v>0</v>
      </c>
      <c r="AD284" s="208">
        <v>-3385240</v>
      </c>
      <c r="AE284" s="208">
        <v>35741468</v>
      </c>
      <c r="AF284" s="208">
        <v>0</v>
      </c>
      <c r="AG284" s="208">
        <v>35741468</v>
      </c>
      <c r="AH284" s="208">
        <v>0</v>
      </c>
      <c r="AI284" s="208">
        <v>0</v>
      </c>
      <c r="AJ284" s="208">
        <v>261030</v>
      </c>
      <c r="AK284" s="208">
        <v>0</v>
      </c>
      <c r="AL284" s="208">
        <v>261030</v>
      </c>
      <c r="AM284" s="208">
        <v>0</v>
      </c>
      <c r="AN284" s="208">
        <v>0</v>
      </c>
      <c r="AO284" s="208">
        <v>0</v>
      </c>
      <c r="AP284" s="208">
        <v>0</v>
      </c>
      <c r="AQ284" s="208">
        <v>0</v>
      </c>
      <c r="AR284" s="208">
        <v>0</v>
      </c>
      <c r="AS284" s="208">
        <v>0</v>
      </c>
      <c r="AT284" s="208">
        <v>0</v>
      </c>
      <c r="AU284" s="208">
        <v>0</v>
      </c>
      <c r="AV284" s="208">
        <v>0</v>
      </c>
      <c r="AW284" s="208">
        <v>0</v>
      </c>
      <c r="AX284" s="208">
        <v>0</v>
      </c>
      <c r="AY284" s="208">
        <v>0</v>
      </c>
      <c r="AZ284" s="208">
        <v>0</v>
      </c>
      <c r="BA284" s="208">
        <v>0</v>
      </c>
      <c r="BB284" s="208">
        <v>0</v>
      </c>
      <c r="BC284" s="208">
        <v>0</v>
      </c>
      <c r="BD284" s="208">
        <v>0</v>
      </c>
      <c r="BE284" s="208">
        <v>0</v>
      </c>
      <c r="BF284" s="208">
        <v>0</v>
      </c>
      <c r="BG284" s="208">
        <v>0</v>
      </c>
      <c r="BH284" s="208">
        <v>0</v>
      </c>
      <c r="BI284" s="208">
        <v>0</v>
      </c>
      <c r="BJ284" s="208">
        <v>0</v>
      </c>
      <c r="BK284" s="208">
        <v>0</v>
      </c>
      <c r="BL284" s="208">
        <v>423205</v>
      </c>
      <c r="BM284" s="208">
        <v>-242099</v>
      </c>
      <c r="BN284" s="187" t="s">
        <v>645</v>
      </c>
      <c r="BO284" s="187" t="s">
        <v>790</v>
      </c>
      <c r="BP284" s="187" t="s">
        <v>751</v>
      </c>
      <c r="BQ284" s="187" t="s">
        <v>1054</v>
      </c>
    </row>
    <row r="285" spans="2:69" x14ac:dyDescent="0.2">
      <c r="B285" s="429" t="s">
        <v>648</v>
      </c>
      <c r="C285" s="429" t="s">
        <v>647</v>
      </c>
      <c r="D285" s="208">
        <v>34118275</v>
      </c>
      <c r="E285" s="208">
        <v>0</v>
      </c>
      <c r="F285" s="208">
        <v>34118275</v>
      </c>
      <c r="G285" s="208">
        <v>0</v>
      </c>
      <c r="H285" s="208">
        <v>0</v>
      </c>
      <c r="I285" s="208">
        <v>0</v>
      </c>
      <c r="J285" s="208">
        <v>-141366</v>
      </c>
      <c r="K285" s="208">
        <v>0</v>
      </c>
      <c r="L285" s="208">
        <v>-141366</v>
      </c>
      <c r="M285" s="208">
        <v>0</v>
      </c>
      <c r="N285" s="208">
        <v>0</v>
      </c>
      <c r="O285" s="208">
        <v>0</v>
      </c>
      <c r="P285" s="208">
        <v>-175878</v>
      </c>
      <c r="Q285" s="208">
        <v>0</v>
      </c>
      <c r="R285" s="208">
        <v>-175878</v>
      </c>
      <c r="S285" s="208">
        <v>269717</v>
      </c>
      <c r="T285" s="208">
        <v>0</v>
      </c>
      <c r="U285" s="208">
        <v>269717</v>
      </c>
      <c r="V285" s="208">
        <v>27242</v>
      </c>
      <c r="W285" s="208">
        <v>0</v>
      </c>
      <c r="X285" s="208">
        <v>27242</v>
      </c>
      <c r="Y285" s="208">
        <v>930719</v>
      </c>
      <c r="Z285" s="208">
        <v>0</v>
      </c>
      <c r="AA285" s="208">
        <v>930719</v>
      </c>
      <c r="AB285" s="208">
        <v>-1110595</v>
      </c>
      <c r="AC285" s="208">
        <v>0</v>
      </c>
      <c r="AD285" s="208">
        <v>-1110595</v>
      </c>
      <c r="AE285" s="208">
        <v>34059480</v>
      </c>
      <c r="AF285" s="208">
        <v>0</v>
      </c>
      <c r="AG285" s="208">
        <v>34059480</v>
      </c>
      <c r="AH285" s="208">
        <v>0</v>
      </c>
      <c r="AI285" s="208">
        <v>0</v>
      </c>
      <c r="AJ285" s="208">
        <v>5397</v>
      </c>
      <c r="AK285" s="208">
        <v>0</v>
      </c>
      <c r="AL285" s="208">
        <v>5397</v>
      </c>
      <c r="AM285" s="208">
        <v>0</v>
      </c>
      <c r="AN285" s="208">
        <v>0</v>
      </c>
      <c r="AO285" s="208">
        <v>0</v>
      </c>
      <c r="AP285" s="208">
        <v>0</v>
      </c>
      <c r="AQ285" s="208">
        <v>0</v>
      </c>
      <c r="AR285" s="208">
        <v>0</v>
      </c>
      <c r="AS285" s="208">
        <v>0</v>
      </c>
      <c r="AT285" s="208">
        <v>0</v>
      </c>
      <c r="AU285" s="208">
        <v>0</v>
      </c>
      <c r="AV285" s="208">
        <v>0</v>
      </c>
      <c r="AW285" s="208">
        <v>0</v>
      </c>
      <c r="AX285" s="208">
        <v>0</v>
      </c>
      <c r="AY285" s="208">
        <v>0</v>
      </c>
      <c r="AZ285" s="208">
        <v>0</v>
      </c>
      <c r="BA285" s="208">
        <v>0</v>
      </c>
      <c r="BB285" s="208">
        <v>0</v>
      </c>
      <c r="BC285" s="208">
        <v>0</v>
      </c>
      <c r="BD285" s="208">
        <v>0</v>
      </c>
      <c r="BE285" s="208">
        <v>0</v>
      </c>
      <c r="BF285" s="208">
        <v>0</v>
      </c>
      <c r="BG285" s="208">
        <v>0</v>
      </c>
      <c r="BH285" s="208">
        <v>0</v>
      </c>
      <c r="BI285" s="208">
        <v>0</v>
      </c>
      <c r="BJ285" s="208">
        <v>0</v>
      </c>
      <c r="BK285" s="208">
        <v>0</v>
      </c>
      <c r="BL285" s="208">
        <v>1671703</v>
      </c>
      <c r="BM285" s="208">
        <v>-683660</v>
      </c>
      <c r="BN285" s="187" t="s">
        <v>647</v>
      </c>
      <c r="BO285" s="187" t="s">
        <v>786</v>
      </c>
      <c r="BP285" s="187" t="s">
        <v>785</v>
      </c>
      <c r="BQ285" s="187" t="s">
        <v>1054</v>
      </c>
    </row>
    <row r="286" spans="2:69" x14ac:dyDescent="0.2">
      <c r="B286" s="429" t="s">
        <v>650</v>
      </c>
      <c r="C286" s="429" t="s">
        <v>649</v>
      </c>
      <c r="D286" s="208">
        <v>28853513</v>
      </c>
      <c r="E286" s="208">
        <v>0</v>
      </c>
      <c r="F286" s="208">
        <v>28853513</v>
      </c>
      <c r="G286" s="208">
        <v>0</v>
      </c>
      <c r="H286" s="208">
        <v>0</v>
      </c>
      <c r="I286" s="208">
        <v>0</v>
      </c>
      <c r="J286" s="208">
        <v>-65879.850000000006</v>
      </c>
      <c r="K286" s="208">
        <v>0</v>
      </c>
      <c r="L286" s="208">
        <v>-65879.850000000006</v>
      </c>
      <c r="M286" s="208">
        <v>0</v>
      </c>
      <c r="N286" s="208">
        <v>0</v>
      </c>
      <c r="O286" s="208">
        <v>0</v>
      </c>
      <c r="P286" s="208">
        <v>106390</v>
      </c>
      <c r="Q286" s="208">
        <v>0</v>
      </c>
      <c r="R286" s="208">
        <v>106390</v>
      </c>
      <c r="S286" s="208">
        <v>224132</v>
      </c>
      <c r="T286" s="208">
        <v>0</v>
      </c>
      <c r="U286" s="208">
        <v>224132</v>
      </c>
      <c r="V286" s="208">
        <v>182632</v>
      </c>
      <c r="W286" s="208">
        <v>0</v>
      </c>
      <c r="X286" s="208">
        <v>182632</v>
      </c>
      <c r="Y286" s="208">
        <v>-398565</v>
      </c>
      <c r="Z286" s="208">
        <v>0</v>
      </c>
      <c r="AA286" s="208">
        <v>-398565</v>
      </c>
      <c r="AB286" s="208">
        <v>-452000</v>
      </c>
      <c r="AC286" s="208">
        <v>0</v>
      </c>
      <c r="AD286" s="208">
        <v>-452000</v>
      </c>
      <c r="AE286" s="208">
        <v>28516102</v>
      </c>
      <c r="AF286" s="208">
        <v>0</v>
      </c>
      <c r="AG286" s="208">
        <v>28516102</v>
      </c>
      <c r="AH286" s="208">
        <v>0</v>
      </c>
      <c r="AI286" s="208">
        <v>0</v>
      </c>
      <c r="AJ286" s="208">
        <v>0</v>
      </c>
      <c r="AK286" s="208">
        <v>0</v>
      </c>
      <c r="AL286" s="208">
        <v>0</v>
      </c>
      <c r="AM286" s="208">
        <v>0</v>
      </c>
      <c r="AN286" s="208">
        <v>0</v>
      </c>
      <c r="AO286" s="208">
        <v>0</v>
      </c>
      <c r="AP286" s="208">
        <v>0</v>
      </c>
      <c r="AQ286" s="208">
        <v>0</v>
      </c>
      <c r="AR286" s="208">
        <v>0</v>
      </c>
      <c r="AS286" s="208">
        <v>0</v>
      </c>
      <c r="AT286" s="208">
        <v>0</v>
      </c>
      <c r="AU286" s="208">
        <v>0</v>
      </c>
      <c r="AV286" s="208">
        <v>0</v>
      </c>
      <c r="AW286" s="208">
        <v>0</v>
      </c>
      <c r="AX286" s="208">
        <v>0</v>
      </c>
      <c r="AY286" s="208">
        <v>0</v>
      </c>
      <c r="AZ286" s="208">
        <v>0</v>
      </c>
      <c r="BA286" s="208">
        <v>0</v>
      </c>
      <c r="BB286" s="208">
        <v>0</v>
      </c>
      <c r="BC286" s="208">
        <v>0</v>
      </c>
      <c r="BD286" s="208">
        <v>0</v>
      </c>
      <c r="BE286" s="208">
        <v>0</v>
      </c>
      <c r="BF286" s="208">
        <v>0</v>
      </c>
      <c r="BG286" s="208">
        <v>0</v>
      </c>
      <c r="BH286" s="208">
        <v>0</v>
      </c>
      <c r="BI286" s="208">
        <v>0</v>
      </c>
      <c r="BJ286" s="208">
        <v>0</v>
      </c>
      <c r="BK286" s="208">
        <v>0</v>
      </c>
      <c r="BL286" s="208">
        <v>614414</v>
      </c>
      <c r="BM286" s="208">
        <v>-411369</v>
      </c>
      <c r="BN286" s="187" t="s">
        <v>649</v>
      </c>
      <c r="BO286" s="187" t="s">
        <v>774</v>
      </c>
      <c r="BP286" s="187" t="s">
        <v>751</v>
      </c>
      <c r="BQ286" s="187" t="s">
        <v>1054</v>
      </c>
    </row>
    <row r="287" spans="2:69" x14ac:dyDescent="0.2">
      <c r="B287" s="429" t="s">
        <v>652</v>
      </c>
      <c r="C287" s="429" t="s">
        <v>651</v>
      </c>
      <c r="D287" s="208">
        <v>121106162</v>
      </c>
      <c r="E287" s="208">
        <v>0</v>
      </c>
      <c r="F287" s="208">
        <v>121106162</v>
      </c>
      <c r="G287" s="208">
        <v>0</v>
      </c>
      <c r="H287" s="208">
        <v>0</v>
      </c>
      <c r="I287" s="208">
        <v>0</v>
      </c>
      <c r="J287" s="208">
        <v>0</v>
      </c>
      <c r="K287" s="208">
        <v>0</v>
      </c>
      <c r="L287" s="208">
        <v>0</v>
      </c>
      <c r="M287" s="208">
        <v>-71488</v>
      </c>
      <c r="N287" s="208">
        <v>0</v>
      </c>
      <c r="O287" s="208">
        <v>-71488</v>
      </c>
      <c r="P287" s="208">
        <v>-973499</v>
      </c>
      <c r="Q287" s="208">
        <v>0</v>
      </c>
      <c r="R287" s="208">
        <v>-973499</v>
      </c>
      <c r="S287" s="208">
        <v>0</v>
      </c>
      <c r="T287" s="208">
        <v>0</v>
      </c>
      <c r="U287" s="208">
        <v>0</v>
      </c>
      <c r="V287" s="208">
        <v>0</v>
      </c>
      <c r="W287" s="208">
        <v>0</v>
      </c>
      <c r="X287" s="208">
        <v>0</v>
      </c>
      <c r="Y287" s="208">
        <v>-4914887</v>
      </c>
      <c r="Z287" s="208">
        <v>0</v>
      </c>
      <c r="AA287" s="208">
        <v>-4914887</v>
      </c>
      <c r="AB287" s="208">
        <v>7839754</v>
      </c>
      <c r="AC287" s="208">
        <v>0</v>
      </c>
      <c r="AD287" s="208">
        <v>7839754</v>
      </c>
      <c r="AE287" s="208">
        <v>122986042</v>
      </c>
      <c r="AF287" s="208">
        <v>0</v>
      </c>
      <c r="AG287" s="208">
        <v>122986042</v>
      </c>
      <c r="AH287" s="208">
        <v>0</v>
      </c>
      <c r="AI287" s="208">
        <v>0</v>
      </c>
      <c r="AJ287" s="208">
        <v>0</v>
      </c>
      <c r="AK287" s="208">
        <v>0</v>
      </c>
      <c r="AL287" s="208">
        <v>0</v>
      </c>
      <c r="AM287" s="208">
        <v>0</v>
      </c>
      <c r="AN287" s="208">
        <v>0</v>
      </c>
      <c r="AO287" s="208">
        <v>0</v>
      </c>
      <c r="AP287" s="208">
        <v>0</v>
      </c>
      <c r="AQ287" s="208">
        <v>0</v>
      </c>
      <c r="AR287" s="208">
        <v>0</v>
      </c>
      <c r="AS287" s="208">
        <v>0</v>
      </c>
      <c r="AT287" s="208">
        <v>0</v>
      </c>
      <c r="AU287" s="208">
        <v>0</v>
      </c>
      <c r="AV287" s="208">
        <v>0</v>
      </c>
      <c r="AW287" s="208">
        <v>0</v>
      </c>
      <c r="AX287" s="208">
        <v>0</v>
      </c>
      <c r="AY287" s="208">
        <v>0</v>
      </c>
      <c r="AZ287" s="208">
        <v>0</v>
      </c>
      <c r="BA287" s="208">
        <v>0</v>
      </c>
      <c r="BB287" s="208">
        <v>0</v>
      </c>
      <c r="BC287" s="208">
        <v>0</v>
      </c>
      <c r="BD287" s="208">
        <v>0</v>
      </c>
      <c r="BE287" s="208">
        <v>0</v>
      </c>
      <c r="BF287" s="208">
        <v>0</v>
      </c>
      <c r="BG287" s="208">
        <v>0</v>
      </c>
      <c r="BH287" s="208">
        <v>0</v>
      </c>
      <c r="BI287" s="208">
        <v>0</v>
      </c>
      <c r="BJ287" s="208">
        <v>0</v>
      </c>
      <c r="BK287" s="208">
        <v>0</v>
      </c>
      <c r="BL287" s="208">
        <v>1607699</v>
      </c>
      <c r="BM287" s="208">
        <v>-135866</v>
      </c>
      <c r="BN287" s="187" t="s">
        <v>789</v>
      </c>
      <c r="BO287" s="187" t="s">
        <v>742</v>
      </c>
      <c r="BP287" s="187" t="s">
        <v>783</v>
      </c>
      <c r="BQ287" s="187" t="s">
        <v>742</v>
      </c>
    </row>
    <row r="288" spans="2:69" x14ac:dyDescent="0.2">
      <c r="B288" s="429" t="s">
        <v>654</v>
      </c>
      <c r="C288" s="429" t="s">
        <v>653</v>
      </c>
      <c r="D288" s="208">
        <v>57518896</v>
      </c>
      <c r="E288" s="208">
        <v>0</v>
      </c>
      <c r="F288" s="208">
        <v>57518896</v>
      </c>
      <c r="G288" s="208">
        <v>0</v>
      </c>
      <c r="H288" s="208">
        <v>0</v>
      </c>
      <c r="I288" s="208">
        <v>0</v>
      </c>
      <c r="J288" s="208">
        <v>-62625</v>
      </c>
      <c r="K288" s="208">
        <v>0</v>
      </c>
      <c r="L288" s="208">
        <v>-62625</v>
      </c>
      <c r="M288" s="208">
        <v>0</v>
      </c>
      <c r="N288" s="208">
        <v>0</v>
      </c>
      <c r="O288" s="208">
        <v>0</v>
      </c>
      <c r="P288" s="208">
        <v>-112625</v>
      </c>
      <c r="Q288" s="208">
        <v>0</v>
      </c>
      <c r="R288" s="208">
        <v>-112625</v>
      </c>
      <c r="S288" s="208">
        <v>547562</v>
      </c>
      <c r="T288" s="208">
        <v>0</v>
      </c>
      <c r="U288" s="208">
        <v>547562</v>
      </c>
      <c r="V288" s="208">
        <v>0</v>
      </c>
      <c r="W288" s="208">
        <v>0</v>
      </c>
      <c r="X288" s="208">
        <v>0</v>
      </c>
      <c r="Y288" s="208">
        <v>794438</v>
      </c>
      <c r="Z288" s="208">
        <v>0</v>
      </c>
      <c r="AA288" s="208">
        <v>794438</v>
      </c>
      <c r="AB288" s="208">
        <v>-1940000</v>
      </c>
      <c r="AC288" s="208">
        <v>0</v>
      </c>
      <c r="AD288" s="208">
        <v>-1940000</v>
      </c>
      <c r="AE288" s="208">
        <v>56808271</v>
      </c>
      <c r="AF288" s="208">
        <v>0</v>
      </c>
      <c r="AG288" s="208">
        <v>56808271</v>
      </c>
      <c r="AH288" s="208">
        <v>0</v>
      </c>
      <c r="AI288" s="208">
        <v>0</v>
      </c>
      <c r="AJ288" s="208">
        <v>0</v>
      </c>
      <c r="AK288" s="208">
        <v>0</v>
      </c>
      <c r="AL288" s="208">
        <v>0</v>
      </c>
      <c r="AM288" s="208">
        <v>0</v>
      </c>
      <c r="AN288" s="208">
        <v>0</v>
      </c>
      <c r="AO288" s="208">
        <v>0</v>
      </c>
      <c r="AP288" s="208">
        <v>0</v>
      </c>
      <c r="AQ288" s="208">
        <v>0</v>
      </c>
      <c r="AR288" s="208">
        <v>0</v>
      </c>
      <c r="AS288" s="208">
        <v>0</v>
      </c>
      <c r="AT288" s="208">
        <v>0</v>
      </c>
      <c r="AU288" s="208">
        <v>0</v>
      </c>
      <c r="AV288" s="208">
        <v>0</v>
      </c>
      <c r="AW288" s="208">
        <v>0</v>
      </c>
      <c r="AX288" s="208">
        <v>0</v>
      </c>
      <c r="AY288" s="208">
        <v>0</v>
      </c>
      <c r="AZ288" s="208">
        <v>0</v>
      </c>
      <c r="BA288" s="208">
        <v>0</v>
      </c>
      <c r="BB288" s="208">
        <v>0</v>
      </c>
      <c r="BC288" s="208">
        <v>0</v>
      </c>
      <c r="BD288" s="208">
        <v>0</v>
      </c>
      <c r="BE288" s="208">
        <v>0</v>
      </c>
      <c r="BF288" s="208">
        <v>0</v>
      </c>
      <c r="BG288" s="208">
        <v>0</v>
      </c>
      <c r="BH288" s="208">
        <v>0</v>
      </c>
      <c r="BI288" s="208">
        <v>0</v>
      </c>
      <c r="BJ288" s="208">
        <v>0</v>
      </c>
      <c r="BK288" s="208">
        <v>0</v>
      </c>
      <c r="BL288" s="208">
        <v>991326</v>
      </c>
      <c r="BM288" s="208">
        <v>-1444001</v>
      </c>
      <c r="BN288" s="187" t="s">
        <v>788</v>
      </c>
      <c r="BO288" s="187" t="s">
        <v>786</v>
      </c>
      <c r="BP288" s="187" t="s">
        <v>785</v>
      </c>
      <c r="BQ288" s="187" t="s">
        <v>1054</v>
      </c>
    </row>
    <row r="289" spans="1:69" x14ac:dyDescent="0.2">
      <c r="B289" s="429" t="s">
        <v>656</v>
      </c>
      <c r="C289" s="429" t="s">
        <v>655</v>
      </c>
      <c r="D289" s="208">
        <v>35195418</v>
      </c>
      <c r="E289" s="208">
        <v>0</v>
      </c>
      <c r="F289" s="208">
        <v>35195418</v>
      </c>
      <c r="G289" s="208">
        <v>0</v>
      </c>
      <c r="H289" s="208">
        <v>0</v>
      </c>
      <c r="I289" s="208">
        <v>0</v>
      </c>
      <c r="J289" s="208">
        <v>-443130</v>
      </c>
      <c r="K289" s="208">
        <v>0</v>
      </c>
      <c r="L289" s="208">
        <v>-443130</v>
      </c>
      <c r="M289" s="208">
        <v>0</v>
      </c>
      <c r="N289" s="208">
        <v>0</v>
      </c>
      <c r="O289" s="208">
        <v>0</v>
      </c>
      <c r="P289" s="208">
        <v>-607641</v>
      </c>
      <c r="Q289" s="208">
        <v>0</v>
      </c>
      <c r="R289" s="208">
        <v>-607641</v>
      </c>
      <c r="S289" s="208">
        <v>661993</v>
      </c>
      <c r="T289" s="208">
        <v>0</v>
      </c>
      <c r="U289" s="208">
        <v>661993</v>
      </c>
      <c r="V289" s="208">
        <v>0</v>
      </c>
      <c r="W289" s="208">
        <v>0</v>
      </c>
      <c r="X289" s="208">
        <v>0</v>
      </c>
      <c r="Y289" s="208">
        <v>-752196</v>
      </c>
      <c r="Z289" s="208">
        <v>0</v>
      </c>
      <c r="AA289" s="208">
        <v>-752196</v>
      </c>
      <c r="AB289" s="208">
        <v>-2173539</v>
      </c>
      <c r="AC289" s="208">
        <v>0</v>
      </c>
      <c r="AD289" s="208">
        <v>-2173539</v>
      </c>
      <c r="AE289" s="208">
        <v>32324035</v>
      </c>
      <c r="AF289" s="208">
        <v>0</v>
      </c>
      <c r="AG289" s="208">
        <v>32324035</v>
      </c>
      <c r="AH289" s="208">
        <v>0</v>
      </c>
      <c r="AI289" s="208">
        <v>0</v>
      </c>
      <c r="AJ289" s="208">
        <v>0</v>
      </c>
      <c r="AK289" s="208">
        <v>0</v>
      </c>
      <c r="AL289" s="208">
        <v>0</v>
      </c>
      <c r="AM289" s="208">
        <v>0</v>
      </c>
      <c r="AN289" s="208">
        <v>0</v>
      </c>
      <c r="AO289" s="208">
        <v>0</v>
      </c>
      <c r="AP289" s="208">
        <v>0</v>
      </c>
      <c r="AQ289" s="208">
        <v>0</v>
      </c>
      <c r="AR289" s="208">
        <v>0</v>
      </c>
      <c r="AS289" s="208">
        <v>0</v>
      </c>
      <c r="AT289" s="208">
        <v>0</v>
      </c>
      <c r="AU289" s="208">
        <v>0</v>
      </c>
      <c r="AV289" s="208">
        <v>0</v>
      </c>
      <c r="AW289" s="208">
        <v>0</v>
      </c>
      <c r="AX289" s="208">
        <v>0</v>
      </c>
      <c r="AY289" s="208">
        <v>0</v>
      </c>
      <c r="AZ289" s="208">
        <v>0</v>
      </c>
      <c r="BA289" s="208">
        <v>0</v>
      </c>
      <c r="BB289" s="208">
        <v>0</v>
      </c>
      <c r="BC289" s="208">
        <v>0</v>
      </c>
      <c r="BD289" s="208">
        <v>0</v>
      </c>
      <c r="BE289" s="208">
        <v>0</v>
      </c>
      <c r="BF289" s="208">
        <v>0</v>
      </c>
      <c r="BG289" s="208">
        <v>0</v>
      </c>
      <c r="BH289" s="208">
        <v>0</v>
      </c>
      <c r="BI289" s="208">
        <v>0</v>
      </c>
      <c r="BJ289" s="208">
        <v>0</v>
      </c>
      <c r="BK289" s="208">
        <v>0</v>
      </c>
      <c r="BL289" s="208">
        <v>1798550</v>
      </c>
      <c r="BM289" s="208">
        <v>-480666</v>
      </c>
      <c r="BN289" s="187" t="s">
        <v>787</v>
      </c>
      <c r="BO289" s="187" t="s">
        <v>742</v>
      </c>
      <c r="BP289" s="187" t="s">
        <v>768</v>
      </c>
      <c r="BQ289" s="187" t="s">
        <v>742</v>
      </c>
    </row>
    <row r="290" spans="1:69" x14ac:dyDescent="0.2">
      <c r="A290" s="187" t="s">
        <v>1817</v>
      </c>
      <c r="B290" s="429" t="s">
        <v>658</v>
      </c>
      <c r="C290" s="429" t="s">
        <v>657</v>
      </c>
      <c r="D290" s="208">
        <v>11529520</v>
      </c>
      <c r="E290" s="208">
        <v>0</v>
      </c>
      <c r="F290" s="208">
        <v>11529520</v>
      </c>
      <c r="G290" s="208">
        <v>0</v>
      </c>
      <c r="H290" s="208">
        <v>0</v>
      </c>
      <c r="I290" s="208">
        <v>0</v>
      </c>
      <c r="J290" s="208">
        <v>-19879</v>
      </c>
      <c r="K290" s="208">
        <v>0</v>
      </c>
      <c r="L290" s="208">
        <v>-19879</v>
      </c>
      <c r="M290" s="208">
        <v>0</v>
      </c>
      <c r="N290" s="208">
        <v>0</v>
      </c>
      <c r="O290" s="208">
        <v>0</v>
      </c>
      <c r="P290" s="208">
        <v>-12408</v>
      </c>
      <c r="Q290" s="208">
        <v>0</v>
      </c>
      <c r="R290" s="208">
        <v>-12408</v>
      </c>
      <c r="S290" s="208">
        <v>259968</v>
      </c>
      <c r="T290" s="208">
        <v>0</v>
      </c>
      <c r="U290" s="208">
        <v>259968</v>
      </c>
      <c r="V290" s="208">
        <v>62609</v>
      </c>
      <c r="W290" s="208">
        <v>0</v>
      </c>
      <c r="X290" s="208">
        <v>62609</v>
      </c>
      <c r="Y290" s="208">
        <v>0</v>
      </c>
      <c r="Z290" s="208">
        <v>0</v>
      </c>
      <c r="AA290" s="208">
        <v>0</v>
      </c>
      <c r="AB290" s="208">
        <v>-259463</v>
      </c>
      <c r="AC290" s="208">
        <v>0</v>
      </c>
      <c r="AD290" s="208">
        <v>-259463</v>
      </c>
      <c r="AE290" s="208">
        <v>11580226</v>
      </c>
      <c r="AF290" s="208">
        <v>0</v>
      </c>
      <c r="AG290" s="208">
        <v>11580226</v>
      </c>
      <c r="AH290" s="208">
        <v>0</v>
      </c>
      <c r="AI290" s="208">
        <v>0</v>
      </c>
      <c r="AJ290" s="208">
        <v>774259</v>
      </c>
      <c r="AK290" s="208">
        <v>0</v>
      </c>
      <c r="AL290" s="208">
        <v>774259</v>
      </c>
      <c r="AM290" s="208">
        <v>0</v>
      </c>
      <c r="AN290" s="208">
        <v>0</v>
      </c>
      <c r="AO290" s="208">
        <v>0</v>
      </c>
      <c r="AP290" s="208">
        <v>0</v>
      </c>
      <c r="AQ290" s="208">
        <v>0</v>
      </c>
      <c r="AR290" s="208">
        <v>0</v>
      </c>
      <c r="AS290" s="208">
        <v>0</v>
      </c>
      <c r="AT290" s="208">
        <v>0</v>
      </c>
      <c r="AU290" s="208">
        <v>0</v>
      </c>
      <c r="AV290" s="208">
        <v>0</v>
      </c>
      <c r="AW290" s="208">
        <v>0</v>
      </c>
      <c r="AX290" s="208">
        <v>0</v>
      </c>
      <c r="AY290" s="208">
        <v>0</v>
      </c>
      <c r="AZ290" s="208">
        <v>0</v>
      </c>
      <c r="BA290" s="208">
        <v>0</v>
      </c>
      <c r="BB290" s="208">
        <v>0</v>
      </c>
      <c r="BC290" s="208">
        <v>0</v>
      </c>
      <c r="BD290" s="208">
        <v>0</v>
      </c>
      <c r="BE290" s="208">
        <v>0</v>
      </c>
      <c r="BF290" s="208">
        <v>0</v>
      </c>
      <c r="BG290" s="208">
        <v>0</v>
      </c>
      <c r="BH290" s="208">
        <v>0</v>
      </c>
      <c r="BI290" s="208">
        <v>0</v>
      </c>
      <c r="BJ290" s="208">
        <v>0</v>
      </c>
      <c r="BK290" s="208">
        <v>0</v>
      </c>
      <c r="BL290" s="208">
        <v>423202</v>
      </c>
      <c r="BM290" s="208">
        <v>-129775</v>
      </c>
      <c r="BN290" s="187" t="s">
        <v>657</v>
      </c>
      <c r="BO290" s="187" t="s">
        <v>772</v>
      </c>
      <c r="BP290" s="187" t="s">
        <v>768</v>
      </c>
      <c r="BQ290" s="187" t="s">
        <v>1054</v>
      </c>
    </row>
    <row r="291" spans="1:69" x14ac:dyDescent="0.2">
      <c r="A291" s="187" t="s">
        <v>1811</v>
      </c>
      <c r="B291" s="429" t="s">
        <v>660</v>
      </c>
      <c r="C291" s="429" t="s">
        <v>659</v>
      </c>
      <c r="D291" s="208">
        <v>419464207</v>
      </c>
      <c r="E291" s="208">
        <v>0</v>
      </c>
      <c r="F291" s="208">
        <v>419464207</v>
      </c>
      <c r="G291" s="208">
        <v>0</v>
      </c>
      <c r="H291" s="208">
        <v>0</v>
      </c>
      <c r="I291" s="208">
        <v>0</v>
      </c>
      <c r="J291" s="208">
        <v>1989610</v>
      </c>
      <c r="K291" s="208">
        <v>0</v>
      </c>
      <c r="L291" s="208">
        <v>1989610</v>
      </c>
      <c r="M291" s="208">
        <v>0</v>
      </c>
      <c r="N291" s="208">
        <v>0</v>
      </c>
      <c r="O291" s="208">
        <v>0</v>
      </c>
      <c r="P291" s="208">
        <v>-1550689</v>
      </c>
      <c r="Q291" s="208">
        <v>0</v>
      </c>
      <c r="R291" s="208">
        <v>-1550689</v>
      </c>
      <c r="S291" s="208">
        <v>11930287</v>
      </c>
      <c r="T291" s="208">
        <v>0</v>
      </c>
      <c r="U291" s="208">
        <v>11930287</v>
      </c>
      <c r="V291" s="208">
        <v>0</v>
      </c>
      <c r="W291" s="208">
        <v>0</v>
      </c>
      <c r="X291" s="208">
        <v>0</v>
      </c>
      <c r="Y291" s="208">
        <v>-4000000</v>
      </c>
      <c r="Z291" s="208">
        <v>0</v>
      </c>
      <c r="AA291" s="208">
        <v>-4000000</v>
      </c>
      <c r="AB291" s="208">
        <v>0</v>
      </c>
      <c r="AC291" s="208">
        <v>0</v>
      </c>
      <c r="AD291" s="208">
        <v>0</v>
      </c>
      <c r="AE291" s="208">
        <v>425843805</v>
      </c>
      <c r="AF291" s="208">
        <v>0</v>
      </c>
      <c r="AG291" s="208">
        <v>425843805</v>
      </c>
      <c r="AH291" s="208">
        <v>0</v>
      </c>
      <c r="AI291" s="208">
        <v>0</v>
      </c>
      <c r="AJ291" s="208">
        <v>0</v>
      </c>
      <c r="AK291" s="208">
        <v>0</v>
      </c>
      <c r="AL291" s="208">
        <v>0</v>
      </c>
      <c r="AM291" s="208">
        <v>0</v>
      </c>
      <c r="AN291" s="208">
        <v>0</v>
      </c>
      <c r="AO291" s="208">
        <v>0</v>
      </c>
      <c r="AP291" s="208">
        <v>0</v>
      </c>
      <c r="AQ291" s="208">
        <v>0</v>
      </c>
      <c r="AR291" s="208">
        <v>0</v>
      </c>
      <c r="AS291" s="208">
        <v>0</v>
      </c>
      <c r="AT291" s="208">
        <v>0</v>
      </c>
      <c r="AU291" s="208">
        <v>0</v>
      </c>
      <c r="AV291" s="208">
        <v>0</v>
      </c>
      <c r="AW291" s="208">
        <v>0</v>
      </c>
      <c r="AX291" s="208">
        <v>0</v>
      </c>
      <c r="AY291" s="208">
        <v>0</v>
      </c>
      <c r="AZ291" s="208">
        <v>0</v>
      </c>
      <c r="BA291" s="208">
        <v>0</v>
      </c>
      <c r="BB291" s="208">
        <v>0</v>
      </c>
      <c r="BC291" s="208">
        <v>0</v>
      </c>
      <c r="BD291" s="208">
        <v>0</v>
      </c>
      <c r="BE291" s="208">
        <v>0</v>
      </c>
      <c r="BF291" s="208">
        <v>0</v>
      </c>
      <c r="BG291" s="208">
        <v>0</v>
      </c>
      <c r="BH291" s="208">
        <v>0</v>
      </c>
      <c r="BI291" s="208">
        <v>0</v>
      </c>
      <c r="BJ291" s="208">
        <v>0</v>
      </c>
      <c r="BK291" s="208">
        <v>0</v>
      </c>
      <c r="BL291" s="208">
        <v>18360299</v>
      </c>
      <c r="BM291" s="208">
        <v>-50241301</v>
      </c>
      <c r="BN291" s="187" t="s">
        <v>659</v>
      </c>
      <c r="BO291" s="187" t="s">
        <v>767</v>
      </c>
      <c r="BP291" s="187" t="s">
        <v>743</v>
      </c>
      <c r="BQ291" s="187" t="s">
        <v>1057</v>
      </c>
    </row>
    <row r="292" spans="1:69" x14ac:dyDescent="0.2">
      <c r="B292" s="429" t="s">
        <v>662</v>
      </c>
      <c r="C292" s="429" t="s">
        <v>661</v>
      </c>
      <c r="D292" s="208">
        <v>158949507</v>
      </c>
      <c r="E292" s="208">
        <v>0</v>
      </c>
      <c r="F292" s="208">
        <v>158949507</v>
      </c>
      <c r="G292" s="208">
        <v>0</v>
      </c>
      <c r="H292" s="208">
        <v>0</v>
      </c>
      <c r="I292" s="208">
        <v>0</v>
      </c>
      <c r="J292" s="208">
        <v>-1402165</v>
      </c>
      <c r="K292" s="208">
        <v>0</v>
      </c>
      <c r="L292" s="208">
        <v>-1402165</v>
      </c>
      <c r="M292" s="208">
        <v>0</v>
      </c>
      <c r="N292" s="208">
        <v>0</v>
      </c>
      <c r="O292" s="208">
        <v>0</v>
      </c>
      <c r="P292" s="208">
        <v>-1639567</v>
      </c>
      <c r="Q292" s="208">
        <v>0</v>
      </c>
      <c r="R292" s="208">
        <v>-1639567</v>
      </c>
      <c r="S292" s="208">
        <v>8599169</v>
      </c>
      <c r="T292" s="208">
        <v>0</v>
      </c>
      <c r="U292" s="208">
        <v>8599169</v>
      </c>
      <c r="V292" s="208">
        <v>0</v>
      </c>
      <c r="W292" s="208">
        <v>0</v>
      </c>
      <c r="X292" s="208">
        <v>0</v>
      </c>
      <c r="Y292" s="208">
        <v>1593658</v>
      </c>
      <c r="Z292" s="208">
        <v>0</v>
      </c>
      <c r="AA292" s="208">
        <v>1593658</v>
      </c>
      <c r="AB292" s="208">
        <v>-10011878</v>
      </c>
      <c r="AC292" s="208">
        <v>0</v>
      </c>
      <c r="AD292" s="208">
        <v>-10011878</v>
      </c>
      <c r="AE292" s="208">
        <v>157490889</v>
      </c>
      <c r="AF292" s="208">
        <v>0</v>
      </c>
      <c r="AG292" s="208">
        <v>157490889</v>
      </c>
      <c r="AH292" s="208">
        <v>0</v>
      </c>
      <c r="AI292" s="208">
        <v>0</v>
      </c>
      <c r="AJ292" s="208">
        <v>80952</v>
      </c>
      <c r="AK292" s="208">
        <v>0</v>
      </c>
      <c r="AL292" s="208">
        <v>80952</v>
      </c>
      <c r="AM292" s="208">
        <v>0</v>
      </c>
      <c r="AN292" s="208">
        <v>0</v>
      </c>
      <c r="AO292" s="208">
        <v>0</v>
      </c>
      <c r="AP292" s="208">
        <v>0</v>
      </c>
      <c r="AQ292" s="208">
        <v>0</v>
      </c>
      <c r="AR292" s="208">
        <v>0</v>
      </c>
      <c r="AS292" s="208">
        <v>0</v>
      </c>
      <c r="AT292" s="208">
        <v>0</v>
      </c>
      <c r="AU292" s="208">
        <v>0</v>
      </c>
      <c r="AV292" s="208">
        <v>0</v>
      </c>
      <c r="AW292" s="208">
        <v>0</v>
      </c>
      <c r="AX292" s="208">
        <v>0</v>
      </c>
      <c r="AY292" s="208">
        <v>0</v>
      </c>
      <c r="AZ292" s="208">
        <v>0</v>
      </c>
      <c r="BA292" s="208">
        <v>0</v>
      </c>
      <c r="BB292" s="208">
        <v>0</v>
      </c>
      <c r="BC292" s="208">
        <v>0</v>
      </c>
      <c r="BD292" s="208">
        <v>0</v>
      </c>
      <c r="BE292" s="208">
        <v>0</v>
      </c>
      <c r="BF292" s="208">
        <v>0</v>
      </c>
      <c r="BG292" s="208">
        <v>0</v>
      </c>
      <c r="BH292" s="208">
        <v>0</v>
      </c>
      <c r="BI292" s="208">
        <v>0</v>
      </c>
      <c r="BJ292" s="208">
        <v>0</v>
      </c>
      <c r="BK292" s="208">
        <v>0</v>
      </c>
      <c r="BL292" s="208">
        <v>10610682</v>
      </c>
      <c r="BM292" s="208">
        <v>-10209496</v>
      </c>
      <c r="BN292" s="187" t="s">
        <v>661</v>
      </c>
      <c r="BO292" s="187" t="s">
        <v>754</v>
      </c>
      <c r="BP292" s="187" t="s">
        <v>763</v>
      </c>
      <c r="BQ292" s="187" t="s">
        <v>1056</v>
      </c>
    </row>
    <row r="293" spans="1:69" x14ac:dyDescent="0.2">
      <c r="B293" s="429" t="s">
        <v>664</v>
      </c>
      <c r="C293" s="429" t="s">
        <v>663</v>
      </c>
      <c r="D293" s="208">
        <v>53125082</v>
      </c>
      <c r="E293" s="208">
        <v>0</v>
      </c>
      <c r="F293" s="208">
        <v>53125082</v>
      </c>
      <c r="G293" s="208">
        <v>0</v>
      </c>
      <c r="H293" s="208">
        <v>0</v>
      </c>
      <c r="I293" s="208">
        <v>0</v>
      </c>
      <c r="J293" s="208">
        <v>0</v>
      </c>
      <c r="K293" s="208">
        <v>0</v>
      </c>
      <c r="L293" s="208">
        <v>0</v>
      </c>
      <c r="M293" s="208">
        <v>-469155</v>
      </c>
      <c r="N293" s="208">
        <v>0</v>
      </c>
      <c r="O293" s="208">
        <v>-469155</v>
      </c>
      <c r="P293" s="208">
        <v>222949</v>
      </c>
      <c r="Q293" s="208">
        <v>0</v>
      </c>
      <c r="R293" s="208">
        <v>222949</v>
      </c>
      <c r="S293" s="208">
        <v>0</v>
      </c>
      <c r="T293" s="208">
        <v>0</v>
      </c>
      <c r="U293" s="208">
        <v>0</v>
      </c>
      <c r="V293" s="208">
        <v>0</v>
      </c>
      <c r="W293" s="208">
        <v>0</v>
      </c>
      <c r="X293" s="208">
        <v>0</v>
      </c>
      <c r="Y293" s="208">
        <v>63927</v>
      </c>
      <c r="Z293" s="208">
        <v>0</v>
      </c>
      <c r="AA293" s="208">
        <v>63927</v>
      </c>
      <c r="AB293" s="208">
        <v>156418</v>
      </c>
      <c r="AC293" s="208">
        <v>0</v>
      </c>
      <c r="AD293" s="208">
        <v>156418</v>
      </c>
      <c r="AE293" s="208">
        <v>53099221</v>
      </c>
      <c r="AF293" s="208">
        <v>0</v>
      </c>
      <c r="AG293" s="208">
        <v>53099221</v>
      </c>
      <c r="AH293" s="208">
        <v>0</v>
      </c>
      <c r="AI293" s="208">
        <v>0</v>
      </c>
      <c r="AJ293" s="208">
        <v>114396</v>
      </c>
      <c r="AK293" s="208">
        <v>0</v>
      </c>
      <c r="AL293" s="208">
        <v>114396</v>
      </c>
      <c r="AM293" s="208">
        <v>0</v>
      </c>
      <c r="AN293" s="208">
        <v>0</v>
      </c>
      <c r="AO293" s="208">
        <v>0</v>
      </c>
      <c r="AP293" s="208">
        <v>0</v>
      </c>
      <c r="AQ293" s="208">
        <v>0</v>
      </c>
      <c r="AR293" s="208">
        <v>0</v>
      </c>
      <c r="AS293" s="208">
        <v>0</v>
      </c>
      <c r="AT293" s="208">
        <v>0</v>
      </c>
      <c r="AU293" s="208">
        <v>0</v>
      </c>
      <c r="AV293" s="208">
        <v>0</v>
      </c>
      <c r="AW293" s="208">
        <v>0</v>
      </c>
      <c r="AX293" s="208">
        <v>0</v>
      </c>
      <c r="AY293" s="208">
        <v>0</v>
      </c>
      <c r="AZ293" s="208">
        <v>0</v>
      </c>
      <c r="BA293" s="208">
        <v>0</v>
      </c>
      <c r="BB293" s="208">
        <v>0</v>
      </c>
      <c r="BC293" s="208">
        <v>0</v>
      </c>
      <c r="BD293" s="208">
        <v>0</v>
      </c>
      <c r="BE293" s="208">
        <v>0</v>
      </c>
      <c r="BF293" s="208">
        <v>0</v>
      </c>
      <c r="BG293" s="208">
        <v>0</v>
      </c>
      <c r="BH293" s="208">
        <v>0</v>
      </c>
      <c r="BI293" s="208">
        <v>0</v>
      </c>
      <c r="BJ293" s="208">
        <v>0</v>
      </c>
      <c r="BK293" s="208">
        <v>0</v>
      </c>
      <c r="BL293" s="208">
        <v>1548955</v>
      </c>
      <c r="BM293" s="208">
        <v>-977472</v>
      </c>
      <c r="BN293" s="187" t="s">
        <v>663</v>
      </c>
      <c r="BO293" s="187" t="s">
        <v>786</v>
      </c>
      <c r="BP293" s="187" t="s">
        <v>785</v>
      </c>
      <c r="BQ293" s="187" t="s">
        <v>1054</v>
      </c>
    </row>
    <row r="294" spans="1:69" x14ac:dyDescent="0.2">
      <c r="B294" s="429" t="s">
        <v>666</v>
      </c>
      <c r="C294" s="429" t="s">
        <v>665</v>
      </c>
      <c r="D294" s="208">
        <v>44804153</v>
      </c>
      <c r="E294" s="208">
        <v>0</v>
      </c>
      <c r="F294" s="208">
        <v>44804153</v>
      </c>
      <c r="G294" s="208">
        <v>0</v>
      </c>
      <c r="H294" s="208">
        <v>0</v>
      </c>
      <c r="I294" s="208">
        <v>0</v>
      </c>
      <c r="J294" s="208">
        <v>-31899</v>
      </c>
      <c r="K294" s="208">
        <v>0</v>
      </c>
      <c r="L294" s="208">
        <v>-31899</v>
      </c>
      <c r="M294" s="208">
        <v>0</v>
      </c>
      <c r="N294" s="208">
        <v>0</v>
      </c>
      <c r="O294" s="208">
        <v>0</v>
      </c>
      <c r="P294" s="208">
        <v>120526</v>
      </c>
      <c r="Q294" s="208">
        <v>0</v>
      </c>
      <c r="R294" s="208">
        <v>120526</v>
      </c>
      <c r="S294" s="208">
        <v>2626662</v>
      </c>
      <c r="T294" s="208">
        <v>0</v>
      </c>
      <c r="U294" s="208">
        <v>2626662</v>
      </c>
      <c r="V294" s="208">
        <v>99635</v>
      </c>
      <c r="W294" s="208">
        <v>0</v>
      </c>
      <c r="X294" s="208">
        <v>99635</v>
      </c>
      <c r="Y294" s="208">
        <v>-156331</v>
      </c>
      <c r="Z294" s="208">
        <v>0</v>
      </c>
      <c r="AA294" s="208">
        <v>-156331</v>
      </c>
      <c r="AB294" s="208">
        <v>-1203475</v>
      </c>
      <c r="AC294" s="208">
        <v>0</v>
      </c>
      <c r="AD294" s="208">
        <v>-1203475</v>
      </c>
      <c r="AE294" s="208">
        <v>46291170</v>
      </c>
      <c r="AF294" s="208">
        <v>0</v>
      </c>
      <c r="AG294" s="208">
        <v>46291170</v>
      </c>
      <c r="AH294" s="208">
        <v>0</v>
      </c>
      <c r="AI294" s="208">
        <v>0</v>
      </c>
      <c r="AJ294" s="208">
        <v>126787</v>
      </c>
      <c r="AK294" s="208">
        <v>0</v>
      </c>
      <c r="AL294" s="208">
        <v>126787</v>
      </c>
      <c r="AM294" s="208">
        <v>0</v>
      </c>
      <c r="AN294" s="208">
        <v>0</v>
      </c>
      <c r="AO294" s="208">
        <v>0</v>
      </c>
      <c r="AP294" s="208">
        <v>0</v>
      </c>
      <c r="AQ294" s="208">
        <v>0</v>
      </c>
      <c r="AR294" s="208">
        <v>0</v>
      </c>
      <c r="AS294" s="208">
        <v>0</v>
      </c>
      <c r="AT294" s="208">
        <v>0</v>
      </c>
      <c r="AU294" s="208">
        <v>0</v>
      </c>
      <c r="AV294" s="208">
        <v>0</v>
      </c>
      <c r="AW294" s="208">
        <v>0</v>
      </c>
      <c r="AX294" s="208">
        <v>0</v>
      </c>
      <c r="AY294" s="208">
        <v>0</v>
      </c>
      <c r="AZ294" s="208">
        <v>0</v>
      </c>
      <c r="BA294" s="208">
        <v>0</v>
      </c>
      <c r="BB294" s="208">
        <v>0</v>
      </c>
      <c r="BC294" s="208">
        <v>0</v>
      </c>
      <c r="BD294" s="208">
        <v>0</v>
      </c>
      <c r="BE294" s="208">
        <v>0</v>
      </c>
      <c r="BF294" s="208">
        <v>0</v>
      </c>
      <c r="BG294" s="208">
        <v>0</v>
      </c>
      <c r="BH294" s="208">
        <v>0</v>
      </c>
      <c r="BI294" s="208">
        <v>0</v>
      </c>
      <c r="BJ294" s="208">
        <v>0</v>
      </c>
      <c r="BK294" s="208">
        <v>0</v>
      </c>
      <c r="BL294" s="208">
        <v>1586492</v>
      </c>
      <c r="BM294" s="208">
        <v>-614012</v>
      </c>
      <c r="BN294" s="187" t="s">
        <v>665</v>
      </c>
      <c r="BO294" s="187" t="s">
        <v>784</v>
      </c>
      <c r="BP294" s="187" t="s">
        <v>783</v>
      </c>
      <c r="BQ294" s="187" t="s">
        <v>1054</v>
      </c>
    </row>
    <row r="295" spans="1:69" x14ac:dyDescent="0.2">
      <c r="B295" s="429" t="s">
        <v>668</v>
      </c>
      <c r="C295" s="429" t="s">
        <v>667</v>
      </c>
      <c r="D295" s="208">
        <v>57161289</v>
      </c>
      <c r="E295" s="208">
        <v>3322383</v>
      </c>
      <c r="F295" s="208">
        <v>60483672</v>
      </c>
      <c r="G295" s="208">
        <v>-212</v>
      </c>
      <c r="H295" s="208">
        <v>0</v>
      </c>
      <c r="I295" s="208">
        <v>-212</v>
      </c>
      <c r="J295" s="208">
        <v>-394410</v>
      </c>
      <c r="K295" s="208">
        <v>0</v>
      </c>
      <c r="L295" s="208">
        <v>-394410</v>
      </c>
      <c r="M295" s="208">
        <v>0</v>
      </c>
      <c r="N295" s="208">
        <v>0</v>
      </c>
      <c r="O295" s="208">
        <v>0</v>
      </c>
      <c r="P295" s="208">
        <v>-247108</v>
      </c>
      <c r="Q295" s="208">
        <v>0</v>
      </c>
      <c r="R295" s="208">
        <v>-247108</v>
      </c>
      <c r="S295" s="208">
        <v>1062321</v>
      </c>
      <c r="T295" s="208">
        <v>0</v>
      </c>
      <c r="U295" s="208">
        <v>1062321</v>
      </c>
      <c r="V295" s="208">
        <v>550894</v>
      </c>
      <c r="W295" s="208">
        <v>41382</v>
      </c>
      <c r="X295" s="208">
        <v>592276</v>
      </c>
      <c r="Y295" s="208">
        <v>-503021</v>
      </c>
      <c r="Z295" s="208">
        <v>0</v>
      </c>
      <c r="AA295" s="208">
        <v>-503021</v>
      </c>
      <c r="AB295" s="208">
        <v>-3616460</v>
      </c>
      <c r="AC295" s="208">
        <v>0</v>
      </c>
      <c r="AD295" s="208">
        <v>-3616460</v>
      </c>
      <c r="AE295" s="208">
        <v>54407703</v>
      </c>
      <c r="AF295" s="208">
        <v>3363765</v>
      </c>
      <c r="AG295" s="208">
        <v>57771468</v>
      </c>
      <c r="AH295" s="208">
        <v>3363765</v>
      </c>
      <c r="AI295" s="208">
        <v>3363765</v>
      </c>
      <c r="AJ295" s="208">
        <v>235130</v>
      </c>
      <c r="AK295" s="208">
        <v>0</v>
      </c>
      <c r="AL295" s="208">
        <v>235130</v>
      </c>
      <c r="AM295" s="208">
        <v>0</v>
      </c>
      <c r="AN295" s="208">
        <v>0</v>
      </c>
      <c r="AO295" s="208">
        <v>0</v>
      </c>
      <c r="AP295" s="208">
        <v>-443</v>
      </c>
      <c r="AQ295" s="208">
        <v>-443</v>
      </c>
      <c r="AR295" s="208">
        <v>2642223</v>
      </c>
      <c r="AS295" s="208">
        <v>2642223</v>
      </c>
      <c r="AT295" s="208">
        <v>1670513</v>
      </c>
      <c r="AU295" s="208">
        <v>0</v>
      </c>
      <c r="AV295" s="208">
        <v>0</v>
      </c>
      <c r="AW295" s="208">
        <v>0</v>
      </c>
      <c r="AX295" s="208">
        <v>0</v>
      </c>
      <c r="AY295" s="208">
        <v>1384643</v>
      </c>
      <c r="AZ295" s="208">
        <v>1384643</v>
      </c>
      <c r="BA295" s="208">
        <v>0</v>
      </c>
      <c r="BB295" s="208">
        <v>0</v>
      </c>
      <c r="BC295" s="208">
        <v>0</v>
      </c>
      <c r="BD295" s="208">
        <v>0</v>
      </c>
      <c r="BE295" s="208">
        <v>0</v>
      </c>
      <c r="BF295" s="208">
        <v>0</v>
      </c>
      <c r="BG295" s="208">
        <v>0</v>
      </c>
      <c r="BH295" s="208">
        <v>0</v>
      </c>
      <c r="BI295" s="208">
        <v>0</v>
      </c>
      <c r="BJ295" s="208">
        <v>1384643</v>
      </c>
      <c r="BK295" s="208">
        <v>1384643</v>
      </c>
      <c r="BL295" s="208">
        <v>1964864</v>
      </c>
      <c r="BM295" s="208">
        <v>-2034474</v>
      </c>
      <c r="BN295" s="187" t="s">
        <v>667</v>
      </c>
      <c r="BO295" s="187" t="s">
        <v>770</v>
      </c>
      <c r="BP295" s="187" t="s">
        <v>751</v>
      </c>
      <c r="BQ295" s="187" t="s">
        <v>1054</v>
      </c>
    </row>
    <row r="296" spans="1:69" x14ac:dyDescent="0.2">
      <c r="B296" s="429" t="s">
        <v>670</v>
      </c>
      <c r="C296" s="429" t="s">
        <v>669</v>
      </c>
      <c r="D296" s="208">
        <v>132919356</v>
      </c>
      <c r="E296" s="208">
        <v>18950</v>
      </c>
      <c r="F296" s="208">
        <v>132938306</v>
      </c>
      <c r="G296" s="208">
        <v>0</v>
      </c>
      <c r="H296" s="208">
        <v>0</v>
      </c>
      <c r="I296" s="208">
        <v>0</v>
      </c>
      <c r="J296" s="208">
        <v>-915645</v>
      </c>
      <c r="K296" s="208">
        <v>0</v>
      </c>
      <c r="L296" s="208">
        <v>-915645</v>
      </c>
      <c r="M296" s="208">
        <v>0</v>
      </c>
      <c r="N296" s="208">
        <v>0</v>
      </c>
      <c r="O296" s="208">
        <v>0</v>
      </c>
      <c r="P296" s="208">
        <v>-915645</v>
      </c>
      <c r="Q296" s="208">
        <v>0</v>
      </c>
      <c r="R296" s="208">
        <v>-915645</v>
      </c>
      <c r="S296" s="208">
        <v>0</v>
      </c>
      <c r="T296" s="208">
        <v>0</v>
      </c>
      <c r="U296" s="208">
        <v>0</v>
      </c>
      <c r="V296" s="208">
        <v>0</v>
      </c>
      <c r="W296" s="208">
        <v>0</v>
      </c>
      <c r="X296" s="208">
        <v>0</v>
      </c>
      <c r="Y296" s="208">
        <v>2769011</v>
      </c>
      <c r="Z296" s="208">
        <v>0</v>
      </c>
      <c r="AA296" s="208">
        <v>2769011</v>
      </c>
      <c r="AB296" s="208">
        <v>-6248100</v>
      </c>
      <c r="AC296" s="208">
        <v>0</v>
      </c>
      <c r="AD296" s="208">
        <v>-6248100</v>
      </c>
      <c r="AE296" s="208">
        <v>128524622</v>
      </c>
      <c r="AF296" s="208">
        <v>18950</v>
      </c>
      <c r="AG296" s="208">
        <v>128543572</v>
      </c>
      <c r="AH296" s="208">
        <v>18950</v>
      </c>
      <c r="AI296" s="208">
        <v>18950</v>
      </c>
      <c r="AJ296" s="208">
        <v>520587</v>
      </c>
      <c r="AK296" s="208">
        <v>0</v>
      </c>
      <c r="AL296" s="208">
        <v>520587</v>
      </c>
      <c r="AM296" s="208">
        <v>0</v>
      </c>
      <c r="AN296" s="208">
        <v>0</v>
      </c>
      <c r="AO296" s="208">
        <v>0</v>
      </c>
      <c r="AP296" s="208">
        <v>0</v>
      </c>
      <c r="AQ296" s="208">
        <v>0</v>
      </c>
      <c r="AR296" s="208">
        <v>0</v>
      </c>
      <c r="AS296" s="208">
        <v>0</v>
      </c>
      <c r="AT296" s="208">
        <v>18950</v>
      </c>
      <c r="AU296" s="208">
        <v>0</v>
      </c>
      <c r="AV296" s="208">
        <v>72586</v>
      </c>
      <c r="AW296" s="208">
        <v>72586</v>
      </c>
      <c r="AX296" s="208">
        <v>0</v>
      </c>
      <c r="AY296" s="208">
        <v>0</v>
      </c>
      <c r="AZ296" s="208">
        <v>0</v>
      </c>
      <c r="BA296" s="208">
        <v>0</v>
      </c>
      <c r="BB296" s="208">
        <v>0</v>
      </c>
      <c r="BC296" s="208">
        <v>0</v>
      </c>
      <c r="BD296" s="208">
        <v>0</v>
      </c>
      <c r="BE296" s="208">
        <v>0</v>
      </c>
      <c r="BF296" s="208">
        <v>0</v>
      </c>
      <c r="BG296" s="208">
        <v>0</v>
      </c>
      <c r="BH296" s="208">
        <v>0</v>
      </c>
      <c r="BI296" s="208">
        <v>0</v>
      </c>
      <c r="BJ296" s="208">
        <v>0</v>
      </c>
      <c r="BK296" s="208">
        <v>0</v>
      </c>
      <c r="BL296" s="208">
        <v>2323054</v>
      </c>
      <c r="BM296" s="208">
        <v>-1289751</v>
      </c>
      <c r="BN296" s="187" t="s">
        <v>669</v>
      </c>
      <c r="BO296" s="187" t="s">
        <v>754</v>
      </c>
      <c r="BP296" s="187" t="s">
        <v>782</v>
      </c>
      <c r="BQ296" s="187" t="s">
        <v>1056</v>
      </c>
    </row>
    <row r="297" spans="1:69" x14ac:dyDescent="0.2">
      <c r="B297" s="429" t="s">
        <v>672</v>
      </c>
      <c r="C297" s="429" t="s">
        <v>671</v>
      </c>
      <c r="D297" s="208">
        <v>72110247</v>
      </c>
      <c r="E297" s="208">
        <v>191884</v>
      </c>
      <c r="F297" s="208">
        <v>72302131</v>
      </c>
      <c r="G297" s="208">
        <v>0</v>
      </c>
      <c r="H297" s="208">
        <v>0</v>
      </c>
      <c r="I297" s="208">
        <v>0</v>
      </c>
      <c r="J297" s="208">
        <v>-554172</v>
      </c>
      <c r="K297" s="208">
        <v>0</v>
      </c>
      <c r="L297" s="208">
        <v>-554172</v>
      </c>
      <c r="M297" s="208">
        <v>0</v>
      </c>
      <c r="N297" s="208">
        <v>0</v>
      </c>
      <c r="O297" s="208">
        <v>0</v>
      </c>
      <c r="P297" s="208">
        <v>-871349</v>
      </c>
      <c r="Q297" s="208">
        <v>0</v>
      </c>
      <c r="R297" s="208">
        <v>-871349</v>
      </c>
      <c r="S297" s="208">
        <v>440747</v>
      </c>
      <c r="T297" s="208">
        <v>3193</v>
      </c>
      <c r="U297" s="208">
        <v>443940</v>
      </c>
      <c r="V297" s="208">
        <v>611055</v>
      </c>
      <c r="W297" s="208">
        <v>0</v>
      </c>
      <c r="X297" s="208">
        <v>611055</v>
      </c>
      <c r="Y297" s="208">
        <v>-1598526</v>
      </c>
      <c r="Z297" s="208">
        <v>0</v>
      </c>
      <c r="AA297" s="208">
        <v>-1598526</v>
      </c>
      <c r="AB297" s="208">
        <v>467067</v>
      </c>
      <c r="AC297" s="208">
        <v>1405</v>
      </c>
      <c r="AD297" s="208">
        <v>468472</v>
      </c>
      <c r="AE297" s="208">
        <v>71159241</v>
      </c>
      <c r="AF297" s="208">
        <v>196482</v>
      </c>
      <c r="AG297" s="208">
        <v>71355723</v>
      </c>
      <c r="AH297" s="208">
        <v>196482</v>
      </c>
      <c r="AI297" s="208">
        <v>196482</v>
      </c>
      <c r="AJ297" s="208">
        <v>0</v>
      </c>
      <c r="AK297" s="208">
        <v>0</v>
      </c>
      <c r="AL297" s="208">
        <v>0</v>
      </c>
      <c r="AM297" s="208">
        <v>0</v>
      </c>
      <c r="AN297" s="208">
        <v>0</v>
      </c>
      <c r="AO297" s="208">
        <v>0</v>
      </c>
      <c r="AP297" s="208">
        <v>2603</v>
      </c>
      <c r="AQ297" s="208">
        <v>2603</v>
      </c>
      <c r="AR297" s="208">
        <v>175164</v>
      </c>
      <c r="AS297" s="208">
        <v>175164</v>
      </c>
      <c r="AT297" s="208">
        <v>23921</v>
      </c>
      <c r="AU297" s="208">
        <v>0</v>
      </c>
      <c r="AV297" s="208">
        <v>18044</v>
      </c>
      <c r="AW297" s="208">
        <v>18044</v>
      </c>
      <c r="AX297" s="208">
        <v>0</v>
      </c>
      <c r="AY297" s="208">
        <v>0</v>
      </c>
      <c r="AZ297" s="208">
        <v>0</v>
      </c>
      <c r="BA297" s="208">
        <v>0</v>
      </c>
      <c r="BB297" s="208">
        <v>0</v>
      </c>
      <c r="BC297" s="208">
        <v>0</v>
      </c>
      <c r="BD297" s="208">
        <v>0</v>
      </c>
      <c r="BE297" s="208">
        <v>0</v>
      </c>
      <c r="BF297" s="208">
        <v>0</v>
      </c>
      <c r="BG297" s="208">
        <v>0</v>
      </c>
      <c r="BH297" s="208">
        <v>0</v>
      </c>
      <c r="BI297" s="208">
        <v>0</v>
      </c>
      <c r="BJ297" s="208">
        <v>0</v>
      </c>
      <c r="BK297" s="208">
        <v>0</v>
      </c>
      <c r="BL297" s="208">
        <v>6160543</v>
      </c>
      <c r="BM297" s="208">
        <v>-370689</v>
      </c>
      <c r="BN297" s="187" t="s">
        <v>671</v>
      </c>
      <c r="BO297" s="187" t="s">
        <v>754</v>
      </c>
      <c r="BP297" s="187" t="s">
        <v>753</v>
      </c>
      <c r="BQ297" s="187" t="s">
        <v>1056</v>
      </c>
    </row>
    <row r="298" spans="1:69" x14ac:dyDescent="0.2">
      <c r="B298" s="429" t="s">
        <v>674</v>
      </c>
      <c r="C298" s="429" t="s">
        <v>673</v>
      </c>
      <c r="D298" s="208">
        <v>62589589</v>
      </c>
      <c r="E298" s="208">
        <v>0</v>
      </c>
      <c r="F298" s="208">
        <v>62589589</v>
      </c>
      <c r="G298" s="208">
        <v>0</v>
      </c>
      <c r="H298" s="208">
        <v>0</v>
      </c>
      <c r="I298" s="208">
        <v>0</v>
      </c>
      <c r="J298" s="208">
        <v>-197253</v>
      </c>
      <c r="K298" s="208">
        <v>0</v>
      </c>
      <c r="L298" s="208">
        <v>-197253</v>
      </c>
      <c r="M298" s="208">
        <v>0</v>
      </c>
      <c r="N298" s="208">
        <v>0</v>
      </c>
      <c r="O298" s="208">
        <v>0</v>
      </c>
      <c r="P298" s="208">
        <v>-262689</v>
      </c>
      <c r="Q298" s="208">
        <v>0</v>
      </c>
      <c r="R298" s="208">
        <v>-262689</v>
      </c>
      <c r="S298" s="208">
        <v>1885497</v>
      </c>
      <c r="T298" s="208">
        <v>0</v>
      </c>
      <c r="U298" s="208">
        <v>1885497</v>
      </c>
      <c r="V298" s="208">
        <v>2110053</v>
      </c>
      <c r="W298" s="208">
        <v>0</v>
      </c>
      <c r="X298" s="208">
        <v>2110053</v>
      </c>
      <c r="Y298" s="208">
        <v>-962205</v>
      </c>
      <c r="Z298" s="208">
        <v>0</v>
      </c>
      <c r="AA298" s="208">
        <v>-962205</v>
      </c>
      <c r="AB298" s="208">
        <v>-2100114</v>
      </c>
      <c r="AC298" s="208">
        <v>0</v>
      </c>
      <c r="AD298" s="208">
        <v>-2100114</v>
      </c>
      <c r="AE298" s="208">
        <v>63260131</v>
      </c>
      <c r="AF298" s="208">
        <v>0</v>
      </c>
      <c r="AG298" s="208">
        <v>63260131</v>
      </c>
      <c r="AH298" s="208">
        <v>0</v>
      </c>
      <c r="AI298" s="208">
        <v>0</v>
      </c>
      <c r="AJ298" s="208">
        <v>0</v>
      </c>
      <c r="AK298" s="208">
        <v>0</v>
      </c>
      <c r="AL298" s="208">
        <v>0</v>
      </c>
      <c r="AM298" s="208">
        <v>0</v>
      </c>
      <c r="AN298" s="208">
        <v>0</v>
      </c>
      <c r="AO298" s="208">
        <v>0</v>
      </c>
      <c r="AP298" s="208">
        <v>0</v>
      </c>
      <c r="AQ298" s="208">
        <v>0</v>
      </c>
      <c r="AR298" s="208">
        <v>0</v>
      </c>
      <c r="AS298" s="208">
        <v>0</v>
      </c>
      <c r="AT298" s="208">
        <v>0</v>
      </c>
      <c r="AU298" s="208">
        <v>0</v>
      </c>
      <c r="AV298" s="208">
        <v>0</v>
      </c>
      <c r="AW298" s="208">
        <v>0</v>
      </c>
      <c r="AX298" s="208">
        <v>0</v>
      </c>
      <c r="AY298" s="208">
        <v>0</v>
      </c>
      <c r="AZ298" s="208">
        <v>0</v>
      </c>
      <c r="BA298" s="208">
        <v>0</v>
      </c>
      <c r="BB298" s="208">
        <v>0</v>
      </c>
      <c r="BC298" s="208">
        <v>0</v>
      </c>
      <c r="BD298" s="208">
        <v>0</v>
      </c>
      <c r="BE298" s="208">
        <v>0</v>
      </c>
      <c r="BF298" s="208">
        <v>0</v>
      </c>
      <c r="BG298" s="208">
        <v>0</v>
      </c>
      <c r="BH298" s="208">
        <v>0</v>
      </c>
      <c r="BI298" s="208">
        <v>0</v>
      </c>
      <c r="BJ298" s="208">
        <v>0</v>
      </c>
      <c r="BK298" s="208">
        <v>0</v>
      </c>
      <c r="BL298" s="208">
        <v>5906393</v>
      </c>
      <c r="BM298" s="208">
        <v>-4364268</v>
      </c>
      <c r="BN298" s="187" t="s">
        <v>673</v>
      </c>
      <c r="BO298" s="187" t="s">
        <v>767</v>
      </c>
      <c r="BP298" s="187" t="s">
        <v>743</v>
      </c>
      <c r="BQ298" s="187" t="s">
        <v>1055</v>
      </c>
    </row>
    <row r="299" spans="1:69" x14ac:dyDescent="0.2">
      <c r="B299" s="429" t="s">
        <v>676</v>
      </c>
      <c r="C299" s="429" t="s">
        <v>675</v>
      </c>
      <c r="D299" s="208">
        <v>110837519</v>
      </c>
      <c r="E299" s="208">
        <v>4614176</v>
      </c>
      <c r="F299" s="208">
        <v>115451695</v>
      </c>
      <c r="G299" s="208">
        <v>0</v>
      </c>
      <c r="H299" s="208">
        <v>0</v>
      </c>
      <c r="I299" s="208">
        <v>0</v>
      </c>
      <c r="J299" s="208">
        <v>-8904</v>
      </c>
      <c r="K299" s="208">
        <v>0</v>
      </c>
      <c r="L299" s="208">
        <v>-8904</v>
      </c>
      <c r="M299" s="208">
        <v>230999</v>
      </c>
      <c r="N299" s="208">
        <v>0</v>
      </c>
      <c r="O299" s="208">
        <v>230999</v>
      </c>
      <c r="P299" s="208">
        <v>157096</v>
      </c>
      <c r="Q299" s="208">
        <v>0</v>
      </c>
      <c r="R299" s="208">
        <v>157096</v>
      </c>
      <c r="S299" s="208">
        <v>2054640</v>
      </c>
      <c r="T299" s="208">
        <v>3057</v>
      </c>
      <c r="U299" s="208">
        <v>2057697</v>
      </c>
      <c r="V299" s="208">
        <v>0</v>
      </c>
      <c r="W299" s="208">
        <v>0</v>
      </c>
      <c r="X299" s="208">
        <v>0</v>
      </c>
      <c r="Y299" s="208">
        <v>-452435</v>
      </c>
      <c r="Z299" s="208">
        <v>0</v>
      </c>
      <c r="AA299" s="208">
        <v>-452435</v>
      </c>
      <c r="AB299" s="208">
        <v>0</v>
      </c>
      <c r="AC299" s="208">
        <v>0</v>
      </c>
      <c r="AD299" s="208">
        <v>0</v>
      </c>
      <c r="AE299" s="208">
        <v>112827819</v>
      </c>
      <c r="AF299" s="208">
        <v>4617233</v>
      </c>
      <c r="AG299" s="208">
        <v>117445052</v>
      </c>
      <c r="AH299" s="208">
        <v>4617233</v>
      </c>
      <c r="AI299" s="208">
        <v>4617233</v>
      </c>
      <c r="AJ299" s="208">
        <v>0</v>
      </c>
      <c r="AK299" s="208">
        <v>0</v>
      </c>
      <c r="AL299" s="208">
        <v>0</v>
      </c>
      <c r="AM299" s="208">
        <v>0</v>
      </c>
      <c r="AN299" s="208">
        <v>0</v>
      </c>
      <c r="AO299" s="208">
        <v>0</v>
      </c>
      <c r="AP299" s="208">
        <v>301798</v>
      </c>
      <c r="AQ299" s="208">
        <v>301798</v>
      </c>
      <c r="AR299" s="208">
        <v>4332824</v>
      </c>
      <c r="AS299" s="208">
        <v>4332824</v>
      </c>
      <c r="AT299" s="208">
        <v>586207</v>
      </c>
      <c r="AU299" s="208">
        <v>0</v>
      </c>
      <c r="AV299" s="208">
        <v>0</v>
      </c>
      <c r="AW299" s="208">
        <v>0</v>
      </c>
      <c r="AX299" s="208">
        <v>0</v>
      </c>
      <c r="AY299" s="208">
        <v>0</v>
      </c>
      <c r="AZ299" s="208">
        <v>0</v>
      </c>
      <c r="BA299" s="208">
        <v>0</v>
      </c>
      <c r="BB299" s="208">
        <v>0</v>
      </c>
      <c r="BC299" s="208">
        <v>0</v>
      </c>
      <c r="BD299" s="208">
        <v>0</v>
      </c>
      <c r="BE299" s="208">
        <v>0</v>
      </c>
      <c r="BF299" s="208">
        <v>0</v>
      </c>
      <c r="BG299" s="208">
        <v>0</v>
      </c>
      <c r="BH299" s="208">
        <v>0</v>
      </c>
      <c r="BI299" s="208">
        <v>0</v>
      </c>
      <c r="BJ299" s="208">
        <v>0</v>
      </c>
      <c r="BK299" s="208">
        <v>0</v>
      </c>
      <c r="BL299" s="208">
        <v>6414573</v>
      </c>
      <c r="BM299" s="208">
        <v>-5529030</v>
      </c>
      <c r="BN299" s="187" t="s">
        <v>675</v>
      </c>
      <c r="BO299" s="187" t="s">
        <v>767</v>
      </c>
      <c r="BP299" s="187" t="s">
        <v>743</v>
      </c>
      <c r="BQ299" s="187" t="s">
        <v>1057</v>
      </c>
    </row>
    <row r="300" spans="1:69" x14ac:dyDescent="0.2">
      <c r="B300" s="429" t="s">
        <v>678</v>
      </c>
      <c r="C300" s="429" t="s">
        <v>677</v>
      </c>
      <c r="D300" s="208">
        <v>108238323</v>
      </c>
      <c r="E300" s="208">
        <v>963662</v>
      </c>
      <c r="F300" s="208">
        <v>109201985</v>
      </c>
      <c r="G300" s="208">
        <v>0</v>
      </c>
      <c r="H300" s="208">
        <v>0</v>
      </c>
      <c r="I300" s="208">
        <v>0</v>
      </c>
      <c r="J300" s="208">
        <v>-752196</v>
      </c>
      <c r="K300" s="208">
        <v>0</v>
      </c>
      <c r="L300" s="208">
        <v>-752196</v>
      </c>
      <c r="M300" s="208">
        <v>0</v>
      </c>
      <c r="N300" s="208">
        <v>0</v>
      </c>
      <c r="O300" s="208">
        <v>0</v>
      </c>
      <c r="P300" s="208">
        <v>-378579</v>
      </c>
      <c r="Q300" s="208">
        <v>0</v>
      </c>
      <c r="R300" s="208">
        <v>-378579</v>
      </c>
      <c r="S300" s="208">
        <v>0</v>
      </c>
      <c r="T300" s="208">
        <v>0</v>
      </c>
      <c r="U300" s="208">
        <v>0</v>
      </c>
      <c r="V300" s="208">
        <v>0</v>
      </c>
      <c r="W300" s="208">
        <v>0</v>
      </c>
      <c r="X300" s="208">
        <v>0</v>
      </c>
      <c r="Y300" s="208">
        <v>-2378846</v>
      </c>
      <c r="Z300" s="208">
        <v>0</v>
      </c>
      <c r="AA300" s="208">
        <v>-2378846</v>
      </c>
      <c r="AB300" s="208">
        <v>0</v>
      </c>
      <c r="AC300" s="208">
        <v>0</v>
      </c>
      <c r="AD300" s="208">
        <v>0</v>
      </c>
      <c r="AE300" s="208">
        <v>105480898</v>
      </c>
      <c r="AF300" s="208">
        <v>963662</v>
      </c>
      <c r="AG300" s="208">
        <v>106444560</v>
      </c>
      <c r="AH300" s="208">
        <v>963662</v>
      </c>
      <c r="AI300" s="208">
        <v>963662</v>
      </c>
      <c r="AJ300" s="208">
        <v>0</v>
      </c>
      <c r="AK300" s="208">
        <v>0</v>
      </c>
      <c r="AL300" s="208">
        <v>0</v>
      </c>
      <c r="AM300" s="208">
        <v>0</v>
      </c>
      <c r="AN300" s="208">
        <v>0</v>
      </c>
      <c r="AO300" s="208">
        <v>0</v>
      </c>
      <c r="AP300" s="208">
        <v>-14418</v>
      </c>
      <c r="AQ300" s="208">
        <v>-14418</v>
      </c>
      <c r="AR300" s="208">
        <v>954379</v>
      </c>
      <c r="AS300" s="208">
        <v>954379</v>
      </c>
      <c r="AT300" s="208">
        <v>0</v>
      </c>
      <c r="AU300" s="208">
        <v>0</v>
      </c>
      <c r="AV300" s="208">
        <v>0</v>
      </c>
      <c r="AW300" s="208">
        <v>0</v>
      </c>
      <c r="AX300" s="208">
        <v>0</v>
      </c>
      <c r="AY300" s="208">
        <v>256607</v>
      </c>
      <c r="AZ300" s="208">
        <v>256607</v>
      </c>
      <c r="BA300" s="208">
        <v>0</v>
      </c>
      <c r="BB300" s="208">
        <v>0</v>
      </c>
      <c r="BC300" s="208">
        <v>0</v>
      </c>
      <c r="BD300" s="208">
        <v>0</v>
      </c>
      <c r="BE300" s="208">
        <v>0</v>
      </c>
      <c r="BF300" s="208">
        <v>0</v>
      </c>
      <c r="BG300" s="208">
        <v>0</v>
      </c>
      <c r="BH300" s="208">
        <v>0</v>
      </c>
      <c r="BI300" s="208">
        <v>0</v>
      </c>
      <c r="BJ300" s="208">
        <v>256607</v>
      </c>
      <c r="BK300" s="208">
        <v>256607</v>
      </c>
      <c r="BL300" s="208">
        <v>9546450</v>
      </c>
      <c r="BM300" s="208">
        <v>-2394408</v>
      </c>
      <c r="BN300" s="187" t="s">
        <v>781</v>
      </c>
      <c r="BO300" s="187" t="s">
        <v>742</v>
      </c>
      <c r="BP300" s="187" t="s">
        <v>780</v>
      </c>
      <c r="BQ300" s="187" t="s">
        <v>742</v>
      </c>
    </row>
    <row r="301" spans="1:69" x14ac:dyDescent="0.2">
      <c r="B301" s="429" t="s">
        <v>680</v>
      </c>
      <c r="C301" s="429" t="s">
        <v>679</v>
      </c>
      <c r="D301" s="208">
        <v>71515981</v>
      </c>
      <c r="E301" s="208">
        <v>0</v>
      </c>
      <c r="F301" s="208">
        <v>71515981</v>
      </c>
      <c r="G301" s="208">
        <v>0</v>
      </c>
      <c r="H301" s="208">
        <v>0</v>
      </c>
      <c r="I301" s="208">
        <v>0</v>
      </c>
      <c r="J301" s="208">
        <v>-495199</v>
      </c>
      <c r="K301" s="208">
        <v>0</v>
      </c>
      <c r="L301" s="208">
        <v>-495199</v>
      </c>
      <c r="M301" s="208">
        <v>0</v>
      </c>
      <c r="N301" s="208">
        <v>0</v>
      </c>
      <c r="O301" s="208">
        <v>0</v>
      </c>
      <c r="P301" s="208">
        <v>-370199</v>
      </c>
      <c r="Q301" s="208">
        <v>0</v>
      </c>
      <c r="R301" s="208">
        <v>-370199</v>
      </c>
      <c r="S301" s="208">
        <v>1499093</v>
      </c>
      <c r="T301" s="208">
        <v>0</v>
      </c>
      <c r="U301" s="208">
        <v>1499093</v>
      </c>
      <c r="V301" s="208">
        <v>1019085</v>
      </c>
      <c r="W301" s="208">
        <v>0</v>
      </c>
      <c r="X301" s="208">
        <v>1019085</v>
      </c>
      <c r="Y301" s="208">
        <v>0</v>
      </c>
      <c r="Z301" s="208">
        <v>0</v>
      </c>
      <c r="AA301" s="208">
        <v>0</v>
      </c>
      <c r="AB301" s="208">
        <v>-4011251</v>
      </c>
      <c r="AC301" s="208">
        <v>0</v>
      </c>
      <c r="AD301" s="208">
        <v>-4011251</v>
      </c>
      <c r="AE301" s="208">
        <v>69652709</v>
      </c>
      <c r="AF301" s="208">
        <v>0</v>
      </c>
      <c r="AG301" s="208">
        <v>69652709</v>
      </c>
      <c r="AH301" s="208">
        <v>0</v>
      </c>
      <c r="AI301" s="208">
        <v>0</v>
      </c>
      <c r="AJ301" s="208">
        <v>23242</v>
      </c>
      <c r="AK301" s="208">
        <v>0</v>
      </c>
      <c r="AL301" s="208">
        <v>23242</v>
      </c>
      <c r="AM301" s="208">
        <v>0</v>
      </c>
      <c r="AN301" s="208">
        <v>0</v>
      </c>
      <c r="AO301" s="208">
        <v>0</v>
      </c>
      <c r="AP301" s="208">
        <v>0</v>
      </c>
      <c r="AQ301" s="208">
        <v>0</v>
      </c>
      <c r="AR301" s="208">
        <v>0</v>
      </c>
      <c r="AS301" s="208">
        <v>0</v>
      </c>
      <c r="AT301" s="208">
        <v>0</v>
      </c>
      <c r="AU301" s="208">
        <v>0</v>
      </c>
      <c r="AV301" s="208">
        <v>0</v>
      </c>
      <c r="AW301" s="208">
        <v>0</v>
      </c>
      <c r="AX301" s="208">
        <v>0</v>
      </c>
      <c r="AY301" s="208">
        <v>0</v>
      </c>
      <c r="AZ301" s="208">
        <v>0</v>
      </c>
      <c r="BA301" s="208">
        <v>0</v>
      </c>
      <c r="BB301" s="208">
        <v>0</v>
      </c>
      <c r="BC301" s="208">
        <v>0</v>
      </c>
      <c r="BD301" s="208">
        <v>0</v>
      </c>
      <c r="BE301" s="208">
        <v>0</v>
      </c>
      <c r="BF301" s="208">
        <v>0</v>
      </c>
      <c r="BG301" s="208">
        <v>0</v>
      </c>
      <c r="BH301" s="208">
        <v>0</v>
      </c>
      <c r="BI301" s="208">
        <v>0</v>
      </c>
      <c r="BJ301" s="208">
        <v>0</v>
      </c>
      <c r="BK301" s="208">
        <v>0</v>
      </c>
      <c r="BL301" s="208">
        <v>1977618</v>
      </c>
      <c r="BM301" s="208">
        <v>-379754</v>
      </c>
      <c r="BN301" s="187" t="s">
        <v>679</v>
      </c>
      <c r="BO301" s="187" t="s">
        <v>779</v>
      </c>
      <c r="BP301" s="187" t="s">
        <v>751</v>
      </c>
      <c r="BQ301" s="187" t="s">
        <v>1054</v>
      </c>
    </row>
    <row r="302" spans="1:69" x14ac:dyDescent="0.2">
      <c r="B302" s="429" t="s">
        <v>682</v>
      </c>
      <c r="C302" s="429" t="s">
        <v>681</v>
      </c>
      <c r="D302" s="208">
        <v>63995982</v>
      </c>
      <c r="E302" s="208">
        <v>0</v>
      </c>
      <c r="F302" s="208">
        <v>63995982</v>
      </c>
      <c r="G302" s="208">
        <v>0</v>
      </c>
      <c r="H302" s="208">
        <v>0</v>
      </c>
      <c r="I302" s="208">
        <v>0</v>
      </c>
      <c r="J302" s="208">
        <v>-1043264</v>
      </c>
      <c r="K302" s="208">
        <v>0</v>
      </c>
      <c r="L302" s="208">
        <v>-1043264</v>
      </c>
      <c r="M302" s="208">
        <v>0</v>
      </c>
      <c r="N302" s="208">
        <v>0</v>
      </c>
      <c r="O302" s="208">
        <v>0</v>
      </c>
      <c r="P302" s="208">
        <v>-1692990</v>
      </c>
      <c r="Q302" s="208">
        <v>0</v>
      </c>
      <c r="R302" s="208">
        <v>-1692990</v>
      </c>
      <c r="S302" s="208">
        <v>2315296</v>
      </c>
      <c r="T302" s="208">
        <v>0</v>
      </c>
      <c r="U302" s="208">
        <v>2315296</v>
      </c>
      <c r="V302" s="208">
        <v>594306</v>
      </c>
      <c r="W302" s="208">
        <v>0</v>
      </c>
      <c r="X302" s="208">
        <v>594306</v>
      </c>
      <c r="Y302" s="208">
        <v>-126107</v>
      </c>
      <c r="Z302" s="208">
        <v>0</v>
      </c>
      <c r="AA302" s="208">
        <v>-126107</v>
      </c>
      <c r="AB302" s="208">
        <v>-72878</v>
      </c>
      <c r="AC302" s="208">
        <v>0</v>
      </c>
      <c r="AD302" s="208">
        <v>-72878</v>
      </c>
      <c r="AE302" s="208">
        <v>65013609</v>
      </c>
      <c r="AF302" s="208">
        <v>0</v>
      </c>
      <c r="AG302" s="208">
        <v>65013609</v>
      </c>
      <c r="AH302" s="208">
        <v>0</v>
      </c>
      <c r="AI302" s="208">
        <v>0</v>
      </c>
      <c r="AJ302" s="208">
        <v>0</v>
      </c>
      <c r="AK302" s="208">
        <v>0</v>
      </c>
      <c r="AL302" s="208">
        <v>0</v>
      </c>
      <c r="AM302" s="208">
        <v>0</v>
      </c>
      <c r="AN302" s="208">
        <v>0</v>
      </c>
      <c r="AO302" s="208">
        <v>0</v>
      </c>
      <c r="AP302" s="208">
        <v>0</v>
      </c>
      <c r="AQ302" s="208">
        <v>0</v>
      </c>
      <c r="AR302" s="208">
        <v>0</v>
      </c>
      <c r="AS302" s="208">
        <v>0</v>
      </c>
      <c r="AT302" s="208">
        <v>0</v>
      </c>
      <c r="AU302" s="208">
        <v>0</v>
      </c>
      <c r="AV302" s="208">
        <v>0</v>
      </c>
      <c r="AW302" s="208">
        <v>0</v>
      </c>
      <c r="AX302" s="208">
        <v>0</v>
      </c>
      <c r="AY302" s="208">
        <v>0</v>
      </c>
      <c r="AZ302" s="208">
        <v>0</v>
      </c>
      <c r="BA302" s="208">
        <v>0</v>
      </c>
      <c r="BB302" s="208">
        <v>0</v>
      </c>
      <c r="BC302" s="208">
        <v>0</v>
      </c>
      <c r="BD302" s="208">
        <v>0</v>
      </c>
      <c r="BE302" s="208">
        <v>0</v>
      </c>
      <c r="BF302" s="208">
        <v>0</v>
      </c>
      <c r="BG302" s="208">
        <v>0</v>
      </c>
      <c r="BH302" s="208">
        <v>0</v>
      </c>
      <c r="BI302" s="208">
        <v>0</v>
      </c>
      <c r="BJ302" s="208">
        <v>0</v>
      </c>
      <c r="BK302" s="208">
        <v>0</v>
      </c>
      <c r="BL302" s="208">
        <v>2375595</v>
      </c>
      <c r="BM302" s="208">
        <v>-2184259</v>
      </c>
      <c r="BN302" s="187" t="s">
        <v>681</v>
      </c>
      <c r="BO302" s="187" t="s">
        <v>774</v>
      </c>
      <c r="BP302" s="187" t="s">
        <v>751</v>
      </c>
      <c r="BQ302" s="187" t="s">
        <v>1054</v>
      </c>
    </row>
    <row r="303" spans="1:69" x14ac:dyDescent="0.2">
      <c r="B303" s="429" t="s">
        <v>684</v>
      </c>
      <c r="C303" s="429" t="s">
        <v>683</v>
      </c>
      <c r="D303" s="208">
        <v>27499543</v>
      </c>
      <c r="E303" s="208">
        <v>257966</v>
      </c>
      <c r="F303" s="208">
        <v>27757509</v>
      </c>
      <c r="G303" s="208">
        <v>0</v>
      </c>
      <c r="H303" s="208">
        <v>0</v>
      </c>
      <c r="I303" s="208">
        <v>0</v>
      </c>
      <c r="J303" s="208">
        <v>-129314</v>
      </c>
      <c r="K303" s="208">
        <v>0</v>
      </c>
      <c r="L303" s="208">
        <v>-129314</v>
      </c>
      <c r="M303" s="208">
        <v>0</v>
      </c>
      <c r="N303" s="208">
        <v>0</v>
      </c>
      <c r="O303" s="208">
        <v>0</v>
      </c>
      <c r="P303" s="208">
        <v>-278118</v>
      </c>
      <c r="Q303" s="208">
        <v>0</v>
      </c>
      <c r="R303" s="208">
        <v>-278118</v>
      </c>
      <c r="S303" s="208">
        <v>321216</v>
      </c>
      <c r="T303" s="208">
        <v>0</v>
      </c>
      <c r="U303" s="208">
        <v>321216</v>
      </c>
      <c r="V303" s="208">
        <v>0</v>
      </c>
      <c r="W303" s="208">
        <v>0</v>
      </c>
      <c r="X303" s="208">
        <v>0</v>
      </c>
      <c r="Y303" s="208">
        <v>294198</v>
      </c>
      <c r="Z303" s="208">
        <v>0</v>
      </c>
      <c r="AA303" s="208">
        <v>294198</v>
      </c>
      <c r="AB303" s="208">
        <v>801677</v>
      </c>
      <c r="AC303" s="208">
        <v>0</v>
      </c>
      <c r="AD303" s="208">
        <v>801677</v>
      </c>
      <c r="AE303" s="208">
        <v>28638516</v>
      </c>
      <c r="AF303" s="208">
        <v>257966</v>
      </c>
      <c r="AG303" s="208">
        <v>28896482</v>
      </c>
      <c r="AH303" s="208">
        <v>257966</v>
      </c>
      <c r="AI303" s="208">
        <v>257966</v>
      </c>
      <c r="AJ303" s="208">
        <v>394491</v>
      </c>
      <c r="AK303" s="208">
        <v>0</v>
      </c>
      <c r="AL303" s="208">
        <v>394491</v>
      </c>
      <c r="AM303" s="208">
        <v>0</v>
      </c>
      <c r="AN303" s="208">
        <v>0</v>
      </c>
      <c r="AO303" s="208">
        <v>0</v>
      </c>
      <c r="AP303" s="208">
        <v>-4509</v>
      </c>
      <c r="AQ303" s="208">
        <v>-4509</v>
      </c>
      <c r="AR303" s="208">
        <v>44129</v>
      </c>
      <c r="AS303" s="208">
        <v>44129</v>
      </c>
      <c r="AT303" s="208">
        <v>253457</v>
      </c>
      <c r="AU303" s="208">
        <v>0</v>
      </c>
      <c r="AV303" s="208">
        <v>193015</v>
      </c>
      <c r="AW303" s="208">
        <v>193015</v>
      </c>
      <c r="AX303" s="208">
        <v>0</v>
      </c>
      <c r="AY303" s="208">
        <v>0</v>
      </c>
      <c r="AZ303" s="208">
        <v>0</v>
      </c>
      <c r="BA303" s="208">
        <v>0</v>
      </c>
      <c r="BB303" s="208">
        <v>0</v>
      </c>
      <c r="BC303" s="208">
        <v>0</v>
      </c>
      <c r="BD303" s="208">
        <v>0</v>
      </c>
      <c r="BE303" s="208">
        <v>0</v>
      </c>
      <c r="BF303" s="208">
        <v>0</v>
      </c>
      <c r="BG303" s="208">
        <v>0</v>
      </c>
      <c r="BH303" s="208">
        <v>0</v>
      </c>
      <c r="BI303" s="208">
        <v>0</v>
      </c>
      <c r="BJ303" s="208">
        <v>0</v>
      </c>
      <c r="BK303" s="208">
        <v>0</v>
      </c>
      <c r="BL303" s="208">
        <v>2038148</v>
      </c>
      <c r="BM303" s="208">
        <v>-493708</v>
      </c>
      <c r="BN303" s="187" t="s">
        <v>683</v>
      </c>
      <c r="BO303" s="187" t="s">
        <v>778</v>
      </c>
      <c r="BP303" s="187" t="s">
        <v>751</v>
      </c>
      <c r="BQ303" s="187" t="s">
        <v>1054</v>
      </c>
    </row>
    <row r="304" spans="1:69" x14ac:dyDescent="0.2">
      <c r="B304" s="429" t="s">
        <v>686</v>
      </c>
      <c r="C304" s="429" t="s">
        <v>685</v>
      </c>
      <c r="D304" s="208">
        <v>37693848</v>
      </c>
      <c r="E304" s="208">
        <v>0</v>
      </c>
      <c r="F304" s="208">
        <v>37693848</v>
      </c>
      <c r="G304" s="208">
        <v>0</v>
      </c>
      <c r="H304" s="208">
        <v>0</v>
      </c>
      <c r="I304" s="208">
        <v>0</v>
      </c>
      <c r="J304" s="208">
        <v>1693.05</v>
      </c>
      <c r="K304" s="208">
        <v>0</v>
      </c>
      <c r="L304" s="208">
        <v>1693.05</v>
      </c>
      <c r="M304" s="208">
        <v>0</v>
      </c>
      <c r="N304" s="208">
        <v>0</v>
      </c>
      <c r="O304" s="208">
        <v>0</v>
      </c>
      <c r="P304" s="208">
        <v>-138306.95000000001</v>
      </c>
      <c r="Q304" s="208">
        <v>0</v>
      </c>
      <c r="R304" s="208">
        <v>-138306.95000000001</v>
      </c>
      <c r="S304" s="208">
        <v>217408</v>
      </c>
      <c r="T304" s="208">
        <v>0</v>
      </c>
      <c r="U304" s="208">
        <v>217408</v>
      </c>
      <c r="V304" s="208">
        <v>0</v>
      </c>
      <c r="W304" s="208">
        <v>0</v>
      </c>
      <c r="X304" s="208">
        <v>0</v>
      </c>
      <c r="Y304" s="208">
        <v>656404</v>
      </c>
      <c r="Z304" s="208">
        <v>0</v>
      </c>
      <c r="AA304" s="208">
        <v>656404</v>
      </c>
      <c r="AB304" s="208">
        <v>678188</v>
      </c>
      <c r="AC304" s="208">
        <v>0</v>
      </c>
      <c r="AD304" s="208">
        <v>678188</v>
      </c>
      <c r="AE304" s="208">
        <v>39107541.049999997</v>
      </c>
      <c r="AF304" s="208">
        <v>0</v>
      </c>
      <c r="AG304" s="208">
        <v>39107541.049999997</v>
      </c>
      <c r="AH304" s="208">
        <v>0</v>
      </c>
      <c r="AI304" s="208">
        <v>0</v>
      </c>
      <c r="AJ304" s="208">
        <v>0</v>
      </c>
      <c r="AK304" s="208">
        <v>0</v>
      </c>
      <c r="AL304" s="208">
        <v>0</v>
      </c>
      <c r="AM304" s="208">
        <v>0</v>
      </c>
      <c r="AN304" s="208">
        <v>0</v>
      </c>
      <c r="AO304" s="208">
        <v>0</v>
      </c>
      <c r="AP304" s="208">
        <v>0</v>
      </c>
      <c r="AQ304" s="208">
        <v>0</v>
      </c>
      <c r="AR304" s="208">
        <v>0</v>
      </c>
      <c r="AS304" s="208">
        <v>0</v>
      </c>
      <c r="AT304" s="208">
        <v>0</v>
      </c>
      <c r="AU304" s="208">
        <v>0</v>
      </c>
      <c r="AV304" s="208">
        <v>0</v>
      </c>
      <c r="AW304" s="208">
        <v>0</v>
      </c>
      <c r="AX304" s="208">
        <v>0</v>
      </c>
      <c r="AY304" s="208">
        <v>0</v>
      </c>
      <c r="AZ304" s="208">
        <v>0</v>
      </c>
      <c r="BA304" s="208">
        <v>0</v>
      </c>
      <c r="BB304" s="208">
        <v>0</v>
      </c>
      <c r="BC304" s="208">
        <v>0</v>
      </c>
      <c r="BD304" s="208">
        <v>0</v>
      </c>
      <c r="BE304" s="208">
        <v>0</v>
      </c>
      <c r="BF304" s="208">
        <v>0</v>
      </c>
      <c r="BG304" s="208">
        <v>0</v>
      </c>
      <c r="BH304" s="208">
        <v>0</v>
      </c>
      <c r="BI304" s="208">
        <v>0</v>
      </c>
      <c r="BJ304" s="208">
        <v>0</v>
      </c>
      <c r="BK304" s="208">
        <v>0</v>
      </c>
      <c r="BL304" s="208">
        <v>2414769</v>
      </c>
      <c r="BM304" s="208">
        <v>-882038</v>
      </c>
      <c r="BN304" s="187" t="s">
        <v>685</v>
      </c>
      <c r="BO304" s="187" t="s">
        <v>757</v>
      </c>
      <c r="BP304" s="187" t="s">
        <v>751</v>
      </c>
      <c r="BQ304" s="187" t="s">
        <v>1054</v>
      </c>
    </row>
    <row r="305" spans="2:69" x14ac:dyDescent="0.2">
      <c r="B305" s="429" t="s">
        <v>688</v>
      </c>
      <c r="C305" s="429" t="s">
        <v>687</v>
      </c>
      <c r="D305" s="208">
        <v>31525393</v>
      </c>
      <c r="E305" s="208">
        <v>0</v>
      </c>
      <c r="F305" s="208">
        <v>31525393</v>
      </c>
      <c r="G305" s="208">
        <v>0</v>
      </c>
      <c r="H305" s="208">
        <v>0</v>
      </c>
      <c r="I305" s="208">
        <v>0</v>
      </c>
      <c r="J305" s="208">
        <v>-145521</v>
      </c>
      <c r="K305" s="208">
        <v>0</v>
      </c>
      <c r="L305" s="208">
        <v>-145521</v>
      </c>
      <c r="M305" s="208">
        <v>0</v>
      </c>
      <c r="N305" s="208">
        <v>0</v>
      </c>
      <c r="O305" s="208">
        <v>0</v>
      </c>
      <c r="P305" s="208">
        <v>-182080</v>
      </c>
      <c r="Q305" s="208">
        <v>0</v>
      </c>
      <c r="R305" s="208">
        <v>-182080</v>
      </c>
      <c r="S305" s="208">
        <v>242130</v>
      </c>
      <c r="T305" s="208">
        <v>0</v>
      </c>
      <c r="U305" s="208">
        <v>242130</v>
      </c>
      <c r="V305" s="208">
        <v>0</v>
      </c>
      <c r="W305" s="208">
        <v>0</v>
      </c>
      <c r="X305" s="208">
        <v>0</v>
      </c>
      <c r="Y305" s="208">
        <v>-1529130</v>
      </c>
      <c r="Z305" s="208">
        <v>0</v>
      </c>
      <c r="AA305" s="208">
        <v>-1529130</v>
      </c>
      <c r="AB305" s="208">
        <v>-26351</v>
      </c>
      <c r="AC305" s="208">
        <v>0</v>
      </c>
      <c r="AD305" s="208">
        <v>-26351</v>
      </c>
      <c r="AE305" s="208">
        <v>30029962</v>
      </c>
      <c r="AF305" s="208">
        <v>0</v>
      </c>
      <c r="AG305" s="208">
        <v>30029962</v>
      </c>
      <c r="AH305" s="208">
        <v>0</v>
      </c>
      <c r="AI305" s="208">
        <v>0</v>
      </c>
      <c r="AJ305" s="208">
        <v>219252</v>
      </c>
      <c r="AK305" s="208">
        <v>0</v>
      </c>
      <c r="AL305" s="208">
        <v>219252</v>
      </c>
      <c r="AM305" s="208">
        <v>0</v>
      </c>
      <c r="AN305" s="208">
        <v>0</v>
      </c>
      <c r="AO305" s="208">
        <v>0</v>
      </c>
      <c r="AP305" s="208">
        <v>0</v>
      </c>
      <c r="AQ305" s="208">
        <v>0</v>
      </c>
      <c r="AR305" s="208">
        <v>0</v>
      </c>
      <c r="AS305" s="208">
        <v>0</v>
      </c>
      <c r="AT305" s="208">
        <v>0</v>
      </c>
      <c r="AU305" s="208">
        <v>0</v>
      </c>
      <c r="AV305" s="208">
        <v>0</v>
      </c>
      <c r="AW305" s="208">
        <v>0</v>
      </c>
      <c r="AX305" s="208">
        <v>0</v>
      </c>
      <c r="AY305" s="208">
        <v>0</v>
      </c>
      <c r="AZ305" s="208">
        <v>0</v>
      </c>
      <c r="BA305" s="208">
        <v>0</v>
      </c>
      <c r="BB305" s="208">
        <v>0</v>
      </c>
      <c r="BC305" s="208">
        <v>0</v>
      </c>
      <c r="BD305" s="208">
        <v>0</v>
      </c>
      <c r="BE305" s="208">
        <v>0</v>
      </c>
      <c r="BF305" s="208">
        <v>0</v>
      </c>
      <c r="BG305" s="208">
        <v>0</v>
      </c>
      <c r="BH305" s="208">
        <v>0</v>
      </c>
      <c r="BI305" s="208">
        <v>0</v>
      </c>
      <c r="BJ305" s="208">
        <v>0</v>
      </c>
      <c r="BK305" s="208">
        <v>0</v>
      </c>
      <c r="BL305" s="208">
        <v>1216555</v>
      </c>
      <c r="BM305" s="208">
        <v>-538670</v>
      </c>
      <c r="BN305" s="187" t="s">
        <v>687</v>
      </c>
      <c r="BO305" s="187" t="s">
        <v>777</v>
      </c>
      <c r="BP305" s="187" t="s">
        <v>776</v>
      </c>
      <c r="BQ305" s="187" t="s">
        <v>1054</v>
      </c>
    </row>
    <row r="306" spans="2:69" x14ac:dyDescent="0.2">
      <c r="B306" s="429" t="s">
        <v>690</v>
      </c>
      <c r="C306" s="429" t="s">
        <v>689</v>
      </c>
      <c r="D306" s="208">
        <v>28160411</v>
      </c>
      <c r="E306" s="208">
        <v>0</v>
      </c>
      <c r="F306" s="208">
        <v>28160411</v>
      </c>
      <c r="G306" s="208">
        <v>0</v>
      </c>
      <c r="H306" s="208">
        <v>0</v>
      </c>
      <c r="I306" s="208">
        <v>0</v>
      </c>
      <c r="J306" s="208">
        <v>0</v>
      </c>
      <c r="K306" s="208">
        <v>0</v>
      </c>
      <c r="L306" s="208">
        <v>0</v>
      </c>
      <c r="M306" s="208">
        <v>0</v>
      </c>
      <c r="N306" s="208">
        <v>0</v>
      </c>
      <c r="O306" s="208">
        <v>0</v>
      </c>
      <c r="P306" s="208">
        <v>45058</v>
      </c>
      <c r="Q306" s="208">
        <v>0</v>
      </c>
      <c r="R306" s="208">
        <v>45058</v>
      </c>
      <c r="S306" s="208">
        <v>964325</v>
      </c>
      <c r="T306" s="208">
        <v>0</v>
      </c>
      <c r="U306" s="208">
        <v>964325</v>
      </c>
      <c r="V306" s="208">
        <v>0</v>
      </c>
      <c r="W306" s="208">
        <v>0</v>
      </c>
      <c r="X306" s="208">
        <v>0</v>
      </c>
      <c r="Y306" s="208">
        <v>-964325</v>
      </c>
      <c r="Z306" s="208">
        <v>0</v>
      </c>
      <c r="AA306" s="208">
        <v>-964325</v>
      </c>
      <c r="AB306" s="208">
        <v>0</v>
      </c>
      <c r="AC306" s="208">
        <v>0</v>
      </c>
      <c r="AD306" s="208">
        <v>0</v>
      </c>
      <c r="AE306" s="208">
        <v>28205469</v>
      </c>
      <c r="AF306" s="208">
        <v>0</v>
      </c>
      <c r="AG306" s="208">
        <v>28205469</v>
      </c>
      <c r="AH306" s="208">
        <v>0</v>
      </c>
      <c r="AI306" s="208">
        <v>0</v>
      </c>
      <c r="AJ306" s="208">
        <v>41727</v>
      </c>
      <c r="AK306" s="208">
        <v>0</v>
      </c>
      <c r="AL306" s="208">
        <v>41727</v>
      </c>
      <c r="AM306" s="208">
        <v>0</v>
      </c>
      <c r="AN306" s="208">
        <v>0</v>
      </c>
      <c r="AO306" s="208">
        <v>0</v>
      </c>
      <c r="AP306" s="208">
        <v>0</v>
      </c>
      <c r="AQ306" s="208">
        <v>0</v>
      </c>
      <c r="AR306" s="208">
        <v>0</v>
      </c>
      <c r="AS306" s="208">
        <v>0</v>
      </c>
      <c r="AT306" s="208">
        <v>0</v>
      </c>
      <c r="AU306" s="208">
        <v>0</v>
      </c>
      <c r="AV306" s="208">
        <v>0</v>
      </c>
      <c r="AW306" s="208">
        <v>0</v>
      </c>
      <c r="AX306" s="208">
        <v>0</v>
      </c>
      <c r="AY306" s="208">
        <v>0</v>
      </c>
      <c r="AZ306" s="208">
        <v>0</v>
      </c>
      <c r="BA306" s="208">
        <v>0</v>
      </c>
      <c r="BB306" s="208">
        <v>0</v>
      </c>
      <c r="BC306" s="208">
        <v>0</v>
      </c>
      <c r="BD306" s="208">
        <v>0</v>
      </c>
      <c r="BE306" s="208">
        <v>0</v>
      </c>
      <c r="BF306" s="208">
        <v>0</v>
      </c>
      <c r="BG306" s="208">
        <v>0</v>
      </c>
      <c r="BH306" s="208">
        <v>0</v>
      </c>
      <c r="BI306" s="208">
        <v>0</v>
      </c>
      <c r="BJ306" s="208">
        <v>0</v>
      </c>
      <c r="BK306" s="208">
        <v>0</v>
      </c>
      <c r="BL306" s="208">
        <v>581925</v>
      </c>
      <c r="BM306" s="208">
        <v>-284432</v>
      </c>
      <c r="BN306" s="187" t="s">
        <v>689</v>
      </c>
      <c r="BO306" s="187" t="s">
        <v>775</v>
      </c>
      <c r="BP306" s="187" t="s">
        <v>751</v>
      </c>
      <c r="BQ306" s="187" t="s">
        <v>1054</v>
      </c>
    </row>
    <row r="307" spans="2:69" x14ac:dyDescent="0.2">
      <c r="B307" s="429" t="s">
        <v>692</v>
      </c>
      <c r="C307" s="429" t="s">
        <v>691</v>
      </c>
      <c r="D307" s="208">
        <v>59412458</v>
      </c>
      <c r="E307" s="208">
        <v>0</v>
      </c>
      <c r="F307" s="208">
        <v>59412458</v>
      </c>
      <c r="G307" s="208">
        <v>0</v>
      </c>
      <c r="H307" s="208">
        <v>0</v>
      </c>
      <c r="I307" s="208">
        <v>0</v>
      </c>
      <c r="J307" s="208">
        <v>-97251</v>
      </c>
      <c r="K307" s="208">
        <v>0</v>
      </c>
      <c r="L307" s="208">
        <v>-97251</v>
      </c>
      <c r="M307" s="208">
        <v>20250</v>
      </c>
      <c r="N307" s="208">
        <v>0</v>
      </c>
      <c r="O307" s="208">
        <v>20250</v>
      </c>
      <c r="P307" s="208">
        <v>-122069</v>
      </c>
      <c r="Q307" s="208">
        <v>0</v>
      </c>
      <c r="R307" s="208">
        <v>-122069</v>
      </c>
      <c r="S307" s="208">
        <v>1247587</v>
      </c>
      <c r="T307" s="208">
        <v>0</v>
      </c>
      <c r="U307" s="208">
        <v>1247587</v>
      </c>
      <c r="V307" s="208">
        <v>771994</v>
      </c>
      <c r="W307" s="208">
        <v>0</v>
      </c>
      <c r="X307" s="208">
        <v>771994</v>
      </c>
      <c r="Y307" s="208">
        <v>-822276</v>
      </c>
      <c r="Z307" s="208">
        <v>0</v>
      </c>
      <c r="AA307" s="208">
        <v>-822276</v>
      </c>
      <c r="AB307" s="208">
        <v>-2690200</v>
      </c>
      <c r="AC307" s="208">
        <v>0</v>
      </c>
      <c r="AD307" s="208">
        <v>-2690200</v>
      </c>
      <c r="AE307" s="208">
        <v>57817744</v>
      </c>
      <c r="AF307" s="208">
        <v>0</v>
      </c>
      <c r="AG307" s="208">
        <v>57817744</v>
      </c>
      <c r="AH307" s="208">
        <v>0</v>
      </c>
      <c r="AI307" s="208">
        <v>0</v>
      </c>
      <c r="AJ307" s="208">
        <v>0</v>
      </c>
      <c r="AK307" s="208">
        <v>0</v>
      </c>
      <c r="AL307" s="208">
        <v>0</v>
      </c>
      <c r="AM307" s="208">
        <v>0</v>
      </c>
      <c r="AN307" s="208">
        <v>0</v>
      </c>
      <c r="AO307" s="208">
        <v>0</v>
      </c>
      <c r="AP307" s="208">
        <v>0</v>
      </c>
      <c r="AQ307" s="208">
        <v>0</v>
      </c>
      <c r="AR307" s="208">
        <v>0</v>
      </c>
      <c r="AS307" s="208">
        <v>0</v>
      </c>
      <c r="AT307" s="208">
        <v>0</v>
      </c>
      <c r="AU307" s="208">
        <v>0</v>
      </c>
      <c r="AV307" s="208">
        <v>0</v>
      </c>
      <c r="AW307" s="208">
        <v>0</v>
      </c>
      <c r="AX307" s="208">
        <v>0</v>
      </c>
      <c r="AY307" s="208">
        <v>0</v>
      </c>
      <c r="AZ307" s="208">
        <v>0</v>
      </c>
      <c r="BA307" s="208">
        <v>0</v>
      </c>
      <c r="BB307" s="208">
        <v>0</v>
      </c>
      <c r="BC307" s="208">
        <v>0</v>
      </c>
      <c r="BD307" s="208">
        <v>0</v>
      </c>
      <c r="BE307" s="208">
        <v>0</v>
      </c>
      <c r="BF307" s="208">
        <v>0</v>
      </c>
      <c r="BG307" s="208">
        <v>0</v>
      </c>
      <c r="BH307" s="208">
        <v>0</v>
      </c>
      <c r="BI307" s="208">
        <v>0</v>
      </c>
      <c r="BJ307" s="208">
        <v>0</v>
      </c>
      <c r="BK307" s="208">
        <v>0</v>
      </c>
      <c r="BL307" s="208">
        <v>1103688</v>
      </c>
      <c r="BM307" s="208">
        <v>-2671144</v>
      </c>
      <c r="BN307" s="187" t="s">
        <v>691</v>
      </c>
      <c r="BO307" s="187" t="s">
        <v>774</v>
      </c>
      <c r="BP307" s="187" t="s">
        <v>751</v>
      </c>
      <c r="BQ307" s="187" t="s">
        <v>1054</v>
      </c>
    </row>
    <row r="308" spans="2:69" x14ac:dyDescent="0.2">
      <c r="B308" s="429" t="s">
        <v>694</v>
      </c>
      <c r="C308" s="429" t="s">
        <v>693</v>
      </c>
      <c r="D308" s="208">
        <v>84231413</v>
      </c>
      <c r="E308" s="208">
        <v>0</v>
      </c>
      <c r="F308" s="208">
        <v>84231413</v>
      </c>
      <c r="G308" s="208">
        <v>0</v>
      </c>
      <c r="H308" s="208">
        <v>0</v>
      </c>
      <c r="I308" s="208">
        <v>0</v>
      </c>
      <c r="J308" s="208">
        <v>-336205</v>
      </c>
      <c r="K308" s="208">
        <v>0</v>
      </c>
      <c r="L308" s="208">
        <v>-336205</v>
      </c>
      <c r="M308" s="208">
        <v>-150753</v>
      </c>
      <c r="N308" s="208">
        <v>0</v>
      </c>
      <c r="O308" s="208">
        <v>-150753</v>
      </c>
      <c r="P308" s="208">
        <v>-500000</v>
      </c>
      <c r="Q308" s="208">
        <v>0</v>
      </c>
      <c r="R308" s="208">
        <v>-500000</v>
      </c>
      <c r="S308" s="208">
        <v>0</v>
      </c>
      <c r="T308" s="208">
        <v>0</v>
      </c>
      <c r="U308" s="208">
        <v>0</v>
      </c>
      <c r="V308" s="208">
        <v>2918792</v>
      </c>
      <c r="W308" s="208">
        <v>0</v>
      </c>
      <c r="X308" s="208">
        <v>2918792</v>
      </c>
      <c r="Y308" s="208">
        <v>0</v>
      </c>
      <c r="Z308" s="208">
        <v>0</v>
      </c>
      <c r="AA308" s="208">
        <v>0</v>
      </c>
      <c r="AB308" s="208">
        <v>0</v>
      </c>
      <c r="AC308" s="208">
        <v>0</v>
      </c>
      <c r="AD308" s="208">
        <v>0</v>
      </c>
      <c r="AE308" s="208">
        <v>86499452</v>
      </c>
      <c r="AF308" s="208">
        <v>0</v>
      </c>
      <c r="AG308" s="208">
        <v>86499452</v>
      </c>
      <c r="AH308" s="208">
        <v>0</v>
      </c>
      <c r="AI308" s="208">
        <v>0</v>
      </c>
      <c r="AJ308" s="208">
        <v>0</v>
      </c>
      <c r="AK308" s="208">
        <v>0</v>
      </c>
      <c r="AL308" s="208">
        <v>0</v>
      </c>
      <c r="AM308" s="208">
        <v>0</v>
      </c>
      <c r="AN308" s="208">
        <v>0</v>
      </c>
      <c r="AO308" s="208">
        <v>0</v>
      </c>
      <c r="AP308" s="208">
        <v>0</v>
      </c>
      <c r="AQ308" s="208">
        <v>0</v>
      </c>
      <c r="AR308" s="208">
        <v>0</v>
      </c>
      <c r="AS308" s="208">
        <v>0</v>
      </c>
      <c r="AT308" s="208">
        <v>0</v>
      </c>
      <c r="AU308" s="208">
        <v>0</v>
      </c>
      <c r="AV308" s="208">
        <v>0</v>
      </c>
      <c r="AW308" s="208">
        <v>0</v>
      </c>
      <c r="AX308" s="208">
        <v>0</v>
      </c>
      <c r="AY308" s="208">
        <v>0</v>
      </c>
      <c r="AZ308" s="208">
        <v>0</v>
      </c>
      <c r="BA308" s="208">
        <v>0</v>
      </c>
      <c r="BB308" s="208">
        <v>0</v>
      </c>
      <c r="BC308" s="208">
        <v>0</v>
      </c>
      <c r="BD308" s="208">
        <v>0</v>
      </c>
      <c r="BE308" s="208">
        <v>0</v>
      </c>
      <c r="BF308" s="208">
        <v>0</v>
      </c>
      <c r="BG308" s="208">
        <v>0</v>
      </c>
      <c r="BH308" s="208">
        <v>0</v>
      </c>
      <c r="BI308" s="208">
        <v>0</v>
      </c>
      <c r="BJ308" s="208">
        <v>0</v>
      </c>
      <c r="BK308" s="208">
        <v>0</v>
      </c>
      <c r="BL308" s="208">
        <v>2700550</v>
      </c>
      <c r="BM308" s="208">
        <v>-2138547</v>
      </c>
      <c r="BN308" s="187" t="s">
        <v>773</v>
      </c>
      <c r="BO308" s="187" t="s">
        <v>742</v>
      </c>
      <c r="BP308" s="187" t="s">
        <v>755</v>
      </c>
      <c r="BQ308" s="187" t="s">
        <v>742</v>
      </c>
    </row>
    <row r="309" spans="2:69" x14ac:dyDescent="0.2">
      <c r="B309" s="429" t="s">
        <v>696</v>
      </c>
      <c r="C309" s="429" t="s">
        <v>695</v>
      </c>
      <c r="D309" s="208">
        <v>10636627</v>
      </c>
      <c r="E309" s="208">
        <v>0</v>
      </c>
      <c r="F309" s="208">
        <v>10636627</v>
      </c>
      <c r="G309" s="208">
        <v>0</v>
      </c>
      <c r="H309" s="208">
        <v>0</v>
      </c>
      <c r="I309" s="208">
        <v>0</v>
      </c>
      <c r="J309" s="208">
        <v>-35687</v>
      </c>
      <c r="K309" s="208">
        <v>0</v>
      </c>
      <c r="L309" s="208">
        <v>-35687</v>
      </c>
      <c r="M309" s="208">
        <v>0</v>
      </c>
      <c r="N309" s="208">
        <v>0</v>
      </c>
      <c r="O309" s="208">
        <v>0</v>
      </c>
      <c r="P309" s="208">
        <v>-69750</v>
      </c>
      <c r="Q309" s="208">
        <v>0</v>
      </c>
      <c r="R309" s="208">
        <v>-69750</v>
      </c>
      <c r="S309" s="208">
        <v>111196</v>
      </c>
      <c r="T309" s="208">
        <v>0</v>
      </c>
      <c r="U309" s="208">
        <v>111196</v>
      </c>
      <c r="V309" s="208">
        <v>59403</v>
      </c>
      <c r="W309" s="208">
        <v>0</v>
      </c>
      <c r="X309" s="208">
        <v>59403</v>
      </c>
      <c r="Y309" s="208">
        <v>-66561</v>
      </c>
      <c r="Z309" s="208">
        <v>0</v>
      </c>
      <c r="AA309" s="208">
        <v>-66561</v>
      </c>
      <c r="AB309" s="208">
        <v>-694118</v>
      </c>
      <c r="AC309" s="208">
        <v>0</v>
      </c>
      <c r="AD309" s="208">
        <v>-694118</v>
      </c>
      <c r="AE309" s="208">
        <v>9976797</v>
      </c>
      <c r="AF309" s="208">
        <v>0</v>
      </c>
      <c r="AG309" s="208">
        <v>9976797</v>
      </c>
      <c r="AH309" s="208">
        <v>0</v>
      </c>
      <c r="AI309" s="208">
        <v>0</v>
      </c>
      <c r="AJ309" s="208">
        <v>0</v>
      </c>
      <c r="AK309" s="208">
        <v>0</v>
      </c>
      <c r="AL309" s="208">
        <v>0</v>
      </c>
      <c r="AM309" s="208">
        <v>0</v>
      </c>
      <c r="AN309" s="208">
        <v>0</v>
      </c>
      <c r="AO309" s="208">
        <v>0</v>
      </c>
      <c r="AP309" s="208">
        <v>0</v>
      </c>
      <c r="AQ309" s="208">
        <v>0</v>
      </c>
      <c r="AR309" s="208">
        <v>0</v>
      </c>
      <c r="AS309" s="208">
        <v>0</v>
      </c>
      <c r="AT309" s="208">
        <v>0</v>
      </c>
      <c r="AU309" s="208">
        <v>0</v>
      </c>
      <c r="AV309" s="208">
        <v>0</v>
      </c>
      <c r="AW309" s="208">
        <v>0</v>
      </c>
      <c r="AX309" s="208">
        <v>0</v>
      </c>
      <c r="AY309" s="208">
        <v>0</v>
      </c>
      <c r="AZ309" s="208">
        <v>0</v>
      </c>
      <c r="BA309" s="208">
        <v>0</v>
      </c>
      <c r="BB309" s="208">
        <v>0</v>
      </c>
      <c r="BC309" s="208">
        <v>0</v>
      </c>
      <c r="BD309" s="208">
        <v>0</v>
      </c>
      <c r="BE309" s="208">
        <v>0</v>
      </c>
      <c r="BF309" s="208">
        <v>0</v>
      </c>
      <c r="BG309" s="208">
        <v>0</v>
      </c>
      <c r="BH309" s="208">
        <v>0</v>
      </c>
      <c r="BI309" s="208">
        <v>0</v>
      </c>
      <c r="BJ309" s="208">
        <v>0</v>
      </c>
      <c r="BK309" s="208">
        <v>0</v>
      </c>
      <c r="BL309" s="208">
        <v>1002982</v>
      </c>
      <c r="BM309" s="208">
        <v>-213293</v>
      </c>
      <c r="BN309" s="187" t="s">
        <v>695</v>
      </c>
      <c r="BO309" s="187" t="s">
        <v>772</v>
      </c>
      <c r="BP309" s="187" t="s">
        <v>768</v>
      </c>
      <c r="BQ309" s="187" t="s">
        <v>1054</v>
      </c>
    </row>
    <row r="310" spans="2:69" x14ac:dyDescent="0.2">
      <c r="B310" s="429" t="s">
        <v>698</v>
      </c>
      <c r="C310" s="429" t="s">
        <v>697</v>
      </c>
      <c r="D310" s="208">
        <v>32472809</v>
      </c>
      <c r="E310" s="208">
        <v>0</v>
      </c>
      <c r="F310" s="208">
        <v>32472809</v>
      </c>
      <c r="G310" s="208">
        <v>0</v>
      </c>
      <c r="H310" s="208">
        <v>0</v>
      </c>
      <c r="I310" s="208">
        <v>0</v>
      </c>
      <c r="J310" s="208">
        <v>-258554</v>
      </c>
      <c r="K310" s="208">
        <v>0</v>
      </c>
      <c r="L310" s="208">
        <v>-258554</v>
      </c>
      <c r="M310" s="208">
        <v>0</v>
      </c>
      <c r="N310" s="208">
        <v>0</v>
      </c>
      <c r="O310" s="208">
        <v>0</v>
      </c>
      <c r="P310" s="208">
        <v>-440554</v>
      </c>
      <c r="Q310" s="208">
        <v>0</v>
      </c>
      <c r="R310" s="208">
        <v>-440554</v>
      </c>
      <c r="S310" s="208">
        <v>517118</v>
      </c>
      <c r="T310" s="208">
        <v>0</v>
      </c>
      <c r="U310" s="208">
        <v>517118</v>
      </c>
      <c r="V310" s="208">
        <v>0</v>
      </c>
      <c r="W310" s="208">
        <v>0</v>
      </c>
      <c r="X310" s="208">
        <v>0</v>
      </c>
      <c r="Y310" s="208">
        <v>-2000000</v>
      </c>
      <c r="Z310" s="208">
        <v>0</v>
      </c>
      <c r="AA310" s="208">
        <v>-2000000</v>
      </c>
      <c r="AB310" s="208">
        <v>-1721059</v>
      </c>
      <c r="AC310" s="208">
        <v>0</v>
      </c>
      <c r="AD310" s="208">
        <v>-1721059</v>
      </c>
      <c r="AE310" s="208">
        <v>28828314</v>
      </c>
      <c r="AF310" s="208">
        <v>0</v>
      </c>
      <c r="AG310" s="208">
        <v>28828314</v>
      </c>
      <c r="AH310" s="208">
        <v>0</v>
      </c>
      <c r="AI310" s="208">
        <v>0</v>
      </c>
      <c r="AJ310" s="208">
        <v>206605</v>
      </c>
      <c r="AK310" s="208">
        <v>0</v>
      </c>
      <c r="AL310" s="208">
        <v>206605</v>
      </c>
      <c r="AM310" s="208">
        <v>0</v>
      </c>
      <c r="AN310" s="208">
        <v>0</v>
      </c>
      <c r="AO310" s="208">
        <v>0</v>
      </c>
      <c r="AP310" s="208">
        <v>0</v>
      </c>
      <c r="AQ310" s="208">
        <v>0</v>
      </c>
      <c r="AR310" s="208">
        <v>0</v>
      </c>
      <c r="AS310" s="208">
        <v>0</v>
      </c>
      <c r="AT310" s="208">
        <v>0</v>
      </c>
      <c r="AU310" s="208">
        <v>0</v>
      </c>
      <c r="AV310" s="208">
        <v>0</v>
      </c>
      <c r="AW310" s="208">
        <v>0</v>
      </c>
      <c r="AX310" s="208">
        <v>0</v>
      </c>
      <c r="AY310" s="208">
        <v>0</v>
      </c>
      <c r="AZ310" s="208">
        <v>0</v>
      </c>
      <c r="BA310" s="208">
        <v>0</v>
      </c>
      <c r="BB310" s="208">
        <v>0</v>
      </c>
      <c r="BC310" s="208">
        <v>0</v>
      </c>
      <c r="BD310" s="208">
        <v>0</v>
      </c>
      <c r="BE310" s="208">
        <v>0</v>
      </c>
      <c r="BF310" s="208">
        <v>0</v>
      </c>
      <c r="BG310" s="208">
        <v>0</v>
      </c>
      <c r="BH310" s="208">
        <v>0</v>
      </c>
      <c r="BI310" s="208">
        <v>0</v>
      </c>
      <c r="BJ310" s="208">
        <v>0</v>
      </c>
      <c r="BK310" s="208">
        <v>0</v>
      </c>
      <c r="BL310" s="208">
        <v>2074278</v>
      </c>
      <c r="BM310" s="208">
        <v>-776738</v>
      </c>
      <c r="BN310" s="187" t="s">
        <v>697</v>
      </c>
      <c r="BO310" s="187" t="s">
        <v>765</v>
      </c>
      <c r="BP310" s="187" t="s">
        <v>764</v>
      </c>
      <c r="BQ310" s="187" t="s">
        <v>1054</v>
      </c>
    </row>
    <row r="311" spans="2:69" x14ac:dyDescent="0.2">
      <c r="B311" s="429" t="s">
        <v>700</v>
      </c>
      <c r="C311" s="429" t="s">
        <v>699</v>
      </c>
      <c r="D311" s="208">
        <v>31796804</v>
      </c>
      <c r="E311" s="208">
        <v>0</v>
      </c>
      <c r="F311" s="208">
        <v>31796804</v>
      </c>
      <c r="G311" s="208">
        <v>0</v>
      </c>
      <c r="H311" s="208">
        <v>0</v>
      </c>
      <c r="I311" s="208">
        <v>0</v>
      </c>
      <c r="J311" s="208">
        <v>-498856</v>
      </c>
      <c r="K311" s="208">
        <v>0</v>
      </c>
      <c r="L311" s="208">
        <v>-498856</v>
      </c>
      <c r="M311" s="208">
        <v>0</v>
      </c>
      <c r="N311" s="208">
        <v>0</v>
      </c>
      <c r="O311" s="208">
        <v>0</v>
      </c>
      <c r="P311" s="208">
        <v>-621200</v>
      </c>
      <c r="Q311" s="208">
        <v>0</v>
      </c>
      <c r="R311" s="208">
        <v>-621200</v>
      </c>
      <c r="S311" s="208">
        <v>0</v>
      </c>
      <c r="T311" s="208">
        <v>0</v>
      </c>
      <c r="U311" s="208">
        <v>0</v>
      </c>
      <c r="V311" s="208">
        <v>0</v>
      </c>
      <c r="W311" s="208">
        <v>0</v>
      </c>
      <c r="X311" s="208">
        <v>0</v>
      </c>
      <c r="Y311" s="208">
        <v>0</v>
      </c>
      <c r="Z311" s="208">
        <v>0</v>
      </c>
      <c r="AA311" s="208">
        <v>0</v>
      </c>
      <c r="AB311" s="208">
        <v>145190</v>
      </c>
      <c r="AC311" s="208">
        <v>0</v>
      </c>
      <c r="AD311" s="208">
        <v>145190</v>
      </c>
      <c r="AE311" s="208">
        <v>31320794</v>
      </c>
      <c r="AF311" s="208">
        <v>0</v>
      </c>
      <c r="AG311" s="208">
        <v>31320794</v>
      </c>
      <c r="AH311" s="208">
        <v>0</v>
      </c>
      <c r="AI311" s="208">
        <v>0</v>
      </c>
      <c r="AJ311" s="208">
        <v>0</v>
      </c>
      <c r="AK311" s="208">
        <v>0</v>
      </c>
      <c r="AL311" s="208">
        <v>0</v>
      </c>
      <c r="AM311" s="208">
        <v>0</v>
      </c>
      <c r="AN311" s="208">
        <v>0</v>
      </c>
      <c r="AO311" s="208">
        <v>0</v>
      </c>
      <c r="AP311" s="208">
        <v>0</v>
      </c>
      <c r="AQ311" s="208">
        <v>0</v>
      </c>
      <c r="AR311" s="208">
        <v>0</v>
      </c>
      <c r="AS311" s="208">
        <v>0</v>
      </c>
      <c r="AT311" s="208">
        <v>0</v>
      </c>
      <c r="AU311" s="208">
        <v>0</v>
      </c>
      <c r="AV311" s="208">
        <v>0</v>
      </c>
      <c r="AW311" s="208">
        <v>0</v>
      </c>
      <c r="AX311" s="208">
        <v>0</v>
      </c>
      <c r="AY311" s="208">
        <v>0</v>
      </c>
      <c r="AZ311" s="208">
        <v>0</v>
      </c>
      <c r="BA311" s="208">
        <v>0</v>
      </c>
      <c r="BB311" s="208">
        <v>0</v>
      </c>
      <c r="BC311" s="208">
        <v>0</v>
      </c>
      <c r="BD311" s="208">
        <v>0</v>
      </c>
      <c r="BE311" s="208">
        <v>0</v>
      </c>
      <c r="BF311" s="208">
        <v>0</v>
      </c>
      <c r="BG311" s="208">
        <v>0</v>
      </c>
      <c r="BH311" s="208">
        <v>0</v>
      </c>
      <c r="BI311" s="208">
        <v>0</v>
      </c>
      <c r="BJ311" s="208">
        <v>0</v>
      </c>
      <c r="BK311" s="208">
        <v>0</v>
      </c>
      <c r="BL311" s="208">
        <v>3916088</v>
      </c>
      <c r="BM311" s="208">
        <v>-883769</v>
      </c>
      <c r="BN311" s="187" t="s">
        <v>699</v>
      </c>
      <c r="BO311" s="187" t="s">
        <v>748</v>
      </c>
      <c r="BP311" s="187" t="s">
        <v>747</v>
      </c>
      <c r="BQ311" s="187" t="s">
        <v>1054</v>
      </c>
    </row>
    <row r="312" spans="2:69" x14ac:dyDescent="0.2">
      <c r="B312" s="429" t="s">
        <v>702</v>
      </c>
      <c r="C312" s="429" t="s">
        <v>701</v>
      </c>
      <c r="D312" s="208">
        <v>17511177</v>
      </c>
      <c r="E312" s="208">
        <v>0</v>
      </c>
      <c r="F312" s="208">
        <v>17511177</v>
      </c>
      <c r="G312" s="208">
        <v>0</v>
      </c>
      <c r="H312" s="208">
        <v>0</v>
      </c>
      <c r="I312" s="208">
        <v>0</v>
      </c>
      <c r="J312" s="208">
        <v>-66177</v>
      </c>
      <c r="K312" s="208">
        <v>0</v>
      </c>
      <c r="L312" s="208">
        <v>-66177</v>
      </c>
      <c r="M312" s="208">
        <v>0</v>
      </c>
      <c r="N312" s="208">
        <v>0</v>
      </c>
      <c r="O312" s="208">
        <v>0</v>
      </c>
      <c r="P312" s="208">
        <v>-189632</v>
      </c>
      <c r="Q312" s="208">
        <v>0</v>
      </c>
      <c r="R312" s="208">
        <v>-189632</v>
      </c>
      <c r="S312" s="208">
        <v>57094</v>
      </c>
      <c r="T312" s="208">
        <v>0</v>
      </c>
      <c r="U312" s="208">
        <v>57094</v>
      </c>
      <c r="V312" s="208">
        <v>0</v>
      </c>
      <c r="W312" s="208">
        <v>0</v>
      </c>
      <c r="X312" s="208">
        <v>0</v>
      </c>
      <c r="Y312" s="208">
        <v>120544</v>
      </c>
      <c r="Z312" s="208">
        <v>0</v>
      </c>
      <c r="AA312" s="208">
        <v>120544</v>
      </c>
      <c r="AB312" s="208">
        <v>104158</v>
      </c>
      <c r="AC312" s="208">
        <v>0</v>
      </c>
      <c r="AD312" s="208">
        <v>104158</v>
      </c>
      <c r="AE312" s="208">
        <v>17603341</v>
      </c>
      <c r="AF312" s="208">
        <v>0</v>
      </c>
      <c r="AG312" s="208">
        <v>17603341</v>
      </c>
      <c r="AH312" s="208">
        <v>0</v>
      </c>
      <c r="AI312" s="208">
        <v>0</v>
      </c>
      <c r="AJ312" s="208">
        <v>195476</v>
      </c>
      <c r="AK312" s="208">
        <v>0</v>
      </c>
      <c r="AL312" s="208">
        <v>195476</v>
      </c>
      <c r="AM312" s="208">
        <v>0</v>
      </c>
      <c r="AN312" s="208">
        <v>0</v>
      </c>
      <c r="AO312" s="208">
        <v>0</v>
      </c>
      <c r="AP312" s="208">
        <v>0</v>
      </c>
      <c r="AQ312" s="208">
        <v>0</v>
      </c>
      <c r="AR312" s="208">
        <v>0</v>
      </c>
      <c r="AS312" s="208">
        <v>0</v>
      </c>
      <c r="AT312" s="208">
        <v>0</v>
      </c>
      <c r="AU312" s="208">
        <v>0</v>
      </c>
      <c r="AV312" s="208">
        <v>0</v>
      </c>
      <c r="AW312" s="208">
        <v>0</v>
      </c>
      <c r="AX312" s="208">
        <v>0</v>
      </c>
      <c r="AY312" s="208">
        <v>0</v>
      </c>
      <c r="AZ312" s="208">
        <v>0</v>
      </c>
      <c r="BA312" s="208">
        <v>0</v>
      </c>
      <c r="BB312" s="208">
        <v>0</v>
      </c>
      <c r="BC312" s="208">
        <v>0</v>
      </c>
      <c r="BD312" s="208">
        <v>0</v>
      </c>
      <c r="BE312" s="208">
        <v>0</v>
      </c>
      <c r="BF312" s="208">
        <v>0</v>
      </c>
      <c r="BG312" s="208">
        <v>0</v>
      </c>
      <c r="BH312" s="208">
        <v>0</v>
      </c>
      <c r="BI312" s="208">
        <v>0</v>
      </c>
      <c r="BJ312" s="208">
        <v>0</v>
      </c>
      <c r="BK312" s="208">
        <v>0</v>
      </c>
      <c r="BL312" s="208">
        <v>1050098</v>
      </c>
      <c r="BM312" s="208">
        <v>-764057</v>
      </c>
      <c r="BN312" s="187" t="s">
        <v>701</v>
      </c>
      <c r="BO312" s="187" t="s">
        <v>771</v>
      </c>
      <c r="BP312" s="187" t="s">
        <v>751</v>
      </c>
      <c r="BQ312" s="187" t="s">
        <v>1054</v>
      </c>
    </row>
    <row r="313" spans="2:69" x14ac:dyDescent="0.2">
      <c r="B313" s="429" t="s">
        <v>704</v>
      </c>
      <c r="C313" s="429" t="s">
        <v>703</v>
      </c>
      <c r="D313" s="208">
        <v>36633346</v>
      </c>
      <c r="E313" s="208">
        <v>0</v>
      </c>
      <c r="F313" s="208">
        <v>36633346</v>
      </c>
      <c r="G313" s="208">
        <v>0</v>
      </c>
      <c r="H313" s="208">
        <v>0</v>
      </c>
      <c r="I313" s="208">
        <v>0</v>
      </c>
      <c r="J313" s="208">
        <v>-345617</v>
      </c>
      <c r="K313" s="208">
        <v>0</v>
      </c>
      <c r="L313" s="208">
        <v>-345617</v>
      </c>
      <c r="M313" s="208">
        <v>0</v>
      </c>
      <c r="N313" s="208">
        <v>0</v>
      </c>
      <c r="O313" s="208">
        <v>0</v>
      </c>
      <c r="P313" s="208">
        <v>-224084</v>
      </c>
      <c r="Q313" s="208">
        <v>0</v>
      </c>
      <c r="R313" s="208">
        <v>-224084</v>
      </c>
      <c r="S313" s="208">
        <v>1496075</v>
      </c>
      <c r="T313" s="208">
        <v>0</v>
      </c>
      <c r="U313" s="208">
        <v>1496075</v>
      </c>
      <c r="V313" s="208">
        <v>0</v>
      </c>
      <c r="W313" s="208">
        <v>0</v>
      </c>
      <c r="X313" s="208">
        <v>0</v>
      </c>
      <c r="Y313" s="208">
        <v>-165359</v>
      </c>
      <c r="Z313" s="208">
        <v>0</v>
      </c>
      <c r="AA313" s="208">
        <v>-165359</v>
      </c>
      <c r="AB313" s="208">
        <v>-1685134</v>
      </c>
      <c r="AC313" s="208">
        <v>0</v>
      </c>
      <c r="AD313" s="208">
        <v>-1685134</v>
      </c>
      <c r="AE313" s="208">
        <v>36054844</v>
      </c>
      <c r="AF313" s="208">
        <v>0</v>
      </c>
      <c r="AG313" s="208">
        <v>36054844</v>
      </c>
      <c r="AH313" s="208">
        <v>0</v>
      </c>
      <c r="AI313" s="208">
        <v>0</v>
      </c>
      <c r="AJ313" s="208">
        <v>228415</v>
      </c>
      <c r="AK313" s="208">
        <v>0</v>
      </c>
      <c r="AL313" s="208">
        <v>228415</v>
      </c>
      <c r="AM313" s="208">
        <v>0</v>
      </c>
      <c r="AN313" s="208">
        <v>0</v>
      </c>
      <c r="AO313" s="208">
        <v>0</v>
      </c>
      <c r="AP313" s="208">
        <v>0</v>
      </c>
      <c r="AQ313" s="208">
        <v>0</v>
      </c>
      <c r="AR313" s="208">
        <v>0</v>
      </c>
      <c r="AS313" s="208">
        <v>0</v>
      </c>
      <c r="AT313" s="208">
        <v>0</v>
      </c>
      <c r="AU313" s="208">
        <v>0</v>
      </c>
      <c r="AV313" s="208">
        <v>0</v>
      </c>
      <c r="AW313" s="208">
        <v>0</v>
      </c>
      <c r="AX313" s="208">
        <v>0</v>
      </c>
      <c r="AY313" s="208">
        <v>0</v>
      </c>
      <c r="AZ313" s="208">
        <v>0</v>
      </c>
      <c r="BA313" s="208">
        <v>0</v>
      </c>
      <c r="BB313" s="208">
        <v>0</v>
      </c>
      <c r="BC313" s="208">
        <v>0</v>
      </c>
      <c r="BD313" s="208">
        <v>0</v>
      </c>
      <c r="BE313" s="208">
        <v>0</v>
      </c>
      <c r="BF313" s="208">
        <v>0</v>
      </c>
      <c r="BG313" s="208">
        <v>0</v>
      </c>
      <c r="BH313" s="208">
        <v>0</v>
      </c>
      <c r="BI313" s="208">
        <v>0</v>
      </c>
      <c r="BJ313" s="208">
        <v>0</v>
      </c>
      <c r="BK313" s="208">
        <v>0</v>
      </c>
      <c r="BL313" s="208">
        <v>962116</v>
      </c>
      <c r="BM313" s="208">
        <v>-274161</v>
      </c>
      <c r="BN313" s="187" t="s">
        <v>703</v>
      </c>
      <c r="BO313" s="187" t="s">
        <v>770</v>
      </c>
      <c r="BP313" s="187" t="s">
        <v>751</v>
      </c>
      <c r="BQ313" s="187" t="s">
        <v>1054</v>
      </c>
    </row>
    <row r="314" spans="2:69" x14ac:dyDescent="0.2">
      <c r="B314" s="429" t="s">
        <v>706</v>
      </c>
      <c r="C314" s="429" t="s">
        <v>705</v>
      </c>
      <c r="D314" s="208">
        <v>18129100</v>
      </c>
      <c r="E314" s="208">
        <v>0</v>
      </c>
      <c r="F314" s="208">
        <v>18129100</v>
      </c>
      <c r="G314" s="208">
        <v>0</v>
      </c>
      <c r="H314" s="208">
        <v>0</v>
      </c>
      <c r="I314" s="208">
        <v>0</v>
      </c>
      <c r="J314" s="208">
        <v>-132985</v>
      </c>
      <c r="K314" s="208">
        <v>0</v>
      </c>
      <c r="L314" s="208">
        <v>-132985</v>
      </c>
      <c r="M314" s="208">
        <v>-12824</v>
      </c>
      <c r="N314" s="208">
        <v>0</v>
      </c>
      <c r="O314" s="208">
        <v>-12824</v>
      </c>
      <c r="P314" s="208">
        <v>-265305</v>
      </c>
      <c r="Q314" s="208">
        <v>0</v>
      </c>
      <c r="R314" s="208">
        <v>-265305</v>
      </c>
      <c r="S314" s="208">
        <v>27902</v>
      </c>
      <c r="T314" s="208">
        <v>0</v>
      </c>
      <c r="U314" s="208">
        <v>27902</v>
      </c>
      <c r="V314" s="208">
        <v>3461</v>
      </c>
      <c r="W314" s="208">
        <v>0</v>
      </c>
      <c r="X314" s="208">
        <v>3461</v>
      </c>
      <c r="Y314" s="208">
        <v>111973</v>
      </c>
      <c r="Z314" s="208">
        <v>0</v>
      </c>
      <c r="AA314" s="208">
        <v>111973</v>
      </c>
      <c r="AB314" s="208">
        <v>-1675597</v>
      </c>
      <c r="AC314" s="208">
        <v>0</v>
      </c>
      <c r="AD314" s="208">
        <v>-1675597</v>
      </c>
      <c r="AE314" s="208">
        <v>16318710</v>
      </c>
      <c r="AF314" s="208">
        <v>0</v>
      </c>
      <c r="AG314" s="208">
        <v>16318710</v>
      </c>
      <c r="AH314" s="208">
        <v>0</v>
      </c>
      <c r="AI314" s="208">
        <v>0</v>
      </c>
      <c r="AJ314" s="208">
        <v>29490</v>
      </c>
      <c r="AK314" s="208">
        <v>0</v>
      </c>
      <c r="AL314" s="208">
        <v>29490</v>
      </c>
      <c r="AM314" s="208">
        <v>0</v>
      </c>
      <c r="AN314" s="208">
        <v>0</v>
      </c>
      <c r="AO314" s="208">
        <v>0</v>
      </c>
      <c r="AP314" s="208">
        <v>0</v>
      </c>
      <c r="AQ314" s="208">
        <v>0</v>
      </c>
      <c r="AR314" s="208">
        <v>0</v>
      </c>
      <c r="AS314" s="208">
        <v>0</v>
      </c>
      <c r="AT314" s="208">
        <v>0</v>
      </c>
      <c r="AU314" s="208">
        <v>0</v>
      </c>
      <c r="AV314" s="208">
        <v>0</v>
      </c>
      <c r="AW314" s="208">
        <v>0</v>
      </c>
      <c r="AX314" s="208">
        <v>0</v>
      </c>
      <c r="AY314" s="208">
        <v>0</v>
      </c>
      <c r="AZ314" s="208">
        <v>0</v>
      </c>
      <c r="BA314" s="208">
        <v>0</v>
      </c>
      <c r="BB314" s="208">
        <v>0</v>
      </c>
      <c r="BC314" s="208">
        <v>0</v>
      </c>
      <c r="BD314" s="208">
        <v>0</v>
      </c>
      <c r="BE314" s="208">
        <v>0</v>
      </c>
      <c r="BF314" s="208">
        <v>0</v>
      </c>
      <c r="BG314" s="208">
        <v>0</v>
      </c>
      <c r="BH314" s="208">
        <v>0</v>
      </c>
      <c r="BI314" s="208">
        <v>0</v>
      </c>
      <c r="BJ314" s="208">
        <v>0</v>
      </c>
      <c r="BK314" s="208">
        <v>0</v>
      </c>
      <c r="BL314" s="208">
        <v>1117527</v>
      </c>
      <c r="BM314" s="208">
        <v>-217064</v>
      </c>
      <c r="BN314" s="187" t="s">
        <v>705</v>
      </c>
      <c r="BO314" s="187" t="s">
        <v>769</v>
      </c>
      <c r="BP314" s="187" t="s">
        <v>768</v>
      </c>
      <c r="BQ314" s="187" t="s">
        <v>1054</v>
      </c>
    </row>
    <row r="315" spans="2:69" x14ac:dyDescent="0.2">
      <c r="B315" s="429" t="s">
        <v>708</v>
      </c>
      <c r="C315" s="429" t="s">
        <v>707</v>
      </c>
      <c r="D315" s="208">
        <v>2167524314</v>
      </c>
      <c r="E315" s="208">
        <v>0</v>
      </c>
      <c r="F315" s="208">
        <v>2167524314</v>
      </c>
      <c r="G315" s="208">
        <v>0</v>
      </c>
      <c r="H315" s="208">
        <v>0</v>
      </c>
      <c r="I315" s="208">
        <v>0</v>
      </c>
      <c r="J315" s="208">
        <v>0</v>
      </c>
      <c r="K315" s="208">
        <v>0</v>
      </c>
      <c r="L315" s="208">
        <v>0</v>
      </c>
      <c r="M315" s="208">
        <v>-9831689</v>
      </c>
      <c r="N315" s="208">
        <v>0</v>
      </c>
      <c r="O315" s="208">
        <v>-9831689</v>
      </c>
      <c r="P315" s="208">
        <v>-2400000</v>
      </c>
      <c r="Q315" s="208">
        <v>0</v>
      </c>
      <c r="R315" s="208">
        <v>-2400000</v>
      </c>
      <c r="S315" s="208">
        <v>0</v>
      </c>
      <c r="T315" s="208">
        <v>0</v>
      </c>
      <c r="U315" s="208">
        <v>0</v>
      </c>
      <c r="V315" s="208">
        <v>0</v>
      </c>
      <c r="W315" s="208">
        <v>0</v>
      </c>
      <c r="X315" s="208">
        <v>0</v>
      </c>
      <c r="Y315" s="208">
        <v>83600000</v>
      </c>
      <c r="Z315" s="208">
        <v>0</v>
      </c>
      <c r="AA315" s="208">
        <v>83600000</v>
      </c>
      <c r="AB315" s="208">
        <v>-60600000</v>
      </c>
      <c r="AC315" s="208">
        <v>0</v>
      </c>
      <c r="AD315" s="208">
        <v>-60600000</v>
      </c>
      <c r="AE315" s="208">
        <v>2178292625</v>
      </c>
      <c r="AF315" s="208">
        <v>0</v>
      </c>
      <c r="AG315" s="208">
        <v>2178292625</v>
      </c>
      <c r="AH315" s="208">
        <v>0</v>
      </c>
      <c r="AI315" s="208">
        <v>0</v>
      </c>
      <c r="AJ315" s="208">
        <v>0</v>
      </c>
      <c r="AK315" s="208">
        <v>0</v>
      </c>
      <c r="AL315" s="208">
        <v>0</v>
      </c>
      <c r="AM315" s="208">
        <v>0</v>
      </c>
      <c r="AN315" s="208">
        <v>0</v>
      </c>
      <c r="AO315" s="208">
        <v>0</v>
      </c>
      <c r="AP315" s="208">
        <v>0</v>
      </c>
      <c r="AQ315" s="208">
        <v>0</v>
      </c>
      <c r="AR315" s="208">
        <v>0</v>
      </c>
      <c r="AS315" s="208">
        <v>0</v>
      </c>
      <c r="AT315" s="208">
        <v>0</v>
      </c>
      <c r="AU315" s="208">
        <v>0</v>
      </c>
      <c r="AV315" s="208">
        <v>0</v>
      </c>
      <c r="AW315" s="208">
        <v>0</v>
      </c>
      <c r="AX315" s="208">
        <v>0</v>
      </c>
      <c r="AY315" s="208">
        <v>0</v>
      </c>
      <c r="AZ315" s="208">
        <v>0</v>
      </c>
      <c r="BA315" s="208">
        <v>0</v>
      </c>
      <c r="BB315" s="208">
        <v>0</v>
      </c>
      <c r="BC315" s="208">
        <v>0</v>
      </c>
      <c r="BD315" s="208">
        <v>0</v>
      </c>
      <c r="BE315" s="208">
        <v>0</v>
      </c>
      <c r="BF315" s="208">
        <v>0</v>
      </c>
      <c r="BG315" s="208">
        <v>0</v>
      </c>
      <c r="BH315" s="208">
        <v>0</v>
      </c>
      <c r="BI315" s="208">
        <v>0</v>
      </c>
      <c r="BJ315" s="208">
        <v>0</v>
      </c>
      <c r="BK315" s="208">
        <v>0</v>
      </c>
      <c r="BL315" s="208">
        <v>65851386</v>
      </c>
      <c r="BM315" s="208">
        <v>-126512366</v>
      </c>
      <c r="BN315" s="187" t="s">
        <v>707</v>
      </c>
      <c r="BO315" s="187" t="s">
        <v>767</v>
      </c>
      <c r="BP315" s="187" t="s">
        <v>743</v>
      </c>
      <c r="BQ315" s="187" t="s">
        <v>1057</v>
      </c>
    </row>
    <row r="316" spans="2:69" x14ac:dyDescent="0.2">
      <c r="B316" s="429" t="s">
        <v>710</v>
      </c>
      <c r="C316" s="429" t="s">
        <v>709</v>
      </c>
      <c r="D316" s="208">
        <v>17840627</v>
      </c>
      <c r="E316" s="208">
        <v>0</v>
      </c>
      <c r="F316" s="208">
        <v>17840627</v>
      </c>
      <c r="G316" s="208">
        <v>-16</v>
      </c>
      <c r="H316" s="208">
        <v>0</v>
      </c>
      <c r="I316" s="208">
        <v>-16</v>
      </c>
      <c r="J316" s="208">
        <v>-409521</v>
      </c>
      <c r="K316" s="208">
        <v>0</v>
      </c>
      <c r="L316" s="208">
        <v>-409521</v>
      </c>
      <c r="M316" s="208">
        <v>0</v>
      </c>
      <c r="N316" s="208">
        <v>0</v>
      </c>
      <c r="O316" s="208">
        <v>0</v>
      </c>
      <c r="P316" s="208">
        <v>-384521</v>
      </c>
      <c r="Q316" s="208">
        <v>0</v>
      </c>
      <c r="R316" s="208">
        <v>-384521</v>
      </c>
      <c r="S316" s="208">
        <v>314289</v>
      </c>
      <c r="T316" s="208">
        <v>0</v>
      </c>
      <c r="U316" s="208">
        <v>314289</v>
      </c>
      <c r="V316" s="208">
        <v>0</v>
      </c>
      <c r="W316" s="208">
        <v>0</v>
      </c>
      <c r="X316" s="208">
        <v>0</v>
      </c>
      <c r="Y316" s="208">
        <v>-1600000</v>
      </c>
      <c r="Z316" s="208">
        <v>0</v>
      </c>
      <c r="AA316" s="208">
        <v>-1600000</v>
      </c>
      <c r="AB316" s="208">
        <v>-945553</v>
      </c>
      <c r="AC316" s="208">
        <v>0</v>
      </c>
      <c r="AD316" s="208">
        <v>-945553</v>
      </c>
      <c r="AE316" s="208">
        <v>15224826</v>
      </c>
      <c r="AF316" s="208">
        <v>0</v>
      </c>
      <c r="AG316" s="208">
        <v>15224826</v>
      </c>
      <c r="AH316" s="208">
        <v>0</v>
      </c>
      <c r="AI316" s="208">
        <v>0</v>
      </c>
      <c r="AJ316" s="208">
        <v>322</v>
      </c>
      <c r="AK316" s="208">
        <v>0</v>
      </c>
      <c r="AL316" s="208">
        <v>322</v>
      </c>
      <c r="AM316" s="208">
        <v>0</v>
      </c>
      <c r="AN316" s="208">
        <v>0</v>
      </c>
      <c r="AO316" s="208">
        <v>0</v>
      </c>
      <c r="AP316" s="208">
        <v>0</v>
      </c>
      <c r="AQ316" s="208">
        <v>0</v>
      </c>
      <c r="AR316" s="208">
        <v>0</v>
      </c>
      <c r="AS316" s="208">
        <v>0</v>
      </c>
      <c r="AT316" s="208">
        <v>0</v>
      </c>
      <c r="AU316" s="208">
        <v>0</v>
      </c>
      <c r="AV316" s="208">
        <v>0</v>
      </c>
      <c r="AW316" s="208">
        <v>0</v>
      </c>
      <c r="AX316" s="208">
        <v>0</v>
      </c>
      <c r="AY316" s="208">
        <v>0</v>
      </c>
      <c r="AZ316" s="208">
        <v>0</v>
      </c>
      <c r="BA316" s="208">
        <v>0</v>
      </c>
      <c r="BB316" s="208">
        <v>0</v>
      </c>
      <c r="BC316" s="208">
        <v>0</v>
      </c>
      <c r="BD316" s="208">
        <v>0</v>
      </c>
      <c r="BE316" s="208">
        <v>0</v>
      </c>
      <c r="BF316" s="208">
        <v>0</v>
      </c>
      <c r="BG316" s="208">
        <v>0</v>
      </c>
      <c r="BH316" s="208">
        <v>0</v>
      </c>
      <c r="BI316" s="208">
        <v>0</v>
      </c>
      <c r="BJ316" s="208">
        <v>0</v>
      </c>
      <c r="BK316" s="208">
        <v>0</v>
      </c>
      <c r="BL316" s="208">
        <v>1592390</v>
      </c>
      <c r="BM316" s="208">
        <v>-110846</v>
      </c>
      <c r="BN316" s="187" t="s">
        <v>766</v>
      </c>
      <c r="BO316" s="187" t="s">
        <v>765</v>
      </c>
      <c r="BP316" s="187" t="s">
        <v>764</v>
      </c>
      <c r="BQ316" s="187" t="s">
        <v>1054</v>
      </c>
    </row>
    <row r="317" spans="2:69" x14ac:dyDescent="0.2">
      <c r="B317" s="429" t="s">
        <v>712</v>
      </c>
      <c r="C317" s="429" t="s">
        <v>711</v>
      </c>
      <c r="D317" s="208">
        <v>84154527</v>
      </c>
      <c r="E317" s="208">
        <v>0</v>
      </c>
      <c r="F317" s="208">
        <v>84154527</v>
      </c>
      <c r="G317" s="208">
        <v>0</v>
      </c>
      <c r="H317" s="208">
        <v>0</v>
      </c>
      <c r="I317" s="208">
        <v>0</v>
      </c>
      <c r="J317" s="208">
        <v>-633378</v>
      </c>
      <c r="K317" s="208">
        <v>0</v>
      </c>
      <c r="L317" s="208">
        <v>-633378</v>
      </c>
      <c r="M317" s="208">
        <v>0</v>
      </c>
      <c r="N317" s="208">
        <v>0</v>
      </c>
      <c r="O317" s="208">
        <v>0</v>
      </c>
      <c r="P317" s="208">
        <v>-425675</v>
      </c>
      <c r="Q317" s="208">
        <v>0</v>
      </c>
      <c r="R317" s="208">
        <v>-425675</v>
      </c>
      <c r="S317" s="208">
        <v>1714948</v>
      </c>
      <c r="T317" s="208">
        <v>0</v>
      </c>
      <c r="U317" s="208">
        <v>1714948</v>
      </c>
      <c r="V317" s="208">
        <v>1244563</v>
      </c>
      <c r="W317" s="208">
        <v>0</v>
      </c>
      <c r="X317" s="208">
        <v>1244563</v>
      </c>
      <c r="Y317" s="208">
        <v>-2113319</v>
      </c>
      <c r="Z317" s="208">
        <v>0</v>
      </c>
      <c r="AA317" s="208">
        <v>-2113319</v>
      </c>
      <c r="AB317" s="208">
        <v>-923902</v>
      </c>
      <c r="AC317" s="208">
        <v>0</v>
      </c>
      <c r="AD317" s="208">
        <v>-923902</v>
      </c>
      <c r="AE317" s="208">
        <v>83651142</v>
      </c>
      <c r="AF317" s="208">
        <v>0</v>
      </c>
      <c r="AG317" s="208">
        <v>83651142</v>
      </c>
      <c r="AH317" s="208">
        <v>0</v>
      </c>
      <c r="AI317" s="208">
        <v>0</v>
      </c>
      <c r="AJ317" s="208">
        <v>0</v>
      </c>
      <c r="AK317" s="208">
        <v>0</v>
      </c>
      <c r="AL317" s="208">
        <v>0</v>
      </c>
      <c r="AM317" s="208">
        <v>0</v>
      </c>
      <c r="AN317" s="208">
        <v>0</v>
      </c>
      <c r="AO317" s="208">
        <v>0</v>
      </c>
      <c r="AP317" s="208">
        <v>0</v>
      </c>
      <c r="AQ317" s="208">
        <v>0</v>
      </c>
      <c r="AR317" s="208">
        <v>0</v>
      </c>
      <c r="AS317" s="208">
        <v>0</v>
      </c>
      <c r="AT317" s="208">
        <v>0</v>
      </c>
      <c r="AU317" s="208">
        <v>0</v>
      </c>
      <c r="AV317" s="208">
        <v>0</v>
      </c>
      <c r="AW317" s="208">
        <v>0</v>
      </c>
      <c r="AX317" s="208">
        <v>0</v>
      </c>
      <c r="AY317" s="208">
        <v>0</v>
      </c>
      <c r="AZ317" s="208">
        <v>0</v>
      </c>
      <c r="BA317" s="208">
        <v>0</v>
      </c>
      <c r="BB317" s="208">
        <v>0</v>
      </c>
      <c r="BC317" s="208">
        <v>0</v>
      </c>
      <c r="BD317" s="208">
        <v>0</v>
      </c>
      <c r="BE317" s="208">
        <v>0</v>
      </c>
      <c r="BF317" s="208">
        <v>0</v>
      </c>
      <c r="BG317" s="208">
        <v>0</v>
      </c>
      <c r="BH317" s="208">
        <v>0</v>
      </c>
      <c r="BI317" s="208">
        <v>0</v>
      </c>
      <c r="BJ317" s="208">
        <v>0</v>
      </c>
      <c r="BK317" s="208">
        <v>0</v>
      </c>
      <c r="BL317" s="208">
        <v>7320697</v>
      </c>
      <c r="BM317" s="208">
        <v>-475489</v>
      </c>
      <c r="BN317" s="187" t="s">
        <v>711</v>
      </c>
      <c r="BO317" s="187" t="s">
        <v>754</v>
      </c>
      <c r="BP317" s="187" t="s">
        <v>763</v>
      </c>
      <c r="BQ317" s="187" t="s">
        <v>1056</v>
      </c>
    </row>
    <row r="318" spans="2:69" x14ac:dyDescent="0.2">
      <c r="B318" s="429" t="s">
        <v>714</v>
      </c>
      <c r="C318" s="429" t="s">
        <v>713</v>
      </c>
      <c r="D318" s="208">
        <v>153797186</v>
      </c>
      <c r="E318" s="208">
        <v>0</v>
      </c>
      <c r="F318" s="208">
        <v>153797186</v>
      </c>
      <c r="G318" s="208">
        <v>0</v>
      </c>
      <c r="H318" s="208">
        <v>0</v>
      </c>
      <c r="I318" s="208">
        <v>0</v>
      </c>
      <c r="J318" s="208">
        <v>-627396</v>
      </c>
      <c r="K318" s="208">
        <v>0</v>
      </c>
      <c r="L318" s="208">
        <v>-627396</v>
      </c>
      <c r="M318" s="208">
        <v>0</v>
      </c>
      <c r="N318" s="208">
        <v>0</v>
      </c>
      <c r="O318" s="208">
        <v>0</v>
      </c>
      <c r="P318" s="208">
        <v>-412196</v>
      </c>
      <c r="Q318" s="208">
        <v>0</v>
      </c>
      <c r="R318" s="208">
        <v>-412196</v>
      </c>
      <c r="S318" s="208">
        <v>3681400</v>
      </c>
      <c r="T318" s="208">
        <v>0</v>
      </c>
      <c r="U318" s="208">
        <v>3681400</v>
      </c>
      <c r="V318" s="208">
        <v>0</v>
      </c>
      <c r="W318" s="208">
        <v>0</v>
      </c>
      <c r="X318" s="208">
        <v>0</v>
      </c>
      <c r="Y318" s="208">
        <v>0</v>
      </c>
      <c r="Z318" s="208">
        <v>0</v>
      </c>
      <c r="AA318" s="208">
        <v>0</v>
      </c>
      <c r="AB318" s="208">
        <v>-3844900</v>
      </c>
      <c r="AC318" s="208">
        <v>0</v>
      </c>
      <c r="AD318" s="208">
        <v>-3844900</v>
      </c>
      <c r="AE318" s="208">
        <v>153221490</v>
      </c>
      <c r="AF318" s="208">
        <v>0</v>
      </c>
      <c r="AG318" s="208">
        <v>153221490</v>
      </c>
      <c r="AH318" s="208">
        <v>0</v>
      </c>
      <c r="AI318" s="208">
        <v>0</v>
      </c>
      <c r="AJ318" s="208">
        <v>1623696</v>
      </c>
      <c r="AK318" s="208">
        <v>0</v>
      </c>
      <c r="AL318" s="208">
        <v>1623696</v>
      </c>
      <c r="AM318" s="208">
        <v>0</v>
      </c>
      <c r="AN318" s="208">
        <v>0</v>
      </c>
      <c r="AO318" s="208">
        <v>0</v>
      </c>
      <c r="AP318" s="208">
        <v>0</v>
      </c>
      <c r="AQ318" s="208">
        <v>0</v>
      </c>
      <c r="AR318" s="208">
        <v>0</v>
      </c>
      <c r="AS318" s="208">
        <v>0</v>
      </c>
      <c r="AT318" s="208">
        <v>0</v>
      </c>
      <c r="AU318" s="208">
        <v>0</v>
      </c>
      <c r="AV318" s="208">
        <v>0</v>
      </c>
      <c r="AW318" s="208">
        <v>0</v>
      </c>
      <c r="AX318" s="208">
        <v>0</v>
      </c>
      <c r="AY318" s="208">
        <v>0</v>
      </c>
      <c r="AZ318" s="208">
        <v>0</v>
      </c>
      <c r="BA318" s="208">
        <v>0</v>
      </c>
      <c r="BB318" s="208">
        <v>0</v>
      </c>
      <c r="BC318" s="208">
        <v>0</v>
      </c>
      <c r="BD318" s="208">
        <v>0</v>
      </c>
      <c r="BE318" s="208">
        <v>0</v>
      </c>
      <c r="BF318" s="208">
        <v>0</v>
      </c>
      <c r="BG318" s="208">
        <v>0</v>
      </c>
      <c r="BH318" s="208">
        <v>0</v>
      </c>
      <c r="BI318" s="208">
        <v>0</v>
      </c>
      <c r="BJ318" s="208">
        <v>0</v>
      </c>
      <c r="BK318" s="208">
        <v>0</v>
      </c>
      <c r="BL318" s="208">
        <v>3631207</v>
      </c>
      <c r="BM318" s="208">
        <v>-3218421</v>
      </c>
      <c r="BN318" s="187" t="s">
        <v>713</v>
      </c>
      <c r="BO318" s="187" t="s">
        <v>742</v>
      </c>
      <c r="BP318" s="187" t="s">
        <v>762</v>
      </c>
      <c r="BQ318" s="187" t="s">
        <v>742</v>
      </c>
    </row>
    <row r="319" spans="2:69" x14ac:dyDescent="0.2">
      <c r="B319" s="429" t="s">
        <v>716</v>
      </c>
      <c r="C319" s="429" t="s">
        <v>715</v>
      </c>
      <c r="D319" s="208">
        <v>62496811</v>
      </c>
      <c r="E319" s="208">
        <v>0</v>
      </c>
      <c r="F319" s="208">
        <v>62496811</v>
      </c>
      <c r="G319" s="208">
        <v>0</v>
      </c>
      <c r="H319" s="208">
        <v>0</v>
      </c>
      <c r="I319" s="208">
        <v>0</v>
      </c>
      <c r="J319" s="208">
        <v>-130387</v>
      </c>
      <c r="K319" s="208">
        <v>0</v>
      </c>
      <c r="L319" s="208">
        <v>-130387</v>
      </c>
      <c r="M319" s="208">
        <v>0</v>
      </c>
      <c r="N319" s="208">
        <v>0</v>
      </c>
      <c r="O319" s="208">
        <v>0</v>
      </c>
      <c r="P319" s="208">
        <v>-336068</v>
      </c>
      <c r="Q319" s="208">
        <v>0</v>
      </c>
      <c r="R319" s="208">
        <v>-336068</v>
      </c>
      <c r="S319" s="208">
        <v>1484374</v>
      </c>
      <c r="T319" s="208">
        <v>0</v>
      </c>
      <c r="U319" s="208">
        <v>1484374</v>
      </c>
      <c r="V319" s="208">
        <v>0</v>
      </c>
      <c r="W319" s="208">
        <v>0</v>
      </c>
      <c r="X319" s="208">
        <v>0</v>
      </c>
      <c r="Y319" s="208">
        <v>-440209</v>
      </c>
      <c r="Z319" s="208">
        <v>0</v>
      </c>
      <c r="AA319" s="208">
        <v>-440209</v>
      </c>
      <c r="AB319" s="208">
        <v>-2938623</v>
      </c>
      <c r="AC319" s="208">
        <v>0</v>
      </c>
      <c r="AD319" s="208">
        <v>-2938623</v>
      </c>
      <c r="AE319" s="208">
        <v>60266285</v>
      </c>
      <c r="AF319" s="208">
        <v>0</v>
      </c>
      <c r="AG319" s="208">
        <v>60266285</v>
      </c>
      <c r="AH319" s="208">
        <v>0</v>
      </c>
      <c r="AI319" s="208">
        <v>0</v>
      </c>
      <c r="AJ319" s="208">
        <v>320303</v>
      </c>
      <c r="AK319" s="208">
        <v>0</v>
      </c>
      <c r="AL319" s="208">
        <v>320303</v>
      </c>
      <c r="AM319" s="208">
        <v>0</v>
      </c>
      <c r="AN319" s="208">
        <v>0</v>
      </c>
      <c r="AO319" s="208">
        <v>0</v>
      </c>
      <c r="AP319" s="208">
        <v>0</v>
      </c>
      <c r="AQ319" s="208">
        <v>0</v>
      </c>
      <c r="AR319" s="208">
        <v>0</v>
      </c>
      <c r="AS319" s="208">
        <v>0</v>
      </c>
      <c r="AT319" s="208">
        <v>0</v>
      </c>
      <c r="AU319" s="208">
        <v>0</v>
      </c>
      <c r="AV319" s="208">
        <v>0</v>
      </c>
      <c r="AW319" s="208">
        <v>0</v>
      </c>
      <c r="AX319" s="208">
        <v>0</v>
      </c>
      <c r="AY319" s="208">
        <v>0</v>
      </c>
      <c r="AZ319" s="208">
        <v>0</v>
      </c>
      <c r="BA319" s="208">
        <v>0</v>
      </c>
      <c r="BB319" s="208">
        <v>0</v>
      </c>
      <c r="BC319" s="208">
        <v>0</v>
      </c>
      <c r="BD319" s="208">
        <v>0</v>
      </c>
      <c r="BE319" s="208">
        <v>0</v>
      </c>
      <c r="BF319" s="208">
        <v>0</v>
      </c>
      <c r="BG319" s="208">
        <v>0</v>
      </c>
      <c r="BH319" s="208">
        <v>0</v>
      </c>
      <c r="BI319" s="208">
        <v>0</v>
      </c>
      <c r="BJ319" s="208">
        <v>0</v>
      </c>
      <c r="BK319" s="208">
        <v>0</v>
      </c>
      <c r="BL319" s="208">
        <v>2617884</v>
      </c>
      <c r="BM319" s="208">
        <v>-1321011</v>
      </c>
      <c r="BN319" s="187" t="s">
        <v>715</v>
      </c>
      <c r="BO319" s="187" t="s">
        <v>761</v>
      </c>
      <c r="BP319" s="187" t="s">
        <v>760</v>
      </c>
      <c r="BQ319" s="187" t="s">
        <v>1054</v>
      </c>
    </row>
    <row r="320" spans="2:69" x14ac:dyDescent="0.2">
      <c r="B320" s="429" t="s">
        <v>718</v>
      </c>
      <c r="C320" s="429" t="s">
        <v>717</v>
      </c>
      <c r="D320" s="208">
        <v>92104844</v>
      </c>
      <c r="E320" s="208">
        <v>0</v>
      </c>
      <c r="F320" s="208">
        <v>92104844</v>
      </c>
      <c r="G320" s="208">
        <v>0</v>
      </c>
      <c r="H320" s="208">
        <v>0</v>
      </c>
      <c r="I320" s="208">
        <v>0</v>
      </c>
      <c r="J320" s="208">
        <v>0</v>
      </c>
      <c r="K320" s="208">
        <v>0</v>
      </c>
      <c r="L320" s="208">
        <v>0</v>
      </c>
      <c r="M320" s="208">
        <v>-38205</v>
      </c>
      <c r="N320" s="208">
        <v>0</v>
      </c>
      <c r="O320" s="208">
        <v>-38205</v>
      </c>
      <c r="P320" s="208">
        <v>-10306</v>
      </c>
      <c r="Q320" s="208">
        <v>0</v>
      </c>
      <c r="R320" s="208">
        <v>-10306</v>
      </c>
      <c r="S320" s="208">
        <v>111134</v>
      </c>
      <c r="T320" s="208">
        <v>0</v>
      </c>
      <c r="U320" s="208">
        <v>111134</v>
      </c>
      <c r="V320" s="208">
        <v>0</v>
      </c>
      <c r="W320" s="208">
        <v>0</v>
      </c>
      <c r="X320" s="208">
        <v>0</v>
      </c>
      <c r="Y320" s="208">
        <v>1479043</v>
      </c>
      <c r="Z320" s="208">
        <v>0</v>
      </c>
      <c r="AA320" s="208">
        <v>1479043</v>
      </c>
      <c r="AB320" s="208">
        <v>0</v>
      </c>
      <c r="AC320" s="208">
        <v>0</v>
      </c>
      <c r="AD320" s="208">
        <v>0</v>
      </c>
      <c r="AE320" s="208">
        <v>93646510</v>
      </c>
      <c r="AF320" s="208">
        <v>0</v>
      </c>
      <c r="AG320" s="208">
        <v>93646510</v>
      </c>
      <c r="AH320" s="208">
        <v>0</v>
      </c>
      <c r="AI320" s="208">
        <v>0</v>
      </c>
      <c r="AJ320" s="208">
        <v>11036</v>
      </c>
      <c r="AK320" s="208">
        <v>0</v>
      </c>
      <c r="AL320" s="208">
        <v>11036</v>
      </c>
      <c r="AM320" s="208">
        <v>0</v>
      </c>
      <c r="AN320" s="208">
        <v>0</v>
      </c>
      <c r="AO320" s="208">
        <v>0</v>
      </c>
      <c r="AP320" s="208">
        <v>0</v>
      </c>
      <c r="AQ320" s="208">
        <v>0</v>
      </c>
      <c r="AR320" s="208">
        <v>0</v>
      </c>
      <c r="AS320" s="208">
        <v>0</v>
      </c>
      <c r="AT320" s="208">
        <v>0</v>
      </c>
      <c r="AU320" s="208">
        <v>0</v>
      </c>
      <c r="AV320" s="208">
        <v>0</v>
      </c>
      <c r="AW320" s="208">
        <v>0</v>
      </c>
      <c r="AX320" s="208">
        <v>0</v>
      </c>
      <c r="AY320" s="208">
        <v>0</v>
      </c>
      <c r="AZ320" s="208">
        <v>0</v>
      </c>
      <c r="BA320" s="208">
        <v>0</v>
      </c>
      <c r="BB320" s="208">
        <v>0</v>
      </c>
      <c r="BC320" s="208">
        <v>0</v>
      </c>
      <c r="BD320" s="208">
        <v>0</v>
      </c>
      <c r="BE320" s="208">
        <v>0</v>
      </c>
      <c r="BF320" s="208">
        <v>0</v>
      </c>
      <c r="BG320" s="208">
        <v>0</v>
      </c>
      <c r="BH320" s="208">
        <v>0</v>
      </c>
      <c r="BI320" s="208">
        <v>0</v>
      </c>
      <c r="BJ320" s="208">
        <v>0</v>
      </c>
      <c r="BK320" s="208">
        <v>0</v>
      </c>
      <c r="BL320" s="208">
        <v>6132365</v>
      </c>
      <c r="BM320" s="208">
        <v>-3466985</v>
      </c>
      <c r="BN320" s="187" t="s">
        <v>759</v>
      </c>
      <c r="BO320" s="187" t="s">
        <v>742</v>
      </c>
      <c r="BP320" s="187" t="s">
        <v>755</v>
      </c>
      <c r="BQ320" s="187" t="s">
        <v>742</v>
      </c>
    </row>
    <row r="321" spans="1:69" x14ac:dyDescent="0.2">
      <c r="B321" s="429" t="s">
        <v>720</v>
      </c>
      <c r="C321" s="429" t="s">
        <v>719</v>
      </c>
      <c r="D321" s="208">
        <v>71555857</v>
      </c>
      <c r="E321" s="208">
        <v>891956</v>
      </c>
      <c r="F321" s="208">
        <v>72447813</v>
      </c>
      <c r="G321" s="208">
        <v>-637</v>
      </c>
      <c r="H321" s="208">
        <v>0</v>
      </c>
      <c r="I321" s="208">
        <v>-637</v>
      </c>
      <c r="J321" s="208">
        <v>-761129</v>
      </c>
      <c r="K321" s="208">
        <v>0</v>
      </c>
      <c r="L321" s="208">
        <v>-761129</v>
      </c>
      <c r="M321" s="208">
        <v>0</v>
      </c>
      <c r="N321" s="208">
        <v>0</v>
      </c>
      <c r="O321" s="208">
        <v>0</v>
      </c>
      <c r="P321" s="208">
        <v>-759835</v>
      </c>
      <c r="Q321" s="208">
        <v>0</v>
      </c>
      <c r="R321" s="208">
        <v>-759835</v>
      </c>
      <c r="S321" s="208">
        <v>0</v>
      </c>
      <c r="T321" s="208">
        <v>0</v>
      </c>
      <c r="U321" s="208">
        <v>0</v>
      </c>
      <c r="V321" s="208">
        <v>398823</v>
      </c>
      <c r="W321" s="208">
        <v>0</v>
      </c>
      <c r="X321" s="208">
        <v>398823</v>
      </c>
      <c r="Y321" s="208">
        <v>0</v>
      </c>
      <c r="Z321" s="208">
        <v>0</v>
      </c>
      <c r="AA321" s="208">
        <v>0</v>
      </c>
      <c r="AB321" s="208">
        <v>1695677</v>
      </c>
      <c r="AC321" s="208">
        <v>0</v>
      </c>
      <c r="AD321" s="208">
        <v>1695677</v>
      </c>
      <c r="AE321" s="208">
        <v>72889885</v>
      </c>
      <c r="AF321" s="208">
        <v>891956</v>
      </c>
      <c r="AG321" s="208">
        <v>73781841</v>
      </c>
      <c r="AH321" s="208">
        <v>891956</v>
      </c>
      <c r="AI321" s="208">
        <v>891956</v>
      </c>
      <c r="AJ321" s="208">
        <v>0</v>
      </c>
      <c r="AK321" s="208">
        <v>0</v>
      </c>
      <c r="AL321" s="208">
        <v>0</v>
      </c>
      <c r="AM321" s="208">
        <v>0</v>
      </c>
      <c r="AN321" s="208">
        <v>0</v>
      </c>
      <c r="AO321" s="208">
        <v>0</v>
      </c>
      <c r="AP321" s="208">
        <v>-8728</v>
      </c>
      <c r="AQ321" s="208">
        <v>-8728</v>
      </c>
      <c r="AR321" s="208">
        <v>904061</v>
      </c>
      <c r="AS321" s="208">
        <v>904061</v>
      </c>
      <c r="AT321" s="208">
        <v>0</v>
      </c>
      <c r="AU321" s="208">
        <v>0</v>
      </c>
      <c r="AV321" s="208">
        <v>77666</v>
      </c>
      <c r="AW321" s="208">
        <v>77666</v>
      </c>
      <c r="AX321" s="208">
        <v>0</v>
      </c>
      <c r="AY321" s="208">
        <v>0</v>
      </c>
      <c r="AZ321" s="208">
        <v>0</v>
      </c>
      <c r="BA321" s="208">
        <v>0</v>
      </c>
      <c r="BB321" s="208">
        <v>0</v>
      </c>
      <c r="BC321" s="208">
        <v>0</v>
      </c>
      <c r="BD321" s="208">
        <v>0</v>
      </c>
      <c r="BE321" s="208">
        <v>0</v>
      </c>
      <c r="BF321" s="208">
        <v>0</v>
      </c>
      <c r="BG321" s="208">
        <v>0</v>
      </c>
      <c r="BH321" s="208">
        <v>0</v>
      </c>
      <c r="BI321" s="208">
        <v>0</v>
      </c>
      <c r="BJ321" s="208">
        <v>0</v>
      </c>
      <c r="BK321" s="208">
        <v>0</v>
      </c>
      <c r="BL321" s="208">
        <v>4671310</v>
      </c>
      <c r="BM321" s="208">
        <v>-2152962</v>
      </c>
      <c r="BN321" s="187" t="s">
        <v>719</v>
      </c>
      <c r="BO321" s="187" t="s">
        <v>754</v>
      </c>
      <c r="BP321" s="187" t="s">
        <v>758</v>
      </c>
      <c r="BQ321" s="187" t="s">
        <v>1056</v>
      </c>
    </row>
    <row r="322" spans="1:69" x14ac:dyDescent="0.2">
      <c r="B322" s="429" t="s">
        <v>722</v>
      </c>
      <c r="C322" s="429" t="s">
        <v>721</v>
      </c>
      <c r="D322" s="208">
        <v>48065701</v>
      </c>
      <c r="E322" s="208">
        <v>0</v>
      </c>
      <c r="F322" s="208">
        <v>48065701</v>
      </c>
      <c r="G322" s="208">
        <v>0</v>
      </c>
      <c r="H322" s="208">
        <v>0</v>
      </c>
      <c r="I322" s="208">
        <v>0</v>
      </c>
      <c r="J322" s="208">
        <v>0</v>
      </c>
      <c r="K322" s="208">
        <v>0</v>
      </c>
      <c r="L322" s="208">
        <v>0</v>
      </c>
      <c r="M322" s="208">
        <v>-168823</v>
      </c>
      <c r="N322" s="208">
        <v>0</v>
      </c>
      <c r="O322" s="208">
        <v>-168823</v>
      </c>
      <c r="P322" s="208">
        <v>-225000</v>
      </c>
      <c r="Q322" s="208">
        <v>0</v>
      </c>
      <c r="R322" s="208">
        <v>-225000</v>
      </c>
      <c r="S322" s="208">
        <v>602143</v>
      </c>
      <c r="T322" s="208">
        <v>0</v>
      </c>
      <c r="U322" s="208">
        <v>602143</v>
      </c>
      <c r="V322" s="208">
        <v>422412</v>
      </c>
      <c r="W322" s="208">
        <v>0</v>
      </c>
      <c r="X322" s="208">
        <v>422412</v>
      </c>
      <c r="Y322" s="208">
        <v>3725857</v>
      </c>
      <c r="Z322" s="208">
        <v>0</v>
      </c>
      <c r="AA322" s="208">
        <v>3725857</v>
      </c>
      <c r="AB322" s="208">
        <v>1225857</v>
      </c>
      <c r="AC322" s="208">
        <v>0</v>
      </c>
      <c r="AD322" s="208">
        <v>1225857</v>
      </c>
      <c r="AE322" s="208">
        <v>53648147</v>
      </c>
      <c r="AF322" s="208">
        <v>0</v>
      </c>
      <c r="AG322" s="208">
        <v>53648147</v>
      </c>
      <c r="AH322" s="208">
        <v>0</v>
      </c>
      <c r="AI322" s="208">
        <v>0</v>
      </c>
      <c r="AJ322" s="208">
        <v>0</v>
      </c>
      <c r="AK322" s="208">
        <v>0</v>
      </c>
      <c r="AL322" s="208">
        <v>0</v>
      </c>
      <c r="AM322" s="208">
        <v>0</v>
      </c>
      <c r="AN322" s="208">
        <v>0</v>
      </c>
      <c r="AO322" s="208">
        <v>0</v>
      </c>
      <c r="AP322" s="208">
        <v>0</v>
      </c>
      <c r="AQ322" s="208">
        <v>0</v>
      </c>
      <c r="AR322" s="208">
        <v>0</v>
      </c>
      <c r="AS322" s="208">
        <v>0</v>
      </c>
      <c r="AT322" s="208">
        <v>0</v>
      </c>
      <c r="AU322" s="208">
        <v>0</v>
      </c>
      <c r="AV322" s="208">
        <v>0</v>
      </c>
      <c r="AW322" s="208">
        <v>0</v>
      </c>
      <c r="AX322" s="208">
        <v>0</v>
      </c>
      <c r="AY322" s="208">
        <v>0</v>
      </c>
      <c r="AZ322" s="208">
        <v>0</v>
      </c>
      <c r="BA322" s="208">
        <v>0</v>
      </c>
      <c r="BB322" s="208">
        <v>0</v>
      </c>
      <c r="BC322" s="208">
        <v>0</v>
      </c>
      <c r="BD322" s="208">
        <v>0</v>
      </c>
      <c r="BE322" s="208">
        <v>0</v>
      </c>
      <c r="BF322" s="208">
        <v>0</v>
      </c>
      <c r="BG322" s="208">
        <v>0</v>
      </c>
      <c r="BH322" s="208">
        <v>0</v>
      </c>
      <c r="BI322" s="208">
        <v>0</v>
      </c>
      <c r="BJ322" s="208">
        <v>0</v>
      </c>
      <c r="BK322" s="208">
        <v>0</v>
      </c>
      <c r="BL322" s="208">
        <v>2227087</v>
      </c>
      <c r="BM322" s="208">
        <v>-2111541</v>
      </c>
      <c r="BN322" s="187" t="s">
        <v>721</v>
      </c>
      <c r="BO322" s="187" t="s">
        <v>757</v>
      </c>
      <c r="BP322" s="187" t="s">
        <v>751</v>
      </c>
      <c r="BQ322" s="187" t="s">
        <v>1054</v>
      </c>
    </row>
    <row r="323" spans="1:69" x14ac:dyDescent="0.2">
      <c r="B323" s="429" t="s">
        <v>724</v>
      </c>
      <c r="C323" s="429" t="s">
        <v>723</v>
      </c>
      <c r="D323" s="208">
        <v>70218925</v>
      </c>
      <c r="E323" s="208">
        <v>0</v>
      </c>
      <c r="F323" s="208">
        <v>70218925</v>
      </c>
      <c r="G323" s="208">
        <v>-8181</v>
      </c>
      <c r="H323" s="208">
        <v>0</v>
      </c>
      <c r="I323" s="208">
        <v>-8181</v>
      </c>
      <c r="J323" s="208">
        <v>-486525</v>
      </c>
      <c r="K323" s="208">
        <v>0</v>
      </c>
      <c r="L323" s="208">
        <v>-486525</v>
      </c>
      <c r="M323" s="208">
        <v>0</v>
      </c>
      <c r="N323" s="208">
        <v>0</v>
      </c>
      <c r="O323" s="208">
        <v>0</v>
      </c>
      <c r="P323" s="208">
        <v>-600000</v>
      </c>
      <c r="Q323" s="208">
        <v>0</v>
      </c>
      <c r="R323" s="208">
        <v>-600000</v>
      </c>
      <c r="S323" s="208">
        <v>425392</v>
      </c>
      <c r="T323" s="208">
        <v>0</v>
      </c>
      <c r="U323" s="208">
        <v>425392</v>
      </c>
      <c r="V323" s="208">
        <v>120845</v>
      </c>
      <c r="W323" s="208">
        <v>0</v>
      </c>
      <c r="X323" s="208">
        <v>120845</v>
      </c>
      <c r="Y323" s="208">
        <v>0</v>
      </c>
      <c r="Z323" s="208">
        <v>0</v>
      </c>
      <c r="AA323" s="208">
        <v>0</v>
      </c>
      <c r="AB323" s="208">
        <v>0</v>
      </c>
      <c r="AC323" s="208">
        <v>0</v>
      </c>
      <c r="AD323" s="208">
        <v>0</v>
      </c>
      <c r="AE323" s="208">
        <v>70156981</v>
      </c>
      <c r="AF323" s="208">
        <v>0</v>
      </c>
      <c r="AG323" s="208">
        <v>70156981</v>
      </c>
      <c r="AH323" s="208">
        <v>0</v>
      </c>
      <c r="AI323" s="208">
        <v>0</v>
      </c>
      <c r="AJ323" s="208">
        <v>15560</v>
      </c>
      <c r="AK323" s="208">
        <v>0</v>
      </c>
      <c r="AL323" s="208">
        <v>15560</v>
      </c>
      <c r="AM323" s="208">
        <v>0</v>
      </c>
      <c r="AN323" s="208">
        <v>0</v>
      </c>
      <c r="AO323" s="208">
        <v>0</v>
      </c>
      <c r="AP323" s="208">
        <v>0</v>
      </c>
      <c r="AQ323" s="208">
        <v>0</v>
      </c>
      <c r="AR323" s="208">
        <v>0</v>
      </c>
      <c r="AS323" s="208">
        <v>0</v>
      </c>
      <c r="AT323" s="208">
        <v>0</v>
      </c>
      <c r="AU323" s="208">
        <v>0</v>
      </c>
      <c r="AV323" s="208">
        <v>0</v>
      </c>
      <c r="AW323" s="208">
        <v>0</v>
      </c>
      <c r="AX323" s="208">
        <v>0</v>
      </c>
      <c r="AY323" s="208">
        <v>0</v>
      </c>
      <c r="AZ323" s="208">
        <v>0</v>
      </c>
      <c r="BA323" s="208">
        <v>0</v>
      </c>
      <c r="BB323" s="208">
        <v>0</v>
      </c>
      <c r="BC323" s="208">
        <v>0</v>
      </c>
      <c r="BD323" s="208">
        <v>0</v>
      </c>
      <c r="BE323" s="208">
        <v>0</v>
      </c>
      <c r="BF323" s="208">
        <v>0</v>
      </c>
      <c r="BG323" s="208">
        <v>0</v>
      </c>
      <c r="BH323" s="208">
        <v>0</v>
      </c>
      <c r="BI323" s="208">
        <v>0</v>
      </c>
      <c r="BJ323" s="208">
        <v>0</v>
      </c>
      <c r="BK323" s="208">
        <v>0</v>
      </c>
      <c r="BL323" s="208">
        <v>3234425</v>
      </c>
      <c r="BM323" s="208">
        <v>-3406121</v>
      </c>
      <c r="BN323" s="187" t="s">
        <v>756</v>
      </c>
      <c r="BO323" s="187" t="s">
        <v>742</v>
      </c>
      <c r="BP323" s="187" t="s">
        <v>755</v>
      </c>
      <c r="BQ323" s="187" t="s">
        <v>742</v>
      </c>
    </row>
    <row r="324" spans="1:69" x14ac:dyDescent="0.2">
      <c r="B324" s="429" t="s">
        <v>726</v>
      </c>
      <c r="C324" s="429" t="s">
        <v>725</v>
      </c>
      <c r="D324" s="208">
        <v>71971079</v>
      </c>
      <c r="E324" s="208">
        <v>184290</v>
      </c>
      <c r="F324" s="208">
        <v>72155369</v>
      </c>
      <c r="G324" s="208">
        <v>0</v>
      </c>
      <c r="H324" s="208">
        <v>0</v>
      </c>
      <c r="I324" s="208">
        <v>0</v>
      </c>
      <c r="J324" s="208">
        <v>-1271003</v>
      </c>
      <c r="K324" s="208">
        <v>0</v>
      </c>
      <c r="L324" s="208">
        <v>-1271003</v>
      </c>
      <c r="M324" s="208">
        <v>0</v>
      </c>
      <c r="N324" s="208">
        <v>0</v>
      </c>
      <c r="O324" s="208">
        <v>0</v>
      </c>
      <c r="P324" s="208">
        <v>-1097389</v>
      </c>
      <c r="Q324" s="208">
        <v>0</v>
      </c>
      <c r="R324" s="208">
        <v>-1097389</v>
      </c>
      <c r="S324" s="208">
        <v>1496267</v>
      </c>
      <c r="T324" s="208">
        <v>0</v>
      </c>
      <c r="U324" s="208">
        <v>1496267</v>
      </c>
      <c r="V324" s="208">
        <v>1068082</v>
      </c>
      <c r="W324" s="208">
        <v>0</v>
      </c>
      <c r="X324" s="208">
        <v>1068082</v>
      </c>
      <c r="Y324" s="208">
        <v>813110</v>
      </c>
      <c r="Z324" s="208">
        <v>0</v>
      </c>
      <c r="AA324" s="208">
        <v>813110</v>
      </c>
      <c r="AB324" s="208">
        <v>-1488763</v>
      </c>
      <c r="AC324" s="208">
        <v>0</v>
      </c>
      <c r="AD324" s="208">
        <v>-1488763</v>
      </c>
      <c r="AE324" s="208">
        <v>72762386</v>
      </c>
      <c r="AF324" s="208">
        <v>184290</v>
      </c>
      <c r="AG324" s="208">
        <v>72946676</v>
      </c>
      <c r="AH324" s="208">
        <v>184290</v>
      </c>
      <c r="AI324" s="208">
        <v>184290</v>
      </c>
      <c r="AJ324" s="208">
        <v>4920</v>
      </c>
      <c r="AK324" s="208">
        <v>0</v>
      </c>
      <c r="AL324" s="208">
        <v>4920</v>
      </c>
      <c r="AM324" s="208">
        <v>0</v>
      </c>
      <c r="AN324" s="208">
        <v>0</v>
      </c>
      <c r="AO324" s="208">
        <v>0</v>
      </c>
      <c r="AP324" s="208">
        <v>0</v>
      </c>
      <c r="AQ324" s="208">
        <v>0</v>
      </c>
      <c r="AR324" s="208">
        <v>100679</v>
      </c>
      <c r="AS324" s="208">
        <v>100679</v>
      </c>
      <c r="AT324" s="208">
        <v>83611</v>
      </c>
      <c r="AU324" s="208">
        <v>0</v>
      </c>
      <c r="AV324" s="208">
        <v>8715</v>
      </c>
      <c r="AW324" s="208">
        <v>8715</v>
      </c>
      <c r="AX324" s="208">
        <v>0</v>
      </c>
      <c r="AY324" s="208">
        <v>0</v>
      </c>
      <c r="AZ324" s="208">
        <v>0</v>
      </c>
      <c r="BA324" s="208">
        <v>0</v>
      </c>
      <c r="BB324" s="208">
        <v>0</v>
      </c>
      <c r="BC324" s="208">
        <v>0</v>
      </c>
      <c r="BD324" s="208">
        <v>0</v>
      </c>
      <c r="BE324" s="208">
        <v>0</v>
      </c>
      <c r="BF324" s="208">
        <v>0</v>
      </c>
      <c r="BG324" s="208">
        <v>0</v>
      </c>
      <c r="BH324" s="208">
        <v>0</v>
      </c>
      <c r="BI324" s="208">
        <v>0</v>
      </c>
      <c r="BJ324" s="208">
        <v>0</v>
      </c>
      <c r="BK324" s="208">
        <v>0</v>
      </c>
      <c r="BL324" s="208">
        <v>6709341</v>
      </c>
      <c r="BM324" s="208">
        <v>-1264753</v>
      </c>
      <c r="BN324" s="187" t="s">
        <v>725</v>
      </c>
      <c r="BO324" s="187" t="s">
        <v>754</v>
      </c>
      <c r="BP324" s="187" t="s">
        <v>753</v>
      </c>
      <c r="BQ324" s="187" t="s">
        <v>1056</v>
      </c>
    </row>
    <row r="325" spans="1:69" x14ac:dyDescent="0.2">
      <c r="B325" s="429" t="s">
        <v>728</v>
      </c>
      <c r="C325" s="429" t="s">
        <v>727</v>
      </c>
      <c r="D325" s="208">
        <v>42527036</v>
      </c>
      <c r="E325" s="208">
        <v>0</v>
      </c>
      <c r="F325" s="208">
        <v>42527036</v>
      </c>
      <c r="G325" s="208">
        <v>0</v>
      </c>
      <c r="H325" s="208">
        <v>0</v>
      </c>
      <c r="I325" s="208">
        <v>0</v>
      </c>
      <c r="J325" s="208">
        <v>-294768</v>
      </c>
      <c r="K325" s="208">
        <v>0</v>
      </c>
      <c r="L325" s="208">
        <v>-294768</v>
      </c>
      <c r="M325" s="208">
        <v>-41512</v>
      </c>
      <c r="N325" s="208">
        <v>0</v>
      </c>
      <c r="O325" s="208">
        <v>-41512</v>
      </c>
      <c r="P325" s="208">
        <v>-294768</v>
      </c>
      <c r="Q325" s="208">
        <v>0</v>
      </c>
      <c r="R325" s="208">
        <v>-294768</v>
      </c>
      <c r="S325" s="208">
        <v>240235</v>
      </c>
      <c r="T325" s="208">
        <v>0</v>
      </c>
      <c r="U325" s="208">
        <v>240235</v>
      </c>
      <c r="V325" s="208">
        <v>48382</v>
      </c>
      <c r="W325" s="208">
        <v>0</v>
      </c>
      <c r="X325" s="208">
        <v>48382</v>
      </c>
      <c r="Y325" s="208">
        <v>321225</v>
      </c>
      <c r="Z325" s="208">
        <v>0</v>
      </c>
      <c r="AA325" s="208">
        <v>321225</v>
      </c>
      <c r="AB325" s="208">
        <v>-2259746</v>
      </c>
      <c r="AC325" s="208">
        <v>0</v>
      </c>
      <c r="AD325" s="208">
        <v>-2259746</v>
      </c>
      <c r="AE325" s="208">
        <v>40540852</v>
      </c>
      <c r="AF325" s="208">
        <v>0</v>
      </c>
      <c r="AG325" s="208">
        <v>40540852</v>
      </c>
      <c r="AH325" s="208">
        <v>0</v>
      </c>
      <c r="AI325" s="208">
        <v>0</v>
      </c>
      <c r="AJ325" s="208">
        <v>3984</v>
      </c>
      <c r="AK325" s="208">
        <v>0</v>
      </c>
      <c r="AL325" s="208">
        <v>3984</v>
      </c>
      <c r="AM325" s="208">
        <v>0</v>
      </c>
      <c r="AN325" s="208">
        <v>0</v>
      </c>
      <c r="AO325" s="208">
        <v>0</v>
      </c>
      <c r="AP325" s="208">
        <v>0</v>
      </c>
      <c r="AQ325" s="208">
        <v>0</v>
      </c>
      <c r="AR325" s="208">
        <v>0</v>
      </c>
      <c r="AS325" s="208">
        <v>0</v>
      </c>
      <c r="AT325" s="208">
        <v>0</v>
      </c>
      <c r="AU325" s="208">
        <v>0</v>
      </c>
      <c r="AV325" s="208">
        <v>0</v>
      </c>
      <c r="AW325" s="208">
        <v>0</v>
      </c>
      <c r="AX325" s="208">
        <v>0</v>
      </c>
      <c r="AY325" s="208">
        <v>0</v>
      </c>
      <c r="AZ325" s="208">
        <v>0</v>
      </c>
      <c r="BA325" s="208">
        <v>0</v>
      </c>
      <c r="BB325" s="208">
        <v>0</v>
      </c>
      <c r="BC325" s="208">
        <v>0</v>
      </c>
      <c r="BD325" s="208">
        <v>0</v>
      </c>
      <c r="BE325" s="208">
        <v>0</v>
      </c>
      <c r="BF325" s="208">
        <v>0</v>
      </c>
      <c r="BG325" s="208">
        <v>0</v>
      </c>
      <c r="BH325" s="208">
        <v>0</v>
      </c>
      <c r="BI325" s="208">
        <v>0</v>
      </c>
      <c r="BJ325" s="208">
        <v>0</v>
      </c>
      <c r="BK325" s="208">
        <v>0</v>
      </c>
      <c r="BL325" s="208">
        <v>554120</v>
      </c>
      <c r="BM325" s="208">
        <v>-971400</v>
      </c>
      <c r="BN325" s="187" t="s">
        <v>727</v>
      </c>
      <c r="BO325" s="187" t="s">
        <v>746</v>
      </c>
      <c r="BP325" s="187" t="s">
        <v>745</v>
      </c>
      <c r="BQ325" s="187" t="s">
        <v>1054</v>
      </c>
    </row>
    <row r="326" spans="1:69" x14ac:dyDescent="0.2">
      <c r="B326" s="429" t="s">
        <v>730</v>
      </c>
      <c r="C326" s="429" t="s">
        <v>729</v>
      </c>
      <c r="D326" s="208">
        <v>31831857</v>
      </c>
      <c r="E326" s="208">
        <v>0</v>
      </c>
      <c r="F326" s="208">
        <v>31831857</v>
      </c>
      <c r="G326" s="208">
        <v>0</v>
      </c>
      <c r="H326" s="208">
        <v>0</v>
      </c>
      <c r="I326" s="208">
        <v>0</v>
      </c>
      <c r="J326" s="208">
        <v>-332668</v>
      </c>
      <c r="K326" s="208">
        <v>0</v>
      </c>
      <c r="L326" s="208">
        <v>-332668</v>
      </c>
      <c r="M326" s="208">
        <v>0</v>
      </c>
      <c r="N326" s="208">
        <v>0</v>
      </c>
      <c r="O326" s="208">
        <v>0</v>
      </c>
      <c r="P326" s="208">
        <v>-277663</v>
      </c>
      <c r="Q326" s="208">
        <v>0</v>
      </c>
      <c r="R326" s="208">
        <v>-277663</v>
      </c>
      <c r="S326" s="208">
        <v>0</v>
      </c>
      <c r="T326" s="208">
        <v>0</v>
      </c>
      <c r="U326" s="208">
        <v>0</v>
      </c>
      <c r="V326" s="208">
        <v>35825</v>
      </c>
      <c r="W326" s="208">
        <v>0</v>
      </c>
      <c r="X326" s="208">
        <v>35825</v>
      </c>
      <c r="Y326" s="208">
        <v>5472</v>
      </c>
      <c r="Z326" s="208">
        <v>0</v>
      </c>
      <c r="AA326" s="208">
        <v>5472</v>
      </c>
      <c r="AB326" s="208">
        <v>0</v>
      </c>
      <c r="AC326" s="208">
        <v>0</v>
      </c>
      <c r="AD326" s="208">
        <v>0</v>
      </c>
      <c r="AE326" s="208">
        <v>31595491</v>
      </c>
      <c r="AF326" s="208">
        <v>0</v>
      </c>
      <c r="AG326" s="208">
        <v>31595491</v>
      </c>
      <c r="AH326" s="208">
        <v>0</v>
      </c>
      <c r="AI326" s="208">
        <v>0</v>
      </c>
      <c r="AJ326" s="208">
        <v>0</v>
      </c>
      <c r="AK326" s="208">
        <v>0</v>
      </c>
      <c r="AL326" s="208">
        <v>0</v>
      </c>
      <c r="AM326" s="208">
        <v>0</v>
      </c>
      <c r="AN326" s="208">
        <v>0</v>
      </c>
      <c r="AO326" s="208">
        <v>0</v>
      </c>
      <c r="AP326" s="208">
        <v>0</v>
      </c>
      <c r="AQ326" s="208">
        <v>0</v>
      </c>
      <c r="AR326" s="208">
        <v>0</v>
      </c>
      <c r="AS326" s="208">
        <v>0</v>
      </c>
      <c r="AT326" s="208">
        <v>0</v>
      </c>
      <c r="AU326" s="208">
        <v>0</v>
      </c>
      <c r="AV326" s="208">
        <v>0</v>
      </c>
      <c r="AW326" s="208">
        <v>0</v>
      </c>
      <c r="AX326" s="208">
        <v>0</v>
      </c>
      <c r="AY326" s="208">
        <v>0</v>
      </c>
      <c r="AZ326" s="208">
        <v>0</v>
      </c>
      <c r="BA326" s="208">
        <v>0</v>
      </c>
      <c r="BB326" s="208">
        <v>0</v>
      </c>
      <c r="BC326" s="208">
        <v>0</v>
      </c>
      <c r="BD326" s="208">
        <v>0</v>
      </c>
      <c r="BE326" s="208">
        <v>0</v>
      </c>
      <c r="BF326" s="208">
        <v>0</v>
      </c>
      <c r="BG326" s="208">
        <v>0</v>
      </c>
      <c r="BH326" s="208">
        <v>0</v>
      </c>
      <c r="BI326" s="208">
        <v>0</v>
      </c>
      <c r="BJ326" s="208">
        <v>0</v>
      </c>
      <c r="BK326" s="208">
        <v>0</v>
      </c>
      <c r="BL326" s="208">
        <v>2247263</v>
      </c>
      <c r="BM326" s="208">
        <v>-1606816</v>
      </c>
      <c r="BN326" s="187" t="s">
        <v>729</v>
      </c>
      <c r="BO326" s="187" t="s">
        <v>752</v>
      </c>
      <c r="BP326" s="187" t="s">
        <v>751</v>
      </c>
      <c r="BQ326" s="187" t="s">
        <v>1054</v>
      </c>
    </row>
    <row r="327" spans="1:69" x14ac:dyDescent="0.2">
      <c r="B327" s="429" t="s">
        <v>732</v>
      </c>
      <c r="C327" s="429" t="s">
        <v>731</v>
      </c>
      <c r="D327" s="208">
        <v>43013946</v>
      </c>
      <c r="E327" s="208">
        <v>0</v>
      </c>
      <c r="F327" s="208">
        <v>43013946</v>
      </c>
      <c r="G327" s="208">
        <v>0</v>
      </c>
      <c r="H327" s="208">
        <v>0</v>
      </c>
      <c r="I327" s="208">
        <v>0</v>
      </c>
      <c r="J327" s="208">
        <v>-253798</v>
      </c>
      <c r="K327" s="208">
        <v>0</v>
      </c>
      <c r="L327" s="208">
        <v>-253798</v>
      </c>
      <c r="M327" s="208">
        <v>0</v>
      </c>
      <c r="N327" s="208">
        <v>0</v>
      </c>
      <c r="O327" s="208">
        <v>0</v>
      </c>
      <c r="P327" s="208">
        <v>-253798</v>
      </c>
      <c r="Q327" s="208">
        <v>0</v>
      </c>
      <c r="R327" s="208">
        <v>-253798</v>
      </c>
      <c r="S327" s="208">
        <v>88061</v>
      </c>
      <c r="T327" s="208">
        <v>0</v>
      </c>
      <c r="U327" s="208">
        <v>88061</v>
      </c>
      <c r="V327" s="208">
        <v>31208</v>
      </c>
      <c r="W327" s="208">
        <v>0</v>
      </c>
      <c r="X327" s="208">
        <v>31208</v>
      </c>
      <c r="Y327" s="208">
        <v>723294</v>
      </c>
      <c r="Z327" s="208">
        <v>0</v>
      </c>
      <c r="AA327" s="208">
        <v>723294</v>
      </c>
      <c r="AB327" s="208">
        <v>-2055724</v>
      </c>
      <c r="AC327" s="208">
        <v>0</v>
      </c>
      <c r="AD327" s="208">
        <v>-2055724</v>
      </c>
      <c r="AE327" s="208">
        <v>41546987</v>
      </c>
      <c r="AF327" s="208">
        <v>0</v>
      </c>
      <c r="AG327" s="208">
        <v>41546987</v>
      </c>
      <c r="AH327" s="208">
        <v>0</v>
      </c>
      <c r="AI327" s="208">
        <v>0</v>
      </c>
      <c r="AJ327" s="208">
        <v>393516</v>
      </c>
      <c r="AK327" s="208">
        <v>0</v>
      </c>
      <c r="AL327" s="208">
        <v>393516</v>
      </c>
      <c r="AM327" s="208">
        <v>0</v>
      </c>
      <c r="AN327" s="208">
        <v>0</v>
      </c>
      <c r="AO327" s="208">
        <v>0</v>
      </c>
      <c r="AP327" s="208">
        <v>0</v>
      </c>
      <c r="AQ327" s="208">
        <v>0</v>
      </c>
      <c r="AR327" s="208">
        <v>0</v>
      </c>
      <c r="AS327" s="208">
        <v>0</v>
      </c>
      <c r="AT327" s="208">
        <v>0</v>
      </c>
      <c r="AU327" s="208">
        <v>0</v>
      </c>
      <c r="AV327" s="208">
        <v>0</v>
      </c>
      <c r="AW327" s="208">
        <v>0</v>
      </c>
      <c r="AX327" s="208">
        <v>0</v>
      </c>
      <c r="AY327" s="208">
        <v>0</v>
      </c>
      <c r="AZ327" s="208">
        <v>0</v>
      </c>
      <c r="BA327" s="208">
        <v>0</v>
      </c>
      <c r="BB327" s="208">
        <v>0</v>
      </c>
      <c r="BC327" s="208">
        <v>0</v>
      </c>
      <c r="BD327" s="208">
        <v>0</v>
      </c>
      <c r="BE327" s="208">
        <v>0</v>
      </c>
      <c r="BF327" s="208">
        <v>0</v>
      </c>
      <c r="BG327" s="208">
        <v>0</v>
      </c>
      <c r="BH327" s="208">
        <v>0</v>
      </c>
      <c r="BI327" s="208">
        <v>0</v>
      </c>
      <c r="BJ327" s="208">
        <v>0</v>
      </c>
      <c r="BK327" s="208">
        <v>0</v>
      </c>
      <c r="BL327" s="208">
        <v>196644</v>
      </c>
      <c r="BM327" s="208">
        <v>-595331</v>
      </c>
      <c r="BN327" s="187" t="s">
        <v>731</v>
      </c>
      <c r="BO327" s="187" t="s">
        <v>746</v>
      </c>
      <c r="BP327" s="187" t="s">
        <v>745</v>
      </c>
      <c r="BQ327" s="187" t="s">
        <v>1054</v>
      </c>
    </row>
    <row r="328" spans="1:69" x14ac:dyDescent="0.2">
      <c r="B328" s="429" t="s">
        <v>734</v>
      </c>
      <c r="C328" s="429" t="s">
        <v>733</v>
      </c>
      <c r="D328" s="208">
        <v>70173057</v>
      </c>
      <c r="E328" s="208">
        <v>0</v>
      </c>
      <c r="F328" s="208">
        <v>70173057</v>
      </c>
      <c r="G328" s="208">
        <v>0</v>
      </c>
      <c r="H328" s="208">
        <v>0</v>
      </c>
      <c r="I328" s="208">
        <v>0</v>
      </c>
      <c r="J328" s="208">
        <v>-397393</v>
      </c>
      <c r="K328" s="208">
        <v>0</v>
      </c>
      <c r="L328" s="208">
        <v>-397393</v>
      </c>
      <c r="M328" s="208">
        <v>0</v>
      </c>
      <c r="N328" s="208">
        <v>0</v>
      </c>
      <c r="O328" s="208">
        <v>0</v>
      </c>
      <c r="P328" s="208">
        <v>-132848</v>
      </c>
      <c r="Q328" s="208">
        <v>0</v>
      </c>
      <c r="R328" s="208">
        <v>-132848</v>
      </c>
      <c r="S328" s="208">
        <v>244062</v>
      </c>
      <c r="T328" s="208">
        <v>0</v>
      </c>
      <c r="U328" s="208">
        <v>244062</v>
      </c>
      <c r="V328" s="208">
        <v>0</v>
      </c>
      <c r="W328" s="208">
        <v>0</v>
      </c>
      <c r="X328" s="208">
        <v>0</v>
      </c>
      <c r="Y328" s="208">
        <v>688059</v>
      </c>
      <c r="Z328" s="208">
        <v>0</v>
      </c>
      <c r="AA328" s="208">
        <v>688059</v>
      </c>
      <c r="AB328" s="208">
        <v>0</v>
      </c>
      <c r="AC328" s="208">
        <v>0</v>
      </c>
      <c r="AD328" s="208">
        <v>0</v>
      </c>
      <c r="AE328" s="208">
        <v>70972330</v>
      </c>
      <c r="AF328" s="208">
        <v>0</v>
      </c>
      <c r="AG328" s="208">
        <v>70972330</v>
      </c>
      <c r="AH328" s="208">
        <v>0</v>
      </c>
      <c r="AI328" s="208">
        <v>0</v>
      </c>
      <c r="AJ328" s="208">
        <v>0</v>
      </c>
      <c r="AK328" s="208">
        <v>0</v>
      </c>
      <c r="AL328" s="208">
        <v>0</v>
      </c>
      <c r="AM328" s="208">
        <v>0</v>
      </c>
      <c r="AN328" s="208">
        <v>0</v>
      </c>
      <c r="AO328" s="208">
        <v>0</v>
      </c>
      <c r="AP328" s="208">
        <v>0</v>
      </c>
      <c r="AQ328" s="208">
        <v>0</v>
      </c>
      <c r="AR328" s="208">
        <v>0</v>
      </c>
      <c r="AS328" s="208">
        <v>0</v>
      </c>
      <c r="AT328" s="208">
        <v>0</v>
      </c>
      <c r="AU328" s="208">
        <v>0</v>
      </c>
      <c r="AV328" s="208">
        <v>0</v>
      </c>
      <c r="AW328" s="208">
        <v>0</v>
      </c>
      <c r="AX328" s="208">
        <v>0</v>
      </c>
      <c r="AY328" s="208">
        <v>0</v>
      </c>
      <c r="AZ328" s="208">
        <v>0</v>
      </c>
      <c r="BA328" s="208">
        <v>0</v>
      </c>
      <c r="BB328" s="208">
        <v>0</v>
      </c>
      <c r="BC328" s="208">
        <v>0</v>
      </c>
      <c r="BD328" s="208">
        <v>0</v>
      </c>
      <c r="BE328" s="208">
        <v>0</v>
      </c>
      <c r="BF328" s="208">
        <v>0</v>
      </c>
      <c r="BG328" s="208">
        <v>0</v>
      </c>
      <c r="BH328" s="208">
        <v>0</v>
      </c>
      <c r="BI328" s="208">
        <v>0</v>
      </c>
      <c r="BJ328" s="208">
        <v>0</v>
      </c>
      <c r="BK328" s="208">
        <v>0</v>
      </c>
      <c r="BL328" s="208">
        <v>4725695</v>
      </c>
      <c r="BM328" s="208">
        <v>-3078666</v>
      </c>
      <c r="BN328" s="187" t="s">
        <v>733</v>
      </c>
      <c r="BO328" s="187" t="s">
        <v>750</v>
      </c>
      <c r="BP328" s="187" t="s">
        <v>749</v>
      </c>
      <c r="BQ328" s="187" t="s">
        <v>1054</v>
      </c>
    </row>
    <row r="329" spans="1:69" x14ac:dyDescent="0.2">
      <c r="B329" s="429" t="s">
        <v>736</v>
      </c>
      <c r="C329" s="429" t="s">
        <v>735</v>
      </c>
      <c r="D329" s="208">
        <v>23757841</v>
      </c>
      <c r="E329" s="208">
        <v>3123888</v>
      </c>
      <c r="F329" s="208">
        <v>26881729</v>
      </c>
      <c r="G329" s="208">
        <v>0</v>
      </c>
      <c r="H329" s="208">
        <v>0</v>
      </c>
      <c r="I329" s="208">
        <v>0</v>
      </c>
      <c r="J329" s="208">
        <v>-188293</v>
      </c>
      <c r="K329" s="208">
        <v>0</v>
      </c>
      <c r="L329" s="208">
        <v>-188293</v>
      </c>
      <c r="M329" s="208">
        <v>0</v>
      </c>
      <c r="N329" s="208">
        <v>0</v>
      </c>
      <c r="O329" s="208">
        <v>0</v>
      </c>
      <c r="P329" s="208">
        <v>-60816</v>
      </c>
      <c r="Q329" s="208">
        <v>0</v>
      </c>
      <c r="R329" s="208">
        <v>-60816</v>
      </c>
      <c r="S329" s="208">
        <v>0</v>
      </c>
      <c r="T329" s="208">
        <v>0</v>
      </c>
      <c r="U329" s="208">
        <v>0</v>
      </c>
      <c r="V329" s="208">
        <v>0</v>
      </c>
      <c r="W329" s="208">
        <v>0</v>
      </c>
      <c r="X329" s="208">
        <v>0</v>
      </c>
      <c r="Y329" s="208">
        <v>0</v>
      </c>
      <c r="Z329" s="208">
        <v>0</v>
      </c>
      <c r="AA329" s="208">
        <v>0</v>
      </c>
      <c r="AB329" s="208">
        <v>-721239</v>
      </c>
      <c r="AC329" s="208">
        <v>274834</v>
      </c>
      <c r="AD329" s="208">
        <v>-446405</v>
      </c>
      <c r="AE329" s="208">
        <v>22975786</v>
      </c>
      <c r="AF329" s="208">
        <v>3398722</v>
      </c>
      <c r="AG329" s="208">
        <v>26374508</v>
      </c>
      <c r="AH329" s="208">
        <v>3398722</v>
      </c>
      <c r="AI329" s="208">
        <v>3398722</v>
      </c>
      <c r="AJ329" s="208">
        <v>0</v>
      </c>
      <c r="AK329" s="208">
        <v>0</v>
      </c>
      <c r="AL329" s="208">
        <v>0</v>
      </c>
      <c r="AM329" s="208">
        <v>0</v>
      </c>
      <c r="AN329" s="208">
        <v>0</v>
      </c>
      <c r="AO329" s="208">
        <v>0</v>
      </c>
      <c r="AP329" s="208">
        <v>-25585</v>
      </c>
      <c r="AQ329" s="208">
        <v>-25585</v>
      </c>
      <c r="AR329" s="208">
        <v>2484988</v>
      </c>
      <c r="AS329" s="208">
        <v>2484988</v>
      </c>
      <c r="AT329" s="208">
        <v>888149</v>
      </c>
      <c r="AU329" s="208">
        <v>0</v>
      </c>
      <c r="AV329" s="208">
        <v>0</v>
      </c>
      <c r="AW329" s="208">
        <v>0</v>
      </c>
      <c r="AX329" s="208">
        <v>0</v>
      </c>
      <c r="AY329" s="208">
        <v>0</v>
      </c>
      <c r="AZ329" s="208">
        <v>0</v>
      </c>
      <c r="BA329" s="208">
        <v>0</v>
      </c>
      <c r="BB329" s="208">
        <v>0</v>
      </c>
      <c r="BC329" s="208">
        <v>0</v>
      </c>
      <c r="BD329" s="208">
        <v>0</v>
      </c>
      <c r="BE329" s="208">
        <v>0</v>
      </c>
      <c r="BF329" s="208">
        <v>0</v>
      </c>
      <c r="BG329" s="208">
        <v>0</v>
      </c>
      <c r="BH329" s="208">
        <v>0</v>
      </c>
      <c r="BI329" s="208">
        <v>0</v>
      </c>
      <c r="BJ329" s="208">
        <v>0</v>
      </c>
      <c r="BK329" s="208">
        <v>0</v>
      </c>
      <c r="BL329" s="208">
        <v>1045504</v>
      </c>
      <c r="BM329" s="208">
        <v>-646752</v>
      </c>
      <c r="BN329" s="187" t="s">
        <v>735</v>
      </c>
      <c r="BO329" s="187" t="s">
        <v>748</v>
      </c>
      <c r="BP329" s="187" t="s">
        <v>747</v>
      </c>
      <c r="BQ329" s="187" t="s">
        <v>1054</v>
      </c>
    </row>
    <row r="330" spans="1:69" x14ac:dyDescent="0.2">
      <c r="A330" s="188"/>
      <c r="B330" s="429" t="s">
        <v>738</v>
      </c>
      <c r="C330" s="429" t="s">
        <v>737</v>
      </c>
      <c r="D330" s="208">
        <v>28486395</v>
      </c>
      <c r="E330" s="208">
        <v>0</v>
      </c>
      <c r="F330" s="208">
        <v>28486395</v>
      </c>
      <c r="G330" s="208">
        <v>0</v>
      </c>
      <c r="H330" s="208">
        <v>0</v>
      </c>
      <c r="I330" s="208">
        <v>0</v>
      </c>
      <c r="J330" s="208">
        <v>-529828</v>
      </c>
      <c r="K330" s="208">
        <v>0</v>
      </c>
      <c r="L330" s="208">
        <v>-529828</v>
      </c>
      <c r="M330" s="208">
        <v>-183429</v>
      </c>
      <c r="N330" s="208">
        <v>0</v>
      </c>
      <c r="O330" s="208">
        <v>-183429</v>
      </c>
      <c r="P330" s="208">
        <v>-316082</v>
      </c>
      <c r="Q330" s="208">
        <v>0</v>
      </c>
      <c r="R330" s="208">
        <v>-316082</v>
      </c>
      <c r="S330" s="208">
        <v>535295</v>
      </c>
      <c r="T330" s="208">
        <v>0</v>
      </c>
      <c r="U330" s="208">
        <v>535295</v>
      </c>
      <c r="V330" s="208">
        <v>10031</v>
      </c>
      <c r="W330" s="208">
        <v>0</v>
      </c>
      <c r="X330" s="208">
        <v>10031</v>
      </c>
      <c r="Y330" s="208">
        <v>-412934</v>
      </c>
      <c r="Z330" s="208">
        <v>0</v>
      </c>
      <c r="AA330" s="208">
        <v>-412934</v>
      </c>
      <c r="AB330" s="208">
        <v>-1499880</v>
      </c>
      <c r="AC330" s="208">
        <v>0</v>
      </c>
      <c r="AD330" s="208">
        <v>-1499880</v>
      </c>
      <c r="AE330" s="208">
        <v>26619396</v>
      </c>
      <c r="AF330" s="208">
        <v>0</v>
      </c>
      <c r="AG330" s="208">
        <v>26619396</v>
      </c>
      <c r="AH330" s="208">
        <v>0</v>
      </c>
      <c r="AI330" s="208">
        <v>0</v>
      </c>
      <c r="AJ330" s="208">
        <v>5040</v>
      </c>
      <c r="AK330" s="208">
        <v>0</v>
      </c>
      <c r="AL330" s="208">
        <v>5040</v>
      </c>
      <c r="AM330" s="208">
        <v>0</v>
      </c>
      <c r="AN330" s="208">
        <v>0</v>
      </c>
      <c r="AO330" s="208">
        <v>0</v>
      </c>
      <c r="AP330" s="208">
        <v>0</v>
      </c>
      <c r="AQ330" s="208">
        <v>0</v>
      </c>
      <c r="AR330" s="208">
        <v>0</v>
      </c>
      <c r="AS330" s="208">
        <v>0</v>
      </c>
      <c r="AT330" s="208">
        <v>0</v>
      </c>
      <c r="AU330" s="208">
        <v>0</v>
      </c>
      <c r="AV330" s="208">
        <v>0</v>
      </c>
      <c r="AW330" s="208">
        <v>0</v>
      </c>
      <c r="AX330" s="208">
        <v>0</v>
      </c>
      <c r="AY330" s="208">
        <v>0</v>
      </c>
      <c r="AZ330" s="208">
        <v>0</v>
      </c>
      <c r="BA330" s="208">
        <v>0</v>
      </c>
      <c r="BB330" s="208">
        <v>0</v>
      </c>
      <c r="BC330" s="208">
        <v>0</v>
      </c>
      <c r="BD330" s="208">
        <v>0</v>
      </c>
      <c r="BE330" s="208">
        <v>0</v>
      </c>
      <c r="BF330" s="208">
        <v>0</v>
      </c>
      <c r="BG330" s="208">
        <v>0</v>
      </c>
      <c r="BH330" s="208">
        <v>0</v>
      </c>
      <c r="BI330" s="208">
        <v>0</v>
      </c>
      <c r="BJ330" s="208">
        <v>0</v>
      </c>
      <c r="BK330" s="208">
        <v>0</v>
      </c>
      <c r="BL330" s="208">
        <v>1462443</v>
      </c>
      <c r="BM330" s="208">
        <v>-836837</v>
      </c>
      <c r="BN330" s="187" t="s">
        <v>737</v>
      </c>
      <c r="BO330" s="187" t="s">
        <v>746</v>
      </c>
      <c r="BP330" s="187" t="s">
        <v>745</v>
      </c>
      <c r="BQ330" s="187" t="s">
        <v>1054</v>
      </c>
    </row>
    <row r="331" spans="1:69" x14ac:dyDescent="0.2">
      <c r="B331" s="429" t="s">
        <v>740</v>
      </c>
      <c r="C331" s="429" t="s">
        <v>739</v>
      </c>
      <c r="D331" s="208">
        <v>101772601</v>
      </c>
      <c r="E331" s="208">
        <v>921792</v>
      </c>
      <c r="F331" s="208">
        <v>102694393</v>
      </c>
      <c r="G331" s="208">
        <v>0</v>
      </c>
      <c r="H331" s="208">
        <v>0</v>
      </c>
      <c r="I331" s="208">
        <v>0</v>
      </c>
      <c r="J331" s="208">
        <v>-275226</v>
      </c>
      <c r="K331" s="208">
        <v>0</v>
      </c>
      <c r="L331" s="208">
        <v>-275226</v>
      </c>
      <c r="M331" s="208">
        <v>0</v>
      </c>
      <c r="N331" s="208">
        <v>0</v>
      </c>
      <c r="O331" s="208">
        <v>0</v>
      </c>
      <c r="P331" s="208">
        <v>-63153</v>
      </c>
      <c r="Q331" s="208">
        <v>0</v>
      </c>
      <c r="R331" s="208">
        <v>-63153</v>
      </c>
      <c r="S331" s="208">
        <v>2584784</v>
      </c>
      <c r="T331" s="208">
        <v>0</v>
      </c>
      <c r="U331" s="208">
        <v>2584784</v>
      </c>
      <c r="V331" s="208">
        <v>0</v>
      </c>
      <c r="W331" s="208">
        <v>0</v>
      </c>
      <c r="X331" s="208">
        <v>0</v>
      </c>
      <c r="Y331" s="208">
        <v>-742784</v>
      </c>
      <c r="Z331" s="208">
        <v>0</v>
      </c>
      <c r="AA331" s="208">
        <v>-742784</v>
      </c>
      <c r="AB331" s="208">
        <v>0</v>
      </c>
      <c r="AC331" s="208">
        <v>0</v>
      </c>
      <c r="AD331" s="208">
        <v>0</v>
      </c>
      <c r="AE331" s="208">
        <v>103551448</v>
      </c>
      <c r="AF331" s="208">
        <v>921792</v>
      </c>
      <c r="AG331" s="208">
        <v>104473240</v>
      </c>
      <c r="AH331" s="208">
        <v>921792</v>
      </c>
      <c r="AI331" s="208">
        <v>921792</v>
      </c>
      <c r="AJ331" s="208">
        <v>0</v>
      </c>
      <c r="AK331" s="208">
        <v>0</v>
      </c>
      <c r="AL331" s="208">
        <v>0</v>
      </c>
      <c r="AM331" s="208">
        <v>0</v>
      </c>
      <c r="AN331" s="208">
        <v>0</v>
      </c>
      <c r="AO331" s="208">
        <v>0</v>
      </c>
      <c r="AP331" s="208">
        <v>230207</v>
      </c>
      <c r="AQ331" s="208">
        <v>230207</v>
      </c>
      <c r="AR331" s="208">
        <v>768261</v>
      </c>
      <c r="AS331" s="208">
        <v>768261</v>
      </c>
      <c r="AT331" s="208">
        <v>383738</v>
      </c>
      <c r="AU331" s="208">
        <v>0</v>
      </c>
      <c r="AV331" s="208">
        <v>0</v>
      </c>
      <c r="AW331" s="208">
        <v>0</v>
      </c>
      <c r="AX331" s="208">
        <v>0</v>
      </c>
      <c r="AY331" s="208">
        <v>0</v>
      </c>
      <c r="AZ331" s="208">
        <v>0</v>
      </c>
      <c r="BA331" s="208">
        <v>0</v>
      </c>
      <c r="BB331" s="208">
        <v>0</v>
      </c>
      <c r="BC331" s="208">
        <v>0</v>
      </c>
      <c r="BD331" s="208">
        <v>0</v>
      </c>
      <c r="BE331" s="208">
        <v>0</v>
      </c>
      <c r="BF331" s="208">
        <v>0</v>
      </c>
      <c r="BG331" s="208">
        <v>0</v>
      </c>
      <c r="BH331" s="208">
        <v>0</v>
      </c>
      <c r="BI331" s="208">
        <v>0</v>
      </c>
      <c r="BJ331" s="208">
        <v>0</v>
      </c>
      <c r="BK331" s="208">
        <v>0</v>
      </c>
      <c r="BL331" s="208">
        <v>3085513</v>
      </c>
      <c r="BM331" s="208">
        <v>-1822324</v>
      </c>
      <c r="BN331" s="187" t="s">
        <v>744</v>
      </c>
      <c r="BO331" s="187" t="s">
        <v>742</v>
      </c>
      <c r="BP331" s="187" t="s">
        <v>741</v>
      </c>
      <c r="BQ331" s="187" t="s">
        <v>742</v>
      </c>
    </row>
    <row r="332" spans="1:69" x14ac:dyDescent="0.2">
      <c r="A332" s="187" t="s">
        <v>1827</v>
      </c>
      <c r="B332" s="429" t="s">
        <v>1046</v>
      </c>
      <c r="C332" s="429" t="s">
        <v>1040</v>
      </c>
      <c r="D332" s="208">
        <v>25226289939.610001</v>
      </c>
      <c r="E332" s="208">
        <v>243361453</v>
      </c>
      <c r="F332" s="208">
        <v>25469651392.610001</v>
      </c>
      <c r="G332" s="208">
        <v>-276659</v>
      </c>
      <c r="H332" s="208">
        <v>0</v>
      </c>
      <c r="I332" s="208">
        <v>-276659</v>
      </c>
      <c r="J332" s="208">
        <v>-180094842.97999999</v>
      </c>
      <c r="K332" s="208">
        <v>-3072955</v>
      </c>
      <c r="L332" s="208">
        <v>-183167797.97999999</v>
      </c>
      <c r="M332" s="208">
        <v>-17171570.300000001</v>
      </c>
      <c r="N332" s="208">
        <v>296942</v>
      </c>
      <c r="O332" s="208">
        <v>-16874628.300000001</v>
      </c>
      <c r="P332" s="208">
        <v>-162409385.63</v>
      </c>
      <c r="Q332" s="208">
        <v>-1764532</v>
      </c>
      <c r="R332" s="208">
        <v>-164173917.63</v>
      </c>
      <c r="S332" s="208">
        <v>451666157</v>
      </c>
      <c r="T332" s="208">
        <v>3850637</v>
      </c>
      <c r="U332" s="208">
        <v>455516794</v>
      </c>
      <c r="V332" s="208">
        <v>179802077</v>
      </c>
      <c r="W332" s="208">
        <v>1710183</v>
      </c>
      <c r="X332" s="208">
        <v>181512260</v>
      </c>
      <c r="Y332" s="208">
        <v>22848962.009999998</v>
      </c>
      <c r="Z332" s="208">
        <v>496628</v>
      </c>
      <c r="AA332" s="208">
        <v>23345590.009999998</v>
      </c>
      <c r="AB332" s="208">
        <v>-756822130.36000001</v>
      </c>
      <c r="AC332" s="208">
        <v>-4369325</v>
      </c>
      <c r="AD332" s="208">
        <v>-761191455.36000001</v>
      </c>
      <c r="AE332" s="208">
        <v>24943927390.329998</v>
      </c>
      <c r="AF332" s="208">
        <v>243581986</v>
      </c>
      <c r="AG332" s="208">
        <v>25187509376.329998</v>
      </c>
      <c r="AH332" s="208">
        <v>243581986</v>
      </c>
      <c r="AI332" s="208">
        <v>243581986</v>
      </c>
      <c r="AJ332" s="208">
        <v>64338544.739999995</v>
      </c>
      <c r="AK332" s="208">
        <v>495348</v>
      </c>
      <c r="AL332" s="208">
        <v>64833892.739999995</v>
      </c>
      <c r="AM332" s="208">
        <v>25390</v>
      </c>
      <c r="AN332" s="208">
        <v>0</v>
      </c>
      <c r="AO332" s="208">
        <v>25390</v>
      </c>
      <c r="AP332" s="208">
        <v>-4430177</v>
      </c>
      <c r="AQ332" s="208">
        <v>-4430177</v>
      </c>
      <c r="AR332" s="208">
        <v>209217080</v>
      </c>
      <c r="AS332" s="208">
        <v>209217080</v>
      </c>
      <c r="AT332" s="208">
        <v>52398872</v>
      </c>
      <c r="AU332" s="208">
        <v>2933152</v>
      </c>
      <c r="AV332" s="208">
        <v>7681803</v>
      </c>
      <c r="AW332" s="208">
        <v>10614955</v>
      </c>
      <c r="AX332" s="208">
        <v>95175</v>
      </c>
      <c r="AY332" s="208">
        <v>8929676</v>
      </c>
      <c r="AZ332" s="208">
        <v>9024851</v>
      </c>
      <c r="BA332" s="208">
        <v>225062818</v>
      </c>
      <c r="BB332" s="208">
        <v>225062818</v>
      </c>
      <c r="BC332" s="208">
        <v>220836157</v>
      </c>
      <c r="BD332" s="208">
        <v>220836157</v>
      </c>
      <c r="BE332" s="208">
        <v>3213589</v>
      </c>
      <c r="BF332" s="208">
        <v>3213589</v>
      </c>
      <c r="BG332" s="208">
        <v>749487</v>
      </c>
      <c r="BH332" s="208">
        <v>382238</v>
      </c>
      <c r="BI332" s="208">
        <v>3691002</v>
      </c>
      <c r="BJ332" s="208">
        <v>8929676</v>
      </c>
      <c r="BK332" s="208">
        <v>12620678</v>
      </c>
      <c r="BL332" s="208">
        <v>1268110367.1000004</v>
      </c>
      <c r="BM332" s="208">
        <v>-930321334.23064446</v>
      </c>
      <c r="BN332" s="188" t="s">
        <v>1072</v>
      </c>
      <c r="BO332" s="188" t="s">
        <v>1072</v>
      </c>
      <c r="BP332" s="188" t="s">
        <v>1072</v>
      </c>
      <c r="BQ332" s="188" t="s">
        <v>1072</v>
      </c>
    </row>
    <row r="333" spans="1:69" s="185" customFormat="1" x14ac:dyDescent="0.2">
      <c r="A333" s="187"/>
      <c r="B333" s="672" t="s">
        <v>1820</v>
      </c>
      <c r="C333" s="672"/>
      <c r="D333" s="672"/>
      <c r="E333" s="673"/>
      <c r="F333" s="673"/>
      <c r="G333" s="675" t="s">
        <v>1822</v>
      </c>
      <c r="H333" s="673"/>
      <c r="I333" s="673"/>
      <c r="J333" s="673"/>
      <c r="K333" s="648"/>
      <c r="L333" s="648"/>
      <c r="M333" s="648"/>
      <c r="N333" s="648"/>
      <c r="O333" s="648"/>
      <c r="P333" s="648"/>
      <c r="Q333" s="648"/>
      <c r="R333" s="188"/>
      <c r="S333" s="188"/>
      <c r="T333" s="188"/>
      <c r="U333" s="188"/>
      <c r="V333" s="188"/>
      <c r="W333" s="188"/>
      <c r="X333" s="188"/>
      <c r="Y333" s="188"/>
      <c r="Z333" s="188"/>
      <c r="AA333" s="188"/>
      <c r="AB333" s="188"/>
      <c r="AC333" s="188"/>
      <c r="AD333" s="188"/>
      <c r="AE333" s="188"/>
      <c r="AF333" s="188"/>
    </row>
    <row r="334" spans="1:69" s="185" customFormat="1" x14ac:dyDescent="0.2">
      <c r="A334" s="674"/>
      <c r="B334" s="672" t="s">
        <v>1826</v>
      </c>
      <c r="C334" s="672"/>
      <c r="D334" s="672"/>
      <c r="E334" s="673"/>
      <c r="F334" s="673"/>
      <c r="G334" s="675" t="s">
        <v>1825</v>
      </c>
      <c r="H334" s="673"/>
      <c r="I334" s="673"/>
      <c r="J334" s="673"/>
      <c r="K334" s="648"/>
      <c r="L334" s="648"/>
      <c r="M334" s="648"/>
      <c r="N334" s="648"/>
      <c r="O334" s="648"/>
      <c r="P334" s="648"/>
      <c r="Q334" s="648"/>
      <c r="R334" s="188"/>
      <c r="S334" s="188"/>
      <c r="T334" s="188"/>
      <c r="U334" s="188"/>
      <c r="V334" s="188"/>
      <c r="W334" s="188"/>
      <c r="X334" s="188"/>
      <c r="Y334" s="188"/>
      <c r="Z334" s="188"/>
      <c r="AA334" s="188"/>
      <c r="AB334" s="188"/>
      <c r="AC334" s="188"/>
      <c r="AD334" s="188"/>
      <c r="AE334" s="188"/>
      <c r="AF334" s="188"/>
    </row>
    <row r="335" spans="1:69" x14ac:dyDescent="0.2">
      <c r="A335" s="674"/>
      <c r="B335" s="185"/>
    </row>
    <row r="336" spans="1:69" x14ac:dyDescent="0.2">
      <c r="A336" s="671"/>
    </row>
  </sheetData>
  <autoFilter ref="A5:BQ334" xr:uid="{BE7CE038-872B-4E07-873F-5BF6702B2436}"/>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239"/>
  <sheetViews>
    <sheetView zoomScaleNormal="100" workbookViewId="0"/>
  </sheetViews>
  <sheetFormatPr defaultRowHeight="12.75" x14ac:dyDescent="0.2"/>
  <cols>
    <col min="1" max="1" width="4.14062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0.42578125" customWidth="1"/>
    <col min="11" max="11" width="23.7109375" customWidth="1"/>
    <col min="12" max="12" width="19.42578125" customWidth="1"/>
    <col min="13" max="13" width="17" style="427" customWidth="1"/>
  </cols>
  <sheetData>
    <row r="1" spans="2:14" x14ac:dyDescent="0.2">
      <c r="D1">
        <v>3</v>
      </c>
      <c r="E1">
        <v>4</v>
      </c>
      <c r="F1">
        <v>5</v>
      </c>
      <c r="G1">
        <v>6</v>
      </c>
      <c r="H1">
        <v>7</v>
      </c>
      <c r="I1">
        <v>8</v>
      </c>
      <c r="J1">
        <v>9</v>
      </c>
      <c r="K1">
        <v>10</v>
      </c>
      <c r="L1" s="427">
        <v>11</v>
      </c>
      <c r="M1"/>
    </row>
    <row r="2" spans="2:14" x14ac:dyDescent="0.2">
      <c r="B2" s="185"/>
      <c r="L2" s="427"/>
      <c r="M2"/>
    </row>
    <row r="3" spans="2:14" ht="144" customHeight="1" x14ac:dyDescent="0.2">
      <c r="B3" s="428" t="s">
        <v>1245</v>
      </c>
      <c r="C3" s="428" t="s">
        <v>1244</v>
      </c>
      <c r="D3" s="428" t="s">
        <v>1243</v>
      </c>
      <c r="E3" s="428" t="s">
        <v>1818</v>
      </c>
      <c r="F3" s="531" t="s">
        <v>1085</v>
      </c>
      <c r="G3" s="531" t="s">
        <v>1086</v>
      </c>
      <c r="H3" s="531" t="s">
        <v>1399</v>
      </c>
      <c r="I3" s="531" t="s">
        <v>1087</v>
      </c>
      <c r="J3" s="531" t="s">
        <v>1088</v>
      </c>
      <c r="K3" s="531" t="s">
        <v>980</v>
      </c>
      <c r="L3" s="531" t="s">
        <v>1089</v>
      </c>
      <c r="M3" s="667" t="s">
        <v>1090</v>
      </c>
    </row>
    <row r="4" spans="2:14" x14ac:dyDescent="0.2">
      <c r="B4" t="s">
        <v>103</v>
      </c>
      <c r="C4" t="s">
        <v>1091</v>
      </c>
      <c r="D4" t="s">
        <v>102</v>
      </c>
      <c r="E4" t="s">
        <v>1632</v>
      </c>
      <c r="F4">
        <v>381170</v>
      </c>
      <c r="G4">
        <v>0</v>
      </c>
      <c r="H4">
        <v>0</v>
      </c>
      <c r="I4">
        <v>-83</v>
      </c>
      <c r="J4">
        <v>0</v>
      </c>
      <c r="K4">
        <v>381087</v>
      </c>
      <c r="L4">
        <v>213295</v>
      </c>
      <c r="M4" s="427">
        <v>218183.01041666666</v>
      </c>
      <c r="N4" s="427" t="s">
        <v>1823</v>
      </c>
    </row>
    <row r="5" spans="2:14" x14ac:dyDescent="0.2">
      <c r="B5" t="s">
        <v>103</v>
      </c>
      <c r="C5" t="s">
        <v>1092</v>
      </c>
      <c r="D5" t="s">
        <v>102</v>
      </c>
      <c r="E5" t="s">
        <v>1633</v>
      </c>
      <c r="F5">
        <v>0</v>
      </c>
      <c r="G5">
        <v>0</v>
      </c>
      <c r="H5">
        <v>0</v>
      </c>
      <c r="I5">
        <v>0</v>
      </c>
      <c r="J5">
        <v>0</v>
      </c>
      <c r="K5">
        <v>0</v>
      </c>
      <c r="L5">
        <v>0</v>
      </c>
      <c r="M5" s="427">
        <v>0</v>
      </c>
      <c r="N5" s="427" t="s">
        <v>1823</v>
      </c>
    </row>
    <row r="6" spans="2:14" x14ac:dyDescent="0.2">
      <c r="B6" t="s">
        <v>103</v>
      </c>
      <c r="C6" t="s">
        <v>1093</v>
      </c>
      <c r="D6" t="s">
        <v>102</v>
      </c>
      <c r="E6" t="s">
        <v>1634</v>
      </c>
      <c r="F6">
        <v>168385</v>
      </c>
      <c r="G6">
        <v>0</v>
      </c>
      <c r="H6">
        <v>0</v>
      </c>
      <c r="I6">
        <v>0</v>
      </c>
      <c r="J6">
        <v>25664</v>
      </c>
      <c r="K6">
        <v>142721</v>
      </c>
      <c r="L6">
        <v>2812</v>
      </c>
      <c r="M6" s="427">
        <v>2876.4416666666666</v>
      </c>
      <c r="N6" s="427" t="s">
        <v>1823</v>
      </c>
    </row>
    <row r="7" spans="2:14" x14ac:dyDescent="0.2">
      <c r="B7" t="s">
        <v>105</v>
      </c>
      <c r="C7" t="s">
        <v>1635</v>
      </c>
      <c r="D7" t="s">
        <v>104</v>
      </c>
      <c r="E7" t="s">
        <v>1636</v>
      </c>
      <c r="F7">
        <v>94965</v>
      </c>
      <c r="G7">
        <v>0</v>
      </c>
      <c r="H7">
        <v>0</v>
      </c>
      <c r="I7">
        <v>0</v>
      </c>
      <c r="J7">
        <v>0</v>
      </c>
      <c r="K7">
        <v>94965</v>
      </c>
      <c r="L7">
        <v>0</v>
      </c>
      <c r="M7" s="427">
        <v>0</v>
      </c>
      <c r="N7" s="427" t="s">
        <v>1823</v>
      </c>
    </row>
    <row r="8" spans="2:14" x14ac:dyDescent="0.2">
      <c r="B8" t="s">
        <v>109</v>
      </c>
      <c r="C8" s="668" t="s">
        <v>1637</v>
      </c>
      <c r="D8" t="s">
        <v>108</v>
      </c>
      <c r="E8" t="s">
        <v>1638</v>
      </c>
      <c r="F8">
        <v>17587816</v>
      </c>
      <c r="G8">
        <v>0</v>
      </c>
      <c r="H8">
        <v>0</v>
      </c>
      <c r="I8">
        <v>-1561646</v>
      </c>
      <c r="J8">
        <v>20252290</v>
      </c>
      <c r="K8">
        <v>0</v>
      </c>
      <c r="L8">
        <v>0</v>
      </c>
      <c r="M8" s="427">
        <v>0</v>
      </c>
      <c r="N8" s="427" t="s">
        <v>1823</v>
      </c>
    </row>
    <row r="9" spans="2:14" x14ac:dyDescent="0.2">
      <c r="B9" t="s">
        <v>111</v>
      </c>
      <c r="C9" t="s">
        <v>1094</v>
      </c>
      <c r="D9" t="s">
        <v>110</v>
      </c>
      <c r="E9" t="s">
        <v>918</v>
      </c>
      <c r="F9">
        <v>599998</v>
      </c>
      <c r="G9">
        <v>0</v>
      </c>
      <c r="H9">
        <v>0</v>
      </c>
      <c r="I9">
        <v>9037</v>
      </c>
      <c r="J9">
        <v>90902</v>
      </c>
      <c r="K9">
        <v>518133</v>
      </c>
      <c r="L9">
        <v>269245</v>
      </c>
      <c r="M9" s="427">
        <v>275415.19791666669</v>
      </c>
      <c r="N9" s="427" t="s">
        <v>1823</v>
      </c>
    </row>
    <row r="10" spans="2:14" x14ac:dyDescent="0.2">
      <c r="B10" t="s">
        <v>117</v>
      </c>
      <c r="C10" t="s">
        <v>1275</v>
      </c>
      <c r="D10" t="s">
        <v>116</v>
      </c>
      <c r="E10" t="s">
        <v>1639</v>
      </c>
      <c r="F10">
        <v>743704</v>
      </c>
      <c r="G10">
        <v>0</v>
      </c>
      <c r="H10">
        <v>0</v>
      </c>
      <c r="I10">
        <v>118962</v>
      </c>
      <c r="J10">
        <v>2195635</v>
      </c>
      <c r="K10">
        <v>0</v>
      </c>
      <c r="L10">
        <v>428835</v>
      </c>
      <c r="M10" s="427">
        <v>438662.46875</v>
      </c>
      <c r="N10" s="427" t="s">
        <v>1823</v>
      </c>
    </row>
    <row r="11" spans="2:14" x14ac:dyDescent="0.2">
      <c r="B11" t="s">
        <v>121</v>
      </c>
      <c r="C11" t="s">
        <v>1095</v>
      </c>
      <c r="D11" t="s">
        <v>120</v>
      </c>
      <c r="E11" t="s">
        <v>919</v>
      </c>
      <c r="F11">
        <v>5925570</v>
      </c>
      <c r="G11">
        <v>0</v>
      </c>
      <c r="H11">
        <v>0</v>
      </c>
      <c r="I11">
        <v>72483</v>
      </c>
      <c r="J11">
        <v>5344172</v>
      </c>
      <c r="K11">
        <v>653881</v>
      </c>
      <c r="L11">
        <v>60035</v>
      </c>
      <c r="M11" s="427">
        <v>61410.802083333336</v>
      </c>
      <c r="N11" s="427" t="s">
        <v>1823</v>
      </c>
    </row>
    <row r="12" spans="2:14" x14ac:dyDescent="0.2">
      <c r="B12" t="s">
        <v>121</v>
      </c>
      <c r="C12" t="s">
        <v>1276</v>
      </c>
      <c r="D12" t="s">
        <v>120</v>
      </c>
      <c r="E12" t="s">
        <v>1640</v>
      </c>
      <c r="F12">
        <v>0</v>
      </c>
      <c r="G12">
        <v>0</v>
      </c>
      <c r="H12">
        <v>0</v>
      </c>
      <c r="I12">
        <v>0</v>
      </c>
      <c r="J12">
        <v>0</v>
      </c>
      <c r="K12">
        <v>0</v>
      </c>
      <c r="L12">
        <v>0</v>
      </c>
      <c r="M12" s="427">
        <v>0</v>
      </c>
      <c r="N12" s="427" t="s">
        <v>1823</v>
      </c>
    </row>
    <row r="13" spans="2:14" x14ac:dyDescent="0.2">
      <c r="B13" t="s">
        <v>121</v>
      </c>
      <c r="C13" t="s">
        <v>1277</v>
      </c>
      <c r="D13" t="s">
        <v>120</v>
      </c>
      <c r="E13" t="s">
        <v>1641</v>
      </c>
      <c r="F13">
        <v>-80175</v>
      </c>
      <c r="G13">
        <v>0</v>
      </c>
      <c r="H13">
        <v>0</v>
      </c>
      <c r="I13">
        <v>0</v>
      </c>
      <c r="J13">
        <v>15895</v>
      </c>
      <c r="K13">
        <v>0</v>
      </c>
      <c r="L13">
        <v>0</v>
      </c>
      <c r="M13" s="427">
        <v>0</v>
      </c>
      <c r="N13" s="427" t="s">
        <v>1823</v>
      </c>
    </row>
    <row r="14" spans="2:14" x14ac:dyDescent="0.2">
      <c r="B14" t="s">
        <v>121</v>
      </c>
      <c r="C14" t="s">
        <v>1278</v>
      </c>
      <c r="D14" t="s">
        <v>120</v>
      </c>
      <c r="E14" t="s">
        <v>1642</v>
      </c>
      <c r="F14">
        <v>0</v>
      </c>
      <c r="G14">
        <v>0</v>
      </c>
      <c r="H14">
        <v>0</v>
      </c>
      <c r="I14">
        <v>0</v>
      </c>
      <c r="J14">
        <v>0</v>
      </c>
      <c r="K14">
        <v>0</v>
      </c>
      <c r="L14">
        <v>0</v>
      </c>
      <c r="M14" s="427">
        <v>0</v>
      </c>
      <c r="N14" s="427" t="s">
        <v>1823</v>
      </c>
    </row>
    <row r="15" spans="2:14" x14ac:dyDescent="0.2">
      <c r="B15" t="s">
        <v>127</v>
      </c>
      <c r="C15" t="s">
        <v>1096</v>
      </c>
      <c r="D15" t="s">
        <v>126</v>
      </c>
      <c r="E15" t="s">
        <v>920</v>
      </c>
      <c r="F15">
        <v>4394977</v>
      </c>
      <c r="G15">
        <v>0</v>
      </c>
      <c r="H15">
        <v>0</v>
      </c>
      <c r="I15">
        <v>-90293</v>
      </c>
      <c r="J15">
        <v>4210024</v>
      </c>
      <c r="K15">
        <v>94660</v>
      </c>
      <c r="L15">
        <v>1093870</v>
      </c>
      <c r="M15" s="427">
        <v>1118937.8541666667</v>
      </c>
      <c r="N15" s="427" t="s">
        <v>1823</v>
      </c>
    </row>
    <row r="16" spans="2:14" x14ac:dyDescent="0.2">
      <c r="B16" t="s">
        <v>127</v>
      </c>
      <c r="C16" t="s">
        <v>1097</v>
      </c>
      <c r="D16" t="s">
        <v>126</v>
      </c>
      <c r="E16" t="s">
        <v>1643</v>
      </c>
      <c r="F16">
        <v>6882797</v>
      </c>
      <c r="G16">
        <v>0</v>
      </c>
      <c r="H16">
        <v>0</v>
      </c>
      <c r="I16">
        <v>0</v>
      </c>
      <c r="J16">
        <v>6882797</v>
      </c>
      <c r="K16">
        <v>0</v>
      </c>
      <c r="L16">
        <v>0</v>
      </c>
      <c r="M16" s="427">
        <v>0</v>
      </c>
      <c r="N16" s="427" t="s">
        <v>1823</v>
      </c>
    </row>
    <row r="17" spans="2:14" x14ac:dyDescent="0.2">
      <c r="B17" t="s">
        <v>133</v>
      </c>
      <c r="C17" t="s">
        <v>1279</v>
      </c>
      <c r="D17" t="s">
        <v>132</v>
      </c>
      <c r="E17" t="s">
        <v>1644</v>
      </c>
      <c r="F17">
        <v>1804647</v>
      </c>
      <c r="G17">
        <v>0</v>
      </c>
      <c r="H17">
        <v>0</v>
      </c>
      <c r="I17">
        <v>-46970</v>
      </c>
      <c r="J17">
        <v>1548155</v>
      </c>
      <c r="K17">
        <v>209522</v>
      </c>
      <c r="L17">
        <v>229114</v>
      </c>
      <c r="M17" s="427">
        <v>234364.52916666667</v>
      </c>
      <c r="N17" s="427" t="s">
        <v>1823</v>
      </c>
    </row>
    <row r="18" spans="2:14" x14ac:dyDescent="0.2">
      <c r="B18" t="s">
        <v>145</v>
      </c>
      <c r="C18" t="s">
        <v>1280</v>
      </c>
      <c r="D18" t="s">
        <v>144</v>
      </c>
      <c r="E18" t="s">
        <v>1645</v>
      </c>
      <c r="F18">
        <v>0</v>
      </c>
      <c r="G18">
        <v>0</v>
      </c>
      <c r="H18">
        <v>0</v>
      </c>
      <c r="I18">
        <v>0</v>
      </c>
      <c r="J18">
        <v>0</v>
      </c>
      <c r="K18">
        <v>0</v>
      </c>
      <c r="L18">
        <v>0</v>
      </c>
      <c r="M18" s="427">
        <v>0</v>
      </c>
      <c r="N18" s="427" t="s">
        <v>1823</v>
      </c>
    </row>
    <row r="19" spans="2:14" x14ac:dyDescent="0.2">
      <c r="B19" t="s">
        <v>145</v>
      </c>
      <c r="C19" t="s">
        <v>1281</v>
      </c>
      <c r="D19" t="s">
        <v>144</v>
      </c>
      <c r="E19" t="s">
        <v>1646</v>
      </c>
      <c r="F19">
        <v>0</v>
      </c>
      <c r="G19">
        <v>0</v>
      </c>
      <c r="H19">
        <v>0</v>
      </c>
      <c r="I19">
        <v>0</v>
      </c>
      <c r="J19">
        <v>0</v>
      </c>
      <c r="K19">
        <v>0</v>
      </c>
      <c r="L19">
        <v>0</v>
      </c>
      <c r="M19" s="427">
        <v>0</v>
      </c>
      <c r="N19" s="427" t="s">
        <v>1823</v>
      </c>
    </row>
    <row r="20" spans="2:14" x14ac:dyDescent="0.2">
      <c r="B20" t="s">
        <v>145</v>
      </c>
      <c r="C20" t="s">
        <v>1282</v>
      </c>
      <c r="D20" t="s">
        <v>144</v>
      </c>
      <c r="E20" t="s">
        <v>1647</v>
      </c>
      <c r="F20">
        <v>0</v>
      </c>
      <c r="G20">
        <v>0</v>
      </c>
      <c r="H20">
        <v>0</v>
      </c>
      <c r="I20">
        <v>0</v>
      </c>
      <c r="J20">
        <v>0</v>
      </c>
      <c r="K20">
        <v>0</v>
      </c>
      <c r="L20">
        <v>0</v>
      </c>
      <c r="M20" s="427">
        <v>0</v>
      </c>
      <c r="N20" s="427" t="s">
        <v>1823</v>
      </c>
    </row>
    <row r="21" spans="2:14" x14ac:dyDescent="0.2">
      <c r="B21" t="s">
        <v>157</v>
      </c>
      <c r="C21" t="s">
        <v>1098</v>
      </c>
      <c r="D21" t="s">
        <v>156</v>
      </c>
      <c r="E21" t="s">
        <v>921</v>
      </c>
      <c r="F21">
        <v>13826410</v>
      </c>
      <c r="G21">
        <v>0</v>
      </c>
      <c r="H21">
        <v>0</v>
      </c>
      <c r="I21">
        <v>-4808</v>
      </c>
      <c r="J21">
        <v>14520745</v>
      </c>
      <c r="K21">
        <v>0</v>
      </c>
      <c r="L21">
        <v>1635507</v>
      </c>
      <c r="M21" s="427">
        <v>1672987.3687499999</v>
      </c>
      <c r="N21" s="427" t="s">
        <v>1823</v>
      </c>
    </row>
    <row r="22" spans="2:14" x14ac:dyDescent="0.2">
      <c r="B22" t="s">
        <v>157</v>
      </c>
      <c r="C22" t="s">
        <v>1099</v>
      </c>
      <c r="D22" t="s">
        <v>156</v>
      </c>
      <c r="E22" t="s">
        <v>919</v>
      </c>
      <c r="F22">
        <v>11868513</v>
      </c>
      <c r="G22">
        <v>152226</v>
      </c>
      <c r="H22">
        <v>0</v>
      </c>
      <c r="I22">
        <v>-184735</v>
      </c>
      <c r="J22">
        <v>7132767</v>
      </c>
      <c r="K22">
        <v>4398785</v>
      </c>
      <c r="L22">
        <v>0</v>
      </c>
      <c r="M22" s="427">
        <v>0</v>
      </c>
      <c r="N22" s="427" t="s">
        <v>1823</v>
      </c>
    </row>
    <row r="23" spans="2:14" x14ac:dyDescent="0.2">
      <c r="B23" t="s">
        <v>157</v>
      </c>
      <c r="C23" t="s">
        <v>1283</v>
      </c>
      <c r="D23" t="s">
        <v>156</v>
      </c>
      <c r="E23" t="s">
        <v>1648</v>
      </c>
      <c r="F23">
        <v>3191536</v>
      </c>
      <c r="G23">
        <v>0</v>
      </c>
      <c r="H23">
        <v>0</v>
      </c>
      <c r="I23">
        <v>7729</v>
      </c>
      <c r="J23">
        <v>3927331</v>
      </c>
      <c r="K23">
        <v>0</v>
      </c>
      <c r="L23">
        <v>0</v>
      </c>
      <c r="M23" s="427">
        <v>0</v>
      </c>
      <c r="N23" s="427" t="s">
        <v>1823</v>
      </c>
    </row>
    <row r="24" spans="2:14" x14ac:dyDescent="0.2">
      <c r="B24" t="s">
        <v>167</v>
      </c>
      <c r="C24" t="s">
        <v>1100</v>
      </c>
      <c r="D24" t="s">
        <v>166</v>
      </c>
      <c r="E24" t="s">
        <v>922</v>
      </c>
      <c r="F24">
        <v>111468</v>
      </c>
      <c r="G24">
        <v>0</v>
      </c>
      <c r="H24">
        <v>0</v>
      </c>
      <c r="I24">
        <v>-17645</v>
      </c>
      <c r="J24">
        <v>1218529</v>
      </c>
      <c r="K24">
        <v>0</v>
      </c>
      <c r="L24">
        <v>110000</v>
      </c>
      <c r="M24" s="427">
        <v>112520.83333333333</v>
      </c>
      <c r="N24" s="427" t="s">
        <v>1823</v>
      </c>
    </row>
    <row r="25" spans="2:14" x14ac:dyDescent="0.2">
      <c r="B25" t="s">
        <v>173</v>
      </c>
      <c r="C25" t="s">
        <v>1284</v>
      </c>
      <c r="D25" t="s">
        <v>172</v>
      </c>
      <c r="E25" t="s">
        <v>1649</v>
      </c>
      <c r="F25">
        <v>0</v>
      </c>
      <c r="G25">
        <v>0</v>
      </c>
      <c r="H25">
        <v>0</v>
      </c>
      <c r="I25">
        <v>0</v>
      </c>
      <c r="J25">
        <v>0</v>
      </c>
      <c r="K25">
        <v>0</v>
      </c>
      <c r="L25">
        <v>0</v>
      </c>
      <c r="M25" s="427">
        <v>0</v>
      </c>
      <c r="N25" s="427" t="s">
        <v>1823</v>
      </c>
    </row>
    <row r="26" spans="2:14" x14ac:dyDescent="0.2">
      <c r="B26" t="s">
        <v>183</v>
      </c>
      <c r="C26" t="s">
        <v>1101</v>
      </c>
      <c r="D26" t="s">
        <v>182</v>
      </c>
      <c r="E26" t="s">
        <v>1650</v>
      </c>
      <c r="F26">
        <v>1452695</v>
      </c>
      <c r="G26">
        <v>5273</v>
      </c>
      <c r="H26">
        <v>0</v>
      </c>
      <c r="I26">
        <v>-11421</v>
      </c>
      <c r="J26">
        <v>1676823</v>
      </c>
      <c r="K26">
        <v>0</v>
      </c>
      <c r="L26">
        <v>127168</v>
      </c>
      <c r="M26" s="427">
        <v>130082.26666666666</v>
      </c>
      <c r="N26" s="427" t="s">
        <v>1823</v>
      </c>
    </row>
    <row r="27" spans="2:14" x14ac:dyDescent="0.2">
      <c r="B27" t="s">
        <v>189</v>
      </c>
      <c r="C27" t="s">
        <v>1285</v>
      </c>
      <c r="D27" t="s">
        <v>188</v>
      </c>
      <c r="E27" t="s">
        <v>1651</v>
      </c>
      <c r="F27">
        <v>0</v>
      </c>
      <c r="G27">
        <v>0</v>
      </c>
      <c r="H27">
        <v>0</v>
      </c>
      <c r="I27">
        <v>0</v>
      </c>
      <c r="J27">
        <v>0</v>
      </c>
      <c r="K27">
        <v>0</v>
      </c>
      <c r="L27">
        <v>0</v>
      </c>
      <c r="M27" s="427">
        <v>0</v>
      </c>
      <c r="N27" s="427" t="s">
        <v>1823</v>
      </c>
    </row>
    <row r="28" spans="2:14" x14ac:dyDescent="0.2">
      <c r="B28" t="s">
        <v>189</v>
      </c>
      <c r="C28" t="s">
        <v>1286</v>
      </c>
      <c r="D28" t="s">
        <v>188</v>
      </c>
      <c r="E28" t="s">
        <v>1652</v>
      </c>
      <c r="F28">
        <v>344977</v>
      </c>
      <c r="G28">
        <v>0</v>
      </c>
      <c r="H28">
        <v>0</v>
      </c>
      <c r="I28">
        <v>0</v>
      </c>
      <c r="J28">
        <v>122575</v>
      </c>
      <c r="K28">
        <v>222402</v>
      </c>
      <c r="L28">
        <v>0</v>
      </c>
      <c r="M28" s="427">
        <v>0</v>
      </c>
      <c r="N28" s="427" t="s">
        <v>1823</v>
      </c>
    </row>
    <row r="29" spans="2:14" x14ac:dyDescent="0.2">
      <c r="B29" t="s">
        <v>197</v>
      </c>
      <c r="C29" t="s">
        <v>1102</v>
      </c>
      <c r="D29" t="s">
        <v>196</v>
      </c>
      <c r="E29" t="s">
        <v>1653</v>
      </c>
      <c r="F29">
        <v>2103346</v>
      </c>
      <c r="G29">
        <v>0</v>
      </c>
      <c r="H29">
        <v>0</v>
      </c>
      <c r="I29">
        <v>392790</v>
      </c>
      <c r="J29">
        <v>2321124</v>
      </c>
      <c r="K29">
        <v>175012</v>
      </c>
      <c r="L29">
        <v>176803</v>
      </c>
      <c r="M29" s="427">
        <v>180854.73541666666</v>
      </c>
      <c r="N29" s="427" t="s">
        <v>1823</v>
      </c>
    </row>
    <row r="30" spans="2:14" x14ac:dyDescent="0.2">
      <c r="B30" t="s">
        <v>199</v>
      </c>
      <c r="C30" t="s">
        <v>1103</v>
      </c>
      <c r="D30" t="s">
        <v>855</v>
      </c>
      <c r="E30" t="s">
        <v>1654</v>
      </c>
      <c r="F30">
        <v>165648</v>
      </c>
      <c r="G30">
        <v>0</v>
      </c>
      <c r="H30">
        <v>0</v>
      </c>
      <c r="I30">
        <v>0</v>
      </c>
      <c r="J30">
        <v>147832</v>
      </c>
      <c r="K30">
        <v>17816</v>
      </c>
      <c r="L30">
        <v>0</v>
      </c>
      <c r="M30" s="427">
        <v>0</v>
      </c>
      <c r="N30" s="427" t="s">
        <v>1823</v>
      </c>
    </row>
    <row r="31" spans="2:14" x14ac:dyDescent="0.2">
      <c r="B31" t="s">
        <v>199</v>
      </c>
      <c r="C31" t="s">
        <v>1104</v>
      </c>
      <c r="D31" t="s">
        <v>855</v>
      </c>
      <c r="E31" t="s">
        <v>1655</v>
      </c>
      <c r="F31">
        <v>0</v>
      </c>
      <c r="G31">
        <v>0</v>
      </c>
      <c r="H31">
        <v>0</v>
      </c>
      <c r="I31">
        <v>0</v>
      </c>
      <c r="J31">
        <v>0</v>
      </c>
      <c r="K31">
        <v>0</v>
      </c>
      <c r="L31">
        <v>72471</v>
      </c>
      <c r="M31" s="427">
        <v>74131.793749999997</v>
      </c>
      <c r="N31" s="427" t="s">
        <v>1823</v>
      </c>
    </row>
    <row r="32" spans="2:14" x14ac:dyDescent="0.2">
      <c r="B32" t="s">
        <v>199</v>
      </c>
      <c r="C32" t="s">
        <v>1105</v>
      </c>
      <c r="D32" t="s">
        <v>855</v>
      </c>
      <c r="E32" t="s">
        <v>1656</v>
      </c>
      <c r="F32">
        <v>0</v>
      </c>
      <c r="G32">
        <v>0</v>
      </c>
      <c r="H32">
        <v>0</v>
      </c>
      <c r="I32">
        <v>0</v>
      </c>
      <c r="J32">
        <v>0</v>
      </c>
      <c r="K32">
        <v>0</v>
      </c>
      <c r="L32">
        <v>0</v>
      </c>
      <c r="M32" s="427">
        <v>0</v>
      </c>
      <c r="N32" s="427" t="s">
        <v>1823</v>
      </c>
    </row>
    <row r="33" spans="2:14" x14ac:dyDescent="0.2">
      <c r="B33" t="s">
        <v>199</v>
      </c>
      <c r="C33" t="s">
        <v>1106</v>
      </c>
      <c r="D33" t="s">
        <v>855</v>
      </c>
      <c r="E33" t="s">
        <v>1657</v>
      </c>
      <c r="F33">
        <v>0</v>
      </c>
      <c r="G33">
        <v>0</v>
      </c>
      <c r="H33">
        <v>0</v>
      </c>
      <c r="I33">
        <v>0</v>
      </c>
      <c r="J33">
        <v>0</v>
      </c>
      <c r="K33">
        <v>0</v>
      </c>
      <c r="L33">
        <v>0</v>
      </c>
      <c r="M33" s="427">
        <v>0</v>
      </c>
      <c r="N33" s="427" t="s">
        <v>1823</v>
      </c>
    </row>
    <row r="34" spans="2:14" x14ac:dyDescent="0.2">
      <c r="B34" t="s">
        <v>199</v>
      </c>
      <c r="C34" t="s">
        <v>1107</v>
      </c>
      <c r="D34" t="s">
        <v>855</v>
      </c>
      <c r="E34" t="s">
        <v>1658</v>
      </c>
      <c r="F34">
        <v>0</v>
      </c>
      <c r="G34">
        <v>0</v>
      </c>
      <c r="H34">
        <v>0</v>
      </c>
      <c r="I34">
        <v>0</v>
      </c>
      <c r="J34">
        <v>0</v>
      </c>
      <c r="K34">
        <v>0</v>
      </c>
      <c r="L34">
        <v>62985</v>
      </c>
      <c r="M34" s="427">
        <v>64428.40625</v>
      </c>
      <c r="N34" s="427" t="s">
        <v>1823</v>
      </c>
    </row>
    <row r="35" spans="2:14" x14ac:dyDescent="0.2">
      <c r="B35" t="s">
        <v>199</v>
      </c>
      <c r="C35" t="s">
        <v>1108</v>
      </c>
      <c r="D35" t="s">
        <v>855</v>
      </c>
      <c r="E35" t="s">
        <v>1659</v>
      </c>
      <c r="F35">
        <v>0</v>
      </c>
      <c r="G35">
        <v>0</v>
      </c>
      <c r="H35">
        <v>0</v>
      </c>
      <c r="I35">
        <v>0</v>
      </c>
      <c r="J35">
        <v>0</v>
      </c>
      <c r="K35">
        <v>0</v>
      </c>
      <c r="L35">
        <v>0</v>
      </c>
      <c r="M35" s="427">
        <v>0</v>
      </c>
      <c r="N35" s="427" t="s">
        <v>1823</v>
      </c>
    </row>
    <row r="36" spans="2:14" x14ac:dyDescent="0.2">
      <c r="B36" t="s">
        <v>199</v>
      </c>
      <c r="C36" t="s">
        <v>1109</v>
      </c>
      <c r="D36" t="s">
        <v>855</v>
      </c>
      <c r="E36" t="s">
        <v>1660</v>
      </c>
      <c r="F36">
        <v>0</v>
      </c>
      <c r="G36">
        <v>0</v>
      </c>
      <c r="H36">
        <v>0</v>
      </c>
      <c r="I36">
        <v>0</v>
      </c>
      <c r="J36">
        <v>0</v>
      </c>
      <c r="K36">
        <v>0</v>
      </c>
      <c r="L36">
        <v>0</v>
      </c>
      <c r="M36" s="427">
        <v>0</v>
      </c>
      <c r="N36" s="427" t="s">
        <v>1823</v>
      </c>
    </row>
    <row r="37" spans="2:14" x14ac:dyDescent="0.2">
      <c r="B37" t="s">
        <v>199</v>
      </c>
      <c r="C37" t="s">
        <v>1110</v>
      </c>
      <c r="D37" t="s">
        <v>855</v>
      </c>
      <c r="E37" t="s">
        <v>1661</v>
      </c>
      <c r="F37">
        <v>26997</v>
      </c>
      <c r="G37">
        <v>0</v>
      </c>
      <c r="H37">
        <v>0</v>
      </c>
      <c r="I37">
        <v>15</v>
      </c>
      <c r="J37">
        <v>24619</v>
      </c>
      <c r="K37">
        <v>2393</v>
      </c>
      <c r="L37">
        <v>70006</v>
      </c>
      <c r="M37" s="427">
        <v>71610.304166666669</v>
      </c>
      <c r="N37" s="427" t="s">
        <v>1823</v>
      </c>
    </row>
    <row r="38" spans="2:14" x14ac:dyDescent="0.2">
      <c r="B38" t="s">
        <v>199</v>
      </c>
      <c r="C38" t="s">
        <v>1111</v>
      </c>
      <c r="D38" t="s">
        <v>855</v>
      </c>
      <c r="E38" t="s">
        <v>1662</v>
      </c>
      <c r="F38">
        <v>0</v>
      </c>
      <c r="G38">
        <v>0</v>
      </c>
      <c r="H38">
        <v>0</v>
      </c>
      <c r="I38">
        <v>0</v>
      </c>
      <c r="J38">
        <v>0</v>
      </c>
      <c r="K38">
        <v>0</v>
      </c>
      <c r="L38">
        <v>0</v>
      </c>
      <c r="M38" s="427">
        <v>0</v>
      </c>
      <c r="N38" s="427" t="s">
        <v>1823</v>
      </c>
    </row>
    <row r="39" spans="2:14" x14ac:dyDescent="0.2">
      <c r="B39" t="s">
        <v>199</v>
      </c>
      <c r="C39" t="s">
        <v>1112</v>
      </c>
      <c r="D39" t="s">
        <v>855</v>
      </c>
      <c r="E39" t="s">
        <v>1663</v>
      </c>
      <c r="F39">
        <v>0</v>
      </c>
      <c r="G39">
        <v>0</v>
      </c>
      <c r="H39">
        <v>0</v>
      </c>
      <c r="I39">
        <v>0</v>
      </c>
      <c r="J39">
        <v>0</v>
      </c>
      <c r="K39">
        <v>0</v>
      </c>
      <c r="L39">
        <v>0</v>
      </c>
      <c r="M39" s="427">
        <v>0</v>
      </c>
      <c r="N39" s="427" t="s">
        <v>1823</v>
      </c>
    </row>
    <row r="40" spans="2:14" x14ac:dyDescent="0.2">
      <c r="B40" t="s">
        <v>201</v>
      </c>
      <c r="C40" t="s">
        <v>1113</v>
      </c>
      <c r="D40" t="s">
        <v>200</v>
      </c>
      <c r="E40" t="s">
        <v>923</v>
      </c>
      <c r="F40">
        <v>1204152</v>
      </c>
      <c r="G40">
        <v>0</v>
      </c>
      <c r="H40">
        <v>0</v>
      </c>
      <c r="I40">
        <v>0</v>
      </c>
      <c r="J40">
        <v>0</v>
      </c>
      <c r="K40">
        <v>1204152</v>
      </c>
      <c r="L40">
        <v>0</v>
      </c>
      <c r="M40" s="427">
        <v>0</v>
      </c>
      <c r="N40" s="427" t="s">
        <v>1823</v>
      </c>
    </row>
    <row r="41" spans="2:14" x14ac:dyDescent="0.2">
      <c r="B41" t="s">
        <v>219</v>
      </c>
      <c r="C41" t="s">
        <v>1114</v>
      </c>
      <c r="D41" t="s">
        <v>218</v>
      </c>
      <c r="E41" t="s">
        <v>924</v>
      </c>
      <c r="F41">
        <v>659384</v>
      </c>
      <c r="G41">
        <v>0</v>
      </c>
      <c r="H41">
        <v>0</v>
      </c>
      <c r="I41">
        <v>-2705</v>
      </c>
      <c r="J41">
        <v>521919</v>
      </c>
      <c r="K41">
        <v>134760</v>
      </c>
      <c r="L41">
        <v>259936</v>
      </c>
      <c r="M41" s="427">
        <v>265892.86666666664</v>
      </c>
      <c r="N41" s="427" t="s">
        <v>1823</v>
      </c>
    </row>
    <row r="42" spans="2:14" x14ac:dyDescent="0.2">
      <c r="B42" t="s">
        <v>219</v>
      </c>
      <c r="C42" t="s">
        <v>1115</v>
      </c>
      <c r="D42" t="s">
        <v>218</v>
      </c>
      <c r="E42" t="s">
        <v>1664</v>
      </c>
      <c r="F42">
        <v>33480</v>
      </c>
      <c r="G42">
        <v>0</v>
      </c>
      <c r="H42">
        <v>0</v>
      </c>
      <c r="I42">
        <v>0</v>
      </c>
      <c r="J42">
        <v>70750</v>
      </c>
      <c r="K42">
        <v>0</v>
      </c>
      <c r="L42">
        <v>36975</v>
      </c>
      <c r="M42" s="427">
        <v>37822.34375</v>
      </c>
      <c r="N42" s="427" t="s">
        <v>1823</v>
      </c>
    </row>
    <row r="43" spans="2:14" x14ac:dyDescent="0.2">
      <c r="B43" t="s">
        <v>219</v>
      </c>
      <c r="C43" t="s">
        <v>1287</v>
      </c>
      <c r="D43" t="s">
        <v>218</v>
      </c>
      <c r="E43" t="s">
        <v>1665</v>
      </c>
      <c r="F43">
        <v>53531</v>
      </c>
      <c r="G43">
        <v>0</v>
      </c>
      <c r="H43">
        <v>0</v>
      </c>
      <c r="I43">
        <v>1936</v>
      </c>
      <c r="J43">
        <v>76107</v>
      </c>
      <c r="K43">
        <v>0</v>
      </c>
      <c r="L43">
        <v>21822</v>
      </c>
      <c r="M43" s="427">
        <v>22322.087500000001</v>
      </c>
      <c r="N43" s="427" t="s">
        <v>1823</v>
      </c>
    </row>
    <row r="44" spans="2:14" x14ac:dyDescent="0.2">
      <c r="B44" t="s">
        <v>219</v>
      </c>
      <c r="C44" t="s">
        <v>1288</v>
      </c>
      <c r="D44" t="s">
        <v>218</v>
      </c>
      <c r="E44" t="s">
        <v>1666</v>
      </c>
      <c r="F44">
        <v>0</v>
      </c>
      <c r="G44">
        <v>0</v>
      </c>
      <c r="H44">
        <v>0</v>
      </c>
      <c r="I44">
        <v>0</v>
      </c>
      <c r="J44">
        <v>0</v>
      </c>
      <c r="K44">
        <v>0</v>
      </c>
      <c r="L44">
        <v>0</v>
      </c>
      <c r="M44" s="427">
        <v>0</v>
      </c>
      <c r="N44" s="427" t="s">
        <v>1823</v>
      </c>
    </row>
    <row r="45" spans="2:14" x14ac:dyDescent="0.2">
      <c r="B45" t="s">
        <v>219</v>
      </c>
      <c r="C45" t="s">
        <v>1289</v>
      </c>
      <c r="D45" t="s">
        <v>218</v>
      </c>
      <c r="E45" t="s">
        <v>1667</v>
      </c>
      <c r="F45">
        <v>12202</v>
      </c>
      <c r="G45">
        <v>0</v>
      </c>
      <c r="H45">
        <v>0</v>
      </c>
      <c r="I45">
        <v>0</v>
      </c>
      <c r="J45">
        <v>12211</v>
      </c>
      <c r="K45">
        <v>0</v>
      </c>
      <c r="L45">
        <v>0</v>
      </c>
      <c r="M45" s="427">
        <v>0</v>
      </c>
      <c r="N45" s="427" t="s">
        <v>1823</v>
      </c>
    </row>
    <row r="46" spans="2:14" x14ac:dyDescent="0.2">
      <c r="B46" t="s">
        <v>229</v>
      </c>
      <c r="C46" t="s">
        <v>1668</v>
      </c>
      <c r="D46" t="s">
        <v>228</v>
      </c>
      <c r="F46">
        <v>23146600</v>
      </c>
      <c r="G46">
        <v>0</v>
      </c>
      <c r="H46">
        <v>0</v>
      </c>
      <c r="I46">
        <v>-682531</v>
      </c>
      <c r="J46">
        <v>19952122</v>
      </c>
      <c r="K46">
        <v>2511947</v>
      </c>
      <c r="L46">
        <v>0</v>
      </c>
      <c r="M46" s="427">
        <v>0</v>
      </c>
      <c r="N46" s="427" t="s">
        <v>1823</v>
      </c>
    </row>
    <row r="47" spans="2:14" x14ac:dyDescent="0.2">
      <c r="B47" t="s">
        <v>231</v>
      </c>
      <c r="C47" t="s">
        <v>1290</v>
      </c>
      <c r="D47" t="s">
        <v>230</v>
      </c>
      <c r="E47" t="s">
        <v>1669</v>
      </c>
      <c r="F47">
        <v>88550</v>
      </c>
      <c r="G47">
        <v>0</v>
      </c>
      <c r="H47">
        <v>0</v>
      </c>
      <c r="I47">
        <v>0</v>
      </c>
      <c r="J47">
        <v>0</v>
      </c>
      <c r="K47">
        <v>88550</v>
      </c>
      <c r="L47">
        <v>0</v>
      </c>
      <c r="M47" s="427">
        <v>0</v>
      </c>
      <c r="N47" s="427" t="s">
        <v>1823</v>
      </c>
    </row>
    <row r="48" spans="2:14" x14ac:dyDescent="0.2">
      <c r="B48" t="s">
        <v>231</v>
      </c>
      <c r="C48" t="s">
        <v>1291</v>
      </c>
      <c r="D48" t="s">
        <v>230</v>
      </c>
      <c r="E48" t="s">
        <v>1670</v>
      </c>
      <c r="F48">
        <v>0</v>
      </c>
      <c r="G48">
        <v>0</v>
      </c>
      <c r="H48">
        <v>0</v>
      </c>
      <c r="I48">
        <v>0</v>
      </c>
      <c r="J48">
        <v>0</v>
      </c>
      <c r="K48">
        <v>0</v>
      </c>
      <c r="L48">
        <v>0</v>
      </c>
      <c r="M48" s="427">
        <v>0</v>
      </c>
      <c r="N48" s="427" t="s">
        <v>1823</v>
      </c>
    </row>
    <row r="49" spans="2:14" x14ac:dyDescent="0.2">
      <c r="B49" t="s">
        <v>231</v>
      </c>
      <c r="C49" t="s">
        <v>1292</v>
      </c>
      <c r="D49" t="s">
        <v>230</v>
      </c>
      <c r="E49" t="s">
        <v>1671</v>
      </c>
      <c r="F49">
        <v>125565</v>
      </c>
      <c r="G49">
        <v>0</v>
      </c>
      <c r="H49">
        <v>0</v>
      </c>
      <c r="I49">
        <v>0</v>
      </c>
      <c r="J49">
        <v>0</v>
      </c>
      <c r="K49">
        <v>125565</v>
      </c>
      <c r="L49">
        <v>18521</v>
      </c>
      <c r="M49" s="427">
        <v>18945.439583333333</v>
      </c>
      <c r="N49" s="427" t="s">
        <v>1823</v>
      </c>
    </row>
    <row r="50" spans="2:14" x14ac:dyDescent="0.2">
      <c r="B50" t="s">
        <v>231</v>
      </c>
      <c r="C50" t="s">
        <v>1293</v>
      </c>
      <c r="D50" t="s">
        <v>230</v>
      </c>
      <c r="E50" t="s">
        <v>1672</v>
      </c>
      <c r="F50">
        <v>30800</v>
      </c>
      <c r="G50">
        <v>0</v>
      </c>
      <c r="H50">
        <v>0</v>
      </c>
      <c r="I50">
        <v>594</v>
      </c>
      <c r="J50">
        <v>63124</v>
      </c>
      <c r="K50">
        <v>0</v>
      </c>
      <c r="L50">
        <v>0</v>
      </c>
      <c r="M50" s="427">
        <v>0</v>
      </c>
      <c r="N50" s="427" t="s">
        <v>1823</v>
      </c>
    </row>
    <row r="51" spans="2:14" x14ac:dyDescent="0.2">
      <c r="B51" t="s">
        <v>233</v>
      </c>
      <c r="C51" t="s">
        <v>1116</v>
      </c>
      <c r="D51" t="s">
        <v>232</v>
      </c>
      <c r="E51" t="s">
        <v>1673</v>
      </c>
      <c r="F51">
        <v>236683</v>
      </c>
      <c r="G51">
        <v>0</v>
      </c>
      <c r="H51">
        <v>0</v>
      </c>
      <c r="I51">
        <v>-4164</v>
      </c>
      <c r="J51">
        <v>29435</v>
      </c>
      <c r="K51">
        <v>203084</v>
      </c>
      <c r="L51">
        <v>27574</v>
      </c>
      <c r="M51" s="427">
        <v>28205.904166666667</v>
      </c>
      <c r="N51" s="427" t="s">
        <v>1823</v>
      </c>
    </row>
    <row r="52" spans="2:14" x14ac:dyDescent="0.2">
      <c r="B52" t="s">
        <v>235</v>
      </c>
      <c r="C52" t="s">
        <v>1294</v>
      </c>
      <c r="D52" t="s">
        <v>234</v>
      </c>
      <c r="E52" t="s">
        <v>1674</v>
      </c>
      <c r="F52">
        <v>0</v>
      </c>
      <c r="G52">
        <v>0</v>
      </c>
      <c r="H52">
        <v>0</v>
      </c>
      <c r="I52">
        <v>0</v>
      </c>
      <c r="J52">
        <v>0</v>
      </c>
      <c r="K52">
        <v>0</v>
      </c>
      <c r="L52">
        <v>0</v>
      </c>
      <c r="M52" s="427">
        <v>0</v>
      </c>
      <c r="N52" s="427" t="s">
        <v>1823</v>
      </c>
    </row>
    <row r="53" spans="2:14" x14ac:dyDescent="0.2">
      <c r="B53" t="s">
        <v>239</v>
      </c>
      <c r="C53" t="s">
        <v>1117</v>
      </c>
      <c r="D53" t="s">
        <v>238</v>
      </c>
      <c r="E53" t="s">
        <v>925</v>
      </c>
      <c r="F53">
        <v>120053</v>
      </c>
      <c r="G53">
        <v>0</v>
      </c>
      <c r="H53">
        <v>0</v>
      </c>
      <c r="I53">
        <v>0</v>
      </c>
      <c r="J53">
        <v>0</v>
      </c>
      <c r="K53">
        <v>120053</v>
      </c>
      <c r="L53">
        <v>31396</v>
      </c>
      <c r="M53" s="427">
        <v>32115.491666666665</v>
      </c>
      <c r="N53" s="427" t="s">
        <v>1823</v>
      </c>
    </row>
    <row r="54" spans="2:14" x14ac:dyDescent="0.2">
      <c r="B54" t="s">
        <v>239</v>
      </c>
      <c r="C54" t="s">
        <v>1118</v>
      </c>
      <c r="D54" t="s">
        <v>238</v>
      </c>
      <c r="E54" t="s">
        <v>1675</v>
      </c>
      <c r="F54">
        <v>0</v>
      </c>
      <c r="G54">
        <v>0</v>
      </c>
      <c r="H54">
        <v>0</v>
      </c>
      <c r="I54">
        <v>0</v>
      </c>
      <c r="J54">
        <v>0</v>
      </c>
      <c r="K54">
        <v>0</v>
      </c>
      <c r="L54">
        <v>0</v>
      </c>
      <c r="M54" s="427">
        <v>0</v>
      </c>
      <c r="N54" s="427" t="s">
        <v>1823</v>
      </c>
    </row>
    <row r="55" spans="2:14" x14ac:dyDescent="0.2">
      <c r="B55" t="s">
        <v>247</v>
      </c>
      <c r="C55" t="s">
        <v>1295</v>
      </c>
      <c r="D55" t="s">
        <v>246</v>
      </c>
      <c r="E55" t="s">
        <v>1676</v>
      </c>
      <c r="F55">
        <v>0</v>
      </c>
      <c r="G55">
        <v>0</v>
      </c>
      <c r="H55">
        <v>0</v>
      </c>
      <c r="I55">
        <v>0</v>
      </c>
      <c r="J55">
        <v>0</v>
      </c>
      <c r="K55">
        <v>0</v>
      </c>
      <c r="L55">
        <v>0</v>
      </c>
      <c r="M55" s="427">
        <v>0</v>
      </c>
      <c r="N55" s="427" t="s">
        <v>1823</v>
      </c>
    </row>
    <row r="56" spans="2:14" x14ac:dyDescent="0.2">
      <c r="B56" t="s">
        <v>247</v>
      </c>
      <c r="C56" t="s">
        <v>1296</v>
      </c>
      <c r="D56" t="s">
        <v>246</v>
      </c>
      <c r="E56" t="s">
        <v>1677</v>
      </c>
      <c r="F56">
        <v>1487</v>
      </c>
      <c r="G56">
        <v>0</v>
      </c>
      <c r="H56">
        <v>0</v>
      </c>
      <c r="I56">
        <v>0</v>
      </c>
      <c r="J56">
        <v>15168</v>
      </c>
      <c r="K56">
        <v>0</v>
      </c>
      <c r="L56">
        <v>9445</v>
      </c>
      <c r="M56" s="427">
        <v>9661.4479166666661</v>
      </c>
      <c r="N56" s="427" t="s">
        <v>1823</v>
      </c>
    </row>
    <row r="57" spans="2:14" x14ac:dyDescent="0.2">
      <c r="B57" t="s">
        <v>247</v>
      </c>
      <c r="C57" t="s">
        <v>1297</v>
      </c>
      <c r="D57" t="s">
        <v>246</v>
      </c>
      <c r="E57" t="s">
        <v>1678</v>
      </c>
      <c r="F57">
        <v>16735</v>
      </c>
      <c r="G57">
        <v>0</v>
      </c>
      <c r="H57">
        <v>0</v>
      </c>
      <c r="I57">
        <v>905</v>
      </c>
      <c r="J57">
        <v>19799</v>
      </c>
      <c r="K57">
        <v>0</v>
      </c>
      <c r="L57">
        <v>0</v>
      </c>
      <c r="M57" s="427">
        <v>0</v>
      </c>
      <c r="N57" s="427" t="s">
        <v>1823</v>
      </c>
    </row>
    <row r="58" spans="2:14" x14ac:dyDescent="0.2">
      <c r="B58" t="s">
        <v>247</v>
      </c>
      <c r="C58" t="s">
        <v>1298</v>
      </c>
      <c r="D58" t="s">
        <v>246</v>
      </c>
      <c r="E58" t="s">
        <v>1679</v>
      </c>
      <c r="F58">
        <v>0</v>
      </c>
      <c r="G58">
        <v>0</v>
      </c>
      <c r="H58">
        <v>0</v>
      </c>
      <c r="I58">
        <v>0</v>
      </c>
      <c r="J58">
        <v>0</v>
      </c>
      <c r="K58">
        <v>0</v>
      </c>
      <c r="L58">
        <v>0</v>
      </c>
      <c r="M58" s="427">
        <v>0</v>
      </c>
      <c r="N58" s="427" t="s">
        <v>1823</v>
      </c>
    </row>
    <row r="59" spans="2:14" x14ac:dyDescent="0.2">
      <c r="B59" t="s">
        <v>247</v>
      </c>
      <c r="C59" t="s">
        <v>1299</v>
      </c>
      <c r="D59" t="s">
        <v>246</v>
      </c>
      <c r="E59" t="s">
        <v>1680</v>
      </c>
      <c r="F59">
        <v>0</v>
      </c>
      <c r="G59">
        <v>0</v>
      </c>
      <c r="H59">
        <v>0</v>
      </c>
      <c r="I59">
        <v>0</v>
      </c>
      <c r="J59">
        <v>17072</v>
      </c>
      <c r="K59">
        <v>0</v>
      </c>
      <c r="L59">
        <v>0</v>
      </c>
      <c r="M59" s="427">
        <v>0</v>
      </c>
      <c r="N59" s="427" t="s">
        <v>1823</v>
      </c>
    </row>
    <row r="60" spans="2:14" x14ac:dyDescent="0.2">
      <c r="B60" t="s">
        <v>247</v>
      </c>
      <c r="C60" t="s">
        <v>1300</v>
      </c>
      <c r="D60" t="s">
        <v>246</v>
      </c>
      <c r="E60" t="s">
        <v>1681</v>
      </c>
      <c r="F60">
        <v>90081</v>
      </c>
      <c r="G60">
        <v>0</v>
      </c>
      <c r="H60">
        <v>0</v>
      </c>
      <c r="I60">
        <v>0</v>
      </c>
      <c r="J60">
        <v>95600</v>
      </c>
      <c r="K60">
        <v>0</v>
      </c>
      <c r="L60">
        <v>196923</v>
      </c>
      <c r="M60" s="427">
        <v>201435.81875000001</v>
      </c>
      <c r="N60" s="427" t="s">
        <v>1823</v>
      </c>
    </row>
    <row r="61" spans="2:14" x14ac:dyDescent="0.2">
      <c r="B61" t="s">
        <v>249</v>
      </c>
      <c r="C61" t="s">
        <v>1301</v>
      </c>
      <c r="D61" t="s">
        <v>248</v>
      </c>
      <c r="E61" t="s">
        <v>1682</v>
      </c>
      <c r="F61">
        <v>0</v>
      </c>
      <c r="G61">
        <v>0</v>
      </c>
      <c r="H61">
        <v>0</v>
      </c>
      <c r="I61">
        <v>0</v>
      </c>
      <c r="J61">
        <v>0</v>
      </c>
      <c r="K61">
        <v>0</v>
      </c>
      <c r="L61">
        <v>0</v>
      </c>
      <c r="M61" s="427">
        <v>0</v>
      </c>
      <c r="N61" s="427" t="s">
        <v>1823</v>
      </c>
    </row>
    <row r="62" spans="2:14" x14ac:dyDescent="0.2">
      <c r="B62" t="s">
        <v>253</v>
      </c>
      <c r="C62" t="s">
        <v>1119</v>
      </c>
      <c r="D62" t="s">
        <v>252</v>
      </c>
      <c r="E62" t="s">
        <v>1683</v>
      </c>
      <c r="F62">
        <v>198405</v>
      </c>
      <c r="G62">
        <v>0</v>
      </c>
      <c r="H62">
        <v>0</v>
      </c>
      <c r="I62">
        <v>0</v>
      </c>
      <c r="J62">
        <v>201303</v>
      </c>
      <c r="K62">
        <v>0</v>
      </c>
      <c r="L62">
        <v>32812</v>
      </c>
      <c r="M62" s="427">
        <v>33563.941666666666</v>
      </c>
      <c r="N62" s="427" t="s">
        <v>1823</v>
      </c>
    </row>
    <row r="63" spans="2:14" x14ac:dyDescent="0.2">
      <c r="B63" t="s">
        <v>255</v>
      </c>
      <c r="C63" t="s">
        <v>1302</v>
      </c>
      <c r="D63" t="s">
        <v>254</v>
      </c>
      <c r="E63" t="s">
        <v>1684</v>
      </c>
      <c r="F63">
        <v>387081</v>
      </c>
      <c r="G63">
        <v>0</v>
      </c>
      <c r="H63">
        <v>0</v>
      </c>
      <c r="I63">
        <v>3459</v>
      </c>
      <c r="J63">
        <v>244600</v>
      </c>
      <c r="K63">
        <v>145940</v>
      </c>
      <c r="L63">
        <v>9670</v>
      </c>
      <c r="M63" s="427">
        <v>9891.6041666666661</v>
      </c>
      <c r="N63" s="427" t="s">
        <v>1823</v>
      </c>
    </row>
    <row r="64" spans="2:14" x14ac:dyDescent="0.2">
      <c r="B64" t="s">
        <v>255</v>
      </c>
      <c r="C64" t="s">
        <v>1303</v>
      </c>
      <c r="D64" t="s">
        <v>254</v>
      </c>
      <c r="E64" t="s">
        <v>1685</v>
      </c>
      <c r="F64">
        <v>500585</v>
      </c>
      <c r="G64">
        <v>0</v>
      </c>
      <c r="H64">
        <v>0</v>
      </c>
      <c r="I64">
        <v>0</v>
      </c>
      <c r="J64">
        <v>413538</v>
      </c>
      <c r="K64">
        <v>87047</v>
      </c>
      <c r="L64">
        <v>121494</v>
      </c>
      <c r="M64" s="427">
        <v>124278.2375</v>
      </c>
      <c r="N64" s="427" t="s">
        <v>1823</v>
      </c>
    </row>
    <row r="65" spans="2:14" x14ac:dyDescent="0.2">
      <c r="B65" t="s">
        <v>255</v>
      </c>
      <c r="C65" t="s">
        <v>1304</v>
      </c>
      <c r="D65" t="s">
        <v>254</v>
      </c>
      <c r="E65" t="s">
        <v>1686</v>
      </c>
      <c r="F65">
        <v>0</v>
      </c>
      <c r="G65">
        <v>0</v>
      </c>
      <c r="H65">
        <v>0</v>
      </c>
      <c r="I65">
        <v>0</v>
      </c>
      <c r="J65">
        <v>0</v>
      </c>
      <c r="K65">
        <v>0</v>
      </c>
      <c r="L65">
        <v>49149</v>
      </c>
      <c r="M65" s="427">
        <v>50275.331250000003</v>
      </c>
      <c r="N65" s="427" t="s">
        <v>1823</v>
      </c>
    </row>
    <row r="66" spans="2:14" x14ac:dyDescent="0.2">
      <c r="B66" t="s">
        <v>255</v>
      </c>
      <c r="C66" t="s">
        <v>1305</v>
      </c>
      <c r="D66" t="s">
        <v>254</v>
      </c>
      <c r="E66" t="s">
        <v>1687</v>
      </c>
      <c r="F66">
        <v>-6675</v>
      </c>
      <c r="G66">
        <v>0</v>
      </c>
      <c r="H66">
        <v>0</v>
      </c>
      <c r="I66">
        <v>0</v>
      </c>
      <c r="J66">
        <v>0</v>
      </c>
      <c r="K66">
        <v>0</v>
      </c>
      <c r="L66">
        <v>0</v>
      </c>
      <c r="M66" s="427">
        <v>0</v>
      </c>
      <c r="N66" s="427" t="s">
        <v>1823</v>
      </c>
    </row>
    <row r="67" spans="2:14" x14ac:dyDescent="0.2">
      <c r="B67" t="s">
        <v>259</v>
      </c>
      <c r="C67" t="s">
        <v>1306</v>
      </c>
      <c r="D67" t="s">
        <v>258</v>
      </c>
      <c r="E67" t="s">
        <v>1688</v>
      </c>
      <c r="F67">
        <v>37657</v>
      </c>
      <c r="G67">
        <v>0</v>
      </c>
      <c r="H67">
        <v>0</v>
      </c>
      <c r="I67">
        <v>0</v>
      </c>
      <c r="J67">
        <v>0</v>
      </c>
      <c r="K67">
        <v>37657</v>
      </c>
      <c r="L67">
        <v>15765</v>
      </c>
      <c r="M67" s="427">
        <v>16126.28125</v>
      </c>
      <c r="N67" s="427" t="s">
        <v>1823</v>
      </c>
    </row>
    <row r="68" spans="2:14" x14ac:dyDescent="0.2">
      <c r="B68" t="s">
        <v>267</v>
      </c>
      <c r="C68" t="s">
        <v>1120</v>
      </c>
      <c r="D68" t="s">
        <v>266</v>
      </c>
      <c r="E68" t="s">
        <v>926</v>
      </c>
      <c r="F68">
        <v>0</v>
      </c>
      <c r="G68">
        <v>0</v>
      </c>
      <c r="H68">
        <v>0</v>
      </c>
      <c r="I68">
        <v>0</v>
      </c>
      <c r="J68">
        <v>0</v>
      </c>
      <c r="K68">
        <v>0</v>
      </c>
      <c r="L68">
        <v>0</v>
      </c>
      <c r="M68" s="427">
        <v>0</v>
      </c>
      <c r="N68" s="427" t="s">
        <v>1823</v>
      </c>
    </row>
    <row r="69" spans="2:14" x14ac:dyDescent="0.2">
      <c r="B69" t="s">
        <v>267</v>
      </c>
      <c r="C69" t="s">
        <v>1121</v>
      </c>
      <c r="D69" t="s">
        <v>266</v>
      </c>
      <c r="E69" t="s">
        <v>927</v>
      </c>
      <c r="F69">
        <v>106981</v>
      </c>
      <c r="G69">
        <v>0</v>
      </c>
      <c r="H69">
        <v>0</v>
      </c>
      <c r="I69">
        <v>0</v>
      </c>
      <c r="J69">
        <v>140446</v>
      </c>
      <c r="K69">
        <v>0</v>
      </c>
      <c r="L69">
        <v>0</v>
      </c>
      <c r="M69" s="427">
        <v>0</v>
      </c>
      <c r="N69" s="427" t="s">
        <v>1823</v>
      </c>
    </row>
    <row r="70" spans="2:14" x14ac:dyDescent="0.2">
      <c r="B70" t="s">
        <v>267</v>
      </c>
      <c r="C70" t="s">
        <v>1122</v>
      </c>
      <c r="D70" t="s">
        <v>266</v>
      </c>
      <c r="E70" t="s">
        <v>1689</v>
      </c>
      <c r="F70">
        <v>0</v>
      </c>
      <c r="G70">
        <v>0</v>
      </c>
      <c r="H70">
        <v>0</v>
      </c>
      <c r="I70">
        <v>0</v>
      </c>
      <c r="J70">
        <v>0</v>
      </c>
      <c r="K70">
        <v>0</v>
      </c>
      <c r="L70">
        <v>0</v>
      </c>
      <c r="M70" s="427">
        <v>0</v>
      </c>
      <c r="N70" s="427" t="s">
        <v>1823</v>
      </c>
    </row>
    <row r="71" spans="2:14" x14ac:dyDescent="0.2">
      <c r="B71" t="s">
        <v>267</v>
      </c>
      <c r="C71" t="s">
        <v>1123</v>
      </c>
      <c r="D71" t="s">
        <v>266</v>
      </c>
      <c r="E71" t="s">
        <v>1690</v>
      </c>
      <c r="F71">
        <v>0</v>
      </c>
      <c r="G71">
        <v>0</v>
      </c>
      <c r="H71">
        <v>0</v>
      </c>
      <c r="I71">
        <v>0</v>
      </c>
      <c r="J71">
        <v>0</v>
      </c>
      <c r="K71">
        <v>0</v>
      </c>
      <c r="L71">
        <v>0</v>
      </c>
      <c r="M71" s="427">
        <v>0</v>
      </c>
      <c r="N71" s="427" t="s">
        <v>1823</v>
      </c>
    </row>
    <row r="72" spans="2:14" x14ac:dyDescent="0.2">
      <c r="B72" t="s">
        <v>267</v>
      </c>
      <c r="C72" t="s">
        <v>1124</v>
      </c>
      <c r="D72" t="s">
        <v>266</v>
      </c>
      <c r="E72" t="s">
        <v>1691</v>
      </c>
      <c r="F72">
        <v>0</v>
      </c>
      <c r="G72">
        <v>0</v>
      </c>
      <c r="H72">
        <v>0</v>
      </c>
      <c r="I72">
        <v>0</v>
      </c>
      <c r="J72">
        <v>0</v>
      </c>
      <c r="K72">
        <v>0</v>
      </c>
      <c r="L72">
        <v>0</v>
      </c>
      <c r="M72" s="427">
        <v>0</v>
      </c>
      <c r="N72" s="427" t="s">
        <v>1823</v>
      </c>
    </row>
    <row r="73" spans="2:14" x14ac:dyDescent="0.2">
      <c r="B73" t="s">
        <v>267</v>
      </c>
      <c r="C73" t="s">
        <v>1125</v>
      </c>
      <c r="D73" t="s">
        <v>266</v>
      </c>
      <c r="E73" t="s">
        <v>1692</v>
      </c>
      <c r="F73">
        <v>0</v>
      </c>
      <c r="G73">
        <v>0</v>
      </c>
      <c r="H73">
        <v>0</v>
      </c>
      <c r="I73">
        <v>0</v>
      </c>
      <c r="J73">
        <v>0</v>
      </c>
      <c r="K73">
        <v>0</v>
      </c>
      <c r="L73">
        <v>0</v>
      </c>
      <c r="M73" s="427">
        <v>0</v>
      </c>
      <c r="N73" s="427" t="s">
        <v>1823</v>
      </c>
    </row>
    <row r="74" spans="2:14" x14ac:dyDescent="0.2">
      <c r="B74" t="s">
        <v>267</v>
      </c>
      <c r="C74" t="s">
        <v>1126</v>
      </c>
      <c r="D74" t="s">
        <v>266</v>
      </c>
      <c r="E74" t="s">
        <v>1693</v>
      </c>
      <c r="F74">
        <v>0</v>
      </c>
      <c r="G74">
        <v>0</v>
      </c>
      <c r="H74">
        <v>0</v>
      </c>
      <c r="I74">
        <v>0</v>
      </c>
      <c r="J74">
        <v>0</v>
      </c>
      <c r="K74">
        <v>0</v>
      </c>
      <c r="L74">
        <v>0</v>
      </c>
      <c r="M74" s="427">
        <v>0</v>
      </c>
      <c r="N74" s="427" t="s">
        <v>1823</v>
      </c>
    </row>
    <row r="75" spans="2:14" x14ac:dyDescent="0.2">
      <c r="B75" t="s">
        <v>289</v>
      </c>
      <c r="C75" t="s">
        <v>1127</v>
      </c>
      <c r="D75" t="s">
        <v>288</v>
      </c>
      <c r="E75" t="s">
        <v>928</v>
      </c>
      <c r="F75">
        <v>215940</v>
      </c>
      <c r="G75">
        <v>0</v>
      </c>
      <c r="H75">
        <v>0</v>
      </c>
      <c r="I75">
        <v>0</v>
      </c>
      <c r="J75">
        <v>111459</v>
      </c>
      <c r="K75">
        <v>104481</v>
      </c>
      <c r="L75">
        <v>324134</v>
      </c>
      <c r="M75" s="427">
        <v>331562.07083333336</v>
      </c>
      <c r="N75" s="427" t="s">
        <v>1823</v>
      </c>
    </row>
    <row r="76" spans="2:14" x14ac:dyDescent="0.2">
      <c r="B76" t="s">
        <v>297</v>
      </c>
      <c r="C76" t="s">
        <v>1128</v>
      </c>
      <c r="D76" t="s">
        <v>296</v>
      </c>
      <c r="E76" t="s">
        <v>929</v>
      </c>
      <c r="F76">
        <v>1975485</v>
      </c>
      <c r="G76">
        <v>0</v>
      </c>
      <c r="H76">
        <v>0</v>
      </c>
      <c r="I76">
        <v>766</v>
      </c>
      <c r="J76">
        <v>2053518</v>
      </c>
      <c r="K76">
        <v>0</v>
      </c>
      <c r="L76">
        <v>0</v>
      </c>
      <c r="M76" s="427">
        <v>0</v>
      </c>
      <c r="N76" s="427" t="s">
        <v>1823</v>
      </c>
    </row>
    <row r="77" spans="2:14" x14ac:dyDescent="0.2">
      <c r="B77" t="s">
        <v>297</v>
      </c>
      <c r="C77" t="s">
        <v>1307</v>
      </c>
      <c r="D77" t="s">
        <v>296</v>
      </c>
      <c r="E77" t="s">
        <v>1644</v>
      </c>
      <c r="F77">
        <v>782019</v>
      </c>
      <c r="G77">
        <v>0</v>
      </c>
      <c r="H77">
        <v>0</v>
      </c>
      <c r="I77">
        <v>-70776</v>
      </c>
      <c r="J77">
        <v>896137</v>
      </c>
      <c r="K77">
        <v>0</v>
      </c>
      <c r="L77">
        <v>274946</v>
      </c>
      <c r="M77" s="427">
        <v>281246.84583333333</v>
      </c>
      <c r="N77" s="427" t="s">
        <v>1823</v>
      </c>
    </row>
    <row r="78" spans="2:14" x14ac:dyDescent="0.2">
      <c r="B78" t="s">
        <v>299</v>
      </c>
      <c r="C78" t="s">
        <v>1129</v>
      </c>
      <c r="D78" t="s">
        <v>298</v>
      </c>
      <c r="E78" t="s">
        <v>1694</v>
      </c>
      <c r="F78">
        <v>2021061</v>
      </c>
      <c r="G78">
        <v>0</v>
      </c>
      <c r="H78">
        <v>0</v>
      </c>
      <c r="I78">
        <v>-42373</v>
      </c>
      <c r="J78">
        <v>1379508</v>
      </c>
      <c r="K78">
        <v>599180</v>
      </c>
      <c r="L78">
        <v>0</v>
      </c>
      <c r="M78" s="427">
        <v>0</v>
      </c>
      <c r="N78" s="427" t="s">
        <v>1823</v>
      </c>
    </row>
    <row r="79" spans="2:14" x14ac:dyDescent="0.2">
      <c r="B79" t="s">
        <v>299</v>
      </c>
      <c r="C79" t="s">
        <v>1308</v>
      </c>
      <c r="D79" t="s">
        <v>298</v>
      </c>
      <c r="E79" t="s">
        <v>1695</v>
      </c>
      <c r="F79">
        <v>0</v>
      </c>
      <c r="G79">
        <v>0</v>
      </c>
      <c r="H79">
        <v>0</v>
      </c>
      <c r="I79">
        <v>0</v>
      </c>
      <c r="J79">
        <v>0</v>
      </c>
      <c r="K79">
        <v>0</v>
      </c>
      <c r="L79">
        <v>0</v>
      </c>
      <c r="M79" s="427">
        <v>0</v>
      </c>
      <c r="N79" s="427" t="s">
        <v>1823</v>
      </c>
    </row>
    <row r="80" spans="2:14" x14ac:dyDescent="0.2">
      <c r="B80" t="s">
        <v>305</v>
      </c>
      <c r="C80" t="s">
        <v>1130</v>
      </c>
      <c r="D80" t="s">
        <v>304</v>
      </c>
      <c r="E80" t="s">
        <v>928</v>
      </c>
      <c r="F80">
        <v>228419</v>
      </c>
      <c r="G80">
        <v>0</v>
      </c>
      <c r="H80">
        <v>0</v>
      </c>
      <c r="I80">
        <v>-33779</v>
      </c>
      <c r="J80">
        <v>408862</v>
      </c>
      <c r="K80">
        <v>0</v>
      </c>
      <c r="L80">
        <v>404164</v>
      </c>
      <c r="M80" s="427">
        <v>413426.09166666667</v>
      </c>
      <c r="N80" s="427" t="s">
        <v>1823</v>
      </c>
    </row>
    <row r="81" spans="1:14" x14ac:dyDescent="0.2">
      <c r="B81" t="s">
        <v>307</v>
      </c>
      <c r="C81" t="s">
        <v>1309</v>
      </c>
      <c r="D81" t="s">
        <v>306</v>
      </c>
      <c r="E81" t="s">
        <v>1696</v>
      </c>
      <c r="F81">
        <v>0</v>
      </c>
      <c r="G81">
        <v>0</v>
      </c>
      <c r="H81">
        <v>0</v>
      </c>
      <c r="I81">
        <v>0</v>
      </c>
      <c r="J81">
        <v>0</v>
      </c>
      <c r="K81">
        <v>0</v>
      </c>
      <c r="L81">
        <v>0</v>
      </c>
      <c r="M81" s="427">
        <v>0</v>
      </c>
      <c r="N81" s="427" t="s">
        <v>1823</v>
      </c>
    </row>
    <row r="82" spans="1:14" x14ac:dyDescent="0.2">
      <c r="B82" t="s">
        <v>307</v>
      </c>
      <c r="C82" t="s">
        <v>1310</v>
      </c>
      <c r="D82" t="s">
        <v>306</v>
      </c>
      <c r="E82" t="s">
        <v>1697</v>
      </c>
      <c r="F82">
        <v>0</v>
      </c>
      <c r="G82">
        <v>0</v>
      </c>
      <c r="H82">
        <v>0</v>
      </c>
      <c r="I82">
        <v>0</v>
      </c>
      <c r="J82">
        <v>0</v>
      </c>
      <c r="K82">
        <v>0</v>
      </c>
      <c r="L82">
        <v>0</v>
      </c>
      <c r="M82" s="427">
        <v>0</v>
      </c>
      <c r="N82" s="427" t="s">
        <v>1823</v>
      </c>
    </row>
    <row r="83" spans="1:14" x14ac:dyDescent="0.2">
      <c r="B83" t="s">
        <v>307</v>
      </c>
      <c r="C83" t="s">
        <v>1311</v>
      </c>
      <c r="D83" t="s">
        <v>306</v>
      </c>
      <c r="E83" t="s">
        <v>1674</v>
      </c>
      <c r="F83">
        <v>0</v>
      </c>
      <c r="G83">
        <v>0</v>
      </c>
      <c r="H83">
        <v>0</v>
      </c>
      <c r="I83">
        <v>0</v>
      </c>
      <c r="J83">
        <v>0</v>
      </c>
      <c r="K83">
        <v>0</v>
      </c>
      <c r="L83">
        <v>0</v>
      </c>
      <c r="M83" s="427">
        <v>0</v>
      </c>
      <c r="N83" s="427" t="s">
        <v>1823</v>
      </c>
    </row>
    <row r="84" spans="1:14" x14ac:dyDescent="0.2">
      <c r="B84" t="s">
        <v>309</v>
      </c>
      <c r="C84" t="s">
        <v>1131</v>
      </c>
      <c r="D84" t="s">
        <v>308</v>
      </c>
      <c r="E84" t="s">
        <v>931</v>
      </c>
      <c r="F84">
        <v>687674</v>
      </c>
      <c r="G84">
        <v>0</v>
      </c>
      <c r="H84">
        <v>0</v>
      </c>
      <c r="I84">
        <v>-46762</v>
      </c>
      <c r="J84">
        <v>302531</v>
      </c>
      <c r="K84">
        <v>338381</v>
      </c>
      <c r="L84">
        <v>558454</v>
      </c>
      <c r="M84" s="427">
        <v>571251.90416666667</v>
      </c>
      <c r="N84" s="427" t="s">
        <v>1823</v>
      </c>
    </row>
    <row r="85" spans="1:14" x14ac:dyDescent="0.2">
      <c r="B85" t="s">
        <v>309</v>
      </c>
      <c r="C85" t="s">
        <v>1312</v>
      </c>
      <c r="D85" t="s">
        <v>308</v>
      </c>
      <c r="E85" t="s">
        <v>1698</v>
      </c>
      <c r="F85">
        <v>0</v>
      </c>
      <c r="G85">
        <v>0</v>
      </c>
      <c r="H85">
        <v>0</v>
      </c>
      <c r="I85">
        <v>0</v>
      </c>
      <c r="J85">
        <v>0</v>
      </c>
      <c r="K85">
        <v>0</v>
      </c>
      <c r="L85">
        <v>0</v>
      </c>
      <c r="M85" s="427">
        <v>0</v>
      </c>
      <c r="N85" s="427" t="s">
        <v>1823</v>
      </c>
    </row>
    <row r="86" spans="1:14" x14ac:dyDescent="0.2">
      <c r="B86" t="s">
        <v>309</v>
      </c>
      <c r="C86" t="s">
        <v>1313</v>
      </c>
      <c r="D86" t="s">
        <v>308</v>
      </c>
      <c r="E86" t="s">
        <v>1699</v>
      </c>
      <c r="F86">
        <v>0</v>
      </c>
      <c r="G86">
        <v>0</v>
      </c>
      <c r="H86">
        <v>0</v>
      </c>
      <c r="I86">
        <v>0</v>
      </c>
      <c r="J86">
        <v>6731</v>
      </c>
      <c r="K86">
        <v>0</v>
      </c>
      <c r="L86">
        <v>0</v>
      </c>
      <c r="M86" s="427">
        <v>0</v>
      </c>
      <c r="N86" s="427" t="s">
        <v>1823</v>
      </c>
    </row>
    <row r="87" spans="1:14" x14ac:dyDescent="0.2">
      <c r="B87" t="s">
        <v>309</v>
      </c>
      <c r="C87" t="s">
        <v>1314</v>
      </c>
      <c r="D87" t="s">
        <v>308</v>
      </c>
      <c r="E87" t="s">
        <v>1700</v>
      </c>
      <c r="F87">
        <v>0</v>
      </c>
      <c r="G87">
        <v>0</v>
      </c>
      <c r="H87">
        <v>0</v>
      </c>
      <c r="I87">
        <v>0</v>
      </c>
      <c r="J87">
        <v>2790</v>
      </c>
      <c r="K87">
        <v>0</v>
      </c>
      <c r="L87">
        <v>0</v>
      </c>
      <c r="M87" s="427">
        <v>0</v>
      </c>
      <c r="N87" s="427" t="s">
        <v>1823</v>
      </c>
    </row>
    <row r="88" spans="1:14" x14ac:dyDescent="0.2">
      <c r="B88" t="s">
        <v>309</v>
      </c>
      <c r="C88" t="s">
        <v>1315</v>
      </c>
      <c r="D88" t="s">
        <v>308</v>
      </c>
      <c r="E88" t="s">
        <v>1701</v>
      </c>
      <c r="F88">
        <v>0</v>
      </c>
      <c r="G88">
        <v>0</v>
      </c>
      <c r="H88">
        <v>0</v>
      </c>
      <c r="I88">
        <v>0</v>
      </c>
      <c r="J88">
        <v>2179</v>
      </c>
      <c r="K88">
        <v>0</v>
      </c>
      <c r="L88">
        <v>2136</v>
      </c>
      <c r="M88" s="427">
        <v>2184.9499999999998</v>
      </c>
      <c r="N88" s="427" t="s">
        <v>1823</v>
      </c>
    </row>
    <row r="89" spans="1:14" x14ac:dyDescent="0.2">
      <c r="B89" t="s">
        <v>317</v>
      </c>
      <c r="C89" t="s">
        <v>1132</v>
      </c>
      <c r="D89" t="s">
        <v>316</v>
      </c>
      <c r="E89" t="s">
        <v>932</v>
      </c>
      <c r="F89">
        <v>24628</v>
      </c>
      <c r="G89">
        <v>0</v>
      </c>
      <c r="H89">
        <v>0</v>
      </c>
      <c r="I89">
        <v>0</v>
      </c>
      <c r="J89">
        <v>33252</v>
      </c>
      <c r="K89">
        <v>0</v>
      </c>
      <c r="L89">
        <v>304210</v>
      </c>
      <c r="M89" s="427">
        <v>311181.47916666669</v>
      </c>
      <c r="N89" s="427" t="s">
        <v>1823</v>
      </c>
    </row>
    <row r="90" spans="1:14" x14ac:dyDescent="0.2">
      <c r="B90" t="s">
        <v>327</v>
      </c>
      <c r="C90" t="s">
        <v>1133</v>
      </c>
      <c r="D90" t="s">
        <v>326</v>
      </c>
      <c r="E90" t="s">
        <v>326</v>
      </c>
      <c r="F90">
        <v>4134274</v>
      </c>
      <c r="G90">
        <v>0</v>
      </c>
      <c r="H90">
        <v>0</v>
      </c>
      <c r="I90">
        <v>5899</v>
      </c>
      <c r="J90">
        <v>3265075</v>
      </c>
      <c r="K90">
        <v>875098</v>
      </c>
      <c r="L90">
        <v>0</v>
      </c>
      <c r="M90" s="427">
        <v>0</v>
      </c>
      <c r="N90" s="427" t="s">
        <v>1823</v>
      </c>
    </row>
    <row r="91" spans="1:14" x14ac:dyDescent="0.2">
      <c r="B91" t="s">
        <v>335</v>
      </c>
      <c r="C91" t="s">
        <v>1134</v>
      </c>
      <c r="D91" t="s">
        <v>334</v>
      </c>
      <c r="E91" t="s">
        <v>933</v>
      </c>
      <c r="F91">
        <v>77167</v>
      </c>
      <c r="G91">
        <v>0</v>
      </c>
      <c r="H91">
        <v>0</v>
      </c>
      <c r="I91">
        <v>1345</v>
      </c>
      <c r="J91">
        <v>0</v>
      </c>
      <c r="K91">
        <v>78512</v>
      </c>
      <c r="L91">
        <v>56891</v>
      </c>
      <c r="M91" s="427">
        <v>58194.752083333333</v>
      </c>
      <c r="N91" s="427" t="s">
        <v>1823</v>
      </c>
    </row>
    <row r="92" spans="1:14" x14ac:dyDescent="0.2">
      <c r="B92" t="s">
        <v>343</v>
      </c>
      <c r="C92" t="s">
        <v>1135</v>
      </c>
      <c r="D92" t="s">
        <v>342</v>
      </c>
      <c r="E92" t="s">
        <v>934</v>
      </c>
      <c r="F92">
        <v>334698</v>
      </c>
      <c r="G92">
        <v>0</v>
      </c>
      <c r="H92">
        <v>0</v>
      </c>
      <c r="I92">
        <v>-13099</v>
      </c>
      <c r="J92">
        <v>244154</v>
      </c>
      <c r="K92">
        <v>77445</v>
      </c>
      <c r="L92">
        <v>342422</v>
      </c>
      <c r="M92" s="427">
        <v>350269.17083333334</v>
      </c>
      <c r="N92" s="427" t="s">
        <v>1823</v>
      </c>
    </row>
    <row r="93" spans="1:14" x14ac:dyDescent="0.2">
      <c r="B93" t="s">
        <v>351</v>
      </c>
      <c r="C93" t="s">
        <v>1136</v>
      </c>
      <c r="D93" t="s">
        <v>350</v>
      </c>
      <c r="E93" t="s">
        <v>935</v>
      </c>
      <c r="F93">
        <v>963007</v>
      </c>
      <c r="G93">
        <v>0</v>
      </c>
      <c r="H93">
        <v>0</v>
      </c>
      <c r="I93">
        <v>-13601</v>
      </c>
      <c r="J93">
        <v>869270</v>
      </c>
      <c r="K93">
        <v>80136</v>
      </c>
      <c r="L93">
        <v>219029</v>
      </c>
      <c r="M93" s="427">
        <v>224048.41458333333</v>
      </c>
      <c r="N93" s="427" t="s">
        <v>1823</v>
      </c>
    </row>
    <row r="94" spans="1:14" x14ac:dyDescent="0.2">
      <c r="B94" t="s">
        <v>351</v>
      </c>
      <c r="C94" t="s">
        <v>1137</v>
      </c>
      <c r="D94" t="s">
        <v>350</v>
      </c>
      <c r="E94" t="s">
        <v>1702</v>
      </c>
      <c r="F94">
        <v>0</v>
      </c>
      <c r="G94">
        <v>0</v>
      </c>
      <c r="H94">
        <v>0</v>
      </c>
      <c r="I94">
        <v>0</v>
      </c>
      <c r="J94">
        <v>0</v>
      </c>
      <c r="K94">
        <v>0</v>
      </c>
      <c r="L94">
        <v>0</v>
      </c>
      <c r="M94" s="427">
        <v>0</v>
      </c>
      <c r="N94" s="427" t="s">
        <v>1823</v>
      </c>
    </row>
    <row r="95" spans="1:14" x14ac:dyDescent="0.2">
      <c r="B95" t="s">
        <v>357</v>
      </c>
      <c r="C95" t="s">
        <v>1138</v>
      </c>
      <c r="D95" t="s">
        <v>356</v>
      </c>
      <c r="E95" t="s">
        <v>936</v>
      </c>
      <c r="F95">
        <v>1862152</v>
      </c>
      <c r="G95">
        <v>0</v>
      </c>
      <c r="H95">
        <v>0</v>
      </c>
      <c r="I95">
        <v>28168</v>
      </c>
      <c r="J95">
        <v>757872</v>
      </c>
      <c r="K95">
        <v>1132448</v>
      </c>
      <c r="L95">
        <v>316775</v>
      </c>
      <c r="M95" s="427">
        <v>324034.42708333331</v>
      </c>
      <c r="N95" s="427" t="s">
        <v>1823</v>
      </c>
    </row>
    <row r="96" spans="1:14" x14ac:dyDescent="0.2">
      <c r="A96" s="185" t="s">
        <v>1817</v>
      </c>
      <c r="B96" t="s">
        <v>361</v>
      </c>
      <c r="C96" t="s">
        <v>1139</v>
      </c>
      <c r="D96" t="s">
        <v>360</v>
      </c>
      <c r="E96" t="s">
        <v>1703</v>
      </c>
      <c r="F96">
        <v>88052</v>
      </c>
      <c r="G96">
        <v>0</v>
      </c>
      <c r="H96">
        <v>0</v>
      </c>
      <c r="I96">
        <v>0</v>
      </c>
      <c r="J96">
        <v>0</v>
      </c>
      <c r="K96">
        <v>88052</v>
      </c>
      <c r="L96">
        <v>0</v>
      </c>
      <c r="M96" s="427">
        <v>0</v>
      </c>
      <c r="N96" s="427" t="s">
        <v>1823</v>
      </c>
    </row>
    <row r="97" spans="1:14" x14ac:dyDescent="0.2">
      <c r="A97" s="185" t="s">
        <v>1817</v>
      </c>
      <c r="B97" t="s">
        <v>361</v>
      </c>
      <c r="C97" t="s">
        <v>1140</v>
      </c>
      <c r="D97" t="s">
        <v>360</v>
      </c>
      <c r="E97" t="s">
        <v>1704</v>
      </c>
      <c r="F97">
        <v>678642</v>
      </c>
      <c r="G97">
        <v>0</v>
      </c>
      <c r="H97">
        <v>0</v>
      </c>
      <c r="I97">
        <v>-481</v>
      </c>
      <c r="J97">
        <v>198343</v>
      </c>
      <c r="K97">
        <v>479818</v>
      </c>
      <c r="L97">
        <v>197149</v>
      </c>
      <c r="M97" s="427">
        <v>201666.99791666667</v>
      </c>
      <c r="N97" s="427" t="s">
        <v>1823</v>
      </c>
    </row>
    <row r="98" spans="1:14" x14ac:dyDescent="0.2">
      <c r="B98" t="s">
        <v>361</v>
      </c>
      <c r="C98" t="s">
        <v>1141</v>
      </c>
      <c r="D98" t="s">
        <v>360</v>
      </c>
      <c r="E98" t="s">
        <v>1705</v>
      </c>
      <c r="F98">
        <v>0</v>
      </c>
      <c r="G98">
        <v>0</v>
      </c>
      <c r="H98">
        <v>0</v>
      </c>
      <c r="I98">
        <v>0</v>
      </c>
      <c r="J98">
        <v>0</v>
      </c>
      <c r="K98">
        <v>0</v>
      </c>
      <c r="L98">
        <v>0</v>
      </c>
      <c r="M98" s="427">
        <v>0</v>
      </c>
      <c r="N98" s="427" t="s">
        <v>1823</v>
      </c>
    </row>
    <row r="99" spans="1:14" x14ac:dyDescent="0.2">
      <c r="B99" t="s">
        <v>373</v>
      </c>
      <c r="C99" t="s">
        <v>1142</v>
      </c>
      <c r="D99" t="s">
        <v>372</v>
      </c>
      <c r="E99" t="s">
        <v>1706</v>
      </c>
      <c r="F99">
        <v>0</v>
      </c>
      <c r="G99">
        <v>0</v>
      </c>
      <c r="H99">
        <v>0</v>
      </c>
      <c r="I99">
        <v>0</v>
      </c>
      <c r="J99">
        <v>0</v>
      </c>
      <c r="K99">
        <v>0</v>
      </c>
      <c r="L99">
        <v>76383</v>
      </c>
      <c r="M99" s="427">
        <v>78133.443750000006</v>
      </c>
      <c r="N99" s="427" t="s">
        <v>1823</v>
      </c>
    </row>
    <row r="100" spans="1:14" x14ac:dyDescent="0.2">
      <c r="B100" t="s">
        <v>375</v>
      </c>
      <c r="C100" t="s">
        <v>1143</v>
      </c>
      <c r="D100" t="s">
        <v>374</v>
      </c>
      <c r="E100" t="s">
        <v>926</v>
      </c>
      <c r="F100">
        <v>116042</v>
      </c>
      <c r="G100">
        <v>0</v>
      </c>
      <c r="H100">
        <v>0</v>
      </c>
      <c r="I100">
        <v>0</v>
      </c>
      <c r="J100">
        <v>0</v>
      </c>
      <c r="K100">
        <v>116042</v>
      </c>
      <c r="L100">
        <v>88643</v>
      </c>
      <c r="M100" s="427">
        <v>90674.402083333334</v>
      </c>
      <c r="N100" s="427" t="s">
        <v>1823</v>
      </c>
    </row>
    <row r="101" spans="1:14" x14ac:dyDescent="0.2">
      <c r="B101" t="s">
        <v>375</v>
      </c>
      <c r="C101" t="s">
        <v>1144</v>
      </c>
      <c r="D101" t="s">
        <v>374</v>
      </c>
      <c r="E101" t="s">
        <v>927</v>
      </c>
      <c r="F101">
        <v>2235761</v>
      </c>
      <c r="G101">
        <v>0</v>
      </c>
      <c r="H101">
        <v>0</v>
      </c>
      <c r="I101">
        <v>0</v>
      </c>
      <c r="J101">
        <v>168136</v>
      </c>
      <c r="K101">
        <v>2067625</v>
      </c>
      <c r="L101">
        <v>0</v>
      </c>
      <c r="M101" s="427">
        <v>0</v>
      </c>
      <c r="N101" s="427" t="s">
        <v>1823</v>
      </c>
    </row>
    <row r="102" spans="1:14" x14ac:dyDescent="0.2">
      <c r="B102" t="s">
        <v>375</v>
      </c>
      <c r="C102" t="s">
        <v>1145</v>
      </c>
      <c r="D102" t="s">
        <v>374</v>
      </c>
      <c r="E102" t="s">
        <v>1707</v>
      </c>
      <c r="F102">
        <v>28083</v>
      </c>
      <c r="G102">
        <v>0</v>
      </c>
      <c r="H102">
        <v>0</v>
      </c>
      <c r="I102">
        <v>0</v>
      </c>
      <c r="J102">
        <v>0</v>
      </c>
      <c r="K102">
        <v>28083</v>
      </c>
      <c r="L102">
        <v>0</v>
      </c>
      <c r="M102" s="427">
        <v>0</v>
      </c>
      <c r="N102" s="427" t="s">
        <v>1823</v>
      </c>
    </row>
    <row r="103" spans="1:14" x14ac:dyDescent="0.2">
      <c r="B103" t="s">
        <v>375</v>
      </c>
      <c r="C103" t="s">
        <v>1146</v>
      </c>
      <c r="D103" t="s">
        <v>374</v>
      </c>
      <c r="E103" t="s">
        <v>1708</v>
      </c>
      <c r="F103">
        <v>208725</v>
      </c>
      <c r="G103">
        <v>0</v>
      </c>
      <c r="H103">
        <v>0</v>
      </c>
      <c r="I103">
        <v>0</v>
      </c>
      <c r="J103">
        <v>0</v>
      </c>
      <c r="K103">
        <v>208725</v>
      </c>
      <c r="L103">
        <v>0</v>
      </c>
      <c r="M103" s="427">
        <v>0</v>
      </c>
      <c r="N103" s="427" t="s">
        <v>1823</v>
      </c>
    </row>
    <row r="104" spans="1:14" x14ac:dyDescent="0.2">
      <c r="B104" t="s">
        <v>375</v>
      </c>
      <c r="C104" t="s">
        <v>1147</v>
      </c>
      <c r="D104" t="s">
        <v>374</v>
      </c>
      <c r="E104" t="s">
        <v>1709</v>
      </c>
      <c r="F104">
        <v>0</v>
      </c>
      <c r="G104">
        <v>0</v>
      </c>
      <c r="H104">
        <v>0</v>
      </c>
      <c r="I104">
        <v>0</v>
      </c>
      <c r="J104">
        <v>0</v>
      </c>
      <c r="K104">
        <v>0</v>
      </c>
      <c r="L104">
        <v>0</v>
      </c>
      <c r="M104" s="427">
        <v>0</v>
      </c>
      <c r="N104" s="427" t="s">
        <v>1823</v>
      </c>
    </row>
    <row r="105" spans="1:14" x14ac:dyDescent="0.2">
      <c r="B105" t="s">
        <v>375</v>
      </c>
      <c r="C105" t="s">
        <v>1148</v>
      </c>
      <c r="D105" t="s">
        <v>374</v>
      </c>
      <c r="E105" t="s">
        <v>1710</v>
      </c>
      <c r="F105">
        <v>14421</v>
      </c>
      <c r="G105">
        <v>0</v>
      </c>
      <c r="H105">
        <v>0</v>
      </c>
      <c r="I105">
        <v>0</v>
      </c>
      <c r="J105">
        <v>17479</v>
      </c>
      <c r="K105">
        <v>0</v>
      </c>
      <c r="L105">
        <v>0</v>
      </c>
      <c r="M105" s="427">
        <v>0</v>
      </c>
      <c r="N105" s="427" t="s">
        <v>1823</v>
      </c>
    </row>
    <row r="106" spans="1:14" x14ac:dyDescent="0.2">
      <c r="B106" t="s">
        <v>375</v>
      </c>
      <c r="C106" t="s">
        <v>1149</v>
      </c>
      <c r="D106" t="s">
        <v>374</v>
      </c>
      <c r="E106" t="s">
        <v>1711</v>
      </c>
      <c r="F106">
        <v>0</v>
      </c>
      <c r="G106">
        <v>0</v>
      </c>
      <c r="H106">
        <v>0</v>
      </c>
      <c r="I106">
        <v>0</v>
      </c>
      <c r="J106">
        <v>0</v>
      </c>
      <c r="K106">
        <v>0</v>
      </c>
      <c r="L106">
        <v>0</v>
      </c>
      <c r="M106" s="427">
        <v>0</v>
      </c>
      <c r="N106" s="427" t="s">
        <v>1823</v>
      </c>
    </row>
    <row r="107" spans="1:14" x14ac:dyDescent="0.2">
      <c r="B107" t="s">
        <v>375</v>
      </c>
      <c r="C107" t="s">
        <v>1150</v>
      </c>
      <c r="D107" t="s">
        <v>374</v>
      </c>
      <c r="E107" t="s">
        <v>1712</v>
      </c>
      <c r="F107">
        <v>9563</v>
      </c>
      <c r="G107">
        <v>0</v>
      </c>
      <c r="H107">
        <v>0</v>
      </c>
      <c r="I107">
        <v>98</v>
      </c>
      <c r="J107">
        <v>3428</v>
      </c>
      <c r="K107">
        <v>6233</v>
      </c>
      <c r="L107">
        <v>0</v>
      </c>
      <c r="M107" s="427">
        <v>0</v>
      </c>
      <c r="N107" s="427" t="s">
        <v>1823</v>
      </c>
    </row>
    <row r="108" spans="1:14" x14ac:dyDescent="0.2">
      <c r="B108" t="s">
        <v>375</v>
      </c>
      <c r="C108" t="s">
        <v>1151</v>
      </c>
      <c r="D108" t="s">
        <v>374</v>
      </c>
      <c r="E108" t="s">
        <v>1713</v>
      </c>
      <c r="F108">
        <v>22781</v>
      </c>
      <c r="G108">
        <v>0</v>
      </c>
      <c r="H108">
        <v>0</v>
      </c>
      <c r="I108">
        <v>-1747</v>
      </c>
      <c r="J108">
        <v>32150</v>
      </c>
      <c r="K108">
        <v>0</v>
      </c>
      <c r="L108">
        <v>45909</v>
      </c>
      <c r="M108" s="427">
        <v>46961.081250000003</v>
      </c>
      <c r="N108" s="427" t="s">
        <v>1823</v>
      </c>
    </row>
    <row r="109" spans="1:14" x14ac:dyDescent="0.2">
      <c r="B109" t="s">
        <v>375</v>
      </c>
      <c r="C109" t="s">
        <v>1152</v>
      </c>
      <c r="D109" t="s">
        <v>374</v>
      </c>
      <c r="E109" t="s">
        <v>1714</v>
      </c>
      <c r="F109">
        <v>30162</v>
      </c>
      <c r="G109">
        <v>0</v>
      </c>
      <c r="H109">
        <v>0</v>
      </c>
      <c r="I109">
        <v>-403</v>
      </c>
      <c r="J109">
        <v>6018</v>
      </c>
      <c r="K109">
        <v>23741</v>
      </c>
      <c r="L109">
        <v>0</v>
      </c>
      <c r="M109" s="427">
        <v>0</v>
      </c>
      <c r="N109" s="427" t="s">
        <v>1823</v>
      </c>
    </row>
    <row r="110" spans="1:14" x14ac:dyDescent="0.2">
      <c r="B110" t="s">
        <v>375</v>
      </c>
      <c r="C110" t="s">
        <v>1153</v>
      </c>
      <c r="D110" t="s">
        <v>374</v>
      </c>
      <c r="E110" t="s">
        <v>1715</v>
      </c>
      <c r="F110">
        <v>0</v>
      </c>
      <c r="G110">
        <v>0</v>
      </c>
      <c r="H110">
        <v>0</v>
      </c>
      <c r="I110">
        <v>0</v>
      </c>
      <c r="J110">
        <v>7680</v>
      </c>
      <c r="K110">
        <v>0</v>
      </c>
      <c r="L110">
        <v>0</v>
      </c>
      <c r="M110" s="427">
        <v>0</v>
      </c>
      <c r="N110" s="427" t="s">
        <v>1823</v>
      </c>
    </row>
    <row r="111" spans="1:14" x14ac:dyDescent="0.2">
      <c r="B111" t="s">
        <v>375</v>
      </c>
      <c r="C111" t="s">
        <v>1154</v>
      </c>
      <c r="D111" t="s">
        <v>374</v>
      </c>
      <c r="E111" t="s">
        <v>1716</v>
      </c>
      <c r="F111">
        <v>3744</v>
      </c>
      <c r="G111">
        <v>0</v>
      </c>
      <c r="H111">
        <v>0</v>
      </c>
      <c r="I111">
        <v>280</v>
      </c>
      <c r="J111">
        <v>3552</v>
      </c>
      <c r="K111">
        <v>472</v>
      </c>
      <c r="L111">
        <v>0</v>
      </c>
      <c r="M111" s="427">
        <v>0</v>
      </c>
      <c r="N111" s="427" t="s">
        <v>1823</v>
      </c>
    </row>
    <row r="112" spans="1:14" x14ac:dyDescent="0.2">
      <c r="B112" t="s">
        <v>375</v>
      </c>
      <c r="C112" t="s">
        <v>1155</v>
      </c>
      <c r="D112" t="s">
        <v>374</v>
      </c>
      <c r="E112" t="s">
        <v>1717</v>
      </c>
      <c r="F112">
        <v>100650</v>
      </c>
      <c r="G112">
        <v>0</v>
      </c>
      <c r="H112">
        <v>0</v>
      </c>
      <c r="I112">
        <v>0</v>
      </c>
      <c r="J112">
        <v>19335</v>
      </c>
      <c r="K112">
        <v>81315</v>
      </c>
      <c r="L112">
        <v>170060</v>
      </c>
      <c r="M112" s="427">
        <v>173957.20833333334</v>
      </c>
      <c r="N112" s="427" t="s">
        <v>1823</v>
      </c>
    </row>
    <row r="113" spans="2:14" x14ac:dyDescent="0.2">
      <c r="B113" t="s">
        <v>375</v>
      </c>
      <c r="C113" t="s">
        <v>1156</v>
      </c>
      <c r="D113" t="s">
        <v>374</v>
      </c>
      <c r="E113" t="s">
        <v>1718</v>
      </c>
      <c r="F113">
        <v>0</v>
      </c>
      <c r="G113">
        <v>0</v>
      </c>
      <c r="H113">
        <v>0</v>
      </c>
      <c r="I113">
        <v>0</v>
      </c>
      <c r="J113">
        <v>0</v>
      </c>
      <c r="K113">
        <v>0</v>
      </c>
      <c r="L113">
        <v>0</v>
      </c>
      <c r="M113" s="427">
        <v>0</v>
      </c>
      <c r="N113" s="427" t="s">
        <v>1823</v>
      </c>
    </row>
    <row r="114" spans="2:14" x14ac:dyDescent="0.2">
      <c r="B114" t="s">
        <v>375</v>
      </c>
      <c r="C114" t="s">
        <v>1157</v>
      </c>
      <c r="D114" t="s">
        <v>374</v>
      </c>
      <c r="E114" t="s">
        <v>1719</v>
      </c>
      <c r="F114">
        <v>0</v>
      </c>
      <c r="G114">
        <v>0</v>
      </c>
      <c r="H114">
        <v>0</v>
      </c>
      <c r="I114">
        <v>0</v>
      </c>
      <c r="J114">
        <v>4872</v>
      </c>
      <c r="K114">
        <v>0</v>
      </c>
      <c r="L114">
        <v>0</v>
      </c>
      <c r="M114" s="427">
        <v>0</v>
      </c>
      <c r="N114" s="427" t="s">
        <v>1823</v>
      </c>
    </row>
    <row r="115" spans="2:14" x14ac:dyDescent="0.2">
      <c r="B115" t="s">
        <v>375</v>
      </c>
      <c r="C115" t="s">
        <v>1158</v>
      </c>
      <c r="D115" t="s">
        <v>374</v>
      </c>
      <c r="E115" t="s">
        <v>1720</v>
      </c>
      <c r="F115">
        <v>101200</v>
      </c>
      <c r="G115">
        <v>0</v>
      </c>
      <c r="H115">
        <v>0</v>
      </c>
      <c r="I115">
        <v>0</v>
      </c>
      <c r="J115">
        <v>7929</v>
      </c>
      <c r="K115">
        <v>93271</v>
      </c>
      <c r="L115">
        <v>0</v>
      </c>
      <c r="M115" s="427">
        <v>0</v>
      </c>
      <c r="N115" s="427" t="s">
        <v>1823</v>
      </c>
    </row>
    <row r="116" spans="2:14" x14ac:dyDescent="0.2">
      <c r="B116" t="s">
        <v>375</v>
      </c>
      <c r="C116" t="s">
        <v>1159</v>
      </c>
      <c r="D116" t="s">
        <v>374</v>
      </c>
      <c r="E116" t="s">
        <v>1721</v>
      </c>
      <c r="F116">
        <v>0</v>
      </c>
      <c r="G116">
        <v>0</v>
      </c>
      <c r="H116">
        <v>0</v>
      </c>
      <c r="I116">
        <v>0</v>
      </c>
      <c r="J116">
        <v>0</v>
      </c>
      <c r="K116">
        <v>0</v>
      </c>
      <c r="L116">
        <v>0</v>
      </c>
      <c r="M116" s="427">
        <v>0</v>
      </c>
      <c r="N116" s="427" t="s">
        <v>1823</v>
      </c>
    </row>
    <row r="117" spans="2:14" x14ac:dyDescent="0.2">
      <c r="B117" t="s">
        <v>375</v>
      </c>
      <c r="C117" t="s">
        <v>1160</v>
      </c>
      <c r="D117" t="s">
        <v>374</v>
      </c>
      <c r="E117" t="s">
        <v>1722</v>
      </c>
      <c r="F117">
        <v>0</v>
      </c>
      <c r="G117">
        <v>0</v>
      </c>
      <c r="H117">
        <v>0</v>
      </c>
      <c r="I117">
        <v>0</v>
      </c>
      <c r="J117">
        <v>0</v>
      </c>
      <c r="K117">
        <v>0</v>
      </c>
      <c r="L117">
        <v>0</v>
      </c>
      <c r="M117" s="427">
        <v>0</v>
      </c>
      <c r="N117" s="427" t="s">
        <v>1823</v>
      </c>
    </row>
    <row r="118" spans="2:14" x14ac:dyDescent="0.2">
      <c r="B118" t="s">
        <v>375</v>
      </c>
      <c r="C118" t="s">
        <v>1161</v>
      </c>
      <c r="D118" t="s">
        <v>374</v>
      </c>
      <c r="E118" t="s">
        <v>1723</v>
      </c>
      <c r="F118">
        <v>77924</v>
      </c>
      <c r="G118">
        <v>0</v>
      </c>
      <c r="H118">
        <v>0</v>
      </c>
      <c r="I118">
        <v>0</v>
      </c>
      <c r="J118">
        <v>21637</v>
      </c>
      <c r="K118">
        <v>56287</v>
      </c>
      <c r="L118">
        <v>0</v>
      </c>
      <c r="M118" s="427">
        <v>0</v>
      </c>
      <c r="N118" s="427" t="s">
        <v>1823</v>
      </c>
    </row>
    <row r="119" spans="2:14" x14ac:dyDescent="0.2">
      <c r="B119" t="s">
        <v>375</v>
      </c>
      <c r="C119" t="s">
        <v>1162</v>
      </c>
      <c r="D119" t="s">
        <v>374</v>
      </c>
      <c r="E119" t="s">
        <v>1724</v>
      </c>
      <c r="F119">
        <v>117149</v>
      </c>
      <c r="G119">
        <v>0</v>
      </c>
      <c r="H119">
        <v>0</v>
      </c>
      <c r="I119">
        <v>0</v>
      </c>
      <c r="J119">
        <v>3360</v>
      </c>
      <c r="K119">
        <v>113789</v>
      </c>
      <c r="L119">
        <v>0</v>
      </c>
      <c r="M119" s="427">
        <v>0</v>
      </c>
      <c r="N119" s="427" t="s">
        <v>1823</v>
      </c>
    </row>
    <row r="120" spans="2:14" x14ac:dyDescent="0.2">
      <c r="B120" t="s">
        <v>375</v>
      </c>
      <c r="C120" t="s">
        <v>1163</v>
      </c>
      <c r="D120" t="s">
        <v>374</v>
      </c>
      <c r="E120" t="s">
        <v>1725</v>
      </c>
      <c r="F120">
        <v>0</v>
      </c>
      <c r="G120">
        <v>0</v>
      </c>
      <c r="H120">
        <v>0</v>
      </c>
      <c r="I120">
        <v>0</v>
      </c>
      <c r="J120">
        <v>48948</v>
      </c>
      <c r="K120">
        <v>0</v>
      </c>
      <c r="L120">
        <v>0</v>
      </c>
      <c r="M120" s="427">
        <v>0</v>
      </c>
      <c r="N120" s="427" t="s">
        <v>1823</v>
      </c>
    </row>
    <row r="121" spans="2:14" x14ac:dyDescent="0.2">
      <c r="B121" t="s">
        <v>375</v>
      </c>
      <c r="C121" t="s">
        <v>1164</v>
      </c>
      <c r="D121" t="s">
        <v>374</v>
      </c>
      <c r="E121" t="s">
        <v>1726</v>
      </c>
      <c r="F121">
        <v>62390</v>
      </c>
      <c r="G121">
        <v>0</v>
      </c>
      <c r="H121">
        <v>0</v>
      </c>
      <c r="I121">
        <v>0</v>
      </c>
      <c r="J121">
        <v>0</v>
      </c>
      <c r="K121">
        <v>62390</v>
      </c>
      <c r="L121">
        <v>0</v>
      </c>
      <c r="M121" s="427">
        <v>0</v>
      </c>
      <c r="N121" s="427" t="s">
        <v>1823</v>
      </c>
    </row>
    <row r="122" spans="2:14" x14ac:dyDescent="0.2">
      <c r="B122" t="s">
        <v>379</v>
      </c>
      <c r="C122" t="s">
        <v>1316</v>
      </c>
      <c r="D122" t="s">
        <v>378</v>
      </c>
      <c r="E122" t="s">
        <v>1727</v>
      </c>
      <c r="F122">
        <v>0</v>
      </c>
      <c r="G122">
        <v>0</v>
      </c>
      <c r="H122">
        <v>0</v>
      </c>
      <c r="I122">
        <v>0</v>
      </c>
      <c r="J122">
        <v>0</v>
      </c>
      <c r="K122">
        <v>0</v>
      </c>
      <c r="L122">
        <v>0</v>
      </c>
      <c r="M122" s="427">
        <v>0</v>
      </c>
      <c r="N122" s="427" t="s">
        <v>1823</v>
      </c>
    </row>
    <row r="123" spans="2:14" x14ac:dyDescent="0.2">
      <c r="B123" t="s">
        <v>379</v>
      </c>
      <c r="C123" t="s">
        <v>1317</v>
      </c>
      <c r="D123" t="s">
        <v>378</v>
      </c>
      <c r="E123" t="s">
        <v>1728</v>
      </c>
      <c r="F123">
        <v>72366</v>
      </c>
      <c r="G123">
        <v>0</v>
      </c>
      <c r="H123">
        <v>0</v>
      </c>
      <c r="I123">
        <v>0</v>
      </c>
      <c r="J123">
        <v>0</v>
      </c>
      <c r="K123">
        <v>72366</v>
      </c>
      <c r="L123">
        <v>112801</v>
      </c>
      <c r="M123" s="427">
        <v>115386.02291666667</v>
      </c>
      <c r="N123" s="427" t="s">
        <v>1823</v>
      </c>
    </row>
    <row r="124" spans="2:14" x14ac:dyDescent="0.2">
      <c r="B124" t="s">
        <v>379</v>
      </c>
      <c r="C124" t="s">
        <v>1318</v>
      </c>
      <c r="D124" t="s">
        <v>378</v>
      </c>
      <c r="E124" t="s">
        <v>1729</v>
      </c>
      <c r="F124">
        <v>0</v>
      </c>
      <c r="G124">
        <v>0</v>
      </c>
      <c r="H124">
        <v>0</v>
      </c>
      <c r="I124">
        <v>0</v>
      </c>
      <c r="J124">
        <v>0</v>
      </c>
      <c r="K124">
        <v>0</v>
      </c>
      <c r="L124">
        <v>0</v>
      </c>
      <c r="M124" s="427">
        <v>0</v>
      </c>
      <c r="N124" s="427" t="s">
        <v>1823</v>
      </c>
    </row>
    <row r="125" spans="2:14" x14ac:dyDescent="0.2">
      <c r="B125" t="s">
        <v>383</v>
      </c>
      <c r="C125" t="s">
        <v>1165</v>
      </c>
      <c r="D125" t="s">
        <v>382</v>
      </c>
      <c r="E125" t="s">
        <v>1730</v>
      </c>
      <c r="F125">
        <v>1062165</v>
      </c>
      <c r="G125">
        <v>0</v>
      </c>
      <c r="H125">
        <v>0</v>
      </c>
      <c r="I125">
        <v>-132767</v>
      </c>
      <c r="J125">
        <v>1653791</v>
      </c>
      <c r="K125">
        <v>0</v>
      </c>
      <c r="L125">
        <v>0</v>
      </c>
      <c r="M125" s="427">
        <v>0</v>
      </c>
      <c r="N125" s="427" t="s">
        <v>1823</v>
      </c>
    </row>
    <row r="126" spans="2:14" x14ac:dyDescent="0.2">
      <c r="B126" t="s">
        <v>387</v>
      </c>
      <c r="C126" t="s">
        <v>1166</v>
      </c>
      <c r="D126" t="s">
        <v>386</v>
      </c>
      <c r="E126" t="s">
        <v>937</v>
      </c>
      <c r="F126">
        <v>2215899</v>
      </c>
      <c r="G126">
        <v>0</v>
      </c>
      <c r="H126">
        <v>0</v>
      </c>
      <c r="I126">
        <v>-83145</v>
      </c>
      <c r="J126">
        <v>1011506</v>
      </c>
      <c r="K126">
        <v>1121248</v>
      </c>
      <c r="L126">
        <v>494446</v>
      </c>
      <c r="M126" s="427">
        <v>505777.05416666664</v>
      </c>
      <c r="N126" s="427" t="s">
        <v>1823</v>
      </c>
    </row>
    <row r="127" spans="2:14" x14ac:dyDescent="0.2">
      <c r="B127" t="s">
        <v>389</v>
      </c>
      <c r="C127" t="s">
        <v>1319</v>
      </c>
      <c r="D127" t="s">
        <v>388</v>
      </c>
      <c r="E127" t="s">
        <v>1731</v>
      </c>
      <c r="F127">
        <v>1953182</v>
      </c>
      <c r="G127">
        <v>0</v>
      </c>
      <c r="H127">
        <v>0</v>
      </c>
      <c r="I127">
        <v>114085</v>
      </c>
      <c r="J127">
        <v>2404197</v>
      </c>
      <c r="K127">
        <v>0</v>
      </c>
      <c r="L127">
        <v>9365</v>
      </c>
      <c r="M127" s="427">
        <v>9579.6145833333339</v>
      </c>
      <c r="N127" s="427" t="s">
        <v>1823</v>
      </c>
    </row>
    <row r="128" spans="2:14" x14ac:dyDescent="0.2">
      <c r="B128" t="s">
        <v>391</v>
      </c>
      <c r="C128" t="s">
        <v>1320</v>
      </c>
      <c r="D128" t="s">
        <v>390</v>
      </c>
      <c r="E128" t="s">
        <v>1732</v>
      </c>
      <c r="F128">
        <v>301983</v>
      </c>
      <c r="G128">
        <v>0</v>
      </c>
      <c r="H128">
        <v>0</v>
      </c>
      <c r="I128">
        <v>8416</v>
      </c>
      <c r="J128">
        <v>257364</v>
      </c>
      <c r="K128">
        <v>53035</v>
      </c>
      <c r="L128">
        <v>55000</v>
      </c>
      <c r="M128" s="427">
        <v>56260.416666666664</v>
      </c>
      <c r="N128" s="427" t="s">
        <v>1823</v>
      </c>
    </row>
    <row r="129" spans="2:14" x14ac:dyDescent="0.2">
      <c r="B129" t="s">
        <v>391</v>
      </c>
      <c r="C129" t="s">
        <v>1321</v>
      </c>
      <c r="D129" t="s">
        <v>390</v>
      </c>
      <c r="E129" t="s">
        <v>1733</v>
      </c>
      <c r="F129">
        <v>0</v>
      </c>
      <c r="G129">
        <v>0</v>
      </c>
      <c r="H129">
        <v>0</v>
      </c>
      <c r="I129">
        <v>0</v>
      </c>
      <c r="J129">
        <v>0</v>
      </c>
      <c r="K129">
        <v>0</v>
      </c>
      <c r="L129">
        <v>0</v>
      </c>
      <c r="M129" s="427">
        <v>0</v>
      </c>
      <c r="N129" s="427" t="s">
        <v>1823</v>
      </c>
    </row>
    <row r="130" spans="2:14" x14ac:dyDescent="0.2">
      <c r="B130" t="s">
        <v>391</v>
      </c>
      <c r="C130" t="s">
        <v>1322</v>
      </c>
      <c r="D130" t="s">
        <v>390</v>
      </c>
      <c r="E130" t="s">
        <v>1734</v>
      </c>
      <c r="F130">
        <v>0</v>
      </c>
      <c r="G130">
        <v>0</v>
      </c>
      <c r="H130">
        <v>0</v>
      </c>
      <c r="I130">
        <v>0</v>
      </c>
      <c r="J130">
        <v>0</v>
      </c>
      <c r="K130">
        <v>0</v>
      </c>
      <c r="L130">
        <v>66801</v>
      </c>
      <c r="M130" s="427">
        <v>68331.856249999997</v>
      </c>
      <c r="N130" s="427" t="s">
        <v>1823</v>
      </c>
    </row>
    <row r="131" spans="2:14" x14ac:dyDescent="0.2">
      <c r="B131" t="s">
        <v>391</v>
      </c>
      <c r="C131" t="s">
        <v>1323</v>
      </c>
      <c r="D131" t="s">
        <v>390</v>
      </c>
      <c r="E131" t="s">
        <v>1735</v>
      </c>
      <c r="F131">
        <v>345160</v>
      </c>
      <c r="G131">
        <v>0</v>
      </c>
      <c r="H131">
        <v>0</v>
      </c>
      <c r="I131">
        <v>-11572</v>
      </c>
      <c r="J131">
        <v>174778</v>
      </c>
      <c r="K131">
        <v>158810</v>
      </c>
      <c r="L131">
        <v>0</v>
      </c>
      <c r="M131" s="427">
        <v>0</v>
      </c>
      <c r="N131" s="427" t="s">
        <v>1823</v>
      </c>
    </row>
    <row r="132" spans="2:14" x14ac:dyDescent="0.2">
      <c r="B132" t="s">
        <v>391</v>
      </c>
      <c r="C132" t="s">
        <v>1324</v>
      </c>
      <c r="D132" t="s">
        <v>390</v>
      </c>
      <c r="E132" t="s">
        <v>1736</v>
      </c>
      <c r="F132">
        <v>30073</v>
      </c>
      <c r="G132">
        <v>0</v>
      </c>
      <c r="H132">
        <v>0</v>
      </c>
      <c r="I132">
        <v>0</v>
      </c>
      <c r="J132">
        <v>1330</v>
      </c>
      <c r="K132">
        <v>28743</v>
      </c>
      <c r="L132">
        <v>0</v>
      </c>
      <c r="M132" s="427">
        <v>0</v>
      </c>
      <c r="N132" s="427" t="s">
        <v>1823</v>
      </c>
    </row>
    <row r="133" spans="2:14" x14ac:dyDescent="0.2">
      <c r="B133" t="s">
        <v>391</v>
      </c>
      <c r="C133" t="s">
        <v>1325</v>
      </c>
      <c r="D133" t="s">
        <v>390</v>
      </c>
      <c r="E133" t="s">
        <v>1737</v>
      </c>
      <c r="F133">
        <v>85693</v>
      </c>
      <c r="G133">
        <v>0</v>
      </c>
      <c r="H133">
        <v>0</v>
      </c>
      <c r="I133">
        <v>5691</v>
      </c>
      <c r="J133">
        <v>63763</v>
      </c>
      <c r="K133">
        <v>27621</v>
      </c>
      <c r="L133">
        <v>55000</v>
      </c>
      <c r="M133" s="427">
        <v>56260.416666666664</v>
      </c>
      <c r="N133" s="427" t="s">
        <v>1823</v>
      </c>
    </row>
    <row r="134" spans="2:14" x14ac:dyDescent="0.2">
      <c r="B134" t="s">
        <v>391</v>
      </c>
      <c r="C134" t="s">
        <v>1326</v>
      </c>
      <c r="D134" t="s">
        <v>390</v>
      </c>
      <c r="E134" t="s">
        <v>1738</v>
      </c>
      <c r="F134">
        <v>315084</v>
      </c>
      <c r="G134">
        <v>0</v>
      </c>
      <c r="H134">
        <v>0</v>
      </c>
      <c r="I134">
        <v>-28188</v>
      </c>
      <c r="J134">
        <v>298880</v>
      </c>
      <c r="K134">
        <v>0</v>
      </c>
      <c r="L134">
        <v>20460</v>
      </c>
      <c r="M134" s="427">
        <v>20928.875</v>
      </c>
      <c r="N134" s="427" t="s">
        <v>1823</v>
      </c>
    </row>
    <row r="135" spans="2:14" x14ac:dyDescent="0.2">
      <c r="B135" t="s">
        <v>391</v>
      </c>
      <c r="C135" t="s">
        <v>1327</v>
      </c>
      <c r="D135" t="s">
        <v>390</v>
      </c>
      <c r="E135" t="s">
        <v>1739</v>
      </c>
      <c r="F135">
        <v>1339736</v>
      </c>
      <c r="G135">
        <v>0</v>
      </c>
      <c r="H135">
        <v>0</v>
      </c>
      <c r="I135">
        <v>-2389</v>
      </c>
      <c r="J135">
        <v>1263302</v>
      </c>
      <c r="K135">
        <v>74045</v>
      </c>
      <c r="L135">
        <v>155792</v>
      </c>
      <c r="M135" s="427">
        <v>159362.23333333334</v>
      </c>
      <c r="N135" s="427" t="s">
        <v>1823</v>
      </c>
    </row>
    <row r="136" spans="2:14" x14ac:dyDescent="0.2">
      <c r="B136" t="s">
        <v>399</v>
      </c>
      <c r="C136" t="s">
        <v>1167</v>
      </c>
      <c r="D136" t="s">
        <v>398</v>
      </c>
      <c r="E136" t="s">
        <v>938</v>
      </c>
      <c r="F136">
        <v>2785165</v>
      </c>
      <c r="G136">
        <v>0</v>
      </c>
      <c r="H136">
        <v>0</v>
      </c>
      <c r="I136">
        <v>0</v>
      </c>
      <c r="J136">
        <v>3537575</v>
      </c>
      <c r="K136">
        <v>0</v>
      </c>
      <c r="L136">
        <v>0</v>
      </c>
      <c r="M136" s="427">
        <v>0</v>
      </c>
      <c r="N136" s="427" t="s">
        <v>1823</v>
      </c>
    </row>
    <row r="137" spans="2:14" x14ac:dyDescent="0.2">
      <c r="B137" t="s">
        <v>399</v>
      </c>
      <c r="C137" t="s">
        <v>1168</v>
      </c>
      <c r="D137" t="s">
        <v>398</v>
      </c>
      <c r="E137" t="s">
        <v>939</v>
      </c>
      <c r="F137">
        <v>23570092</v>
      </c>
      <c r="G137">
        <v>0</v>
      </c>
      <c r="H137">
        <v>0</v>
      </c>
      <c r="I137">
        <v>-926382</v>
      </c>
      <c r="J137">
        <v>30308804</v>
      </c>
      <c r="K137">
        <v>0</v>
      </c>
      <c r="L137">
        <v>324346</v>
      </c>
      <c r="M137" s="427">
        <v>331778.92916666664</v>
      </c>
      <c r="N137" s="427" t="s">
        <v>1823</v>
      </c>
    </row>
    <row r="138" spans="2:14" x14ac:dyDescent="0.2">
      <c r="B138" t="s">
        <v>401</v>
      </c>
      <c r="C138" t="s">
        <v>1169</v>
      </c>
      <c r="D138" t="s">
        <v>400</v>
      </c>
      <c r="E138" t="s">
        <v>1740</v>
      </c>
      <c r="F138">
        <v>3993408</v>
      </c>
      <c r="G138">
        <v>0</v>
      </c>
      <c r="H138">
        <v>0</v>
      </c>
      <c r="I138">
        <v>-39518</v>
      </c>
      <c r="J138">
        <v>4661966</v>
      </c>
      <c r="K138">
        <v>0</v>
      </c>
      <c r="L138">
        <v>0</v>
      </c>
      <c r="M138" s="427">
        <v>0</v>
      </c>
      <c r="N138" s="427" t="s">
        <v>1823</v>
      </c>
    </row>
    <row r="139" spans="2:14" x14ac:dyDescent="0.2">
      <c r="B139" t="s">
        <v>403</v>
      </c>
      <c r="C139" t="s">
        <v>1328</v>
      </c>
      <c r="D139" t="s">
        <v>402</v>
      </c>
      <c r="E139" t="s">
        <v>1741</v>
      </c>
      <c r="F139">
        <v>0</v>
      </c>
      <c r="G139">
        <v>0</v>
      </c>
      <c r="H139">
        <v>0</v>
      </c>
      <c r="I139">
        <v>0</v>
      </c>
      <c r="J139">
        <v>0</v>
      </c>
      <c r="K139">
        <v>0</v>
      </c>
      <c r="L139">
        <v>0</v>
      </c>
      <c r="M139" s="427">
        <v>0</v>
      </c>
      <c r="N139" s="427" t="s">
        <v>1823</v>
      </c>
    </row>
    <row r="140" spans="2:14" x14ac:dyDescent="0.2">
      <c r="B140" t="s">
        <v>409</v>
      </c>
      <c r="C140" t="s">
        <v>1170</v>
      </c>
      <c r="D140" t="s">
        <v>408</v>
      </c>
      <c r="E140" t="s">
        <v>1742</v>
      </c>
      <c r="F140">
        <v>5950078</v>
      </c>
      <c r="G140">
        <v>0</v>
      </c>
      <c r="H140">
        <v>0</v>
      </c>
      <c r="I140">
        <v>-302386</v>
      </c>
      <c r="J140">
        <v>5539848</v>
      </c>
      <c r="K140">
        <v>107844</v>
      </c>
      <c r="L140">
        <v>0</v>
      </c>
      <c r="M140" s="427">
        <v>0</v>
      </c>
      <c r="N140" s="427" t="s">
        <v>1823</v>
      </c>
    </row>
    <row r="141" spans="2:14" x14ac:dyDescent="0.2">
      <c r="B141" t="s">
        <v>409</v>
      </c>
      <c r="C141" t="s">
        <v>1171</v>
      </c>
      <c r="D141" t="s">
        <v>408</v>
      </c>
      <c r="E141" t="s">
        <v>1743</v>
      </c>
      <c r="F141">
        <v>1198612</v>
      </c>
      <c r="G141">
        <v>0</v>
      </c>
      <c r="H141">
        <v>0</v>
      </c>
      <c r="I141">
        <v>8407</v>
      </c>
      <c r="J141">
        <v>753905</v>
      </c>
      <c r="K141">
        <v>453114</v>
      </c>
      <c r="L141">
        <v>0</v>
      </c>
      <c r="M141" s="427">
        <v>0</v>
      </c>
      <c r="N141" s="427" t="s">
        <v>1823</v>
      </c>
    </row>
    <row r="142" spans="2:14" x14ac:dyDescent="0.2">
      <c r="B142" t="s">
        <v>409</v>
      </c>
      <c r="C142" t="s">
        <v>1172</v>
      </c>
      <c r="D142" t="s">
        <v>408</v>
      </c>
      <c r="E142" t="s">
        <v>1744</v>
      </c>
      <c r="F142">
        <v>4874503</v>
      </c>
      <c r="G142">
        <v>0</v>
      </c>
      <c r="H142">
        <v>0</v>
      </c>
      <c r="I142">
        <v>35263</v>
      </c>
      <c r="J142">
        <v>5102606</v>
      </c>
      <c r="K142">
        <v>0</v>
      </c>
      <c r="L142">
        <v>0</v>
      </c>
      <c r="M142" s="427">
        <v>0</v>
      </c>
      <c r="N142" s="427" t="s">
        <v>1823</v>
      </c>
    </row>
    <row r="143" spans="2:14" x14ac:dyDescent="0.2">
      <c r="B143" t="s">
        <v>409</v>
      </c>
      <c r="C143" t="s">
        <v>1173</v>
      </c>
      <c r="D143" t="s">
        <v>408</v>
      </c>
      <c r="E143" t="s">
        <v>1745</v>
      </c>
      <c r="F143">
        <v>733566</v>
      </c>
      <c r="G143">
        <v>0</v>
      </c>
      <c r="H143">
        <v>0</v>
      </c>
      <c r="I143">
        <v>-17568</v>
      </c>
      <c r="J143">
        <v>709204</v>
      </c>
      <c r="K143">
        <v>6794</v>
      </c>
      <c r="L143">
        <v>0</v>
      </c>
      <c r="M143" s="427">
        <v>0</v>
      </c>
      <c r="N143" s="427" t="s">
        <v>1823</v>
      </c>
    </row>
    <row r="144" spans="2:14" x14ac:dyDescent="0.2">
      <c r="B144" t="s">
        <v>413</v>
      </c>
      <c r="C144" t="s">
        <v>1329</v>
      </c>
      <c r="D144" t="s">
        <v>412</v>
      </c>
      <c r="E144" t="s">
        <v>1746</v>
      </c>
      <c r="F144">
        <v>34358</v>
      </c>
      <c r="G144">
        <v>0</v>
      </c>
      <c r="H144">
        <v>0</v>
      </c>
      <c r="I144">
        <v>0</v>
      </c>
      <c r="J144">
        <v>11217</v>
      </c>
      <c r="K144">
        <v>23141</v>
      </c>
      <c r="L144">
        <v>0</v>
      </c>
      <c r="M144" s="427">
        <v>0</v>
      </c>
      <c r="N144" s="427" t="s">
        <v>1823</v>
      </c>
    </row>
    <row r="145" spans="2:14" x14ac:dyDescent="0.2">
      <c r="B145" t="s">
        <v>423</v>
      </c>
      <c r="C145" t="s">
        <v>1174</v>
      </c>
      <c r="D145" t="s">
        <v>422</v>
      </c>
      <c r="E145" t="s">
        <v>1747</v>
      </c>
      <c r="F145">
        <v>0</v>
      </c>
      <c r="G145">
        <v>0</v>
      </c>
      <c r="H145">
        <v>0</v>
      </c>
      <c r="I145">
        <v>0</v>
      </c>
      <c r="J145">
        <v>0</v>
      </c>
      <c r="K145">
        <v>0</v>
      </c>
      <c r="L145">
        <v>0</v>
      </c>
      <c r="M145" s="427">
        <v>0</v>
      </c>
      <c r="N145" s="427" t="s">
        <v>1823</v>
      </c>
    </row>
    <row r="146" spans="2:14" x14ac:dyDescent="0.2">
      <c r="B146" t="s">
        <v>427</v>
      </c>
      <c r="C146" t="s">
        <v>1175</v>
      </c>
      <c r="D146" t="s">
        <v>426</v>
      </c>
      <c r="E146" t="s">
        <v>933</v>
      </c>
      <c r="F146">
        <v>12541</v>
      </c>
      <c r="G146">
        <v>0</v>
      </c>
      <c r="H146">
        <v>0</v>
      </c>
      <c r="I146">
        <v>0</v>
      </c>
      <c r="J146">
        <v>0</v>
      </c>
      <c r="K146">
        <v>12541</v>
      </c>
      <c r="L146">
        <v>55000</v>
      </c>
      <c r="M146" s="427">
        <v>56260.416666666664</v>
      </c>
      <c r="N146" s="427" t="s">
        <v>1823</v>
      </c>
    </row>
    <row r="147" spans="2:14" x14ac:dyDescent="0.2">
      <c r="B147" t="s">
        <v>427</v>
      </c>
      <c r="C147" t="s">
        <v>1176</v>
      </c>
      <c r="D147" t="s">
        <v>426</v>
      </c>
      <c r="E147" t="s">
        <v>1748</v>
      </c>
      <c r="F147">
        <v>2880946</v>
      </c>
      <c r="G147">
        <v>0</v>
      </c>
      <c r="H147">
        <v>0</v>
      </c>
      <c r="I147">
        <v>-328633</v>
      </c>
      <c r="J147">
        <v>2864699</v>
      </c>
      <c r="K147">
        <v>0</v>
      </c>
      <c r="L147">
        <v>68981</v>
      </c>
      <c r="M147" s="427">
        <v>70561.81458333334</v>
      </c>
      <c r="N147" s="427" t="s">
        <v>1823</v>
      </c>
    </row>
    <row r="148" spans="2:14" x14ac:dyDescent="0.2">
      <c r="B148" t="s">
        <v>437</v>
      </c>
      <c r="C148" t="s">
        <v>1177</v>
      </c>
      <c r="D148" t="s">
        <v>970</v>
      </c>
      <c r="E148" t="s">
        <v>940</v>
      </c>
      <c r="F148">
        <v>588749</v>
      </c>
      <c r="G148">
        <v>0</v>
      </c>
      <c r="H148">
        <v>0</v>
      </c>
      <c r="I148">
        <v>0</v>
      </c>
      <c r="J148">
        <v>87781</v>
      </c>
      <c r="K148">
        <v>500968</v>
      </c>
      <c r="L148">
        <v>0</v>
      </c>
      <c r="M148" s="427">
        <v>0</v>
      </c>
      <c r="N148" s="427" t="s">
        <v>1823</v>
      </c>
    </row>
    <row r="149" spans="2:14" x14ac:dyDescent="0.2">
      <c r="B149" t="s">
        <v>437</v>
      </c>
      <c r="C149" t="s">
        <v>1178</v>
      </c>
      <c r="D149" t="s">
        <v>970</v>
      </c>
      <c r="E149" t="s">
        <v>930</v>
      </c>
      <c r="F149">
        <v>7658193</v>
      </c>
      <c r="G149">
        <v>0</v>
      </c>
      <c r="H149">
        <v>0</v>
      </c>
      <c r="I149">
        <v>-707449</v>
      </c>
      <c r="J149">
        <v>5338866</v>
      </c>
      <c r="K149">
        <v>1611878</v>
      </c>
      <c r="L149">
        <v>0</v>
      </c>
      <c r="M149" s="427">
        <v>0</v>
      </c>
      <c r="N149" s="427" t="s">
        <v>1823</v>
      </c>
    </row>
    <row r="150" spans="2:14" x14ac:dyDescent="0.2">
      <c r="B150" t="s">
        <v>437</v>
      </c>
      <c r="C150" t="s">
        <v>1330</v>
      </c>
      <c r="D150" t="s">
        <v>970</v>
      </c>
      <c r="E150" t="s">
        <v>1749</v>
      </c>
      <c r="F150">
        <v>0</v>
      </c>
      <c r="G150">
        <v>0</v>
      </c>
      <c r="H150">
        <v>0</v>
      </c>
      <c r="I150">
        <v>0</v>
      </c>
      <c r="J150">
        <v>0</v>
      </c>
      <c r="K150">
        <v>0</v>
      </c>
      <c r="L150">
        <v>0</v>
      </c>
      <c r="M150" s="427">
        <v>0</v>
      </c>
      <c r="N150" s="427" t="s">
        <v>1823</v>
      </c>
    </row>
    <row r="151" spans="2:14" x14ac:dyDescent="0.2">
      <c r="B151" t="s">
        <v>437</v>
      </c>
      <c r="C151" t="s">
        <v>1331</v>
      </c>
      <c r="D151" t="s">
        <v>970</v>
      </c>
      <c r="E151" t="s">
        <v>1750</v>
      </c>
      <c r="F151">
        <v>0</v>
      </c>
      <c r="G151">
        <v>0</v>
      </c>
      <c r="H151">
        <v>0</v>
      </c>
      <c r="I151">
        <v>0</v>
      </c>
      <c r="J151">
        <v>0</v>
      </c>
      <c r="K151">
        <v>0</v>
      </c>
      <c r="L151">
        <v>0</v>
      </c>
      <c r="M151" s="427">
        <v>0</v>
      </c>
      <c r="N151" s="427" t="s">
        <v>1823</v>
      </c>
    </row>
    <row r="152" spans="2:14" x14ac:dyDescent="0.2">
      <c r="B152" t="s">
        <v>439</v>
      </c>
      <c r="C152" t="s">
        <v>1179</v>
      </c>
      <c r="D152" t="s">
        <v>438</v>
      </c>
      <c r="E152" t="s">
        <v>1751</v>
      </c>
      <c r="F152">
        <v>0</v>
      </c>
      <c r="G152">
        <v>0</v>
      </c>
      <c r="H152">
        <v>0</v>
      </c>
      <c r="I152">
        <v>0</v>
      </c>
      <c r="J152">
        <v>0</v>
      </c>
      <c r="K152">
        <v>0</v>
      </c>
      <c r="L152">
        <v>0</v>
      </c>
      <c r="M152" s="427">
        <v>0</v>
      </c>
      <c r="N152" s="427" t="s">
        <v>1823</v>
      </c>
    </row>
    <row r="153" spans="2:14" x14ac:dyDescent="0.2">
      <c r="B153" t="s">
        <v>441</v>
      </c>
      <c r="C153" t="s">
        <v>1180</v>
      </c>
      <c r="D153" t="s">
        <v>440</v>
      </c>
      <c r="E153" t="s">
        <v>941</v>
      </c>
      <c r="F153">
        <v>1877525</v>
      </c>
      <c r="G153">
        <v>0</v>
      </c>
      <c r="H153">
        <v>0</v>
      </c>
      <c r="I153">
        <v>-6094</v>
      </c>
      <c r="J153">
        <v>237770</v>
      </c>
      <c r="K153">
        <v>1633661</v>
      </c>
      <c r="L153">
        <v>0</v>
      </c>
      <c r="M153" s="427">
        <v>0</v>
      </c>
      <c r="N153" s="427" t="s">
        <v>1823</v>
      </c>
    </row>
    <row r="154" spans="2:14" x14ac:dyDescent="0.2">
      <c r="B154" t="s">
        <v>449</v>
      </c>
      <c r="C154" t="s">
        <v>1181</v>
      </c>
      <c r="D154" t="s">
        <v>448</v>
      </c>
      <c r="E154" t="s">
        <v>926</v>
      </c>
      <c r="F154">
        <v>0</v>
      </c>
      <c r="G154">
        <v>0</v>
      </c>
      <c r="H154">
        <v>0</v>
      </c>
      <c r="I154">
        <v>0</v>
      </c>
      <c r="J154">
        <v>0</v>
      </c>
      <c r="K154">
        <v>0</v>
      </c>
      <c r="L154">
        <v>125260</v>
      </c>
      <c r="M154" s="427">
        <v>128130.54166666667</v>
      </c>
      <c r="N154" s="427" t="s">
        <v>1823</v>
      </c>
    </row>
    <row r="155" spans="2:14" x14ac:dyDescent="0.2">
      <c r="B155" t="s">
        <v>449</v>
      </c>
      <c r="C155" t="s">
        <v>1182</v>
      </c>
      <c r="D155" t="s">
        <v>448</v>
      </c>
      <c r="E155" t="s">
        <v>927</v>
      </c>
      <c r="F155">
        <v>0</v>
      </c>
      <c r="G155">
        <v>0</v>
      </c>
      <c r="H155">
        <v>0</v>
      </c>
      <c r="I155">
        <v>0</v>
      </c>
      <c r="J155">
        <v>0</v>
      </c>
      <c r="K155">
        <v>0</v>
      </c>
      <c r="L155">
        <v>0</v>
      </c>
      <c r="M155" s="427">
        <v>0</v>
      </c>
      <c r="N155" s="427" t="s">
        <v>1823</v>
      </c>
    </row>
    <row r="156" spans="2:14" x14ac:dyDescent="0.2">
      <c r="B156" t="s">
        <v>449</v>
      </c>
      <c r="C156" t="s">
        <v>1183</v>
      </c>
      <c r="D156" t="s">
        <v>448</v>
      </c>
      <c r="E156" t="s">
        <v>1752</v>
      </c>
      <c r="F156">
        <v>0</v>
      </c>
      <c r="G156">
        <v>0</v>
      </c>
      <c r="H156">
        <v>0</v>
      </c>
      <c r="I156">
        <v>0</v>
      </c>
      <c r="J156">
        <v>0</v>
      </c>
      <c r="K156">
        <v>0</v>
      </c>
      <c r="L156">
        <v>0</v>
      </c>
      <c r="M156" s="427">
        <v>0</v>
      </c>
      <c r="N156" s="427" t="s">
        <v>1823</v>
      </c>
    </row>
    <row r="157" spans="2:14" x14ac:dyDescent="0.2">
      <c r="B157" t="s">
        <v>449</v>
      </c>
      <c r="C157" t="s">
        <v>1184</v>
      </c>
      <c r="D157" t="s">
        <v>448</v>
      </c>
      <c r="E157" t="s">
        <v>1753</v>
      </c>
      <c r="F157">
        <v>0</v>
      </c>
      <c r="G157">
        <v>0</v>
      </c>
      <c r="H157">
        <v>0</v>
      </c>
      <c r="I157">
        <v>0</v>
      </c>
      <c r="J157">
        <v>0</v>
      </c>
      <c r="K157">
        <v>0</v>
      </c>
      <c r="L157">
        <v>0</v>
      </c>
      <c r="M157" s="427">
        <v>0</v>
      </c>
      <c r="N157" s="427" t="s">
        <v>1823</v>
      </c>
    </row>
    <row r="158" spans="2:14" x14ac:dyDescent="0.2">
      <c r="B158" t="s">
        <v>449</v>
      </c>
      <c r="C158" t="s">
        <v>1185</v>
      </c>
      <c r="D158" t="s">
        <v>448</v>
      </c>
      <c r="E158" t="s">
        <v>1754</v>
      </c>
      <c r="F158">
        <v>0</v>
      </c>
      <c r="G158">
        <v>0</v>
      </c>
      <c r="H158">
        <v>0</v>
      </c>
      <c r="I158">
        <v>0</v>
      </c>
      <c r="J158">
        <v>0</v>
      </c>
      <c r="K158">
        <v>0</v>
      </c>
      <c r="L158">
        <v>0</v>
      </c>
      <c r="M158" s="427">
        <v>0</v>
      </c>
      <c r="N158" s="427" t="s">
        <v>1823</v>
      </c>
    </row>
    <row r="159" spans="2:14" x14ac:dyDescent="0.2">
      <c r="B159" t="s">
        <v>449</v>
      </c>
      <c r="C159" t="s">
        <v>1186</v>
      </c>
      <c r="D159" t="s">
        <v>448</v>
      </c>
      <c r="E159" t="s">
        <v>1755</v>
      </c>
      <c r="F159">
        <v>0</v>
      </c>
      <c r="G159">
        <v>0</v>
      </c>
      <c r="H159">
        <v>0</v>
      </c>
      <c r="I159">
        <v>0</v>
      </c>
      <c r="J159">
        <v>0</v>
      </c>
      <c r="K159">
        <v>0</v>
      </c>
      <c r="L159">
        <v>0</v>
      </c>
      <c r="M159" s="427">
        <v>0</v>
      </c>
      <c r="N159" s="427" t="s">
        <v>1823</v>
      </c>
    </row>
    <row r="160" spans="2:14" x14ac:dyDescent="0.2">
      <c r="B160" t="s">
        <v>449</v>
      </c>
      <c r="C160" t="s">
        <v>1187</v>
      </c>
      <c r="D160" t="s">
        <v>448</v>
      </c>
      <c r="E160" t="s">
        <v>1756</v>
      </c>
      <c r="F160">
        <v>0</v>
      </c>
      <c r="G160">
        <v>0</v>
      </c>
      <c r="H160">
        <v>0</v>
      </c>
      <c r="I160">
        <v>0</v>
      </c>
      <c r="J160">
        <v>0</v>
      </c>
      <c r="K160">
        <v>0</v>
      </c>
      <c r="L160">
        <v>0</v>
      </c>
      <c r="M160" s="427">
        <v>0</v>
      </c>
      <c r="N160" s="427" t="s">
        <v>1823</v>
      </c>
    </row>
    <row r="161" spans="2:14" x14ac:dyDescent="0.2">
      <c r="B161" t="s">
        <v>449</v>
      </c>
      <c r="C161" t="s">
        <v>1332</v>
      </c>
      <c r="D161" t="s">
        <v>448</v>
      </c>
      <c r="E161" t="s">
        <v>1757</v>
      </c>
      <c r="F161">
        <v>0</v>
      </c>
      <c r="G161">
        <v>0</v>
      </c>
      <c r="H161">
        <v>0</v>
      </c>
      <c r="I161">
        <v>0</v>
      </c>
      <c r="J161">
        <v>0</v>
      </c>
      <c r="K161">
        <v>0</v>
      </c>
      <c r="L161">
        <v>0</v>
      </c>
      <c r="M161" s="427">
        <v>0</v>
      </c>
      <c r="N161" s="427" t="s">
        <v>1823</v>
      </c>
    </row>
    <row r="162" spans="2:14" x14ac:dyDescent="0.2">
      <c r="B162" t="s">
        <v>455</v>
      </c>
      <c r="C162" t="s">
        <v>1188</v>
      </c>
      <c r="D162" t="s">
        <v>454</v>
      </c>
      <c r="E162" t="s">
        <v>927</v>
      </c>
      <c r="F162">
        <v>1118871</v>
      </c>
      <c r="G162">
        <v>0</v>
      </c>
      <c r="H162">
        <v>0</v>
      </c>
      <c r="I162">
        <v>-9621</v>
      </c>
      <c r="J162">
        <v>926031</v>
      </c>
      <c r="K162">
        <v>183219</v>
      </c>
      <c r="L162">
        <v>0</v>
      </c>
      <c r="M162" s="427">
        <v>0</v>
      </c>
      <c r="N162" s="427" t="s">
        <v>1823</v>
      </c>
    </row>
    <row r="163" spans="2:14" x14ac:dyDescent="0.2">
      <c r="B163" t="s">
        <v>455</v>
      </c>
      <c r="C163" t="s">
        <v>1189</v>
      </c>
      <c r="D163" t="s">
        <v>454</v>
      </c>
      <c r="E163" t="s">
        <v>1758</v>
      </c>
      <c r="F163">
        <v>853901</v>
      </c>
      <c r="G163">
        <v>0</v>
      </c>
      <c r="H163">
        <v>0</v>
      </c>
      <c r="I163">
        <v>19383</v>
      </c>
      <c r="J163">
        <v>18496</v>
      </c>
      <c r="K163">
        <v>854788</v>
      </c>
      <c r="L163">
        <v>134700</v>
      </c>
      <c r="M163" s="427">
        <v>137786.875</v>
      </c>
      <c r="N163" s="427" t="s">
        <v>1823</v>
      </c>
    </row>
    <row r="164" spans="2:14" x14ac:dyDescent="0.2">
      <c r="B164" t="s">
        <v>457</v>
      </c>
      <c r="C164" t="s">
        <v>1190</v>
      </c>
      <c r="D164" t="s">
        <v>456</v>
      </c>
      <c r="E164" t="s">
        <v>1759</v>
      </c>
      <c r="F164">
        <v>6175</v>
      </c>
      <c r="G164">
        <v>0</v>
      </c>
      <c r="H164">
        <v>0</v>
      </c>
      <c r="I164">
        <v>55217</v>
      </c>
      <c r="J164">
        <v>0</v>
      </c>
      <c r="K164">
        <v>61392</v>
      </c>
      <c r="L164">
        <v>197609</v>
      </c>
      <c r="M164" s="427">
        <v>202137.53958333333</v>
      </c>
      <c r="N164" s="427" t="s">
        <v>1823</v>
      </c>
    </row>
    <row r="165" spans="2:14" x14ac:dyDescent="0.2">
      <c r="B165" t="s">
        <v>457</v>
      </c>
      <c r="C165" t="s">
        <v>1191</v>
      </c>
      <c r="D165" t="s">
        <v>456</v>
      </c>
      <c r="E165" t="s">
        <v>1760</v>
      </c>
      <c r="F165">
        <v>0</v>
      </c>
      <c r="G165">
        <v>0</v>
      </c>
      <c r="H165">
        <v>0</v>
      </c>
      <c r="I165">
        <v>0</v>
      </c>
      <c r="J165">
        <v>0</v>
      </c>
      <c r="K165">
        <v>0</v>
      </c>
      <c r="L165">
        <v>0</v>
      </c>
      <c r="M165" s="427">
        <v>0</v>
      </c>
      <c r="N165" s="427" t="s">
        <v>1823</v>
      </c>
    </row>
    <row r="166" spans="2:14" x14ac:dyDescent="0.2">
      <c r="B166" t="s">
        <v>459</v>
      </c>
      <c r="C166" t="s">
        <v>1192</v>
      </c>
      <c r="D166" t="s">
        <v>458</v>
      </c>
      <c r="E166" t="s">
        <v>919</v>
      </c>
      <c r="F166">
        <v>790057</v>
      </c>
      <c r="G166">
        <v>0</v>
      </c>
      <c r="H166">
        <v>0</v>
      </c>
      <c r="I166">
        <v>-75332</v>
      </c>
      <c r="J166">
        <v>189544</v>
      </c>
      <c r="K166">
        <v>525181</v>
      </c>
      <c r="L166">
        <v>0</v>
      </c>
      <c r="M166" s="427">
        <v>0</v>
      </c>
      <c r="N166" s="427" t="s">
        <v>1823</v>
      </c>
    </row>
    <row r="167" spans="2:14" x14ac:dyDescent="0.2">
      <c r="B167" t="s">
        <v>461</v>
      </c>
      <c r="C167" t="s">
        <v>1193</v>
      </c>
      <c r="D167" t="s">
        <v>460</v>
      </c>
      <c r="E167" t="s">
        <v>942</v>
      </c>
      <c r="F167">
        <v>573708</v>
      </c>
      <c r="G167">
        <v>0</v>
      </c>
      <c r="H167">
        <v>0</v>
      </c>
      <c r="I167">
        <v>13262</v>
      </c>
      <c r="J167">
        <v>599874</v>
      </c>
      <c r="K167">
        <v>0</v>
      </c>
      <c r="L167">
        <v>33813</v>
      </c>
      <c r="M167" s="427">
        <v>34587.881249999999</v>
      </c>
      <c r="N167" s="427" t="s">
        <v>1823</v>
      </c>
    </row>
    <row r="168" spans="2:14" x14ac:dyDescent="0.2">
      <c r="B168" t="s">
        <v>467</v>
      </c>
      <c r="C168" t="s">
        <v>1194</v>
      </c>
      <c r="D168" t="s">
        <v>466</v>
      </c>
      <c r="E168" t="s">
        <v>943</v>
      </c>
      <c r="F168">
        <v>4790597</v>
      </c>
      <c r="G168">
        <v>0</v>
      </c>
      <c r="H168">
        <v>0</v>
      </c>
      <c r="I168">
        <v>-185355</v>
      </c>
      <c r="J168">
        <v>3260926</v>
      </c>
      <c r="K168">
        <v>1344316</v>
      </c>
      <c r="L168">
        <v>596248</v>
      </c>
      <c r="M168" s="427">
        <v>609912.01666666672</v>
      </c>
      <c r="N168" s="427" t="s">
        <v>1823</v>
      </c>
    </row>
    <row r="169" spans="2:14" x14ac:dyDescent="0.2">
      <c r="B169" t="s">
        <v>469</v>
      </c>
      <c r="C169" t="s">
        <v>1195</v>
      </c>
      <c r="D169" t="s">
        <v>468</v>
      </c>
      <c r="E169" t="s">
        <v>944</v>
      </c>
      <c r="F169">
        <v>250166</v>
      </c>
      <c r="G169">
        <v>0</v>
      </c>
      <c r="H169">
        <v>0</v>
      </c>
      <c r="I169">
        <v>21988</v>
      </c>
      <c r="J169">
        <v>14947</v>
      </c>
      <c r="K169">
        <v>257207</v>
      </c>
      <c r="L169">
        <v>70888</v>
      </c>
      <c r="M169" s="427">
        <v>72512.516666666663</v>
      </c>
      <c r="N169" s="427" t="s">
        <v>1823</v>
      </c>
    </row>
    <row r="170" spans="2:14" x14ac:dyDescent="0.2">
      <c r="B170" t="s">
        <v>469</v>
      </c>
      <c r="C170" t="s">
        <v>1333</v>
      </c>
      <c r="D170" t="s">
        <v>468</v>
      </c>
      <c r="E170" t="s">
        <v>1761</v>
      </c>
      <c r="F170">
        <v>0</v>
      </c>
      <c r="G170">
        <v>0</v>
      </c>
      <c r="H170">
        <v>0</v>
      </c>
      <c r="I170">
        <v>0</v>
      </c>
      <c r="J170">
        <v>0</v>
      </c>
      <c r="K170">
        <v>0</v>
      </c>
      <c r="L170">
        <v>0</v>
      </c>
      <c r="M170" s="427">
        <v>0</v>
      </c>
      <c r="N170" s="427" t="s">
        <v>1823</v>
      </c>
    </row>
    <row r="171" spans="2:14" x14ac:dyDescent="0.2">
      <c r="B171" t="s">
        <v>469</v>
      </c>
      <c r="C171" t="s">
        <v>1334</v>
      </c>
      <c r="D171" t="s">
        <v>468</v>
      </c>
      <c r="E171" t="s">
        <v>1762</v>
      </c>
      <c r="F171">
        <v>0</v>
      </c>
      <c r="G171">
        <v>0</v>
      </c>
      <c r="H171">
        <v>0</v>
      </c>
      <c r="I171">
        <v>0</v>
      </c>
      <c r="J171">
        <v>0</v>
      </c>
      <c r="K171">
        <v>0</v>
      </c>
      <c r="L171">
        <v>0</v>
      </c>
      <c r="M171" s="427">
        <v>0</v>
      </c>
      <c r="N171" s="427" t="s">
        <v>1823</v>
      </c>
    </row>
    <row r="172" spans="2:14" x14ac:dyDescent="0.2">
      <c r="B172" t="s">
        <v>469</v>
      </c>
      <c r="C172" t="s">
        <v>1335</v>
      </c>
      <c r="D172" t="s">
        <v>468</v>
      </c>
      <c r="E172" t="s">
        <v>1763</v>
      </c>
      <c r="F172">
        <v>6720</v>
      </c>
      <c r="G172">
        <v>0</v>
      </c>
      <c r="H172">
        <v>0</v>
      </c>
      <c r="I172">
        <v>0</v>
      </c>
      <c r="J172">
        <v>20455</v>
      </c>
      <c r="K172">
        <v>0</v>
      </c>
      <c r="L172">
        <v>39288</v>
      </c>
      <c r="M172" s="427">
        <v>40188.35</v>
      </c>
      <c r="N172" s="427" t="s">
        <v>1823</v>
      </c>
    </row>
    <row r="173" spans="2:14" x14ac:dyDescent="0.2">
      <c r="B173" t="s">
        <v>473</v>
      </c>
      <c r="C173" t="s">
        <v>1196</v>
      </c>
      <c r="D173" t="s">
        <v>472</v>
      </c>
      <c r="E173" t="s">
        <v>945</v>
      </c>
      <c r="F173">
        <v>3973580</v>
      </c>
      <c r="G173">
        <v>0</v>
      </c>
      <c r="H173">
        <v>0</v>
      </c>
      <c r="I173">
        <v>0</v>
      </c>
      <c r="J173">
        <v>4100087</v>
      </c>
      <c r="K173">
        <v>0</v>
      </c>
      <c r="L173">
        <v>0</v>
      </c>
      <c r="M173" s="427">
        <v>0</v>
      </c>
      <c r="N173" s="427" t="s">
        <v>1823</v>
      </c>
    </row>
    <row r="174" spans="2:14" x14ac:dyDescent="0.2">
      <c r="B174" t="s">
        <v>473</v>
      </c>
      <c r="C174" t="s">
        <v>1197</v>
      </c>
      <c r="D174" t="s">
        <v>472</v>
      </c>
      <c r="E174" t="s">
        <v>946</v>
      </c>
      <c r="F174">
        <v>6808522</v>
      </c>
      <c r="G174">
        <v>0</v>
      </c>
      <c r="H174">
        <v>0</v>
      </c>
      <c r="I174">
        <v>200320</v>
      </c>
      <c r="J174">
        <v>7164750</v>
      </c>
      <c r="K174">
        <v>0</v>
      </c>
      <c r="L174">
        <v>0</v>
      </c>
      <c r="M174" s="427">
        <v>0</v>
      </c>
      <c r="N174" s="427" t="s">
        <v>1823</v>
      </c>
    </row>
    <row r="175" spans="2:14" x14ac:dyDescent="0.2">
      <c r="B175" t="s">
        <v>487</v>
      </c>
      <c r="C175" t="s">
        <v>1336</v>
      </c>
      <c r="D175" t="s">
        <v>486</v>
      </c>
      <c r="E175" t="s">
        <v>1764</v>
      </c>
      <c r="F175">
        <v>369</v>
      </c>
      <c r="G175">
        <v>0</v>
      </c>
      <c r="H175">
        <v>0</v>
      </c>
      <c r="I175">
        <v>0</v>
      </c>
      <c r="J175">
        <v>544342</v>
      </c>
      <c r="K175">
        <v>0</v>
      </c>
      <c r="L175">
        <v>6915</v>
      </c>
      <c r="M175" s="427">
        <v>7073.46875</v>
      </c>
      <c r="N175" s="427" t="s">
        <v>1823</v>
      </c>
    </row>
    <row r="176" spans="2:14" x14ac:dyDescent="0.2">
      <c r="B176" t="s">
        <v>495</v>
      </c>
      <c r="C176" t="s">
        <v>1337</v>
      </c>
      <c r="D176" t="s">
        <v>494</v>
      </c>
      <c r="E176" t="s">
        <v>1765</v>
      </c>
      <c r="F176">
        <v>362748</v>
      </c>
      <c r="G176">
        <v>0</v>
      </c>
      <c r="H176">
        <v>0</v>
      </c>
      <c r="I176">
        <v>0</v>
      </c>
      <c r="J176">
        <v>271309</v>
      </c>
      <c r="K176">
        <v>91439</v>
      </c>
      <c r="L176">
        <v>46777</v>
      </c>
      <c r="M176" s="427">
        <v>47848.972916666666</v>
      </c>
      <c r="N176" s="427" t="s">
        <v>1823</v>
      </c>
    </row>
    <row r="177" spans="2:14" x14ac:dyDescent="0.2">
      <c r="B177" t="s">
        <v>501</v>
      </c>
      <c r="C177" t="s">
        <v>1198</v>
      </c>
      <c r="D177" t="s">
        <v>500</v>
      </c>
      <c r="E177" t="s">
        <v>933</v>
      </c>
      <c r="F177">
        <v>2104801</v>
      </c>
      <c r="G177">
        <v>0</v>
      </c>
      <c r="H177">
        <v>0</v>
      </c>
      <c r="I177">
        <v>-94223</v>
      </c>
      <c r="J177">
        <v>0</v>
      </c>
      <c r="K177">
        <v>2010578</v>
      </c>
      <c r="L177">
        <v>0</v>
      </c>
      <c r="M177" s="427">
        <v>0</v>
      </c>
      <c r="N177" s="427" t="s">
        <v>1823</v>
      </c>
    </row>
    <row r="178" spans="2:14" x14ac:dyDescent="0.2">
      <c r="B178" t="s">
        <v>507</v>
      </c>
      <c r="C178" t="s">
        <v>1199</v>
      </c>
      <c r="D178" t="s">
        <v>506</v>
      </c>
      <c r="E178" t="s">
        <v>929</v>
      </c>
      <c r="F178">
        <v>2151254</v>
      </c>
      <c r="G178">
        <v>47722</v>
      </c>
      <c r="H178">
        <v>0</v>
      </c>
      <c r="I178">
        <v>-12822</v>
      </c>
      <c r="J178">
        <v>1895330</v>
      </c>
      <c r="K178">
        <v>195380</v>
      </c>
      <c r="L178">
        <v>0</v>
      </c>
      <c r="M178" s="427">
        <v>0</v>
      </c>
      <c r="N178" s="427" t="s">
        <v>1823</v>
      </c>
    </row>
    <row r="179" spans="2:14" x14ac:dyDescent="0.2">
      <c r="B179" t="s">
        <v>521</v>
      </c>
      <c r="C179" t="s">
        <v>1200</v>
      </c>
      <c r="D179" t="s">
        <v>520</v>
      </c>
      <c r="E179" t="s">
        <v>923</v>
      </c>
      <c r="F179">
        <v>775693</v>
      </c>
      <c r="G179">
        <v>1808</v>
      </c>
      <c r="H179">
        <v>0</v>
      </c>
      <c r="I179">
        <v>6279</v>
      </c>
      <c r="J179">
        <v>331277</v>
      </c>
      <c r="K179">
        <v>448887</v>
      </c>
      <c r="L179">
        <v>239266</v>
      </c>
      <c r="M179" s="427">
        <v>244749.17916666667</v>
      </c>
      <c r="N179" s="427" t="s">
        <v>1823</v>
      </c>
    </row>
    <row r="180" spans="2:14" x14ac:dyDescent="0.2">
      <c r="B180" t="s">
        <v>525</v>
      </c>
      <c r="C180" t="s">
        <v>1338</v>
      </c>
      <c r="D180" t="s">
        <v>524</v>
      </c>
      <c r="E180" t="s">
        <v>1766</v>
      </c>
      <c r="F180">
        <v>795025</v>
      </c>
      <c r="G180">
        <v>0</v>
      </c>
      <c r="H180">
        <v>0</v>
      </c>
      <c r="I180">
        <v>5037</v>
      </c>
      <c r="J180">
        <v>620788</v>
      </c>
      <c r="K180">
        <v>179274</v>
      </c>
      <c r="L180">
        <v>0</v>
      </c>
      <c r="M180" s="427">
        <v>0</v>
      </c>
      <c r="N180" s="427" t="s">
        <v>1823</v>
      </c>
    </row>
    <row r="181" spans="2:14" x14ac:dyDescent="0.2">
      <c r="B181" t="s">
        <v>541</v>
      </c>
      <c r="C181" t="s">
        <v>1339</v>
      </c>
      <c r="D181" t="s">
        <v>540</v>
      </c>
      <c r="E181" t="s">
        <v>1767</v>
      </c>
      <c r="F181">
        <v>18241</v>
      </c>
      <c r="G181">
        <v>0</v>
      </c>
      <c r="H181">
        <v>0</v>
      </c>
      <c r="I181">
        <v>0</v>
      </c>
      <c r="J181">
        <v>21364</v>
      </c>
      <c r="K181">
        <v>0</v>
      </c>
      <c r="L181">
        <v>0</v>
      </c>
      <c r="M181" s="427">
        <v>0</v>
      </c>
      <c r="N181" s="427" t="s">
        <v>1823</v>
      </c>
    </row>
    <row r="182" spans="2:14" x14ac:dyDescent="0.2">
      <c r="B182" t="s">
        <v>549</v>
      </c>
      <c r="C182" t="s">
        <v>1201</v>
      </c>
      <c r="D182" t="s">
        <v>548</v>
      </c>
      <c r="E182" t="s">
        <v>923</v>
      </c>
      <c r="F182">
        <v>2474501</v>
      </c>
      <c r="G182">
        <v>0</v>
      </c>
      <c r="H182">
        <v>0</v>
      </c>
      <c r="I182">
        <v>-107377</v>
      </c>
      <c r="J182">
        <v>1759868</v>
      </c>
      <c r="K182">
        <v>607256</v>
      </c>
      <c r="L182">
        <v>0</v>
      </c>
      <c r="M182" s="427">
        <v>0</v>
      </c>
      <c r="N182" s="427" t="s">
        <v>1823</v>
      </c>
    </row>
    <row r="183" spans="2:14" x14ac:dyDescent="0.2">
      <c r="B183" t="s">
        <v>549</v>
      </c>
      <c r="C183" t="s">
        <v>1202</v>
      </c>
      <c r="D183" t="s">
        <v>548</v>
      </c>
      <c r="E183" t="s">
        <v>930</v>
      </c>
      <c r="F183">
        <v>958397</v>
      </c>
      <c r="G183">
        <v>0</v>
      </c>
      <c r="H183">
        <v>0</v>
      </c>
      <c r="I183">
        <v>-5585</v>
      </c>
      <c r="J183">
        <v>1652936</v>
      </c>
      <c r="K183">
        <v>0</v>
      </c>
      <c r="L183">
        <v>0</v>
      </c>
      <c r="M183" s="427">
        <v>0</v>
      </c>
      <c r="N183" s="427" t="s">
        <v>1823</v>
      </c>
    </row>
    <row r="184" spans="2:14" x14ac:dyDescent="0.2">
      <c r="B184" t="s">
        <v>560</v>
      </c>
      <c r="C184" t="s">
        <v>1203</v>
      </c>
      <c r="D184" t="s">
        <v>559</v>
      </c>
      <c r="E184" t="s">
        <v>1768</v>
      </c>
      <c r="F184">
        <v>0</v>
      </c>
      <c r="G184">
        <v>0</v>
      </c>
      <c r="H184">
        <v>0</v>
      </c>
      <c r="I184">
        <v>0</v>
      </c>
      <c r="J184">
        <v>0</v>
      </c>
      <c r="K184">
        <v>0</v>
      </c>
      <c r="L184">
        <v>0</v>
      </c>
      <c r="M184" s="427">
        <v>0</v>
      </c>
      <c r="N184" s="427" t="s">
        <v>1823</v>
      </c>
    </row>
    <row r="185" spans="2:14" x14ac:dyDescent="0.2">
      <c r="B185" t="s">
        <v>560</v>
      </c>
      <c r="C185" t="s">
        <v>1204</v>
      </c>
      <c r="D185" t="s">
        <v>559</v>
      </c>
      <c r="E185" t="s">
        <v>1769</v>
      </c>
      <c r="F185">
        <v>752412</v>
      </c>
      <c r="G185">
        <v>0</v>
      </c>
      <c r="H185">
        <v>0</v>
      </c>
      <c r="I185">
        <v>0</v>
      </c>
      <c r="J185">
        <v>0</v>
      </c>
      <c r="K185">
        <v>752412</v>
      </c>
      <c r="L185">
        <v>172336</v>
      </c>
      <c r="M185" s="427">
        <v>176285.36666666667</v>
      </c>
      <c r="N185" s="427" t="s">
        <v>1823</v>
      </c>
    </row>
    <row r="186" spans="2:14" x14ac:dyDescent="0.2">
      <c r="B186" t="s">
        <v>560</v>
      </c>
      <c r="C186" t="s">
        <v>1205</v>
      </c>
      <c r="D186" t="s">
        <v>559</v>
      </c>
      <c r="E186" t="s">
        <v>1770</v>
      </c>
      <c r="F186">
        <v>0</v>
      </c>
      <c r="G186">
        <v>0</v>
      </c>
      <c r="H186">
        <v>0</v>
      </c>
      <c r="I186">
        <v>0</v>
      </c>
      <c r="J186">
        <v>0</v>
      </c>
      <c r="K186">
        <v>0</v>
      </c>
      <c r="L186">
        <v>0</v>
      </c>
      <c r="M186" s="427">
        <v>0</v>
      </c>
      <c r="N186" s="427" t="s">
        <v>1823</v>
      </c>
    </row>
    <row r="187" spans="2:14" x14ac:dyDescent="0.2">
      <c r="B187" t="s">
        <v>564</v>
      </c>
      <c r="C187" t="s">
        <v>1206</v>
      </c>
      <c r="D187" t="s">
        <v>563</v>
      </c>
      <c r="E187" t="s">
        <v>919</v>
      </c>
      <c r="F187">
        <v>12955912</v>
      </c>
      <c r="G187">
        <v>288319</v>
      </c>
      <c r="H187">
        <v>0</v>
      </c>
      <c r="I187">
        <v>-153009</v>
      </c>
      <c r="J187">
        <v>714250</v>
      </c>
      <c r="K187">
        <v>11800334</v>
      </c>
      <c r="L187">
        <v>0</v>
      </c>
      <c r="M187" s="427">
        <v>0</v>
      </c>
      <c r="N187" s="427" t="s">
        <v>1823</v>
      </c>
    </row>
    <row r="188" spans="2:14" x14ac:dyDescent="0.2">
      <c r="B188" t="s">
        <v>574</v>
      </c>
      <c r="C188" t="s">
        <v>1207</v>
      </c>
      <c r="D188" t="s">
        <v>573</v>
      </c>
      <c r="E188" t="s">
        <v>1771</v>
      </c>
      <c r="F188">
        <v>8192</v>
      </c>
      <c r="G188">
        <v>0</v>
      </c>
      <c r="H188">
        <v>0</v>
      </c>
      <c r="I188">
        <v>-3778</v>
      </c>
      <c r="J188">
        <v>203582</v>
      </c>
      <c r="K188">
        <v>0</v>
      </c>
      <c r="L188">
        <v>266358</v>
      </c>
      <c r="M188" s="427">
        <v>272462.03749999998</v>
      </c>
      <c r="N188" s="427" t="s">
        <v>1823</v>
      </c>
    </row>
    <row r="189" spans="2:14" x14ac:dyDescent="0.2">
      <c r="B189" t="s">
        <v>578</v>
      </c>
      <c r="C189" t="s">
        <v>1208</v>
      </c>
      <c r="D189" t="s">
        <v>577</v>
      </c>
      <c r="E189" t="s">
        <v>1772</v>
      </c>
      <c r="F189">
        <v>0</v>
      </c>
      <c r="G189">
        <v>0</v>
      </c>
      <c r="H189">
        <v>0</v>
      </c>
      <c r="I189">
        <v>0</v>
      </c>
      <c r="J189">
        <v>0</v>
      </c>
      <c r="K189">
        <v>0</v>
      </c>
      <c r="L189">
        <v>0</v>
      </c>
      <c r="M189" s="427">
        <v>0</v>
      </c>
      <c r="N189" s="427" t="s">
        <v>1823</v>
      </c>
    </row>
    <row r="190" spans="2:14" x14ac:dyDescent="0.2">
      <c r="B190" t="s">
        <v>578</v>
      </c>
      <c r="C190" t="s">
        <v>1209</v>
      </c>
      <c r="D190" t="s">
        <v>577</v>
      </c>
      <c r="E190" t="s">
        <v>1773</v>
      </c>
      <c r="F190">
        <v>44863</v>
      </c>
      <c r="G190">
        <v>0</v>
      </c>
      <c r="H190">
        <v>0</v>
      </c>
      <c r="I190">
        <v>0</v>
      </c>
      <c r="J190">
        <v>44862</v>
      </c>
      <c r="K190">
        <v>1</v>
      </c>
      <c r="L190">
        <v>0</v>
      </c>
      <c r="M190" s="427">
        <v>0</v>
      </c>
      <c r="N190" s="427" t="s">
        <v>1823</v>
      </c>
    </row>
    <row r="191" spans="2:14" x14ac:dyDescent="0.2">
      <c r="B191" t="s">
        <v>578</v>
      </c>
      <c r="C191" t="s">
        <v>1210</v>
      </c>
      <c r="D191" t="s">
        <v>577</v>
      </c>
      <c r="E191" t="s">
        <v>1774</v>
      </c>
      <c r="F191">
        <v>0</v>
      </c>
      <c r="G191">
        <v>0</v>
      </c>
      <c r="H191">
        <v>0</v>
      </c>
      <c r="I191">
        <v>0</v>
      </c>
      <c r="J191">
        <v>0</v>
      </c>
      <c r="K191">
        <v>0</v>
      </c>
      <c r="L191">
        <v>0</v>
      </c>
      <c r="M191" s="427">
        <v>0</v>
      </c>
      <c r="N191" s="427" t="s">
        <v>1823</v>
      </c>
    </row>
    <row r="192" spans="2:14" x14ac:dyDescent="0.2">
      <c r="B192" t="s">
        <v>578</v>
      </c>
      <c r="C192" t="s">
        <v>1211</v>
      </c>
      <c r="D192" t="s">
        <v>577</v>
      </c>
      <c r="E192" t="s">
        <v>1775</v>
      </c>
      <c r="F192">
        <v>193256</v>
      </c>
      <c r="G192">
        <v>0</v>
      </c>
      <c r="H192">
        <v>0</v>
      </c>
      <c r="I192">
        <v>0</v>
      </c>
      <c r="J192">
        <v>143548</v>
      </c>
      <c r="K192">
        <v>49708</v>
      </c>
      <c r="L192">
        <v>0</v>
      </c>
      <c r="M192" s="427">
        <v>0</v>
      </c>
      <c r="N192" s="427" t="s">
        <v>1823</v>
      </c>
    </row>
    <row r="193" spans="2:14" x14ac:dyDescent="0.2">
      <c r="B193" t="s">
        <v>580</v>
      </c>
      <c r="C193" t="s">
        <v>1212</v>
      </c>
      <c r="D193" t="s">
        <v>579</v>
      </c>
      <c r="E193" t="s">
        <v>929</v>
      </c>
      <c r="F193">
        <v>422088</v>
      </c>
      <c r="G193">
        <v>0</v>
      </c>
      <c r="H193">
        <v>0</v>
      </c>
      <c r="I193">
        <v>-3917</v>
      </c>
      <c r="J193">
        <v>0</v>
      </c>
      <c r="K193">
        <v>418171</v>
      </c>
      <c r="L193">
        <v>0</v>
      </c>
      <c r="M193" s="427">
        <v>0</v>
      </c>
      <c r="N193" s="427" t="s">
        <v>1823</v>
      </c>
    </row>
    <row r="194" spans="2:14" x14ac:dyDescent="0.2">
      <c r="B194" t="s">
        <v>584</v>
      </c>
      <c r="C194" t="s">
        <v>1213</v>
      </c>
      <c r="D194" t="s">
        <v>583</v>
      </c>
      <c r="E194" t="s">
        <v>947</v>
      </c>
      <c r="F194">
        <v>2963268</v>
      </c>
      <c r="G194">
        <v>0</v>
      </c>
      <c r="H194">
        <v>0</v>
      </c>
      <c r="I194">
        <v>-47359</v>
      </c>
      <c r="J194">
        <v>0</v>
      </c>
      <c r="K194">
        <v>2915909</v>
      </c>
      <c r="L194">
        <v>161181</v>
      </c>
      <c r="M194" s="427">
        <v>164874.73125000001</v>
      </c>
      <c r="N194" s="427" t="s">
        <v>1823</v>
      </c>
    </row>
    <row r="195" spans="2:14" x14ac:dyDescent="0.2">
      <c r="B195" t="s">
        <v>586</v>
      </c>
      <c r="C195" t="s">
        <v>1340</v>
      </c>
      <c r="D195" t="s">
        <v>585</v>
      </c>
      <c r="E195" t="s">
        <v>1776</v>
      </c>
      <c r="F195">
        <v>0</v>
      </c>
      <c r="G195">
        <v>0</v>
      </c>
      <c r="H195">
        <v>0</v>
      </c>
      <c r="I195">
        <v>0</v>
      </c>
      <c r="J195">
        <v>0</v>
      </c>
      <c r="K195">
        <v>0</v>
      </c>
      <c r="L195">
        <v>0</v>
      </c>
      <c r="M195" s="427">
        <v>0</v>
      </c>
      <c r="N195" s="427" t="s">
        <v>1823</v>
      </c>
    </row>
    <row r="196" spans="2:14" x14ac:dyDescent="0.2">
      <c r="B196" t="s">
        <v>586</v>
      </c>
      <c r="C196" t="s">
        <v>1341</v>
      </c>
      <c r="D196" t="s">
        <v>585</v>
      </c>
      <c r="E196" t="s">
        <v>1777</v>
      </c>
      <c r="F196">
        <v>0</v>
      </c>
      <c r="G196">
        <v>0</v>
      </c>
      <c r="H196">
        <v>0</v>
      </c>
      <c r="I196">
        <v>0</v>
      </c>
      <c r="J196">
        <v>0</v>
      </c>
      <c r="K196">
        <v>0</v>
      </c>
      <c r="L196">
        <v>0</v>
      </c>
      <c r="M196" s="427">
        <v>0</v>
      </c>
      <c r="N196" s="427" t="s">
        <v>1823</v>
      </c>
    </row>
    <row r="197" spans="2:14" x14ac:dyDescent="0.2">
      <c r="B197" t="s">
        <v>596</v>
      </c>
      <c r="C197" t="s">
        <v>1342</v>
      </c>
      <c r="D197" t="s">
        <v>595</v>
      </c>
      <c r="E197" t="s">
        <v>1778</v>
      </c>
      <c r="F197">
        <v>34613</v>
      </c>
      <c r="G197">
        <v>0</v>
      </c>
      <c r="H197">
        <v>0</v>
      </c>
      <c r="I197">
        <v>-147</v>
      </c>
      <c r="J197">
        <v>41877</v>
      </c>
      <c r="K197">
        <v>0</v>
      </c>
      <c r="L197">
        <v>0</v>
      </c>
      <c r="M197" s="427">
        <v>0</v>
      </c>
      <c r="N197" s="427" t="s">
        <v>1823</v>
      </c>
    </row>
    <row r="198" spans="2:14" x14ac:dyDescent="0.2">
      <c r="B198" t="s">
        <v>596</v>
      </c>
      <c r="C198" t="s">
        <v>1343</v>
      </c>
      <c r="D198" t="s">
        <v>595</v>
      </c>
      <c r="E198" t="s">
        <v>1779</v>
      </c>
      <c r="F198">
        <v>352462</v>
      </c>
      <c r="G198">
        <v>0</v>
      </c>
      <c r="H198">
        <v>0</v>
      </c>
      <c r="I198">
        <v>-7079</v>
      </c>
      <c r="J198">
        <v>891746</v>
      </c>
      <c r="K198">
        <v>0</v>
      </c>
      <c r="L198">
        <v>0</v>
      </c>
      <c r="M198" s="427">
        <v>0</v>
      </c>
      <c r="N198" s="427" t="s">
        <v>1823</v>
      </c>
    </row>
    <row r="199" spans="2:14" x14ac:dyDescent="0.2">
      <c r="B199" t="s">
        <v>596</v>
      </c>
      <c r="C199" t="s">
        <v>1344</v>
      </c>
      <c r="D199" t="s">
        <v>595</v>
      </c>
      <c r="E199" t="s">
        <v>1780</v>
      </c>
      <c r="F199">
        <v>227789</v>
      </c>
      <c r="G199">
        <v>0</v>
      </c>
      <c r="H199">
        <v>0</v>
      </c>
      <c r="I199">
        <v>123154</v>
      </c>
      <c r="J199">
        <v>93444</v>
      </c>
      <c r="K199">
        <v>257499</v>
      </c>
      <c r="L199">
        <v>0</v>
      </c>
      <c r="M199" s="427">
        <v>0</v>
      </c>
      <c r="N199" s="427" t="s">
        <v>1823</v>
      </c>
    </row>
    <row r="200" spans="2:14" x14ac:dyDescent="0.2">
      <c r="B200" t="s">
        <v>598</v>
      </c>
      <c r="C200" t="s">
        <v>1214</v>
      </c>
      <c r="D200" t="s">
        <v>597</v>
      </c>
      <c r="E200" t="s">
        <v>1781</v>
      </c>
      <c r="F200">
        <v>0</v>
      </c>
      <c r="G200">
        <v>0</v>
      </c>
      <c r="H200">
        <v>0</v>
      </c>
      <c r="I200">
        <v>0</v>
      </c>
      <c r="J200">
        <v>0</v>
      </c>
      <c r="K200">
        <v>0</v>
      </c>
      <c r="L200">
        <v>0</v>
      </c>
      <c r="M200" s="427">
        <v>0</v>
      </c>
      <c r="N200" s="427" t="s">
        <v>1823</v>
      </c>
    </row>
    <row r="201" spans="2:14" x14ac:dyDescent="0.2">
      <c r="B201" t="s">
        <v>598</v>
      </c>
      <c r="C201" t="s">
        <v>1215</v>
      </c>
      <c r="D201" t="s">
        <v>597</v>
      </c>
      <c r="E201" t="s">
        <v>1782</v>
      </c>
      <c r="F201">
        <v>0</v>
      </c>
      <c r="G201">
        <v>0</v>
      </c>
      <c r="H201">
        <v>0</v>
      </c>
      <c r="I201">
        <v>0</v>
      </c>
      <c r="J201">
        <v>0</v>
      </c>
      <c r="K201">
        <v>0</v>
      </c>
      <c r="L201">
        <v>0</v>
      </c>
      <c r="M201" s="427">
        <v>0</v>
      </c>
      <c r="N201" s="427" t="s">
        <v>1823</v>
      </c>
    </row>
    <row r="202" spans="2:14" x14ac:dyDescent="0.2">
      <c r="B202" t="s">
        <v>608</v>
      </c>
      <c r="C202" t="s">
        <v>1345</v>
      </c>
      <c r="D202" t="s">
        <v>607</v>
      </c>
      <c r="E202" t="s">
        <v>948</v>
      </c>
      <c r="F202">
        <v>0</v>
      </c>
      <c r="G202">
        <v>0</v>
      </c>
      <c r="H202">
        <v>0</v>
      </c>
      <c r="I202">
        <v>0</v>
      </c>
      <c r="J202">
        <v>0</v>
      </c>
      <c r="K202">
        <v>0</v>
      </c>
      <c r="L202">
        <v>0</v>
      </c>
      <c r="M202" s="427">
        <v>0</v>
      </c>
      <c r="N202" s="427" t="s">
        <v>1823</v>
      </c>
    </row>
    <row r="203" spans="2:14" x14ac:dyDescent="0.2">
      <c r="B203" t="s">
        <v>610</v>
      </c>
      <c r="C203" t="s">
        <v>1216</v>
      </c>
      <c r="D203" t="s">
        <v>609</v>
      </c>
      <c r="E203" t="s">
        <v>933</v>
      </c>
      <c r="F203">
        <v>155705</v>
      </c>
      <c r="G203">
        <v>0</v>
      </c>
      <c r="H203">
        <v>0</v>
      </c>
      <c r="I203">
        <v>-54836</v>
      </c>
      <c r="J203">
        <v>0</v>
      </c>
      <c r="K203">
        <v>100869</v>
      </c>
      <c r="L203">
        <v>59133</v>
      </c>
      <c r="M203" s="427">
        <v>60488.131249999999</v>
      </c>
      <c r="N203" s="427" t="s">
        <v>1823</v>
      </c>
    </row>
    <row r="204" spans="2:14" x14ac:dyDescent="0.2">
      <c r="B204" t="s">
        <v>610</v>
      </c>
      <c r="C204" t="s">
        <v>1217</v>
      </c>
      <c r="D204" t="s">
        <v>609</v>
      </c>
      <c r="E204" t="s">
        <v>1783</v>
      </c>
      <c r="F204">
        <v>88792</v>
      </c>
      <c r="G204">
        <v>0</v>
      </c>
      <c r="H204">
        <v>0</v>
      </c>
      <c r="I204">
        <v>0</v>
      </c>
      <c r="J204">
        <v>74637</v>
      </c>
      <c r="K204">
        <v>14155</v>
      </c>
      <c r="L204">
        <v>44953</v>
      </c>
      <c r="M204" s="427">
        <v>45983.17291666667</v>
      </c>
      <c r="N204" s="427" t="s">
        <v>1823</v>
      </c>
    </row>
    <row r="205" spans="2:14" x14ac:dyDescent="0.2">
      <c r="B205" t="s">
        <v>612</v>
      </c>
      <c r="C205" t="s">
        <v>1218</v>
      </c>
      <c r="D205" t="s">
        <v>611</v>
      </c>
      <c r="E205" t="s">
        <v>1784</v>
      </c>
      <c r="F205">
        <v>223240</v>
      </c>
      <c r="G205">
        <v>0</v>
      </c>
      <c r="H205">
        <v>0</v>
      </c>
      <c r="I205">
        <v>-3139</v>
      </c>
      <c r="J205">
        <v>279348</v>
      </c>
      <c r="K205">
        <v>0</v>
      </c>
      <c r="L205">
        <v>0</v>
      </c>
      <c r="M205" s="427">
        <v>0</v>
      </c>
      <c r="N205" s="427" t="s">
        <v>1823</v>
      </c>
    </row>
    <row r="206" spans="2:14" x14ac:dyDescent="0.2">
      <c r="B206" t="s">
        <v>612</v>
      </c>
      <c r="C206" t="s">
        <v>1219</v>
      </c>
      <c r="D206" t="s">
        <v>611</v>
      </c>
      <c r="E206" t="s">
        <v>1785</v>
      </c>
      <c r="F206">
        <v>0</v>
      </c>
      <c r="G206">
        <v>0</v>
      </c>
      <c r="H206">
        <v>0</v>
      </c>
      <c r="I206">
        <v>0</v>
      </c>
      <c r="J206">
        <v>0</v>
      </c>
      <c r="K206">
        <v>0</v>
      </c>
      <c r="L206">
        <v>0</v>
      </c>
      <c r="M206" s="427">
        <v>0</v>
      </c>
      <c r="N206" s="427" t="s">
        <v>1823</v>
      </c>
    </row>
    <row r="207" spans="2:14" x14ac:dyDescent="0.2">
      <c r="B207" t="s">
        <v>612</v>
      </c>
      <c r="C207" t="s">
        <v>1220</v>
      </c>
      <c r="D207" t="s">
        <v>611</v>
      </c>
      <c r="E207" t="s">
        <v>1786</v>
      </c>
      <c r="F207">
        <v>202909</v>
      </c>
      <c r="G207">
        <v>0</v>
      </c>
      <c r="H207">
        <v>0</v>
      </c>
      <c r="I207">
        <v>0</v>
      </c>
      <c r="J207">
        <v>49260</v>
      </c>
      <c r="K207">
        <v>153649</v>
      </c>
      <c r="L207">
        <v>65568</v>
      </c>
      <c r="M207" s="427">
        <v>67070.600000000006</v>
      </c>
      <c r="N207" s="427" t="s">
        <v>1823</v>
      </c>
    </row>
    <row r="208" spans="2:14" x14ac:dyDescent="0.2">
      <c r="B208" t="s">
        <v>612</v>
      </c>
      <c r="C208" t="s">
        <v>1221</v>
      </c>
      <c r="D208" t="s">
        <v>611</v>
      </c>
      <c r="E208" t="s">
        <v>1787</v>
      </c>
      <c r="F208">
        <v>358453</v>
      </c>
      <c r="G208">
        <v>0</v>
      </c>
      <c r="H208">
        <v>0</v>
      </c>
      <c r="I208">
        <v>-5200</v>
      </c>
      <c r="J208">
        <v>17845</v>
      </c>
      <c r="K208">
        <v>335408</v>
      </c>
      <c r="L208">
        <v>0</v>
      </c>
      <c r="M208" s="427">
        <v>0</v>
      </c>
      <c r="N208" s="427" t="s">
        <v>1823</v>
      </c>
    </row>
    <row r="209" spans="2:14" x14ac:dyDescent="0.2">
      <c r="B209" t="s">
        <v>612</v>
      </c>
      <c r="C209" t="s">
        <v>1222</v>
      </c>
      <c r="D209" t="s">
        <v>611</v>
      </c>
      <c r="E209" t="s">
        <v>1788</v>
      </c>
      <c r="F209">
        <v>37111</v>
      </c>
      <c r="G209">
        <v>0</v>
      </c>
      <c r="H209">
        <v>0</v>
      </c>
      <c r="I209">
        <v>12894</v>
      </c>
      <c r="J209">
        <v>34394</v>
      </c>
      <c r="K209">
        <v>15611</v>
      </c>
      <c r="L209">
        <v>0</v>
      </c>
      <c r="M209" s="427">
        <v>0</v>
      </c>
      <c r="N209" s="427" t="s">
        <v>1823</v>
      </c>
    </row>
    <row r="210" spans="2:14" x14ac:dyDescent="0.2">
      <c r="B210" t="s">
        <v>620</v>
      </c>
      <c r="C210" t="s">
        <v>1223</v>
      </c>
      <c r="D210" t="s">
        <v>619</v>
      </c>
      <c r="E210" t="s">
        <v>944</v>
      </c>
      <c r="F210">
        <v>889115</v>
      </c>
      <c r="G210">
        <v>0</v>
      </c>
      <c r="H210">
        <v>0</v>
      </c>
      <c r="I210">
        <v>-72</v>
      </c>
      <c r="J210">
        <v>138825</v>
      </c>
      <c r="K210">
        <v>750218</v>
      </c>
      <c r="L210">
        <v>0</v>
      </c>
      <c r="M210" s="427">
        <v>0</v>
      </c>
      <c r="N210" s="427" t="s">
        <v>1823</v>
      </c>
    </row>
    <row r="211" spans="2:14" x14ac:dyDescent="0.2">
      <c r="B211" t="s">
        <v>620</v>
      </c>
      <c r="C211" t="s">
        <v>1346</v>
      </c>
      <c r="D211" t="s">
        <v>619</v>
      </c>
      <c r="E211" t="s">
        <v>1789</v>
      </c>
      <c r="F211">
        <v>0</v>
      </c>
      <c r="G211">
        <v>0</v>
      </c>
      <c r="H211">
        <v>0</v>
      </c>
      <c r="I211">
        <v>0</v>
      </c>
      <c r="J211">
        <v>0</v>
      </c>
      <c r="K211">
        <v>0</v>
      </c>
      <c r="L211">
        <v>0</v>
      </c>
      <c r="M211" s="427">
        <v>0</v>
      </c>
      <c r="N211" s="427" t="s">
        <v>1823</v>
      </c>
    </row>
    <row r="212" spans="2:14" x14ac:dyDescent="0.2">
      <c r="B212" t="s">
        <v>620</v>
      </c>
      <c r="C212" t="s">
        <v>1347</v>
      </c>
      <c r="D212" t="s">
        <v>619</v>
      </c>
      <c r="E212" t="s">
        <v>1790</v>
      </c>
      <c r="F212">
        <v>0</v>
      </c>
      <c r="G212">
        <v>0</v>
      </c>
      <c r="H212">
        <v>0</v>
      </c>
      <c r="I212">
        <v>0</v>
      </c>
      <c r="J212">
        <v>0</v>
      </c>
      <c r="K212">
        <v>0</v>
      </c>
      <c r="L212">
        <v>0</v>
      </c>
      <c r="M212" s="427">
        <v>0</v>
      </c>
      <c r="N212" s="427" t="s">
        <v>1823</v>
      </c>
    </row>
    <row r="213" spans="2:14" x14ac:dyDescent="0.2">
      <c r="B213" t="s">
        <v>654</v>
      </c>
      <c r="C213" t="s">
        <v>1348</v>
      </c>
      <c r="D213" t="s">
        <v>653</v>
      </c>
      <c r="E213" t="s">
        <v>1746</v>
      </c>
      <c r="F213">
        <v>0</v>
      </c>
      <c r="G213">
        <v>0</v>
      </c>
      <c r="H213">
        <v>0</v>
      </c>
      <c r="I213">
        <v>0</v>
      </c>
      <c r="J213">
        <v>0</v>
      </c>
      <c r="K213">
        <v>0</v>
      </c>
      <c r="L213">
        <v>0</v>
      </c>
      <c r="M213" s="427">
        <v>0</v>
      </c>
      <c r="N213" s="427" t="s">
        <v>1823</v>
      </c>
    </row>
    <row r="214" spans="2:14" x14ac:dyDescent="0.2">
      <c r="B214" t="s">
        <v>668</v>
      </c>
      <c r="C214" t="s">
        <v>1224</v>
      </c>
      <c r="D214" t="s">
        <v>667</v>
      </c>
      <c r="E214" t="s">
        <v>949</v>
      </c>
      <c r="F214">
        <v>2975644</v>
      </c>
      <c r="G214">
        <v>0</v>
      </c>
      <c r="H214">
        <v>0</v>
      </c>
      <c r="I214">
        <v>2094</v>
      </c>
      <c r="J214">
        <v>1307225</v>
      </c>
      <c r="K214">
        <v>1670513</v>
      </c>
      <c r="L214">
        <v>1344742</v>
      </c>
      <c r="M214" s="427">
        <v>1375559.0041666667</v>
      </c>
      <c r="N214" s="427" t="s">
        <v>1823</v>
      </c>
    </row>
    <row r="215" spans="2:14" x14ac:dyDescent="0.2">
      <c r="B215" t="s">
        <v>668</v>
      </c>
      <c r="C215" t="s">
        <v>1225</v>
      </c>
      <c r="D215" t="s">
        <v>667</v>
      </c>
      <c r="E215" t="s">
        <v>1791</v>
      </c>
      <c r="F215">
        <v>28250</v>
      </c>
      <c r="G215">
        <v>0</v>
      </c>
      <c r="H215">
        <v>0</v>
      </c>
      <c r="I215">
        <v>0</v>
      </c>
      <c r="J215">
        <v>589650</v>
      </c>
      <c r="K215">
        <v>0</v>
      </c>
      <c r="L215">
        <v>0</v>
      </c>
      <c r="M215" s="427">
        <v>0</v>
      </c>
      <c r="N215" s="427" t="s">
        <v>1823</v>
      </c>
    </row>
    <row r="216" spans="2:14" x14ac:dyDescent="0.2">
      <c r="B216" t="s">
        <v>668</v>
      </c>
      <c r="C216" t="s">
        <v>1226</v>
      </c>
      <c r="D216" t="s">
        <v>667</v>
      </c>
      <c r="E216" t="s">
        <v>1792</v>
      </c>
      <c r="F216">
        <v>0</v>
      </c>
      <c r="G216">
        <v>0</v>
      </c>
      <c r="H216">
        <v>0</v>
      </c>
      <c r="I216">
        <v>0</v>
      </c>
      <c r="J216">
        <v>0</v>
      </c>
      <c r="K216">
        <v>0</v>
      </c>
      <c r="L216">
        <v>0</v>
      </c>
      <c r="M216" s="427">
        <v>0</v>
      </c>
      <c r="N216" s="427" t="s">
        <v>1823</v>
      </c>
    </row>
    <row r="217" spans="2:14" x14ac:dyDescent="0.2">
      <c r="B217" t="s">
        <v>668</v>
      </c>
      <c r="C217" t="s">
        <v>1227</v>
      </c>
      <c r="D217" t="s">
        <v>667</v>
      </c>
      <c r="E217" t="s">
        <v>1793</v>
      </c>
      <c r="F217">
        <v>0</v>
      </c>
      <c r="G217">
        <v>0</v>
      </c>
      <c r="H217">
        <v>0</v>
      </c>
      <c r="I217">
        <v>0</v>
      </c>
      <c r="J217">
        <v>0</v>
      </c>
      <c r="K217">
        <v>0</v>
      </c>
      <c r="L217">
        <v>0</v>
      </c>
      <c r="M217" s="427">
        <v>0</v>
      </c>
      <c r="N217" s="427" t="s">
        <v>1823</v>
      </c>
    </row>
    <row r="218" spans="2:14" x14ac:dyDescent="0.2">
      <c r="B218" t="s">
        <v>668</v>
      </c>
      <c r="C218" t="s">
        <v>1228</v>
      </c>
      <c r="D218" t="s">
        <v>667</v>
      </c>
      <c r="E218" t="s">
        <v>1794</v>
      </c>
      <c r="F218">
        <v>0</v>
      </c>
      <c r="G218">
        <v>0</v>
      </c>
      <c r="H218">
        <v>0</v>
      </c>
      <c r="I218">
        <v>0</v>
      </c>
      <c r="J218">
        <v>0</v>
      </c>
      <c r="K218">
        <v>0</v>
      </c>
      <c r="L218">
        <v>0</v>
      </c>
      <c r="M218" s="427">
        <v>0</v>
      </c>
      <c r="N218" s="427" t="s">
        <v>1823</v>
      </c>
    </row>
    <row r="219" spans="2:14" x14ac:dyDescent="0.2">
      <c r="B219" t="s">
        <v>668</v>
      </c>
      <c r="C219" t="s">
        <v>1229</v>
      </c>
      <c r="D219" t="s">
        <v>667</v>
      </c>
      <c r="E219" t="s">
        <v>1795</v>
      </c>
      <c r="F219">
        <v>1224</v>
      </c>
      <c r="G219">
        <v>0</v>
      </c>
      <c r="H219">
        <v>0</v>
      </c>
      <c r="I219">
        <v>0</v>
      </c>
      <c r="J219">
        <v>1224</v>
      </c>
      <c r="K219">
        <v>0</v>
      </c>
      <c r="L219">
        <v>0</v>
      </c>
      <c r="M219" s="427">
        <v>0</v>
      </c>
      <c r="N219" s="427" t="s">
        <v>1823</v>
      </c>
    </row>
    <row r="220" spans="2:14" x14ac:dyDescent="0.2">
      <c r="B220" t="s">
        <v>668</v>
      </c>
      <c r="C220" t="s">
        <v>1230</v>
      </c>
      <c r="D220" t="s">
        <v>667</v>
      </c>
      <c r="E220" t="s">
        <v>1796</v>
      </c>
      <c r="F220">
        <v>38454</v>
      </c>
      <c r="G220">
        <v>0</v>
      </c>
      <c r="H220">
        <v>0</v>
      </c>
      <c r="I220">
        <v>0</v>
      </c>
      <c r="J220">
        <v>46744</v>
      </c>
      <c r="K220">
        <v>0</v>
      </c>
      <c r="L220">
        <v>0</v>
      </c>
      <c r="M220" s="427">
        <v>0</v>
      </c>
      <c r="N220" s="427" t="s">
        <v>1823</v>
      </c>
    </row>
    <row r="221" spans="2:14" x14ac:dyDescent="0.2">
      <c r="B221" t="s">
        <v>668</v>
      </c>
      <c r="C221" t="s">
        <v>1231</v>
      </c>
      <c r="D221" t="s">
        <v>667</v>
      </c>
      <c r="E221" t="s">
        <v>1797</v>
      </c>
      <c r="F221">
        <v>282582</v>
      </c>
      <c r="G221">
        <v>0</v>
      </c>
      <c r="H221">
        <v>0</v>
      </c>
      <c r="I221">
        <v>-2537</v>
      </c>
      <c r="J221">
        <v>428325</v>
      </c>
      <c r="K221">
        <v>0</v>
      </c>
      <c r="L221">
        <v>0</v>
      </c>
      <c r="M221" s="427">
        <v>0</v>
      </c>
      <c r="N221" s="427" t="s">
        <v>1823</v>
      </c>
    </row>
    <row r="222" spans="2:14" x14ac:dyDescent="0.2">
      <c r="B222" t="s">
        <v>668</v>
      </c>
      <c r="C222" t="s">
        <v>1232</v>
      </c>
      <c r="D222" t="s">
        <v>667</v>
      </c>
      <c r="E222" t="s">
        <v>1798</v>
      </c>
      <c r="F222">
        <v>0</v>
      </c>
      <c r="G222">
        <v>0</v>
      </c>
      <c r="H222">
        <v>0</v>
      </c>
      <c r="I222">
        <v>0</v>
      </c>
      <c r="J222">
        <v>64583</v>
      </c>
      <c r="K222">
        <v>0</v>
      </c>
      <c r="L222">
        <v>0</v>
      </c>
      <c r="M222" s="427">
        <v>0</v>
      </c>
      <c r="N222" s="427" t="s">
        <v>1823</v>
      </c>
    </row>
    <row r="223" spans="2:14" x14ac:dyDescent="0.2">
      <c r="B223" t="s">
        <v>668</v>
      </c>
      <c r="C223" t="s">
        <v>1233</v>
      </c>
      <c r="D223" t="s">
        <v>667</v>
      </c>
      <c r="E223" t="s">
        <v>1799</v>
      </c>
      <c r="F223">
        <v>0</v>
      </c>
      <c r="G223">
        <v>0</v>
      </c>
      <c r="H223">
        <v>0</v>
      </c>
      <c r="I223">
        <v>0</v>
      </c>
      <c r="J223">
        <v>147900</v>
      </c>
      <c r="K223">
        <v>0</v>
      </c>
      <c r="L223">
        <v>8880</v>
      </c>
      <c r="M223" s="427">
        <v>9083.5</v>
      </c>
      <c r="N223" s="427" t="s">
        <v>1823</v>
      </c>
    </row>
    <row r="224" spans="2:14" x14ac:dyDescent="0.2">
      <c r="B224" t="s">
        <v>668</v>
      </c>
      <c r="C224" t="s">
        <v>1234</v>
      </c>
      <c r="D224" t="s">
        <v>667</v>
      </c>
      <c r="E224" t="s">
        <v>1800</v>
      </c>
      <c r="F224">
        <v>37611</v>
      </c>
      <c r="G224">
        <v>0</v>
      </c>
      <c r="H224">
        <v>0</v>
      </c>
      <c r="I224">
        <v>0</v>
      </c>
      <c r="J224">
        <v>56572</v>
      </c>
      <c r="K224">
        <v>0</v>
      </c>
      <c r="L224">
        <v>0</v>
      </c>
      <c r="M224" s="427">
        <v>0</v>
      </c>
      <c r="N224" s="427" t="s">
        <v>1823</v>
      </c>
    </row>
    <row r="225" spans="1:17" x14ac:dyDescent="0.2">
      <c r="B225" t="s">
        <v>670</v>
      </c>
      <c r="C225" t="s">
        <v>1349</v>
      </c>
      <c r="D225" t="s">
        <v>669</v>
      </c>
      <c r="E225" t="s">
        <v>1801</v>
      </c>
      <c r="F225">
        <v>0</v>
      </c>
      <c r="G225">
        <v>0</v>
      </c>
      <c r="H225">
        <v>0</v>
      </c>
      <c r="I225">
        <v>0</v>
      </c>
      <c r="J225">
        <v>0</v>
      </c>
      <c r="K225">
        <v>0</v>
      </c>
      <c r="L225">
        <v>0</v>
      </c>
      <c r="M225" s="427">
        <v>0</v>
      </c>
      <c r="N225" s="427" t="s">
        <v>1823</v>
      </c>
    </row>
    <row r="226" spans="1:17" x14ac:dyDescent="0.2">
      <c r="B226" t="s">
        <v>670</v>
      </c>
      <c r="C226" t="s">
        <v>1350</v>
      </c>
      <c r="D226" t="s">
        <v>669</v>
      </c>
      <c r="E226" t="s">
        <v>1802</v>
      </c>
      <c r="F226">
        <v>18950</v>
      </c>
      <c r="G226">
        <v>0</v>
      </c>
      <c r="H226">
        <v>0</v>
      </c>
      <c r="I226">
        <v>0</v>
      </c>
      <c r="J226">
        <v>0</v>
      </c>
      <c r="K226">
        <v>18950</v>
      </c>
      <c r="L226">
        <v>70960</v>
      </c>
      <c r="M226" s="427">
        <v>72586.166666666672</v>
      </c>
      <c r="N226" s="427" t="s">
        <v>1823</v>
      </c>
    </row>
    <row r="227" spans="1:17" x14ac:dyDescent="0.2">
      <c r="B227" t="s">
        <v>672</v>
      </c>
      <c r="C227" t="s">
        <v>1235</v>
      </c>
      <c r="D227" t="s">
        <v>671</v>
      </c>
      <c r="E227" t="s">
        <v>947</v>
      </c>
      <c r="F227">
        <v>196482</v>
      </c>
      <c r="G227">
        <v>0</v>
      </c>
      <c r="H227">
        <v>0</v>
      </c>
      <c r="I227">
        <v>2603</v>
      </c>
      <c r="J227">
        <v>175164</v>
      </c>
      <c r="K227">
        <v>23921</v>
      </c>
      <c r="L227">
        <v>17640</v>
      </c>
      <c r="M227" s="427">
        <v>18044.25</v>
      </c>
      <c r="N227" s="427" t="s">
        <v>1823</v>
      </c>
    </row>
    <row r="228" spans="1:17" x14ac:dyDescent="0.2">
      <c r="B228" t="s">
        <v>676</v>
      </c>
      <c r="C228" t="s">
        <v>1236</v>
      </c>
      <c r="D228" t="s">
        <v>675</v>
      </c>
      <c r="E228" t="s">
        <v>1803</v>
      </c>
      <c r="F228">
        <v>4617233</v>
      </c>
      <c r="G228">
        <v>0</v>
      </c>
      <c r="H228">
        <v>0</v>
      </c>
      <c r="I228">
        <v>301798</v>
      </c>
      <c r="J228">
        <v>4332824</v>
      </c>
      <c r="K228">
        <v>586207</v>
      </c>
      <c r="L228">
        <v>0</v>
      </c>
      <c r="M228" s="427">
        <v>0</v>
      </c>
      <c r="N228" s="427" t="s">
        <v>1823</v>
      </c>
    </row>
    <row r="229" spans="1:17" x14ac:dyDescent="0.2">
      <c r="B229" t="s">
        <v>678</v>
      </c>
      <c r="C229" t="s">
        <v>1237</v>
      </c>
      <c r="D229" t="s">
        <v>677</v>
      </c>
      <c r="E229" t="s">
        <v>1804</v>
      </c>
      <c r="F229">
        <v>963662</v>
      </c>
      <c r="G229">
        <v>0</v>
      </c>
      <c r="H229">
        <v>0</v>
      </c>
      <c r="I229">
        <v>-14418</v>
      </c>
      <c r="J229">
        <v>954379</v>
      </c>
      <c r="K229">
        <v>0</v>
      </c>
      <c r="L229">
        <v>250858</v>
      </c>
      <c r="M229" s="427">
        <v>256606.82916666666</v>
      </c>
      <c r="N229" s="427" t="s">
        <v>1823</v>
      </c>
    </row>
    <row r="230" spans="1:17" x14ac:dyDescent="0.2">
      <c r="B230" t="s">
        <v>684</v>
      </c>
      <c r="C230" t="s">
        <v>1238</v>
      </c>
      <c r="D230" t="s">
        <v>683</v>
      </c>
      <c r="E230" t="s">
        <v>931</v>
      </c>
      <c r="F230">
        <v>257966</v>
      </c>
      <c r="G230">
        <v>0</v>
      </c>
      <c r="H230">
        <v>0</v>
      </c>
      <c r="I230">
        <v>-4509</v>
      </c>
      <c r="J230">
        <v>0</v>
      </c>
      <c r="K230">
        <v>253457</v>
      </c>
      <c r="L230">
        <v>188691</v>
      </c>
      <c r="M230" s="427">
        <v>193015.16875000001</v>
      </c>
      <c r="N230" s="427" t="s">
        <v>1823</v>
      </c>
    </row>
    <row r="231" spans="1:17" x14ac:dyDescent="0.2">
      <c r="B231" t="s">
        <v>684</v>
      </c>
      <c r="C231" t="s">
        <v>1351</v>
      </c>
      <c r="D231" t="s">
        <v>683</v>
      </c>
      <c r="E231" t="s">
        <v>1805</v>
      </c>
      <c r="F231">
        <v>0</v>
      </c>
      <c r="G231">
        <v>0</v>
      </c>
      <c r="H231">
        <v>0</v>
      </c>
      <c r="I231">
        <v>0</v>
      </c>
      <c r="J231">
        <v>14279</v>
      </c>
      <c r="K231">
        <v>0</v>
      </c>
      <c r="L231">
        <v>0</v>
      </c>
      <c r="M231" s="427">
        <v>0</v>
      </c>
      <c r="N231" s="427" t="s">
        <v>1823</v>
      </c>
    </row>
    <row r="232" spans="1:17" x14ac:dyDescent="0.2">
      <c r="B232" t="s">
        <v>684</v>
      </c>
      <c r="C232" t="s">
        <v>1352</v>
      </c>
      <c r="D232" t="s">
        <v>683</v>
      </c>
      <c r="E232" t="s">
        <v>1806</v>
      </c>
      <c r="F232">
        <v>0</v>
      </c>
      <c r="G232">
        <v>0</v>
      </c>
      <c r="H232">
        <v>0</v>
      </c>
      <c r="I232">
        <v>0</v>
      </c>
      <c r="J232">
        <v>29850</v>
      </c>
      <c r="K232">
        <v>0</v>
      </c>
      <c r="L232">
        <v>0</v>
      </c>
      <c r="M232" s="427">
        <v>0</v>
      </c>
      <c r="N232" s="427" t="s">
        <v>1823</v>
      </c>
    </row>
    <row r="233" spans="1:17" x14ac:dyDescent="0.2">
      <c r="B233" t="s">
        <v>720</v>
      </c>
      <c r="C233" t="s">
        <v>1239</v>
      </c>
      <c r="D233" t="s">
        <v>719</v>
      </c>
      <c r="E233" t="s">
        <v>938</v>
      </c>
      <c r="F233">
        <v>0</v>
      </c>
      <c r="G233">
        <v>0</v>
      </c>
      <c r="H233">
        <v>0</v>
      </c>
      <c r="I233">
        <v>0</v>
      </c>
      <c r="J233">
        <v>0</v>
      </c>
      <c r="K233">
        <v>0</v>
      </c>
      <c r="L233">
        <v>0</v>
      </c>
      <c r="M233" s="427">
        <v>0</v>
      </c>
      <c r="N233" s="427" t="s">
        <v>1823</v>
      </c>
    </row>
    <row r="234" spans="1:17" x14ac:dyDescent="0.2">
      <c r="B234" t="s">
        <v>720</v>
      </c>
      <c r="C234" t="s">
        <v>1240</v>
      </c>
      <c r="D234" t="s">
        <v>719</v>
      </c>
      <c r="E234" t="s">
        <v>1807</v>
      </c>
      <c r="F234">
        <v>891956</v>
      </c>
      <c r="G234">
        <v>0</v>
      </c>
      <c r="H234">
        <v>0</v>
      </c>
      <c r="I234">
        <v>-8728</v>
      </c>
      <c r="J234">
        <v>904061</v>
      </c>
      <c r="K234">
        <v>0</v>
      </c>
      <c r="L234">
        <v>0</v>
      </c>
      <c r="M234" s="427">
        <v>0</v>
      </c>
      <c r="N234" s="427" t="s">
        <v>1823</v>
      </c>
    </row>
    <row r="235" spans="1:17" x14ac:dyDescent="0.2">
      <c r="B235" t="s">
        <v>726</v>
      </c>
      <c r="C235" t="s">
        <v>1241</v>
      </c>
      <c r="D235" t="s">
        <v>725</v>
      </c>
      <c r="E235" t="s">
        <v>947</v>
      </c>
      <c r="F235">
        <v>184290</v>
      </c>
      <c r="G235">
        <v>0</v>
      </c>
      <c r="H235">
        <v>0</v>
      </c>
      <c r="I235">
        <v>0</v>
      </c>
      <c r="J235">
        <v>100679</v>
      </c>
      <c r="K235">
        <v>83611</v>
      </c>
      <c r="L235">
        <v>8520</v>
      </c>
      <c r="M235" s="427">
        <v>8715.25</v>
      </c>
      <c r="N235" s="427" t="s">
        <v>1823</v>
      </c>
    </row>
    <row r="236" spans="1:17" x14ac:dyDescent="0.2">
      <c r="B236" t="s">
        <v>736</v>
      </c>
      <c r="C236" t="s">
        <v>1242</v>
      </c>
      <c r="D236" t="s">
        <v>735</v>
      </c>
      <c r="E236" t="s">
        <v>1808</v>
      </c>
      <c r="F236">
        <v>3398722</v>
      </c>
      <c r="G236">
        <v>0</v>
      </c>
      <c r="H236">
        <v>0</v>
      </c>
      <c r="I236">
        <v>-25585</v>
      </c>
      <c r="J236">
        <v>2484988</v>
      </c>
      <c r="K236">
        <v>888149</v>
      </c>
      <c r="L236">
        <v>0</v>
      </c>
      <c r="M236" s="427">
        <v>0</v>
      </c>
      <c r="N236" s="427" t="s">
        <v>1823</v>
      </c>
    </row>
    <row r="237" spans="1:17" x14ac:dyDescent="0.2">
      <c r="B237" t="s">
        <v>740</v>
      </c>
      <c r="C237" t="s">
        <v>1353</v>
      </c>
      <c r="D237" t="s">
        <v>739</v>
      </c>
      <c r="E237" t="s">
        <v>1809</v>
      </c>
      <c r="F237">
        <v>921792</v>
      </c>
      <c r="G237">
        <v>0</v>
      </c>
      <c r="H237">
        <v>0</v>
      </c>
      <c r="I237">
        <v>230207</v>
      </c>
      <c r="J237">
        <v>768261</v>
      </c>
      <c r="K237">
        <v>383738</v>
      </c>
      <c r="L237">
        <v>0</v>
      </c>
      <c r="M237" s="427">
        <v>0</v>
      </c>
      <c r="N237" s="427" t="s">
        <v>1823</v>
      </c>
    </row>
    <row r="238" spans="1:17" s="185" customFormat="1" x14ac:dyDescent="0.2">
      <c r="A238" s="676"/>
      <c r="B238" s="677" t="s">
        <v>1820</v>
      </c>
      <c r="C238" s="677"/>
      <c r="D238" s="677"/>
      <c r="E238" s="678"/>
      <c r="F238" s="678" t="s">
        <v>1823</v>
      </c>
      <c r="G238" s="679" t="s">
        <v>1823</v>
      </c>
      <c r="H238" s="678"/>
      <c r="I238" s="678" t="s">
        <v>1823</v>
      </c>
      <c r="J238" s="678" t="s">
        <v>1823</v>
      </c>
      <c r="K238" s="670" t="s">
        <v>1823</v>
      </c>
      <c r="L238" s="670" t="s">
        <v>1823</v>
      </c>
      <c r="M238" s="670" t="s">
        <v>1823</v>
      </c>
      <c r="N238" s="670"/>
      <c r="O238" s="670"/>
      <c r="P238" s="670"/>
      <c r="Q238" s="670"/>
    </row>
    <row r="239" spans="1:17" s="185" customFormat="1" x14ac:dyDescent="0.2">
      <c r="A239" s="676"/>
      <c r="B239" s="677" t="s">
        <v>1821</v>
      </c>
      <c r="C239" s="677"/>
      <c r="D239" s="677"/>
      <c r="E239" s="678"/>
      <c r="F239" s="678" t="s">
        <v>1823</v>
      </c>
      <c r="G239" s="679" t="s">
        <v>1823</v>
      </c>
      <c r="H239" s="678"/>
      <c r="I239" s="678" t="s">
        <v>1823</v>
      </c>
      <c r="J239" s="678" t="s">
        <v>1823</v>
      </c>
      <c r="K239" s="670" t="s">
        <v>1823</v>
      </c>
      <c r="L239" s="670" t="s">
        <v>1823</v>
      </c>
      <c r="M239" s="670" t="s">
        <v>1823</v>
      </c>
      <c r="N239" s="670"/>
      <c r="O239" s="670"/>
      <c r="P239" s="670"/>
      <c r="Q239" s="67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9D8B-A6BE-4ED4-85D0-92368F410C73}">
  <dimension ref="A1:HH336"/>
  <sheetViews>
    <sheetView workbookViewId="0"/>
  </sheetViews>
  <sheetFormatPr defaultRowHeight="12.75" x14ac:dyDescent="0.2"/>
  <cols>
    <col min="1" max="1" width="3.7109375" style="187" customWidth="1"/>
    <col min="3" max="3" width="27.5703125" bestFit="1" customWidth="1"/>
    <col min="4" max="4" width="11.7109375" bestFit="1" customWidth="1"/>
    <col min="5" max="5" width="9.7109375" bestFit="1" customWidth="1"/>
    <col min="6" max="6" width="11.7109375" bestFit="1" customWidth="1"/>
    <col min="7" max="7" width="12.140625" customWidth="1"/>
    <col min="8" max="8" width="8.140625" bestFit="1" customWidth="1"/>
    <col min="9" max="9" width="9.7109375" bestFit="1" customWidth="1"/>
    <col min="10" max="10" width="11.140625" bestFit="1" customWidth="1"/>
    <col min="12" max="12" width="11.140625" bestFit="1" customWidth="1"/>
    <col min="13" max="15" width="9.7109375" bestFit="1" customWidth="1"/>
    <col min="16" max="16" width="10.7109375" bestFit="1" customWidth="1"/>
    <col min="18" max="18" width="10.7109375" bestFit="1" customWidth="1"/>
    <col min="19" max="19" width="13.42578125" bestFit="1" customWidth="1"/>
    <col min="20" max="20" width="9.7109375" bestFit="1" customWidth="1"/>
    <col min="21" max="21" width="13.42578125" bestFit="1" customWidth="1"/>
    <col min="22" max="22" width="9.7109375" bestFit="1" customWidth="1"/>
    <col min="23" max="23" width="7.140625" bestFit="1" customWidth="1"/>
    <col min="24" max="24" width="9.7109375" bestFit="1" customWidth="1"/>
    <col min="25" max="25" width="10.7109375" bestFit="1" customWidth="1"/>
    <col min="26" max="26" width="8.140625" bestFit="1" customWidth="1"/>
    <col min="27" max="28" width="10.7109375" bestFit="1" customWidth="1"/>
    <col min="29" max="29" width="7.140625" bestFit="1" customWidth="1"/>
    <col min="30" max="31" width="10.7109375" bestFit="1" customWidth="1"/>
    <col min="32" max="32" width="8.140625" bestFit="1" customWidth="1"/>
    <col min="33" max="33" width="10.7109375" bestFit="1" customWidth="1"/>
    <col min="34" max="34" width="8.140625" bestFit="1" customWidth="1"/>
    <col min="35" max="35" width="6.140625" bestFit="1" customWidth="1"/>
    <col min="36" max="37" width="8.140625" bestFit="1" customWidth="1"/>
    <col min="38" max="38" width="6.140625" bestFit="1" customWidth="1"/>
    <col min="39" max="39" width="8.140625" bestFit="1" customWidth="1"/>
    <col min="40" max="40" width="11.140625" bestFit="1" customWidth="1"/>
    <col min="42" max="42" width="11.140625" bestFit="1" customWidth="1"/>
    <col min="43" max="43" width="9.7109375" bestFit="1" customWidth="1"/>
    <col min="44" max="44" width="7.140625" bestFit="1" customWidth="1"/>
    <col min="45" max="45" width="9.7109375" bestFit="1" customWidth="1"/>
    <col min="46" max="46" width="13.42578125" bestFit="1" customWidth="1"/>
    <col min="47" max="47" width="10.7109375" bestFit="1" customWidth="1"/>
    <col min="48" max="48" width="13.42578125" bestFit="1" customWidth="1"/>
    <col min="49" max="51" width="9.7109375" bestFit="1" customWidth="1"/>
    <col min="52" max="52" width="10.7109375" bestFit="1" customWidth="1"/>
    <col min="53" max="53" width="7.140625" bestFit="1" customWidth="1"/>
    <col min="54" max="54" width="10.7109375" bestFit="1" customWidth="1"/>
    <col min="55" max="55" width="7.140625" bestFit="1" customWidth="1"/>
    <col min="56" max="56" width="3" bestFit="1" customWidth="1"/>
    <col min="57" max="57" width="7.140625" bestFit="1" customWidth="1"/>
    <col min="58" max="58" width="9.7109375" bestFit="1" customWidth="1"/>
    <col min="59" max="59" width="3" bestFit="1" customWidth="1"/>
    <col min="60" max="60" width="9.7109375" bestFit="1" customWidth="1"/>
    <col min="61" max="61" width="7.140625" bestFit="1" customWidth="1"/>
    <col min="62" max="62" width="3" bestFit="1" customWidth="1"/>
    <col min="63" max="63" width="7.140625" bestFit="1" customWidth="1"/>
    <col min="64" max="64" width="13.42578125" bestFit="1" customWidth="1"/>
    <col min="65" max="65" width="10.7109375" bestFit="1" customWidth="1"/>
    <col min="66" max="66" width="13.42578125" bestFit="1" customWidth="1"/>
    <col min="67" max="67" width="10.7109375" bestFit="1" customWidth="1"/>
    <col min="68" max="68" width="8.140625" bestFit="1" customWidth="1"/>
    <col min="69" max="69" width="10.7109375" bestFit="1" customWidth="1"/>
    <col min="70" max="70" width="9.7109375" bestFit="1" customWidth="1"/>
    <col min="71" max="71" width="7.5703125" bestFit="1" customWidth="1"/>
    <col min="72" max="72" width="9.7109375" bestFit="1" customWidth="1"/>
    <col min="73" max="73" width="11.7109375" bestFit="1" customWidth="1"/>
    <col min="74" max="74" width="10.7109375" bestFit="1" customWidth="1"/>
    <col min="75" max="75" width="11.7109375" bestFit="1" customWidth="1"/>
    <col min="76" max="76" width="9.7109375" bestFit="1" customWidth="1"/>
    <col min="78" max="78" width="9.7109375" bestFit="1" customWidth="1"/>
    <col min="79" max="79" width="13.42578125" bestFit="1" customWidth="1"/>
    <col min="80" max="80" width="10.7109375" bestFit="1" customWidth="1"/>
    <col min="81" max="81" width="13.42578125" bestFit="1" customWidth="1"/>
    <col min="82" max="82" width="10.7109375" bestFit="1" customWidth="1"/>
    <col min="83" max="83" width="8.140625" bestFit="1" customWidth="1"/>
    <col min="84" max="84" width="10.7109375" bestFit="1" customWidth="1"/>
    <col min="85" max="85" width="8.140625" bestFit="1" customWidth="1"/>
    <col min="86" max="86" width="7.140625" bestFit="1" customWidth="1"/>
    <col min="87" max="87" width="8.140625" bestFit="1" customWidth="1"/>
    <col min="88" max="88" width="10.7109375" bestFit="1" customWidth="1"/>
    <col min="89" max="89" width="8.140625" bestFit="1" customWidth="1"/>
    <col min="90" max="90" width="10.7109375" bestFit="1" customWidth="1"/>
    <col min="91" max="91" width="8.140625" bestFit="1" customWidth="1"/>
    <col min="92" max="92" width="6.5703125" bestFit="1" customWidth="1"/>
    <col min="93" max="93" width="8.140625" bestFit="1" customWidth="1"/>
    <col min="94" max="94" width="9.7109375" bestFit="1" customWidth="1"/>
    <col min="95" max="95" width="3" bestFit="1" customWidth="1"/>
    <col min="96" max="96" width="9.7109375" bestFit="1" customWidth="1"/>
    <col min="97" max="97" width="7.140625" bestFit="1" customWidth="1"/>
    <col min="98" max="98" width="3" bestFit="1" customWidth="1"/>
    <col min="99" max="99" width="7.140625" bestFit="1" customWidth="1"/>
    <col min="100" max="100" width="8.140625" bestFit="1" customWidth="1"/>
    <col min="101" max="101" width="4" bestFit="1" customWidth="1"/>
    <col min="102" max="102" width="8.140625" bestFit="1" customWidth="1"/>
    <col min="103" max="103" width="7.140625" bestFit="1" customWidth="1"/>
    <col min="104" max="104" width="4" bestFit="1" customWidth="1"/>
    <col min="105" max="105" width="7.140625" bestFit="1" customWidth="1"/>
    <col min="106" max="106" width="8.140625" bestFit="1" customWidth="1"/>
    <col min="107" max="107" width="4" bestFit="1" customWidth="1"/>
    <col min="108" max="108" width="8.140625" bestFit="1" customWidth="1"/>
    <col min="109" max="109" width="6.5703125" bestFit="1" customWidth="1"/>
    <col min="110" max="110" width="4" bestFit="1" customWidth="1"/>
    <col min="111" max="111" width="6.5703125" bestFit="1" customWidth="1"/>
    <col min="112" max="112" width="9.7109375" bestFit="1" customWidth="1"/>
    <col min="113" max="114" width="10.7109375" bestFit="1" customWidth="1"/>
    <col min="115" max="117" width="9.7109375" bestFit="1" customWidth="1"/>
    <col min="118" max="118" width="10.7109375" bestFit="1" customWidth="1"/>
    <col min="119" max="119" width="9.7109375" bestFit="1" customWidth="1"/>
    <col min="120" max="121" width="10.7109375" bestFit="1" customWidth="1"/>
    <col min="122" max="122" width="11.7109375" bestFit="1" customWidth="1"/>
    <col min="123" max="123" width="7.5703125" bestFit="1" customWidth="1"/>
    <col min="124" max="124" width="6.5703125" bestFit="1" customWidth="1"/>
    <col min="125" max="125" width="7.5703125" bestFit="1" customWidth="1"/>
    <col min="126" max="126" width="7.140625" bestFit="1" customWidth="1"/>
    <col min="127" max="127" width="4" bestFit="1" customWidth="1"/>
    <col min="128" max="128" width="7.140625" bestFit="1" customWidth="1"/>
    <col min="129" max="129" width="7.5703125" bestFit="1" customWidth="1"/>
    <col min="130" max="130" width="5.5703125" bestFit="1" customWidth="1"/>
    <col min="131" max="131" width="7.5703125" bestFit="1" customWidth="1"/>
    <col min="132" max="132" width="8.140625" bestFit="1" customWidth="1"/>
    <col min="133" max="133" width="4" bestFit="1" customWidth="1"/>
    <col min="134" max="134" width="8.140625" bestFit="1" customWidth="1"/>
    <col min="135" max="135" width="6.5703125" bestFit="1" customWidth="1"/>
    <col min="136" max="136" width="4" bestFit="1" customWidth="1"/>
    <col min="137" max="137" width="6.5703125" bestFit="1" customWidth="1"/>
    <col min="138" max="138" width="7.140625" bestFit="1" customWidth="1"/>
    <col min="139" max="139" width="4" bestFit="1" customWidth="1"/>
    <col min="140" max="140" width="7.140625" bestFit="1" customWidth="1"/>
    <col min="141" max="141" width="9.7109375" bestFit="1" customWidth="1"/>
    <col min="142" max="142" width="4" bestFit="1" customWidth="1"/>
    <col min="143" max="143" width="9.7109375" bestFit="1" customWidth="1"/>
    <col min="144" max="144" width="7.140625" bestFit="1" customWidth="1"/>
    <col min="145" max="145" width="4" bestFit="1" customWidth="1"/>
    <col min="146" max="146" width="7.140625" bestFit="1" customWidth="1"/>
    <col min="147" max="147" width="8.140625" bestFit="1" customWidth="1"/>
    <col min="148" max="148" width="4.5703125" bestFit="1" customWidth="1"/>
    <col min="149" max="149" width="8.140625" bestFit="1" customWidth="1"/>
    <col min="150" max="150" width="7.140625" bestFit="1" customWidth="1"/>
    <col min="151" max="151" width="4" bestFit="1" customWidth="1"/>
    <col min="152" max="152" width="7.140625" bestFit="1" customWidth="1"/>
    <col min="153" max="153" width="10.7109375" bestFit="1" customWidth="1"/>
    <col min="154" max="154" width="7.140625" bestFit="1" customWidth="1"/>
    <col min="155" max="155" width="10.7109375" bestFit="1" customWidth="1"/>
    <col min="156" max="156" width="7.5703125" bestFit="1" customWidth="1"/>
    <col min="157" max="157" width="5.5703125" bestFit="1" customWidth="1"/>
    <col min="158" max="158" width="7.5703125" bestFit="1" customWidth="1"/>
    <col min="159" max="159" width="10.7109375" bestFit="1" customWidth="1"/>
    <col min="160" max="160" width="8.140625" bestFit="1" customWidth="1"/>
    <col min="161" max="161" width="10.7109375" bestFit="1" customWidth="1"/>
    <col min="162" max="162" width="9.7109375" bestFit="1" customWidth="1"/>
    <col min="163" max="163" width="7.140625" bestFit="1" customWidth="1"/>
    <col min="164" max="164" width="9.7109375" bestFit="1" customWidth="1"/>
    <col min="165" max="165" width="10.7109375" bestFit="1" customWidth="1"/>
    <col min="166" max="166" width="7.140625" bestFit="1" customWidth="1"/>
    <col min="167" max="167" width="10.7109375" bestFit="1" customWidth="1"/>
    <col min="168" max="168" width="7.140625" bestFit="1" customWidth="1"/>
    <col min="169" max="169" width="6.140625" bestFit="1" customWidth="1"/>
    <col min="170" max="170" width="7.140625" bestFit="1" customWidth="1"/>
    <col min="171" max="176" width="4" bestFit="1" customWidth="1"/>
    <col min="177" max="177" width="11.7109375" bestFit="1" customWidth="1"/>
    <col min="178" max="178" width="8.140625" bestFit="1" customWidth="1"/>
    <col min="179" max="179" width="11.7109375" bestFit="1" customWidth="1"/>
    <col min="180" max="180" width="9.7109375" bestFit="1" customWidth="1"/>
    <col min="181" max="181" width="7.140625" bestFit="1" customWidth="1"/>
    <col min="182" max="182" width="9.7109375" bestFit="1" customWidth="1"/>
    <col min="183" max="183" width="8.140625" bestFit="1" customWidth="1"/>
    <col min="184" max="184" width="4" bestFit="1" customWidth="1"/>
    <col min="185" max="185" width="8.140625" bestFit="1" customWidth="1"/>
    <col min="186" max="186" width="9.7109375" bestFit="1" customWidth="1"/>
    <col min="187" max="187" width="7.140625" bestFit="1" customWidth="1"/>
    <col min="188" max="188" width="9.7109375" bestFit="1" customWidth="1"/>
    <col min="189" max="189" width="13.85546875" bestFit="1" customWidth="1"/>
    <col min="190" max="190" width="11.140625" bestFit="1" customWidth="1"/>
    <col min="191" max="191" width="13.85546875" bestFit="1" customWidth="1"/>
    <col min="192" max="192" width="10.7109375" bestFit="1" customWidth="1"/>
    <col min="194" max="194" width="10.7109375" bestFit="1" customWidth="1"/>
    <col min="195" max="195" width="13.42578125" bestFit="1" customWidth="1"/>
    <col min="196" max="196" width="10.7109375" bestFit="1" customWidth="1"/>
    <col min="197" max="198" width="13.42578125" bestFit="1" customWidth="1"/>
    <col min="199" max="199" width="10.7109375" bestFit="1" customWidth="1"/>
    <col min="200" max="200" width="13.42578125" bestFit="1" customWidth="1"/>
    <col min="201" max="202" width="10.7109375" bestFit="1" customWidth="1"/>
    <col min="203" max="204" width="11.7109375" bestFit="1" customWidth="1"/>
    <col min="205" max="205" width="8.140625" bestFit="1" customWidth="1"/>
    <col min="206" max="206" width="11.7109375" bestFit="1" customWidth="1"/>
    <col min="207" max="207" width="9.7109375" bestFit="1" customWidth="1"/>
    <col min="208" max="208" width="7.140625" bestFit="1" customWidth="1"/>
    <col min="209" max="209" width="9.7109375" bestFit="1" customWidth="1"/>
    <col min="210" max="210" width="13.42578125" bestFit="1" customWidth="1"/>
    <col min="211" max="211" width="10.7109375" bestFit="1" customWidth="1"/>
    <col min="212" max="212" width="13.42578125" bestFit="1" customWidth="1"/>
    <col min="213" max="213" width="13.85546875" bestFit="1" customWidth="1"/>
    <col min="214" max="214" width="11.140625" bestFit="1" customWidth="1"/>
    <col min="215" max="215" width="13.85546875" bestFit="1" customWidth="1"/>
  </cols>
  <sheetData>
    <row r="1" spans="1:216" s="187" customFormat="1" x14ac:dyDescent="0.2">
      <c r="B1" s="188"/>
      <c r="D1" s="446">
        <v>3</v>
      </c>
      <c r="E1" s="446">
        <v>4</v>
      </c>
      <c r="F1" s="446">
        <v>5</v>
      </c>
      <c r="G1" s="446">
        <v>6</v>
      </c>
      <c r="H1" s="446">
        <v>7</v>
      </c>
      <c r="I1" s="446">
        <v>8</v>
      </c>
      <c r="J1" s="446">
        <v>9</v>
      </c>
      <c r="K1" s="446">
        <v>10</v>
      </c>
      <c r="L1" s="446">
        <v>11</v>
      </c>
      <c r="M1" s="446">
        <v>12</v>
      </c>
      <c r="N1" s="446">
        <v>13</v>
      </c>
      <c r="O1" s="446">
        <v>14</v>
      </c>
      <c r="P1" s="446">
        <v>15</v>
      </c>
      <c r="Q1" s="446">
        <v>16</v>
      </c>
      <c r="R1" s="446">
        <v>17</v>
      </c>
      <c r="S1" s="446">
        <v>18</v>
      </c>
      <c r="T1" s="446">
        <v>19</v>
      </c>
      <c r="U1" s="446">
        <v>20</v>
      </c>
      <c r="V1" s="446">
        <v>21</v>
      </c>
      <c r="W1" s="446">
        <v>22</v>
      </c>
      <c r="X1" s="446">
        <v>23</v>
      </c>
      <c r="Y1" s="446">
        <v>24</v>
      </c>
      <c r="Z1" s="446">
        <v>25</v>
      </c>
      <c r="AA1" s="446">
        <v>26</v>
      </c>
      <c r="AB1" s="446">
        <v>27</v>
      </c>
      <c r="AC1" s="446">
        <v>28</v>
      </c>
      <c r="AD1" s="446">
        <v>29</v>
      </c>
      <c r="AE1" s="446">
        <v>30</v>
      </c>
      <c r="AF1" s="446">
        <v>31</v>
      </c>
      <c r="AG1" s="446">
        <v>32</v>
      </c>
      <c r="AH1" s="446">
        <v>33</v>
      </c>
      <c r="AI1" s="446">
        <v>34</v>
      </c>
      <c r="AJ1" s="446">
        <v>35</v>
      </c>
      <c r="AK1" s="446">
        <v>36</v>
      </c>
      <c r="AL1" s="446">
        <v>37</v>
      </c>
      <c r="AM1" s="446">
        <v>38</v>
      </c>
      <c r="AN1" s="446">
        <v>39</v>
      </c>
      <c r="AO1" s="446">
        <v>40</v>
      </c>
      <c r="AP1" s="446">
        <v>41</v>
      </c>
      <c r="AQ1" s="446">
        <v>42</v>
      </c>
      <c r="AR1" s="446">
        <v>43</v>
      </c>
      <c r="AS1" s="446">
        <v>44</v>
      </c>
      <c r="AT1" s="446">
        <v>45</v>
      </c>
      <c r="AU1" s="446">
        <v>46</v>
      </c>
      <c r="AV1" s="446">
        <v>47</v>
      </c>
      <c r="AW1" s="446">
        <v>48</v>
      </c>
      <c r="AX1" s="446">
        <v>49</v>
      </c>
      <c r="AY1" s="446">
        <v>50</v>
      </c>
      <c r="AZ1" s="446">
        <v>51</v>
      </c>
      <c r="BA1" s="446">
        <v>52</v>
      </c>
      <c r="BB1" s="446">
        <v>53</v>
      </c>
      <c r="BC1" s="446">
        <v>54</v>
      </c>
      <c r="BD1" s="446">
        <v>55</v>
      </c>
      <c r="BE1" s="446">
        <v>56</v>
      </c>
      <c r="BF1" s="446">
        <v>57</v>
      </c>
      <c r="BG1" s="446">
        <v>58</v>
      </c>
      <c r="BH1" s="446">
        <v>59</v>
      </c>
      <c r="BI1" s="446">
        <v>60</v>
      </c>
      <c r="BJ1" s="446">
        <v>61</v>
      </c>
      <c r="BK1" s="446">
        <v>62</v>
      </c>
      <c r="BL1" s="446">
        <v>63</v>
      </c>
      <c r="BM1" s="446">
        <v>64</v>
      </c>
      <c r="BN1" s="446">
        <v>65</v>
      </c>
      <c r="BO1" s="446">
        <v>66</v>
      </c>
      <c r="BP1" s="446">
        <v>67</v>
      </c>
      <c r="BQ1" s="446">
        <v>68</v>
      </c>
      <c r="BR1" s="446">
        <v>69</v>
      </c>
      <c r="BS1" s="446">
        <v>70</v>
      </c>
      <c r="BT1" s="446">
        <v>71</v>
      </c>
      <c r="BU1" s="446">
        <v>72</v>
      </c>
      <c r="BV1" s="446">
        <v>73</v>
      </c>
      <c r="BW1" s="446">
        <v>74</v>
      </c>
      <c r="BX1" s="446">
        <v>75</v>
      </c>
      <c r="BY1" s="446">
        <v>76</v>
      </c>
      <c r="BZ1" s="446">
        <v>77</v>
      </c>
      <c r="CA1" s="446">
        <v>78</v>
      </c>
      <c r="CB1" s="446">
        <v>79</v>
      </c>
      <c r="CC1" s="446">
        <v>80</v>
      </c>
      <c r="CD1" s="446">
        <v>81</v>
      </c>
      <c r="CE1" s="446">
        <v>82</v>
      </c>
      <c r="CF1" s="446">
        <v>83</v>
      </c>
      <c r="CG1" s="446">
        <v>84</v>
      </c>
      <c r="CH1" s="446">
        <v>85</v>
      </c>
      <c r="CI1" s="446">
        <v>86</v>
      </c>
      <c r="CJ1" s="446">
        <v>87</v>
      </c>
      <c r="CK1" s="446">
        <v>88</v>
      </c>
      <c r="CL1" s="446">
        <v>89</v>
      </c>
      <c r="CM1" s="446">
        <v>90</v>
      </c>
      <c r="CN1" s="446">
        <v>91</v>
      </c>
      <c r="CO1" s="446">
        <v>92</v>
      </c>
      <c r="CP1" s="446">
        <v>93</v>
      </c>
      <c r="CQ1" s="446">
        <v>94</v>
      </c>
      <c r="CR1" s="446">
        <v>95</v>
      </c>
      <c r="CS1" s="446">
        <v>96</v>
      </c>
      <c r="CT1" s="446">
        <v>97</v>
      </c>
      <c r="CU1" s="446">
        <v>98</v>
      </c>
      <c r="CV1" s="446">
        <v>99</v>
      </c>
      <c r="CW1" s="446">
        <v>100</v>
      </c>
      <c r="CX1" s="446">
        <v>101</v>
      </c>
      <c r="CY1" s="446">
        <v>102</v>
      </c>
      <c r="CZ1" s="446">
        <v>103</v>
      </c>
      <c r="DA1" s="446">
        <v>104</v>
      </c>
      <c r="DB1" s="446">
        <v>105</v>
      </c>
      <c r="DC1" s="446">
        <v>106</v>
      </c>
      <c r="DD1" s="446">
        <v>107</v>
      </c>
      <c r="DE1" s="446">
        <v>108</v>
      </c>
      <c r="DF1" s="446">
        <v>109</v>
      </c>
      <c r="DG1" s="446">
        <v>110</v>
      </c>
      <c r="DH1" s="446">
        <v>111</v>
      </c>
      <c r="DI1" s="446">
        <v>112</v>
      </c>
      <c r="DJ1" s="446">
        <v>113</v>
      </c>
      <c r="DK1" s="446">
        <v>114</v>
      </c>
      <c r="DL1" s="446">
        <v>115</v>
      </c>
      <c r="DM1" s="446">
        <v>116</v>
      </c>
      <c r="DN1" s="446">
        <v>117</v>
      </c>
      <c r="DO1" s="446">
        <v>118</v>
      </c>
      <c r="DP1" s="446">
        <v>119</v>
      </c>
      <c r="DQ1" s="446">
        <v>120</v>
      </c>
      <c r="DR1" s="446">
        <v>121</v>
      </c>
      <c r="DS1" s="446">
        <v>122</v>
      </c>
      <c r="DT1" s="446">
        <v>123</v>
      </c>
      <c r="DU1" s="446">
        <v>124</v>
      </c>
      <c r="DV1" s="446">
        <v>125</v>
      </c>
      <c r="DW1" s="446">
        <v>126</v>
      </c>
      <c r="DX1" s="446">
        <v>127</v>
      </c>
      <c r="DY1" s="446">
        <v>128</v>
      </c>
      <c r="DZ1" s="446">
        <v>129</v>
      </c>
      <c r="EA1" s="446">
        <v>130</v>
      </c>
      <c r="EB1" s="446">
        <v>131</v>
      </c>
      <c r="EC1" s="446">
        <v>132</v>
      </c>
      <c r="ED1" s="446">
        <v>133</v>
      </c>
      <c r="EE1" s="446">
        <v>134</v>
      </c>
      <c r="EF1" s="446">
        <v>135</v>
      </c>
      <c r="EG1" s="446">
        <v>136</v>
      </c>
      <c r="EH1" s="446">
        <v>137</v>
      </c>
      <c r="EI1" s="446">
        <v>138</v>
      </c>
      <c r="EJ1" s="446">
        <v>139</v>
      </c>
      <c r="EK1" s="446">
        <v>140</v>
      </c>
      <c r="EL1" s="446">
        <v>141</v>
      </c>
      <c r="EM1" s="446">
        <v>142</v>
      </c>
      <c r="EN1" s="446">
        <v>143</v>
      </c>
      <c r="EO1" s="446">
        <v>144</v>
      </c>
      <c r="EP1" s="446">
        <v>145</v>
      </c>
      <c r="EQ1" s="446">
        <v>146</v>
      </c>
      <c r="ER1" s="446">
        <v>147</v>
      </c>
      <c r="ES1" s="446">
        <v>148</v>
      </c>
      <c r="ET1" s="446">
        <v>149</v>
      </c>
      <c r="EU1" s="446">
        <v>150</v>
      </c>
      <c r="EV1" s="446">
        <v>151</v>
      </c>
      <c r="EW1" s="446">
        <v>152</v>
      </c>
      <c r="EX1" s="446">
        <v>153</v>
      </c>
      <c r="EY1" s="446">
        <v>154</v>
      </c>
      <c r="EZ1" s="446">
        <v>155</v>
      </c>
      <c r="FA1" s="446">
        <v>156</v>
      </c>
      <c r="FB1" s="446">
        <v>157</v>
      </c>
      <c r="FC1" s="446">
        <v>158</v>
      </c>
      <c r="FD1" s="446">
        <v>159</v>
      </c>
      <c r="FE1" s="446">
        <v>160</v>
      </c>
      <c r="FF1" s="446">
        <v>161</v>
      </c>
      <c r="FG1" s="446">
        <v>162</v>
      </c>
      <c r="FH1" s="446">
        <v>163</v>
      </c>
      <c r="FI1" s="446">
        <v>164</v>
      </c>
      <c r="FJ1" s="446">
        <v>165</v>
      </c>
      <c r="FK1" s="446">
        <v>166</v>
      </c>
      <c r="FL1" s="446">
        <v>167</v>
      </c>
      <c r="FM1" s="446">
        <v>168</v>
      </c>
      <c r="FN1" s="446">
        <v>169</v>
      </c>
      <c r="FO1" s="446">
        <v>170</v>
      </c>
      <c r="FP1" s="446">
        <v>171</v>
      </c>
      <c r="FQ1" s="446">
        <v>172</v>
      </c>
      <c r="FR1" s="446">
        <v>173</v>
      </c>
      <c r="FS1" s="446">
        <v>174</v>
      </c>
      <c r="FT1" s="446">
        <v>175</v>
      </c>
      <c r="FU1" s="446">
        <v>176</v>
      </c>
      <c r="FV1" s="446">
        <v>177</v>
      </c>
      <c r="FW1" s="446">
        <v>178</v>
      </c>
      <c r="FX1" s="446">
        <v>179</v>
      </c>
      <c r="FY1" s="446">
        <v>180</v>
      </c>
      <c r="FZ1" s="446">
        <v>181</v>
      </c>
      <c r="GA1" s="446">
        <v>182</v>
      </c>
      <c r="GB1" s="446">
        <v>183</v>
      </c>
      <c r="GC1" s="446">
        <v>184</v>
      </c>
      <c r="GD1" s="446">
        <v>185</v>
      </c>
      <c r="GE1" s="446">
        <v>186</v>
      </c>
      <c r="GF1" s="446">
        <v>187</v>
      </c>
      <c r="GG1" s="446">
        <v>188</v>
      </c>
      <c r="GH1" s="446">
        <v>189</v>
      </c>
      <c r="GI1" s="446">
        <v>190</v>
      </c>
      <c r="GJ1" s="446">
        <v>191</v>
      </c>
      <c r="GK1" s="446">
        <v>192</v>
      </c>
      <c r="GL1" s="446">
        <v>193</v>
      </c>
      <c r="GM1" s="446">
        <v>194</v>
      </c>
      <c r="GN1" s="446">
        <v>195</v>
      </c>
      <c r="GO1" s="446">
        <v>196</v>
      </c>
      <c r="GP1" s="446">
        <v>197</v>
      </c>
      <c r="GQ1" s="446">
        <v>198</v>
      </c>
      <c r="GR1" s="446">
        <v>199</v>
      </c>
      <c r="GS1" s="446">
        <v>200</v>
      </c>
      <c r="GT1" s="446">
        <v>201</v>
      </c>
      <c r="GU1" s="446">
        <v>202</v>
      </c>
      <c r="GV1" s="446">
        <v>203</v>
      </c>
      <c r="GW1" s="446">
        <v>204</v>
      </c>
      <c r="GX1" s="446">
        <v>205</v>
      </c>
      <c r="GY1" s="446">
        <v>206</v>
      </c>
      <c r="GZ1" s="446">
        <v>207</v>
      </c>
      <c r="HA1" s="446">
        <v>208</v>
      </c>
      <c r="HB1" s="446">
        <v>209</v>
      </c>
      <c r="HC1" s="446">
        <v>210</v>
      </c>
      <c r="HD1" s="446">
        <v>211</v>
      </c>
      <c r="HE1" s="446">
        <v>212</v>
      </c>
      <c r="HF1" s="446">
        <v>213</v>
      </c>
      <c r="HG1" s="446">
        <v>214</v>
      </c>
    </row>
    <row r="2" spans="1:216" s="428" customFormat="1" ht="80.25" customHeight="1" x14ac:dyDescent="0.2">
      <c r="A2" s="447"/>
      <c r="B2" s="188"/>
      <c r="C2" s="430"/>
      <c r="D2" s="933" t="s">
        <v>1542</v>
      </c>
      <c r="E2" s="933"/>
      <c r="F2" s="933"/>
      <c r="G2" s="933" t="s">
        <v>983</v>
      </c>
      <c r="H2" s="933"/>
      <c r="I2" s="933"/>
      <c r="J2" s="933" t="s">
        <v>1543</v>
      </c>
      <c r="K2" s="933"/>
      <c r="L2" s="933"/>
      <c r="M2" s="933" t="s">
        <v>984</v>
      </c>
      <c r="N2" s="933"/>
      <c r="O2" s="933"/>
      <c r="P2" s="933" t="s">
        <v>985</v>
      </c>
      <c r="Q2" s="933"/>
      <c r="R2" s="933"/>
      <c r="S2" s="933" t="s">
        <v>1544</v>
      </c>
      <c r="T2" s="933"/>
      <c r="U2" s="933"/>
      <c r="V2" s="933" t="s">
        <v>986</v>
      </c>
      <c r="W2" s="933"/>
      <c r="X2" s="933"/>
      <c r="Y2" s="933" t="s">
        <v>987</v>
      </c>
      <c r="Z2" s="933"/>
      <c r="AA2" s="933"/>
      <c r="AB2" s="933" t="s">
        <v>1273</v>
      </c>
      <c r="AC2" s="933"/>
      <c r="AD2" s="933"/>
      <c r="AE2" s="930" t="s">
        <v>1545</v>
      </c>
      <c r="AF2" s="931"/>
      <c r="AG2" s="932"/>
      <c r="AH2" s="933" t="s">
        <v>1546</v>
      </c>
      <c r="AI2" s="933"/>
      <c r="AJ2" s="933"/>
      <c r="AK2" s="930" t="s">
        <v>1547</v>
      </c>
      <c r="AL2" s="931"/>
      <c r="AM2" s="932"/>
      <c r="AN2" s="933" t="s">
        <v>1548</v>
      </c>
      <c r="AO2" s="933"/>
      <c r="AP2" s="933"/>
      <c r="AQ2" s="933" t="s">
        <v>988</v>
      </c>
      <c r="AR2" s="933"/>
      <c r="AS2" s="933"/>
      <c r="AT2" s="933" t="s">
        <v>1549</v>
      </c>
      <c r="AU2" s="933"/>
      <c r="AV2" s="933"/>
      <c r="AW2" s="933" t="s">
        <v>989</v>
      </c>
      <c r="AX2" s="933"/>
      <c r="AY2" s="933"/>
      <c r="AZ2" s="933" t="s">
        <v>1550</v>
      </c>
      <c r="BA2" s="933"/>
      <c r="BB2" s="933"/>
      <c r="BC2" s="933" t="s">
        <v>990</v>
      </c>
      <c r="BD2" s="933"/>
      <c r="BE2" s="933"/>
      <c r="BF2" s="933" t="s">
        <v>1551</v>
      </c>
      <c r="BG2" s="933"/>
      <c r="BH2" s="933"/>
      <c r="BI2" s="933" t="s">
        <v>991</v>
      </c>
      <c r="BJ2" s="933"/>
      <c r="BK2" s="933"/>
      <c r="BL2" s="933" t="s">
        <v>992</v>
      </c>
      <c r="BM2" s="933"/>
      <c r="BN2" s="933"/>
      <c r="BO2" s="933" t="s">
        <v>1552</v>
      </c>
      <c r="BP2" s="933"/>
      <c r="BQ2" s="933"/>
      <c r="BR2" s="933" t="s">
        <v>993</v>
      </c>
      <c r="BS2" s="933"/>
      <c r="BT2" s="933"/>
      <c r="BU2" s="933" t="s">
        <v>1553</v>
      </c>
      <c r="BV2" s="933"/>
      <c r="BW2" s="933"/>
      <c r="BX2" s="933" t="s">
        <v>994</v>
      </c>
      <c r="BY2" s="933"/>
      <c r="BZ2" s="933"/>
      <c r="CA2" s="933" t="s">
        <v>995</v>
      </c>
      <c r="CB2" s="933"/>
      <c r="CC2" s="933"/>
      <c r="CD2" s="933" t="s">
        <v>1554</v>
      </c>
      <c r="CE2" s="933"/>
      <c r="CF2" s="933"/>
      <c r="CG2" s="933" t="s">
        <v>996</v>
      </c>
      <c r="CH2" s="933"/>
      <c r="CI2" s="933"/>
      <c r="CJ2" s="933" t="s">
        <v>1555</v>
      </c>
      <c r="CK2" s="933"/>
      <c r="CL2" s="933"/>
      <c r="CM2" s="933" t="s">
        <v>997</v>
      </c>
      <c r="CN2" s="933"/>
      <c r="CO2" s="933"/>
      <c r="CP2" s="933" t="s">
        <v>1550</v>
      </c>
      <c r="CQ2" s="933"/>
      <c r="CR2" s="933"/>
      <c r="CS2" s="933" t="s">
        <v>990</v>
      </c>
      <c r="CT2" s="933"/>
      <c r="CU2" s="933"/>
      <c r="CV2" s="933" t="s">
        <v>1556</v>
      </c>
      <c r="CW2" s="933"/>
      <c r="CX2" s="933"/>
      <c r="CY2" s="933" t="s">
        <v>998</v>
      </c>
      <c r="CZ2" s="933"/>
      <c r="DA2" s="933"/>
      <c r="DB2" s="933" t="s">
        <v>1557</v>
      </c>
      <c r="DC2" s="933"/>
      <c r="DD2" s="933"/>
      <c r="DE2" s="933" t="s">
        <v>999</v>
      </c>
      <c r="DF2" s="933"/>
      <c r="DG2" s="933"/>
      <c r="DH2" s="933" t="s">
        <v>1558</v>
      </c>
      <c r="DI2" s="933"/>
      <c r="DJ2" s="933"/>
      <c r="DK2" s="933" t="s">
        <v>1000</v>
      </c>
      <c r="DL2" s="933"/>
      <c r="DM2" s="933"/>
      <c r="DN2" s="431" t="s">
        <v>88</v>
      </c>
      <c r="DO2" s="431" t="s">
        <v>89</v>
      </c>
      <c r="DP2" s="933" t="s">
        <v>1001</v>
      </c>
      <c r="DQ2" s="933"/>
      <c r="DR2" s="933"/>
      <c r="DS2" s="933" t="s">
        <v>1002</v>
      </c>
      <c r="DT2" s="933"/>
      <c r="DU2" s="933"/>
      <c r="DV2" s="933" t="s">
        <v>1003</v>
      </c>
      <c r="DW2" s="933"/>
      <c r="DX2" s="933"/>
      <c r="DY2" s="933" t="s">
        <v>1274</v>
      </c>
      <c r="DZ2" s="933"/>
      <c r="EA2" s="933"/>
      <c r="EB2" s="933" t="s">
        <v>1559</v>
      </c>
      <c r="EC2" s="933"/>
      <c r="ED2" s="933"/>
      <c r="EE2" s="933" t="s">
        <v>1004</v>
      </c>
      <c r="EF2" s="933"/>
      <c r="EG2" s="933"/>
      <c r="EH2" s="933" t="s">
        <v>1074</v>
      </c>
      <c r="EI2" s="933"/>
      <c r="EJ2" s="933"/>
      <c r="EK2" s="933" t="s">
        <v>1560</v>
      </c>
      <c r="EL2" s="933"/>
      <c r="EM2" s="933"/>
      <c r="EN2" s="930" t="s">
        <v>1562</v>
      </c>
      <c r="EO2" s="931"/>
      <c r="EP2" s="932"/>
      <c r="EQ2" s="930" t="s">
        <v>1561</v>
      </c>
      <c r="ER2" s="931"/>
      <c r="ES2" s="932"/>
      <c r="ET2" s="935" t="s">
        <v>1564</v>
      </c>
      <c r="EU2" s="936"/>
      <c r="EV2" s="937"/>
      <c r="EW2" s="930" t="s">
        <v>1563</v>
      </c>
      <c r="EX2" s="931"/>
      <c r="EY2" s="932"/>
      <c r="EZ2" s="935" t="s">
        <v>1565</v>
      </c>
      <c r="FA2" s="938"/>
      <c r="FB2" s="939"/>
      <c r="FC2" s="930" t="s">
        <v>1566</v>
      </c>
      <c r="FD2" s="931"/>
      <c r="FE2" s="932"/>
      <c r="FF2" s="935" t="s">
        <v>1567</v>
      </c>
      <c r="FG2" s="938"/>
      <c r="FH2" s="939"/>
      <c r="FI2" s="930" t="s">
        <v>1568</v>
      </c>
      <c r="FJ2" s="931"/>
      <c r="FK2" s="932"/>
      <c r="FL2" s="935" t="s">
        <v>1569</v>
      </c>
      <c r="FM2" s="938"/>
      <c r="FN2" s="939"/>
      <c r="FO2" s="935" t="s">
        <v>1570</v>
      </c>
      <c r="FP2" s="931"/>
      <c r="FQ2" s="932"/>
      <c r="FR2" s="935" t="s">
        <v>1571</v>
      </c>
      <c r="FS2" s="931"/>
      <c r="FT2" s="932"/>
      <c r="FU2" s="933" t="s">
        <v>1005</v>
      </c>
      <c r="FV2" s="933"/>
      <c r="FW2" s="933"/>
      <c r="FX2" s="933" t="s">
        <v>1572</v>
      </c>
      <c r="FY2" s="933"/>
      <c r="FZ2" s="933"/>
      <c r="GA2" s="933" t="s">
        <v>1006</v>
      </c>
      <c r="GB2" s="933"/>
      <c r="GC2" s="933"/>
      <c r="GD2" s="933" t="s">
        <v>1007</v>
      </c>
      <c r="GE2" s="933"/>
      <c r="GF2" s="933"/>
      <c r="GG2" s="933" t="s">
        <v>1008</v>
      </c>
      <c r="GH2" s="933"/>
      <c r="GI2" s="933"/>
      <c r="GJ2" s="933" t="s">
        <v>1009</v>
      </c>
      <c r="GK2" s="933"/>
      <c r="GL2" s="933"/>
      <c r="GM2" s="933" t="s">
        <v>1010</v>
      </c>
      <c r="GN2" s="933"/>
      <c r="GO2" s="933"/>
      <c r="GP2" s="933" t="s">
        <v>1011</v>
      </c>
      <c r="GQ2" s="933"/>
      <c r="GR2" s="933"/>
      <c r="GS2" s="933" t="s">
        <v>1012</v>
      </c>
      <c r="GT2" s="933"/>
      <c r="GU2" s="933"/>
      <c r="GV2" s="933" t="s">
        <v>1013</v>
      </c>
      <c r="GW2" s="933"/>
      <c r="GX2" s="933"/>
      <c r="GY2" s="933" t="s">
        <v>1014</v>
      </c>
      <c r="GZ2" s="933"/>
      <c r="HA2" s="933"/>
      <c r="HB2" s="933" t="s">
        <v>1015</v>
      </c>
      <c r="HC2" s="933"/>
      <c r="HD2" s="933"/>
      <c r="HE2" s="934" t="s">
        <v>1016</v>
      </c>
      <c r="HF2" s="934"/>
      <c r="HG2" s="934"/>
    </row>
    <row r="3" spans="1:216" s="187" customFormat="1" x14ac:dyDescent="0.2">
      <c r="B3" s="188"/>
      <c r="C3" s="187" t="s">
        <v>954</v>
      </c>
      <c r="D3" s="446">
        <v>1</v>
      </c>
      <c r="E3" s="446"/>
      <c r="F3" s="446"/>
      <c r="G3" s="446">
        <v>2</v>
      </c>
      <c r="H3" s="446"/>
      <c r="I3" s="446"/>
      <c r="J3" s="446">
        <v>3</v>
      </c>
      <c r="K3" s="446"/>
      <c r="L3" s="446"/>
      <c r="M3" s="446">
        <v>4</v>
      </c>
      <c r="N3" s="446"/>
      <c r="O3" s="446"/>
      <c r="P3" s="446">
        <v>5</v>
      </c>
      <c r="Q3" s="446"/>
      <c r="R3" s="446"/>
      <c r="S3" s="446">
        <v>6</v>
      </c>
      <c r="T3" s="446"/>
      <c r="U3" s="446"/>
      <c r="V3" s="446">
        <v>7</v>
      </c>
      <c r="W3" s="446"/>
      <c r="X3" s="446"/>
      <c r="Y3" s="446">
        <v>8</v>
      </c>
      <c r="Z3" s="446"/>
      <c r="AA3" s="446"/>
      <c r="AB3" s="648" t="s">
        <v>1573</v>
      </c>
      <c r="AC3" s="446"/>
      <c r="AD3" s="446"/>
      <c r="AE3" s="648" t="s">
        <v>1574</v>
      </c>
      <c r="AF3" s="446"/>
      <c r="AG3" s="446"/>
      <c r="AH3" s="648" t="s">
        <v>1575</v>
      </c>
      <c r="AI3" s="446"/>
      <c r="AJ3" s="446"/>
      <c r="AK3" s="648" t="s">
        <v>1576</v>
      </c>
      <c r="AL3" s="446"/>
      <c r="AM3" s="446"/>
      <c r="AN3" s="446">
        <v>11</v>
      </c>
      <c r="AO3" s="446"/>
      <c r="AP3" s="446"/>
      <c r="AQ3" s="446">
        <v>12</v>
      </c>
      <c r="AR3" s="446"/>
      <c r="AS3" s="446"/>
      <c r="AT3" s="446">
        <v>13</v>
      </c>
      <c r="AU3" s="446"/>
      <c r="AV3" s="446"/>
      <c r="AW3" s="446">
        <v>14</v>
      </c>
      <c r="AX3" s="446"/>
      <c r="AY3" s="446"/>
      <c r="AZ3" s="446">
        <v>15</v>
      </c>
      <c r="BA3" s="446"/>
      <c r="BB3" s="446"/>
      <c r="BC3" s="446">
        <v>16</v>
      </c>
      <c r="BD3" s="446"/>
      <c r="BE3" s="446"/>
      <c r="BF3" s="446">
        <v>17</v>
      </c>
      <c r="BG3" s="446"/>
      <c r="BH3" s="446"/>
      <c r="BI3" s="446">
        <v>18</v>
      </c>
      <c r="BJ3" s="446"/>
      <c r="BK3" s="446"/>
      <c r="BL3" s="446">
        <v>19</v>
      </c>
      <c r="BM3" s="446"/>
      <c r="BN3" s="446"/>
      <c r="BO3" s="446">
        <v>20</v>
      </c>
      <c r="BP3" s="446"/>
      <c r="BQ3" s="446"/>
      <c r="BR3" s="446">
        <v>21</v>
      </c>
      <c r="BS3" s="446"/>
      <c r="BT3" s="446"/>
      <c r="BU3" s="446">
        <v>22</v>
      </c>
      <c r="BV3" s="446"/>
      <c r="BW3" s="446"/>
      <c r="BX3" s="446">
        <v>23</v>
      </c>
      <c r="BY3" s="446"/>
      <c r="BZ3" s="446"/>
      <c r="CA3" s="446">
        <v>24</v>
      </c>
      <c r="CB3" s="446"/>
      <c r="CC3" s="446"/>
      <c r="CD3" s="446">
        <v>25</v>
      </c>
      <c r="CE3" s="446"/>
      <c r="CF3" s="446"/>
      <c r="CG3" s="446">
        <v>26</v>
      </c>
      <c r="CH3" s="446"/>
      <c r="CI3" s="446"/>
      <c r="CJ3" s="446">
        <v>27</v>
      </c>
      <c r="CK3" s="446"/>
      <c r="CL3" s="446"/>
      <c r="CM3" s="446">
        <v>28</v>
      </c>
      <c r="CN3" s="446"/>
      <c r="CO3" s="446"/>
      <c r="CP3" s="446">
        <v>29</v>
      </c>
      <c r="CQ3" s="446"/>
      <c r="CR3" s="446"/>
      <c r="CS3" s="446">
        <v>30</v>
      </c>
      <c r="CT3" s="446"/>
      <c r="CU3" s="446"/>
      <c r="CV3" s="446">
        <v>31</v>
      </c>
      <c r="CW3" s="446"/>
      <c r="CX3" s="446"/>
      <c r="CY3" s="446">
        <v>32</v>
      </c>
      <c r="CZ3" s="446"/>
      <c r="DA3" s="446"/>
      <c r="DB3" s="446">
        <v>33</v>
      </c>
      <c r="DC3" s="446"/>
      <c r="DD3" s="446"/>
      <c r="DE3" s="446">
        <v>34</v>
      </c>
      <c r="DF3" s="446"/>
      <c r="DG3" s="446"/>
      <c r="DH3" s="446">
        <v>35</v>
      </c>
      <c r="DI3" s="446"/>
      <c r="DJ3" s="446"/>
      <c r="DK3" s="446">
        <v>36</v>
      </c>
      <c r="DL3" s="446"/>
      <c r="DM3" s="446"/>
      <c r="DN3" s="446">
        <v>37</v>
      </c>
      <c r="DO3" s="446">
        <v>38</v>
      </c>
      <c r="DP3" s="446">
        <v>39</v>
      </c>
      <c r="DQ3" s="446"/>
      <c r="DR3" s="446"/>
      <c r="DS3" s="446">
        <v>40</v>
      </c>
      <c r="DT3" s="446"/>
      <c r="DU3" s="446"/>
      <c r="DV3" s="446">
        <v>41</v>
      </c>
      <c r="DW3" s="446"/>
      <c r="DX3" s="446"/>
      <c r="DY3" s="446">
        <v>42</v>
      </c>
      <c r="DZ3" s="446"/>
      <c r="EA3" s="446"/>
      <c r="EB3" s="446">
        <v>43</v>
      </c>
      <c r="EC3" s="446"/>
      <c r="ED3" s="446"/>
      <c r="EE3" s="446">
        <v>44</v>
      </c>
      <c r="EF3" s="446"/>
      <c r="EG3" s="446"/>
      <c r="EH3" s="446">
        <v>45</v>
      </c>
      <c r="EI3" s="446"/>
      <c r="EJ3" s="446"/>
      <c r="EK3" s="446">
        <v>46</v>
      </c>
      <c r="EL3" s="446"/>
      <c r="EM3" s="446"/>
      <c r="EN3" s="446">
        <v>47</v>
      </c>
      <c r="EO3" s="446"/>
      <c r="EP3" s="446"/>
      <c r="EQ3" s="446">
        <v>48</v>
      </c>
      <c r="ER3" s="446"/>
      <c r="ES3" s="446"/>
      <c r="ET3" s="446">
        <v>49</v>
      </c>
      <c r="EU3" s="446"/>
      <c r="EV3" s="446"/>
      <c r="EW3" s="446">
        <v>50</v>
      </c>
      <c r="EX3" s="446"/>
      <c r="EY3" s="446"/>
      <c r="EZ3" s="446">
        <v>51</v>
      </c>
      <c r="FA3" s="446"/>
      <c r="FB3" s="446"/>
      <c r="FC3" s="446">
        <v>52</v>
      </c>
      <c r="FD3" s="446"/>
      <c r="FE3" s="446"/>
      <c r="FF3" s="446">
        <v>53</v>
      </c>
      <c r="FG3" s="446"/>
      <c r="FH3" s="446"/>
      <c r="FI3" s="446">
        <v>54</v>
      </c>
      <c r="FJ3" s="446"/>
      <c r="FK3" s="446"/>
      <c r="FL3" s="446">
        <v>55</v>
      </c>
      <c r="FM3" s="446"/>
      <c r="FN3" s="446"/>
      <c r="FO3" s="446">
        <v>56</v>
      </c>
      <c r="FP3" s="446"/>
      <c r="FQ3" s="446"/>
      <c r="FR3" s="446">
        <v>57</v>
      </c>
      <c r="FS3" s="446"/>
      <c r="FT3" s="446"/>
      <c r="FU3" s="446">
        <v>58</v>
      </c>
      <c r="FV3" s="446"/>
      <c r="FW3" s="446"/>
      <c r="FX3" s="446">
        <v>59</v>
      </c>
      <c r="FY3" s="446"/>
      <c r="FZ3" s="446"/>
      <c r="GA3" s="446">
        <v>60</v>
      </c>
      <c r="GB3" s="446"/>
      <c r="GC3" s="446"/>
      <c r="GD3" s="446">
        <v>61</v>
      </c>
      <c r="GE3" s="446"/>
      <c r="GF3" s="446"/>
      <c r="GG3" s="446">
        <v>62</v>
      </c>
      <c r="GH3" s="446"/>
      <c r="GI3" s="446"/>
      <c r="GJ3" s="446">
        <v>63</v>
      </c>
      <c r="GK3" s="446"/>
      <c r="GL3" s="446"/>
      <c r="GM3" s="446">
        <v>64</v>
      </c>
      <c r="GN3" s="446"/>
      <c r="GO3" s="446"/>
      <c r="GP3" s="446">
        <v>65</v>
      </c>
      <c r="GQ3" s="446"/>
      <c r="GR3" s="446"/>
      <c r="GS3" s="446">
        <v>66</v>
      </c>
      <c r="GT3" s="446"/>
      <c r="GU3" s="446"/>
      <c r="GV3" s="446">
        <v>67</v>
      </c>
      <c r="GW3" s="446"/>
      <c r="GX3" s="446"/>
      <c r="GY3" s="446">
        <v>68</v>
      </c>
      <c r="GZ3" s="446"/>
      <c r="HA3" s="446"/>
      <c r="HB3" s="446">
        <v>69</v>
      </c>
      <c r="HC3" s="446"/>
      <c r="HD3" s="446"/>
      <c r="HE3" s="446">
        <v>70</v>
      </c>
      <c r="HF3" s="446"/>
      <c r="HG3" s="446"/>
    </row>
    <row r="4" spans="1:216" s="187" customFormat="1" x14ac:dyDescent="0.2">
      <c r="B4" s="188"/>
      <c r="C4" s="187" t="s">
        <v>967</v>
      </c>
      <c r="D4" s="446">
        <v>1</v>
      </c>
      <c r="E4" s="446">
        <v>2</v>
      </c>
      <c r="F4" s="446">
        <v>3</v>
      </c>
      <c r="G4" s="446">
        <v>1</v>
      </c>
      <c r="H4" s="446">
        <v>2</v>
      </c>
      <c r="I4" s="446">
        <v>3</v>
      </c>
      <c r="J4" s="446">
        <v>1</v>
      </c>
      <c r="K4" s="446">
        <v>2</v>
      </c>
      <c r="L4" s="446">
        <v>3</v>
      </c>
      <c r="M4" s="446">
        <v>1</v>
      </c>
      <c r="N4" s="446">
        <v>2</v>
      </c>
      <c r="O4" s="446">
        <v>3</v>
      </c>
      <c r="P4" s="446">
        <v>1</v>
      </c>
      <c r="Q4" s="446">
        <v>2</v>
      </c>
      <c r="R4" s="446">
        <v>3</v>
      </c>
      <c r="S4" s="446">
        <v>1</v>
      </c>
      <c r="T4" s="446">
        <v>2</v>
      </c>
      <c r="U4" s="446">
        <v>3</v>
      </c>
      <c r="V4" s="446">
        <v>1</v>
      </c>
      <c r="W4" s="446">
        <v>2</v>
      </c>
      <c r="X4" s="446">
        <v>3</v>
      </c>
      <c r="Y4" s="446">
        <v>1</v>
      </c>
      <c r="Z4" s="446">
        <v>2</v>
      </c>
      <c r="AA4" s="446">
        <v>3</v>
      </c>
      <c r="AB4" s="446">
        <v>1</v>
      </c>
      <c r="AC4" s="446">
        <v>2</v>
      </c>
      <c r="AD4" s="446">
        <v>3</v>
      </c>
      <c r="AE4" s="446">
        <v>1</v>
      </c>
      <c r="AF4" s="446">
        <v>2</v>
      </c>
      <c r="AG4" s="446">
        <v>3</v>
      </c>
      <c r="AH4" s="446">
        <v>1</v>
      </c>
      <c r="AI4" s="446">
        <v>2</v>
      </c>
      <c r="AJ4" s="446">
        <v>3</v>
      </c>
      <c r="AK4" s="446">
        <v>1</v>
      </c>
      <c r="AL4" s="446">
        <v>2</v>
      </c>
      <c r="AM4" s="446">
        <v>3</v>
      </c>
      <c r="AN4" s="446">
        <v>1</v>
      </c>
      <c r="AO4" s="446">
        <v>2</v>
      </c>
      <c r="AP4" s="446">
        <v>3</v>
      </c>
      <c r="AQ4" s="446">
        <v>1</v>
      </c>
      <c r="AR4" s="446">
        <v>2</v>
      </c>
      <c r="AS4" s="446">
        <v>3</v>
      </c>
      <c r="AT4" s="446">
        <v>1</v>
      </c>
      <c r="AU4" s="446">
        <v>2</v>
      </c>
      <c r="AV4" s="446">
        <v>3</v>
      </c>
      <c r="AW4" s="446">
        <v>1</v>
      </c>
      <c r="AX4" s="446">
        <v>2</v>
      </c>
      <c r="AY4" s="446">
        <v>3</v>
      </c>
      <c r="AZ4" s="446">
        <v>1</v>
      </c>
      <c r="BA4" s="446">
        <v>2</v>
      </c>
      <c r="BB4" s="446">
        <v>3</v>
      </c>
      <c r="BC4" s="446">
        <v>1</v>
      </c>
      <c r="BD4" s="446">
        <v>2</v>
      </c>
      <c r="BE4" s="446">
        <v>3</v>
      </c>
      <c r="BF4" s="446">
        <v>1</v>
      </c>
      <c r="BG4" s="446">
        <v>2</v>
      </c>
      <c r="BH4" s="446">
        <v>3</v>
      </c>
      <c r="BI4" s="446">
        <v>1</v>
      </c>
      <c r="BJ4" s="446">
        <v>2</v>
      </c>
      <c r="BK4" s="446">
        <v>3</v>
      </c>
      <c r="BL4" s="446">
        <v>1</v>
      </c>
      <c r="BM4" s="446">
        <v>2</v>
      </c>
      <c r="BN4" s="446">
        <v>3</v>
      </c>
      <c r="BO4" s="446">
        <v>1</v>
      </c>
      <c r="BP4" s="446">
        <v>2</v>
      </c>
      <c r="BQ4" s="446">
        <v>3</v>
      </c>
      <c r="BR4" s="446">
        <v>1</v>
      </c>
      <c r="BS4" s="446">
        <v>2</v>
      </c>
      <c r="BT4" s="446">
        <v>3</v>
      </c>
      <c r="BU4" s="446">
        <v>1</v>
      </c>
      <c r="BV4" s="446">
        <v>2</v>
      </c>
      <c r="BW4" s="446">
        <v>3</v>
      </c>
      <c r="BX4" s="446">
        <v>1</v>
      </c>
      <c r="BY4" s="446">
        <v>2</v>
      </c>
      <c r="BZ4" s="446">
        <v>3</v>
      </c>
      <c r="CA4" s="446">
        <v>1</v>
      </c>
      <c r="CB4" s="446">
        <v>2</v>
      </c>
      <c r="CC4" s="446">
        <v>3</v>
      </c>
      <c r="CD4" s="446">
        <v>1</v>
      </c>
      <c r="CE4" s="446">
        <v>2</v>
      </c>
      <c r="CF4" s="446">
        <v>3</v>
      </c>
      <c r="CG4" s="446">
        <v>1</v>
      </c>
      <c r="CH4" s="446">
        <v>2</v>
      </c>
      <c r="CI4" s="446">
        <v>3</v>
      </c>
      <c r="CJ4" s="446">
        <v>1</v>
      </c>
      <c r="CK4" s="446">
        <v>2</v>
      </c>
      <c r="CL4" s="446">
        <v>3</v>
      </c>
      <c r="CM4" s="446">
        <v>1</v>
      </c>
      <c r="CN4" s="446">
        <v>2</v>
      </c>
      <c r="CO4" s="446">
        <v>3</v>
      </c>
      <c r="CP4" s="446">
        <v>1</v>
      </c>
      <c r="CQ4" s="446">
        <v>2</v>
      </c>
      <c r="CR4" s="446">
        <v>3</v>
      </c>
      <c r="CS4" s="446">
        <v>1</v>
      </c>
      <c r="CT4" s="446">
        <v>2</v>
      </c>
      <c r="CU4" s="446">
        <v>3</v>
      </c>
      <c r="CV4" s="446">
        <v>1</v>
      </c>
      <c r="CW4" s="446">
        <v>2</v>
      </c>
      <c r="CX4" s="446">
        <v>3</v>
      </c>
      <c r="CY4" s="446">
        <v>1</v>
      </c>
      <c r="CZ4" s="446">
        <v>2</v>
      </c>
      <c r="DA4" s="446">
        <v>3</v>
      </c>
      <c r="DB4" s="446">
        <v>1</v>
      </c>
      <c r="DC4" s="446">
        <v>2</v>
      </c>
      <c r="DD4" s="446">
        <v>3</v>
      </c>
      <c r="DE4" s="446">
        <v>1</v>
      </c>
      <c r="DF4" s="446">
        <v>2</v>
      </c>
      <c r="DG4" s="446">
        <v>3</v>
      </c>
      <c r="DH4" s="446">
        <v>1</v>
      </c>
      <c r="DI4" s="446">
        <v>2</v>
      </c>
      <c r="DJ4" s="446">
        <v>3</v>
      </c>
      <c r="DK4" s="446">
        <v>1</v>
      </c>
      <c r="DL4" s="446">
        <v>2</v>
      </c>
      <c r="DM4" s="446">
        <v>3</v>
      </c>
      <c r="DN4" s="446">
        <v>2</v>
      </c>
      <c r="DO4" s="446">
        <v>1</v>
      </c>
      <c r="DP4" s="446">
        <v>1</v>
      </c>
      <c r="DQ4" s="446">
        <v>2</v>
      </c>
      <c r="DR4" s="446">
        <v>3</v>
      </c>
      <c r="DS4" s="446">
        <v>1</v>
      </c>
      <c r="DT4" s="446">
        <v>2</v>
      </c>
      <c r="DU4" s="446">
        <v>3</v>
      </c>
      <c r="DV4" s="446">
        <v>1</v>
      </c>
      <c r="DW4" s="446">
        <v>2</v>
      </c>
      <c r="DX4" s="446">
        <v>3</v>
      </c>
      <c r="DY4" s="446">
        <v>1</v>
      </c>
      <c r="DZ4" s="446">
        <v>2</v>
      </c>
      <c r="EA4" s="446">
        <v>3</v>
      </c>
      <c r="EB4" s="446">
        <v>1</v>
      </c>
      <c r="EC4" s="446">
        <v>2</v>
      </c>
      <c r="ED4" s="446">
        <v>3</v>
      </c>
      <c r="EE4" s="446">
        <v>1</v>
      </c>
      <c r="EF4" s="446">
        <v>2</v>
      </c>
      <c r="EG4" s="446">
        <v>3</v>
      </c>
      <c r="EH4" s="446">
        <v>1</v>
      </c>
      <c r="EI4" s="446">
        <v>2</v>
      </c>
      <c r="EJ4" s="446">
        <v>3</v>
      </c>
      <c r="EK4" s="446">
        <v>1</v>
      </c>
      <c r="EL4" s="446">
        <v>2</v>
      </c>
      <c r="EM4" s="446">
        <v>3</v>
      </c>
      <c r="EN4" s="446">
        <v>1</v>
      </c>
      <c r="EO4" s="446">
        <v>2</v>
      </c>
      <c r="EP4" s="446">
        <v>3</v>
      </c>
      <c r="EQ4" s="446">
        <v>1</v>
      </c>
      <c r="ER4" s="446">
        <v>2</v>
      </c>
      <c r="ES4" s="446">
        <v>3</v>
      </c>
      <c r="ET4" s="446">
        <v>1</v>
      </c>
      <c r="EU4" s="446">
        <v>2</v>
      </c>
      <c r="EV4" s="446">
        <v>3</v>
      </c>
      <c r="EW4" s="446">
        <v>1</v>
      </c>
      <c r="EX4" s="446">
        <v>2</v>
      </c>
      <c r="EY4" s="446">
        <v>3</v>
      </c>
      <c r="EZ4" s="446">
        <v>1</v>
      </c>
      <c r="FA4" s="446">
        <v>2</v>
      </c>
      <c r="FB4" s="446">
        <v>3</v>
      </c>
      <c r="FC4" s="446">
        <v>1</v>
      </c>
      <c r="FD4" s="446">
        <v>2</v>
      </c>
      <c r="FE4" s="446">
        <v>3</v>
      </c>
      <c r="FF4" s="446">
        <v>1</v>
      </c>
      <c r="FG4" s="446">
        <v>2</v>
      </c>
      <c r="FH4" s="446">
        <v>3</v>
      </c>
      <c r="FI4" s="446">
        <v>1</v>
      </c>
      <c r="FJ4" s="446">
        <v>2</v>
      </c>
      <c r="FK4" s="446">
        <v>3</v>
      </c>
      <c r="FL4" s="446">
        <v>1</v>
      </c>
      <c r="FM4" s="446">
        <v>2</v>
      </c>
      <c r="FN4" s="446">
        <v>3</v>
      </c>
      <c r="FO4" s="446">
        <v>1</v>
      </c>
      <c r="FP4" s="446">
        <v>2</v>
      </c>
      <c r="FQ4" s="446">
        <v>3</v>
      </c>
      <c r="FR4" s="446">
        <v>1</v>
      </c>
      <c r="FS4" s="446">
        <v>2</v>
      </c>
      <c r="FT4" s="446">
        <v>3</v>
      </c>
      <c r="FU4" s="446">
        <v>1</v>
      </c>
      <c r="FV4" s="446">
        <v>2</v>
      </c>
      <c r="FW4" s="446">
        <v>3</v>
      </c>
      <c r="FX4" s="446">
        <v>1</v>
      </c>
      <c r="FY4" s="446">
        <v>2</v>
      </c>
      <c r="FZ4" s="446">
        <v>3</v>
      </c>
      <c r="GA4" s="446">
        <v>1</v>
      </c>
      <c r="GB4" s="446">
        <v>2</v>
      </c>
      <c r="GC4" s="446">
        <v>3</v>
      </c>
      <c r="GD4" s="446">
        <v>1</v>
      </c>
      <c r="GE4" s="446">
        <v>2</v>
      </c>
      <c r="GF4" s="446">
        <v>3</v>
      </c>
      <c r="GG4" s="446">
        <v>1</v>
      </c>
      <c r="GH4" s="446">
        <v>2</v>
      </c>
      <c r="GI4" s="446">
        <v>3</v>
      </c>
      <c r="GJ4" s="446">
        <v>1</v>
      </c>
      <c r="GK4" s="446">
        <v>2</v>
      </c>
      <c r="GL4" s="446">
        <v>3</v>
      </c>
      <c r="GM4" s="446">
        <v>1</v>
      </c>
      <c r="GN4" s="446">
        <v>2</v>
      </c>
      <c r="GO4" s="446">
        <v>3</v>
      </c>
      <c r="GP4" s="446">
        <v>1</v>
      </c>
      <c r="GQ4" s="446">
        <v>2</v>
      </c>
      <c r="GR4" s="446">
        <v>3</v>
      </c>
      <c r="GS4" s="446">
        <v>1</v>
      </c>
      <c r="GT4" s="446">
        <v>2</v>
      </c>
      <c r="GU4" s="446">
        <v>3</v>
      </c>
      <c r="GV4" s="446">
        <v>1</v>
      </c>
      <c r="GW4" s="446">
        <v>2</v>
      </c>
      <c r="GX4" s="446">
        <v>3</v>
      </c>
      <c r="GY4" s="446">
        <v>1</v>
      </c>
      <c r="GZ4" s="446">
        <v>2</v>
      </c>
      <c r="HA4" s="446">
        <v>3</v>
      </c>
      <c r="HB4" s="446">
        <v>1</v>
      </c>
      <c r="HC4" s="446">
        <v>2</v>
      </c>
      <c r="HD4" s="446">
        <v>3</v>
      </c>
      <c r="HE4" s="446">
        <v>1</v>
      </c>
      <c r="HF4" s="446">
        <v>2</v>
      </c>
      <c r="HG4" s="446">
        <v>3</v>
      </c>
    </row>
    <row r="5" spans="1:216" s="187" customFormat="1" x14ac:dyDescent="0.2">
      <c r="B5" s="447" t="s">
        <v>968</v>
      </c>
      <c r="C5" s="447" t="s">
        <v>969</v>
      </c>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6"/>
      <c r="DC5" s="446"/>
      <c r="DD5" s="446"/>
      <c r="DE5" s="446"/>
      <c r="DF5" s="446"/>
      <c r="DG5" s="446"/>
      <c r="DH5" s="446"/>
      <c r="DI5" s="446"/>
      <c r="DJ5" s="446"/>
      <c r="DK5" s="446"/>
      <c r="DL5" s="446"/>
      <c r="DM5" s="446"/>
      <c r="DN5" s="446"/>
      <c r="DO5" s="446"/>
      <c r="DP5" s="446"/>
      <c r="DQ5" s="446"/>
      <c r="DR5" s="446"/>
      <c r="DS5" s="446"/>
      <c r="DT5" s="446"/>
      <c r="DU5" s="446"/>
      <c r="DV5" s="446"/>
      <c r="DW5" s="446"/>
      <c r="DX5" s="446"/>
      <c r="DY5" s="446"/>
      <c r="DZ5" s="446"/>
      <c r="EA5" s="446"/>
      <c r="EB5" s="446"/>
      <c r="EC5" s="446"/>
      <c r="ED5" s="446"/>
      <c r="EE5" s="446"/>
      <c r="EF5" s="446"/>
      <c r="EG5" s="446"/>
      <c r="EH5" s="446"/>
      <c r="EI5" s="446"/>
      <c r="EJ5" s="446"/>
      <c r="EK5" s="446"/>
      <c r="EL5" s="446"/>
      <c r="EM5" s="446"/>
      <c r="EN5" s="446"/>
      <c r="EO5" s="446"/>
      <c r="EP5" s="446"/>
      <c r="EQ5" s="446"/>
      <c r="ER5" s="446"/>
      <c r="ES5" s="446"/>
      <c r="ET5" s="446"/>
      <c r="EU5" s="446"/>
      <c r="EV5" s="446"/>
      <c r="EW5" s="446"/>
      <c r="EX5" s="446"/>
      <c r="EY5" s="446"/>
      <c r="EZ5" s="446"/>
      <c r="FA5" s="446"/>
      <c r="FB5" s="446"/>
      <c r="FC5" s="446"/>
      <c r="FD5" s="446"/>
      <c r="FE5" s="446"/>
      <c r="FF5" s="446"/>
      <c r="FG5" s="446"/>
      <c r="FH5" s="446"/>
      <c r="FI5" s="446"/>
      <c r="FJ5" s="446"/>
      <c r="FK5" s="446"/>
      <c r="FL5" s="446"/>
      <c r="FM5" s="446"/>
      <c r="FN5" s="446"/>
      <c r="FO5" s="446"/>
      <c r="FP5" s="446"/>
      <c r="FQ5" s="446"/>
      <c r="FR5" s="446"/>
      <c r="FS5" s="446"/>
      <c r="FT5" s="446"/>
      <c r="FU5" s="446"/>
      <c r="FV5" s="446"/>
      <c r="FW5" s="446"/>
      <c r="FX5" s="446"/>
      <c r="FY5" s="446"/>
      <c r="FZ5" s="446"/>
      <c r="GA5" s="446"/>
      <c r="GB5" s="446"/>
      <c r="GC5" s="446"/>
      <c r="GD5" s="446"/>
      <c r="GE5" s="446"/>
      <c r="GF5" s="446"/>
      <c r="GG5" s="446"/>
      <c r="GH5" s="446"/>
      <c r="GI5" s="446"/>
      <c r="GJ5" s="446"/>
      <c r="GK5" s="446"/>
      <c r="GL5" s="446"/>
      <c r="GM5" s="446"/>
      <c r="GN5" s="446"/>
      <c r="GO5" s="446"/>
      <c r="GP5" s="446"/>
      <c r="GQ5" s="446"/>
      <c r="GR5" s="446"/>
      <c r="GS5" s="446"/>
      <c r="GT5" s="446"/>
      <c r="GU5" s="446"/>
      <c r="GV5" s="446"/>
      <c r="GW5" s="446"/>
      <c r="GX5" s="446"/>
      <c r="GY5" s="446"/>
      <c r="GZ5" s="446"/>
      <c r="HA5" s="446"/>
      <c r="HB5" s="446"/>
      <c r="HC5" s="446"/>
      <c r="HD5" s="446"/>
      <c r="HE5" s="446"/>
      <c r="HF5" s="446"/>
      <c r="HG5" s="446"/>
      <c r="HH5" s="447" t="s">
        <v>1053</v>
      </c>
    </row>
    <row r="6" spans="1:216" s="187" customFormat="1" x14ac:dyDescent="0.2">
      <c r="B6" s="429" t="s">
        <v>91</v>
      </c>
      <c r="C6" s="429" t="s">
        <v>90</v>
      </c>
      <c r="D6" s="208">
        <v>-331971</v>
      </c>
      <c r="E6" s="208">
        <v>0</v>
      </c>
      <c r="F6" s="208">
        <v>-331971</v>
      </c>
      <c r="G6" s="208">
        <v>30671</v>
      </c>
      <c r="H6" s="208">
        <v>0</v>
      </c>
      <c r="I6" s="208">
        <v>30671</v>
      </c>
      <c r="J6" s="208">
        <v>1199506</v>
      </c>
      <c r="K6" s="208">
        <v>0</v>
      </c>
      <c r="L6" s="208">
        <v>1199506</v>
      </c>
      <c r="M6" s="208">
        <v>-152632</v>
      </c>
      <c r="N6" s="208">
        <v>0</v>
      </c>
      <c r="O6" s="208">
        <v>-152632</v>
      </c>
      <c r="P6" s="208">
        <v>745574</v>
      </c>
      <c r="Q6" s="208">
        <v>0</v>
      </c>
      <c r="R6" s="208">
        <v>745574</v>
      </c>
      <c r="S6" s="208">
        <v>-2060263</v>
      </c>
      <c r="T6" s="208">
        <v>0</v>
      </c>
      <c r="U6" s="208">
        <v>-2060263</v>
      </c>
      <c r="V6" s="208">
        <v>0</v>
      </c>
      <c r="W6" s="208">
        <v>0</v>
      </c>
      <c r="X6" s="208">
        <v>0</v>
      </c>
      <c r="Y6" s="208">
        <v>-23512</v>
      </c>
      <c r="Z6" s="208">
        <v>0</v>
      </c>
      <c r="AA6" s="208">
        <v>-23512</v>
      </c>
      <c r="AB6" s="208">
        <v>-2493.27</v>
      </c>
      <c r="AC6" s="208">
        <v>0</v>
      </c>
      <c r="AD6" s="208">
        <v>-2493.27</v>
      </c>
      <c r="AE6" s="208">
        <v>-19922</v>
      </c>
      <c r="AF6" s="208">
        <v>0</v>
      </c>
      <c r="AG6" s="208">
        <v>-19922</v>
      </c>
      <c r="AH6" s="208">
        <v>0</v>
      </c>
      <c r="AI6" s="208">
        <v>0</v>
      </c>
      <c r="AJ6" s="208">
        <v>0</v>
      </c>
      <c r="AK6" s="208">
        <v>0</v>
      </c>
      <c r="AL6" s="208">
        <v>0</v>
      </c>
      <c r="AM6" s="208">
        <v>0</v>
      </c>
      <c r="AN6" s="208">
        <v>399837</v>
      </c>
      <c r="AO6" s="208">
        <v>0</v>
      </c>
      <c r="AP6" s="208">
        <v>399837</v>
      </c>
      <c r="AQ6" s="208">
        <v>-18514</v>
      </c>
      <c r="AR6" s="208">
        <v>0</v>
      </c>
      <c r="AS6" s="208">
        <v>-18514</v>
      </c>
      <c r="AT6" s="208">
        <v>-1746588</v>
      </c>
      <c r="AU6" s="208">
        <v>0</v>
      </c>
      <c r="AV6" s="208">
        <v>-1746588</v>
      </c>
      <c r="AW6" s="208">
        <v>626</v>
      </c>
      <c r="AX6" s="208">
        <v>0</v>
      </c>
      <c r="AY6" s="208">
        <v>626</v>
      </c>
      <c r="AZ6" s="208">
        <v>-48906</v>
      </c>
      <c r="BA6" s="208">
        <v>0</v>
      </c>
      <c r="BB6" s="208">
        <v>-48906</v>
      </c>
      <c r="BC6" s="208">
        <v>0</v>
      </c>
      <c r="BD6" s="208">
        <v>0</v>
      </c>
      <c r="BE6" s="208">
        <v>0</v>
      </c>
      <c r="BF6" s="208">
        <v>0</v>
      </c>
      <c r="BG6" s="208">
        <v>0</v>
      </c>
      <c r="BH6" s="208">
        <v>0</v>
      </c>
      <c r="BI6" s="208">
        <v>0</v>
      </c>
      <c r="BJ6" s="208">
        <v>0</v>
      </c>
      <c r="BK6" s="208">
        <v>0</v>
      </c>
      <c r="BL6" s="208">
        <v>-3497320</v>
      </c>
      <c r="BM6" s="208">
        <v>0</v>
      </c>
      <c r="BN6" s="208">
        <v>-3497320</v>
      </c>
      <c r="BO6" s="208">
        <v>0</v>
      </c>
      <c r="BP6" s="208">
        <v>0</v>
      </c>
      <c r="BQ6" s="208">
        <v>0</v>
      </c>
      <c r="BR6" s="208">
        <v>41192</v>
      </c>
      <c r="BS6" s="208">
        <v>0</v>
      </c>
      <c r="BT6" s="208">
        <v>41192</v>
      </c>
      <c r="BU6" s="208">
        <v>-273971</v>
      </c>
      <c r="BV6" s="208">
        <v>0</v>
      </c>
      <c r="BW6" s="208">
        <v>-273971</v>
      </c>
      <c r="BX6" s="208">
        <v>56710</v>
      </c>
      <c r="BY6" s="208">
        <v>0</v>
      </c>
      <c r="BZ6" s="208">
        <v>56710</v>
      </c>
      <c r="CA6" s="208">
        <v>-176069</v>
      </c>
      <c r="CB6" s="208">
        <v>0</v>
      </c>
      <c r="CC6" s="208">
        <v>-176069</v>
      </c>
      <c r="CD6" s="208">
        <v>-49730</v>
      </c>
      <c r="CE6" s="208">
        <v>0</v>
      </c>
      <c r="CF6" s="208">
        <v>-49730</v>
      </c>
      <c r="CG6" s="208">
        <v>212</v>
      </c>
      <c r="CH6" s="208">
        <v>0</v>
      </c>
      <c r="CI6" s="208">
        <v>212</v>
      </c>
      <c r="CJ6" s="208">
        <v>-19800</v>
      </c>
      <c r="CK6" s="208">
        <v>0</v>
      </c>
      <c r="CL6" s="208">
        <v>-19800</v>
      </c>
      <c r="CM6" s="208">
        <v>0</v>
      </c>
      <c r="CN6" s="208">
        <v>0</v>
      </c>
      <c r="CO6" s="208">
        <v>0</v>
      </c>
      <c r="CP6" s="208">
        <v>0</v>
      </c>
      <c r="CQ6" s="208">
        <v>0</v>
      </c>
      <c r="CR6" s="208">
        <v>0</v>
      </c>
      <c r="CS6" s="208">
        <v>0</v>
      </c>
      <c r="CT6" s="208">
        <v>0</v>
      </c>
      <c r="CU6" s="208">
        <v>0</v>
      </c>
      <c r="CV6" s="208">
        <v>0</v>
      </c>
      <c r="CW6" s="208">
        <v>0</v>
      </c>
      <c r="CX6" s="208">
        <v>0</v>
      </c>
      <c r="CY6" s="208">
        <v>0</v>
      </c>
      <c r="CZ6" s="208">
        <v>0</v>
      </c>
      <c r="DA6" s="208">
        <v>0</v>
      </c>
      <c r="DB6" s="208">
        <v>0</v>
      </c>
      <c r="DC6" s="208">
        <v>0</v>
      </c>
      <c r="DD6" s="208">
        <v>0</v>
      </c>
      <c r="DE6" s="208">
        <v>0</v>
      </c>
      <c r="DF6" s="208">
        <v>0</v>
      </c>
      <c r="DG6" s="208">
        <v>0</v>
      </c>
      <c r="DH6" s="208">
        <v>0</v>
      </c>
      <c r="DI6" s="208">
        <v>0</v>
      </c>
      <c r="DJ6" s="208">
        <v>0</v>
      </c>
      <c r="DK6" s="208">
        <v>0</v>
      </c>
      <c r="DL6" s="208">
        <v>0</v>
      </c>
      <c r="DM6" s="208">
        <v>0</v>
      </c>
      <c r="DN6" s="208">
        <v>0</v>
      </c>
      <c r="DO6" s="208">
        <v>0</v>
      </c>
      <c r="DP6" s="208">
        <v>-69318</v>
      </c>
      <c r="DQ6" s="208">
        <v>0</v>
      </c>
      <c r="DR6" s="208">
        <v>-69318</v>
      </c>
      <c r="DS6" s="208">
        <v>122</v>
      </c>
      <c r="DT6" s="208">
        <v>0</v>
      </c>
      <c r="DU6" s="208">
        <v>122</v>
      </c>
      <c r="DV6" s="208">
        <v>0</v>
      </c>
      <c r="DW6" s="208">
        <v>0</v>
      </c>
      <c r="DX6" s="208">
        <v>0</v>
      </c>
      <c r="DY6" s="208">
        <v>3102</v>
      </c>
      <c r="DZ6" s="208">
        <v>0</v>
      </c>
      <c r="EA6" s="208">
        <v>3102</v>
      </c>
      <c r="EB6" s="208">
        <v>0</v>
      </c>
      <c r="EC6" s="208">
        <v>0</v>
      </c>
      <c r="ED6" s="208">
        <v>0</v>
      </c>
      <c r="EE6" s="208">
        <v>0</v>
      </c>
      <c r="EF6" s="208">
        <v>0</v>
      </c>
      <c r="EG6" s="208">
        <v>0</v>
      </c>
      <c r="EH6" s="208">
        <v>1871</v>
      </c>
      <c r="EI6" s="208">
        <v>0</v>
      </c>
      <c r="EJ6" s="208">
        <v>1871</v>
      </c>
      <c r="EK6" s="208">
        <v>0</v>
      </c>
      <c r="EL6" s="208">
        <v>0</v>
      </c>
      <c r="EM6" s="208">
        <v>0</v>
      </c>
      <c r="EN6" s="208">
        <v>0</v>
      </c>
      <c r="EO6" s="208">
        <v>0</v>
      </c>
      <c r="EP6" s="208">
        <v>0</v>
      </c>
      <c r="EQ6" s="208">
        <v>0</v>
      </c>
      <c r="ER6" s="208">
        <v>0</v>
      </c>
      <c r="ES6" s="208">
        <v>0</v>
      </c>
      <c r="ET6" s="208">
        <v>0</v>
      </c>
      <c r="EU6" s="208">
        <v>0</v>
      </c>
      <c r="EV6" s="208">
        <v>0</v>
      </c>
      <c r="EW6" s="208">
        <v>-10627</v>
      </c>
      <c r="EX6" s="208">
        <v>0</v>
      </c>
      <c r="EY6" s="208">
        <v>-10627</v>
      </c>
      <c r="EZ6" s="208">
        <v>-2510</v>
      </c>
      <c r="FA6" s="208">
        <v>0</v>
      </c>
      <c r="FB6" s="208">
        <v>-2510</v>
      </c>
      <c r="FC6" s="208">
        <v>-60653</v>
      </c>
      <c r="FD6" s="208">
        <v>0</v>
      </c>
      <c r="FE6" s="208">
        <v>-60653</v>
      </c>
      <c r="FF6" s="208">
        <v>174</v>
      </c>
      <c r="FG6" s="208">
        <v>0</v>
      </c>
      <c r="FH6" s="208">
        <v>174</v>
      </c>
      <c r="FI6" s="208">
        <v>-15699</v>
      </c>
      <c r="FJ6" s="208">
        <v>0</v>
      </c>
      <c r="FK6" s="208">
        <v>-15699</v>
      </c>
      <c r="FL6" s="208">
        <v>-995</v>
      </c>
      <c r="FM6" s="208">
        <v>0</v>
      </c>
      <c r="FN6" s="208">
        <v>-995</v>
      </c>
      <c r="FO6" s="208">
        <v>0</v>
      </c>
      <c r="FP6" s="208">
        <v>0</v>
      </c>
      <c r="FQ6" s="208">
        <v>0</v>
      </c>
      <c r="FR6" s="208">
        <v>0</v>
      </c>
      <c r="FS6" s="208">
        <v>0</v>
      </c>
      <c r="FT6" s="208">
        <v>0</v>
      </c>
      <c r="FU6" s="208">
        <v>-85215</v>
      </c>
      <c r="FV6" s="208">
        <v>0</v>
      </c>
      <c r="FW6" s="208">
        <v>-85215</v>
      </c>
      <c r="FX6" s="208">
        <v>0</v>
      </c>
      <c r="FY6" s="208">
        <v>0</v>
      </c>
      <c r="FZ6" s="208">
        <v>0</v>
      </c>
      <c r="GA6" s="208">
        <v>0</v>
      </c>
      <c r="GB6" s="208">
        <v>0</v>
      </c>
      <c r="GC6" s="208">
        <v>0</v>
      </c>
      <c r="GD6" s="208">
        <v>0</v>
      </c>
      <c r="GE6" s="208">
        <v>0</v>
      </c>
      <c r="GF6" s="208">
        <v>0</v>
      </c>
      <c r="GG6" s="208">
        <v>21218526</v>
      </c>
      <c r="GH6" s="208">
        <v>0</v>
      </c>
      <c r="GI6" s="208">
        <v>21218526</v>
      </c>
      <c r="GJ6" s="208">
        <v>745574</v>
      </c>
      <c r="GK6" s="208">
        <v>0</v>
      </c>
      <c r="GL6" s="208">
        <v>745574</v>
      </c>
      <c r="GM6" s="208">
        <v>-3497320</v>
      </c>
      <c r="GN6" s="208">
        <v>0</v>
      </c>
      <c r="GO6" s="208">
        <v>-3497320</v>
      </c>
      <c r="GP6" s="208">
        <v>-176069</v>
      </c>
      <c r="GQ6" s="208">
        <v>0</v>
      </c>
      <c r="GR6" s="208">
        <v>-176069</v>
      </c>
      <c r="GS6" s="208">
        <v>-69318</v>
      </c>
      <c r="GT6" s="208">
        <v>0</v>
      </c>
      <c r="GU6" s="208">
        <v>-69318</v>
      </c>
      <c r="GV6" s="208">
        <v>-85215</v>
      </c>
      <c r="GW6" s="208">
        <v>0</v>
      </c>
      <c r="GX6" s="208">
        <v>-85215</v>
      </c>
      <c r="GY6" s="208">
        <v>0</v>
      </c>
      <c r="GZ6" s="208">
        <v>0</v>
      </c>
      <c r="HA6" s="208">
        <v>0</v>
      </c>
      <c r="HB6" s="208">
        <v>-3082348</v>
      </c>
      <c r="HC6" s="208">
        <v>0</v>
      </c>
      <c r="HD6" s="208">
        <v>-3082348</v>
      </c>
      <c r="HE6" s="208">
        <v>18136178</v>
      </c>
      <c r="HF6" s="208">
        <v>0</v>
      </c>
      <c r="HG6" s="208">
        <v>18136178</v>
      </c>
      <c r="HH6" s="187" t="s">
        <v>1054</v>
      </c>
    </row>
    <row r="7" spans="1:216" s="187" customFormat="1" x14ac:dyDescent="0.2">
      <c r="B7" s="429" t="s">
        <v>93</v>
      </c>
      <c r="C7" s="429" t="s">
        <v>92</v>
      </c>
      <c r="D7" s="208">
        <v>-1258727</v>
      </c>
      <c r="E7" s="208">
        <v>0</v>
      </c>
      <c r="F7" s="208">
        <v>-1258727</v>
      </c>
      <c r="G7" s="208">
        <v>-188802</v>
      </c>
      <c r="H7" s="208">
        <v>0</v>
      </c>
      <c r="I7" s="208">
        <v>-188802</v>
      </c>
      <c r="J7" s="208">
        <v>691813</v>
      </c>
      <c r="K7" s="208">
        <v>0</v>
      </c>
      <c r="L7" s="208">
        <v>691813</v>
      </c>
      <c r="M7" s="208">
        <v>39449</v>
      </c>
      <c r="N7" s="208">
        <v>0</v>
      </c>
      <c r="O7" s="208">
        <v>39449</v>
      </c>
      <c r="P7" s="208">
        <v>-716267</v>
      </c>
      <c r="Q7" s="208">
        <v>0</v>
      </c>
      <c r="R7" s="208">
        <v>-716267</v>
      </c>
      <c r="S7" s="208">
        <v>-5311737</v>
      </c>
      <c r="T7" s="208">
        <v>0</v>
      </c>
      <c r="U7" s="208">
        <v>-5311737</v>
      </c>
      <c r="V7" s="208">
        <v>-11817</v>
      </c>
      <c r="W7" s="208">
        <v>0</v>
      </c>
      <c r="X7" s="208">
        <v>-11817</v>
      </c>
      <c r="Y7" s="208">
        <v>-109503</v>
      </c>
      <c r="Z7" s="208">
        <v>0</v>
      </c>
      <c r="AA7" s="208">
        <v>-109503</v>
      </c>
      <c r="AB7" s="208">
        <v>-3975</v>
      </c>
      <c r="AC7" s="208">
        <v>0</v>
      </c>
      <c r="AD7" s="208">
        <v>-3975</v>
      </c>
      <c r="AE7" s="208">
        <v>-102004</v>
      </c>
      <c r="AF7" s="208">
        <v>0</v>
      </c>
      <c r="AG7" s="208">
        <v>-102004</v>
      </c>
      <c r="AH7" s="208">
        <v>-256</v>
      </c>
      <c r="AI7" s="208">
        <v>0</v>
      </c>
      <c r="AJ7" s="208">
        <v>-256</v>
      </c>
      <c r="AK7" s="208">
        <v>19</v>
      </c>
      <c r="AL7" s="208">
        <v>0</v>
      </c>
      <c r="AM7" s="208">
        <v>19</v>
      </c>
      <c r="AN7" s="208">
        <v>582984</v>
      </c>
      <c r="AO7" s="208">
        <v>0</v>
      </c>
      <c r="AP7" s="208">
        <v>582984</v>
      </c>
      <c r="AQ7" s="208">
        <v>-5258</v>
      </c>
      <c r="AR7" s="208">
        <v>0</v>
      </c>
      <c r="AS7" s="208">
        <v>-5258</v>
      </c>
      <c r="AT7" s="208">
        <v>-2209476</v>
      </c>
      <c r="AU7" s="208">
        <v>0</v>
      </c>
      <c r="AV7" s="208">
        <v>-2209476</v>
      </c>
      <c r="AW7" s="208">
        <v>-17391</v>
      </c>
      <c r="AX7" s="208">
        <v>0</v>
      </c>
      <c r="AY7" s="208">
        <v>-17391</v>
      </c>
      <c r="AZ7" s="208">
        <v>-62236</v>
      </c>
      <c r="BA7" s="208">
        <v>0</v>
      </c>
      <c r="BB7" s="208">
        <v>-62236</v>
      </c>
      <c r="BC7" s="208">
        <v>0</v>
      </c>
      <c r="BD7" s="208">
        <v>0</v>
      </c>
      <c r="BE7" s="208">
        <v>0</v>
      </c>
      <c r="BF7" s="208">
        <v>-40920</v>
      </c>
      <c r="BG7" s="208">
        <v>0</v>
      </c>
      <c r="BH7" s="208">
        <v>-40920</v>
      </c>
      <c r="BI7" s="208">
        <v>-6720</v>
      </c>
      <c r="BJ7" s="208">
        <v>0</v>
      </c>
      <c r="BK7" s="208">
        <v>-6720</v>
      </c>
      <c r="BL7" s="208">
        <v>-7180257</v>
      </c>
      <c r="BM7" s="208">
        <v>0</v>
      </c>
      <c r="BN7" s="208">
        <v>-7180257</v>
      </c>
      <c r="BO7" s="208">
        <v>0</v>
      </c>
      <c r="BP7" s="208">
        <v>0</v>
      </c>
      <c r="BQ7" s="208">
        <v>0</v>
      </c>
      <c r="BR7" s="208">
        <v>-2093</v>
      </c>
      <c r="BS7" s="208">
        <v>0</v>
      </c>
      <c r="BT7" s="208">
        <v>-2093</v>
      </c>
      <c r="BU7" s="208">
        <v>-627217</v>
      </c>
      <c r="BV7" s="208">
        <v>0</v>
      </c>
      <c r="BW7" s="208">
        <v>-627217</v>
      </c>
      <c r="BX7" s="208">
        <v>-49158</v>
      </c>
      <c r="BY7" s="208">
        <v>0</v>
      </c>
      <c r="BZ7" s="208">
        <v>-49158</v>
      </c>
      <c r="CA7" s="208">
        <v>-678468</v>
      </c>
      <c r="CB7" s="208">
        <v>0</v>
      </c>
      <c r="CC7" s="208">
        <v>-678468</v>
      </c>
      <c r="CD7" s="208">
        <v>-171052</v>
      </c>
      <c r="CE7" s="208">
        <v>0</v>
      </c>
      <c r="CF7" s="208">
        <v>-171052</v>
      </c>
      <c r="CG7" s="208">
        <v>318</v>
      </c>
      <c r="CH7" s="208">
        <v>0</v>
      </c>
      <c r="CI7" s="208">
        <v>318</v>
      </c>
      <c r="CJ7" s="208">
        <v>-73453</v>
      </c>
      <c r="CK7" s="208">
        <v>0</v>
      </c>
      <c r="CL7" s="208">
        <v>-73453</v>
      </c>
      <c r="CM7" s="208">
        <v>0</v>
      </c>
      <c r="CN7" s="208">
        <v>0</v>
      </c>
      <c r="CO7" s="208">
        <v>0</v>
      </c>
      <c r="CP7" s="208">
        <v>-1233</v>
      </c>
      <c r="CQ7" s="208">
        <v>0</v>
      </c>
      <c r="CR7" s="208">
        <v>-1233</v>
      </c>
      <c r="CS7" s="208">
        <v>0</v>
      </c>
      <c r="CT7" s="208">
        <v>0</v>
      </c>
      <c r="CU7" s="208">
        <v>0</v>
      </c>
      <c r="CV7" s="208">
        <v>0</v>
      </c>
      <c r="CW7" s="208">
        <v>0</v>
      </c>
      <c r="CX7" s="208">
        <v>0</v>
      </c>
      <c r="CY7" s="208">
        <v>0</v>
      </c>
      <c r="CZ7" s="208">
        <v>0</v>
      </c>
      <c r="DA7" s="208">
        <v>0</v>
      </c>
      <c r="DB7" s="208">
        <v>0</v>
      </c>
      <c r="DC7" s="208">
        <v>0</v>
      </c>
      <c r="DD7" s="208">
        <v>0</v>
      </c>
      <c r="DE7" s="208">
        <v>0</v>
      </c>
      <c r="DF7" s="208">
        <v>0</v>
      </c>
      <c r="DG7" s="208">
        <v>0</v>
      </c>
      <c r="DH7" s="208">
        <v>0</v>
      </c>
      <c r="DI7" s="208">
        <v>0</v>
      </c>
      <c r="DJ7" s="208">
        <v>0</v>
      </c>
      <c r="DK7" s="208">
        <v>0</v>
      </c>
      <c r="DL7" s="208">
        <v>0</v>
      </c>
      <c r="DM7" s="208">
        <v>0</v>
      </c>
      <c r="DN7" s="208">
        <v>0</v>
      </c>
      <c r="DO7" s="208">
        <v>0</v>
      </c>
      <c r="DP7" s="208">
        <v>-245420</v>
      </c>
      <c r="DQ7" s="208">
        <v>0</v>
      </c>
      <c r="DR7" s="208">
        <v>-245420</v>
      </c>
      <c r="DS7" s="208">
        <v>0</v>
      </c>
      <c r="DT7" s="208">
        <v>0</v>
      </c>
      <c r="DU7" s="208">
        <v>0</v>
      </c>
      <c r="DV7" s="208">
        <v>0</v>
      </c>
      <c r="DW7" s="208">
        <v>0</v>
      </c>
      <c r="DX7" s="208">
        <v>0</v>
      </c>
      <c r="DY7" s="208">
        <v>-72</v>
      </c>
      <c r="DZ7" s="208">
        <v>0</v>
      </c>
      <c r="EA7" s="208">
        <v>-72</v>
      </c>
      <c r="EB7" s="208">
        <v>-1234</v>
      </c>
      <c r="EC7" s="208">
        <v>0</v>
      </c>
      <c r="ED7" s="208">
        <v>-1234</v>
      </c>
      <c r="EE7" s="208">
        <v>0</v>
      </c>
      <c r="EF7" s="208">
        <v>0</v>
      </c>
      <c r="EG7" s="208">
        <v>0</v>
      </c>
      <c r="EH7" s="208">
        <v>0</v>
      </c>
      <c r="EI7" s="208">
        <v>0</v>
      </c>
      <c r="EJ7" s="208">
        <v>0</v>
      </c>
      <c r="EK7" s="208">
        <v>-40920</v>
      </c>
      <c r="EL7" s="208">
        <v>0</v>
      </c>
      <c r="EM7" s="208">
        <v>-40920</v>
      </c>
      <c r="EN7" s="208">
        <v>6403</v>
      </c>
      <c r="EO7" s="208">
        <v>0</v>
      </c>
      <c r="EP7" s="208">
        <v>6403</v>
      </c>
      <c r="EQ7" s="208">
        <v>0</v>
      </c>
      <c r="ER7" s="208">
        <v>0</v>
      </c>
      <c r="ES7" s="208">
        <v>0</v>
      </c>
      <c r="ET7" s="208">
        <v>0</v>
      </c>
      <c r="EU7" s="208">
        <v>0</v>
      </c>
      <c r="EV7" s="208">
        <v>0</v>
      </c>
      <c r="EW7" s="208">
        <v>-24160</v>
      </c>
      <c r="EX7" s="208">
        <v>0</v>
      </c>
      <c r="EY7" s="208">
        <v>-24160</v>
      </c>
      <c r="EZ7" s="208">
        <v>1121</v>
      </c>
      <c r="FA7" s="208">
        <v>0</v>
      </c>
      <c r="FB7" s="208">
        <v>1121</v>
      </c>
      <c r="FC7" s="208">
        <v>-151726</v>
      </c>
      <c r="FD7" s="208">
        <v>0</v>
      </c>
      <c r="FE7" s="208">
        <v>-151726</v>
      </c>
      <c r="FF7" s="208">
        <v>-30685</v>
      </c>
      <c r="FG7" s="208">
        <v>0</v>
      </c>
      <c r="FH7" s="208">
        <v>-30685</v>
      </c>
      <c r="FI7" s="208">
        <v>-58515</v>
      </c>
      <c r="FJ7" s="208">
        <v>0</v>
      </c>
      <c r="FK7" s="208">
        <v>-58515</v>
      </c>
      <c r="FL7" s="208">
        <v>510</v>
      </c>
      <c r="FM7" s="208">
        <v>0</v>
      </c>
      <c r="FN7" s="208">
        <v>510</v>
      </c>
      <c r="FO7" s="208">
        <v>0</v>
      </c>
      <c r="FP7" s="208">
        <v>0</v>
      </c>
      <c r="FQ7" s="208">
        <v>0</v>
      </c>
      <c r="FR7" s="208">
        <v>0</v>
      </c>
      <c r="FS7" s="208">
        <v>0</v>
      </c>
      <c r="FT7" s="208">
        <v>0</v>
      </c>
      <c r="FU7" s="208">
        <v>-299278</v>
      </c>
      <c r="FV7" s="208">
        <v>0</v>
      </c>
      <c r="FW7" s="208">
        <v>-299278</v>
      </c>
      <c r="FX7" s="208">
        <v>0</v>
      </c>
      <c r="FY7" s="208">
        <v>0</v>
      </c>
      <c r="FZ7" s="208">
        <v>0</v>
      </c>
      <c r="GA7" s="208">
        <v>0</v>
      </c>
      <c r="GB7" s="208">
        <v>0</v>
      </c>
      <c r="GC7" s="208">
        <v>0</v>
      </c>
      <c r="GD7" s="208">
        <v>0</v>
      </c>
      <c r="GE7" s="208">
        <v>0</v>
      </c>
      <c r="GF7" s="208">
        <v>0</v>
      </c>
      <c r="GG7" s="208">
        <v>37814936</v>
      </c>
      <c r="GH7" s="208">
        <v>0</v>
      </c>
      <c r="GI7" s="208">
        <v>37814936</v>
      </c>
      <c r="GJ7" s="208">
        <v>-716267</v>
      </c>
      <c r="GK7" s="208">
        <v>0</v>
      </c>
      <c r="GL7" s="208">
        <v>-716267</v>
      </c>
      <c r="GM7" s="208">
        <v>-7180257</v>
      </c>
      <c r="GN7" s="208">
        <v>0</v>
      </c>
      <c r="GO7" s="208">
        <v>-7180257</v>
      </c>
      <c r="GP7" s="208">
        <v>-678468</v>
      </c>
      <c r="GQ7" s="208">
        <v>0</v>
      </c>
      <c r="GR7" s="208">
        <v>-678468</v>
      </c>
      <c r="GS7" s="208">
        <v>-245420</v>
      </c>
      <c r="GT7" s="208">
        <v>0</v>
      </c>
      <c r="GU7" s="208">
        <v>-245420</v>
      </c>
      <c r="GV7" s="208">
        <v>-299278</v>
      </c>
      <c r="GW7" s="208">
        <v>0</v>
      </c>
      <c r="GX7" s="208">
        <v>-299278</v>
      </c>
      <c r="GY7" s="208">
        <v>0</v>
      </c>
      <c r="GZ7" s="208">
        <v>0</v>
      </c>
      <c r="HA7" s="208">
        <v>0</v>
      </c>
      <c r="HB7" s="208">
        <v>-9119690</v>
      </c>
      <c r="HC7" s="208">
        <v>0</v>
      </c>
      <c r="HD7" s="208">
        <v>-9119690</v>
      </c>
      <c r="HE7" s="208">
        <v>28695246</v>
      </c>
      <c r="HF7" s="208">
        <v>0</v>
      </c>
      <c r="HG7" s="208">
        <v>28695246</v>
      </c>
      <c r="HH7" s="187" t="s">
        <v>1054</v>
      </c>
    </row>
    <row r="8" spans="1:216" s="187" customFormat="1" x14ac:dyDescent="0.2">
      <c r="B8" s="429" t="s">
        <v>95</v>
      </c>
      <c r="C8" s="429" t="s">
        <v>94</v>
      </c>
      <c r="D8" s="208">
        <v>-915235</v>
      </c>
      <c r="E8" s="208">
        <v>0</v>
      </c>
      <c r="F8" s="208">
        <v>-915235</v>
      </c>
      <c r="G8" s="208">
        <v>3696</v>
      </c>
      <c r="H8" s="208">
        <v>0</v>
      </c>
      <c r="I8" s="208">
        <v>3696</v>
      </c>
      <c r="J8" s="208">
        <v>352971</v>
      </c>
      <c r="K8" s="208">
        <v>0</v>
      </c>
      <c r="L8" s="208">
        <v>352971</v>
      </c>
      <c r="M8" s="208">
        <v>-55351</v>
      </c>
      <c r="N8" s="208">
        <v>0</v>
      </c>
      <c r="O8" s="208">
        <v>-55351</v>
      </c>
      <c r="P8" s="208">
        <v>-613919</v>
      </c>
      <c r="Q8" s="208">
        <v>0</v>
      </c>
      <c r="R8" s="208">
        <v>-613919</v>
      </c>
      <c r="S8" s="208">
        <v>-4412324</v>
      </c>
      <c r="T8" s="208">
        <v>0</v>
      </c>
      <c r="U8" s="208">
        <v>-4412324</v>
      </c>
      <c r="V8" s="208">
        <v>0</v>
      </c>
      <c r="W8" s="208">
        <v>0</v>
      </c>
      <c r="X8" s="208">
        <v>0</v>
      </c>
      <c r="Y8" s="208">
        <v>-120523</v>
      </c>
      <c r="Z8" s="208">
        <v>0</v>
      </c>
      <c r="AA8" s="208">
        <v>-120523</v>
      </c>
      <c r="AB8" s="208">
        <v>-55781</v>
      </c>
      <c r="AC8" s="208">
        <v>0</v>
      </c>
      <c r="AD8" s="208">
        <v>-55781</v>
      </c>
      <c r="AE8" s="208">
        <v>-64742</v>
      </c>
      <c r="AF8" s="208">
        <v>0</v>
      </c>
      <c r="AG8" s="208">
        <v>-64742</v>
      </c>
      <c r="AH8" s="208">
        <v>0</v>
      </c>
      <c r="AI8" s="208">
        <v>0</v>
      </c>
      <c r="AJ8" s="208">
        <v>0</v>
      </c>
      <c r="AK8" s="208">
        <v>0</v>
      </c>
      <c r="AL8" s="208">
        <v>0</v>
      </c>
      <c r="AM8" s="208">
        <v>0</v>
      </c>
      <c r="AN8" s="208">
        <v>705383</v>
      </c>
      <c r="AO8" s="208">
        <v>0</v>
      </c>
      <c r="AP8" s="208">
        <v>705383</v>
      </c>
      <c r="AQ8" s="208">
        <v>-7246</v>
      </c>
      <c r="AR8" s="208">
        <v>0</v>
      </c>
      <c r="AS8" s="208">
        <v>-7246</v>
      </c>
      <c r="AT8" s="208">
        <v>-1865768</v>
      </c>
      <c r="AU8" s="208">
        <v>0</v>
      </c>
      <c r="AV8" s="208">
        <v>-1865768</v>
      </c>
      <c r="AW8" s="208">
        <v>92658</v>
      </c>
      <c r="AX8" s="208">
        <v>0</v>
      </c>
      <c r="AY8" s="208">
        <v>92658</v>
      </c>
      <c r="AZ8" s="208">
        <v>-22481</v>
      </c>
      <c r="BA8" s="208">
        <v>0</v>
      </c>
      <c r="BB8" s="208">
        <v>-22481</v>
      </c>
      <c r="BC8" s="208">
        <v>0</v>
      </c>
      <c r="BD8" s="208">
        <v>0</v>
      </c>
      <c r="BE8" s="208">
        <v>0</v>
      </c>
      <c r="BF8" s="208">
        <v>-15291</v>
      </c>
      <c r="BG8" s="208">
        <v>0</v>
      </c>
      <c r="BH8" s="208">
        <v>-15291</v>
      </c>
      <c r="BI8" s="208">
        <v>-111</v>
      </c>
      <c r="BJ8" s="208">
        <v>0</v>
      </c>
      <c r="BK8" s="208">
        <v>-111</v>
      </c>
      <c r="BL8" s="208">
        <v>-5645703</v>
      </c>
      <c r="BM8" s="208">
        <v>0</v>
      </c>
      <c r="BN8" s="208">
        <v>-5645703</v>
      </c>
      <c r="BO8" s="208">
        <v>-44483</v>
      </c>
      <c r="BP8" s="208">
        <v>0</v>
      </c>
      <c r="BQ8" s="208">
        <v>-44483</v>
      </c>
      <c r="BR8" s="208">
        <v>-11804</v>
      </c>
      <c r="BS8" s="208">
        <v>0</v>
      </c>
      <c r="BT8" s="208">
        <v>-11804</v>
      </c>
      <c r="BU8" s="208">
        <v>-1308509</v>
      </c>
      <c r="BV8" s="208">
        <v>0</v>
      </c>
      <c r="BW8" s="208">
        <v>-1308509</v>
      </c>
      <c r="BX8" s="208">
        <v>-60373</v>
      </c>
      <c r="BY8" s="208">
        <v>0</v>
      </c>
      <c r="BZ8" s="208">
        <v>-60373</v>
      </c>
      <c r="CA8" s="208">
        <v>-1425169</v>
      </c>
      <c r="CB8" s="208">
        <v>0</v>
      </c>
      <c r="CC8" s="208">
        <v>-1425169</v>
      </c>
      <c r="CD8" s="208">
        <v>-47825</v>
      </c>
      <c r="CE8" s="208">
        <v>0</v>
      </c>
      <c r="CF8" s="208">
        <v>-47825</v>
      </c>
      <c r="CG8" s="208">
        <v>0</v>
      </c>
      <c r="CH8" s="208">
        <v>0</v>
      </c>
      <c r="CI8" s="208">
        <v>0</v>
      </c>
      <c r="CJ8" s="208">
        <v>-400214</v>
      </c>
      <c r="CK8" s="208">
        <v>0</v>
      </c>
      <c r="CL8" s="208">
        <v>-400214</v>
      </c>
      <c r="CM8" s="208">
        <v>0</v>
      </c>
      <c r="CN8" s="208">
        <v>0</v>
      </c>
      <c r="CO8" s="208">
        <v>0</v>
      </c>
      <c r="CP8" s="208">
        <v>0</v>
      </c>
      <c r="CQ8" s="208">
        <v>0</v>
      </c>
      <c r="CR8" s="208">
        <v>0</v>
      </c>
      <c r="CS8" s="208">
        <v>0</v>
      </c>
      <c r="CT8" s="208">
        <v>0</v>
      </c>
      <c r="CU8" s="208">
        <v>0</v>
      </c>
      <c r="CV8" s="208">
        <v>-2292</v>
      </c>
      <c r="CW8" s="208">
        <v>0</v>
      </c>
      <c r="CX8" s="208">
        <v>-2292</v>
      </c>
      <c r="CY8" s="208">
        <v>0</v>
      </c>
      <c r="CZ8" s="208">
        <v>0</v>
      </c>
      <c r="DA8" s="208">
        <v>0</v>
      </c>
      <c r="DB8" s="208">
        <v>-890</v>
      </c>
      <c r="DC8" s="208">
        <v>0</v>
      </c>
      <c r="DD8" s="208">
        <v>-890</v>
      </c>
      <c r="DE8" s="208">
        <v>0</v>
      </c>
      <c r="DF8" s="208">
        <v>0</v>
      </c>
      <c r="DG8" s="208">
        <v>0</v>
      </c>
      <c r="DH8" s="208">
        <v>0</v>
      </c>
      <c r="DI8" s="208">
        <v>0</v>
      </c>
      <c r="DJ8" s="208">
        <v>0</v>
      </c>
      <c r="DK8" s="208">
        <v>0</v>
      </c>
      <c r="DL8" s="208">
        <v>0</v>
      </c>
      <c r="DM8" s="208">
        <v>0</v>
      </c>
      <c r="DN8" s="208">
        <v>0</v>
      </c>
      <c r="DO8" s="208">
        <v>0</v>
      </c>
      <c r="DP8" s="208">
        <v>-451221</v>
      </c>
      <c r="DQ8" s="208">
        <v>0</v>
      </c>
      <c r="DR8" s="208">
        <v>-451221</v>
      </c>
      <c r="DS8" s="208">
        <v>0</v>
      </c>
      <c r="DT8" s="208">
        <v>0</v>
      </c>
      <c r="DU8" s="208">
        <v>0</v>
      </c>
      <c r="DV8" s="208">
        <v>0</v>
      </c>
      <c r="DW8" s="208">
        <v>0</v>
      </c>
      <c r="DX8" s="208">
        <v>0</v>
      </c>
      <c r="DY8" s="208">
        <v>2500</v>
      </c>
      <c r="DZ8" s="208">
        <v>0</v>
      </c>
      <c r="EA8" s="208">
        <v>2500</v>
      </c>
      <c r="EB8" s="208">
        <v>0</v>
      </c>
      <c r="EC8" s="208">
        <v>0</v>
      </c>
      <c r="ED8" s="208">
        <v>0</v>
      </c>
      <c r="EE8" s="208">
        <v>0</v>
      </c>
      <c r="EF8" s="208">
        <v>0</v>
      </c>
      <c r="EG8" s="208">
        <v>0</v>
      </c>
      <c r="EH8" s="208">
        <v>11</v>
      </c>
      <c r="EI8" s="208">
        <v>0</v>
      </c>
      <c r="EJ8" s="208">
        <v>11</v>
      </c>
      <c r="EK8" s="208">
        <v>-12999</v>
      </c>
      <c r="EL8" s="208">
        <v>0</v>
      </c>
      <c r="EM8" s="208">
        <v>-12999</v>
      </c>
      <c r="EN8" s="208">
        <v>-111</v>
      </c>
      <c r="EO8" s="208">
        <v>0</v>
      </c>
      <c r="EP8" s="208">
        <v>-111</v>
      </c>
      <c r="EQ8" s="208">
        <v>0</v>
      </c>
      <c r="ER8" s="208">
        <v>0</v>
      </c>
      <c r="ES8" s="208">
        <v>0</v>
      </c>
      <c r="ET8" s="208">
        <v>0</v>
      </c>
      <c r="EU8" s="208">
        <v>0</v>
      </c>
      <c r="EV8" s="208">
        <v>0</v>
      </c>
      <c r="EW8" s="208">
        <v>-40419</v>
      </c>
      <c r="EX8" s="208">
        <v>0</v>
      </c>
      <c r="EY8" s="208">
        <v>-40419</v>
      </c>
      <c r="EZ8" s="208">
        <v>-1496</v>
      </c>
      <c r="FA8" s="208">
        <v>0</v>
      </c>
      <c r="FB8" s="208">
        <v>-1496</v>
      </c>
      <c r="FC8" s="208">
        <v>-11458</v>
      </c>
      <c r="FD8" s="208">
        <v>0</v>
      </c>
      <c r="FE8" s="208">
        <v>-11458</v>
      </c>
      <c r="FF8" s="208">
        <v>0</v>
      </c>
      <c r="FG8" s="208">
        <v>0</v>
      </c>
      <c r="FH8" s="208">
        <v>0</v>
      </c>
      <c r="FI8" s="208">
        <v>-42485</v>
      </c>
      <c r="FJ8" s="208">
        <v>0</v>
      </c>
      <c r="FK8" s="208">
        <v>-42485</v>
      </c>
      <c r="FL8" s="208">
        <v>-2332</v>
      </c>
      <c r="FM8" s="208">
        <v>0</v>
      </c>
      <c r="FN8" s="208">
        <v>-2332</v>
      </c>
      <c r="FO8" s="208">
        <v>0</v>
      </c>
      <c r="FP8" s="208">
        <v>0</v>
      </c>
      <c r="FQ8" s="208">
        <v>0</v>
      </c>
      <c r="FR8" s="208">
        <v>0</v>
      </c>
      <c r="FS8" s="208">
        <v>0</v>
      </c>
      <c r="FT8" s="208">
        <v>0</v>
      </c>
      <c r="FU8" s="208">
        <v>-108789</v>
      </c>
      <c r="FV8" s="208">
        <v>0</v>
      </c>
      <c r="FW8" s="208">
        <v>-108789</v>
      </c>
      <c r="FX8" s="208">
        <v>0</v>
      </c>
      <c r="FY8" s="208">
        <v>0</v>
      </c>
      <c r="FZ8" s="208">
        <v>0</v>
      </c>
      <c r="GA8" s="208">
        <v>0</v>
      </c>
      <c r="GB8" s="208">
        <v>0</v>
      </c>
      <c r="GC8" s="208">
        <v>0</v>
      </c>
      <c r="GD8" s="208">
        <v>0</v>
      </c>
      <c r="GE8" s="208">
        <v>0</v>
      </c>
      <c r="GF8" s="208">
        <v>0</v>
      </c>
      <c r="GG8" s="208">
        <v>39907369</v>
      </c>
      <c r="GH8" s="208">
        <v>0</v>
      </c>
      <c r="GI8" s="208">
        <v>39907369</v>
      </c>
      <c r="GJ8" s="208">
        <v>-613919</v>
      </c>
      <c r="GK8" s="208">
        <v>0</v>
      </c>
      <c r="GL8" s="208">
        <v>-613919</v>
      </c>
      <c r="GM8" s="208">
        <v>-5645703</v>
      </c>
      <c r="GN8" s="208">
        <v>0</v>
      </c>
      <c r="GO8" s="208">
        <v>-5645703</v>
      </c>
      <c r="GP8" s="208">
        <v>-1425169</v>
      </c>
      <c r="GQ8" s="208">
        <v>0</v>
      </c>
      <c r="GR8" s="208">
        <v>-1425169</v>
      </c>
      <c r="GS8" s="208">
        <v>-451221</v>
      </c>
      <c r="GT8" s="208">
        <v>0</v>
      </c>
      <c r="GU8" s="208">
        <v>-451221</v>
      </c>
      <c r="GV8" s="208">
        <v>-108789</v>
      </c>
      <c r="GW8" s="208">
        <v>0</v>
      </c>
      <c r="GX8" s="208">
        <v>-108789</v>
      </c>
      <c r="GY8" s="208">
        <v>0</v>
      </c>
      <c r="GZ8" s="208">
        <v>0</v>
      </c>
      <c r="HA8" s="208">
        <v>0</v>
      </c>
      <c r="HB8" s="208">
        <v>-8244801</v>
      </c>
      <c r="HC8" s="208">
        <v>0</v>
      </c>
      <c r="HD8" s="208">
        <v>-8244801</v>
      </c>
      <c r="HE8" s="208">
        <v>31662568</v>
      </c>
      <c r="HF8" s="208">
        <v>0</v>
      </c>
      <c r="HG8" s="208">
        <v>31662568</v>
      </c>
      <c r="HH8" s="187" t="s">
        <v>1054</v>
      </c>
    </row>
    <row r="9" spans="1:216" s="187" customFormat="1" x14ac:dyDescent="0.2">
      <c r="B9" s="429" t="s">
        <v>97</v>
      </c>
      <c r="C9" s="429" t="s">
        <v>96</v>
      </c>
      <c r="D9" s="208">
        <v>-1203877</v>
      </c>
      <c r="E9" s="208">
        <v>0</v>
      </c>
      <c r="F9" s="208">
        <v>-1203877</v>
      </c>
      <c r="G9" s="208">
        <v>3807</v>
      </c>
      <c r="H9" s="208">
        <v>0</v>
      </c>
      <c r="I9" s="208">
        <v>3807</v>
      </c>
      <c r="J9" s="208">
        <v>1148999</v>
      </c>
      <c r="K9" s="208">
        <v>0</v>
      </c>
      <c r="L9" s="208">
        <v>1148999</v>
      </c>
      <c r="M9" s="208">
        <v>-85346</v>
      </c>
      <c r="N9" s="208">
        <v>0</v>
      </c>
      <c r="O9" s="208">
        <v>-85346</v>
      </c>
      <c r="P9" s="208">
        <v>-136417</v>
      </c>
      <c r="Q9" s="208">
        <v>0</v>
      </c>
      <c r="R9" s="208">
        <v>-136417</v>
      </c>
      <c r="S9" s="208">
        <v>-5338454</v>
      </c>
      <c r="T9" s="208">
        <v>0</v>
      </c>
      <c r="U9" s="208">
        <v>-5338454</v>
      </c>
      <c r="V9" s="208">
        <v>-23317</v>
      </c>
      <c r="W9" s="208">
        <v>0</v>
      </c>
      <c r="X9" s="208">
        <v>-23317</v>
      </c>
      <c r="Y9" s="208">
        <v>-114998</v>
      </c>
      <c r="Z9" s="208">
        <v>0</v>
      </c>
      <c r="AA9" s="208">
        <v>-114998</v>
      </c>
      <c r="AB9" s="208">
        <v>-67860</v>
      </c>
      <c r="AC9" s="208">
        <v>0</v>
      </c>
      <c r="AD9" s="208">
        <v>-67860</v>
      </c>
      <c r="AE9" s="208">
        <v>-47138</v>
      </c>
      <c r="AF9" s="208">
        <v>0</v>
      </c>
      <c r="AG9" s="208">
        <v>-47138</v>
      </c>
      <c r="AH9" s="208">
        <v>382</v>
      </c>
      <c r="AI9" s="208">
        <v>0</v>
      </c>
      <c r="AJ9" s="208">
        <v>382</v>
      </c>
      <c r="AK9" s="208">
        <v>6053</v>
      </c>
      <c r="AL9" s="208">
        <v>0</v>
      </c>
      <c r="AM9" s="208">
        <v>6053</v>
      </c>
      <c r="AN9" s="208">
        <v>794497</v>
      </c>
      <c r="AO9" s="208">
        <v>0</v>
      </c>
      <c r="AP9" s="208">
        <v>794497</v>
      </c>
      <c r="AQ9" s="208">
        <v>-3308</v>
      </c>
      <c r="AR9" s="208">
        <v>0</v>
      </c>
      <c r="AS9" s="208">
        <v>-3308</v>
      </c>
      <c r="AT9" s="208">
        <v>-2969354</v>
      </c>
      <c r="AU9" s="208">
        <v>0</v>
      </c>
      <c r="AV9" s="208">
        <v>-2969354</v>
      </c>
      <c r="AW9" s="208">
        <v>-1417</v>
      </c>
      <c r="AX9" s="208">
        <v>0</v>
      </c>
      <c r="AY9" s="208">
        <v>-1417</v>
      </c>
      <c r="AZ9" s="208">
        <v>-117567</v>
      </c>
      <c r="BA9" s="208">
        <v>0</v>
      </c>
      <c r="BB9" s="208">
        <v>-117567</v>
      </c>
      <c r="BC9" s="208">
        <v>2639</v>
      </c>
      <c r="BD9" s="208">
        <v>0</v>
      </c>
      <c r="BE9" s="208">
        <v>2639</v>
      </c>
      <c r="BF9" s="208">
        <v>-1458</v>
      </c>
      <c r="BG9" s="208">
        <v>0</v>
      </c>
      <c r="BH9" s="208">
        <v>-1458</v>
      </c>
      <c r="BI9" s="208">
        <v>0</v>
      </c>
      <c r="BJ9" s="208">
        <v>0</v>
      </c>
      <c r="BK9" s="208">
        <v>0</v>
      </c>
      <c r="BL9" s="208">
        <v>-7749420</v>
      </c>
      <c r="BM9" s="208">
        <v>0</v>
      </c>
      <c r="BN9" s="208">
        <v>-7749420</v>
      </c>
      <c r="BO9" s="208">
        <v>0</v>
      </c>
      <c r="BP9" s="208">
        <v>0</v>
      </c>
      <c r="BQ9" s="208">
        <v>0</v>
      </c>
      <c r="BR9" s="208">
        <v>0</v>
      </c>
      <c r="BS9" s="208">
        <v>0</v>
      </c>
      <c r="BT9" s="208">
        <v>0</v>
      </c>
      <c r="BU9" s="208">
        <v>-678597</v>
      </c>
      <c r="BV9" s="208">
        <v>0</v>
      </c>
      <c r="BW9" s="208">
        <v>-678597</v>
      </c>
      <c r="BX9" s="208">
        <v>-26725</v>
      </c>
      <c r="BY9" s="208">
        <v>0</v>
      </c>
      <c r="BZ9" s="208">
        <v>-26725</v>
      </c>
      <c r="CA9" s="208">
        <v>-705322</v>
      </c>
      <c r="CB9" s="208">
        <v>0</v>
      </c>
      <c r="CC9" s="208">
        <v>-705322</v>
      </c>
      <c r="CD9" s="208">
        <v>-108308</v>
      </c>
      <c r="CE9" s="208">
        <v>0</v>
      </c>
      <c r="CF9" s="208">
        <v>-108308</v>
      </c>
      <c r="CG9" s="208">
        <v>-696</v>
      </c>
      <c r="CH9" s="208">
        <v>0</v>
      </c>
      <c r="CI9" s="208">
        <v>-696</v>
      </c>
      <c r="CJ9" s="208">
        <v>-65560</v>
      </c>
      <c r="CK9" s="208">
        <v>0</v>
      </c>
      <c r="CL9" s="208">
        <v>-65560</v>
      </c>
      <c r="CM9" s="208">
        <v>-7097</v>
      </c>
      <c r="CN9" s="208">
        <v>0</v>
      </c>
      <c r="CO9" s="208">
        <v>-7097</v>
      </c>
      <c r="CP9" s="208">
        <v>-478</v>
      </c>
      <c r="CQ9" s="208">
        <v>0</v>
      </c>
      <c r="CR9" s="208">
        <v>-478</v>
      </c>
      <c r="CS9" s="208">
        <v>0</v>
      </c>
      <c r="CT9" s="208">
        <v>0</v>
      </c>
      <c r="CU9" s="208">
        <v>0</v>
      </c>
      <c r="CV9" s="208">
        <v>-830</v>
      </c>
      <c r="CW9" s="208">
        <v>0</v>
      </c>
      <c r="CX9" s="208">
        <v>-830</v>
      </c>
      <c r="CY9" s="208">
        <v>-628</v>
      </c>
      <c r="CZ9" s="208">
        <v>0</v>
      </c>
      <c r="DA9" s="208">
        <v>-628</v>
      </c>
      <c r="DB9" s="208">
        <v>0</v>
      </c>
      <c r="DC9" s="208">
        <v>0</v>
      </c>
      <c r="DD9" s="208">
        <v>0</v>
      </c>
      <c r="DE9" s="208">
        <v>0</v>
      </c>
      <c r="DF9" s="208">
        <v>0</v>
      </c>
      <c r="DG9" s="208">
        <v>0</v>
      </c>
      <c r="DH9" s="208">
        <v>0</v>
      </c>
      <c r="DI9" s="208">
        <v>0</v>
      </c>
      <c r="DJ9" s="208">
        <v>0</v>
      </c>
      <c r="DK9" s="208">
        <v>0</v>
      </c>
      <c r="DL9" s="208">
        <v>0</v>
      </c>
      <c r="DM9" s="208">
        <v>0</v>
      </c>
      <c r="DN9" s="208">
        <v>0</v>
      </c>
      <c r="DO9" s="208">
        <v>0</v>
      </c>
      <c r="DP9" s="208">
        <v>-183597</v>
      </c>
      <c r="DQ9" s="208">
        <v>0</v>
      </c>
      <c r="DR9" s="208">
        <v>-183597</v>
      </c>
      <c r="DS9" s="208">
        <v>0</v>
      </c>
      <c r="DT9" s="208">
        <v>0</v>
      </c>
      <c r="DU9" s="208">
        <v>0</v>
      </c>
      <c r="DV9" s="208">
        <v>18127</v>
      </c>
      <c r="DW9" s="208">
        <v>0</v>
      </c>
      <c r="DX9" s="208">
        <v>18127</v>
      </c>
      <c r="DY9" s="208">
        <v>2469</v>
      </c>
      <c r="DZ9" s="208">
        <v>0</v>
      </c>
      <c r="EA9" s="208">
        <v>2469</v>
      </c>
      <c r="EB9" s="208">
        <v>0</v>
      </c>
      <c r="EC9" s="208">
        <v>0</v>
      </c>
      <c r="ED9" s="208">
        <v>0</v>
      </c>
      <c r="EE9" s="208">
        <v>0</v>
      </c>
      <c r="EF9" s="208">
        <v>0</v>
      </c>
      <c r="EG9" s="208">
        <v>0</v>
      </c>
      <c r="EH9" s="208">
        <v>0</v>
      </c>
      <c r="EI9" s="208">
        <v>0</v>
      </c>
      <c r="EJ9" s="208">
        <v>0</v>
      </c>
      <c r="EK9" s="208">
        <v>-1458</v>
      </c>
      <c r="EL9" s="208">
        <v>0</v>
      </c>
      <c r="EM9" s="208">
        <v>-1458</v>
      </c>
      <c r="EN9" s="208">
        <v>0</v>
      </c>
      <c r="EO9" s="208">
        <v>0</v>
      </c>
      <c r="EP9" s="208">
        <v>0</v>
      </c>
      <c r="EQ9" s="208">
        <v>0</v>
      </c>
      <c r="ER9" s="208">
        <v>0</v>
      </c>
      <c r="ES9" s="208">
        <v>0</v>
      </c>
      <c r="ET9" s="208">
        <v>0</v>
      </c>
      <c r="EU9" s="208">
        <v>0</v>
      </c>
      <c r="EV9" s="208">
        <v>0</v>
      </c>
      <c r="EW9" s="208">
        <v>-41177</v>
      </c>
      <c r="EX9" s="208">
        <v>0</v>
      </c>
      <c r="EY9" s="208">
        <v>-41177</v>
      </c>
      <c r="EZ9" s="208">
        <v>1302</v>
      </c>
      <c r="FA9" s="208">
        <v>0</v>
      </c>
      <c r="FB9" s="208">
        <v>1302</v>
      </c>
      <c r="FC9" s="208">
        <v>-166479</v>
      </c>
      <c r="FD9" s="208">
        <v>0</v>
      </c>
      <c r="FE9" s="208">
        <v>-166479</v>
      </c>
      <c r="FF9" s="208">
        <v>-5060</v>
      </c>
      <c r="FG9" s="208">
        <v>0</v>
      </c>
      <c r="FH9" s="208">
        <v>-5060</v>
      </c>
      <c r="FI9" s="208">
        <v>-57564</v>
      </c>
      <c r="FJ9" s="208">
        <v>0</v>
      </c>
      <c r="FK9" s="208">
        <v>-57564</v>
      </c>
      <c r="FL9" s="208">
        <v>-2170</v>
      </c>
      <c r="FM9" s="208">
        <v>0</v>
      </c>
      <c r="FN9" s="208">
        <v>-2170</v>
      </c>
      <c r="FO9" s="208">
        <v>0</v>
      </c>
      <c r="FP9" s="208">
        <v>0</v>
      </c>
      <c r="FQ9" s="208">
        <v>0</v>
      </c>
      <c r="FR9" s="208">
        <v>0</v>
      </c>
      <c r="FS9" s="208">
        <v>0</v>
      </c>
      <c r="FT9" s="208">
        <v>0</v>
      </c>
      <c r="FU9" s="208">
        <v>-252010</v>
      </c>
      <c r="FV9" s="208">
        <v>0</v>
      </c>
      <c r="FW9" s="208">
        <v>-252010</v>
      </c>
      <c r="FX9" s="208">
        <v>-10681</v>
      </c>
      <c r="FY9" s="208">
        <v>0</v>
      </c>
      <c r="FZ9" s="208">
        <v>-10681</v>
      </c>
      <c r="GA9" s="208">
        <v>0</v>
      </c>
      <c r="GB9" s="208">
        <v>0</v>
      </c>
      <c r="GC9" s="208">
        <v>0</v>
      </c>
      <c r="GD9" s="208">
        <v>-10681</v>
      </c>
      <c r="GE9" s="208">
        <v>0</v>
      </c>
      <c r="GF9" s="208">
        <v>-10681</v>
      </c>
      <c r="GG9" s="208">
        <v>46389574</v>
      </c>
      <c r="GH9" s="208">
        <v>0</v>
      </c>
      <c r="GI9" s="208">
        <v>46389574</v>
      </c>
      <c r="GJ9" s="208">
        <v>-136417</v>
      </c>
      <c r="GK9" s="208">
        <v>0</v>
      </c>
      <c r="GL9" s="208">
        <v>-136417</v>
      </c>
      <c r="GM9" s="208">
        <v>-7749420</v>
      </c>
      <c r="GN9" s="208">
        <v>0</v>
      </c>
      <c r="GO9" s="208">
        <v>-7749420</v>
      </c>
      <c r="GP9" s="208">
        <v>-705322</v>
      </c>
      <c r="GQ9" s="208">
        <v>0</v>
      </c>
      <c r="GR9" s="208">
        <v>-705322</v>
      </c>
      <c r="GS9" s="208">
        <v>-183597</v>
      </c>
      <c r="GT9" s="208">
        <v>0</v>
      </c>
      <c r="GU9" s="208">
        <v>-183597</v>
      </c>
      <c r="GV9" s="208">
        <v>-252010</v>
      </c>
      <c r="GW9" s="208">
        <v>0</v>
      </c>
      <c r="GX9" s="208">
        <v>-252010</v>
      </c>
      <c r="GY9" s="208">
        <v>-10681</v>
      </c>
      <c r="GZ9" s="208">
        <v>0</v>
      </c>
      <c r="HA9" s="208">
        <v>-10681</v>
      </c>
      <c r="HB9" s="208">
        <v>-9037447</v>
      </c>
      <c r="HC9" s="208">
        <v>0</v>
      </c>
      <c r="HD9" s="208">
        <v>-9037447</v>
      </c>
      <c r="HE9" s="208">
        <v>37352127</v>
      </c>
      <c r="HF9" s="208">
        <v>0</v>
      </c>
      <c r="HG9" s="208">
        <v>37352127</v>
      </c>
      <c r="HH9" s="187" t="s">
        <v>1054</v>
      </c>
    </row>
    <row r="10" spans="1:216" s="187" customFormat="1" x14ac:dyDescent="0.2">
      <c r="B10" s="429" t="s">
        <v>99</v>
      </c>
      <c r="C10" s="429" t="s">
        <v>98</v>
      </c>
      <c r="D10" s="208">
        <v>-637892</v>
      </c>
      <c r="E10" s="208">
        <v>0</v>
      </c>
      <c r="F10" s="208">
        <v>-637892</v>
      </c>
      <c r="G10" s="208">
        <v>-32860</v>
      </c>
      <c r="H10" s="208">
        <v>0</v>
      </c>
      <c r="I10" s="208">
        <v>-32860</v>
      </c>
      <c r="J10" s="208">
        <v>275946</v>
      </c>
      <c r="K10" s="208">
        <v>0</v>
      </c>
      <c r="L10" s="208">
        <v>275946</v>
      </c>
      <c r="M10" s="208">
        <v>-20618</v>
      </c>
      <c r="N10" s="208">
        <v>0</v>
      </c>
      <c r="O10" s="208">
        <v>-20618</v>
      </c>
      <c r="P10" s="208">
        <v>-415424</v>
      </c>
      <c r="Q10" s="208">
        <v>0</v>
      </c>
      <c r="R10" s="208">
        <v>-415424</v>
      </c>
      <c r="S10" s="208">
        <v>-3167038</v>
      </c>
      <c r="T10" s="208">
        <v>0</v>
      </c>
      <c r="U10" s="208">
        <v>-3167038</v>
      </c>
      <c r="V10" s="208">
        <v>0</v>
      </c>
      <c r="W10" s="208">
        <v>0</v>
      </c>
      <c r="X10" s="208">
        <v>0</v>
      </c>
      <c r="Y10" s="208">
        <v>-86723</v>
      </c>
      <c r="Z10" s="208">
        <v>0</v>
      </c>
      <c r="AA10" s="208">
        <v>-86723</v>
      </c>
      <c r="AB10" s="208">
        <v>-18114</v>
      </c>
      <c r="AC10" s="208">
        <v>0</v>
      </c>
      <c r="AD10" s="208">
        <v>-18114</v>
      </c>
      <c r="AE10" s="208">
        <v>-67367</v>
      </c>
      <c r="AF10" s="208">
        <v>0</v>
      </c>
      <c r="AG10" s="208">
        <v>-67367</v>
      </c>
      <c r="AH10" s="208">
        <v>0</v>
      </c>
      <c r="AI10" s="208">
        <v>0</v>
      </c>
      <c r="AJ10" s="208">
        <v>0</v>
      </c>
      <c r="AK10" s="208">
        <v>0</v>
      </c>
      <c r="AL10" s="208">
        <v>0</v>
      </c>
      <c r="AM10" s="208">
        <v>0</v>
      </c>
      <c r="AN10" s="208">
        <v>883329</v>
      </c>
      <c r="AO10" s="208">
        <v>0</v>
      </c>
      <c r="AP10" s="208">
        <v>883329</v>
      </c>
      <c r="AQ10" s="208">
        <v>-6634</v>
      </c>
      <c r="AR10" s="208">
        <v>0</v>
      </c>
      <c r="AS10" s="208">
        <v>-6634</v>
      </c>
      <c r="AT10" s="208">
        <v>-2083164</v>
      </c>
      <c r="AU10" s="208">
        <v>0</v>
      </c>
      <c r="AV10" s="208">
        <v>-2083164</v>
      </c>
      <c r="AW10" s="208">
        <v>-38046</v>
      </c>
      <c r="AX10" s="208">
        <v>0</v>
      </c>
      <c r="AY10" s="208">
        <v>-38046</v>
      </c>
      <c r="AZ10" s="208">
        <v>-23013</v>
      </c>
      <c r="BA10" s="208">
        <v>0</v>
      </c>
      <c r="BB10" s="208">
        <v>-23013</v>
      </c>
      <c r="BC10" s="208">
        <v>0</v>
      </c>
      <c r="BD10" s="208">
        <v>0</v>
      </c>
      <c r="BE10" s="208">
        <v>0</v>
      </c>
      <c r="BF10" s="208">
        <v>-10503</v>
      </c>
      <c r="BG10" s="208">
        <v>0</v>
      </c>
      <c r="BH10" s="208">
        <v>-10503</v>
      </c>
      <c r="BI10" s="208">
        <v>0</v>
      </c>
      <c r="BJ10" s="208">
        <v>0</v>
      </c>
      <c r="BK10" s="208">
        <v>0</v>
      </c>
      <c r="BL10" s="208">
        <v>-4531792</v>
      </c>
      <c r="BM10" s="208">
        <v>0</v>
      </c>
      <c r="BN10" s="208">
        <v>-4531792</v>
      </c>
      <c r="BO10" s="208">
        <v>-50807</v>
      </c>
      <c r="BP10" s="208">
        <v>0</v>
      </c>
      <c r="BQ10" s="208">
        <v>-50807</v>
      </c>
      <c r="BR10" s="208">
        <v>-142867</v>
      </c>
      <c r="BS10" s="208">
        <v>0</v>
      </c>
      <c r="BT10" s="208">
        <v>-142867</v>
      </c>
      <c r="BU10" s="208">
        <v>-1160787</v>
      </c>
      <c r="BV10" s="208">
        <v>0</v>
      </c>
      <c r="BW10" s="208">
        <v>-1160787</v>
      </c>
      <c r="BX10" s="208">
        <v>-151015</v>
      </c>
      <c r="BY10" s="208">
        <v>0</v>
      </c>
      <c r="BZ10" s="208">
        <v>-151015</v>
      </c>
      <c r="CA10" s="208">
        <v>-1505476</v>
      </c>
      <c r="CB10" s="208">
        <v>0</v>
      </c>
      <c r="CC10" s="208">
        <v>-1505476</v>
      </c>
      <c r="CD10" s="208">
        <v>-154971</v>
      </c>
      <c r="CE10" s="208">
        <v>0</v>
      </c>
      <c r="CF10" s="208">
        <v>-154971</v>
      </c>
      <c r="CG10" s="208">
        <v>-987</v>
      </c>
      <c r="CH10" s="208">
        <v>0</v>
      </c>
      <c r="CI10" s="208">
        <v>-987</v>
      </c>
      <c r="CJ10" s="208">
        <v>-43184</v>
      </c>
      <c r="CK10" s="208">
        <v>0</v>
      </c>
      <c r="CL10" s="208">
        <v>-43184</v>
      </c>
      <c r="CM10" s="208">
        <v>-4520</v>
      </c>
      <c r="CN10" s="208">
        <v>0</v>
      </c>
      <c r="CO10" s="208">
        <v>-4520</v>
      </c>
      <c r="CP10" s="208">
        <v>0</v>
      </c>
      <c r="CQ10" s="208">
        <v>0</v>
      </c>
      <c r="CR10" s="208">
        <v>0</v>
      </c>
      <c r="CS10" s="208">
        <v>0</v>
      </c>
      <c r="CT10" s="208">
        <v>0</v>
      </c>
      <c r="CU10" s="208">
        <v>0</v>
      </c>
      <c r="CV10" s="208">
        <v>-8531</v>
      </c>
      <c r="CW10" s="208">
        <v>0</v>
      </c>
      <c r="CX10" s="208">
        <v>-8531</v>
      </c>
      <c r="CY10" s="208">
        <v>0</v>
      </c>
      <c r="CZ10" s="208">
        <v>0</v>
      </c>
      <c r="DA10" s="208">
        <v>0</v>
      </c>
      <c r="DB10" s="208">
        <v>-4563</v>
      </c>
      <c r="DC10" s="208">
        <v>0</v>
      </c>
      <c r="DD10" s="208">
        <v>-4563</v>
      </c>
      <c r="DE10" s="208">
        <v>0</v>
      </c>
      <c r="DF10" s="208">
        <v>0</v>
      </c>
      <c r="DG10" s="208">
        <v>0</v>
      </c>
      <c r="DH10" s="208">
        <v>0</v>
      </c>
      <c r="DI10" s="208">
        <v>0</v>
      </c>
      <c r="DJ10" s="208">
        <v>0</v>
      </c>
      <c r="DK10" s="208">
        <v>0</v>
      </c>
      <c r="DL10" s="208">
        <v>0</v>
      </c>
      <c r="DM10" s="208">
        <v>0</v>
      </c>
      <c r="DN10" s="208">
        <v>0</v>
      </c>
      <c r="DO10" s="208">
        <v>0</v>
      </c>
      <c r="DP10" s="208">
        <v>-216756</v>
      </c>
      <c r="DQ10" s="208">
        <v>0</v>
      </c>
      <c r="DR10" s="208">
        <v>-216756</v>
      </c>
      <c r="DS10" s="208">
        <v>4355</v>
      </c>
      <c r="DT10" s="208">
        <v>0</v>
      </c>
      <c r="DU10" s="208">
        <v>4355</v>
      </c>
      <c r="DV10" s="208">
        <v>0</v>
      </c>
      <c r="DW10" s="208">
        <v>0</v>
      </c>
      <c r="DX10" s="208">
        <v>0</v>
      </c>
      <c r="DY10" s="208">
        <v>0</v>
      </c>
      <c r="DZ10" s="208">
        <v>0</v>
      </c>
      <c r="EA10" s="208">
        <v>0</v>
      </c>
      <c r="EB10" s="208">
        <v>0</v>
      </c>
      <c r="EC10" s="208">
        <v>0</v>
      </c>
      <c r="ED10" s="208">
        <v>0</v>
      </c>
      <c r="EE10" s="208">
        <v>0</v>
      </c>
      <c r="EF10" s="208">
        <v>0</v>
      </c>
      <c r="EG10" s="208">
        <v>0</v>
      </c>
      <c r="EH10" s="208">
        <v>0</v>
      </c>
      <c r="EI10" s="208">
        <v>0</v>
      </c>
      <c r="EJ10" s="208">
        <v>0</v>
      </c>
      <c r="EK10" s="208">
        <v>0</v>
      </c>
      <c r="EL10" s="208">
        <v>0</v>
      </c>
      <c r="EM10" s="208">
        <v>0</v>
      </c>
      <c r="EN10" s="208">
        <v>0</v>
      </c>
      <c r="EO10" s="208">
        <v>0</v>
      </c>
      <c r="EP10" s="208">
        <v>0</v>
      </c>
      <c r="EQ10" s="208">
        <v>0</v>
      </c>
      <c r="ER10" s="208">
        <v>0</v>
      </c>
      <c r="ES10" s="208">
        <v>0</v>
      </c>
      <c r="ET10" s="208">
        <v>0</v>
      </c>
      <c r="EU10" s="208">
        <v>0</v>
      </c>
      <c r="EV10" s="208">
        <v>0</v>
      </c>
      <c r="EW10" s="208">
        <v>-14133</v>
      </c>
      <c r="EX10" s="208">
        <v>0</v>
      </c>
      <c r="EY10" s="208">
        <v>-14133</v>
      </c>
      <c r="EZ10" s="208">
        <v>108</v>
      </c>
      <c r="FA10" s="208">
        <v>0</v>
      </c>
      <c r="FB10" s="208">
        <v>108</v>
      </c>
      <c r="FC10" s="208">
        <v>-82606</v>
      </c>
      <c r="FD10" s="208">
        <v>0</v>
      </c>
      <c r="FE10" s="208">
        <v>-82606</v>
      </c>
      <c r="FF10" s="208">
        <v>5637</v>
      </c>
      <c r="FG10" s="208">
        <v>0</v>
      </c>
      <c r="FH10" s="208">
        <v>5637</v>
      </c>
      <c r="FI10" s="208">
        <v>-30468</v>
      </c>
      <c r="FJ10" s="208">
        <v>0</v>
      </c>
      <c r="FK10" s="208">
        <v>-30468</v>
      </c>
      <c r="FL10" s="208">
        <v>66</v>
      </c>
      <c r="FM10" s="208">
        <v>0</v>
      </c>
      <c r="FN10" s="208">
        <v>66</v>
      </c>
      <c r="FO10" s="208">
        <v>0</v>
      </c>
      <c r="FP10" s="208">
        <v>0</v>
      </c>
      <c r="FQ10" s="208">
        <v>0</v>
      </c>
      <c r="FR10" s="208">
        <v>0</v>
      </c>
      <c r="FS10" s="208">
        <v>0</v>
      </c>
      <c r="FT10" s="208">
        <v>0</v>
      </c>
      <c r="FU10" s="208">
        <v>-117041</v>
      </c>
      <c r="FV10" s="208">
        <v>0</v>
      </c>
      <c r="FW10" s="208">
        <v>-117041</v>
      </c>
      <c r="FX10" s="208">
        <v>0</v>
      </c>
      <c r="FY10" s="208">
        <v>0</v>
      </c>
      <c r="FZ10" s="208">
        <v>0</v>
      </c>
      <c r="GA10" s="208">
        <v>0</v>
      </c>
      <c r="GB10" s="208">
        <v>0</v>
      </c>
      <c r="GC10" s="208">
        <v>0</v>
      </c>
      <c r="GD10" s="208">
        <v>0</v>
      </c>
      <c r="GE10" s="208">
        <v>0</v>
      </c>
      <c r="GF10" s="208">
        <v>0</v>
      </c>
      <c r="GG10" s="208">
        <v>43582345</v>
      </c>
      <c r="GH10" s="208">
        <v>0</v>
      </c>
      <c r="GI10" s="208">
        <v>43582345</v>
      </c>
      <c r="GJ10" s="208">
        <v>-415424</v>
      </c>
      <c r="GK10" s="208">
        <v>0</v>
      </c>
      <c r="GL10" s="208">
        <v>-415424</v>
      </c>
      <c r="GM10" s="208">
        <v>-4531792</v>
      </c>
      <c r="GN10" s="208">
        <v>0</v>
      </c>
      <c r="GO10" s="208">
        <v>-4531792</v>
      </c>
      <c r="GP10" s="208">
        <v>-1505476</v>
      </c>
      <c r="GQ10" s="208">
        <v>0</v>
      </c>
      <c r="GR10" s="208">
        <v>-1505476</v>
      </c>
      <c r="GS10" s="208">
        <v>-216756</v>
      </c>
      <c r="GT10" s="208">
        <v>0</v>
      </c>
      <c r="GU10" s="208">
        <v>-216756</v>
      </c>
      <c r="GV10" s="208">
        <v>-117041</v>
      </c>
      <c r="GW10" s="208">
        <v>0</v>
      </c>
      <c r="GX10" s="208">
        <v>-117041</v>
      </c>
      <c r="GY10" s="208">
        <v>0</v>
      </c>
      <c r="GZ10" s="208">
        <v>0</v>
      </c>
      <c r="HA10" s="208">
        <v>0</v>
      </c>
      <c r="HB10" s="208">
        <v>-6786489</v>
      </c>
      <c r="HC10" s="208">
        <v>0</v>
      </c>
      <c r="HD10" s="208">
        <v>-6786489</v>
      </c>
      <c r="HE10" s="208">
        <v>36795856</v>
      </c>
      <c r="HF10" s="208">
        <v>0</v>
      </c>
      <c r="HG10" s="208">
        <v>36795856</v>
      </c>
      <c r="HH10" s="187" t="s">
        <v>1054</v>
      </c>
    </row>
    <row r="11" spans="1:216" s="187" customFormat="1" x14ac:dyDescent="0.2">
      <c r="B11" s="429" t="s">
        <v>101</v>
      </c>
      <c r="C11" s="429" t="s">
        <v>100</v>
      </c>
      <c r="D11" s="208">
        <v>-1102606</v>
      </c>
      <c r="E11" s="208">
        <v>0</v>
      </c>
      <c r="F11" s="208">
        <v>-1102606</v>
      </c>
      <c r="G11" s="208">
        <v>78120</v>
      </c>
      <c r="H11" s="208">
        <v>0</v>
      </c>
      <c r="I11" s="208">
        <v>78120</v>
      </c>
      <c r="J11" s="208">
        <v>1033856</v>
      </c>
      <c r="K11" s="208">
        <v>0</v>
      </c>
      <c r="L11" s="208">
        <v>1033856</v>
      </c>
      <c r="M11" s="208">
        <v>40729</v>
      </c>
      <c r="N11" s="208">
        <v>0</v>
      </c>
      <c r="O11" s="208">
        <v>40729</v>
      </c>
      <c r="P11" s="208">
        <v>50099</v>
      </c>
      <c r="Q11" s="208">
        <v>0</v>
      </c>
      <c r="R11" s="208">
        <v>50099</v>
      </c>
      <c r="S11" s="208">
        <v>-4794343</v>
      </c>
      <c r="T11" s="208">
        <v>0</v>
      </c>
      <c r="U11" s="208">
        <v>-4794343</v>
      </c>
      <c r="V11" s="208">
        <v>-22489</v>
      </c>
      <c r="W11" s="208">
        <v>0</v>
      </c>
      <c r="X11" s="208">
        <v>-22489</v>
      </c>
      <c r="Y11" s="208">
        <v>-88229</v>
      </c>
      <c r="Z11" s="208">
        <v>0</v>
      </c>
      <c r="AA11" s="208">
        <v>-88229</v>
      </c>
      <c r="AB11" s="208">
        <v>-31163</v>
      </c>
      <c r="AC11" s="208">
        <v>0</v>
      </c>
      <c r="AD11" s="208">
        <v>-31163</v>
      </c>
      <c r="AE11" s="208">
        <v>-53509</v>
      </c>
      <c r="AF11" s="208">
        <v>0</v>
      </c>
      <c r="AG11" s="208">
        <v>-53509</v>
      </c>
      <c r="AH11" s="208">
        <v>0</v>
      </c>
      <c r="AI11" s="208">
        <v>0</v>
      </c>
      <c r="AJ11" s="208">
        <v>0</v>
      </c>
      <c r="AK11" s="208">
        <v>251</v>
      </c>
      <c r="AL11" s="208">
        <v>0</v>
      </c>
      <c r="AM11" s="208">
        <v>251</v>
      </c>
      <c r="AN11" s="208">
        <v>1199190</v>
      </c>
      <c r="AO11" s="208">
        <v>0</v>
      </c>
      <c r="AP11" s="208">
        <v>1199190</v>
      </c>
      <c r="AQ11" s="208">
        <v>7321</v>
      </c>
      <c r="AR11" s="208">
        <v>0</v>
      </c>
      <c r="AS11" s="208">
        <v>7321</v>
      </c>
      <c r="AT11" s="208">
        <v>-3842149</v>
      </c>
      <c r="AU11" s="208">
        <v>0</v>
      </c>
      <c r="AV11" s="208">
        <v>-3842149</v>
      </c>
      <c r="AW11" s="208">
        <v>42896</v>
      </c>
      <c r="AX11" s="208">
        <v>0</v>
      </c>
      <c r="AY11" s="208">
        <v>42896</v>
      </c>
      <c r="AZ11" s="208">
        <v>-93763</v>
      </c>
      <c r="BA11" s="208">
        <v>0</v>
      </c>
      <c r="BB11" s="208">
        <v>-93763</v>
      </c>
      <c r="BC11" s="208">
        <v>-359</v>
      </c>
      <c r="BD11" s="208">
        <v>0</v>
      </c>
      <c r="BE11" s="208">
        <v>-359</v>
      </c>
      <c r="BF11" s="208">
        <v>-21912</v>
      </c>
      <c r="BG11" s="208">
        <v>0</v>
      </c>
      <c r="BH11" s="208">
        <v>-21912</v>
      </c>
      <c r="BI11" s="208">
        <v>0</v>
      </c>
      <c r="BJ11" s="208">
        <v>0</v>
      </c>
      <c r="BK11" s="208">
        <v>0</v>
      </c>
      <c r="BL11" s="208">
        <v>-7591348</v>
      </c>
      <c r="BM11" s="208">
        <v>0</v>
      </c>
      <c r="BN11" s="208">
        <v>-7591348</v>
      </c>
      <c r="BO11" s="208">
        <v>-10746</v>
      </c>
      <c r="BP11" s="208">
        <v>0</v>
      </c>
      <c r="BQ11" s="208">
        <v>-10746</v>
      </c>
      <c r="BR11" s="208">
        <v>0</v>
      </c>
      <c r="BS11" s="208">
        <v>0</v>
      </c>
      <c r="BT11" s="208">
        <v>0</v>
      </c>
      <c r="BU11" s="208">
        <v>-1901776</v>
      </c>
      <c r="BV11" s="208">
        <v>0</v>
      </c>
      <c r="BW11" s="208">
        <v>-1901776</v>
      </c>
      <c r="BX11" s="208">
        <v>13311</v>
      </c>
      <c r="BY11" s="208">
        <v>0</v>
      </c>
      <c r="BZ11" s="208">
        <v>13311</v>
      </c>
      <c r="CA11" s="208">
        <v>-1899211</v>
      </c>
      <c r="CB11" s="208">
        <v>0</v>
      </c>
      <c r="CC11" s="208">
        <v>-1899211</v>
      </c>
      <c r="CD11" s="208">
        <v>-164851</v>
      </c>
      <c r="CE11" s="208">
        <v>0</v>
      </c>
      <c r="CF11" s="208">
        <v>-164851</v>
      </c>
      <c r="CG11" s="208">
        <v>-933</v>
      </c>
      <c r="CH11" s="208">
        <v>0</v>
      </c>
      <c r="CI11" s="208">
        <v>-933</v>
      </c>
      <c r="CJ11" s="208">
        <v>-47787</v>
      </c>
      <c r="CK11" s="208">
        <v>0</v>
      </c>
      <c r="CL11" s="208">
        <v>-47787</v>
      </c>
      <c r="CM11" s="208">
        <v>2949</v>
      </c>
      <c r="CN11" s="208">
        <v>0</v>
      </c>
      <c r="CO11" s="208">
        <v>2949</v>
      </c>
      <c r="CP11" s="208">
        <v>-13536</v>
      </c>
      <c r="CQ11" s="208">
        <v>0</v>
      </c>
      <c r="CR11" s="208">
        <v>-13536</v>
      </c>
      <c r="CS11" s="208">
        <v>-90</v>
      </c>
      <c r="CT11" s="208">
        <v>0</v>
      </c>
      <c r="CU11" s="208">
        <v>-90</v>
      </c>
      <c r="CV11" s="208">
        <v>-11212</v>
      </c>
      <c r="CW11" s="208">
        <v>0</v>
      </c>
      <c r="CX11" s="208">
        <v>-11212</v>
      </c>
      <c r="CY11" s="208">
        <v>0</v>
      </c>
      <c r="CZ11" s="208">
        <v>0</v>
      </c>
      <c r="DA11" s="208">
        <v>0</v>
      </c>
      <c r="DB11" s="208">
        <v>-41674</v>
      </c>
      <c r="DC11" s="208">
        <v>0</v>
      </c>
      <c r="DD11" s="208">
        <v>-41674</v>
      </c>
      <c r="DE11" s="208">
        <v>0</v>
      </c>
      <c r="DF11" s="208">
        <v>0</v>
      </c>
      <c r="DG11" s="208">
        <v>0</v>
      </c>
      <c r="DH11" s="208">
        <v>0</v>
      </c>
      <c r="DI11" s="208">
        <v>0</v>
      </c>
      <c r="DJ11" s="208">
        <v>0</v>
      </c>
      <c r="DK11" s="208">
        <v>0</v>
      </c>
      <c r="DL11" s="208">
        <v>0</v>
      </c>
      <c r="DM11" s="208">
        <v>0</v>
      </c>
      <c r="DN11" s="208">
        <v>0</v>
      </c>
      <c r="DO11" s="208">
        <v>0</v>
      </c>
      <c r="DP11" s="208">
        <v>-277134</v>
      </c>
      <c r="DQ11" s="208">
        <v>0</v>
      </c>
      <c r="DR11" s="208">
        <v>-277134</v>
      </c>
      <c r="DS11" s="208">
        <v>0</v>
      </c>
      <c r="DT11" s="208">
        <v>0</v>
      </c>
      <c r="DU11" s="208">
        <v>0</v>
      </c>
      <c r="DV11" s="208">
        <v>0</v>
      </c>
      <c r="DW11" s="208">
        <v>0</v>
      </c>
      <c r="DX11" s="208">
        <v>0</v>
      </c>
      <c r="DY11" s="208">
        <v>3950</v>
      </c>
      <c r="DZ11" s="208">
        <v>0</v>
      </c>
      <c r="EA11" s="208">
        <v>3950</v>
      </c>
      <c r="EB11" s="208">
        <v>0</v>
      </c>
      <c r="EC11" s="208">
        <v>0</v>
      </c>
      <c r="ED11" s="208">
        <v>0</v>
      </c>
      <c r="EE11" s="208">
        <v>0</v>
      </c>
      <c r="EF11" s="208">
        <v>0</v>
      </c>
      <c r="EG11" s="208">
        <v>0</v>
      </c>
      <c r="EH11" s="208">
        <v>141.16999999999999</v>
      </c>
      <c r="EI11" s="208">
        <v>0</v>
      </c>
      <c r="EJ11" s="208">
        <v>141.16999999999999</v>
      </c>
      <c r="EK11" s="208">
        <v>-10700</v>
      </c>
      <c r="EL11" s="208">
        <v>0</v>
      </c>
      <c r="EM11" s="208">
        <v>-10700</v>
      </c>
      <c r="EN11" s="208">
        <v>0</v>
      </c>
      <c r="EO11" s="208">
        <v>0</v>
      </c>
      <c r="EP11" s="208">
        <v>0</v>
      </c>
      <c r="EQ11" s="208">
        <v>0</v>
      </c>
      <c r="ER11" s="208">
        <v>0</v>
      </c>
      <c r="ES11" s="208">
        <v>0</v>
      </c>
      <c r="ET11" s="208">
        <v>0</v>
      </c>
      <c r="EU11" s="208">
        <v>0</v>
      </c>
      <c r="EV11" s="208">
        <v>0</v>
      </c>
      <c r="EW11" s="208">
        <v>-26514</v>
      </c>
      <c r="EX11" s="208">
        <v>0</v>
      </c>
      <c r="EY11" s="208">
        <v>-26514</v>
      </c>
      <c r="EZ11" s="208">
        <v>89.32</v>
      </c>
      <c r="FA11" s="208">
        <v>0</v>
      </c>
      <c r="FB11" s="208">
        <v>89.32</v>
      </c>
      <c r="FC11" s="208">
        <v>-16935</v>
      </c>
      <c r="FD11" s="208">
        <v>0</v>
      </c>
      <c r="FE11" s="208">
        <v>-16935</v>
      </c>
      <c r="FF11" s="208">
        <v>-29406</v>
      </c>
      <c r="FG11" s="208">
        <v>0</v>
      </c>
      <c r="FH11" s="208">
        <v>-29406</v>
      </c>
      <c r="FI11" s="208">
        <v>-66849</v>
      </c>
      <c r="FJ11" s="208">
        <v>0</v>
      </c>
      <c r="FK11" s="208">
        <v>-66849</v>
      </c>
      <c r="FL11" s="208">
        <v>-216</v>
      </c>
      <c r="FM11" s="208">
        <v>0</v>
      </c>
      <c r="FN11" s="208">
        <v>-216</v>
      </c>
      <c r="FO11" s="208">
        <v>0</v>
      </c>
      <c r="FP11" s="208">
        <v>0</v>
      </c>
      <c r="FQ11" s="208">
        <v>0</v>
      </c>
      <c r="FR11" s="208">
        <v>0</v>
      </c>
      <c r="FS11" s="208">
        <v>0</v>
      </c>
      <c r="FT11" s="208">
        <v>0</v>
      </c>
      <c r="FU11" s="208">
        <v>-146440</v>
      </c>
      <c r="FV11" s="208">
        <v>0</v>
      </c>
      <c r="FW11" s="208">
        <v>-146440</v>
      </c>
      <c r="FX11" s="208">
        <v>0</v>
      </c>
      <c r="FY11" s="208">
        <v>0</v>
      </c>
      <c r="FZ11" s="208">
        <v>0</v>
      </c>
      <c r="GA11" s="208">
        <v>0</v>
      </c>
      <c r="GB11" s="208">
        <v>0</v>
      </c>
      <c r="GC11" s="208">
        <v>0</v>
      </c>
      <c r="GD11" s="208">
        <v>0</v>
      </c>
      <c r="GE11" s="208">
        <v>0</v>
      </c>
      <c r="GF11" s="208">
        <v>0</v>
      </c>
      <c r="GG11" s="208">
        <v>61089113</v>
      </c>
      <c r="GH11" s="208">
        <v>0</v>
      </c>
      <c r="GI11" s="208">
        <v>61089113</v>
      </c>
      <c r="GJ11" s="208">
        <v>50099</v>
      </c>
      <c r="GK11" s="208">
        <v>0</v>
      </c>
      <c r="GL11" s="208">
        <v>50099</v>
      </c>
      <c r="GM11" s="208">
        <v>-7591348</v>
      </c>
      <c r="GN11" s="208">
        <v>0</v>
      </c>
      <c r="GO11" s="208">
        <v>-7591348</v>
      </c>
      <c r="GP11" s="208">
        <v>-1899211</v>
      </c>
      <c r="GQ11" s="208">
        <v>0</v>
      </c>
      <c r="GR11" s="208">
        <v>-1899211</v>
      </c>
      <c r="GS11" s="208">
        <v>-277134</v>
      </c>
      <c r="GT11" s="208">
        <v>0</v>
      </c>
      <c r="GU11" s="208">
        <v>-277134</v>
      </c>
      <c r="GV11" s="208">
        <v>-146440</v>
      </c>
      <c r="GW11" s="208">
        <v>0</v>
      </c>
      <c r="GX11" s="208">
        <v>-146440</v>
      </c>
      <c r="GY11" s="208">
        <v>0</v>
      </c>
      <c r="GZ11" s="208">
        <v>0</v>
      </c>
      <c r="HA11" s="208">
        <v>0</v>
      </c>
      <c r="HB11" s="208">
        <v>-9864034</v>
      </c>
      <c r="HC11" s="208">
        <v>0</v>
      </c>
      <c r="HD11" s="208">
        <v>-9864034</v>
      </c>
      <c r="HE11" s="208">
        <v>51225079</v>
      </c>
      <c r="HF11" s="208">
        <v>0</v>
      </c>
      <c r="HG11" s="208">
        <v>51225079</v>
      </c>
      <c r="HH11" s="187" t="s">
        <v>1054</v>
      </c>
    </row>
    <row r="12" spans="1:216" s="187" customFormat="1" x14ac:dyDescent="0.2">
      <c r="B12" s="429" t="s">
        <v>103</v>
      </c>
      <c r="C12" s="429" t="s">
        <v>102</v>
      </c>
      <c r="D12" s="208">
        <v>-1320609</v>
      </c>
      <c r="E12" s="208">
        <v>0</v>
      </c>
      <c r="F12" s="208">
        <v>-1320609</v>
      </c>
      <c r="G12" s="208">
        <v>22040</v>
      </c>
      <c r="H12" s="208">
        <v>0</v>
      </c>
      <c r="I12" s="208">
        <v>22040</v>
      </c>
      <c r="J12" s="208">
        <v>1311761</v>
      </c>
      <c r="K12" s="208">
        <v>83</v>
      </c>
      <c r="L12" s="208">
        <v>1311844</v>
      </c>
      <c r="M12" s="208">
        <v>-150437</v>
      </c>
      <c r="N12" s="208">
        <v>0</v>
      </c>
      <c r="O12" s="208">
        <v>-150437</v>
      </c>
      <c r="P12" s="208">
        <v>-137245</v>
      </c>
      <c r="Q12" s="208">
        <v>83</v>
      </c>
      <c r="R12" s="208">
        <v>-137162</v>
      </c>
      <c r="S12" s="208">
        <v>-5557843</v>
      </c>
      <c r="T12" s="208">
        <v>0</v>
      </c>
      <c r="U12" s="208">
        <v>-5557843</v>
      </c>
      <c r="V12" s="208">
        <v>-13407</v>
      </c>
      <c r="W12" s="208">
        <v>0</v>
      </c>
      <c r="X12" s="208">
        <v>-13407</v>
      </c>
      <c r="Y12" s="208">
        <v>-185915</v>
      </c>
      <c r="Z12" s="208">
        <v>0</v>
      </c>
      <c r="AA12" s="208">
        <v>-185915</v>
      </c>
      <c r="AB12" s="208">
        <v>-43451</v>
      </c>
      <c r="AC12" s="208">
        <v>0</v>
      </c>
      <c r="AD12" s="208">
        <v>-43451</v>
      </c>
      <c r="AE12" s="208">
        <v>-143622</v>
      </c>
      <c r="AF12" s="208">
        <v>0</v>
      </c>
      <c r="AG12" s="208">
        <v>-143622</v>
      </c>
      <c r="AH12" s="208">
        <v>0</v>
      </c>
      <c r="AI12" s="208">
        <v>0</v>
      </c>
      <c r="AJ12" s="208">
        <v>0</v>
      </c>
      <c r="AK12" s="208">
        <v>1158</v>
      </c>
      <c r="AL12" s="208">
        <v>0</v>
      </c>
      <c r="AM12" s="208">
        <v>1158</v>
      </c>
      <c r="AN12" s="208">
        <v>1259712</v>
      </c>
      <c r="AO12" s="208">
        <v>0</v>
      </c>
      <c r="AP12" s="208">
        <v>1259712</v>
      </c>
      <c r="AQ12" s="208">
        <v>-19269</v>
      </c>
      <c r="AR12" s="208">
        <v>0</v>
      </c>
      <c r="AS12" s="208">
        <v>-19269</v>
      </c>
      <c r="AT12" s="208">
        <v>-5434843</v>
      </c>
      <c r="AU12" s="208">
        <v>0</v>
      </c>
      <c r="AV12" s="208">
        <v>-5434843</v>
      </c>
      <c r="AW12" s="208">
        <v>75428</v>
      </c>
      <c r="AX12" s="208">
        <v>0</v>
      </c>
      <c r="AY12" s="208">
        <v>75428</v>
      </c>
      <c r="AZ12" s="208">
        <v>-26596</v>
      </c>
      <c r="BA12" s="208">
        <v>0</v>
      </c>
      <c r="BB12" s="208">
        <v>-26596</v>
      </c>
      <c r="BC12" s="208">
        <v>-10154</v>
      </c>
      <c r="BD12" s="208">
        <v>0</v>
      </c>
      <c r="BE12" s="208">
        <v>-10154</v>
      </c>
      <c r="BF12" s="208">
        <v>-53895</v>
      </c>
      <c r="BG12" s="208">
        <v>0</v>
      </c>
      <c r="BH12" s="208">
        <v>-53895</v>
      </c>
      <c r="BI12" s="208">
        <v>-1404</v>
      </c>
      <c r="BJ12" s="208">
        <v>0</v>
      </c>
      <c r="BK12" s="208">
        <v>-1404</v>
      </c>
      <c r="BL12" s="208">
        <v>-9954779</v>
      </c>
      <c r="BM12" s="208">
        <v>0</v>
      </c>
      <c r="BN12" s="208">
        <v>-9954779</v>
      </c>
      <c r="BO12" s="208">
        <v>0</v>
      </c>
      <c r="BP12" s="208">
        <v>0</v>
      </c>
      <c r="BQ12" s="208">
        <v>0</v>
      </c>
      <c r="BR12" s="208">
        <v>36341</v>
      </c>
      <c r="BS12" s="208">
        <v>0</v>
      </c>
      <c r="BT12" s="208">
        <v>36341</v>
      </c>
      <c r="BU12" s="208">
        <v>-2731696</v>
      </c>
      <c r="BV12" s="208">
        <v>-51463</v>
      </c>
      <c r="BW12" s="208">
        <v>-2783159</v>
      </c>
      <c r="BX12" s="208">
        <v>629894</v>
      </c>
      <c r="BY12" s="208">
        <v>0</v>
      </c>
      <c r="BZ12" s="208">
        <v>629894</v>
      </c>
      <c r="CA12" s="208">
        <v>-2065461</v>
      </c>
      <c r="CB12" s="208">
        <v>-51463</v>
      </c>
      <c r="CC12" s="208">
        <v>-2116924</v>
      </c>
      <c r="CD12" s="208">
        <v>-225636</v>
      </c>
      <c r="CE12" s="208">
        <v>0</v>
      </c>
      <c r="CF12" s="208">
        <v>-225636</v>
      </c>
      <c r="CG12" s="208">
        <v>512</v>
      </c>
      <c r="CH12" s="208">
        <v>0</v>
      </c>
      <c r="CI12" s="208">
        <v>512</v>
      </c>
      <c r="CJ12" s="208">
        <v>-75445</v>
      </c>
      <c r="CK12" s="208">
        <v>0</v>
      </c>
      <c r="CL12" s="208">
        <v>-75445</v>
      </c>
      <c r="CM12" s="208">
        <v>0</v>
      </c>
      <c r="CN12" s="208">
        <v>0</v>
      </c>
      <c r="CO12" s="208">
        <v>0</v>
      </c>
      <c r="CP12" s="208">
        <v>-2656</v>
      </c>
      <c r="CQ12" s="208">
        <v>0</v>
      </c>
      <c r="CR12" s="208">
        <v>-2656</v>
      </c>
      <c r="CS12" s="208">
        <v>0</v>
      </c>
      <c r="CT12" s="208">
        <v>0</v>
      </c>
      <c r="CU12" s="208">
        <v>0</v>
      </c>
      <c r="CV12" s="208">
        <v>0</v>
      </c>
      <c r="CW12" s="208">
        <v>0</v>
      </c>
      <c r="CX12" s="208">
        <v>0</v>
      </c>
      <c r="CY12" s="208">
        <v>0</v>
      </c>
      <c r="CZ12" s="208">
        <v>0</v>
      </c>
      <c r="DA12" s="208">
        <v>0</v>
      </c>
      <c r="DB12" s="208">
        <v>0</v>
      </c>
      <c r="DC12" s="208">
        <v>0</v>
      </c>
      <c r="DD12" s="208">
        <v>0</v>
      </c>
      <c r="DE12" s="208">
        <v>0</v>
      </c>
      <c r="DF12" s="208">
        <v>0</v>
      </c>
      <c r="DG12" s="208">
        <v>0</v>
      </c>
      <c r="DH12" s="208">
        <v>0</v>
      </c>
      <c r="DI12" s="208">
        <v>-165670</v>
      </c>
      <c r="DJ12" s="208">
        <v>-165670</v>
      </c>
      <c r="DK12" s="208">
        <v>0</v>
      </c>
      <c r="DL12" s="208">
        <v>-50437</v>
      </c>
      <c r="DM12" s="208">
        <v>-50437</v>
      </c>
      <c r="DN12" s="208">
        <v>-216107</v>
      </c>
      <c r="DO12" s="208">
        <v>0</v>
      </c>
      <c r="DP12" s="208">
        <v>-303225</v>
      </c>
      <c r="DQ12" s="208">
        <v>-216107</v>
      </c>
      <c r="DR12" s="208">
        <v>-519332</v>
      </c>
      <c r="DS12" s="208">
        <v>0</v>
      </c>
      <c r="DT12" s="208">
        <v>0</v>
      </c>
      <c r="DU12" s="208">
        <v>0</v>
      </c>
      <c r="DV12" s="208">
        <v>0</v>
      </c>
      <c r="DW12" s="208">
        <v>0</v>
      </c>
      <c r="DX12" s="208">
        <v>0</v>
      </c>
      <c r="DY12" s="208">
        <v>0</v>
      </c>
      <c r="DZ12" s="208">
        <v>0</v>
      </c>
      <c r="EA12" s="208">
        <v>0</v>
      </c>
      <c r="EB12" s="208">
        <v>0</v>
      </c>
      <c r="EC12" s="208">
        <v>0</v>
      </c>
      <c r="ED12" s="208">
        <v>0</v>
      </c>
      <c r="EE12" s="208">
        <v>0</v>
      </c>
      <c r="EF12" s="208">
        <v>0</v>
      </c>
      <c r="EG12" s="208">
        <v>0</v>
      </c>
      <c r="EH12" s="208">
        <v>0</v>
      </c>
      <c r="EI12" s="208">
        <v>0</v>
      </c>
      <c r="EJ12" s="208">
        <v>0</v>
      </c>
      <c r="EK12" s="208">
        <v>-60386</v>
      </c>
      <c r="EL12" s="208">
        <v>0</v>
      </c>
      <c r="EM12" s="208">
        <v>-60386</v>
      </c>
      <c r="EN12" s="208">
        <v>-6256</v>
      </c>
      <c r="EO12" s="208">
        <v>0</v>
      </c>
      <c r="EP12" s="208">
        <v>-6256</v>
      </c>
      <c r="EQ12" s="208">
        <v>0</v>
      </c>
      <c r="ER12" s="208">
        <v>0</v>
      </c>
      <c r="ES12" s="208">
        <v>0</v>
      </c>
      <c r="ET12" s="208">
        <v>0</v>
      </c>
      <c r="EU12" s="208">
        <v>0</v>
      </c>
      <c r="EV12" s="208">
        <v>0</v>
      </c>
      <c r="EW12" s="208">
        <v>-37577</v>
      </c>
      <c r="EX12" s="208">
        <v>0</v>
      </c>
      <c r="EY12" s="208">
        <v>-37577</v>
      </c>
      <c r="EZ12" s="208">
        <v>850</v>
      </c>
      <c r="FA12" s="208">
        <v>0</v>
      </c>
      <c r="FB12" s="208">
        <v>850</v>
      </c>
      <c r="FC12" s="208">
        <v>-202409</v>
      </c>
      <c r="FD12" s="208">
        <v>0</v>
      </c>
      <c r="FE12" s="208">
        <v>-202409</v>
      </c>
      <c r="FF12" s="208">
        <v>-2824</v>
      </c>
      <c r="FG12" s="208">
        <v>0</v>
      </c>
      <c r="FH12" s="208">
        <v>-2824</v>
      </c>
      <c r="FI12" s="208">
        <v>-75741</v>
      </c>
      <c r="FJ12" s="208">
        <v>0</v>
      </c>
      <c r="FK12" s="208">
        <v>-75741</v>
      </c>
      <c r="FL12" s="208">
        <v>1078</v>
      </c>
      <c r="FM12" s="208">
        <v>0</v>
      </c>
      <c r="FN12" s="208">
        <v>1078</v>
      </c>
      <c r="FO12" s="208">
        <v>0</v>
      </c>
      <c r="FP12" s="208">
        <v>0</v>
      </c>
      <c r="FQ12" s="208">
        <v>0</v>
      </c>
      <c r="FR12" s="208">
        <v>0</v>
      </c>
      <c r="FS12" s="208">
        <v>0</v>
      </c>
      <c r="FT12" s="208">
        <v>0</v>
      </c>
      <c r="FU12" s="208">
        <v>-383265</v>
      </c>
      <c r="FV12" s="208">
        <v>0</v>
      </c>
      <c r="FW12" s="208">
        <v>-383265</v>
      </c>
      <c r="FX12" s="208">
        <v>0</v>
      </c>
      <c r="FY12" s="208">
        <v>0</v>
      </c>
      <c r="FZ12" s="208">
        <v>0</v>
      </c>
      <c r="GA12" s="208">
        <v>0</v>
      </c>
      <c r="GB12" s="208">
        <v>0</v>
      </c>
      <c r="GC12" s="208">
        <v>0</v>
      </c>
      <c r="GD12" s="208">
        <v>0</v>
      </c>
      <c r="GE12" s="208">
        <v>0</v>
      </c>
      <c r="GF12" s="208">
        <v>0</v>
      </c>
      <c r="GG12" s="208">
        <v>66315828</v>
      </c>
      <c r="GH12" s="208">
        <v>817042</v>
      </c>
      <c r="GI12" s="208">
        <v>67132870</v>
      </c>
      <c r="GJ12" s="208">
        <v>-137245</v>
      </c>
      <c r="GK12" s="208">
        <v>83</v>
      </c>
      <c r="GL12" s="208">
        <v>-137162</v>
      </c>
      <c r="GM12" s="208">
        <v>-9954779</v>
      </c>
      <c r="GN12" s="208">
        <v>0</v>
      </c>
      <c r="GO12" s="208">
        <v>-9954779</v>
      </c>
      <c r="GP12" s="208">
        <v>-2065461</v>
      </c>
      <c r="GQ12" s="208">
        <v>-51463</v>
      </c>
      <c r="GR12" s="208">
        <v>-2116924</v>
      </c>
      <c r="GS12" s="208">
        <v>-303225</v>
      </c>
      <c r="GT12" s="208">
        <v>-216107</v>
      </c>
      <c r="GU12" s="208">
        <v>-519332</v>
      </c>
      <c r="GV12" s="208">
        <v>-383265</v>
      </c>
      <c r="GW12" s="208">
        <v>0</v>
      </c>
      <c r="GX12" s="208">
        <v>-383265</v>
      </c>
      <c r="GY12" s="208">
        <v>0</v>
      </c>
      <c r="GZ12" s="208">
        <v>0</v>
      </c>
      <c r="HA12" s="208">
        <v>0</v>
      </c>
      <c r="HB12" s="208">
        <v>-12843975</v>
      </c>
      <c r="HC12" s="208">
        <v>-267487</v>
      </c>
      <c r="HD12" s="208">
        <v>-13111462</v>
      </c>
      <c r="HE12" s="208">
        <v>53471853</v>
      </c>
      <c r="HF12" s="208">
        <v>549555</v>
      </c>
      <c r="HG12" s="208">
        <v>54021408</v>
      </c>
      <c r="HH12" s="187" t="s">
        <v>1054</v>
      </c>
    </row>
    <row r="13" spans="1:216" s="187" customFormat="1" x14ac:dyDescent="0.2">
      <c r="B13" s="429" t="s">
        <v>105</v>
      </c>
      <c r="C13" s="429" t="s">
        <v>104</v>
      </c>
      <c r="D13" s="208">
        <v>-638633</v>
      </c>
      <c r="E13" s="208">
        <v>-26</v>
      </c>
      <c r="F13" s="208">
        <v>-638659</v>
      </c>
      <c r="G13" s="208">
        <v>59171</v>
      </c>
      <c r="H13" s="208">
        <v>-88</v>
      </c>
      <c r="I13" s="208">
        <v>59083</v>
      </c>
      <c r="J13" s="208">
        <v>603607</v>
      </c>
      <c r="K13" s="208">
        <v>0</v>
      </c>
      <c r="L13" s="208">
        <v>603607</v>
      </c>
      <c r="M13" s="208">
        <v>-11434</v>
      </c>
      <c r="N13" s="208">
        <v>0</v>
      </c>
      <c r="O13" s="208">
        <v>-11434</v>
      </c>
      <c r="P13" s="208">
        <v>12711</v>
      </c>
      <c r="Q13" s="208">
        <v>-114</v>
      </c>
      <c r="R13" s="208">
        <v>12597</v>
      </c>
      <c r="S13" s="208">
        <v>-3610394</v>
      </c>
      <c r="T13" s="208">
        <v>-732</v>
      </c>
      <c r="U13" s="208">
        <v>-3611126</v>
      </c>
      <c r="V13" s="208">
        <v>-14318</v>
      </c>
      <c r="W13" s="208">
        <v>0</v>
      </c>
      <c r="X13" s="208">
        <v>-14318</v>
      </c>
      <c r="Y13" s="208">
        <v>-69175</v>
      </c>
      <c r="Z13" s="208">
        <v>-1328</v>
      </c>
      <c r="AA13" s="208">
        <v>-70503</v>
      </c>
      <c r="AB13" s="208">
        <v>-14525</v>
      </c>
      <c r="AC13" s="208">
        <v>-641</v>
      </c>
      <c r="AD13" s="208">
        <v>-15166</v>
      </c>
      <c r="AE13" s="208">
        <v>-53727</v>
      </c>
      <c r="AF13" s="208">
        <v>-687</v>
      </c>
      <c r="AG13" s="208">
        <v>-54414</v>
      </c>
      <c r="AH13" s="208">
        <v>-58</v>
      </c>
      <c r="AI13" s="208">
        <v>0</v>
      </c>
      <c r="AJ13" s="208">
        <v>-58</v>
      </c>
      <c r="AK13" s="208">
        <v>466</v>
      </c>
      <c r="AL13" s="208">
        <v>0</v>
      </c>
      <c r="AM13" s="208">
        <v>466</v>
      </c>
      <c r="AN13" s="208">
        <v>492697</v>
      </c>
      <c r="AO13" s="208">
        <v>1027</v>
      </c>
      <c r="AP13" s="208">
        <v>493724</v>
      </c>
      <c r="AQ13" s="208">
        <v>185</v>
      </c>
      <c r="AR13" s="208">
        <v>1703</v>
      </c>
      <c r="AS13" s="208">
        <v>1888</v>
      </c>
      <c r="AT13" s="208">
        <v>-2257497</v>
      </c>
      <c r="AU13" s="208">
        <v>0</v>
      </c>
      <c r="AV13" s="208">
        <v>-2257497</v>
      </c>
      <c r="AW13" s="208">
        <v>-23936</v>
      </c>
      <c r="AX13" s="208">
        <v>0</v>
      </c>
      <c r="AY13" s="208">
        <v>-23936</v>
      </c>
      <c r="AZ13" s="208">
        <v>-45431</v>
      </c>
      <c r="BA13" s="208">
        <v>0</v>
      </c>
      <c r="BB13" s="208">
        <v>-45431</v>
      </c>
      <c r="BC13" s="208">
        <v>0</v>
      </c>
      <c r="BD13" s="208">
        <v>0</v>
      </c>
      <c r="BE13" s="208">
        <v>0</v>
      </c>
      <c r="BF13" s="208">
        <v>-72433</v>
      </c>
      <c r="BG13" s="208">
        <v>0</v>
      </c>
      <c r="BH13" s="208">
        <v>-72433</v>
      </c>
      <c r="BI13" s="208">
        <v>-23</v>
      </c>
      <c r="BJ13" s="208">
        <v>0</v>
      </c>
      <c r="BK13" s="208">
        <v>-23</v>
      </c>
      <c r="BL13" s="208">
        <v>-5586007</v>
      </c>
      <c r="BM13" s="208">
        <v>670</v>
      </c>
      <c r="BN13" s="208">
        <v>-5585337</v>
      </c>
      <c r="BO13" s="208">
        <v>-24964</v>
      </c>
      <c r="BP13" s="208">
        <v>0</v>
      </c>
      <c r="BQ13" s="208">
        <v>-24964</v>
      </c>
      <c r="BR13" s="208">
        <v>11926</v>
      </c>
      <c r="BS13" s="208">
        <v>-11935</v>
      </c>
      <c r="BT13" s="208">
        <v>-9</v>
      </c>
      <c r="BU13" s="208">
        <v>-951695</v>
      </c>
      <c r="BV13" s="208">
        <v>-9860</v>
      </c>
      <c r="BW13" s="208">
        <v>-961555</v>
      </c>
      <c r="BX13" s="208">
        <v>-13226</v>
      </c>
      <c r="BY13" s="208">
        <v>-7164</v>
      </c>
      <c r="BZ13" s="208">
        <v>-20390</v>
      </c>
      <c r="CA13" s="208">
        <v>-977959</v>
      </c>
      <c r="CB13" s="208">
        <v>-28959</v>
      </c>
      <c r="CC13" s="208">
        <v>-1006918</v>
      </c>
      <c r="CD13" s="208">
        <v>-47776</v>
      </c>
      <c r="CE13" s="208">
        <v>0</v>
      </c>
      <c r="CF13" s="208">
        <v>-47776</v>
      </c>
      <c r="CG13" s="208">
        <v>-1465</v>
      </c>
      <c r="CH13" s="208">
        <v>0</v>
      </c>
      <c r="CI13" s="208">
        <v>-1465</v>
      </c>
      <c r="CJ13" s="208">
        <v>-17064</v>
      </c>
      <c r="CK13" s="208">
        <v>0</v>
      </c>
      <c r="CL13" s="208">
        <v>-17064</v>
      </c>
      <c r="CM13" s="208">
        <v>1037</v>
      </c>
      <c r="CN13" s="208">
        <v>0</v>
      </c>
      <c r="CO13" s="208">
        <v>1037</v>
      </c>
      <c r="CP13" s="208">
        <v>-5679</v>
      </c>
      <c r="CQ13" s="208">
        <v>0</v>
      </c>
      <c r="CR13" s="208">
        <v>-5679</v>
      </c>
      <c r="CS13" s="208">
        <v>0</v>
      </c>
      <c r="CT13" s="208">
        <v>0</v>
      </c>
      <c r="CU13" s="208">
        <v>0</v>
      </c>
      <c r="CV13" s="208">
        <v>0</v>
      </c>
      <c r="CW13" s="208">
        <v>0</v>
      </c>
      <c r="CX13" s="208">
        <v>0</v>
      </c>
      <c r="CY13" s="208">
        <v>0</v>
      </c>
      <c r="CZ13" s="208">
        <v>0</v>
      </c>
      <c r="DA13" s="208">
        <v>0</v>
      </c>
      <c r="DB13" s="208">
        <v>-14665</v>
      </c>
      <c r="DC13" s="208">
        <v>0</v>
      </c>
      <c r="DD13" s="208">
        <v>-14665</v>
      </c>
      <c r="DE13" s="208">
        <v>0</v>
      </c>
      <c r="DF13" s="208">
        <v>0</v>
      </c>
      <c r="DG13" s="208">
        <v>0</v>
      </c>
      <c r="DH13" s="208">
        <v>0</v>
      </c>
      <c r="DI13" s="208">
        <v>0</v>
      </c>
      <c r="DJ13" s="208">
        <v>0</v>
      </c>
      <c r="DK13" s="208">
        <v>0</v>
      </c>
      <c r="DL13" s="208">
        <v>0</v>
      </c>
      <c r="DM13" s="208">
        <v>0</v>
      </c>
      <c r="DN13" s="208">
        <v>0</v>
      </c>
      <c r="DO13" s="208">
        <v>0</v>
      </c>
      <c r="DP13" s="208">
        <v>-85612</v>
      </c>
      <c r="DQ13" s="208">
        <v>0</v>
      </c>
      <c r="DR13" s="208">
        <v>-85612</v>
      </c>
      <c r="DS13" s="208">
        <v>0</v>
      </c>
      <c r="DT13" s="208">
        <v>0</v>
      </c>
      <c r="DU13" s="208">
        <v>0</v>
      </c>
      <c r="DV13" s="208">
        <v>270</v>
      </c>
      <c r="DW13" s="208">
        <v>0</v>
      </c>
      <c r="DX13" s="208">
        <v>270</v>
      </c>
      <c r="DY13" s="208">
        <v>0</v>
      </c>
      <c r="DZ13" s="208">
        <v>0</v>
      </c>
      <c r="EA13" s="208">
        <v>0</v>
      </c>
      <c r="EB13" s="208">
        <v>0</v>
      </c>
      <c r="EC13" s="208">
        <v>0</v>
      </c>
      <c r="ED13" s="208">
        <v>0</v>
      </c>
      <c r="EE13" s="208">
        <v>0</v>
      </c>
      <c r="EF13" s="208">
        <v>0</v>
      </c>
      <c r="EG13" s="208">
        <v>0</v>
      </c>
      <c r="EH13" s="208">
        <v>0</v>
      </c>
      <c r="EI13" s="208">
        <v>0</v>
      </c>
      <c r="EJ13" s="208">
        <v>0</v>
      </c>
      <c r="EK13" s="208">
        <v>-72433</v>
      </c>
      <c r="EL13" s="208">
        <v>0</v>
      </c>
      <c r="EM13" s="208">
        <v>-72433</v>
      </c>
      <c r="EN13" s="208">
        <v>-23</v>
      </c>
      <c r="EO13" s="208">
        <v>0</v>
      </c>
      <c r="EP13" s="208">
        <v>-23</v>
      </c>
      <c r="EQ13" s="208">
        <v>-1500</v>
      </c>
      <c r="ER13" s="208">
        <v>0</v>
      </c>
      <c r="ES13" s="208">
        <v>-1500</v>
      </c>
      <c r="ET13" s="208">
        <v>-41</v>
      </c>
      <c r="EU13" s="208">
        <v>0</v>
      </c>
      <c r="EV13" s="208">
        <v>-41</v>
      </c>
      <c r="EW13" s="208">
        <v>-35390</v>
      </c>
      <c r="EX13" s="208">
        <v>0</v>
      </c>
      <c r="EY13" s="208">
        <v>-35390</v>
      </c>
      <c r="EZ13" s="208">
        <v>1471</v>
      </c>
      <c r="FA13" s="208">
        <v>0</v>
      </c>
      <c r="FB13" s="208">
        <v>1471</v>
      </c>
      <c r="FC13" s="208">
        <v>-83725</v>
      </c>
      <c r="FD13" s="208">
        <v>0</v>
      </c>
      <c r="FE13" s="208">
        <v>-83725</v>
      </c>
      <c r="FF13" s="208">
        <v>914</v>
      </c>
      <c r="FG13" s="208">
        <v>0</v>
      </c>
      <c r="FH13" s="208">
        <v>914</v>
      </c>
      <c r="FI13" s="208">
        <v>-43192</v>
      </c>
      <c r="FJ13" s="208">
        <v>0</v>
      </c>
      <c r="FK13" s="208">
        <v>-43192</v>
      </c>
      <c r="FL13" s="208">
        <v>528.77</v>
      </c>
      <c r="FM13" s="208">
        <v>0</v>
      </c>
      <c r="FN13" s="208">
        <v>528.77</v>
      </c>
      <c r="FO13" s="208">
        <v>0</v>
      </c>
      <c r="FP13" s="208">
        <v>0</v>
      </c>
      <c r="FQ13" s="208">
        <v>0</v>
      </c>
      <c r="FR13" s="208">
        <v>0</v>
      </c>
      <c r="FS13" s="208">
        <v>0</v>
      </c>
      <c r="FT13" s="208">
        <v>0</v>
      </c>
      <c r="FU13" s="208">
        <v>-233120</v>
      </c>
      <c r="FV13" s="208">
        <v>0</v>
      </c>
      <c r="FW13" s="208">
        <v>-233120</v>
      </c>
      <c r="FX13" s="208">
        <v>-6489</v>
      </c>
      <c r="FY13" s="208">
        <v>0</v>
      </c>
      <c r="FZ13" s="208">
        <v>-6489</v>
      </c>
      <c r="GA13" s="208">
        <v>0</v>
      </c>
      <c r="GB13" s="208">
        <v>0</v>
      </c>
      <c r="GC13" s="208">
        <v>0</v>
      </c>
      <c r="GD13" s="208">
        <v>-6489</v>
      </c>
      <c r="GE13" s="208">
        <v>0</v>
      </c>
      <c r="GF13" s="208">
        <v>-6489</v>
      </c>
      <c r="GG13" s="208">
        <v>30300102</v>
      </c>
      <c r="GH13" s="208">
        <v>123368</v>
      </c>
      <c r="GI13" s="208">
        <v>30423470</v>
      </c>
      <c r="GJ13" s="208">
        <v>12711</v>
      </c>
      <c r="GK13" s="208">
        <v>-114</v>
      </c>
      <c r="GL13" s="208">
        <v>12597</v>
      </c>
      <c r="GM13" s="208">
        <v>-5586007</v>
      </c>
      <c r="GN13" s="208">
        <v>670</v>
      </c>
      <c r="GO13" s="208">
        <v>-5585337</v>
      </c>
      <c r="GP13" s="208">
        <v>-977959</v>
      </c>
      <c r="GQ13" s="208">
        <v>-28959</v>
      </c>
      <c r="GR13" s="208">
        <v>-1006918</v>
      </c>
      <c r="GS13" s="208">
        <v>-85612</v>
      </c>
      <c r="GT13" s="208">
        <v>0</v>
      </c>
      <c r="GU13" s="208">
        <v>-85612</v>
      </c>
      <c r="GV13" s="208">
        <v>-233120</v>
      </c>
      <c r="GW13" s="208">
        <v>0</v>
      </c>
      <c r="GX13" s="208">
        <v>-233120</v>
      </c>
      <c r="GY13" s="208">
        <v>-6489</v>
      </c>
      <c r="GZ13" s="208">
        <v>0</v>
      </c>
      <c r="HA13" s="208">
        <v>-6489</v>
      </c>
      <c r="HB13" s="208">
        <v>-6876476</v>
      </c>
      <c r="HC13" s="208">
        <v>-28403</v>
      </c>
      <c r="HD13" s="208">
        <v>-6904879</v>
      </c>
      <c r="HE13" s="208">
        <v>23423626</v>
      </c>
      <c r="HF13" s="208">
        <v>94965</v>
      </c>
      <c r="HG13" s="208">
        <v>23518591</v>
      </c>
      <c r="HH13" s="187" t="s">
        <v>1054</v>
      </c>
    </row>
    <row r="14" spans="1:216" s="187" customFormat="1" x14ac:dyDescent="0.2">
      <c r="B14" s="429" t="s">
        <v>107</v>
      </c>
      <c r="C14" s="429" t="s">
        <v>106</v>
      </c>
      <c r="D14" s="208">
        <v>-1520737</v>
      </c>
      <c r="E14" s="208">
        <v>0</v>
      </c>
      <c r="F14" s="208">
        <v>-1520737</v>
      </c>
      <c r="G14" s="208">
        <v>52858</v>
      </c>
      <c r="H14" s="208">
        <v>0</v>
      </c>
      <c r="I14" s="208">
        <v>52858</v>
      </c>
      <c r="J14" s="208">
        <v>1126556</v>
      </c>
      <c r="K14" s="208">
        <v>0</v>
      </c>
      <c r="L14" s="208">
        <v>1126556</v>
      </c>
      <c r="M14" s="208">
        <v>241034</v>
      </c>
      <c r="N14" s="208">
        <v>0</v>
      </c>
      <c r="O14" s="208">
        <v>241034</v>
      </c>
      <c r="P14" s="208">
        <v>-100289</v>
      </c>
      <c r="Q14" s="208">
        <v>0</v>
      </c>
      <c r="R14" s="208">
        <v>-100289</v>
      </c>
      <c r="S14" s="208">
        <v>-4802747</v>
      </c>
      <c r="T14" s="208">
        <v>0</v>
      </c>
      <c r="U14" s="208">
        <v>-4802747</v>
      </c>
      <c r="V14" s="208">
        <v>-19127</v>
      </c>
      <c r="W14" s="208">
        <v>0</v>
      </c>
      <c r="X14" s="208">
        <v>-19127</v>
      </c>
      <c r="Y14" s="208">
        <v>-190500</v>
      </c>
      <c r="Z14" s="208">
        <v>0</v>
      </c>
      <c r="AA14" s="208">
        <v>-190500</v>
      </c>
      <c r="AB14" s="208">
        <v>-36757</v>
      </c>
      <c r="AC14" s="208">
        <v>0</v>
      </c>
      <c r="AD14" s="208">
        <v>-36757</v>
      </c>
      <c r="AE14" s="208">
        <v>-152917</v>
      </c>
      <c r="AF14" s="208">
        <v>0</v>
      </c>
      <c r="AG14" s="208">
        <v>-152917</v>
      </c>
      <c r="AH14" s="208">
        <v>0</v>
      </c>
      <c r="AI14" s="208">
        <v>0</v>
      </c>
      <c r="AJ14" s="208">
        <v>0</v>
      </c>
      <c r="AK14" s="208">
        <v>-827</v>
      </c>
      <c r="AL14" s="208">
        <v>0</v>
      </c>
      <c r="AM14" s="208">
        <v>-827</v>
      </c>
      <c r="AN14" s="208">
        <v>1459986</v>
      </c>
      <c r="AO14" s="208">
        <v>0</v>
      </c>
      <c r="AP14" s="208">
        <v>1459986</v>
      </c>
      <c r="AQ14" s="208">
        <v>-38748</v>
      </c>
      <c r="AR14" s="208">
        <v>0</v>
      </c>
      <c r="AS14" s="208">
        <v>-38748</v>
      </c>
      <c r="AT14" s="208">
        <v>-4911699</v>
      </c>
      <c r="AU14" s="208">
        <v>0</v>
      </c>
      <c r="AV14" s="208">
        <v>-4911699</v>
      </c>
      <c r="AW14" s="208">
        <v>-130787</v>
      </c>
      <c r="AX14" s="208">
        <v>0</v>
      </c>
      <c r="AY14" s="208">
        <v>-130787</v>
      </c>
      <c r="AZ14" s="208">
        <v>-24855</v>
      </c>
      <c r="BA14" s="208">
        <v>0</v>
      </c>
      <c r="BB14" s="208">
        <v>-24855</v>
      </c>
      <c r="BC14" s="208">
        <v>0</v>
      </c>
      <c r="BD14" s="208">
        <v>0</v>
      </c>
      <c r="BE14" s="208">
        <v>0</v>
      </c>
      <c r="BF14" s="208">
        <v>0</v>
      </c>
      <c r="BG14" s="208">
        <v>0</v>
      </c>
      <c r="BH14" s="208">
        <v>0</v>
      </c>
      <c r="BI14" s="208">
        <v>0</v>
      </c>
      <c r="BJ14" s="208">
        <v>0</v>
      </c>
      <c r="BK14" s="208">
        <v>0</v>
      </c>
      <c r="BL14" s="208">
        <v>-8639350</v>
      </c>
      <c r="BM14" s="208">
        <v>0</v>
      </c>
      <c r="BN14" s="208">
        <v>-8639350</v>
      </c>
      <c r="BO14" s="208">
        <v>0</v>
      </c>
      <c r="BP14" s="208">
        <v>0</v>
      </c>
      <c r="BQ14" s="208">
        <v>0</v>
      </c>
      <c r="BR14" s="208">
        <v>70517</v>
      </c>
      <c r="BS14" s="208">
        <v>0</v>
      </c>
      <c r="BT14" s="208">
        <v>70517</v>
      </c>
      <c r="BU14" s="208">
        <v>-2683990</v>
      </c>
      <c r="BV14" s="208">
        <v>0</v>
      </c>
      <c r="BW14" s="208">
        <v>-2683990</v>
      </c>
      <c r="BX14" s="208">
        <v>-136045</v>
      </c>
      <c r="BY14" s="208">
        <v>0</v>
      </c>
      <c r="BZ14" s="208">
        <v>-136045</v>
      </c>
      <c r="CA14" s="208">
        <v>-2749518</v>
      </c>
      <c r="CB14" s="208">
        <v>0</v>
      </c>
      <c r="CC14" s="208">
        <v>-2749518</v>
      </c>
      <c r="CD14" s="208">
        <v>-284401</v>
      </c>
      <c r="CE14" s="208">
        <v>0</v>
      </c>
      <c r="CF14" s="208">
        <v>-284401</v>
      </c>
      <c r="CG14" s="208">
        <v>-67177</v>
      </c>
      <c r="CH14" s="208">
        <v>0</v>
      </c>
      <c r="CI14" s="208">
        <v>-67177</v>
      </c>
      <c r="CJ14" s="208">
        <v>0</v>
      </c>
      <c r="CK14" s="208">
        <v>0</v>
      </c>
      <c r="CL14" s="208">
        <v>0</v>
      </c>
      <c r="CM14" s="208">
        <v>7340</v>
      </c>
      <c r="CN14" s="208">
        <v>0</v>
      </c>
      <c r="CO14" s="208">
        <v>7340</v>
      </c>
      <c r="CP14" s="208">
        <v>-6214</v>
      </c>
      <c r="CQ14" s="208">
        <v>0</v>
      </c>
      <c r="CR14" s="208">
        <v>-6214</v>
      </c>
      <c r="CS14" s="208">
        <v>0</v>
      </c>
      <c r="CT14" s="208">
        <v>0</v>
      </c>
      <c r="CU14" s="208">
        <v>0</v>
      </c>
      <c r="CV14" s="208">
        <v>0</v>
      </c>
      <c r="CW14" s="208">
        <v>0</v>
      </c>
      <c r="CX14" s="208">
        <v>0</v>
      </c>
      <c r="CY14" s="208">
        <v>0</v>
      </c>
      <c r="CZ14" s="208">
        <v>0</v>
      </c>
      <c r="DA14" s="208">
        <v>0</v>
      </c>
      <c r="DB14" s="208">
        <v>0</v>
      </c>
      <c r="DC14" s="208">
        <v>0</v>
      </c>
      <c r="DD14" s="208">
        <v>0</v>
      </c>
      <c r="DE14" s="208">
        <v>0</v>
      </c>
      <c r="DF14" s="208">
        <v>0</v>
      </c>
      <c r="DG14" s="208">
        <v>0</v>
      </c>
      <c r="DH14" s="208">
        <v>0</v>
      </c>
      <c r="DI14" s="208">
        <v>0</v>
      </c>
      <c r="DJ14" s="208">
        <v>0</v>
      </c>
      <c r="DK14" s="208">
        <v>-65588</v>
      </c>
      <c r="DL14" s="208">
        <v>0</v>
      </c>
      <c r="DM14" s="208">
        <v>-65588</v>
      </c>
      <c r="DN14" s="208">
        <v>0</v>
      </c>
      <c r="DO14" s="208">
        <v>0</v>
      </c>
      <c r="DP14" s="208">
        <v>-416040</v>
      </c>
      <c r="DQ14" s="208">
        <v>0</v>
      </c>
      <c r="DR14" s="208">
        <v>-416040</v>
      </c>
      <c r="DS14" s="208">
        <v>0</v>
      </c>
      <c r="DT14" s="208">
        <v>0</v>
      </c>
      <c r="DU14" s="208">
        <v>0</v>
      </c>
      <c r="DV14" s="208">
        <v>0</v>
      </c>
      <c r="DW14" s="208">
        <v>0</v>
      </c>
      <c r="DX14" s="208">
        <v>0</v>
      </c>
      <c r="DY14" s="208">
        <v>4727</v>
      </c>
      <c r="DZ14" s="208">
        <v>0</v>
      </c>
      <c r="EA14" s="208">
        <v>4727</v>
      </c>
      <c r="EB14" s="208">
        <v>0</v>
      </c>
      <c r="EC14" s="208">
        <v>0</v>
      </c>
      <c r="ED14" s="208">
        <v>0</v>
      </c>
      <c r="EE14" s="208">
        <v>0</v>
      </c>
      <c r="EF14" s="208">
        <v>0</v>
      </c>
      <c r="EG14" s="208">
        <v>0</v>
      </c>
      <c r="EH14" s="208">
        <v>0</v>
      </c>
      <c r="EI14" s="208">
        <v>0</v>
      </c>
      <c r="EJ14" s="208">
        <v>0</v>
      </c>
      <c r="EK14" s="208">
        <v>0</v>
      </c>
      <c r="EL14" s="208">
        <v>0</v>
      </c>
      <c r="EM14" s="208">
        <v>0</v>
      </c>
      <c r="EN14" s="208">
        <v>0</v>
      </c>
      <c r="EO14" s="208">
        <v>0</v>
      </c>
      <c r="EP14" s="208">
        <v>0</v>
      </c>
      <c r="EQ14" s="208">
        <v>-1500</v>
      </c>
      <c r="ER14" s="208">
        <v>0</v>
      </c>
      <c r="ES14" s="208">
        <v>-1500</v>
      </c>
      <c r="ET14" s="208">
        <v>0</v>
      </c>
      <c r="EU14" s="208">
        <v>0</v>
      </c>
      <c r="EV14" s="208">
        <v>0</v>
      </c>
      <c r="EW14" s="208">
        <v>-29796</v>
      </c>
      <c r="EX14" s="208">
        <v>0</v>
      </c>
      <c r="EY14" s="208">
        <v>-29796</v>
      </c>
      <c r="EZ14" s="208">
        <v>-2435</v>
      </c>
      <c r="FA14" s="208">
        <v>0</v>
      </c>
      <c r="FB14" s="208">
        <v>-2435</v>
      </c>
      <c r="FC14" s="208">
        <v>-197668</v>
      </c>
      <c r="FD14" s="208">
        <v>0</v>
      </c>
      <c r="FE14" s="208">
        <v>-197668</v>
      </c>
      <c r="FF14" s="208">
        <v>8348</v>
      </c>
      <c r="FG14" s="208">
        <v>0</v>
      </c>
      <c r="FH14" s="208">
        <v>8348</v>
      </c>
      <c r="FI14" s="208">
        <v>-5501</v>
      </c>
      <c r="FJ14" s="208">
        <v>0</v>
      </c>
      <c r="FK14" s="208">
        <v>-5501</v>
      </c>
      <c r="FL14" s="208">
        <v>1386</v>
      </c>
      <c r="FM14" s="208">
        <v>0</v>
      </c>
      <c r="FN14" s="208">
        <v>1386</v>
      </c>
      <c r="FO14" s="208">
        <v>0</v>
      </c>
      <c r="FP14" s="208">
        <v>0</v>
      </c>
      <c r="FQ14" s="208">
        <v>0</v>
      </c>
      <c r="FR14" s="208">
        <v>0</v>
      </c>
      <c r="FS14" s="208">
        <v>0</v>
      </c>
      <c r="FT14" s="208">
        <v>0</v>
      </c>
      <c r="FU14" s="208">
        <v>-222439</v>
      </c>
      <c r="FV14" s="208">
        <v>0</v>
      </c>
      <c r="FW14" s="208">
        <v>-222439</v>
      </c>
      <c r="FX14" s="208">
        <v>-24960</v>
      </c>
      <c r="FY14" s="208">
        <v>0</v>
      </c>
      <c r="FZ14" s="208">
        <v>-24960</v>
      </c>
      <c r="GA14" s="208">
        <v>0</v>
      </c>
      <c r="GB14" s="208">
        <v>0</v>
      </c>
      <c r="GC14" s="208">
        <v>0</v>
      </c>
      <c r="GD14" s="208">
        <v>-24960</v>
      </c>
      <c r="GE14" s="208">
        <v>0</v>
      </c>
      <c r="GF14" s="208">
        <v>-24960</v>
      </c>
      <c r="GG14" s="208">
        <v>71983961</v>
      </c>
      <c r="GH14" s="208">
        <v>0</v>
      </c>
      <c r="GI14" s="208">
        <v>71983961</v>
      </c>
      <c r="GJ14" s="208">
        <v>-100289</v>
      </c>
      <c r="GK14" s="208">
        <v>0</v>
      </c>
      <c r="GL14" s="208">
        <v>-100289</v>
      </c>
      <c r="GM14" s="208">
        <v>-8639350</v>
      </c>
      <c r="GN14" s="208">
        <v>0</v>
      </c>
      <c r="GO14" s="208">
        <v>-8639350</v>
      </c>
      <c r="GP14" s="208">
        <v>-2749518</v>
      </c>
      <c r="GQ14" s="208">
        <v>0</v>
      </c>
      <c r="GR14" s="208">
        <v>-2749518</v>
      </c>
      <c r="GS14" s="208">
        <v>-416040</v>
      </c>
      <c r="GT14" s="208">
        <v>0</v>
      </c>
      <c r="GU14" s="208">
        <v>-416040</v>
      </c>
      <c r="GV14" s="208">
        <v>-222439</v>
      </c>
      <c r="GW14" s="208">
        <v>0</v>
      </c>
      <c r="GX14" s="208">
        <v>-222439</v>
      </c>
      <c r="GY14" s="208">
        <v>-24960</v>
      </c>
      <c r="GZ14" s="208">
        <v>0</v>
      </c>
      <c r="HA14" s="208">
        <v>-24960</v>
      </c>
      <c r="HB14" s="208">
        <v>-12152596</v>
      </c>
      <c r="HC14" s="208">
        <v>0</v>
      </c>
      <c r="HD14" s="208">
        <v>-12152596</v>
      </c>
      <c r="HE14" s="208">
        <v>59831365</v>
      </c>
      <c r="HF14" s="208">
        <v>0</v>
      </c>
      <c r="HG14" s="208">
        <v>59831365</v>
      </c>
      <c r="HH14" s="187" t="s">
        <v>1055</v>
      </c>
    </row>
    <row r="15" spans="1:216" s="187" customFormat="1" x14ac:dyDescent="0.2">
      <c r="B15" s="429" t="s">
        <v>109</v>
      </c>
      <c r="C15" s="429" t="s">
        <v>108</v>
      </c>
      <c r="D15" s="208">
        <v>-4178386</v>
      </c>
      <c r="E15" s="208">
        <v>-105585</v>
      </c>
      <c r="F15" s="208">
        <v>-4283971</v>
      </c>
      <c r="G15" s="208">
        <v>509393</v>
      </c>
      <c r="H15" s="208">
        <v>-76405</v>
      </c>
      <c r="I15" s="208">
        <v>432988</v>
      </c>
      <c r="J15" s="208">
        <v>1010986</v>
      </c>
      <c r="K15" s="208">
        <v>2263053</v>
      </c>
      <c r="L15" s="208">
        <v>3274039</v>
      </c>
      <c r="M15" s="208">
        <v>-124266</v>
      </c>
      <c r="N15" s="208">
        <v>-519417</v>
      </c>
      <c r="O15" s="208">
        <v>-643683</v>
      </c>
      <c r="P15" s="208">
        <v>-2782273</v>
      </c>
      <c r="Q15" s="208">
        <v>1561646</v>
      </c>
      <c r="R15" s="208">
        <v>-1220627</v>
      </c>
      <c r="S15" s="208">
        <v>-7223915</v>
      </c>
      <c r="T15" s="208">
        <v>-5400</v>
      </c>
      <c r="U15" s="208">
        <v>-7229315</v>
      </c>
      <c r="V15" s="208">
        <v>0</v>
      </c>
      <c r="W15" s="208">
        <v>0</v>
      </c>
      <c r="X15" s="208">
        <v>0</v>
      </c>
      <c r="Y15" s="208">
        <v>-452399</v>
      </c>
      <c r="Z15" s="208">
        <v>0</v>
      </c>
      <c r="AA15" s="208">
        <v>-452399</v>
      </c>
      <c r="AB15" s="208">
        <v>-165864</v>
      </c>
      <c r="AC15" s="208">
        <v>0</v>
      </c>
      <c r="AD15" s="208">
        <v>-165864</v>
      </c>
      <c r="AE15" s="208">
        <v>-265032</v>
      </c>
      <c r="AF15" s="208">
        <v>0</v>
      </c>
      <c r="AG15" s="208">
        <v>-265032</v>
      </c>
      <c r="AH15" s="208">
        <v>0</v>
      </c>
      <c r="AI15" s="208">
        <v>0</v>
      </c>
      <c r="AJ15" s="208">
        <v>0</v>
      </c>
      <c r="AK15" s="208">
        <v>0</v>
      </c>
      <c r="AL15" s="208">
        <v>0</v>
      </c>
      <c r="AM15" s="208">
        <v>0</v>
      </c>
      <c r="AN15" s="208">
        <v>2156737</v>
      </c>
      <c r="AO15" s="208">
        <v>503668</v>
      </c>
      <c r="AP15" s="208">
        <v>2660405</v>
      </c>
      <c r="AQ15" s="208">
        <v>-99166</v>
      </c>
      <c r="AR15" s="208">
        <v>-65518</v>
      </c>
      <c r="AS15" s="208">
        <v>-164684</v>
      </c>
      <c r="AT15" s="208">
        <v>-13408803</v>
      </c>
      <c r="AU15" s="208">
        <v>0</v>
      </c>
      <c r="AV15" s="208">
        <v>-13408803</v>
      </c>
      <c r="AW15" s="208">
        <v>42989</v>
      </c>
      <c r="AX15" s="208">
        <v>172</v>
      </c>
      <c r="AY15" s="208">
        <v>43161</v>
      </c>
      <c r="AZ15" s="208">
        <v>-212574</v>
      </c>
      <c r="BA15" s="208">
        <v>0</v>
      </c>
      <c r="BB15" s="208">
        <v>-212574</v>
      </c>
      <c r="BC15" s="208">
        <v>0</v>
      </c>
      <c r="BD15" s="208">
        <v>0</v>
      </c>
      <c r="BE15" s="208">
        <v>0</v>
      </c>
      <c r="BF15" s="208">
        <v>0</v>
      </c>
      <c r="BG15" s="208">
        <v>0</v>
      </c>
      <c r="BH15" s="208">
        <v>0</v>
      </c>
      <c r="BI15" s="208">
        <v>0</v>
      </c>
      <c r="BJ15" s="208">
        <v>0</v>
      </c>
      <c r="BK15" s="208">
        <v>0</v>
      </c>
      <c r="BL15" s="208">
        <v>-19197131</v>
      </c>
      <c r="BM15" s="208">
        <v>432922</v>
      </c>
      <c r="BN15" s="208">
        <v>-18764209</v>
      </c>
      <c r="BO15" s="208">
        <v>-11341</v>
      </c>
      <c r="BP15" s="208">
        <v>0</v>
      </c>
      <c r="BQ15" s="208">
        <v>-11341</v>
      </c>
      <c r="BR15" s="208">
        <v>716</v>
      </c>
      <c r="BS15" s="208">
        <v>3563</v>
      </c>
      <c r="BT15" s="208">
        <v>4279</v>
      </c>
      <c r="BU15" s="208">
        <v>-2569066</v>
      </c>
      <c r="BV15" s="208">
        <v>-1620620</v>
      </c>
      <c r="BW15" s="208">
        <v>-4189686</v>
      </c>
      <c r="BX15" s="208">
        <v>132549</v>
      </c>
      <c r="BY15" s="208">
        <v>-111656</v>
      </c>
      <c r="BZ15" s="208">
        <v>20893</v>
      </c>
      <c r="CA15" s="208">
        <v>-2447142</v>
      </c>
      <c r="CB15" s="208">
        <v>-1728713</v>
      </c>
      <c r="CC15" s="208">
        <v>-4175855</v>
      </c>
      <c r="CD15" s="208">
        <v>-346211</v>
      </c>
      <c r="CE15" s="208">
        <v>0</v>
      </c>
      <c r="CF15" s="208">
        <v>-346211</v>
      </c>
      <c r="CG15" s="208">
        <v>-374</v>
      </c>
      <c r="CH15" s="208">
        <v>43</v>
      </c>
      <c r="CI15" s="208">
        <v>-331</v>
      </c>
      <c r="CJ15" s="208">
        <v>-18841</v>
      </c>
      <c r="CK15" s="208">
        <v>0</v>
      </c>
      <c r="CL15" s="208">
        <v>-18841</v>
      </c>
      <c r="CM15" s="208">
        <v>0</v>
      </c>
      <c r="CN15" s="208">
        <v>0</v>
      </c>
      <c r="CO15" s="208">
        <v>0</v>
      </c>
      <c r="CP15" s="208">
        <v>-3648</v>
      </c>
      <c r="CQ15" s="208">
        <v>0</v>
      </c>
      <c r="CR15" s="208">
        <v>-3648</v>
      </c>
      <c r="CS15" s="208">
        <v>0</v>
      </c>
      <c r="CT15" s="208">
        <v>0</v>
      </c>
      <c r="CU15" s="208">
        <v>0</v>
      </c>
      <c r="CV15" s="208">
        <v>0</v>
      </c>
      <c r="CW15" s="208">
        <v>0</v>
      </c>
      <c r="CX15" s="208">
        <v>0</v>
      </c>
      <c r="CY15" s="208">
        <v>0</v>
      </c>
      <c r="CZ15" s="208">
        <v>0</v>
      </c>
      <c r="DA15" s="208">
        <v>0</v>
      </c>
      <c r="DB15" s="208">
        <v>0</v>
      </c>
      <c r="DC15" s="208">
        <v>0</v>
      </c>
      <c r="DD15" s="208">
        <v>0</v>
      </c>
      <c r="DE15" s="208">
        <v>0</v>
      </c>
      <c r="DF15" s="208">
        <v>0</v>
      </c>
      <c r="DG15" s="208">
        <v>0</v>
      </c>
      <c r="DH15" s="208">
        <v>0</v>
      </c>
      <c r="DI15" s="208">
        <v>0</v>
      </c>
      <c r="DJ15" s="208">
        <v>0</v>
      </c>
      <c r="DK15" s="208">
        <v>0</v>
      </c>
      <c r="DL15" s="208">
        <v>0</v>
      </c>
      <c r="DM15" s="208">
        <v>0</v>
      </c>
      <c r="DN15" s="208">
        <v>0</v>
      </c>
      <c r="DO15" s="208">
        <v>0</v>
      </c>
      <c r="DP15" s="208">
        <v>-369074</v>
      </c>
      <c r="DQ15" s="208">
        <v>43</v>
      </c>
      <c r="DR15" s="208">
        <v>-369031</v>
      </c>
      <c r="DS15" s="208">
        <v>0</v>
      </c>
      <c r="DT15" s="208">
        <v>0</v>
      </c>
      <c r="DU15" s="208">
        <v>0</v>
      </c>
      <c r="DV15" s="208">
        <v>-1064</v>
      </c>
      <c r="DW15" s="208">
        <v>0</v>
      </c>
      <c r="DX15" s="208">
        <v>-1064</v>
      </c>
      <c r="DY15" s="208">
        <v>4381</v>
      </c>
      <c r="DZ15" s="208">
        <v>0</v>
      </c>
      <c r="EA15" s="208">
        <v>4381</v>
      </c>
      <c r="EB15" s="208">
        <v>0</v>
      </c>
      <c r="EC15" s="208">
        <v>0</v>
      </c>
      <c r="ED15" s="208">
        <v>0</v>
      </c>
      <c r="EE15" s="208">
        <v>0</v>
      </c>
      <c r="EF15" s="208">
        <v>0</v>
      </c>
      <c r="EG15" s="208">
        <v>0</v>
      </c>
      <c r="EH15" s="208">
        <v>-73</v>
      </c>
      <c r="EI15" s="208">
        <v>0</v>
      </c>
      <c r="EJ15" s="208">
        <v>-73</v>
      </c>
      <c r="EK15" s="208">
        <v>0</v>
      </c>
      <c r="EL15" s="208">
        <v>0</v>
      </c>
      <c r="EM15" s="208">
        <v>0</v>
      </c>
      <c r="EN15" s="208">
        <v>0</v>
      </c>
      <c r="EO15" s="208">
        <v>0</v>
      </c>
      <c r="EP15" s="208">
        <v>0</v>
      </c>
      <c r="EQ15" s="208">
        <v>0</v>
      </c>
      <c r="ER15" s="208">
        <v>0</v>
      </c>
      <c r="ES15" s="208">
        <v>0</v>
      </c>
      <c r="ET15" s="208">
        <v>0</v>
      </c>
      <c r="EU15" s="208">
        <v>0</v>
      </c>
      <c r="EV15" s="208">
        <v>0</v>
      </c>
      <c r="EW15" s="208">
        <v>-136155</v>
      </c>
      <c r="EX15" s="208">
        <v>0</v>
      </c>
      <c r="EY15" s="208">
        <v>-136155</v>
      </c>
      <c r="EZ15" s="208">
        <v>6619</v>
      </c>
      <c r="FA15" s="208">
        <v>0</v>
      </c>
      <c r="FB15" s="208">
        <v>6619</v>
      </c>
      <c r="FC15" s="208">
        <v>-625831</v>
      </c>
      <c r="FD15" s="208">
        <v>-4469</v>
      </c>
      <c r="FE15" s="208">
        <v>-630300</v>
      </c>
      <c r="FF15" s="208">
        <v>19853</v>
      </c>
      <c r="FG15" s="208">
        <v>0</v>
      </c>
      <c r="FH15" s="208">
        <v>19853</v>
      </c>
      <c r="FI15" s="208">
        <v>-23358</v>
      </c>
      <c r="FJ15" s="208">
        <v>0</v>
      </c>
      <c r="FK15" s="208">
        <v>-23358</v>
      </c>
      <c r="FL15" s="208">
        <v>-1912</v>
      </c>
      <c r="FM15" s="208">
        <v>0</v>
      </c>
      <c r="FN15" s="208">
        <v>-1912</v>
      </c>
      <c r="FO15" s="208">
        <v>0</v>
      </c>
      <c r="FP15" s="208">
        <v>0</v>
      </c>
      <c r="FQ15" s="208">
        <v>0</v>
      </c>
      <c r="FR15" s="208">
        <v>0</v>
      </c>
      <c r="FS15" s="208">
        <v>0</v>
      </c>
      <c r="FT15" s="208">
        <v>0</v>
      </c>
      <c r="FU15" s="208">
        <v>-757540</v>
      </c>
      <c r="FV15" s="208">
        <v>-4469</v>
      </c>
      <c r="FW15" s="208">
        <v>-762009</v>
      </c>
      <c r="FX15" s="208">
        <v>0</v>
      </c>
      <c r="FY15" s="208">
        <v>0</v>
      </c>
      <c r="FZ15" s="208">
        <v>0</v>
      </c>
      <c r="GA15" s="208">
        <v>0</v>
      </c>
      <c r="GB15" s="208">
        <v>0</v>
      </c>
      <c r="GC15" s="208">
        <v>0</v>
      </c>
      <c r="GD15" s="208">
        <v>0</v>
      </c>
      <c r="GE15" s="208">
        <v>0</v>
      </c>
      <c r="GF15" s="208">
        <v>0</v>
      </c>
      <c r="GG15" s="208">
        <v>116894310</v>
      </c>
      <c r="GH15" s="208">
        <v>17772463</v>
      </c>
      <c r="GI15" s="208">
        <v>134666773</v>
      </c>
      <c r="GJ15" s="208">
        <v>-2782273</v>
      </c>
      <c r="GK15" s="208">
        <v>1561646</v>
      </c>
      <c r="GL15" s="208">
        <v>-1220627</v>
      </c>
      <c r="GM15" s="208">
        <v>-19197131</v>
      </c>
      <c r="GN15" s="208">
        <v>432922</v>
      </c>
      <c r="GO15" s="208">
        <v>-18764209</v>
      </c>
      <c r="GP15" s="208">
        <v>-2447142</v>
      </c>
      <c r="GQ15" s="208">
        <v>-1728713</v>
      </c>
      <c r="GR15" s="208">
        <v>-4175855</v>
      </c>
      <c r="GS15" s="208">
        <v>-369074</v>
      </c>
      <c r="GT15" s="208">
        <v>43</v>
      </c>
      <c r="GU15" s="208">
        <v>-369031</v>
      </c>
      <c r="GV15" s="208">
        <v>-757540</v>
      </c>
      <c r="GW15" s="208">
        <v>-4469</v>
      </c>
      <c r="GX15" s="208">
        <v>-762009</v>
      </c>
      <c r="GY15" s="208">
        <v>0</v>
      </c>
      <c r="GZ15" s="208">
        <v>0</v>
      </c>
      <c r="HA15" s="208">
        <v>0</v>
      </c>
      <c r="HB15" s="208">
        <v>-25553160</v>
      </c>
      <c r="HC15" s="208">
        <v>261429</v>
      </c>
      <c r="HD15" s="208">
        <v>-25291731</v>
      </c>
      <c r="HE15" s="208">
        <v>91341150</v>
      </c>
      <c r="HF15" s="208">
        <v>18033892</v>
      </c>
      <c r="HG15" s="208">
        <v>109375042</v>
      </c>
      <c r="HH15" s="187" t="s">
        <v>1055</v>
      </c>
    </row>
    <row r="16" spans="1:216" s="187" customFormat="1" x14ac:dyDescent="0.2">
      <c r="B16" s="429" t="s">
        <v>111</v>
      </c>
      <c r="C16" s="429" t="s">
        <v>110</v>
      </c>
      <c r="D16" s="208">
        <v>-935666</v>
      </c>
      <c r="E16" s="208">
        <v>-9037</v>
      </c>
      <c r="F16" s="208">
        <v>-944703</v>
      </c>
      <c r="G16" s="208">
        <v>17223</v>
      </c>
      <c r="H16" s="208">
        <v>0</v>
      </c>
      <c r="I16" s="208">
        <v>17223</v>
      </c>
      <c r="J16" s="208">
        <v>2693814</v>
      </c>
      <c r="K16" s="208">
        <v>0</v>
      </c>
      <c r="L16" s="208">
        <v>2693814</v>
      </c>
      <c r="M16" s="208">
        <v>108378</v>
      </c>
      <c r="N16" s="208">
        <v>0</v>
      </c>
      <c r="O16" s="208">
        <v>108378</v>
      </c>
      <c r="P16" s="208">
        <v>1883749</v>
      </c>
      <c r="Q16" s="208">
        <v>-9037</v>
      </c>
      <c r="R16" s="208">
        <v>1874712</v>
      </c>
      <c r="S16" s="208">
        <v>-7325790</v>
      </c>
      <c r="T16" s="208">
        <v>-264</v>
      </c>
      <c r="U16" s="208">
        <v>-7326054</v>
      </c>
      <c r="V16" s="208">
        <v>0</v>
      </c>
      <c r="W16" s="208">
        <v>0</v>
      </c>
      <c r="X16" s="208">
        <v>0</v>
      </c>
      <c r="Y16" s="208">
        <v>-88587</v>
      </c>
      <c r="Z16" s="208">
        <v>-756</v>
      </c>
      <c r="AA16" s="208">
        <v>-89343</v>
      </c>
      <c r="AB16" s="208">
        <v>106800</v>
      </c>
      <c r="AC16" s="208">
        <v>-517</v>
      </c>
      <c r="AD16" s="208">
        <v>106283</v>
      </c>
      <c r="AE16" s="208">
        <v>-195387</v>
      </c>
      <c r="AF16" s="208">
        <v>-239</v>
      </c>
      <c r="AG16" s="208">
        <v>-195626</v>
      </c>
      <c r="AH16" s="208">
        <v>0</v>
      </c>
      <c r="AI16" s="208">
        <v>0</v>
      </c>
      <c r="AJ16" s="208">
        <v>0</v>
      </c>
      <c r="AK16" s="208">
        <v>0</v>
      </c>
      <c r="AL16" s="208">
        <v>0</v>
      </c>
      <c r="AM16" s="208">
        <v>0</v>
      </c>
      <c r="AN16" s="208">
        <v>1189927</v>
      </c>
      <c r="AO16" s="208">
        <v>21138</v>
      </c>
      <c r="AP16" s="208">
        <v>1211065</v>
      </c>
      <c r="AQ16" s="208">
        <v>-8495</v>
      </c>
      <c r="AR16" s="208">
        <v>-15</v>
      </c>
      <c r="AS16" s="208">
        <v>-8510</v>
      </c>
      <c r="AT16" s="208">
        <v>-4974964</v>
      </c>
      <c r="AU16" s="208">
        <v>0</v>
      </c>
      <c r="AV16" s="208">
        <v>-4974964</v>
      </c>
      <c r="AW16" s="208">
        <v>857</v>
      </c>
      <c r="AX16" s="208">
        <v>0</v>
      </c>
      <c r="AY16" s="208">
        <v>857</v>
      </c>
      <c r="AZ16" s="208">
        <v>0</v>
      </c>
      <c r="BA16" s="208">
        <v>0</v>
      </c>
      <c r="BB16" s="208">
        <v>0</v>
      </c>
      <c r="BC16" s="208">
        <v>0</v>
      </c>
      <c r="BD16" s="208">
        <v>0</v>
      </c>
      <c r="BE16" s="208">
        <v>0</v>
      </c>
      <c r="BF16" s="208">
        <v>-3453</v>
      </c>
      <c r="BG16" s="208">
        <v>0</v>
      </c>
      <c r="BH16" s="208">
        <v>-3453</v>
      </c>
      <c r="BI16" s="208">
        <v>0</v>
      </c>
      <c r="BJ16" s="208">
        <v>0</v>
      </c>
      <c r="BK16" s="208">
        <v>0</v>
      </c>
      <c r="BL16" s="208">
        <v>-11210505</v>
      </c>
      <c r="BM16" s="208">
        <v>20103</v>
      </c>
      <c r="BN16" s="208">
        <v>-11190402</v>
      </c>
      <c r="BO16" s="208">
        <v>-38295</v>
      </c>
      <c r="BP16" s="208">
        <v>0</v>
      </c>
      <c r="BQ16" s="208">
        <v>-38295</v>
      </c>
      <c r="BR16" s="208">
        <v>12109</v>
      </c>
      <c r="BS16" s="208">
        <v>0</v>
      </c>
      <c r="BT16" s="208">
        <v>12109</v>
      </c>
      <c r="BU16" s="208">
        <v>-2163199</v>
      </c>
      <c r="BV16" s="208">
        <v>-10641</v>
      </c>
      <c r="BW16" s="208">
        <v>-2173840</v>
      </c>
      <c r="BX16" s="208">
        <v>-99652</v>
      </c>
      <c r="BY16" s="208">
        <v>1197</v>
      </c>
      <c r="BZ16" s="208">
        <v>-98455</v>
      </c>
      <c r="CA16" s="208">
        <v>-2289037</v>
      </c>
      <c r="CB16" s="208">
        <v>-9444</v>
      </c>
      <c r="CC16" s="208">
        <v>-2298481</v>
      </c>
      <c r="CD16" s="208">
        <v>-70559</v>
      </c>
      <c r="CE16" s="208">
        <v>0</v>
      </c>
      <c r="CF16" s="208">
        <v>-70559</v>
      </c>
      <c r="CG16" s="208">
        <v>484</v>
      </c>
      <c r="CH16" s="208">
        <v>0</v>
      </c>
      <c r="CI16" s="208">
        <v>484</v>
      </c>
      <c r="CJ16" s="208">
        <v>-69947</v>
      </c>
      <c r="CK16" s="208">
        <v>0</v>
      </c>
      <c r="CL16" s="208">
        <v>-69947</v>
      </c>
      <c r="CM16" s="208">
        <v>-10329</v>
      </c>
      <c r="CN16" s="208">
        <v>0</v>
      </c>
      <c r="CO16" s="208">
        <v>-10329</v>
      </c>
      <c r="CP16" s="208">
        <v>0</v>
      </c>
      <c r="CQ16" s="208">
        <v>0</v>
      </c>
      <c r="CR16" s="208">
        <v>0</v>
      </c>
      <c r="CS16" s="208">
        <v>0</v>
      </c>
      <c r="CT16" s="208">
        <v>0</v>
      </c>
      <c r="CU16" s="208">
        <v>0</v>
      </c>
      <c r="CV16" s="208">
        <v>-407</v>
      </c>
      <c r="CW16" s="208">
        <v>0</v>
      </c>
      <c r="CX16" s="208">
        <v>-407</v>
      </c>
      <c r="CY16" s="208">
        <v>0</v>
      </c>
      <c r="CZ16" s="208">
        <v>0</v>
      </c>
      <c r="DA16" s="208">
        <v>0</v>
      </c>
      <c r="DB16" s="208">
        <v>0</v>
      </c>
      <c r="DC16" s="208">
        <v>0</v>
      </c>
      <c r="DD16" s="208">
        <v>0</v>
      </c>
      <c r="DE16" s="208">
        <v>0</v>
      </c>
      <c r="DF16" s="208">
        <v>0</v>
      </c>
      <c r="DG16" s="208">
        <v>0</v>
      </c>
      <c r="DH16" s="208">
        <v>-11831</v>
      </c>
      <c r="DI16" s="208">
        <v>-268513</v>
      </c>
      <c r="DJ16" s="208">
        <v>-280344</v>
      </c>
      <c r="DK16" s="208">
        <v>-671</v>
      </c>
      <c r="DL16" s="208">
        <v>-732</v>
      </c>
      <c r="DM16" s="208">
        <v>-1403</v>
      </c>
      <c r="DN16" s="208">
        <v>-269245</v>
      </c>
      <c r="DO16" s="208">
        <v>0</v>
      </c>
      <c r="DP16" s="208">
        <v>-163260</v>
      </c>
      <c r="DQ16" s="208">
        <v>-269245</v>
      </c>
      <c r="DR16" s="208">
        <v>-432505</v>
      </c>
      <c r="DS16" s="208">
        <v>0</v>
      </c>
      <c r="DT16" s="208">
        <v>0</v>
      </c>
      <c r="DU16" s="208">
        <v>0</v>
      </c>
      <c r="DV16" s="208">
        <v>0</v>
      </c>
      <c r="DW16" s="208">
        <v>0</v>
      </c>
      <c r="DX16" s="208">
        <v>0</v>
      </c>
      <c r="DY16" s="208">
        <v>0</v>
      </c>
      <c r="DZ16" s="208">
        <v>0</v>
      </c>
      <c r="EA16" s="208">
        <v>0</v>
      </c>
      <c r="EB16" s="208">
        <v>0</v>
      </c>
      <c r="EC16" s="208">
        <v>0</v>
      </c>
      <c r="ED16" s="208">
        <v>0</v>
      </c>
      <c r="EE16" s="208">
        <v>0</v>
      </c>
      <c r="EF16" s="208">
        <v>0</v>
      </c>
      <c r="EG16" s="208">
        <v>0</v>
      </c>
      <c r="EH16" s="208">
        <v>0</v>
      </c>
      <c r="EI16" s="208">
        <v>0</v>
      </c>
      <c r="EJ16" s="208">
        <v>0</v>
      </c>
      <c r="EK16" s="208">
        <v>-3047</v>
      </c>
      <c r="EL16" s="208">
        <v>0</v>
      </c>
      <c r="EM16" s="208">
        <v>-3047</v>
      </c>
      <c r="EN16" s="208">
        <v>0</v>
      </c>
      <c r="EO16" s="208">
        <v>0</v>
      </c>
      <c r="EP16" s="208">
        <v>0</v>
      </c>
      <c r="EQ16" s="208">
        <v>-1500</v>
      </c>
      <c r="ER16" s="208">
        <v>0</v>
      </c>
      <c r="ES16" s="208">
        <v>-1500</v>
      </c>
      <c r="ET16" s="208">
        <v>0</v>
      </c>
      <c r="EU16" s="208">
        <v>0</v>
      </c>
      <c r="EV16" s="208">
        <v>0</v>
      </c>
      <c r="EW16" s="208">
        <v>-17123</v>
      </c>
      <c r="EX16" s="208">
        <v>0</v>
      </c>
      <c r="EY16" s="208">
        <v>-17123</v>
      </c>
      <c r="EZ16" s="208">
        <v>0</v>
      </c>
      <c r="FA16" s="208">
        <v>0</v>
      </c>
      <c r="FB16" s="208">
        <v>0</v>
      </c>
      <c r="FC16" s="208">
        <v>-134219</v>
      </c>
      <c r="FD16" s="208">
        <v>0</v>
      </c>
      <c r="FE16" s="208">
        <v>-134219</v>
      </c>
      <c r="FF16" s="208">
        <v>12790</v>
      </c>
      <c r="FG16" s="208">
        <v>6</v>
      </c>
      <c r="FH16" s="208">
        <v>12796</v>
      </c>
      <c r="FI16" s="208">
        <v>-93801</v>
      </c>
      <c r="FJ16" s="208">
        <v>0</v>
      </c>
      <c r="FK16" s="208">
        <v>-93801</v>
      </c>
      <c r="FL16" s="208">
        <v>3934</v>
      </c>
      <c r="FM16" s="208">
        <v>0</v>
      </c>
      <c r="FN16" s="208">
        <v>3934</v>
      </c>
      <c r="FO16" s="208">
        <v>0</v>
      </c>
      <c r="FP16" s="208">
        <v>0</v>
      </c>
      <c r="FQ16" s="208">
        <v>0</v>
      </c>
      <c r="FR16" s="208">
        <v>0</v>
      </c>
      <c r="FS16" s="208">
        <v>0</v>
      </c>
      <c r="FT16" s="208">
        <v>0</v>
      </c>
      <c r="FU16" s="208">
        <v>-232966</v>
      </c>
      <c r="FV16" s="208">
        <v>6</v>
      </c>
      <c r="FW16" s="208">
        <v>-232960</v>
      </c>
      <c r="FX16" s="208">
        <v>0</v>
      </c>
      <c r="FY16" s="208">
        <v>-47389</v>
      </c>
      <c r="FZ16" s="208">
        <v>-47389</v>
      </c>
      <c r="GA16" s="208">
        <v>0</v>
      </c>
      <c r="GB16" s="208">
        <v>0</v>
      </c>
      <c r="GC16" s="208">
        <v>0</v>
      </c>
      <c r="GD16" s="208">
        <v>0</v>
      </c>
      <c r="GE16" s="208">
        <v>-47389</v>
      </c>
      <c r="GF16" s="208">
        <v>-47389</v>
      </c>
      <c r="GG16" s="208">
        <v>65855609</v>
      </c>
      <c r="GH16" s="208">
        <v>915004</v>
      </c>
      <c r="GI16" s="208">
        <v>66770613</v>
      </c>
      <c r="GJ16" s="208">
        <v>1883749</v>
      </c>
      <c r="GK16" s="208">
        <v>-9037</v>
      </c>
      <c r="GL16" s="208">
        <v>1874712</v>
      </c>
      <c r="GM16" s="208">
        <v>-11210505</v>
      </c>
      <c r="GN16" s="208">
        <v>20103</v>
      </c>
      <c r="GO16" s="208">
        <v>-11190402</v>
      </c>
      <c r="GP16" s="208">
        <v>-2289037</v>
      </c>
      <c r="GQ16" s="208">
        <v>-9444</v>
      </c>
      <c r="GR16" s="208">
        <v>-2298481</v>
      </c>
      <c r="GS16" s="208">
        <v>-163260</v>
      </c>
      <c r="GT16" s="208">
        <v>-269245</v>
      </c>
      <c r="GU16" s="208">
        <v>-432505</v>
      </c>
      <c r="GV16" s="208">
        <v>-232966</v>
      </c>
      <c r="GW16" s="208">
        <v>6</v>
      </c>
      <c r="GX16" s="208">
        <v>-232960</v>
      </c>
      <c r="GY16" s="208">
        <v>0</v>
      </c>
      <c r="GZ16" s="208">
        <v>-47389</v>
      </c>
      <c r="HA16" s="208">
        <v>-47389</v>
      </c>
      <c r="HB16" s="208">
        <v>-12012019</v>
      </c>
      <c r="HC16" s="208">
        <v>-315006</v>
      </c>
      <c r="HD16" s="208">
        <v>-12327025</v>
      </c>
      <c r="HE16" s="208">
        <v>53843590</v>
      </c>
      <c r="HF16" s="208">
        <v>599998</v>
      </c>
      <c r="HG16" s="208">
        <v>54443588</v>
      </c>
      <c r="HH16" s="187" t="s">
        <v>1056</v>
      </c>
    </row>
    <row r="17" spans="2:216" s="187" customFormat="1" x14ac:dyDescent="0.2">
      <c r="B17" s="429" t="s">
        <v>113</v>
      </c>
      <c r="C17" s="429" t="s">
        <v>112</v>
      </c>
      <c r="D17" s="208">
        <v>-323918</v>
      </c>
      <c r="E17" s="208">
        <v>0</v>
      </c>
      <c r="F17" s="208">
        <v>-323918</v>
      </c>
      <c r="G17" s="208">
        <v>27609</v>
      </c>
      <c r="H17" s="208">
        <v>0</v>
      </c>
      <c r="I17" s="208">
        <v>27609</v>
      </c>
      <c r="J17" s="208">
        <v>2588182</v>
      </c>
      <c r="K17" s="208">
        <v>0</v>
      </c>
      <c r="L17" s="208">
        <v>2588182</v>
      </c>
      <c r="M17" s="208">
        <v>37878</v>
      </c>
      <c r="N17" s="208">
        <v>0</v>
      </c>
      <c r="O17" s="208">
        <v>37878</v>
      </c>
      <c r="P17" s="208">
        <v>2329751</v>
      </c>
      <c r="Q17" s="208">
        <v>0</v>
      </c>
      <c r="R17" s="208">
        <v>2329751</v>
      </c>
      <c r="S17" s="208">
        <v>-2159572</v>
      </c>
      <c r="T17" s="208">
        <v>0</v>
      </c>
      <c r="U17" s="208">
        <v>-2159572</v>
      </c>
      <c r="V17" s="208">
        <v>-258</v>
      </c>
      <c r="W17" s="208">
        <v>0</v>
      </c>
      <c r="X17" s="208">
        <v>-258</v>
      </c>
      <c r="Y17" s="208">
        <v>-92465</v>
      </c>
      <c r="Z17" s="208">
        <v>0</v>
      </c>
      <c r="AA17" s="208">
        <v>-92465</v>
      </c>
      <c r="AB17" s="208">
        <v>-25204</v>
      </c>
      <c r="AC17" s="208">
        <v>0</v>
      </c>
      <c r="AD17" s="208">
        <v>-25204</v>
      </c>
      <c r="AE17" s="208">
        <v>-67079</v>
      </c>
      <c r="AF17" s="208">
        <v>0</v>
      </c>
      <c r="AG17" s="208">
        <v>-67079</v>
      </c>
      <c r="AH17" s="208">
        <v>0</v>
      </c>
      <c r="AI17" s="208">
        <v>0</v>
      </c>
      <c r="AJ17" s="208">
        <v>0</v>
      </c>
      <c r="AK17" s="208">
        <v>-182</v>
      </c>
      <c r="AL17" s="208">
        <v>0</v>
      </c>
      <c r="AM17" s="208">
        <v>-182</v>
      </c>
      <c r="AN17" s="208">
        <v>502064</v>
      </c>
      <c r="AO17" s="208">
        <v>0</v>
      </c>
      <c r="AP17" s="208">
        <v>502064</v>
      </c>
      <c r="AQ17" s="208">
        <v>-98798</v>
      </c>
      <c r="AR17" s="208">
        <v>0</v>
      </c>
      <c r="AS17" s="208">
        <v>-98798</v>
      </c>
      <c r="AT17" s="208">
        <v>-1804583</v>
      </c>
      <c r="AU17" s="208">
        <v>0</v>
      </c>
      <c r="AV17" s="208">
        <v>-1804583</v>
      </c>
      <c r="AW17" s="208">
        <v>8132</v>
      </c>
      <c r="AX17" s="208">
        <v>0</v>
      </c>
      <c r="AY17" s="208">
        <v>8132</v>
      </c>
      <c r="AZ17" s="208">
        <v>-94670</v>
      </c>
      <c r="BA17" s="208">
        <v>0</v>
      </c>
      <c r="BB17" s="208">
        <v>-94670</v>
      </c>
      <c r="BC17" s="208">
        <v>0</v>
      </c>
      <c r="BD17" s="208">
        <v>0</v>
      </c>
      <c r="BE17" s="208">
        <v>0</v>
      </c>
      <c r="BF17" s="208">
        <v>0</v>
      </c>
      <c r="BG17" s="208">
        <v>0</v>
      </c>
      <c r="BH17" s="208">
        <v>0</v>
      </c>
      <c r="BI17" s="208">
        <v>0</v>
      </c>
      <c r="BJ17" s="208">
        <v>0</v>
      </c>
      <c r="BK17" s="208">
        <v>0</v>
      </c>
      <c r="BL17" s="208">
        <v>-3739892</v>
      </c>
      <c r="BM17" s="208">
        <v>0</v>
      </c>
      <c r="BN17" s="208">
        <v>-3739892</v>
      </c>
      <c r="BO17" s="208">
        <v>0</v>
      </c>
      <c r="BP17" s="208">
        <v>0</v>
      </c>
      <c r="BQ17" s="208">
        <v>0</v>
      </c>
      <c r="BR17" s="208">
        <v>-16924</v>
      </c>
      <c r="BS17" s="208">
        <v>0</v>
      </c>
      <c r="BT17" s="208">
        <v>-16924</v>
      </c>
      <c r="BU17" s="208">
        <v>-538635</v>
      </c>
      <c r="BV17" s="208">
        <v>0</v>
      </c>
      <c r="BW17" s="208">
        <v>-538635</v>
      </c>
      <c r="BX17" s="208">
        <v>-69633</v>
      </c>
      <c r="BY17" s="208">
        <v>0</v>
      </c>
      <c r="BZ17" s="208">
        <v>-69633</v>
      </c>
      <c r="CA17" s="208">
        <v>-625192</v>
      </c>
      <c r="CB17" s="208">
        <v>0</v>
      </c>
      <c r="CC17" s="208">
        <v>-625192</v>
      </c>
      <c r="CD17" s="208">
        <v>0</v>
      </c>
      <c r="CE17" s="208">
        <v>0</v>
      </c>
      <c r="CF17" s="208">
        <v>0</v>
      </c>
      <c r="CG17" s="208">
        <v>0</v>
      </c>
      <c r="CH17" s="208">
        <v>0</v>
      </c>
      <c r="CI17" s="208">
        <v>0</v>
      </c>
      <c r="CJ17" s="208">
        <v>0</v>
      </c>
      <c r="CK17" s="208">
        <v>0</v>
      </c>
      <c r="CL17" s="208">
        <v>0</v>
      </c>
      <c r="CM17" s="208">
        <v>0</v>
      </c>
      <c r="CN17" s="208">
        <v>0</v>
      </c>
      <c r="CO17" s="208">
        <v>0</v>
      </c>
      <c r="CP17" s="208">
        <v>0</v>
      </c>
      <c r="CQ17" s="208">
        <v>0</v>
      </c>
      <c r="CR17" s="208">
        <v>0</v>
      </c>
      <c r="CS17" s="208">
        <v>0</v>
      </c>
      <c r="CT17" s="208">
        <v>0</v>
      </c>
      <c r="CU17" s="208">
        <v>0</v>
      </c>
      <c r="CV17" s="208">
        <v>0</v>
      </c>
      <c r="CW17" s="208">
        <v>0</v>
      </c>
      <c r="CX17" s="208">
        <v>0</v>
      </c>
      <c r="CY17" s="208">
        <v>0</v>
      </c>
      <c r="CZ17" s="208">
        <v>0</v>
      </c>
      <c r="DA17" s="208">
        <v>0</v>
      </c>
      <c r="DB17" s="208">
        <v>0</v>
      </c>
      <c r="DC17" s="208">
        <v>0</v>
      </c>
      <c r="DD17" s="208">
        <v>0</v>
      </c>
      <c r="DE17" s="208">
        <v>0</v>
      </c>
      <c r="DF17" s="208">
        <v>0</v>
      </c>
      <c r="DG17" s="208">
        <v>0</v>
      </c>
      <c r="DH17" s="208">
        <v>0</v>
      </c>
      <c r="DI17" s="208">
        <v>0</v>
      </c>
      <c r="DJ17" s="208">
        <v>0</v>
      </c>
      <c r="DK17" s="208">
        <v>0</v>
      </c>
      <c r="DL17" s="208">
        <v>0</v>
      </c>
      <c r="DM17" s="208">
        <v>0</v>
      </c>
      <c r="DN17" s="208">
        <v>0</v>
      </c>
      <c r="DO17" s="208">
        <v>0</v>
      </c>
      <c r="DP17" s="208">
        <v>0</v>
      </c>
      <c r="DQ17" s="208">
        <v>0</v>
      </c>
      <c r="DR17" s="208">
        <v>0</v>
      </c>
      <c r="DS17" s="208">
        <v>0</v>
      </c>
      <c r="DT17" s="208">
        <v>0</v>
      </c>
      <c r="DU17" s="208">
        <v>0</v>
      </c>
      <c r="DV17" s="208">
        <v>-5812</v>
      </c>
      <c r="DW17" s="208">
        <v>0</v>
      </c>
      <c r="DX17" s="208">
        <v>-5812</v>
      </c>
      <c r="DY17" s="208">
        <v>3475</v>
      </c>
      <c r="DZ17" s="208">
        <v>0</v>
      </c>
      <c r="EA17" s="208">
        <v>3475</v>
      </c>
      <c r="EB17" s="208">
        <v>0</v>
      </c>
      <c r="EC17" s="208">
        <v>0</v>
      </c>
      <c r="ED17" s="208">
        <v>0</v>
      </c>
      <c r="EE17" s="208">
        <v>0</v>
      </c>
      <c r="EF17" s="208">
        <v>0</v>
      </c>
      <c r="EG17" s="208">
        <v>0</v>
      </c>
      <c r="EH17" s="208">
        <v>0</v>
      </c>
      <c r="EI17" s="208">
        <v>0</v>
      </c>
      <c r="EJ17" s="208">
        <v>0</v>
      </c>
      <c r="EK17" s="208">
        <v>0</v>
      </c>
      <c r="EL17" s="208">
        <v>0</v>
      </c>
      <c r="EM17" s="208">
        <v>0</v>
      </c>
      <c r="EN17" s="208">
        <v>0</v>
      </c>
      <c r="EO17" s="208">
        <v>0</v>
      </c>
      <c r="EP17" s="208">
        <v>0</v>
      </c>
      <c r="EQ17" s="208">
        <v>-1500</v>
      </c>
      <c r="ER17" s="208">
        <v>0</v>
      </c>
      <c r="ES17" s="208">
        <v>-1500</v>
      </c>
      <c r="ET17" s="208">
        <v>0</v>
      </c>
      <c r="EU17" s="208">
        <v>0</v>
      </c>
      <c r="EV17" s="208">
        <v>0</v>
      </c>
      <c r="EW17" s="208">
        <v>-2662</v>
      </c>
      <c r="EX17" s="208">
        <v>0</v>
      </c>
      <c r="EY17" s="208">
        <v>-2662</v>
      </c>
      <c r="EZ17" s="208">
        <v>0</v>
      </c>
      <c r="FA17" s="208">
        <v>0</v>
      </c>
      <c r="FB17" s="208">
        <v>0</v>
      </c>
      <c r="FC17" s="208">
        <v>-31437</v>
      </c>
      <c r="FD17" s="208">
        <v>0</v>
      </c>
      <c r="FE17" s="208">
        <v>-31437</v>
      </c>
      <c r="FF17" s="208">
        <v>-18597</v>
      </c>
      <c r="FG17" s="208">
        <v>0</v>
      </c>
      <c r="FH17" s="208">
        <v>-18597</v>
      </c>
      <c r="FI17" s="208">
        <v>-25595</v>
      </c>
      <c r="FJ17" s="208">
        <v>0</v>
      </c>
      <c r="FK17" s="208">
        <v>-25595</v>
      </c>
      <c r="FL17" s="208">
        <v>1594</v>
      </c>
      <c r="FM17" s="208">
        <v>0</v>
      </c>
      <c r="FN17" s="208">
        <v>1594</v>
      </c>
      <c r="FO17" s="208">
        <v>0</v>
      </c>
      <c r="FP17" s="208">
        <v>0</v>
      </c>
      <c r="FQ17" s="208">
        <v>0</v>
      </c>
      <c r="FR17" s="208">
        <v>0</v>
      </c>
      <c r="FS17" s="208">
        <v>0</v>
      </c>
      <c r="FT17" s="208">
        <v>0</v>
      </c>
      <c r="FU17" s="208">
        <v>-80534</v>
      </c>
      <c r="FV17" s="208">
        <v>0</v>
      </c>
      <c r="FW17" s="208">
        <v>-80534</v>
      </c>
      <c r="FX17" s="208">
        <v>0</v>
      </c>
      <c r="FY17" s="208">
        <v>0</v>
      </c>
      <c r="FZ17" s="208">
        <v>0</v>
      </c>
      <c r="GA17" s="208">
        <v>0</v>
      </c>
      <c r="GB17" s="208">
        <v>0</v>
      </c>
      <c r="GC17" s="208">
        <v>0</v>
      </c>
      <c r="GD17" s="208">
        <v>0</v>
      </c>
      <c r="GE17" s="208">
        <v>0</v>
      </c>
      <c r="GF17" s="208">
        <v>0</v>
      </c>
      <c r="GG17" s="208">
        <v>26533434</v>
      </c>
      <c r="GH17" s="208">
        <v>0</v>
      </c>
      <c r="GI17" s="208">
        <v>26533434</v>
      </c>
      <c r="GJ17" s="208">
        <v>2329751</v>
      </c>
      <c r="GK17" s="208">
        <v>0</v>
      </c>
      <c r="GL17" s="208">
        <v>2329751</v>
      </c>
      <c r="GM17" s="208">
        <v>-3739892</v>
      </c>
      <c r="GN17" s="208">
        <v>0</v>
      </c>
      <c r="GO17" s="208">
        <v>-3739892</v>
      </c>
      <c r="GP17" s="208">
        <v>-625192</v>
      </c>
      <c r="GQ17" s="208">
        <v>0</v>
      </c>
      <c r="GR17" s="208">
        <v>-625192</v>
      </c>
      <c r="GS17" s="208">
        <v>0</v>
      </c>
      <c r="GT17" s="208">
        <v>0</v>
      </c>
      <c r="GU17" s="208">
        <v>0</v>
      </c>
      <c r="GV17" s="208">
        <v>-80534</v>
      </c>
      <c r="GW17" s="208">
        <v>0</v>
      </c>
      <c r="GX17" s="208">
        <v>-80534</v>
      </c>
      <c r="GY17" s="208">
        <v>0</v>
      </c>
      <c r="GZ17" s="208">
        <v>0</v>
      </c>
      <c r="HA17" s="208">
        <v>0</v>
      </c>
      <c r="HB17" s="208">
        <v>-2115867</v>
      </c>
      <c r="HC17" s="208">
        <v>0</v>
      </c>
      <c r="HD17" s="208">
        <v>-2115867</v>
      </c>
      <c r="HE17" s="208">
        <v>24417567</v>
      </c>
      <c r="HF17" s="208">
        <v>0</v>
      </c>
      <c r="HG17" s="208">
        <v>24417567</v>
      </c>
      <c r="HH17" s="187" t="s">
        <v>1054</v>
      </c>
    </row>
    <row r="18" spans="2:216" s="187" customFormat="1" x14ac:dyDescent="0.2">
      <c r="B18" s="429" t="s">
        <v>115</v>
      </c>
      <c r="C18" s="429" t="s">
        <v>114</v>
      </c>
      <c r="D18" s="208">
        <v>-2288446</v>
      </c>
      <c r="E18" s="208">
        <v>0</v>
      </c>
      <c r="F18" s="208">
        <v>-2288446</v>
      </c>
      <c r="G18" s="208">
        <v>-310388</v>
      </c>
      <c r="H18" s="208">
        <v>0</v>
      </c>
      <c r="I18" s="208">
        <v>-310388</v>
      </c>
      <c r="J18" s="208">
        <v>2496515</v>
      </c>
      <c r="K18" s="208">
        <v>0</v>
      </c>
      <c r="L18" s="208">
        <v>2496515</v>
      </c>
      <c r="M18" s="208">
        <v>206490</v>
      </c>
      <c r="N18" s="208">
        <v>0</v>
      </c>
      <c r="O18" s="208">
        <v>206490</v>
      </c>
      <c r="P18" s="208">
        <v>104171</v>
      </c>
      <c r="Q18" s="208">
        <v>0</v>
      </c>
      <c r="R18" s="208">
        <v>104171</v>
      </c>
      <c r="S18" s="208">
        <v>-5102212</v>
      </c>
      <c r="T18" s="208">
        <v>0</v>
      </c>
      <c r="U18" s="208">
        <v>-5102212</v>
      </c>
      <c r="V18" s="208">
        <v>0</v>
      </c>
      <c r="W18" s="208">
        <v>0</v>
      </c>
      <c r="X18" s="208">
        <v>0</v>
      </c>
      <c r="Y18" s="208">
        <v>-213479</v>
      </c>
      <c r="Z18" s="208">
        <v>0</v>
      </c>
      <c r="AA18" s="208">
        <v>-213479</v>
      </c>
      <c r="AB18" s="208">
        <v>-36986</v>
      </c>
      <c r="AC18" s="208">
        <v>0</v>
      </c>
      <c r="AD18" s="208">
        <v>-36986</v>
      </c>
      <c r="AE18" s="208">
        <v>-176493</v>
      </c>
      <c r="AF18" s="208">
        <v>0</v>
      </c>
      <c r="AG18" s="208">
        <v>-176493</v>
      </c>
      <c r="AH18" s="208">
        <v>0</v>
      </c>
      <c r="AI18" s="208">
        <v>0</v>
      </c>
      <c r="AJ18" s="208">
        <v>0</v>
      </c>
      <c r="AK18" s="208">
        <v>0</v>
      </c>
      <c r="AL18" s="208">
        <v>0</v>
      </c>
      <c r="AM18" s="208">
        <v>0</v>
      </c>
      <c r="AN18" s="208">
        <v>1862047</v>
      </c>
      <c r="AO18" s="208">
        <v>0</v>
      </c>
      <c r="AP18" s="208">
        <v>1862047</v>
      </c>
      <c r="AQ18" s="208">
        <v>-15867</v>
      </c>
      <c r="AR18" s="208">
        <v>0</v>
      </c>
      <c r="AS18" s="208">
        <v>-15867</v>
      </c>
      <c r="AT18" s="208">
        <v>-4079978</v>
      </c>
      <c r="AU18" s="208">
        <v>0</v>
      </c>
      <c r="AV18" s="208">
        <v>-4079978</v>
      </c>
      <c r="AW18" s="208">
        <v>85899</v>
      </c>
      <c r="AX18" s="208">
        <v>0</v>
      </c>
      <c r="AY18" s="208">
        <v>85899</v>
      </c>
      <c r="AZ18" s="208">
        <v>-57981</v>
      </c>
      <c r="BA18" s="208">
        <v>0</v>
      </c>
      <c r="BB18" s="208">
        <v>-57981</v>
      </c>
      <c r="BC18" s="208">
        <v>0</v>
      </c>
      <c r="BD18" s="208">
        <v>0</v>
      </c>
      <c r="BE18" s="208">
        <v>0</v>
      </c>
      <c r="BF18" s="208">
        <v>-1652</v>
      </c>
      <c r="BG18" s="208">
        <v>0</v>
      </c>
      <c r="BH18" s="208">
        <v>-1652</v>
      </c>
      <c r="BI18" s="208">
        <v>0</v>
      </c>
      <c r="BJ18" s="208">
        <v>0</v>
      </c>
      <c r="BK18" s="208">
        <v>0</v>
      </c>
      <c r="BL18" s="208">
        <v>-7523223</v>
      </c>
      <c r="BM18" s="208">
        <v>0</v>
      </c>
      <c r="BN18" s="208">
        <v>-7523223</v>
      </c>
      <c r="BO18" s="208">
        <v>-141143</v>
      </c>
      <c r="BP18" s="208">
        <v>0</v>
      </c>
      <c r="BQ18" s="208">
        <v>-141143</v>
      </c>
      <c r="BR18" s="208">
        <v>76573</v>
      </c>
      <c r="BS18" s="208">
        <v>0</v>
      </c>
      <c r="BT18" s="208">
        <v>76573</v>
      </c>
      <c r="BU18" s="208">
        <v>-2176788</v>
      </c>
      <c r="BV18" s="208">
        <v>0</v>
      </c>
      <c r="BW18" s="208">
        <v>-2176788</v>
      </c>
      <c r="BX18" s="208">
        <v>-147711</v>
      </c>
      <c r="BY18" s="208">
        <v>0</v>
      </c>
      <c r="BZ18" s="208">
        <v>-147711</v>
      </c>
      <c r="CA18" s="208">
        <v>-2389069</v>
      </c>
      <c r="CB18" s="208">
        <v>0</v>
      </c>
      <c r="CC18" s="208">
        <v>-2389069</v>
      </c>
      <c r="CD18" s="208">
        <v>-417</v>
      </c>
      <c r="CE18" s="208">
        <v>0</v>
      </c>
      <c r="CF18" s="208">
        <v>-417</v>
      </c>
      <c r="CG18" s="208">
        <v>0</v>
      </c>
      <c r="CH18" s="208">
        <v>0</v>
      </c>
      <c r="CI18" s="208">
        <v>0</v>
      </c>
      <c r="CJ18" s="208">
        <v>-46317</v>
      </c>
      <c r="CK18" s="208">
        <v>0</v>
      </c>
      <c r="CL18" s="208">
        <v>-46317</v>
      </c>
      <c r="CM18" s="208">
        <v>0</v>
      </c>
      <c r="CN18" s="208">
        <v>0</v>
      </c>
      <c r="CO18" s="208">
        <v>0</v>
      </c>
      <c r="CP18" s="208">
        <v>0</v>
      </c>
      <c r="CQ18" s="208">
        <v>0</v>
      </c>
      <c r="CR18" s="208">
        <v>0</v>
      </c>
      <c r="CS18" s="208">
        <v>0</v>
      </c>
      <c r="CT18" s="208">
        <v>0</v>
      </c>
      <c r="CU18" s="208">
        <v>0</v>
      </c>
      <c r="CV18" s="208">
        <v>0</v>
      </c>
      <c r="CW18" s="208">
        <v>0</v>
      </c>
      <c r="CX18" s="208">
        <v>0</v>
      </c>
      <c r="CY18" s="208">
        <v>0</v>
      </c>
      <c r="CZ18" s="208">
        <v>0</v>
      </c>
      <c r="DA18" s="208">
        <v>0</v>
      </c>
      <c r="DB18" s="208">
        <v>0</v>
      </c>
      <c r="DC18" s="208">
        <v>0</v>
      </c>
      <c r="DD18" s="208">
        <v>0</v>
      </c>
      <c r="DE18" s="208">
        <v>0</v>
      </c>
      <c r="DF18" s="208">
        <v>0</v>
      </c>
      <c r="DG18" s="208">
        <v>0</v>
      </c>
      <c r="DH18" s="208">
        <v>0</v>
      </c>
      <c r="DI18" s="208">
        <v>0</v>
      </c>
      <c r="DJ18" s="208">
        <v>0</v>
      </c>
      <c r="DK18" s="208">
        <v>0</v>
      </c>
      <c r="DL18" s="208">
        <v>0</v>
      </c>
      <c r="DM18" s="208">
        <v>0</v>
      </c>
      <c r="DN18" s="208">
        <v>0</v>
      </c>
      <c r="DO18" s="208">
        <v>0</v>
      </c>
      <c r="DP18" s="208">
        <v>-46734</v>
      </c>
      <c r="DQ18" s="208">
        <v>0</v>
      </c>
      <c r="DR18" s="208">
        <v>-46734</v>
      </c>
      <c r="DS18" s="208">
        <v>5673</v>
      </c>
      <c r="DT18" s="208">
        <v>0</v>
      </c>
      <c r="DU18" s="208">
        <v>5673</v>
      </c>
      <c r="DV18" s="208">
        <v>0</v>
      </c>
      <c r="DW18" s="208">
        <v>0</v>
      </c>
      <c r="DX18" s="208">
        <v>0</v>
      </c>
      <c r="DY18" s="208">
        <v>-1500</v>
      </c>
      <c r="DZ18" s="208">
        <v>0</v>
      </c>
      <c r="EA18" s="208">
        <v>-1500</v>
      </c>
      <c r="EB18" s="208">
        <v>0</v>
      </c>
      <c r="EC18" s="208">
        <v>0</v>
      </c>
      <c r="ED18" s="208">
        <v>0</v>
      </c>
      <c r="EE18" s="208">
        <v>0</v>
      </c>
      <c r="EF18" s="208">
        <v>0</v>
      </c>
      <c r="EG18" s="208">
        <v>0</v>
      </c>
      <c r="EH18" s="208">
        <v>0</v>
      </c>
      <c r="EI18" s="208">
        <v>0</v>
      </c>
      <c r="EJ18" s="208">
        <v>0</v>
      </c>
      <c r="EK18" s="208">
        <v>-1652</v>
      </c>
      <c r="EL18" s="208">
        <v>0</v>
      </c>
      <c r="EM18" s="208">
        <v>-1652</v>
      </c>
      <c r="EN18" s="208">
        <v>0</v>
      </c>
      <c r="EO18" s="208">
        <v>0</v>
      </c>
      <c r="EP18" s="208">
        <v>0</v>
      </c>
      <c r="EQ18" s="208">
        <v>-1500</v>
      </c>
      <c r="ER18" s="208">
        <v>0</v>
      </c>
      <c r="ES18" s="208">
        <v>-1500</v>
      </c>
      <c r="ET18" s="208">
        <v>-1500</v>
      </c>
      <c r="EU18" s="208">
        <v>0</v>
      </c>
      <c r="EV18" s="208">
        <v>-1500</v>
      </c>
      <c r="EW18" s="208">
        <v>-20091</v>
      </c>
      <c r="EX18" s="208">
        <v>0</v>
      </c>
      <c r="EY18" s="208">
        <v>-20091</v>
      </c>
      <c r="EZ18" s="208">
        <v>34</v>
      </c>
      <c r="FA18" s="208">
        <v>0</v>
      </c>
      <c r="FB18" s="208">
        <v>34</v>
      </c>
      <c r="FC18" s="208">
        <v>-118007</v>
      </c>
      <c r="FD18" s="208">
        <v>0</v>
      </c>
      <c r="FE18" s="208">
        <v>-118007</v>
      </c>
      <c r="FF18" s="208">
        <v>5812</v>
      </c>
      <c r="FG18" s="208">
        <v>0</v>
      </c>
      <c r="FH18" s="208">
        <v>5812</v>
      </c>
      <c r="FI18" s="208">
        <v>-11000</v>
      </c>
      <c r="FJ18" s="208">
        <v>0</v>
      </c>
      <c r="FK18" s="208">
        <v>-11000</v>
      </c>
      <c r="FL18" s="208">
        <v>-1000</v>
      </c>
      <c r="FM18" s="208">
        <v>0</v>
      </c>
      <c r="FN18" s="208">
        <v>-1000</v>
      </c>
      <c r="FO18" s="208">
        <v>0</v>
      </c>
      <c r="FP18" s="208">
        <v>0</v>
      </c>
      <c r="FQ18" s="208">
        <v>0</v>
      </c>
      <c r="FR18" s="208">
        <v>0</v>
      </c>
      <c r="FS18" s="208">
        <v>0</v>
      </c>
      <c r="FT18" s="208">
        <v>0</v>
      </c>
      <c r="FU18" s="208">
        <v>-144731</v>
      </c>
      <c r="FV18" s="208">
        <v>0</v>
      </c>
      <c r="FW18" s="208">
        <v>-144731</v>
      </c>
      <c r="FX18" s="208">
        <v>0</v>
      </c>
      <c r="FY18" s="208">
        <v>0</v>
      </c>
      <c r="FZ18" s="208">
        <v>0</v>
      </c>
      <c r="GA18" s="208">
        <v>0</v>
      </c>
      <c r="GB18" s="208">
        <v>0</v>
      </c>
      <c r="GC18" s="208">
        <v>0</v>
      </c>
      <c r="GD18" s="208">
        <v>0</v>
      </c>
      <c r="GE18" s="208">
        <v>0</v>
      </c>
      <c r="GF18" s="208">
        <v>0</v>
      </c>
      <c r="GG18" s="208">
        <v>92093329</v>
      </c>
      <c r="GH18" s="208">
        <v>0</v>
      </c>
      <c r="GI18" s="208">
        <v>92093329</v>
      </c>
      <c r="GJ18" s="208">
        <v>104171</v>
      </c>
      <c r="GK18" s="208">
        <v>0</v>
      </c>
      <c r="GL18" s="208">
        <v>104171</v>
      </c>
      <c r="GM18" s="208">
        <v>-7523223</v>
      </c>
      <c r="GN18" s="208">
        <v>0</v>
      </c>
      <c r="GO18" s="208">
        <v>-7523223</v>
      </c>
      <c r="GP18" s="208">
        <v>-2389069</v>
      </c>
      <c r="GQ18" s="208">
        <v>0</v>
      </c>
      <c r="GR18" s="208">
        <v>-2389069</v>
      </c>
      <c r="GS18" s="208">
        <v>-46734</v>
      </c>
      <c r="GT18" s="208">
        <v>0</v>
      </c>
      <c r="GU18" s="208">
        <v>-46734</v>
      </c>
      <c r="GV18" s="208">
        <v>-144731</v>
      </c>
      <c r="GW18" s="208">
        <v>0</v>
      </c>
      <c r="GX18" s="208">
        <v>-144731</v>
      </c>
      <c r="GY18" s="208">
        <v>0</v>
      </c>
      <c r="GZ18" s="208">
        <v>0</v>
      </c>
      <c r="HA18" s="208">
        <v>0</v>
      </c>
      <c r="HB18" s="208">
        <v>-9999586</v>
      </c>
      <c r="HC18" s="208">
        <v>0</v>
      </c>
      <c r="HD18" s="208">
        <v>-9999586</v>
      </c>
      <c r="HE18" s="208">
        <v>82093743</v>
      </c>
      <c r="HF18" s="208">
        <v>0</v>
      </c>
      <c r="HG18" s="208">
        <v>82093743</v>
      </c>
      <c r="HH18" s="187" t="s">
        <v>1054</v>
      </c>
    </row>
    <row r="19" spans="2:216" s="187" customFormat="1" x14ac:dyDescent="0.2">
      <c r="B19" s="429" t="s">
        <v>117</v>
      </c>
      <c r="C19" s="429" t="s">
        <v>116</v>
      </c>
      <c r="D19" s="208">
        <v>-1247011</v>
      </c>
      <c r="E19" s="208">
        <v>-20371</v>
      </c>
      <c r="F19" s="208">
        <v>-1267382</v>
      </c>
      <c r="G19" s="208">
        <v>2579295</v>
      </c>
      <c r="H19" s="208">
        <v>-26592</v>
      </c>
      <c r="I19" s="208">
        <v>2552703</v>
      </c>
      <c r="J19" s="208">
        <v>3378337</v>
      </c>
      <c r="K19" s="208">
        <v>0</v>
      </c>
      <c r="L19" s="208">
        <v>3378337</v>
      </c>
      <c r="M19" s="208">
        <v>-489619</v>
      </c>
      <c r="N19" s="208">
        <v>-71999</v>
      </c>
      <c r="O19" s="208">
        <v>-561618</v>
      </c>
      <c r="P19" s="208">
        <v>4221002</v>
      </c>
      <c r="Q19" s="208">
        <v>-118962</v>
      </c>
      <c r="R19" s="208">
        <v>4102040</v>
      </c>
      <c r="S19" s="208">
        <v>-2815329</v>
      </c>
      <c r="T19" s="208">
        <v>-39804</v>
      </c>
      <c r="U19" s="208">
        <v>-2855133</v>
      </c>
      <c r="V19" s="208">
        <v>-71965</v>
      </c>
      <c r="W19" s="208">
        <v>0</v>
      </c>
      <c r="X19" s="208">
        <v>-71965</v>
      </c>
      <c r="Y19" s="208">
        <v>-36389</v>
      </c>
      <c r="Z19" s="208">
        <v>8366</v>
      </c>
      <c r="AA19" s="208">
        <v>-28023</v>
      </c>
      <c r="AB19" s="208">
        <v>884</v>
      </c>
      <c r="AC19" s="208">
        <v>361</v>
      </c>
      <c r="AD19" s="208">
        <v>1245</v>
      </c>
      <c r="AE19" s="208">
        <v>-42506</v>
      </c>
      <c r="AF19" s="208">
        <v>8005</v>
      </c>
      <c r="AG19" s="208">
        <v>-34501</v>
      </c>
      <c r="AH19" s="208">
        <v>0</v>
      </c>
      <c r="AI19" s="208">
        <v>0</v>
      </c>
      <c r="AJ19" s="208">
        <v>0</v>
      </c>
      <c r="AK19" s="208">
        <v>-1212</v>
      </c>
      <c r="AL19" s="208">
        <v>0</v>
      </c>
      <c r="AM19" s="208">
        <v>-1212</v>
      </c>
      <c r="AN19" s="208">
        <v>1799610</v>
      </c>
      <c r="AO19" s="208">
        <v>46918</v>
      </c>
      <c r="AP19" s="208">
        <v>1846528</v>
      </c>
      <c r="AQ19" s="208">
        <v>-133772</v>
      </c>
      <c r="AR19" s="208">
        <v>-6912</v>
      </c>
      <c r="AS19" s="208">
        <v>-140684</v>
      </c>
      <c r="AT19" s="208">
        <v>-3947293</v>
      </c>
      <c r="AU19" s="208">
        <v>-30773</v>
      </c>
      <c r="AV19" s="208">
        <v>-3978066</v>
      </c>
      <c r="AW19" s="208">
        <v>-14489</v>
      </c>
      <c r="AX19" s="208">
        <v>-4422</v>
      </c>
      <c r="AY19" s="208">
        <v>-18911</v>
      </c>
      <c r="AZ19" s="208">
        <v>-11221</v>
      </c>
      <c r="BA19" s="208">
        <v>0</v>
      </c>
      <c r="BB19" s="208">
        <v>-11221</v>
      </c>
      <c r="BC19" s="208">
        <v>0</v>
      </c>
      <c r="BD19" s="208">
        <v>0</v>
      </c>
      <c r="BE19" s="208">
        <v>0</v>
      </c>
      <c r="BF19" s="208">
        <v>-24218</v>
      </c>
      <c r="BG19" s="208">
        <v>0</v>
      </c>
      <c r="BH19" s="208">
        <v>-24218</v>
      </c>
      <c r="BI19" s="208">
        <v>0</v>
      </c>
      <c r="BJ19" s="208">
        <v>0</v>
      </c>
      <c r="BK19" s="208">
        <v>0</v>
      </c>
      <c r="BL19" s="208">
        <v>-5183101</v>
      </c>
      <c r="BM19" s="208">
        <v>-26627</v>
      </c>
      <c r="BN19" s="208">
        <v>-5209728</v>
      </c>
      <c r="BO19" s="208">
        <v>-457911</v>
      </c>
      <c r="BP19" s="208">
        <v>0</v>
      </c>
      <c r="BQ19" s="208">
        <v>-457911</v>
      </c>
      <c r="BR19" s="208">
        <v>-55016</v>
      </c>
      <c r="BS19" s="208">
        <v>0</v>
      </c>
      <c r="BT19" s="208">
        <v>-55016</v>
      </c>
      <c r="BU19" s="208">
        <v>-3292222</v>
      </c>
      <c r="BV19" s="208">
        <v>-592145</v>
      </c>
      <c r="BW19" s="208">
        <v>-3884367</v>
      </c>
      <c r="BX19" s="208">
        <v>-136808</v>
      </c>
      <c r="BY19" s="208">
        <v>-20924</v>
      </c>
      <c r="BZ19" s="208">
        <v>-157732</v>
      </c>
      <c r="CA19" s="208">
        <v>-3941957</v>
      </c>
      <c r="CB19" s="208">
        <v>-613069</v>
      </c>
      <c r="CC19" s="208">
        <v>-4555026</v>
      </c>
      <c r="CD19" s="208">
        <v>-535863</v>
      </c>
      <c r="CE19" s="208">
        <v>-7693</v>
      </c>
      <c r="CF19" s="208">
        <v>-543556</v>
      </c>
      <c r="CG19" s="208">
        <v>-633</v>
      </c>
      <c r="CH19" s="208">
        <v>-1105</v>
      </c>
      <c r="CI19" s="208">
        <v>-1738</v>
      </c>
      <c r="CJ19" s="208">
        <v>-143524</v>
      </c>
      <c r="CK19" s="208">
        <v>0</v>
      </c>
      <c r="CL19" s="208">
        <v>-143524</v>
      </c>
      <c r="CM19" s="208">
        <v>0</v>
      </c>
      <c r="CN19" s="208">
        <v>0</v>
      </c>
      <c r="CO19" s="208">
        <v>0</v>
      </c>
      <c r="CP19" s="208">
        <v>-2805</v>
      </c>
      <c r="CQ19" s="208">
        <v>0</v>
      </c>
      <c r="CR19" s="208">
        <v>-2805</v>
      </c>
      <c r="CS19" s="208">
        <v>0</v>
      </c>
      <c r="CT19" s="208">
        <v>0</v>
      </c>
      <c r="CU19" s="208">
        <v>0</v>
      </c>
      <c r="CV19" s="208">
        <v>-28629</v>
      </c>
      <c r="CW19" s="208">
        <v>0</v>
      </c>
      <c r="CX19" s="208">
        <v>-28629</v>
      </c>
      <c r="CY19" s="208">
        <v>0</v>
      </c>
      <c r="CZ19" s="208">
        <v>0</v>
      </c>
      <c r="DA19" s="208">
        <v>0</v>
      </c>
      <c r="DB19" s="208">
        <v>-24367</v>
      </c>
      <c r="DC19" s="208">
        <v>0</v>
      </c>
      <c r="DD19" s="208">
        <v>-24367</v>
      </c>
      <c r="DE19" s="208">
        <v>0</v>
      </c>
      <c r="DF19" s="208">
        <v>0</v>
      </c>
      <c r="DG19" s="208">
        <v>0</v>
      </c>
      <c r="DH19" s="208">
        <v>0</v>
      </c>
      <c r="DI19" s="208">
        <v>-334005</v>
      </c>
      <c r="DJ19" s="208">
        <v>-334005</v>
      </c>
      <c r="DK19" s="208">
        <v>0</v>
      </c>
      <c r="DL19" s="208">
        <v>-94830</v>
      </c>
      <c r="DM19" s="208">
        <v>-94830</v>
      </c>
      <c r="DN19" s="208">
        <v>-428835</v>
      </c>
      <c r="DO19" s="208">
        <v>0</v>
      </c>
      <c r="DP19" s="208">
        <v>-735821</v>
      </c>
      <c r="DQ19" s="208">
        <v>-437633</v>
      </c>
      <c r="DR19" s="208">
        <v>-1173454</v>
      </c>
      <c r="DS19" s="208">
        <v>0</v>
      </c>
      <c r="DT19" s="208">
        <v>0</v>
      </c>
      <c r="DU19" s="208">
        <v>0</v>
      </c>
      <c r="DV19" s="208">
        <v>0</v>
      </c>
      <c r="DW19" s="208">
        <v>0</v>
      </c>
      <c r="DX19" s="208">
        <v>0</v>
      </c>
      <c r="DY19" s="208">
        <v>0</v>
      </c>
      <c r="DZ19" s="208">
        <v>0</v>
      </c>
      <c r="EA19" s="208">
        <v>0</v>
      </c>
      <c r="EB19" s="208">
        <v>0</v>
      </c>
      <c r="EC19" s="208">
        <v>0</v>
      </c>
      <c r="ED19" s="208">
        <v>0</v>
      </c>
      <c r="EE19" s="208">
        <v>0</v>
      </c>
      <c r="EF19" s="208">
        <v>0</v>
      </c>
      <c r="EG19" s="208">
        <v>0</v>
      </c>
      <c r="EH19" s="208">
        <v>0</v>
      </c>
      <c r="EI19" s="208">
        <v>0</v>
      </c>
      <c r="EJ19" s="208">
        <v>0</v>
      </c>
      <c r="EK19" s="208">
        <v>-24218</v>
      </c>
      <c r="EL19" s="208">
        <v>0</v>
      </c>
      <c r="EM19" s="208">
        <v>-24218</v>
      </c>
      <c r="EN19" s="208">
        <v>0</v>
      </c>
      <c r="EO19" s="208">
        <v>0</v>
      </c>
      <c r="EP19" s="208">
        <v>0</v>
      </c>
      <c r="EQ19" s="208">
        <v>-1849</v>
      </c>
      <c r="ER19" s="208">
        <v>0</v>
      </c>
      <c r="ES19" s="208">
        <v>-1849</v>
      </c>
      <c r="ET19" s="208">
        <v>-366</v>
      </c>
      <c r="EU19" s="208">
        <v>0</v>
      </c>
      <c r="EV19" s="208">
        <v>-366</v>
      </c>
      <c r="EW19" s="208">
        <v>-23776</v>
      </c>
      <c r="EX19" s="208">
        <v>-403</v>
      </c>
      <c r="EY19" s="208">
        <v>-24179</v>
      </c>
      <c r="EZ19" s="208">
        <v>382</v>
      </c>
      <c r="FA19" s="208">
        <v>0</v>
      </c>
      <c r="FB19" s="208">
        <v>382</v>
      </c>
      <c r="FC19" s="208">
        <v>-236736</v>
      </c>
      <c r="FD19" s="208">
        <v>-2211</v>
      </c>
      <c r="FE19" s="208">
        <v>-238947</v>
      </c>
      <c r="FF19" s="208">
        <v>4910</v>
      </c>
      <c r="FG19" s="208">
        <v>442</v>
      </c>
      <c r="FH19" s="208">
        <v>5352</v>
      </c>
      <c r="FI19" s="208">
        <v>-63786</v>
      </c>
      <c r="FJ19" s="208">
        <v>0</v>
      </c>
      <c r="FK19" s="208">
        <v>-63786</v>
      </c>
      <c r="FL19" s="208">
        <v>-526</v>
      </c>
      <c r="FM19" s="208">
        <v>0</v>
      </c>
      <c r="FN19" s="208">
        <v>-526</v>
      </c>
      <c r="FO19" s="208">
        <v>0</v>
      </c>
      <c r="FP19" s="208">
        <v>0</v>
      </c>
      <c r="FQ19" s="208">
        <v>0</v>
      </c>
      <c r="FR19" s="208">
        <v>0</v>
      </c>
      <c r="FS19" s="208">
        <v>0</v>
      </c>
      <c r="FT19" s="208">
        <v>0</v>
      </c>
      <c r="FU19" s="208">
        <v>-345965</v>
      </c>
      <c r="FV19" s="208">
        <v>-2172</v>
      </c>
      <c r="FW19" s="208">
        <v>-348137</v>
      </c>
      <c r="FX19" s="208">
        <v>0</v>
      </c>
      <c r="FY19" s="208">
        <v>0</v>
      </c>
      <c r="FZ19" s="208">
        <v>0</v>
      </c>
      <c r="GA19" s="208">
        <v>0</v>
      </c>
      <c r="GB19" s="208">
        <v>0</v>
      </c>
      <c r="GC19" s="208">
        <v>0</v>
      </c>
      <c r="GD19" s="208">
        <v>0</v>
      </c>
      <c r="GE19" s="208">
        <v>0</v>
      </c>
      <c r="GF19" s="208">
        <v>0</v>
      </c>
      <c r="GG19" s="208">
        <v>78910241</v>
      </c>
      <c r="GH19" s="208">
        <v>1976863</v>
      </c>
      <c r="GI19" s="208">
        <v>80887104</v>
      </c>
      <c r="GJ19" s="208">
        <v>4221002</v>
      </c>
      <c r="GK19" s="208">
        <v>-118962</v>
      </c>
      <c r="GL19" s="208">
        <v>4102040</v>
      </c>
      <c r="GM19" s="208">
        <v>-5183101</v>
      </c>
      <c r="GN19" s="208">
        <v>-26627</v>
      </c>
      <c r="GO19" s="208">
        <v>-5209728</v>
      </c>
      <c r="GP19" s="208">
        <v>-3941957</v>
      </c>
      <c r="GQ19" s="208">
        <v>-613069</v>
      </c>
      <c r="GR19" s="208">
        <v>-4555026</v>
      </c>
      <c r="GS19" s="208">
        <v>-735821</v>
      </c>
      <c r="GT19" s="208">
        <v>-437633</v>
      </c>
      <c r="GU19" s="208">
        <v>-1173454</v>
      </c>
      <c r="GV19" s="208">
        <v>-345965</v>
      </c>
      <c r="GW19" s="208">
        <v>-2172</v>
      </c>
      <c r="GX19" s="208">
        <v>-348137</v>
      </c>
      <c r="GY19" s="208">
        <v>0</v>
      </c>
      <c r="GZ19" s="208">
        <v>0</v>
      </c>
      <c r="HA19" s="208">
        <v>0</v>
      </c>
      <c r="HB19" s="208">
        <v>-5985842</v>
      </c>
      <c r="HC19" s="208">
        <v>-1198463</v>
      </c>
      <c r="HD19" s="208">
        <v>-7184305</v>
      </c>
      <c r="HE19" s="208">
        <v>72924399</v>
      </c>
      <c r="HF19" s="208">
        <v>778400</v>
      </c>
      <c r="HG19" s="208">
        <v>73702799</v>
      </c>
      <c r="HH19" s="187" t="s">
        <v>1054</v>
      </c>
    </row>
    <row r="20" spans="2:216" s="187" customFormat="1" x14ac:dyDescent="0.2">
      <c r="B20" s="429" t="s">
        <v>119</v>
      </c>
      <c r="C20" s="429" t="s">
        <v>118</v>
      </c>
      <c r="D20" s="208">
        <v>-1179568</v>
      </c>
      <c r="E20" s="208">
        <v>0</v>
      </c>
      <c r="F20" s="208">
        <v>-1179568</v>
      </c>
      <c r="G20" s="208">
        <v>-22143</v>
      </c>
      <c r="H20" s="208">
        <v>0</v>
      </c>
      <c r="I20" s="208">
        <v>-22143</v>
      </c>
      <c r="J20" s="208">
        <v>7919542</v>
      </c>
      <c r="K20" s="208">
        <v>0</v>
      </c>
      <c r="L20" s="208">
        <v>7919542</v>
      </c>
      <c r="M20" s="208">
        <v>7437</v>
      </c>
      <c r="N20" s="208">
        <v>0</v>
      </c>
      <c r="O20" s="208">
        <v>7437</v>
      </c>
      <c r="P20" s="208">
        <v>6725268</v>
      </c>
      <c r="Q20" s="208">
        <v>0</v>
      </c>
      <c r="R20" s="208">
        <v>6725268</v>
      </c>
      <c r="S20" s="208">
        <v>-4153929</v>
      </c>
      <c r="T20" s="208">
        <v>0</v>
      </c>
      <c r="U20" s="208">
        <v>-4153929</v>
      </c>
      <c r="V20" s="208">
        <v>-15782</v>
      </c>
      <c r="W20" s="208">
        <v>0</v>
      </c>
      <c r="X20" s="208">
        <v>-15782</v>
      </c>
      <c r="Y20" s="208">
        <v>-202837</v>
      </c>
      <c r="Z20" s="208">
        <v>0</v>
      </c>
      <c r="AA20" s="208">
        <v>-202837</v>
      </c>
      <c r="AB20" s="208">
        <v>-42629</v>
      </c>
      <c r="AC20" s="208">
        <v>0</v>
      </c>
      <c r="AD20" s="208">
        <v>-42629</v>
      </c>
      <c r="AE20" s="208">
        <v>-155423</v>
      </c>
      <c r="AF20" s="208">
        <v>0</v>
      </c>
      <c r="AG20" s="208">
        <v>-155423</v>
      </c>
      <c r="AH20" s="208">
        <v>0</v>
      </c>
      <c r="AI20" s="208">
        <v>0</v>
      </c>
      <c r="AJ20" s="208">
        <v>0</v>
      </c>
      <c r="AK20" s="208">
        <v>-4267</v>
      </c>
      <c r="AL20" s="208">
        <v>0</v>
      </c>
      <c r="AM20" s="208">
        <v>-4267</v>
      </c>
      <c r="AN20" s="208">
        <v>1056082</v>
      </c>
      <c r="AO20" s="208">
        <v>0</v>
      </c>
      <c r="AP20" s="208">
        <v>1056082</v>
      </c>
      <c r="AQ20" s="208">
        <v>39398</v>
      </c>
      <c r="AR20" s="208">
        <v>0</v>
      </c>
      <c r="AS20" s="208">
        <v>39398</v>
      </c>
      <c r="AT20" s="208">
        <v>-3200123</v>
      </c>
      <c r="AU20" s="208">
        <v>0</v>
      </c>
      <c r="AV20" s="208">
        <v>-3200123</v>
      </c>
      <c r="AW20" s="208">
        <v>-20115</v>
      </c>
      <c r="AX20" s="208">
        <v>0</v>
      </c>
      <c r="AY20" s="208">
        <v>-20115</v>
      </c>
      <c r="AZ20" s="208">
        <v>-39617</v>
      </c>
      <c r="BA20" s="208">
        <v>0</v>
      </c>
      <c r="BB20" s="208">
        <v>-39617</v>
      </c>
      <c r="BC20" s="208">
        <v>-9904</v>
      </c>
      <c r="BD20" s="208">
        <v>0</v>
      </c>
      <c r="BE20" s="208">
        <v>-9904</v>
      </c>
      <c r="BF20" s="208">
        <v>-32729</v>
      </c>
      <c r="BG20" s="208">
        <v>0</v>
      </c>
      <c r="BH20" s="208">
        <v>-32729</v>
      </c>
      <c r="BI20" s="208">
        <v>-1954</v>
      </c>
      <c r="BJ20" s="208">
        <v>0</v>
      </c>
      <c r="BK20" s="208">
        <v>-1954</v>
      </c>
      <c r="BL20" s="208">
        <v>-6565728</v>
      </c>
      <c r="BM20" s="208">
        <v>0</v>
      </c>
      <c r="BN20" s="208">
        <v>-6565728</v>
      </c>
      <c r="BO20" s="208">
        <v>-86576</v>
      </c>
      <c r="BP20" s="208">
        <v>0</v>
      </c>
      <c r="BQ20" s="208">
        <v>-86576</v>
      </c>
      <c r="BR20" s="208">
        <v>0</v>
      </c>
      <c r="BS20" s="208">
        <v>0</v>
      </c>
      <c r="BT20" s="208">
        <v>0</v>
      </c>
      <c r="BU20" s="208">
        <v>-1190452</v>
      </c>
      <c r="BV20" s="208">
        <v>0</v>
      </c>
      <c r="BW20" s="208">
        <v>-1190452</v>
      </c>
      <c r="BX20" s="208">
        <v>-20764</v>
      </c>
      <c r="BY20" s="208">
        <v>0</v>
      </c>
      <c r="BZ20" s="208">
        <v>-20764</v>
      </c>
      <c r="CA20" s="208">
        <v>-1297792</v>
      </c>
      <c r="CB20" s="208">
        <v>0</v>
      </c>
      <c r="CC20" s="208">
        <v>-1297792</v>
      </c>
      <c r="CD20" s="208">
        <v>-87405</v>
      </c>
      <c r="CE20" s="208">
        <v>0</v>
      </c>
      <c r="CF20" s="208">
        <v>-87405</v>
      </c>
      <c r="CG20" s="208">
        <v>-1882</v>
      </c>
      <c r="CH20" s="208">
        <v>0</v>
      </c>
      <c r="CI20" s="208">
        <v>-1882</v>
      </c>
      <c r="CJ20" s="208">
        <v>-29407</v>
      </c>
      <c r="CK20" s="208">
        <v>0</v>
      </c>
      <c r="CL20" s="208">
        <v>-29407</v>
      </c>
      <c r="CM20" s="208">
        <v>10093</v>
      </c>
      <c r="CN20" s="208">
        <v>0</v>
      </c>
      <c r="CO20" s="208">
        <v>10093</v>
      </c>
      <c r="CP20" s="208">
        <v>-2204</v>
      </c>
      <c r="CQ20" s="208">
        <v>0</v>
      </c>
      <c r="CR20" s="208">
        <v>-2204</v>
      </c>
      <c r="CS20" s="208">
        <v>0</v>
      </c>
      <c r="CT20" s="208">
        <v>0</v>
      </c>
      <c r="CU20" s="208">
        <v>0</v>
      </c>
      <c r="CV20" s="208">
        <v>0</v>
      </c>
      <c r="CW20" s="208">
        <v>0</v>
      </c>
      <c r="CX20" s="208">
        <v>0</v>
      </c>
      <c r="CY20" s="208">
        <v>0</v>
      </c>
      <c r="CZ20" s="208">
        <v>0</v>
      </c>
      <c r="DA20" s="208">
        <v>0</v>
      </c>
      <c r="DB20" s="208">
        <v>0</v>
      </c>
      <c r="DC20" s="208">
        <v>0</v>
      </c>
      <c r="DD20" s="208">
        <v>0</v>
      </c>
      <c r="DE20" s="208">
        <v>5677</v>
      </c>
      <c r="DF20" s="208">
        <v>0</v>
      </c>
      <c r="DG20" s="208">
        <v>5677</v>
      </c>
      <c r="DH20" s="208">
        <v>0</v>
      </c>
      <c r="DI20" s="208">
        <v>0</v>
      </c>
      <c r="DJ20" s="208">
        <v>0</v>
      </c>
      <c r="DK20" s="208">
        <v>0</v>
      </c>
      <c r="DL20" s="208">
        <v>0</v>
      </c>
      <c r="DM20" s="208">
        <v>0</v>
      </c>
      <c r="DN20" s="208">
        <v>0</v>
      </c>
      <c r="DO20" s="208">
        <v>0</v>
      </c>
      <c r="DP20" s="208">
        <v>-105128</v>
      </c>
      <c r="DQ20" s="208">
        <v>0</v>
      </c>
      <c r="DR20" s="208">
        <v>-105128</v>
      </c>
      <c r="DS20" s="208">
        <v>0</v>
      </c>
      <c r="DT20" s="208">
        <v>0</v>
      </c>
      <c r="DU20" s="208">
        <v>0</v>
      </c>
      <c r="DV20" s="208">
        <v>0</v>
      </c>
      <c r="DW20" s="208">
        <v>0</v>
      </c>
      <c r="DX20" s="208">
        <v>0</v>
      </c>
      <c r="DY20" s="208">
        <v>139</v>
      </c>
      <c r="DZ20" s="208">
        <v>0</v>
      </c>
      <c r="EA20" s="208">
        <v>139</v>
      </c>
      <c r="EB20" s="208">
        <v>0</v>
      </c>
      <c r="EC20" s="208">
        <v>0</v>
      </c>
      <c r="ED20" s="208">
        <v>0</v>
      </c>
      <c r="EE20" s="208">
        <v>0</v>
      </c>
      <c r="EF20" s="208">
        <v>0</v>
      </c>
      <c r="EG20" s="208">
        <v>0</v>
      </c>
      <c r="EH20" s="208">
        <v>0</v>
      </c>
      <c r="EI20" s="208">
        <v>0</v>
      </c>
      <c r="EJ20" s="208">
        <v>0</v>
      </c>
      <c r="EK20" s="208">
        <v>-32729</v>
      </c>
      <c r="EL20" s="208">
        <v>0</v>
      </c>
      <c r="EM20" s="208">
        <v>-32729</v>
      </c>
      <c r="EN20" s="208">
        <v>-1954</v>
      </c>
      <c r="EO20" s="208">
        <v>0</v>
      </c>
      <c r="EP20" s="208">
        <v>-1954</v>
      </c>
      <c r="EQ20" s="208">
        <v>-374</v>
      </c>
      <c r="ER20" s="208">
        <v>0</v>
      </c>
      <c r="ES20" s="208">
        <v>-374</v>
      </c>
      <c r="ET20" s="208">
        <v>0</v>
      </c>
      <c r="EU20" s="208">
        <v>0</v>
      </c>
      <c r="EV20" s="208">
        <v>0</v>
      </c>
      <c r="EW20" s="208">
        <v>-36152</v>
      </c>
      <c r="EX20" s="208">
        <v>0</v>
      </c>
      <c r="EY20" s="208">
        <v>-36152</v>
      </c>
      <c r="EZ20" s="208">
        <v>1653</v>
      </c>
      <c r="FA20" s="208">
        <v>0</v>
      </c>
      <c r="FB20" s="208">
        <v>1653</v>
      </c>
      <c r="FC20" s="208">
        <v>-120971</v>
      </c>
      <c r="FD20" s="208">
        <v>0</v>
      </c>
      <c r="FE20" s="208">
        <v>-120971</v>
      </c>
      <c r="FF20" s="208">
        <v>5426</v>
      </c>
      <c r="FG20" s="208">
        <v>0</v>
      </c>
      <c r="FH20" s="208">
        <v>5426</v>
      </c>
      <c r="FI20" s="208">
        <v>-55462</v>
      </c>
      <c r="FJ20" s="208">
        <v>0</v>
      </c>
      <c r="FK20" s="208">
        <v>-55462</v>
      </c>
      <c r="FL20" s="208">
        <v>3955</v>
      </c>
      <c r="FM20" s="208">
        <v>0</v>
      </c>
      <c r="FN20" s="208">
        <v>3955</v>
      </c>
      <c r="FO20" s="208">
        <v>0</v>
      </c>
      <c r="FP20" s="208">
        <v>0</v>
      </c>
      <c r="FQ20" s="208">
        <v>0</v>
      </c>
      <c r="FR20" s="208">
        <v>0</v>
      </c>
      <c r="FS20" s="208">
        <v>0</v>
      </c>
      <c r="FT20" s="208">
        <v>0</v>
      </c>
      <c r="FU20" s="208">
        <v>-236469</v>
      </c>
      <c r="FV20" s="208">
        <v>0</v>
      </c>
      <c r="FW20" s="208">
        <v>-236469</v>
      </c>
      <c r="FX20" s="208">
        <v>0</v>
      </c>
      <c r="FY20" s="208">
        <v>0</v>
      </c>
      <c r="FZ20" s="208">
        <v>0</v>
      </c>
      <c r="GA20" s="208">
        <v>0</v>
      </c>
      <c r="GB20" s="208">
        <v>0</v>
      </c>
      <c r="GC20" s="208">
        <v>0</v>
      </c>
      <c r="GD20" s="208">
        <v>0</v>
      </c>
      <c r="GE20" s="208">
        <v>0</v>
      </c>
      <c r="GF20" s="208">
        <v>0</v>
      </c>
      <c r="GG20" s="208">
        <v>52960502</v>
      </c>
      <c r="GH20" s="208">
        <v>0</v>
      </c>
      <c r="GI20" s="208">
        <v>52960502</v>
      </c>
      <c r="GJ20" s="208">
        <v>6725268</v>
      </c>
      <c r="GK20" s="208">
        <v>0</v>
      </c>
      <c r="GL20" s="208">
        <v>6725268</v>
      </c>
      <c r="GM20" s="208">
        <v>-6565728</v>
      </c>
      <c r="GN20" s="208">
        <v>0</v>
      </c>
      <c r="GO20" s="208">
        <v>-6565728</v>
      </c>
      <c r="GP20" s="208">
        <v>-1297792</v>
      </c>
      <c r="GQ20" s="208">
        <v>0</v>
      </c>
      <c r="GR20" s="208">
        <v>-1297792</v>
      </c>
      <c r="GS20" s="208">
        <v>-105128</v>
      </c>
      <c r="GT20" s="208">
        <v>0</v>
      </c>
      <c r="GU20" s="208">
        <v>-105128</v>
      </c>
      <c r="GV20" s="208">
        <v>-236469</v>
      </c>
      <c r="GW20" s="208">
        <v>0</v>
      </c>
      <c r="GX20" s="208">
        <v>-236469</v>
      </c>
      <c r="GY20" s="208">
        <v>0</v>
      </c>
      <c r="GZ20" s="208">
        <v>0</v>
      </c>
      <c r="HA20" s="208">
        <v>0</v>
      </c>
      <c r="HB20" s="208">
        <v>-1479849</v>
      </c>
      <c r="HC20" s="208">
        <v>0</v>
      </c>
      <c r="HD20" s="208">
        <v>-1479849</v>
      </c>
      <c r="HE20" s="208">
        <v>51480653</v>
      </c>
      <c r="HF20" s="208">
        <v>0</v>
      </c>
      <c r="HG20" s="208">
        <v>51480653</v>
      </c>
      <c r="HH20" s="187" t="s">
        <v>1054</v>
      </c>
    </row>
    <row r="21" spans="2:216" s="187" customFormat="1" x14ac:dyDescent="0.2">
      <c r="B21" s="429" t="s">
        <v>121</v>
      </c>
      <c r="C21" s="429" t="s">
        <v>120</v>
      </c>
      <c r="D21" s="208">
        <v>-1178764</v>
      </c>
      <c r="E21" s="208">
        <v>-48319</v>
      </c>
      <c r="F21" s="208">
        <v>-1227083</v>
      </c>
      <c r="G21" s="208">
        <v>35287</v>
      </c>
      <c r="H21" s="208">
        <v>0</v>
      </c>
      <c r="I21" s="208">
        <v>35287</v>
      </c>
      <c r="J21" s="208">
        <v>1523851</v>
      </c>
      <c r="K21" s="208">
        <v>17361</v>
      </c>
      <c r="L21" s="208">
        <v>1541212</v>
      </c>
      <c r="M21" s="208">
        <v>-423</v>
      </c>
      <c r="N21" s="208">
        <v>-41525</v>
      </c>
      <c r="O21" s="208">
        <v>-41948</v>
      </c>
      <c r="P21" s="208">
        <v>379951</v>
      </c>
      <c r="Q21" s="208">
        <v>-72483</v>
      </c>
      <c r="R21" s="208">
        <v>307468</v>
      </c>
      <c r="S21" s="208">
        <v>-6457291</v>
      </c>
      <c r="T21" s="208">
        <v>-126316</v>
      </c>
      <c r="U21" s="208">
        <v>-6583607</v>
      </c>
      <c r="V21" s="208">
        <v>-23374</v>
      </c>
      <c r="W21" s="208">
        <v>0</v>
      </c>
      <c r="X21" s="208">
        <v>-23374</v>
      </c>
      <c r="Y21" s="208">
        <v>-138219</v>
      </c>
      <c r="Z21" s="208">
        <v>-371</v>
      </c>
      <c r="AA21" s="208">
        <v>-138590</v>
      </c>
      <c r="AB21" s="208">
        <v>6828</v>
      </c>
      <c r="AC21" s="208">
        <v>0</v>
      </c>
      <c r="AD21" s="208">
        <v>6828</v>
      </c>
      <c r="AE21" s="208">
        <v>-133903</v>
      </c>
      <c r="AF21" s="208">
        <v>-371</v>
      </c>
      <c r="AG21" s="208">
        <v>-134274</v>
      </c>
      <c r="AH21" s="208">
        <v>-5417</v>
      </c>
      <c r="AI21" s="208">
        <v>0</v>
      </c>
      <c r="AJ21" s="208">
        <v>-5417</v>
      </c>
      <c r="AK21" s="208">
        <v>-5726</v>
      </c>
      <c r="AL21" s="208">
        <v>0</v>
      </c>
      <c r="AM21" s="208">
        <v>-5726</v>
      </c>
      <c r="AN21" s="208">
        <v>1535958</v>
      </c>
      <c r="AO21" s="208">
        <v>157951</v>
      </c>
      <c r="AP21" s="208">
        <v>1693909</v>
      </c>
      <c r="AQ21" s="208">
        <v>11048</v>
      </c>
      <c r="AR21" s="208">
        <v>-3304</v>
      </c>
      <c r="AS21" s="208">
        <v>7744</v>
      </c>
      <c r="AT21" s="208">
        <v>-9055280</v>
      </c>
      <c r="AU21" s="208">
        <v>-339880</v>
      </c>
      <c r="AV21" s="208">
        <v>-9395160</v>
      </c>
      <c r="AW21" s="208">
        <v>-29492</v>
      </c>
      <c r="AX21" s="208">
        <v>383</v>
      </c>
      <c r="AY21" s="208">
        <v>-29109</v>
      </c>
      <c r="AZ21" s="208">
        <v>-162985</v>
      </c>
      <c r="BA21" s="208">
        <v>0</v>
      </c>
      <c r="BB21" s="208">
        <v>-162985</v>
      </c>
      <c r="BC21" s="208">
        <v>0</v>
      </c>
      <c r="BD21" s="208">
        <v>0</v>
      </c>
      <c r="BE21" s="208">
        <v>0</v>
      </c>
      <c r="BF21" s="208">
        <v>-15961</v>
      </c>
      <c r="BG21" s="208">
        <v>0</v>
      </c>
      <c r="BH21" s="208">
        <v>-15961</v>
      </c>
      <c r="BI21" s="208">
        <v>2643</v>
      </c>
      <c r="BJ21" s="208">
        <v>0</v>
      </c>
      <c r="BK21" s="208">
        <v>2643</v>
      </c>
      <c r="BL21" s="208">
        <v>-14309579</v>
      </c>
      <c r="BM21" s="208">
        <v>-311537</v>
      </c>
      <c r="BN21" s="208">
        <v>-14621116</v>
      </c>
      <c r="BO21" s="208">
        <v>-2791</v>
      </c>
      <c r="BP21" s="208">
        <v>0</v>
      </c>
      <c r="BQ21" s="208">
        <v>-2791</v>
      </c>
      <c r="BR21" s="208">
        <v>0</v>
      </c>
      <c r="BS21" s="208">
        <v>0</v>
      </c>
      <c r="BT21" s="208">
        <v>0</v>
      </c>
      <c r="BU21" s="208">
        <v>-2778784</v>
      </c>
      <c r="BV21" s="208">
        <v>-169471</v>
      </c>
      <c r="BW21" s="208">
        <v>-2948255</v>
      </c>
      <c r="BX21" s="208">
        <v>-176971</v>
      </c>
      <c r="BY21" s="208">
        <v>-16075</v>
      </c>
      <c r="BZ21" s="208">
        <v>-193046</v>
      </c>
      <c r="CA21" s="208">
        <v>-2958546</v>
      </c>
      <c r="CB21" s="208">
        <v>-185546</v>
      </c>
      <c r="CC21" s="208">
        <v>-3144092</v>
      </c>
      <c r="CD21" s="208">
        <v>-94074</v>
      </c>
      <c r="CE21" s="208">
        <v>0</v>
      </c>
      <c r="CF21" s="208">
        <v>-94074</v>
      </c>
      <c r="CG21" s="208">
        <v>-417</v>
      </c>
      <c r="CH21" s="208">
        <v>0</v>
      </c>
      <c r="CI21" s="208">
        <v>-417</v>
      </c>
      <c r="CJ21" s="208">
        <v>-32304</v>
      </c>
      <c r="CK21" s="208">
        <v>0</v>
      </c>
      <c r="CL21" s="208">
        <v>-32304</v>
      </c>
      <c r="CM21" s="208">
        <v>7710</v>
      </c>
      <c r="CN21" s="208">
        <v>0</v>
      </c>
      <c r="CO21" s="208">
        <v>7710</v>
      </c>
      <c r="CP21" s="208">
        <v>-21712</v>
      </c>
      <c r="CQ21" s="208">
        <v>0</v>
      </c>
      <c r="CR21" s="208">
        <v>-21712</v>
      </c>
      <c r="CS21" s="208">
        <v>-67</v>
      </c>
      <c r="CT21" s="208">
        <v>0</v>
      </c>
      <c r="CU21" s="208">
        <v>-67</v>
      </c>
      <c r="CV21" s="208">
        <v>0</v>
      </c>
      <c r="CW21" s="208">
        <v>0</v>
      </c>
      <c r="CX21" s="208">
        <v>0</v>
      </c>
      <c r="CY21" s="208">
        <v>20</v>
      </c>
      <c r="CZ21" s="208">
        <v>0</v>
      </c>
      <c r="DA21" s="208">
        <v>20</v>
      </c>
      <c r="DB21" s="208">
        <v>-22490</v>
      </c>
      <c r="DC21" s="208">
        <v>0</v>
      </c>
      <c r="DD21" s="208">
        <v>-22490</v>
      </c>
      <c r="DE21" s="208">
        <v>0</v>
      </c>
      <c r="DF21" s="208">
        <v>0</v>
      </c>
      <c r="DG21" s="208">
        <v>0</v>
      </c>
      <c r="DH21" s="208">
        <v>0</v>
      </c>
      <c r="DI21" s="208">
        <v>-35880</v>
      </c>
      <c r="DJ21" s="208">
        <v>-35880</v>
      </c>
      <c r="DK21" s="208">
        <v>0</v>
      </c>
      <c r="DL21" s="208">
        <v>-24155</v>
      </c>
      <c r="DM21" s="208">
        <v>-24155</v>
      </c>
      <c r="DN21" s="208">
        <v>-60035</v>
      </c>
      <c r="DO21" s="208">
        <v>0</v>
      </c>
      <c r="DP21" s="208">
        <v>-163334</v>
      </c>
      <c r="DQ21" s="208">
        <v>-60035</v>
      </c>
      <c r="DR21" s="208">
        <v>-223369</v>
      </c>
      <c r="DS21" s="208">
        <v>0</v>
      </c>
      <c r="DT21" s="208">
        <v>0</v>
      </c>
      <c r="DU21" s="208">
        <v>0</v>
      </c>
      <c r="DV21" s="208">
        <v>0</v>
      </c>
      <c r="DW21" s="208">
        <v>0</v>
      </c>
      <c r="DX21" s="208">
        <v>0</v>
      </c>
      <c r="DY21" s="208">
        <v>453</v>
      </c>
      <c r="DZ21" s="208">
        <v>0</v>
      </c>
      <c r="EA21" s="208">
        <v>453</v>
      </c>
      <c r="EB21" s="208">
        <v>0</v>
      </c>
      <c r="EC21" s="208">
        <v>0</v>
      </c>
      <c r="ED21" s="208">
        <v>0</v>
      </c>
      <c r="EE21" s="208">
        <v>0</v>
      </c>
      <c r="EF21" s="208">
        <v>0</v>
      </c>
      <c r="EG21" s="208">
        <v>0</v>
      </c>
      <c r="EH21" s="208">
        <v>0</v>
      </c>
      <c r="EI21" s="208">
        <v>0</v>
      </c>
      <c r="EJ21" s="208">
        <v>0</v>
      </c>
      <c r="EK21" s="208">
        <v>-15961</v>
      </c>
      <c r="EL21" s="208">
        <v>0</v>
      </c>
      <c r="EM21" s="208">
        <v>-15961</v>
      </c>
      <c r="EN21" s="208">
        <v>2623</v>
      </c>
      <c r="EO21" s="208">
        <v>0</v>
      </c>
      <c r="EP21" s="208">
        <v>2623</v>
      </c>
      <c r="EQ21" s="208">
        <v>-1019</v>
      </c>
      <c r="ER21" s="208">
        <v>0</v>
      </c>
      <c r="ES21" s="208">
        <v>-1019</v>
      </c>
      <c r="ET21" s="208">
        <v>0</v>
      </c>
      <c r="EU21" s="208">
        <v>0</v>
      </c>
      <c r="EV21" s="208">
        <v>0</v>
      </c>
      <c r="EW21" s="208">
        <v>-22478</v>
      </c>
      <c r="EX21" s="208">
        <v>0</v>
      </c>
      <c r="EY21" s="208">
        <v>-22478</v>
      </c>
      <c r="EZ21" s="208">
        <v>362.32</v>
      </c>
      <c r="FA21" s="208">
        <v>0</v>
      </c>
      <c r="FB21" s="208">
        <v>362.32</v>
      </c>
      <c r="FC21" s="208">
        <v>-182176</v>
      </c>
      <c r="FD21" s="208">
        <v>0</v>
      </c>
      <c r="FE21" s="208">
        <v>-182176</v>
      </c>
      <c r="FF21" s="208">
        <v>-83123.039999999994</v>
      </c>
      <c r="FG21" s="208">
        <v>0</v>
      </c>
      <c r="FH21" s="208">
        <v>-83123.039999999994</v>
      </c>
      <c r="FI21" s="208">
        <v>-42482</v>
      </c>
      <c r="FJ21" s="208">
        <v>-2000</v>
      </c>
      <c r="FK21" s="208">
        <v>-44482</v>
      </c>
      <c r="FL21" s="208">
        <v>-46.59</v>
      </c>
      <c r="FM21" s="208">
        <v>0</v>
      </c>
      <c r="FN21" s="208">
        <v>-46.59</v>
      </c>
      <c r="FO21" s="208">
        <v>0</v>
      </c>
      <c r="FP21" s="208">
        <v>0</v>
      </c>
      <c r="FQ21" s="208">
        <v>0</v>
      </c>
      <c r="FR21" s="208">
        <v>0</v>
      </c>
      <c r="FS21" s="208">
        <v>0</v>
      </c>
      <c r="FT21" s="208">
        <v>0</v>
      </c>
      <c r="FU21" s="208">
        <v>-343847</v>
      </c>
      <c r="FV21" s="208">
        <v>-2000</v>
      </c>
      <c r="FW21" s="208">
        <v>-345847</v>
      </c>
      <c r="FX21" s="208">
        <v>0</v>
      </c>
      <c r="FY21" s="208">
        <v>0</v>
      </c>
      <c r="FZ21" s="208">
        <v>0</v>
      </c>
      <c r="GA21" s="208">
        <v>0</v>
      </c>
      <c r="GB21" s="208">
        <v>0</v>
      </c>
      <c r="GC21" s="208">
        <v>0</v>
      </c>
      <c r="GD21" s="208">
        <v>0</v>
      </c>
      <c r="GE21" s="208">
        <v>0</v>
      </c>
      <c r="GF21" s="208">
        <v>0</v>
      </c>
      <c r="GG21" s="208">
        <v>81631740</v>
      </c>
      <c r="GH21" s="208">
        <v>6494355</v>
      </c>
      <c r="GI21" s="208">
        <v>88126095</v>
      </c>
      <c r="GJ21" s="208">
        <v>379951</v>
      </c>
      <c r="GK21" s="208">
        <v>-72483</v>
      </c>
      <c r="GL21" s="208">
        <v>307468</v>
      </c>
      <c r="GM21" s="208">
        <v>-14309579</v>
      </c>
      <c r="GN21" s="208">
        <v>-311537</v>
      </c>
      <c r="GO21" s="208">
        <v>-14621116</v>
      </c>
      <c r="GP21" s="208">
        <v>-2958546</v>
      </c>
      <c r="GQ21" s="208">
        <v>-185546</v>
      </c>
      <c r="GR21" s="208">
        <v>-3144092</v>
      </c>
      <c r="GS21" s="208">
        <v>-163334</v>
      </c>
      <c r="GT21" s="208">
        <v>-60035</v>
      </c>
      <c r="GU21" s="208">
        <v>-223369</v>
      </c>
      <c r="GV21" s="208">
        <v>-343847</v>
      </c>
      <c r="GW21" s="208">
        <v>-2000</v>
      </c>
      <c r="GX21" s="208">
        <v>-345847</v>
      </c>
      <c r="GY21" s="208">
        <v>0</v>
      </c>
      <c r="GZ21" s="208">
        <v>0</v>
      </c>
      <c r="HA21" s="208">
        <v>0</v>
      </c>
      <c r="HB21" s="208">
        <v>-17395355</v>
      </c>
      <c r="HC21" s="208">
        <v>-631601</v>
      </c>
      <c r="HD21" s="208">
        <v>-18026956</v>
      </c>
      <c r="HE21" s="208">
        <v>64236385</v>
      </c>
      <c r="HF21" s="208">
        <v>5862754</v>
      </c>
      <c r="HG21" s="208">
        <v>70099139</v>
      </c>
      <c r="HH21" s="187" t="s">
        <v>742</v>
      </c>
    </row>
    <row r="22" spans="2:216" s="187" customFormat="1" x14ac:dyDescent="0.2">
      <c r="B22" s="429" t="s">
        <v>123</v>
      </c>
      <c r="C22" s="429" t="s">
        <v>122</v>
      </c>
      <c r="D22" s="208">
        <v>-713166</v>
      </c>
      <c r="E22" s="208">
        <v>0</v>
      </c>
      <c r="F22" s="208">
        <v>-713166</v>
      </c>
      <c r="G22" s="208">
        <v>-4769</v>
      </c>
      <c r="H22" s="208">
        <v>0</v>
      </c>
      <c r="I22" s="208">
        <v>-4769</v>
      </c>
      <c r="J22" s="208">
        <v>3415454</v>
      </c>
      <c r="K22" s="208">
        <v>0</v>
      </c>
      <c r="L22" s="208">
        <v>3415454</v>
      </c>
      <c r="M22" s="208">
        <v>669</v>
      </c>
      <c r="N22" s="208">
        <v>0</v>
      </c>
      <c r="O22" s="208">
        <v>669</v>
      </c>
      <c r="P22" s="208">
        <v>2698188</v>
      </c>
      <c r="Q22" s="208">
        <v>0</v>
      </c>
      <c r="R22" s="208">
        <v>2698188</v>
      </c>
      <c r="S22" s="208">
        <v>-5470914</v>
      </c>
      <c r="T22" s="208">
        <v>0</v>
      </c>
      <c r="U22" s="208">
        <v>-5470914</v>
      </c>
      <c r="V22" s="208">
        <v>-27018</v>
      </c>
      <c r="W22" s="208">
        <v>0</v>
      </c>
      <c r="X22" s="208">
        <v>-27018</v>
      </c>
      <c r="Y22" s="208">
        <v>-136091</v>
      </c>
      <c r="Z22" s="208">
        <v>0</v>
      </c>
      <c r="AA22" s="208">
        <v>-136091</v>
      </c>
      <c r="AB22" s="208">
        <v>-16969</v>
      </c>
      <c r="AC22" s="208">
        <v>0</v>
      </c>
      <c r="AD22" s="208">
        <v>-16969</v>
      </c>
      <c r="AE22" s="208">
        <v>-124784</v>
      </c>
      <c r="AF22" s="208">
        <v>0</v>
      </c>
      <c r="AG22" s="208">
        <v>-124784</v>
      </c>
      <c r="AH22" s="208">
        <v>-4709</v>
      </c>
      <c r="AI22" s="208">
        <v>0</v>
      </c>
      <c r="AJ22" s="208">
        <v>-4709</v>
      </c>
      <c r="AK22" s="208">
        <v>-2605</v>
      </c>
      <c r="AL22" s="208">
        <v>0</v>
      </c>
      <c r="AM22" s="208">
        <v>-2605</v>
      </c>
      <c r="AN22" s="208">
        <v>1573744</v>
      </c>
      <c r="AO22" s="208">
        <v>0</v>
      </c>
      <c r="AP22" s="208">
        <v>1573744</v>
      </c>
      <c r="AQ22" s="208">
        <v>51329</v>
      </c>
      <c r="AR22" s="208">
        <v>0</v>
      </c>
      <c r="AS22" s="208">
        <v>51329</v>
      </c>
      <c r="AT22" s="208">
        <v>-6428463</v>
      </c>
      <c r="AU22" s="208">
        <v>0</v>
      </c>
      <c r="AV22" s="208">
        <v>-6428463</v>
      </c>
      <c r="AW22" s="208">
        <v>74625</v>
      </c>
      <c r="AX22" s="208">
        <v>0</v>
      </c>
      <c r="AY22" s="208">
        <v>74625</v>
      </c>
      <c r="AZ22" s="208">
        <v>-160047</v>
      </c>
      <c r="BA22" s="208">
        <v>0</v>
      </c>
      <c r="BB22" s="208">
        <v>-160047</v>
      </c>
      <c r="BC22" s="208">
        <v>28053</v>
      </c>
      <c r="BD22" s="208">
        <v>0</v>
      </c>
      <c r="BE22" s="208">
        <v>28053</v>
      </c>
      <c r="BF22" s="208">
        <v>-39596</v>
      </c>
      <c r="BG22" s="208">
        <v>0</v>
      </c>
      <c r="BH22" s="208">
        <v>-39596</v>
      </c>
      <c r="BI22" s="208">
        <v>5</v>
      </c>
      <c r="BJ22" s="208">
        <v>0</v>
      </c>
      <c r="BK22" s="208">
        <v>5</v>
      </c>
      <c r="BL22" s="208">
        <v>-10507355</v>
      </c>
      <c r="BM22" s="208">
        <v>0</v>
      </c>
      <c r="BN22" s="208">
        <v>-10507355</v>
      </c>
      <c r="BO22" s="208">
        <v>0</v>
      </c>
      <c r="BP22" s="208">
        <v>0</v>
      </c>
      <c r="BQ22" s="208">
        <v>0</v>
      </c>
      <c r="BR22" s="208">
        <v>2</v>
      </c>
      <c r="BS22" s="208">
        <v>0</v>
      </c>
      <c r="BT22" s="208">
        <v>2</v>
      </c>
      <c r="BU22" s="208">
        <v>-2007731</v>
      </c>
      <c r="BV22" s="208">
        <v>0</v>
      </c>
      <c r="BW22" s="208">
        <v>-2007731</v>
      </c>
      <c r="BX22" s="208">
        <v>7874</v>
      </c>
      <c r="BY22" s="208">
        <v>0</v>
      </c>
      <c r="BZ22" s="208">
        <v>7874</v>
      </c>
      <c r="CA22" s="208">
        <v>-1999855</v>
      </c>
      <c r="CB22" s="208">
        <v>0</v>
      </c>
      <c r="CC22" s="208">
        <v>-1999855</v>
      </c>
      <c r="CD22" s="208">
        <v>-93907</v>
      </c>
      <c r="CE22" s="208">
        <v>0</v>
      </c>
      <c r="CF22" s="208">
        <v>-93907</v>
      </c>
      <c r="CG22" s="208">
        <v>-3812</v>
      </c>
      <c r="CH22" s="208">
        <v>0</v>
      </c>
      <c r="CI22" s="208">
        <v>-3812</v>
      </c>
      <c r="CJ22" s="208">
        <v>0</v>
      </c>
      <c r="CK22" s="208">
        <v>0</v>
      </c>
      <c r="CL22" s="208">
        <v>0</v>
      </c>
      <c r="CM22" s="208">
        <v>-3901</v>
      </c>
      <c r="CN22" s="208">
        <v>0</v>
      </c>
      <c r="CO22" s="208">
        <v>-3901</v>
      </c>
      <c r="CP22" s="208">
        <v>-1797</v>
      </c>
      <c r="CQ22" s="208">
        <v>0</v>
      </c>
      <c r="CR22" s="208">
        <v>-1797</v>
      </c>
      <c r="CS22" s="208">
        <v>0</v>
      </c>
      <c r="CT22" s="208">
        <v>0</v>
      </c>
      <c r="CU22" s="208">
        <v>0</v>
      </c>
      <c r="CV22" s="208">
        <v>0</v>
      </c>
      <c r="CW22" s="208">
        <v>0</v>
      </c>
      <c r="CX22" s="208">
        <v>0</v>
      </c>
      <c r="CY22" s="208">
        <v>0</v>
      </c>
      <c r="CZ22" s="208">
        <v>0</v>
      </c>
      <c r="DA22" s="208">
        <v>0</v>
      </c>
      <c r="DB22" s="208">
        <v>-2040</v>
      </c>
      <c r="DC22" s="208">
        <v>0</v>
      </c>
      <c r="DD22" s="208">
        <v>-2040</v>
      </c>
      <c r="DE22" s="208">
        <v>0</v>
      </c>
      <c r="DF22" s="208">
        <v>0</v>
      </c>
      <c r="DG22" s="208">
        <v>0</v>
      </c>
      <c r="DH22" s="208">
        <v>0</v>
      </c>
      <c r="DI22" s="208">
        <v>0</v>
      </c>
      <c r="DJ22" s="208">
        <v>0</v>
      </c>
      <c r="DK22" s="208">
        <v>0</v>
      </c>
      <c r="DL22" s="208">
        <v>0</v>
      </c>
      <c r="DM22" s="208">
        <v>0</v>
      </c>
      <c r="DN22" s="208">
        <v>0</v>
      </c>
      <c r="DO22" s="208">
        <v>0</v>
      </c>
      <c r="DP22" s="208">
        <v>-105457</v>
      </c>
      <c r="DQ22" s="208">
        <v>0</v>
      </c>
      <c r="DR22" s="208">
        <v>-105457</v>
      </c>
      <c r="DS22" s="208">
        <v>2913</v>
      </c>
      <c r="DT22" s="208">
        <v>0</v>
      </c>
      <c r="DU22" s="208">
        <v>2913</v>
      </c>
      <c r="DV22" s="208">
        <v>0</v>
      </c>
      <c r="DW22" s="208">
        <v>0</v>
      </c>
      <c r="DX22" s="208">
        <v>0</v>
      </c>
      <c r="DY22" s="208">
        <v>0</v>
      </c>
      <c r="DZ22" s="208">
        <v>0</v>
      </c>
      <c r="EA22" s="208">
        <v>0</v>
      </c>
      <c r="EB22" s="208">
        <v>0</v>
      </c>
      <c r="EC22" s="208">
        <v>0</v>
      </c>
      <c r="ED22" s="208">
        <v>0</v>
      </c>
      <c r="EE22" s="208">
        <v>0</v>
      </c>
      <c r="EF22" s="208">
        <v>0</v>
      </c>
      <c r="EG22" s="208">
        <v>0</v>
      </c>
      <c r="EH22" s="208">
        <v>0</v>
      </c>
      <c r="EI22" s="208">
        <v>0</v>
      </c>
      <c r="EJ22" s="208">
        <v>0</v>
      </c>
      <c r="EK22" s="208">
        <v>-33310</v>
      </c>
      <c r="EL22" s="208">
        <v>0</v>
      </c>
      <c r="EM22" s="208">
        <v>-33310</v>
      </c>
      <c r="EN22" s="208">
        <v>5</v>
      </c>
      <c r="EO22" s="208">
        <v>0</v>
      </c>
      <c r="EP22" s="208">
        <v>5</v>
      </c>
      <c r="EQ22" s="208">
        <v>-366</v>
      </c>
      <c r="ER22" s="208">
        <v>0</v>
      </c>
      <c r="ES22" s="208">
        <v>-366</v>
      </c>
      <c r="ET22" s="208">
        <v>0</v>
      </c>
      <c r="EU22" s="208">
        <v>0</v>
      </c>
      <c r="EV22" s="208">
        <v>0</v>
      </c>
      <c r="EW22" s="208">
        <v>-13789</v>
      </c>
      <c r="EX22" s="208">
        <v>0</v>
      </c>
      <c r="EY22" s="208">
        <v>-13789</v>
      </c>
      <c r="EZ22" s="208">
        <v>190</v>
      </c>
      <c r="FA22" s="208">
        <v>0</v>
      </c>
      <c r="FB22" s="208">
        <v>190</v>
      </c>
      <c r="FC22" s="208">
        <v>-107776</v>
      </c>
      <c r="FD22" s="208">
        <v>0</v>
      </c>
      <c r="FE22" s="208">
        <v>-107776</v>
      </c>
      <c r="FF22" s="208">
        <v>5841</v>
      </c>
      <c r="FG22" s="208">
        <v>0</v>
      </c>
      <c r="FH22" s="208">
        <v>5841</v>
      </c>
      <c r="FI22" s="208">
        <v>-35469</v>
      </c>
      <c r="FJ22" s="208">
        <v>0</v>
      </c>
      <c r="FK22" s="208">
        <v>-35469</v>
      </c>
      <c r="FL22" s="208">
        <v>1000</v>
      </c>
      <c r="FM22" s="208">
        <v>0</v>
      </c>
      <c r="FN22" s="208">
        <v>1000</v>
      </c>
      <c r="FO22" s="208">
        <v>0</v>
      </c>
      <c r="FP22" s="208">
        <v>0</v>
      </c>
      <c r="FQ22" s="208">
        <v>0</v>
      </c>
      <c r="FR22" s="208">
        <v>0</v>
      </c>
      <c r="FS22" s="208">
        <v>0</v>
      </c>
      <c r="FT22" s="208">
        <v>0</v>
      </c>
      <c r="FU22" s="208">
        <v>-180761</v>
      </c>
      <c r="FV22" s="208">
        <v>0</v>
      </c>
      <c r="FW22" s="208">
        <v>-180761</v>
      </c>
      <c r="FX22" s="208">
        <v>-9720</v>
      </c>
      <c r="FY22" s="208">
        <v>0</v>
      </c>
      <c r="FZ22" s="208">
        <v>-9720</v>
      </c>
      <c r="GA22" s="208">
        <v>-72425</v>
      </c>
      <c r="GB22" s="208">
        <v>0</v>
      </c>
      <c r="GC22" s="208">
        <v>-72425</v>
      </c>
      <c r="GD22" s="208">
        <v>-82145</v>
      </c>
      <c r="GE22" s="208">
        <v>0</v>
      </c>
      <c r="GF22" s="208">
        <v>-82145</v>
      </c>
      <c r="GG22" s="208">
        <v>77025376</v>
      </c>
      <c r="GH22" s="208">
        <v>0</v>
      </c>
      <c r="GI22" s="208">
        <v>77025376</v>
      </c>
      <c r="GJ22" s="208">
        <v>2698188</v>
      </c>
      <c r="GK22" s="208">
        <v>0</v>
      </c>
      <c r="GL22" s="208">
        <v>2698188</v>
      </c>
      <c r="GM22" s="208">
        <v>-10507355</v>
      </c>
      <c r="GN22" s="208">
        <v>0</v>
      </c>
      <c r="GO22" s="208">
        <v>-10507355</v>
      </c>
      <c r="GP22" s="208">
        <v>-1999855</v>
      </c>
      <c r="GQ22" s="208">
        <v>0</v>
      </c>
      <c r="GR22" s="208">
        <v>-1999855</v>
      </c>
      <c r="GS22" s="208">
        <v>-105457</v>
      </c>
      <c r="GT22" s="208">
        <v>0</v>
      </c>
      <c r="GU22" s="208">
        <v>-105457</v>
      </c>
      <c r="GV22" s="208">
        <v>-180761</v>
      </c>
      <c r="GW22" s="208">
        <v>0</v>
      </c>
      <c r="GX22" s="208">
        <v>-180761</v>
      </c>
      <c r="GY22" s="208">
        <v>-82145</v>
      </c>
      <c r="GZ22" s="208">
        <v>0</v>
      </c>
      <c r="HA22" s="208">
        <v>-82145</v>
      </c>
      <c r="HB22" s="208">
        <v>-10177385</v>
      </c>
      <c r="HC22" s="208">
        <v>0</v>
      </c>
      <c r="HD22" s="208">
        <v>-10177385</v>
      </c>
      <c r="HE22" s="208">
        <v>66847991</v>
      </c>
      <c r="HF22" s="208">
        <v>0</v>
      </c>
      <c r="HG22" s="208">
        <v>66847991</v>
      </c>
      <c r="HH22" s="187" t="s">
        <v>742</v>
      </c>
    </row>
    <row r="23" spans="2:216" s="187" customFormat="1" x14ac:dyDescent="0.2">
      <c r="B23" s="429" t="s">
        <v>125</v>
      </c>
      <c r="C23" s="429" t="s">
        <v>124</v>
      </c>
      <c r="D23" s="208">
        <v>-1564796</v>
      </c>
      <c r="E23" s="208">
        <v>0</v>
      </c>
      <c r="F23" s="208">
        <v>-1564796</v>
      </c>
      <c r="G23" s="208">
        <v>1938</v>
      </c>
      <c r="H23" s="208">
        <v>0</v>
      </c>
      <c r="I23" s="208">
        <v>1938</v>
      </c>
      <c r="J23" s="208">
        <v>1765922</v>
      </c>
      <c r="K23" s="208">
        <v>0</v>
      </c>
      <c r="L23" s="208">
        <v>1765922</v>
      </c>
      <c r="M23" s="208">
        <v>24780</v>
      </c>
      <c r="N23" s="208">
        <v>0</v>
      </c>
      <c r="O23" s="208">
        <v>24780</v>
      </c>
      <c r="P23" s="208">
        <v>227844</v>
      </c>
      <c r="Q23" s="208">
        <v>0</v>
      </c>
      <c r="R23" s="208">
        <v>227844</v>
      </c>
      <c r="S23" s="208">
        <v>-6431746</v>
      </c>
      <c r="T23" s="208">
        <v>0</v>
      </c>
      <c r="U23" s="208">
        <v>-6431746</v>
      </c>
      <c r="V23" s="208">
        <v>0</v>
      </c>
      <c r="W23" s="208">
        <v>0</v>
      </c>
      <c r="X23" s="208">
        <v>0</v>
      </c>
      <c r="Y23" s="208">
        <v>-85554</v>
      </c>
      <c r="Z23" s="208">
        <v>0</v>
      </c>
      <c r="AA23" s="208">
        <v>-85554</v>
      </c>
      <c r="AB23" s="208">
        <v>-19247</v>
      </c>
      <c r="AC23" s="208">
        <v>0</v>
      </c>
      <c r="AD23" s="208">
        <v>-19247</v>
      </c>
      <c r="AE23" s="208">
        <v>-66803</v>
      </c>
      <c r="AF23" s="208">
        <v>0</v>
      </c>
      <c r="AG23" s="208">
        <v>-66803</v>
      </c>
      <c r="AH23" s="208">
        <v>0</v>
      </c>
      <c r="AI23" s="208">
        <v>0</v>
      </c>
      <c r="AJ23" s="208">
        <v>0</v>
      </c>
      <c r="AK23" s="208">
        <v>0</v>
      </c>
      <c r="AL23" s="208">
        <v>0</v>
      </c>
      <c r="AM23" s="208">
        <v>0</v>
      </c>
      <c r="AN23" s="208">
        <v>1828904</v>
      </c>
      <c r="AO23" s="208">
        <v>0</v>
      </c>
      <c r="AP23" s="208">
        <v>1828904</v>
      </c>
      <c r="AQ23" s="208">
        <v>-21768</v>
      </c>
      <c r="AR23" s="208">
        <v>0</v>
      </c>
      <c r="AS23" s="208">
        <v>-21768</v>
      </c>
      <c r="AT23" s="208">
        <v>-8218909</v>
      </c>
      <c r="AU23" s="208">
        <v>0</v>
      </c>
      <c r="AV23" s="208">
        <v>-8218909</v>
      </c>
      <c r="AW23" s="208">
        <v>-130563</v>
      </c>
      <c r="AX23" s="208">
        <v>0</v>
      </c>
      <c r="AY23" s="208">
        <v>-130563</v>
      </c>
      <c r="AZ23" s="208">
        <v>-103559</v>
      </c>
      <c r="BA23" s="208">
        <v>0</v>
      </c>
      <c r="BB23" s="208">
        <v>-103559</v>
      </c>
      <c r="BC23" s="208">
        <v>0</v>
      </c>
      <c r="BD23" s="208">
        <v>0</v>
      </c>
      <c r="BE23" s="208">
        <v>0</v>
      </c>
      <c r="BF23" s="208">
        <v>0</v>
      </c>
      <c r="BG23" s="208">
        <v>0</v>
      </c>
      <c r="BH23" s="208">
        <v>0</v>
      </c>
      <c r="BI23" s="208">
        <v>0</v>
      </c>
      <c r="BJ23" s="208">
        <v>0</v>
      </c>
      <c r="BK23" s="208">
        <v>0</v>
      </c>
      <c r="BL23" s="208">
        <v>-13163195</v>
      </c>
      <c r="BM23" s="208">
        <v>0</v>
      </c>
      <c r="BN23" s="208">
        <v>-13163195</v>
      </c>
      <c r="BO23" s="208">
        <v>-76035</v>
      </c>
      <c r="BP23" s="208">
        <v>0</v>
      </c>
      <c r="BQ23" s="208">
        <v>-76035</v>
      </c>
      <c r="BR23" s="208">
        <v>0</v>
      </c>
      <c r="BS23" s="208">
        <v>0</v>
      </c>
      <c r="BT23" s="208">
        <v>0</v>
      </c>
      <c r="BU23" s="208">
        <v>-1540745</v>
      </c>
      <c r="BV23" s="208">
        <v>0</v>
      </c>
      <c r="BW23" s="208">
        <v>-1540745</v>
      </c>
      <c r="BX23" s="208">
        <v>27877</v>
      </c>
      <c r="BY23" s="208">
        <v>0</v>
      </c>
      <c r="BZ23" s="208">
        <v>27877</v>
      </c>
      <c r="CA23" s="208">
        <v>-1588903</v>
      </c>
      <c r="CB23" s="208">
        <v>0</v>
      </c>
      <c r="CC23" s="208">
        <v>-1588903</v>
      </c>
      <c r="CD23" s="208">
        <v>0</v>
      </c>
      <c r="CE23" s="208">
        <v>0</v>
      </c>
      <c r="CF23" s="208">
        <v>0</v>
      </c>
      <c r="CG23" s="208">
        <v>0</v>
      </c>
      <c r="CH23" s="208">
        <v>0</v>
      </c>
      <c r="CI23" s="208">
        <v>0</v>
      </c>
      <c r="CJ23" s="208">
        <v>0</v>
      </c>
      <c r="CK23" s="208">
        <v>0</v>
      </c>
      <c r="CL23" s="208">
        <v>0</v>
      </c>
      <c r="CM23" s="208">
        <v>0</v>
      </c>
      <c r="CN23" s="208">
        <v>0</v>
      </c>
      <c r="CO23" s="208">
        <v>0</v>
      </c>
      <c r="CP23" s="208">
        <v>0</v>
      </c>
      <c r="CQ23" s="208">
        <v>0</v>
      </c>
      <c r="CR23" s="208">
        <v>0</v>
      </c>
      <c r="CS23" s="208">
        <v>0</v>
      </c>
      <c r="CT23" s="208">
        <v>0</v>
      </c>
      <c r="CU23" s="208">
        <v>0</v>
      </c>
      <c r="CV23" s="208">
        <v>0</v>
      </c>
      <c r="CW23" s="208">
        <v>0</v>
      </c>
      <c r="CX23" s="208">
        <v>0</v>
      </c>
      <c r="CY23" s="208">
        <v>0</v>
      </c>
      <c r="CZ23" s="208">
        <v>0</v>
      </c>
      <c r="DA23" s="208">
        <v>0</v>
      </c>
      <c r="DB23" s="208">
        <v>0</v>
      </c>
      <c r="DC23" s="208">
        <v>0</v>
      </c>
      <c r="DD23" s="208">
        <v>0</v>
      </c>
      <c r="DE23" s="208">
        <v>0</v>
      </c>
      <c r="DF23" s="208">
        <v>0</v>
      </c>
      <c r="DG23" s="208">
        <v>0</v>
      </c>
      <c r="DH23" s="208">
        <v>0</v>
      </c>
      <c r="DI23" s="208">
        <v>0</v>
      </c>
      <c r="DJ23" s="208">
        <v>0</v>
      </c>
      <c r="DK23" s="208">
        <v>0</v>
      </c>
      <c r="DL23" s="208">
        <v>0</v>
      </c>
      <c r="DM23" s="208">
        <v>0</v>
      </c>
      <c r="DN23" s="208">
        <v>0</v>
      </c>
      <c r="DO23" s="208">
        <v>0</v>
      </c>
      <c r="DP23" s="208">
        <v>0</v>
      </c>
      <c r="DQ23" s="208">
        <v>0</v>
      </c>
      <c r="DR23" s="208">
        <v>0</v>
      </c>
      <c r="DS23" s="208">
        <v>0</v>
      </c>
      <c r="DT23" s="208">
        <v>0</v>
      </c>
      <c r="DU23" s="208">
        <v>0</v>
      </c>
      <c r="DV23" s="208">
        <v>0</v>
      </c>
      <c r="DW23" s="208">
        <v>0</v>
      </c>
      <c r="DX23" s="208">
        <v>0</v>
      </c>
      <c r="DY23" s="208">
        <v>-1955</v>
      </c>
      <c r="DZ23" s="208">
        <v>0</v>
      </c>
      <c r="EA23" s="208">
        <v>-1955</v>
      </c>
      <c r="EB23" s="208">
        <v>0</v>
      </c>
      <c r="EC23" s="208">
        <v>0</v>
      </c>
      <c r="ED23" s="208">
        <v>0</v>
      </c>
      <c r="EE23" s="208">
        <v>0</v>
      </c>
      <c r="EF23" s="208">
        <v>0</v>
      </c>
      <c r="EG23" s="208">
        <v>0</v>
      </c>
      <c r="EH23" s="208">
        <v>0</v>
      </c>
      <c r="EI23" s="208">
        <v>0</v>
      </c>
      <c r="EJ23" s="208">
        <v>0</v>
      </c>
      <c r="EK23" s="208">
        <v>0</v>
      </c>
      <c r="EL23" s="208">
        <v>0</v>
      </c>
      <c r="EM23" s="208">
        <v>0</v>
      </c>
      <c r="EN23" s="208">
        <v>0</v>
      </c>
      <c r="EO23" s="208">
        <v>0</v>
      </c>
      <c r="EP23" s="208">
        <v>0</v>
      </c>
      <c r="EQ23" s="208">
        <v>0</v>
      </c>
      <c r="ER23" s="208">
        <v>0</v>
      </c>
      <c r="ES23" s="208">
        <v>0</v>
      </c>
      <c r="ET23" s="208">
        <v>0</v>
      </c>
      <c r="EU23" s="208">
        <v>0</v>
      </c>
      <c r="EV23" s="208">
        <v>0</v>
      </c>
      <c r="EW23" s="208">
        <v>-34465</v>
      </c>
      <c r="EX23" s="208">
        <v>0</v>
      </c>
      <c r="EY23" s="208">
        <v>-34465</v>
      </c>
      <c r="EZ23" s="208">
        <v>1685</v>
      </c>
      <c r="FA23" s="208">
        <v>0</v>
      </c>
      <c r="FB23" s="208">
        <v>1685</v>
      </c>
      <c r="FC23" s="208">
        <v>-293591</v>
      </c>
      <c r="FD23" s="208">
        <v>0</v>
      </c>
      <c r="FE23" s="208">
        <v>-293591</v>
      </c>
      <c r="FF23" s="208">
        <v>-26286</v>
      </c>
      <c r="FG23" s="208">
        <v>0</v>
      </c>
      <c r="FH23" s="208">
        <v>-26286</v>
      </c>
      <c r="FI23" s="208">
        <v>-38397</v>
      </c>
      <c r="FJ23" s="208">
        <v>0</v>
      </c>
      <c r="FK23" s="208">
        <v>-38397</v>
      </c>
      <c r="FL23" s="208">
        <v>967</v>
      </c>
      <c r="FM23" s="208">
        <v>0</v>
      </c>
      <c r="FN23" s="208">
        <v>967</v>
      </c>
      <c r="FO23" s="208">
        <v>0</v>
      </c>
      <c r="FP23" s="208">
        <v>0</v>
      </c>
      <c r="FQ23" s="208">
        <v>0</v>
      </c>
      <c r="FR23" s="208">
        <v>0</v>
      </c>
      <c r="FS23" s="208">
        <v>0</v>
      </c>
      <c r="FT23" s="208">
        <v>0</v>
      </c>
      <c r="FU23" s="208">
        <v>-392042</v>
      </c>
      <c r="FV23" s="208">
        <v>0</v>
      </c>
      <c r="FW23" s="208">
        <v>-392042</v>
      </c>
      <c r="FX23" s="208">
        <v>0</v>
      </c>
      <c r="FY23" s="208">
        <v>0</v>
      </c>
      <c r="FZ23" s="208">
        <v>0</v>
      </c>
      <c r="GA23" s="208">
        <v>0</v>
      </c>
      <c r="GB23" s="208">
        <v>0</v>
      </c>
      <c r="GC23" s="208">
        <v>0</v>
      </c>
      <c r="GD23" s="208">
        <v>0</v>
      </c>
      <c r="GE23" s="208">
        <v>0</v>
      </c>
      <c r="GF23" s="208">
        <v>0</v>
      </c>
      <c r="GG23" s="208">
        <v>89950213</v>
      </c>
      <c r="GH23" s="208">
        <v>0</v>
      </c>
      <c r="GI23" s="208">
        <v>89950213</v>
      </c>
      <c r="GJ23" s="208">
        <v>227844</v>
      </c>
      <c r="GK23" s="208">
        <v>0</v>
      </c>
      <c r="GL23" s="208">
        <v>227844</v>
      </c>
      <c r="GM23" s="208">
        <v>-13163195</v>
      </c>
      <c r="GN23" s="208">
        <v>0</v>
      </c>
      <c r="GO23" s="208">
        <v>-13163195</v>
      </c>
      <c r="GP23" s="208">
        <v>-1588903</v>
      </c>
      <c r="GQ23" s="208">
        <v>0</v>
      </c>
      <c r="GR23" s="208">
        <v>-1588903</v>
      </c>
      <c r="GS23" s="208">
        <v>0</v>
      </c>
      <c r="GT23" s="208">
        <v>0</v>
      </c>
      <c r="GU23" s="208">
        <v>0</v>
      </c>
      <c r="GV23" s="208">
        <v>-392042</v>
      </c>
      <c r="GW23" s="208">
        <v>0</v>
      </c>
      <c r="GX23" s="208">
        <v>-392042</v>
      </c>
      <c r="GY23" s="208">
        <v>0</v>
      </c>
      <c r="GZ23" s="208">
        <v>0</v>
      </c>
      <c r="HA23" s="208">
        <v>0</v>
      </c>
      <c r="HB23" s="208">
        <v>-14916296</v>
      </c>
      <c r="HC23" s="208">
        <v>0</v>
      </c>
      <c r="HD23" s="208">
        <v>-14916296</v>
      </c>
      <c r="HE23" s="208">
        <v>75033917</v>
      </c>
      <c r="HF23" s="208">
        <v>0</v>
      </c>
      <c r="HG23" s="208">
        <v>75033917</v>
      </c>
      <c r="HH23" s="187" t="s">
        <v>1055</v>
      </c>
    </row>
    <row r="24" spans="2:216" s="187" customFormat="1" x14ac:dyDescent="0.2">
      <c r="B24" s="429" t="s">
        <v>127</v>
      </c>
      <c r="C24" s="429" t="s">
        <v>126</v>
      </c>
      <c r="D24" s="208">
        <v>-12382305</v>
      </c>
      <c r="E24" s="208">
        <v>-198354</v>
      </c>
      <c r="F24" s="208">
        <v>-12580659</v>
      </c>
      <c r="G24" s="208">
        <v>-357221</v>
      </c>
      <c r="H24" s="208">
        <v>-10189</v>
      </c>
      <c r="I24" s="208">
        <v>-367410</v>
      </c>
      <c r="J24" s="208">
        <v>14994358</v>
      </c>
      <c r="K24" s="208">
        <v>376115</v>
      </c>
      <c r="L24" s="208">
        <v>15370473</v>
      </c>
      <c r="M24" s="208">
        <v>-521127</v>
      </c>
      <c r="N24" s="208">
        <v>-77279</v>
      </c>
      <c r="O24" s="208">
        <v>-598406</v>
      </c>
      <c r="P24" s="208">
        <v>1733705</v>
      </c>
      <c r="Q24" s="208">
        <v>90293</v>
      </c>
      <c r="R24" s="208">
        <v>1823998</v>
      </c>
      <c r="S24" s="208">
        <v>-37110267</v>
      </c>
      <c r="T24" s="208">
        <v>-750933</v>
      </c>
      <c r="U24" s="208">
        <v>-37861200</v>
      </c>
      <c r="V24" s="208">
        <v>-72842</v>
      </c>
      <c r="W24" s="208">
        <v>-1012</v>
      </c>
      <c r="X24" s="208">
        <v>-73854</v>
      </c>
      <c r="Y24" s="208">
        <v>-1644497</v>
      </c>
      <c r="Z24" s="208">
        <v>-29096</v>
      </c>
      <c r="AA24" s="208">
        <v>-1673593</v>
      </c>
      <c r="AB24" s="208">
        <v>-318863</v>
      </c>
      <c r="AC24" s="208">
        <v>-2150</v>
      </c>
      <c r="AD24" s="208">
        <v>-321013</v>
      </c>
      <c r="AE24" s="208">
        <v>-1312517</v>
      </c>
      <c r="AF24" s="208">
        <v>-27644</v>
      </c>
      <c r="AG24" s="208">
        <v>-1340161</v>
      </c>
      <c r="AH24" s="208">
        <v>-5865</v>
      </c>
      <c r="AI24" s="208">
        <v>0</v>
      </c>
      <c r="AJ24" s="208">
        <v>-5865</v>
      </c>
      <c r="AK24" s="208">
        <v>-18577</v>
      </c>
      <c r="AL24" s="208">
        <v>0</v>
      </c>
      <c r="AM24" s="208">
        <v>-18577</v>
      </c>
      <c r="AN24" s="208">
        <v>10459161</v>
      </c>
      <c r="AO24" s="208">
        <v>353250</v>
      </c>
      <c r="AP24" s="208">
        <v>10812411</v>
      </c>
      <c r="AQ24" s="208">
        <v>65367</v>
      </c>
      <c r="AR24" s="208">
        <v>-7712</v>
      </c>
      <c r="AS24" s="208">
        <v>57655</v>
      </c>
      <c r="AT24" s="208">
        <v>-35663843</v>
      </c>
      <c r="AU24" s="208">
        <v>-2309308</v>
      </c>
      <c r="AV24" s="208">
        <v>-37973151</v>
      </c>
      <c r="AW24" s="208">
        <v>-1527154</v>
      </c>
      <c r="AX24" s="208">
        <v>-349395</v>
      </c>
      <c r="AY24" s="208">
        <v>-1876549</v>
      </c>
      <c r="AZ24" s="208">
        <v>-125064</v>
      </c>
      <c r="BA24" s="208">
        <v>0</v>
      </c>
      <c r="BB24" s="208">
        <v>-125064</v>
      </c>
      <c r="BC24" s="208">
        <v>0</v>
      </c>
      <c r="BD24" s="208">
        <v>0</v>
      </c>
      <c r="BE24" s="208">
        <v>0</v>
      </c>
      <c r="BF24" s="208">
        <v>0</v>
      </c>
      <c r="BG24" s="208">
        <v>0</v>
      </c>
      <c r="BH24" s="208">
        <v>0</v>
      </c>
      <c r="BI24" s="208">
        <v>0</v>
      </c>
      <c r="BJ24" s="208">
        <v>0</v>
      </c>
      <c r="BK24" s="208">
        <v>0</v>
      </c>
      <c r="BL24" s="208">
        <v>-65546297</v>
      </c>
      <c r="BM24" s="208">
        <v>-3093194</v>
      </c>
      <c r="BN24" s="208">
        <v>-68639491</v>
      </c>
      <c r="BO24" s="208">
        <v>-272265</v>
      </c>
      <c r="BP24" s="208">
        <v>0</v>
      </c>
      <c r="BQ24" s="208">
        <v>-272265</v>
      </c>
      <c r="BR24" s="208">
        <v>-176399</v>
      </c>
      <c r="BS24" s="208">
        <v>0</v>
      </c>
      <c r="BT24" s="208">
        <v>-176399</v>
      </c>
      <c r="BU24" s="208">
        <v>-22576762</v>
      </c>
      <c r="BV24" s="208">
        <v>-992339</v>
      </c>
      <c r="BW24" s="208">
        <v>-23569101</v>
      </c>
      <c r="BX24" s="208">
        <v>-1295637</v>
      </c>
      <c r="BY24" s="208">
        <v>175849</v>
      </c>
      <c r="BZ24" s="208">
        <v>-1119788</v>
      </c>
      <c r="CA24" s="208">
        <v>-24321063</v>
      </c>
      <c r="CB24" s="208">
        <v>-816490</v>
      </c>
      <c r="CC24" s="208">
        <v>-25137553</v>
      </c>
      <c r="CD24" s="208">
        <v>-116337</v>
      </c>
      <c r="CE24" s="208">
        <v>0</v>
      </c>
      <c r="CF24" s="208">
        <v>-116337</v>
      </c>
      <c r="CG24" s="208">
        <v>-17583</v>
      </c>
      <c r="CH24" s="208">
        <v>0</v>
      </c>
      <c r="CI24" s="208">
        <v>-17583</v>
      </c>
      <c r="CJ24" s="208">
        <v>-256394</v>
      </c>
      <c r="CK24" s="208">
        <v>-15125</v>
      </c>
      <c r="CL24" s="208">
        <v>-271519</v>
      </c>
      <c r="CM24" s="208">
        <v>-35168</v>
      </c>
      <c r="CN24" s="208">
        <v>-1582</v>
      </c>
      <c r="CO24" s="208">
        <v>-36750</v>
      </c>
      <c r="CP24" s="208">
        <v>0</v>
      </c>
      <c r="CQ24" s="208">
        <v>0</v>
      </c>
      <c r="CR24" s="208">
        <v>0</v>
      </c>
      <c r="CS24" s="208">
        <v>0</v>
      </c>
      <c r="CT24" s="208">
        <v>0</v>
      </c>
      <c r="CU24" s="208">
        <v>0</v>
      </c>
      <c r="CV24" s="208">
        <v>0</v>
      </c>
      <c r="CW24" s="208">
        <v>0</v>
      </c>
      <c r="CX24" s="208">
        <v>0</v>
      </c>
      <c r="CY24" s="208">
        <v>0</v>
      </c>
      <c r="CZ24" s="208">
        <v>0</v>
      </c>
      <c r="DA24" s="208">
        <v>0</v>
      </c>
      <c r="DB24" s="208">
        <v>0</v>
      </c>
      <c r="DC24" s="208">
        <v>0</v>
      </c>
      <c r="DD24" s="208">
        <v>0</v>
      </c>
      <c r="DE24" s="208">
        <v>0</v>
      </c>
      <c r="DF24" s="208">
        <v>0</v>
      </c>
      <c r="DG24" s="208">
        <v>0</v>
      </c>
      <c r="DH24" s="208">
        <v>0</v>
      </c>
      <c r="DI24" s="208">
        <v>-798836</v>
      </c>
      <c r="DJ24" s="208">
        <v>-798836</v>
      </c>
      <c r="DK24" s="208">
        <v>0</v>
      </c>
      <c r="DL24" s="208">
        <v>-295034</v>
      </c>
      <c r="DM24" s="208">
        <v>-295034</v>
      </c>
      <c r="DN24" s="208">
        <v>-1093870</v>
      </c>
      <c r="DO24" s="208">
        <v>0</v>
      </c>
      <c r="DP24" s="208">
        <v>-425482</v>
      </c>
      <c r="DQ24" s="208">
        <v>-1110577</v>
      </c>
      <c r="DR24" s="208">
        <v>-1536059</v>
      </c>
      <c r="DS24" s="208">
        <v>-27597</v>
      </c>
      <c r="DT24" s="208">
        <v>0</v>
      </c>
      <c r="DU24" s="208">
        <v>-27597</v>
      </c>
      <c r="DV24" s="208">
        <v>0</v>
      </c>
      <c r="DW24" s="208">
        <v>0</v>
      </c>
      <c r="DX24" s="208">
        <v>0</v>
      </c>
      <c r="DY24" s="208">
        <v>16227</v>
      </c>
      <c r="DZ24" s="208">
        <v>0</v>
      </c>
      <c r="EA24" s="208">
        <v>16227</v>
      </c>
      <c r="EB24" s="208">
        <v>0</v>
      </c>
      <c r="EC24" s="208">
        <v>0</v>
      </c>
      <c r="ED24" s="208">
        <v>0</v>
      </c>
      <c r="EE24" s="208">
        <v>0</v>
      </c>
      <c r="EF24" s="208">
        <v>0</v>
      </c>
      <c r="EG24" s="208">
        <v>0</v>
      </c>
      <c r="EH24" s="208">
        <v>0</v>
      </c>
      <c r="EI24" s="208">
        <v>0</v>
      </c>
      <c r="EJ24" s="208">
        <v>0</v>
      </c>
      <c r="EK24" s="208">
        <v>0</v>
      </c>
      <c r="EL24" s="208">
        <v>0</v>
      </c>
      <c r="EM24" s="208">
        <v>0</v>
      </c>
      <c r="EN24" s="208">
        <v>0</v>
      </c>
      <c r="EO24" s="208">
        <v>0</v>
      </c>
      <c r="EP24" s="208">
        <v>0</v>
      </c>
      <c r="EQ24" s="208">
        <v>0</v>
      </c>
      <c r="ER24" s="208">
        <v>0</v>
      </c>
      <c r="ES24" s="208">
        <v>0</v>
      </c>
      <c r="ET24" s="208">
        <v>0</v>
      </c>
      <c r="EU24" s="208">
        <v>0</v>
      </c>
      <c r="EV24" s="208">
        <v>0</v>
      </c>
      <c r="EW24" s="208">
        <v>-433829</v>
      </c>
      <c r="EX24" s="208">
        <v>-2267</v>
      </c>
      <c r="EY24" s="208">
        <v>-436096</v>
      </c>
      <c r="EZ24" s="208">
        <v>12533</v>
      </c>
      <c r="FA24" s="208">
        <v>0</v>
      </c>
      <c r="FB24" s="208">
        <v>12533</v>
      </c>
      <c r="FC24" s="208">
        <v>-1209716</v>
      </c>
      <c r="FD24" s="208">
        <v>-39093</v>
      </c>
      <c r="FE24" s="208">
        <v>-1248809</v>
      </c>
      <c r="FF24" s="208">
        <v>106144</v>
      </c>
      <c r="FG24" s="208">
        <v>3540</v>
      </c>
      <c r="FH24" s="208">
        <v>109684</v>
      </c>
      <c r="FI24" s="208">
        <v>-141811</v>
      </c>
      <c r="FJ24" s="208">
        <v>-5000</v>
      </c>
      <c r="FK24" s="208">
        <v>-146811</v>
      </c>
      <c r="FL24" s="208">
        <v>4747</v>
      </c>
      <c r="FM24" s="208">
        <v>0</v>
      </c>
      <c r="FN24" s="208">
        <v>4747</v>
      </c>
      <c r="FO24" s="208">
        <v>0</v>
      </c>
      <c r="FP24" s="208">
        <v>0</v>
      </c>
      <c r="FQ24" s="208">
        <v>0</v>
      </c>
      <c r="FR24" s="208">
        <v>0</v>
      </c>
      <c r="FS24" s="208">
        <v>0</v>
      </c>
      <c r="FT24" s="208">
        <v>0</v>
      </c>
      <c r="FU24" s="208">
        <v>-1673302</v>
      </c>
      <c r="FV24" s="208">
        <v>-42820</v>
      </c>
      <c r="FW24" s="208">
        <v>-1716122</v>
      </c>
      <c r="FX24" s="208">
        <v>0</v>
      </c>
      <c r="FY24" s="208">
        <v>0</v>
      </c>
      <c r="FZ24" s="208">
        <v>0</v>
      </c>
      <c r="GA24" s="208">
        <v>0</v>
      </c>
      <c r="GB24" s="208">
        <v>0</v>
      </c>
      <c r="GC24" s="208">
        <v>0</v>
      </c>
      <c r="GD24" s="208">
        <v>0</v>
      </c>
      <c r="GE24" s="208">
        <v>0</v>
      </c>
      <c r="GF24" s="208">
        <v>0</v>
      </c>
      <c r="GG24" s="208">
        <v>508622502</v>
      </c>
      <c r="GH24" s="208">
        <v>15760363</v>
      </c>
      <c r="GI24" s="208">
        <v>524382865</v>
      </c>
      <c r="GJ24" s="208">
        <v>1733705</v>
      </c>
      <c r="GK24" s="208">
        <v>90293</v>
      </c>
      <c r="GL24" s="208">
        <v>1823998</v>
      </c>
      <c r="GM24" s="208">
        <v>-65546297</v>
      </c>
      <c r="GN24" s="208">
        <v>-3093194</v>
      </c>
      <c r="GO24" s="208">
        <v>-68639491</v>
      </c>
      <c r="GP24" s="208">
        <v>-24321063</v>
      </c>
      <c r="GQ24" s="208">
        <v>-816490</v>
      </c>
      <c r="GR24" s="208">
        <v>-25137553</v>
      </c>
      <c r="GS24" s="208">
        <v>-425482</v>
      </c>
      <c r="GT24" s="208">
        <v>-1110577</v>
      </c>
      <c r="GU24" s="208">
        <v>-1536059</v>
      </c>
      <c r="GV24" s="208">
        <v>-1673302</v>
      </c>
      <c r="GW24" s="208">
        <v>-42820</v>
      </c>
      <c r="GX24" s="208">
        <v>-1716122</v>
      </c>
      <c r="GY24" s="208">
        <v>0</v>
      </c>
      <c r="GZ24" s="208">
        <v>0</v>
      </c>
      <c r="HA24" s="208">
        <v>0</v>
      </c>
      <c r="HB24" s="208">
        <v>-90232439</v>
      </c>
      <c r="HC24" s="208">
        <v>-4972788</v>
      </c>
      <c r="HD24" s="208">
        <v>-95205227</v>
      </c>
      <c r="HE24" s="208">
        <v>418390063</v>
      </c>
      <c r="HF24" s="208">
        <v>10787575</v>
      </c>
      <c r="HG24" s="208">
        <v>429177638</v>
      </c>
      <c r="HH24" s="187" t="s">
        <v>1056</v>
      </c>
    </row>
    <row r="25" spans="2:216" s="187" customFormat="1" x14ac:dyDescent="0.2">
      <c r="B25" s="429" t="s">
        <v>129</v>
      </c>
      <c r="C25" s="429" t="s">
        <v>128</v>
      </c>
      <c r="D25" s="208">
        <v>-754582</v>
      </c>
      <c r="E25" s="208">
        <v>0</v>
      </c>
      <c r="F25" s="208">
        <v>-754582</v>
      </c>
      <c r="G25" s="208">
        <v>113493</v>
      </c>
      <c r="H25" s="208">
        <v>0</v>
      </c>
      <c r="I25" s="208">
        <v>113493</v>
      </c>
      <c r="J25" s="208">
        <v>485315</v>
      </c>
      <c r="K25" s="208">
        <v>0</v>
      </c>
      <c r="L25" s="208">
        <v>485315</v>
      </c>
      <c r="M25" s="208">
        <v>-21342</v>
      </c>
      <c r="N25" s="208">
        <v>0</v>
      </c>
      <c r="O25" s="208">
        <v>-21342</v>
      </c>
      <c r="P25" s="208">
        <v>-177116</v>
      </c>
      <c r="Q25" s="208">
        <v>0</v>
      </c>
      <c r="R25" s="208">
        <v>-177116</v>
      </c>
      <c r="S25" s="208">
        <v>-2142395</v>
      </c>
      <c r="T25" s="208">
        <v>0</v>
      </c>
      <c r="U25" s="208">
        <v>-2142395</v>
      </c>
      <c r="V25" s="208">
        <v>-4898</v>
      </c>
      <c r="W25" s="208">
        <v>0</v>
      </c>
      <c r="X25" s="208">
        <v>-4898</v>
      </c>
      <c r="Y25" s="208">
        <v>-67458</v>
      </c>
      <c r="Z25" s="208">
        <v>0</v>
      </c>
      <c r="AA25" s="208">
        <v>-67458</v>
      </c>
      <c r="AB25" s="208">
        <v>-15657</v>
      </c>
      <c r="AC25" s="208">
        <v>0</v>
      </c>
      <c r="AD25" s="208">
        <v>-15657</v>
      </c>
      <c r="AE25" s="208">
        <v>-48680</v>
      </c>
      <c r="AF25" s="208">
        <v>0</v>
      </c>
      <c r="AG25" s="208">
        <v>-48680</v>
      </c>
      <c r="AH25" s="208">
        <v>0</v>
      </c>
      <c r="AI25" s="208">
        <v>0</v>
      </c>
      <c r="AJ25" s="208">
        <v>0</v>
      </c>
      <c r="AK25" s="208">
        <v>761</v>
      </c>
      <c r="AL25" s="208">
        <v>0</v>
      </c>
      <c r="AM25" s="208">
        <v>761</v>
      </c>
      <c r="AN25" s="208">
        <v>1145265</v>
      </c>
      <c r="AO25" s="208">
        <v>0</v>
      </c>
      <c r="AP25" s="208">
        <v>1145265</v>
      </c>
      <c r="AQ25" s="208">
        <v>-14079</v>
      </c>
      <c r="AR25" s="208">
        <v>0</v>
      </c>
      <c r="AS25" s="208">
        <v>-14079</v>
      </c>
      <c r="AT25" s="208">
        <v>-1102172</v>
      </c>
      <c r="AU25" s="208">
        <v>0</v>
      </c>
      <c r="AV25" s="208">
        <v>-1102172</v>
      </c>
      <c r="AW25" s="208">
        <v>1573</v>
      </c>
      <c r="AX25" s="208">
        <v>0</v>
      </c>
      <c r="AY25" s="208">
        <v>1573</v>
      </c>
      <c r="AZ25" s="208">
        <v>-45943</v>
      </c>
      <c r="BA25" s="208">
        <v>0</v>
      </c>
      <c r="BB25" s="208">
        <v>-45943</v>
      </c>
      <c r="BC25" s="208">
        <v>-201</v>
      </c>
      <c r="BD25" s="208">
        <v>0</v>
      </c>
      <c r="BE25" s="208">
        <v>-201</v>
      </c>
      <c r="BF25" s="208">
        <v>0</v>
      </c>
      <c r="BG25" s="208">
        <v>0</v>
      </c>
      <c r="BH25" s="208">
        <v>0</v>
      </c>
      <c r="BI25" s="208">
        <v>0</v>
      </c>
      <c r="BJ25" s="208">
        <v>0</v>
      </c>
      <c r="BK25" s="208">
        <v>0</v>
      </c>
      <c r="BL25" s="208">
        <v>-2225410</v>
      </c>
      <c r="BM25" s="208">
        <v>0</v>
      </c>
      <c r="BN25" s="208">
        <v>-2225410</v>
      </c>
      <c r="BO25" s="208">
        <v>-66657</v>
      </c>
      <c r="BP25" s="208">
        <v>0</v>
      </c>
      <c r="BQ25" s="208">
        <v>-66657</v>
      </c>
      <c r="BR25" s="208">
        <v>0</v>
      </c>
      <c r="BS25" s="208">
        <v>0</v>
      </c>
      <c r="BT25" s="208">
        <v>0</v>
      </c>
      <c r="BU25" s="208">
        <v>-975777</v>
      </c>
      <c r="BV25" s="208">
        <v>0</v>
      </c>
      <c r="BW25" s="208">
        <v>-975777</v>
      </c>
      <c r="BX25" s="208">
        <v>-11498</v>
      </c>
      <c r="BY25" s="208">
        <v>0</v>
      </c>
      <c r="BZ25" s="208">
        <v>-11498</v>
      </c>
      <c r="CA25" s="208">
        <v>-1053932</v>
      </c>
      <c r="CB25" s="208">
        <v>0</v>
      </c>
      <c r="CC25" s="208">
        <v>-1053932</v>
      </c>
      <c r="CD25" s="208">
        <v>-56949</v>
      </c>
      <c r="CE25" s="208">
        <v>0</v>
      </c>
      <c r="CF25" s="208">
        <v>-56949</v>
      </c>
      <c r="CG25" s="208">
        <v>1820</v>
      </c>
      <c r="CH25" s="208">
        <v>0</v>
      </c>
      <c r="CI25" s="208">
        <v>1820</v>
      </c>
      <c r="CJ25" s="208">
        <v>-3876</v>
      </c>
      <c r="CK25" s="208">
        <v>0</v>
      </c>
      <c r="CL25" s="208">
        <v>-3876</v>
      </c>
      <c r="CM25" s="208">
        <v>255</v>
      </c>
      <c r="CN25" s="208">
        <v>0</v>
      </c>
      <c r="CO25" s="208">
        <v>255</v>
      </c>
      <c r="CP25" s="208">
        <v>-4855</v>
      </c>
      <c r="CQ25" s="208">
        <v>0</v>
      </c>
      <c r="CR25" s="208">
        <v>-4855</v>
      </c>
      <c r="CS25" s="208">
        <v>-50</v>
      </c>
      <c r="CT25" s="208">
        <v>0</v>
      </c>
      <c r="CU25" s="208">
        <v>-50</v>
      </c>
      <c r="CV25" s="208">
        <v>0</v>
      </c>
      <c r="CW25" s="208">
        <v>0</v>
      </c>
      <c r="CX25" s="208">
        <v>0</v>
      </c>
      <c r="CY25" s="208">
        <v>0</v>
      </c>
      <c r="CZ25" s="208">
        <v>0</v>
      </c>
      <c r="DA25" s="208">
        <v>0</v>
      </c>
      <c r="DB25" s="208">
        <v>0</v>
      </c>
      <c r="DC25" s="208">
        <v>0</v>
      </c>
      <c r="DD25" s="208">
        <v>0</v>
      </c>
      <c r="DE25" s="208">
        <v>0</v>
      </c>
      <c r="DF25" s="208">
        <v>0</v>
      </c>
      <c r="DG25" s="208">
        <v>0</v>
      </c>
      <c r="DH25" s="208">
        <v>0</v>
      </c>
      <c r="DI25" s="208">
        <v>0</v>
      </c>
      <c r="DJ25" s="208">
        <v>0</v>
      </c>
      <c r="DK25" s="208">
        <v>0</v>
      </c>
      <c r="DL25" s="208">
        <v>0</v>
      </c>
      <c r="DM25" s="208">
        <v>0</v>
      </c>
      <c r="DN25" s="208">
        <v>0</v>
      </c>
      <c r="DO25" s="208">
        <v>0</v>
      </c>
      <c r="DP25" s="208">
        <v>-63655</v>
      </c>
      <c r="DQ25" s="208">
        <v>0</v>
      </c>
      <c r="DR25" s="208">
        <v>-63655</v>
      </c>
      <c r="DS25" s="208">
        <v>0</v>
      </c>
      <c r="DT25" s="208">
        <v>0</v>
      </c>
      <c r="DU25" s="208">
        <v>0</v>
      </c>
      <c r="DV25" s="208">
        <v>0</v>
      </c>
      <c r="DW25" s="208">
        <v>0</v>
      </c>
      <c r="DX25" s="208">
        <v>0</v>
      </c>
      <c r="DY25" s="208">
        <v>0</v>
      </c>
      <c r="DZ25" s="208">
        <v>0</v>
      </c>
      <c r="EA25" s="208">
        <v>0</v>
      </c>
      <c r="EB25" s="208">
        <v>0</v>
      </c>
      <c r="EC25" s="208">
        <v>0</v>
      </c>
      <c r="ED25" s="208">
        <v>0</v>
      </c>
      <c r="EE25" s="208">
        <v>0</v>
      </c>
      <c r="EF25" s="208">
        <v>0</v>
      </c>
      <c r="EG25" s="208">
        <v>0</v>
      </c>
      <c r="EH25" s="208">
        <v>0</v>
      </c>
      <c r="EI25" s="208">
        <v>0</v>
      </c>
      <c r="EJ25" s="208">
        <v>0</v>
      </c>
      <c r="EK25" s="208">
        <v>0</v>
      </c>
      <c r="EL25" s="208">
        <v>0</v>
      </c>
      <c r="EM25" s="208">
        <v>0</v>
      </c>
      <c r="EN25" s="208">
        <v>0</v>
      </c>
      <c r="EO25" s="208">
        <v>0</v>
      </c>
      <c r="EP25" s="208">
        <v>0</v>
      </c>
      <c r="EQ25" s="208">
        <v>0</v>
      </c>
      <c r="ER25" s="208">
        <v>0</v>
      </c>
      <c r="ES25" s="208">
        <v>0</v>
      </c>
      <c r="ET25" s="208">
        <v>0</v>
      </c>
      <c r="EU25" s="208">
        <v>0</v>
      </c>
      <c r="EV25" s="208">
        <v>0</v>
      </c>
      <c r="EW25" s="208">
        <v>-14512</v>
      </c>
      <c r="EX25" s="208">
        <v>0</v>
      </c>
      <c r="EY25" s="208">
        <v>-14512</v>
      </c>
      <c r="EZ25" s="208">
        <v>0</v>
      </c>
      <c r="FA25" s="208">
        <v>0</v>
      </c>
      <c r="FB25" s="208">
        <v>0</v>
      </c>
      <c r="FC25" s="208">
        <v>-88242</v>
      </c>
      <c r="FD25" s="208">
        <v>0</v>
      </c>
      <c r="FE25" s="208">
        <v>-88242</v>
      </c>
      <c r="FF25" s="208">
        <v>24227</v>
      </c>
      <c r="FG25" s="208">
        <v>0</v>
      </c>
      <c r="FH25" s="208">
        <v>24227</v>
      </c>
      <c r="FI25" s="208">
        <v>-28762</v>
      </c>
      <c r="FJ25" s="208">
        <v>0</v>
      </c>
      <c r="FK25" s="208">
        <v>-28762</v>
      </c>
      <c r="FL25" s="208">
        <v>0</v>
      </c>
      <c r="FM25" s="208">
        <v>0</v>
      </c>
      <c r="FN25" s="208">
        <v>0</v>
      </c>
      <c r="FO25" s="208">
        <v>0</v>
      </c>
      <c r="FP25" s="208">
        <v>0</v>
      </c>
      <c r="FQ25" s="208">
        <v>0</v>
      </c>
      <c r="FR25" s="208">
        <v>0</v>
      </c>
      <c r="FS25" s="208">
        <v>0</v>
      </c>
      <c r="FT25" s="208">
        <v>0</v>
      </c>
      <c r="FU25" s="208">
        <v>-107289</v>
      </c>
      <c r="FV25" s="208">
        <v>0</v>
      </c>
      <c r="FW25" s="208">
        <v>-107289</v>
      </c>
      <c r="FX25" s="208">
        <v>0</v>
      </c>
      <c r="FY25" s="208">
        <v>0</v>
      </c>
      <c r="FZ25" s="208">
        <v>0</v>
      </c>
      <c r="GA25" s="208">
        <v>0</v>
      </c>
      <c r="GB25" s="208">
        <v>0</v>
      </c>
      <c r="GC25" s="208">
        <v>0</v>
      </c>
      <c r="GD25" s="208">
        <v>0</v>
      </c>
      <c r="GE25" s="208">
        <v>0</v>
      </c>
      <c r="GF25" s="208">
        <v>0</v>
      </c>
      <c r="GG25" s="208">
        <v>50495432</v>
      </c>
      <c r="GH25" s="208">
        <v>0</v>
      </c>
      <c r="GI25" s="208">
        <v>50495432</v>
      </c>
      <c r="GJ25" s="208">
        <v>-177116</v>
      </c>
      <c r="GK25" s="208">
        <v>0</v>
      </c>
      <c r="GL25" s="208">
        <v>-177116</v>
      </c>
      <c r="GM25" s="208">
        <v>-2225410</v>
      </c>
      <c r="GN25" s="208">
        <v>0</v>
      </c>
      <c r="GO25" s="208">
        <v>-2225410</v>
      </c>
      <c r="GP25" s="208">
        <v>-1053932</v>
      </c>
      <c r="GQ25" s="208">
        <v>0</v>
      </c>
      <c r="GR25" s="208">
        <v>-1053932</v>
      </c>
      <c r="GS25" s="208">
        <v>-63655</v>
      </c>
      <c r="GT25" s="208">
        <v>0</v>
      </c>
      <c r="GU25" s="208">
        <v>-63655</v>
      </c>
      <c r="GV25" s="208">
        <v>-107289</v>
      </c>
      <c r="GW25" s="208">
        <v>0</v>
      </c>
      <c r="GX25" s="208">
        <v>-107289</v>
      </c>
      <c r="GY25" s="208">
        <v>0</v>
      </c>
      <c r="GZ25" s="208">
        <v>0</v>
      </c>
      <c r="HA25" s="208">
        <v>0</v>
      </c>
      <c r="HB25" s="208">
        <v>-3627402</v>
      </c>
      <c r="HC25" s="208">
        <v>0</v>
      </c>
      <c r="HD25" s="208">
        <v>-3627402</v>
      </c>
      <c r="HE25" s="208">
        <v>46868030</v>
      </c>
      <c r="HF25" s="208">
        <v>0</v>
      </c>
      <c r="HG25" s="208">
        <v>46868030</v>
      </c>
      <c r="HH25" s="187" t="s">
        <v>1054</v>
      </c>
    </row>
    <row r="26" spans="2:216" s="187" customFormat="1" x14ac:dyDescent="0.2">
      <c r="B26" s="429" t="s">
        <v>131</v>
      </c>
      <c r="C26" s="429" t="s">
        <v>130</v>
      </c>
      <c r="D26" s="208">
        <v>-1032122</v>
      </c>
      <c r="E26" s="208">
        <v>0</v>
      </c>
      <c r="F26" s="208">
        <v>-1032122</v>
      </c>
      <c r="G26" s="208">
        <v>136046</v>
      </c>
      <c r="H26" s="208">
        <v>0</v>
      </c>
      <c r="I26" s="208">
        <v>136046</v>
      </c>
      <c r="J26" s="208">
        <v>4141050</v>
      </c>
      <c r="K26" s="208">
        <v>0</v>
      </c>
      <c r="L26" s="208">
        <v>4141050</v>
      </c>
      <c r="M26" s="208">
        <v>-25289</v>
      </c>
      <c r="N26" s="208">
        <v>0</v>
      </c>
      <c r="O26" s="208">
        <v>-25289</v>
      </c>
      <c r="P26" s="208">
        <v>3219685</v>
      </c>
      <c r="Q26" s="208">
        <v>0</v>
      </c>
      <c r="R26" s="208">
        <v>3219685</v>
      </c>
      <c r="S26" s="208">
        <v>-7572326</v>
      </c>
      <c r="T26" s="208">
        <v>0</v>
      </c>
      <c r="U26" s="208">
        <v>-7572326</v>
      </c>
      <c r="V26" s="208">
        <v>-35804</v>
      </c>
      <c r="W26" s="208">
        <v>0</v>
      </c>
      <c r="X26" s="208">
        <v>-35804</v>
      </c>
      <c r="Y26" s="208">
        <v>-115894</v>
      </c>
      <c r="Z26" s="208">
        <v>0</v>
      </c>
      <c r="AA26" s="208">
        <v>-115894</v>
      </c>
      <c r="AB26" s="208">
        <v>1108</v>
      </c>
      <c r="AC26" s="208">
        <v>0</v>
      </c>
      <c r="AD26" s="208">
        <v>1108</v>
      </c>
      <c r="AE26" s="208">
        <v>-116478</v>
      </c>
      <c r="AF26" s="208">
        <v>0</v>
      </c>
      <c r="AG26" s="208">
        <v>-116478</v>
      </c>
      <c r="AH26" s="208">
        <v>0</v>
      </c>
      <c r="AI26" s="208">
        <v>0</v>
      </c>
      <c r="AJ26" s="208">
        <v>0</v>
      </c>
      <c r="AK26" s="208">
        <v>-10808</v>
      </c>
      <c r="AL26" s="208">
        <v>0</v>
      </c>
      <c r="AM26" s="208">
        <v>-10808</v>
      </c>
      <c r="AN26" s="208">
        <v>1027091</v>
      </c>
      <c r="AO26" s="208">
        <v>0</v>
      </c>
      <c r="AP26" s="208">
        <v>1027091</v>
      </c>
      <c r="AQ26" s="208">
        <v>9925</v>
      </c>
      <c r="AR26" s="208">
        <v>0</v>
      </c>
      <c r="AS26" s="208">
        <v>9925</v>
      </c>
      <c r="AT26" s="208">
        <v>-4736478</v>
      </c>
      <c r="AU26" s="208">
        <v>0</v>
      </c>
      <c r="AV26" s="208">
        <v>-4736478</v>
      </c>
      <c r="AW26" s="208">
        <v>4724</v>
      </c>
      <c r="AX26" s="208">
        <v>0</v>
      </c>
      <c r="AY26" s="208">
        <v>4724</v>
      </c>
      <c r="AZ26" s="208">
        <v>-77339</v>
      </c>
      <c r="BA26" s="208">
        <v>0</v>
      </c>
      <c r="BB26" s="208">
        <v>-77339</v>
      </c>
      <c r="BC26" s="208">
        <v>0</v>
      </c>
      <c r="BD26" s="208">
        <v>0</v>
      </c>
      <c r="BE26" s="208">
        <v>0</v>
      </c>
      <c r="BF26" s="208">
        <v>-2800</v>
      </c>
      <c r="BG26" s="208">
        <v>0</v>
      </c>
      <c r="BH26" s="208">
        <v>-2800</v>
      </c>
      <c r="BI26" s="208">
        <v>0</v>
      </c>
      <c r="BJ26" s="208">
        <v>0</v>
      </c>
      <c r="BK26" s="208">
        <v>0</v>
      </c>
      <c r="BL26" s="208">
        <v>-11463097</v>
      </c>
      <c r="BM26" s="208">
        <v>0</v>
      </c>
      <c r="BN26" s="208">
        <v>-11463097</v>
      </c>
      <c r="BO26" s="208">
        <v>-183130</v>
      </c>
      <c r="BP26" s="208">
        <v>0</v>
      </c>
      <c r="BQ26" s="208">
        <v>-183130</v>
      </c>
      <c r="BR26" s="208">
        <v>-70491</v>
      </c>
      <c r="BS26" s="208">
        <v>0</v>
      </c>
      <c r="BT26" s="208">
        <v>-70491</v>
      </c>
      <c r="BU26" s="208">
        <v>-2577730</v>
      </c>
      <c r="BV26" s="208">
        <v>0</v>
      </c>
      <c r="BW26" s="208">
        <v>-2577730</v>
      </c>
      <c r="BX26" s="208">
        <v>-62587</v>
      </c>
      <c r="BY26" s="208">
        <v>0</v>
      </c>
      <c r="BZ26" s="208">
        <v>-62587</v>
      </c>
      <c r="CA26" s="208">
        <v>-2893938</v>
      </c>
      <c r="CB26" s="208">
        <v>0</v>
      </c>
      <c r="CC26" s="208">
        <v>-2893938</v>
      </c>
      <c r="CD26" s="208">
        <v>-28006</v>
      </c>
      <c r="CE26" s="208">
        <v>0</v>
      </c>
      <c r="CF26" s="208">
        <v>-28006</v>
      </c>
      <c r="CG26" s="208">
        <v>-66</v>
      </c>
      <c r="CH26" s="208">
        <v>0</v>
      </c>
      <c r="CI26" s="208">
        <v>-66</v>
      </c>
      <c r="CJ26" s="208">
        <v>0</v>
      </c>
      <c r="CK26" s="208">
        <v>0</v>
      </c>
      <c r="CL26" s="208">
        <v>0</v>
      </c>
      <c r="CM26" s="208">
        <v>0</v>
      </c>
      <c r="CN26" s="208">
        <v>0</v>
      </c>
      <c r="CO26" s="208">
        <v>0</v>
      </c>
      <c r="CP26" s="208">
        <v>-905</v>
      </c>
      <c r="CQ26" s="208">
        <v>0</v>
      </c>
      <c r="CR26" s="208">
        <v>-905</v>
      </c>
      <c r="CS26" s="208">
        <v>-515</v>
      </c>
      <c r="CT26" s="208">
        <v>0</v>
      </c>
      <c r="CU26" s="208">
        <v>-515</v>
      </c>
      <c r="CV26" s="208">
        <v>0</v>
      </c>
      <c r="CW26" s="208">
        <v>0</v>
      </c>
      <c r="CX26" s="208">
        <v>0</v>
      </c>
      <c r="CY26" s="208">
        <v>0</v>
      </c>
      <c r="CZ26" s="208">
        <v>0</v>
      </c>
      <c r="DA26" s="208">
        <v>0</v>
      </c>
      <c r="DB26" s="208">
        <v>0</v>
      </c>
      <c r="DC26" s="208">
        <v>0</v>
      </c>
      <c r="DD26" s="208">
        <v>0</v>
      </c>
      <c r="DE26" s="208">
        <v>0</v>
      </c>
      <c r="DF26" s="208">
        <v>0</v>
      </c>
      <c r="DG26" s="208">
        <v>0</v>
      </c>
      <c r="DH26" s="208">
        <v>-160610</v>
      </c>
      <c r="DI26" s="208">
        <v>0</v>
      </c>
      <c r="DJ26" s="208">
        <v>-160610</v>
      </c>
      <c r="DK26" s="208">
        <v>-28127</v>
      </c>
      <c r="DL26" s="208">
        <v>0</v>
      </c>
      <c r="DM26" s="208">
        <v>-28127</v>
      </c>
      <c r="DN26" s="208">
        <v>0</v>
      </c>
      <c r="DO26" s="208">
        <v>0</v>
      </c>
      <c r="DP26" s="208">
        <v>-218229</v>
      </c>
      <c r="DQ26" s="208">
        <v>0</v>
      </c>
      <c r="DR26" s="208">
        <v>-218229</v>
      </c>
      <c r="DS26" s="208">
        <v>130</v>
      </c>
      <c r="DT26" s="208">
        <v>0</v>
      </c>
      <c r="DU26" s="208">
        <v>130</v>
      </c>
      <c r="DV26" s="208">
        <v>0</v>
      </c>
      <c r="DW26" s="208">
        <v>0</v>
      </c>
      <c r="DX26" s="208">
        <v>0</v>
      </c>
      <c r="DY26" s="208">
        <v>-1500</v>
      </c>
      <c r="DZ26" s="208">
        <v>0</v>
      </c>
      <c r="EA26" s="208">
        <v>-1500</v>
      </c>
      <c r="EB26" s="208">
        <v>0</v>
      </c>
      <c r="EC26" s="208">
        <v>0</v>
      </c>
      <c r="ED26" s="208">
        <v>0</v>
      </c>
      <c r="EE26" s="208">
        <v>0</v>
      </c>
      <c r="EF26" s="208">
        <v>0</v>
      </c>
      <c r="EG26" s="208">
        <v>0</v>
      </c>
      <c r="EH26" s="208">
        <v>0</v>
      </c>
      <c r="EI26" s="208">
        <v>0</v>
      </c>
      <c r="EJ26" s="208">
        <v>0</v>
      </c>
      <c r="EK26" s="208">
        <v>-2800</v>
      </c>
      <c r="EL26" s="208">
        <v>0</v>
      </c>
      <c r="EM26" s="208">
        <v>-2800</v>
      </c>
      <c r="EN26" s="208">
        <v>0</v>
      </c>
      <c r="EO26" s="208">
        <v>0</v>
      </c>
      <c r="EP26" s="208">
        <v>0</v>
      </c>
      <c r="EQ26" s="208">
        <v>0</v>
      </c>
      <c r="ER26" s="208">
        <v>0</v>
      </c>
      <c r="ES26" s="208">
        <v>0</v>
      </c>
      <c r="ET26" s="208">
        <v>0</v>
      </c>
      <c r="EU26" s="208">
        <v>0</v>
      </c>
      <c r="EV26" s="208">
        <v>0</v>
      </c>
      <c r="EW26" s="208">
        <v>-15329</v>
      </c>
      <c r="EX26" s="208">
        <v>0</v>
      </c>
      <c r="EY26" s="208">
        <v>-15329</v>
      </c>
      <c r="EZ26" s="208">
        <v>266</v>
      </c>
      <c r="FA26" s="208">
        <v>0</v>
      </c>
      <c r="FB26" s="208">
        <v>266</v>
      </c>
      <c r="FC26" s="208">
        <v>-61635</v>
      </c>
      <c r="FD26" s="208">
        <v>0</v>
      </c>
      <c r="FE26" s="208">
        <v>-61635</v>
      </c>
      <c r="FF26" s="208">
        <v>1091</v>
      </c>
      <c r="FG26" s="208">
        <v>0</v>
      </c>
      <c r="FH26" s="208">
        <v>1091</v>
      </c>
      <c r="FI26" s="208">
        <v>-58101</v>
      </c>
      <c r="FJ26" s="208">
        <v>0</v>
      </c>
      <c r="FK26" s="208">
        <v>-58101</v>
      </c>
      <c r="FL26" s="208">
        <v>-266</v>
      </c>
      <c r="FM26" s="208">
        <v>0</v>
      </c>
      <c r="FN26" s="208">
        <v>-266</v>
      </c>
      <c r="FO26" s="208">
        <v>0</v>
      </c>
      <c r="FP26" s="208">
        <v>0</v>
      </c>
      <c r="FQ26" s="208">
        <v>0</v>
      </c>
      <c r="FR26" s="208">
        <v>0</v>
      </c>
      <c r="FS26" s="208">
        <v>0</v>
      </c>
      <c r="FT26" s="208">
        <v>0</v>
      </c>
      <c r="FU26" s="208">
        <v>-138144</v>
      </c>
      <c r="FV26" s="208">
        <v>0</v>
      </c>
      <c r="FW26" s="208">
        <v>-138144</v>
      </c>
      <c r="FX26" s="208">
        <v>0</v>
      </c>
      <c r="FY26" s="208">
        <v>0</v>
      </c>
      <c r="FZ26" s="208">
        <v>0</v>
      </c>
      <c r="GA26" s="208">
        <v>0</v>
      </c>
      <c r="GB26" s="208">
        <v>0</v>
      </c>
      <c r="GC26" s="208">
        <v>0</v>
      </c>
      <c r="GD26" s="208">
        <v>0</v>
      </c>
      <c r="GE26" s="208">
        <v>0</v>
      </c>
      <c r="GF26" s="208">
        <v>0</v>
      </c>
      <c r="GG26" s="208">
        <v>57574945</v>
      </c>
      <c r="GH26" s="208">
        <v>0</v>
      </c>
      <c r="GI26" s="208">
        <v>57574945</v>
      </c>
      <c r="GJ26" s="208">
        <v>3219685</v>
      </c>
      <c r="GK26" s="208">
        <v>0</v>
      </c>
      <c r="GL26" s="208">
        <v>3219685</v>
      </c>
      <c r="GM26" s="208">
        <v>-11463097</v>
      </c>
      <c r="GN26" s="208">
        <v>0</v>
      </c>
      <c r="GO26" s="208">
        <v>-11463097</v>
      </c>
      <c r="GP26" s="208">
        <v>-2893938</v>
      </c>
      <c r="GQ26" s="208">
        <v>0</v>
      </c>
      <c r="GR26" s="208">
        <v>-2893938</v>
      </c>
      <c r="GS26" s="208">
        <v>-218229</v>
      </c>
      <c r="GT26" s="208">
        <v>0</v>
      </c>
      <c r="GU26" s="208">
        <v>-218229</v>
      </c>
      <c r="GV26" s="208">
        <v>-138144</v>
      </c>
      <c r="GW26" s="208">
        <v>0</v>
      </c>
      <c r="GX26" s="208">
        <v>-138144</v>
      </c>
      <c r="GY26" s="208">
        <v>0</v>
      </c>
      <c r="GZ26" s="208">
        <v>0</v>
      </c>
      <c r="HA26" s="208">
        <v>0</v>
      </c>
      <c r="HB26" s="208">
        <v>-11493723</v>
      </c>
      <c r="HC26" s="208">
        <v>0</v>
      </c>
      <c r="HD26" s="208">
        <v>-11493723</v>
      </c>
      <c r="HE26" s="208">
        <v>46081222</v>
      </c>
      <c r="HF26" s="208">
        <v>0</v>
      </c>
      <c r="HG26" s="208">
        <v>46081222</v>
      </c>
      <c r="HH26" s="187" t="s">
        <v>742</v>
      </c>
    </row>
    <row r="27" spans="2:216" s="187" customFormat="1" x14ac:dyDescent="0.2">
      <c r="B27" s="429" t="s">
        <v>133</v>
      </c>
      <c r="C27" s="429" t="s">
        <v>132</v>
      </c>
      <c r="D27" s="208">
        <v>-790319</v>
      </c>
      <c r="E27" s="208">
        <v>-377</v>
      </c>
      <c r="F27" s="208">
        <v>-790696</v>
      </c>
      <c r="G27" s="208">
        <v>217806</v>
      </c>
      <c r="H27" s="208">
        <v>-1868</v>
      </c>
      <c r="I27" s="208">
        <v>215938</v>
      </c>
      <c r="J27" s="208">
        <v>2685548</v>
      </c>
      <c r="K27" s="208">
        <v>49183</v>
      </c>
      <c r="L27" s="208">
        <v>2734731</v>
      </c>
      <c r="M27" s="208">
        <v>-19116</v>
      </c>
      <c r="N27" s="208">
        <v>32</v>
      </c>
      <c r="O27" s="208">
        <v>-19084</v>
      </c>
      <c r="P27" s="208">
        <v>2093919</v>
      </c>
      <c r="Q27" s="208">
        <v>46970</v>
      </c>
      <c r="R27" s="208">
        <v>2140889</v>
      </c>
      <c r="S27" s="208">
        <v>-8949324</v>
      </c>
      <c r="T27" s="208">
        <v>-239257</v>
      </c>
      <c r="U27" s="208">
        <v>-9188581</v>
      </c>
      <c r="V27" s="208">
        <v>-4560</v>
      </c>
      <c r="W27" s="208">
        <v>0</v>
      </c>
      <c r="X27" s="208">
        <v>-4560</v>
      </c>
      <c r="Y27" s="208">
        <v>-188814</v>
      </c>
      <c r="Z27" s="208">
        <v>-12224</v>
      </c>
      <c r="AA27" s="208">
        <v>-201038</v>
      </c>
      <c r="AB27" s="208">
        <v>-42479</v>
      </c>
      <c r="AC27" s="208">
        <v>-692</v>
      </c>
      <c r="AD27" s="208">
        <v>-43171</v>
      </c>
      <c r="AE27" s="208">
        <v>-147610</v>
      </c>
      <c r="AF27" s="208">
        <v>-11531</v>
      </c>
      <c r="AG27" s="208">
        <v>-159141</v>
      </c>
      <c r="AH27" s="208">
        <v>0</v>
      </c>
      <c r="AI27" s="208">
        <v>0</v>
      </c>
      <c r="AJ27" s="208">
        <v>0</v>
      </c>
      <c r="AK27" s="208">
        <v>0</v>
      </c>
      <c r="AL27" s="208">
        <v>0</v>
      </c>
      <c r="AM27" s="208">
        <v>0</v>
      </c>
      <c r="AN27" s="208">
        <v>1051340</v>
      </c>
      <c r="AO27" s="208">
        <v>36170</v>
      </c>
      <c r="AP27" s="208">
        <v>1087510</v>
      </c>
      <c r="AQ27" s="208">
        <v>-30585</v>
      </c>
      <c r="AR27" s="208">
        <v>269</v>
      </c>
      <c r="AS27" s="208">
        <v>-30316</v>
      </c>
      <c r="AT27" s="208">
        <v>-2893958</v>
      </c>
      <c r="AU27" s="208">
        <v>-32718</v>
      </c>
      <c r="AV27" s="208">
        <v>-2926676</v>
      </c>
      <c r="AW27" s="208">
        <v>7975</v>
      </c>
      <c r="AX27" s="208">
        <v>-1154</v>
      </c>
      <c r="AY27" s="208">
        <v>6821</v>
      </c>
      <c r="AZ27" s="208">
        <v>0</v>
      </c>
      <c r="BA27" s="208">
        <v>0</v>
      </c>
      <c r="BB27" s="208">
        <v>0</v>
      </c>
      <c r="BC27" s="208">
        <v>0</v>
      </c>
      <c r="BD27" s="208">
        <v>0</v>
      </c>
      <c r="BE27" s="208">
        <v>0</v>
      </c>
      <c r="BF27" s="208">
        <v>0</v>
      </c>
      <c r="BG27" s="208">
        <v>0</v>
      </c>
      <c r="BH27" s="208">
        <v>0</v>
      </c>
      <c r="BI27" s="208">
        <v>0</v>
      </c>
      <c r="BJ27" s="208">
        <v>0</v>
      </c>
      <c r="BK27" s="208">
        <v>0</v>
      </c>
      <c r="BL27" s="208">
        <v>-11003366</v>
      </c>
      <c r="BM27" s="208">
        <v>-248914</v>
      </c>
      <c r="BN27" s="208">
        <v>-11252280</v>
      </c>
      <c r="BO27" s="208">
        <v>-1249</v>
      </c>
      <c r="BP27" s="208">
        <v>0</v>
      </c>
      <c r="BQ27" s="208">
        <v>-1249</v>
      </c>
      <c r="BR27" s="208">
        <v>-2465</v>
      </c>
      <c r="BS27" s="208">
        <v>0</v>
      </c>
      <c r="BT27" s="208">
        <v>-2465</v>
      </c>
      <c r="BU27" s="208">
        <v>-1733491</v>
      </c>
      <c r="BV27" s="208">
        <v>-140508</v>
      </c>
      <c r="BW27" s="208">
        <v>-1873999</v>
      </c>
      <c r="BX27" s="208">
        <v>-34440</v>
      </c>
      <c r="BY27" s="208">
        <v>6683</v>
      </c>
      <c r="BZ27" s="208">
        <v>-27757</v>
      </c>
      <c r="CA27" s="208">
        <v>-1771645</v>
      </c>
      <c r="CB27" s="208">
        <v>-133825</v>
      </c>
      <c r="CC27" s="208">
        <v>-1905470</v>
      </c>
      <c r="CD27" s="208">
        <v>-4166</v>
      </c>
      <c r="CE27" s="208">
        <v>0</v>
      </c>
      <c r="CF27" s="208">
        <v>-4166</v>
      </c>
      <c r="CG27" s="208">
        <v>0</v>
      </c>
      <c r="CH27" s="208">
        <v>0</v>
      </c>
      <c r="CI27" s="208">
        <v>0</v>
      </c>
      <c r="CJ27" s="208">
        <v>-17928</v>
      </c>
      <c r="CK27" s="208">
        <v>-6144</v>
      </c>
      <c r="CL27" s="208">
        <v>-24072</v>
      </c>
      <c r="CM27" s="208">
        <v>0</v>
      </c>
      <c r="CN27" s="208">
        <v>0</v>
      </c>
      <c r="CO27" s="208">
        <v>0</v>
      </c>
      <c r="CP27" s="208">
        <v>0</v>
      </c>
      <c r="CQ27" s="208">
        <v>0</v>
      </c>
      <c r="CR27" s="208">
        <v>0</v>
      </c>
      <c r="CS27" s="208">
        <v>0</v>
      </c>
      <c r="CT27" s="208">
        <v>0</v>
      </c>
      <c r="CU27" s="208">
        <v>0</v>
      </c>
      <c r="CV27" s="208">
        <v>0</v>
      </c>
      <c r="CW27" s="208">
        <v>0</v>
      </c>
      <c r="CX27" s="208">
        <v>0</v>
      </c>
      <c r="CY27" s="208">
        <v>0</v>
      </c>
      <c r="CZ27" s="208">
        <v>0</v>
      </c>
      <c r="DA27" s="208">
        <v>0</v>
      </c>
      <c r="DB27" s="208">
        <v>0</v>
      </c>
      <c r="DC27" s="208">
        <v>0</v>
      </c>
      <c r="DD27" s="208">
        <v>0</v>
      </c>
      <c r="DE27" s="208">
        <v>0</v>
      </c>
      <c r="DF27" s="208">
        <v>0</v>
      </c>
      <c r="DG27" s="208">
        <v>0</v>
      </c>
      <c r="DH27" s="208">
        <v>0</v>
      </c>
      <c r="DI27" s="208">
        <v>-236519</v>
      </c>
      <c r="DJ27" s="208">
        <v>-236519</v>
      </c>
      <c r="DK27" s="208">
        <v>0</v>
      </c>
      <c r="DL27" s="208">
        <v>7405</v>
      </c>
      <c r="DM27" s="208">
        <v>7405</v>
      </c>
      <c r="DN27" s="208">
        <v>-229114</v>
      </c>
      <c r="DO27" s="208">
        <v>0</v>
      </c>
      <c r="DP27" s="208">
        <v>-22094</v>
      </c>
      <c r="DQ27" s="208">
        <v>-235258</v>
      </c>
      <c r="DR27" s="208">
        <v>-257352</v>
      </c>
      <c r="DS27" s="208">
        <v>0</v>
      </c>
      <c r="DT27" s="208">
        <v>0</v>
      </c>
      <c r="DU27" s="208">
        <v>0</v>
      </c>
      <c r="DV27" s="208">
        <v>158</v>
      </c>
      <c r="DW27" s="208">
        <v>0</v>
      </c>
      <c r="DX27" s="208">
        <v>158</v>
      </c>
      <c r="DY27" s="208">
        <v>566</v>
      </c>
      <c r="DZ27" s="208">
        <v>0</v>
      </c>
      <c r="EA27" s="208">
        <v>566</v>
      </c>
      <c r="EB27" s="208">
        <v>0</v>
      </c>
      <c r="EC27" s="208">
        <v>0</v>
      </c>
      <c r="ED27" s="208">
        <v>0</v>
      </c>
      <c r="EE27" s="208">
        <v>0</v>
      </c>
      <c r="EF27" s="208">
        <v>0</v>
      </c>
      <c r="EG27" s="208">
        <v>0</v>
      </c>
      <c r="EH27" s="208">
        <v>0</v>
      </c>
      <c r="EI27" s="208">
        <v>0</v>
      </c>
      <c r="EJ27" s="208">
        <v>0</v>
      </c>
      <c r="EK27" s="208">
        <v>0</v>
      </c>
      <c r="EL27" s="208">
        <v>0</v>
      </c>
      <c r="EM27" s="208">
        <v>0</v>
      </c>
      <c r="EN27" s="208">
        <v>0</v>
      </c>
      <c r="EO27" s="208">
        <v>0</v>
      </c>
      <c r="EP27" s="208">
        <v>0</v>
      </c>
      <c r="EQ27" s="208">
        <v>0</v>
      </c>
      <c r="ER27" s="208">
        <v>0</v>
      </c>
      <c r="ES27" s="208">
        <v>0</v>
      </c>
      <c r="ET27" s="208">
        <v>0</v>
      </c>
      <c r="EU27" s="208">
        <v>0</v>
      </c>
      <c r="EV27" s="208">
        <v>0</v>
      </c>
      <c r="EW27" s="208">
        <v>-15746</v>
      </c>
      <c r="EX27" s="208">
        <v>0</v>
      </c>
      <c r="EY27" s="208">
        <v>-15746</v>
      </c>
      <c r="EZ27" s="208">
        <v>22</v>
      </c>
      <c r="FA27" s="208">
        <v>0</v>
      </c>
      <c r="FB27" s="208">
        <v>22</v>
      </c>
      <c r="FC27" s="208">
        <v>-101582</v>
      </c>
      <c r="FD27" s="208">
        <v>-535</v>
      </c>
      <c r="FE27" s="208">
        <v>-102117</v>
      </c>
      <c r="FF27" s="208">
        <v>3094</v>
      </c>
      <c r="FG27" s="208">
        <v>0</v>
      </c>
      <c r="FH27" s="208">
        <v>3094</v>
      </c>
      <c r="FI27" s="208">
        <v>-34126</v>
      </c>
      <c r="FJ27" s="208">
        <v>0</v>
      </c>
      <c r="FK27" s="208">
        <v>-34126</v>
      </c>
      <c r="FL27" s="208">
        <v>-2438</v>
      </c>
      <c r="FM27" s="208">
        <v>0</v>
      </c>
      <c r="FN27" s="208">
        <v>-2438</v>
      </c>
      <c r="FO27" s="208">
        <v>0</v>
      </c>
      <c r="FP27" s="208">
        <v>0</v>
      </c>
      <c r="FQ27" s="208">
        <v>0</v>
      </c>
      <c r="FR27" s="208">
        <v>0</v>
      </c>
      <c r="FS27" s="208">
        <v>0</v>
      </c>
      <c r="FT27" s="208">
        <v>0</v>
      </c>
      <c r="FU27" s="208">
        <v>-150052</v>
      </c>
      <c r="FV27" s="208">
        <v>-535</v>
      </c>
      <c r="FW27" s="208">
        <v>-150587</v>
      </c>
      <c r="FX27" s="208">
        <v>0</v>
      </c>
      <c r="FY27" s="208">
        <v>0</v>
      </c>
      <c r="FZ27" s="208">
        <v>0</v>
      </c>
      <c r="GA27" s="208">
        <v>0</v>
      </c>
      <c r="GB27" s="208">
        <v>0</v>
      </c>
      <c r="GC27" s="208">
        <v>0</v>
      </c>
      <c r="GD27" s="208">
        <v>0</v>
      </c>
      <c r="GE27" s="208">
        <v>0</v>
      </c>
      <c r="GF27" s="208">
        <v>0</v>
      </c>
      <c r="GG27" s="208">
        <v>57597960</v>
      </c>
      <c r="GH27" s="208">
        <v>2288205</v>
      </c>
      <c r="GI27" s="208">
        <v>59886165</v>
      </c>
      <c r="GJ27" s="208">
        <v>2093919</v>
      </c>
      <c r="GK27" s="208">
        <v>46970</v>
      </c>
      <c r="GL27" s="208">
        <v>2140889</v>
      </c>
      <c r="GM27" s="208">
        <v>-11003366</v>
      </c>
      <c r="GN27" s="208">
        <v>-248914</v>
      </c>
      <c r="GO27" s="208">
        <v>-11252280</v>
      </c>
      <c r="GP27" s="208">
        <v>-1771645</v>
      </c>
      <c r="GQ27" s="208">
        <v>-133825</v>
      </c>
      <c r="GR27" s="208">
        <v>-1905470</v>
      </c>
      <c r="GS27" s="208">
        <v>-22094</v>
      </c>
      <c r="GT27" s="208">
        <v>-235258</v>
      </c>
      <c r="GU27" s="208">
        <v>-257352</v>
      </c>
      <c r="GV27" s="208">
        <v>-150052</v>
      </c>
      <c r="GW27" s="208">
        <v>-535</v>
      </c>
      <c r="GX27" s="208">
        <v>-150587</v>
      </c>
      <c r="GY27" s="208">
        <v>0</v>
      </c>
      <c r="GZ27" s="208">
        <v>0</v>
      </c>
      <c r="HA27" s="208">
        <v>0</v>
      </c>
      <c r="HB27" s="208">
        <v>-10853238</v>
      </c>
      <c r="HC27" s="208">
        <v>-571562</v>
      </c>
      <c r="HD27" s="208">
        <v>-11424800</v>
      </c>
      <c r="HE27" s="208">
        <v>46744722</v>
      </c>
      <c r="HF27" s="208">
        <v>1716643</v>
      </c>
      <c r="HG27" s="208">
        <v>48461365</v>
      </c>
      <c r="HH27" s="187" t="s">
        <v>742</v>
      </c>
    </row>
    <row r="28" spans="2:216" s="187" customFormat="1" x14ac:dyDescent="0.2">
      <c r="B28" s="429" t="s">
        <v>135</v>
      </c>
      <c r="C28" s="429" t="s">
        <v>134</v>
      </c>
      <c r="D28" s="208">
        <v>-620216</v>
      </c>
      <c r="E28" s="208">
        <v>0</v>
      </c>
      <c r="F28" s="208">
        <v>-620216</v>
      </c>
      <c r="G28" s="208">
        <v>-1185</v>
      </c>
      <c r="H28" s="208">
        <v>0</v>
      </c>
      <c r="I28" s="208">
        <v>-1185</v>
      </c>
      <c r="J28" s="208">
        <v>567477</v>
      </c>
      <c r="K28" s="208">
        <v>0</v>
      </c>
      <c r="L28" s="208">
        <v>567477</v>
      </c>
      <c r="M28" s="208">
        <v>8360</v>
      </c>
      <c r="N28" s="208">
        <v>0</v>
      </c>
      <c r="O28" s="208">
        <v>8360</v>
      </c>
      <c r="P28" s="208">
        <v>-45564</v>
      </c>
      <c r="Q28" s="208">
        <v>0</v>
      </c>
      <c r="R28" s="208">
        <v>-45564</v>
      </c>
      <c r="S28" s="208">
        <v>-1967606</v>
      </c>
      <c r="T28" s="208">
        <v>0</v>
      </c>
      <c r="U28" s="208">
        <v>-1967606</v>
      </c>
      <c r="V28" s="208">
        <v>-15336</v>
      </c>
      <c r="W28" s="208">
        <v>0</v>
      </c>
      <c r="X28" s="208">
        <v>-15336</v>
      </c>
      <c r="Y28" s="208">
        <v>-43492</v>
      </c>
      <c r="Z28" s="208">
        <v>0</v>
      </c>
      <c r="AA28" s="208">
        <v>-43492</v>
      </c>
      <c r="AB28" s="208">
        <v>9257</v>
      </c>
      <c r="AC28" s="208">
        <v>0</v>
      </c>
      <c r="AD28" s="208">
        <v>9257</v>
      </c>
      <c r="AE28" s="208">
        <v>-52669</v>
      </c>
      <c r="AF28" s="208">
        <v>0</v>
      </c>
      <c r="AG28" s="208">
        <v>-52669</v>
      </c>
      <c r="AH28" s="208">
        <v>0</v>
      </c>
      <c r="AI28" s="208">
        <v>0</v>
      </c>
      <c r="AJ28" s="208">
        <v>0</v>
      </c>
      <c r="AK28" s="208">
        <v>-794</v>
      </c>
      <c r="AL28" s="208">
        <v>0</v>
      </c>
      <c r="AM28" s="208">
        <v>-794</v>
      </c>
      <c r="AN28" s="208">
        <v>625611</v>
      </c>
      <c r="AO28" s="208">
        <v>0</v>
      </c>
      <c r="AP28" s="208">
        <v>625611</v>
      </c>
      <c r="AQ28" s="208">
        <v>-2523</v>
      </c>
      <c r="AR28" s="208">
        <v>0</v>
      </c>
      <c r="AS28" s="208">
        <v>-2523</v>
      </c>
      <c r="AT28" s="208">
        <v>-953232</v>
      </c>
      <c r="AU28" s="208">
        <v>0</v>
      </c>
      <c r="AV28" s="208">
        <v>-953232</v>
      </c>
      <c r="AW28" s="208">
        <v>28267</v>
      </c>
      <c r="AX28" s="208">
        <v>0</v>
      </c>
      <c r="AY28" s="208">
        <v>28267</v>
      </c>
      <c r="AZ28" s="208">
        <v>0</v>
      </c>
      <c r="BA28" s="208">
        <v>0</v>
      </c>
      <c r="BB28" s="208">
        <v>0</v>
      </c>
      <c r="BC28" s="208">
        <v>0</v>
      </c>
      <c r="BD28" s="208">
        <v>0</v>
      </c>
      <c r="BE28" s="208">
        <v>0</v>
      </c>
      <c r="BF28" s="208">
        <v>-8876</v>
      </c>
      <c r="BG28" s="208">
        <v>0</v>
      </c>
      <c r="BH28" s="208">
        <v>-8876</v>
      </c>
      <c r="BI28" s="208">
        <v>0</v>
      </c>
      <c r="BJ28" s="208">
        <v>0</v>
      </c>
      <c r="BK28" s="208">
        <v>0</v>
      </c>
      <c r="BL28" s="208">
        <v>-2321851</v>
      </c>
      <c r="BM28" s="208">
        <v>0</v>
      </c>
      <c r="BN28" s="208">
        <v>-2321851</v>
      </c>
      <c r="BO28" s="208">
        <v>-15001</v>
      </c>
      <c r="BP28" s="208">
        <v>0</v>
      </c>
      <c r="BQ28" s="208">
        <v>-15001</v>
      </c>
      <c r="BR28" s="208">
        <v>-1076</v>
      </c>
      <c r="BS28" s="208">
        <v>0</v>
      </c>
      <c r="BT28" s="208">
        <v>-1076</v>
      </c>
      <c r="BU28" s="208">
        <v>-404499</v>
      </c>
      <c r="BV28" s="208">
        <v>0</v>
      </c>
      <c r="BW28" s="208">
        <v>-404499</v>
      </c>
      <c r="BX28" s="208">
        <v>-16429</v>
      </c>
      <c r="BY28" s="208">
        <v>0</v>
      </c>
      <c r="BZ28" s="208">
        <v>-16429</v>
      </c>
      <c r="CA28" s="208">
        <v>-437005</v>
      </c>
      <c r="CB28" s="208">
        <v>0</v>
      </c>
      <c r="CC28" s="208">
        <v>-437005</v>
      </c>
      <c r="CD28" s="208">
        <v>0</v>
      </c>
      <c r="CE28" s="208">
        <v>0</v>
      </c>
      <c r="CF28" s="208">
        <v>0</v>
      </c>
      <c r="CG28" s="208">
        <v>0</v>
      </c>
      <c r="CH28" s="208">
        <v>0</v>
      </c>
      <c r="CI28" s="208">
        <v>0</v>
      </c>
      <c r="CJ28" s="208">
        <v>-23802</v>
      </c>
      <c r="CK28" s="208">
        <v>0</v>
      </c>
      <c r="CL28" s="208">
        <v>-23802</v>
      </c>
      <c r="CM28" s="208">
        <v>-5773</v>
      </c>
      <c r="CN28" s="208">
        <v>0</v>
      </c>
      <c r="CO28" s="208">
        <v>-5773</v>
      </c>
      <c r="CP28" s="208">
        <v>0</v>
      </c>
      <c r="CQ28" s="208">
        <v>0</v>
      </c>
      <c r="CR28" s="208">
        <v>0</v>
      </c>
      <c r="CS28" s="208">
        <v>0</v>
      </c>
      <c r="CT28" s="208">
        <v>0</v>
      </c>
      <c r="CU28" s="208">
        <v>0</v>
      </c>
      <c r="CV28" s="208">
        <v>0</v>
      </c>
      <c r="CW28" s="208">
        <v>0</v>
      </c>
      <c r="CX28" s="208">
        <v>0</v>
      </c>
      <c r="CY28" s="208">
        <v>0</v>
      </c>
      <c r="CZ28" s="208">
        <v>0</v>
      </c>
      <c r="DA28" s="208">
        <v>0</v>
      </c>
      <c r="DB28" s="208">
        <v>0</v>
      </c>
      <c r="DC28" s="208">
        <v>0</v>
      </c>
      <c r="DD28" s="208">
        <v>0</v>
      </c>
      <c r="DE28" s="208">
        <v>0</v>
      </c>
      <c r="DF28" s="208">
        <v>0</v>
      </c>
      <c r="DG28" s="208">
        <v>0</v>
      </c>
      <c r="DH28" s="208">
        <v>0</v>
      </c>
      <c r="DI28" s="208">
        <v>0</v>
      </c>
      <c r="DJ28" s="208">
        <v>0</v>
      </c>
      <c r="DK28" s="208">
        <v>0</v>
      </c>
      <c r="DL28" s="208">
        <v>0</v>
      </c>
      <c r="DM28" s="208">
        <v>0</v>
      </c>
      <c r="DN28" s="208">
        <v>0</v>
      </c>
      <c r="DO28" s="208">
        <v>0</v>
      </c>
      <c r="DP28" s="208">
        <v>-29575</v>
      </c>
      <c r="DQ28" s="208">
        <v>0</v>
      </c>
      <c r="DR28" s="208">
        <v>-29575</v>
      </c>
      <c r="DS28" s="208">
        <v>0</v>
      </c>
      <c r="DT28" s="208">
        <v>0</v>
      </c>
      <c r="DU28" s="208">
        <v>0</v>
      </c>
      <c r="DV28" s="208">
        <v>0</v>
      </c>
      <c r="DW28" s="208">
        <v>0</v>
      </c>
      <c r="DX28" s="208">
        <v>0</v>
      </c>
      <c r="DY28" s="208">
        <v>0</v>
      </c>
      <c r="DZ28" s="208">
        <v>0</v>
      </c>
      <c r="EA28" s="208">
        <v>0</v>
      </c>
      <c r="EB28" s="208">
        <v>0</v>
      </c>
      <c r="EC28" s="208">
        <v>0</v>
      </c>
      <c r="ED28" s="208">
        <v>0</v>
      </c>
      <c r="EE28" s="208">
        <v>0</v>
      </c>
      <c r="EF28" s="208">
        <v>0</v>
      </c>
      <c r="EG28" s="208">
        <v>0</v>
      </c>
      <c r="EH28" s="208">
        <v>0</v>
      </c>
      <c r="EI28" s="208">
        <v>0</v>
      </c>
      <c r="EJ28" s="208">
        <v>0</v>
      </c>
      <c r="EK28" s="208">
        <v>-8876</v>
      </c>
      <c r="EL28" s="208">
        <v>0</v>
      </c>
      <c r="EM28" s="208">
        <v>-8876</v>
      </c>
      <c r="EN28" s="208">
        <v>0</v>
      </c>
      <c r="EO28" s="208">
        <v>0</v>
      </c>
      <c r="EP28" s="208">
        <v>0</v>
      </c>
      <c r="EQ28" s="208">
        <v>0</v>
      </c>
      <c r="ER28" s="208">
        <v>0</v>
      </c>
      <c r="ES28" s="208">
        <v>0</v>
      </c>
      <c r="ET28" s="208">
        <v>0</v>
      </c>
      <c r="EU28" s="208">
        <v>0</v>
      </c>
      <c r="EV28" s="208">
        <v>0</v>
      </c>
      <c r="EW28" s="208">
        <v>-12076</v>
      </c>
      <c r="EX28" s="208">
        <v>0</v>
      </c>
      <c r="EY28" s="208">
        <v>-12076</v>
      </c>
      <c r="EZ28" s="208">
        <v>-75</v>
      </c>
      <c r="FA28" s="208">
        <v>0</v>
      </c>
      <c r="FB28" s="208">
        <v>-75</v>
      </c>
      <c r="FC28" s="208">
        <v>-88670</v>
      </c>
      <c r="FD28" s="208">
        <v>0</v>
      </c>
      <c r="FE28" s="208">
        <v>-88670</v>
      </c>
      <c r="FF28" s="208">
        <v>6343</v>
      </c>
      <c r="FG28" s="208">
        <v>0</v>
      </c>
      <c r="FH28" s="208">
        <v>6343</v>
      </c>
      <c r="FI28" s="208">
        <v>-13800</v>
      </c>
      <c r="FJ28" s="208">
        <v>0</v>
      </c>
      <c r="FK28" s="208">
        <v>-13800</v>
      </c>
      <c r="FL28" s="208">
        <v>-506</v>
      </c>
      <c r="FM28" s="208">
        <v>0</v>
      </c>
      <c r="FN28" s="208">
        <v>-506</v>
      </c>
      <c r="FO28" s="208">
        <v>0</v>
      </c>
      <c r="FP28" s="208">
        <v>0</v>
      </c>
      <c r="FQ28" s="208">
        <v>0</v>
      </c>
      <c r="FR28" s="208">
        <v>0</v>
      </c>
      <c r="FS28" s="208">
        <v>0</v>
      </c>
      <c r="FT28" s="208">
        <v>0</v>
      </c>
      <c r="FU28" s="208">
        <v>-117660</v>
      </c>
      <c r="FV28" s="208">
        <v>0</v>
      </c>
      <c r="FW28" s="208">
        <v>-117660</v>
      </c>
      <c r="FX28" s="208">
        <v>-2289</v>
      </c>
      <c r="FY28" s="208">
        <v>0</v>
      </c>
      <c r="FZ28" s="208">
        <v>-2289</v>
      </c>
      <c r="GA28" s="208">
        <v>-4819</v>
      </c>
      <c r="GB28" s="208">
        <v>0</v>
      </c>
      <c r="GC28" s="208">
        <v>-4819</v>
      </c>
      <c r="GD28" s="208">
        <v>-7108</v>
      </c>
      <c r="GE28" s="208">
        <v>0</v>
      </c>
      <c r="GF28" s="208">
        <v>-7108</v>
      </c>
      <c r="GG28" s="208">
        <v>30399483</v>
      </c>
      <c r="GH28" s="208">
        <v>0</v>
      </c>
      <c r="GI28" s="208">
        <v>30399483</v>
      </c>
      <c r="GJ28" s="208">
        <v>-45564</v>
      </c>
      <c r="GK28" s="208">
        <v>0</v>
      </c>
      <c r="GL28" s="208">
        <v>-45564</v>
      </c>
      <c r="GM28" s="208">
        <v>-2321851</v>
      </c>
      <c r="GN28" s="208">
        <v>0</v>
      </c>
      <c r="GO28" s="208">
        <v>-2321851</v>
      </c>
      <c r="GP28" s="208">
        <v>-437005</v>
      </c>
      <c r="GQ28" s="208">
        <v>0</v>
      </c>
      <c r="GR28" s="208">
        <v>-437005</v>
      </c>
      <c r="GS28" s="208">
        <v>-29575</v>
      </c>
      <c r="GT28" s="208">
        <v>0</v>
      </c>
      <c r="GU28" s="208">
        <v>-29575</v>
      </c>
      <c r="GV28" s="208">
        <v>-117660</v>
      </c>
      <c r="GW28" s="208">
        <v>0</v>
      </c>
      <c r="GX28" s="208">
        <v>-117660</v>
      </c>
      <c r="GY28" s="208">
        <v>-7108</v>
      </c>
      <c r="GZ28" s="208">
        <v>0</v>
      </c>
      <c r="HA28" s="208">
        <v>-7108</v>
      </c>
      <c r="HB28" s="208">
        <v>-2958763</v>
      </c>
      <c r="HC28" s="208">
        <v>0</v>
      </c>
      <c r="HD28" s="208">
        <v>-2958763</v>
      </c>
      <c r="HE28" s="208">
        <v>27440720</v>
      </c>
      <c r="HF28" s="208">
        <v>0</v>
      </c>
      <c r="HG28" s="208">
        <v>27440720</v>
      </c>
      <c r="HH28" s="187" t="s">
        <v>1054</v>
      </c>
    </row>
    <row r="29" spans="2:216" s="187" customFormat="1" x14ac:dyDescent="0.2">
      <c r="B29" s="429" t="s">
        <v>137</v>
      </c>
      <c r="C29" s="429" t="s">
        <v>136</v>
      </c>
      <c r="D29" s="208">
        <v>-1608559</v>
      </c>
      <c r="E29" s="208">
        <v>0</v>
      </c>
      <c r="F29" s="208">
        <v>-1608559</v>
      </c>
      <c r="G29" s="208">
        <v>124271</v>
      </c>
      <c r="H29" s="208">
        <v>0</v>
      </c>
      <c r="I29" s="208">
        <v>124271</v>
      </c>
      <c r="J29" s="208">
        <v>5070180</v>
      </c>
      <c r="K29" s="208">
        <v>0</v>
      </c>
      <c r="L29" s="208">
        <v>5070180</v>
      </c>
      <c r="M29" s="208">
        <v>-134031</v>
      </c>
      <c r="N29" s="208">
        <v>0</v>
      </c>
      <c r="O29" s="208">
        <v>-134031</v>
      </c>
      <c r="P29" s="208">
        <v>3451861</v>
      </c>
      <c r="Q29" s="208">
        <v>0</v>
      </c>
      <c r="R29" s="208">
        <v>3451861</v>
      </c>
      <c r="S29" s="208">
        <v>-11880666</v>
      </c>
      <c r="T29" s="208">
        <v>0</v>
      </c>
      <c r="U29" s="208">
        <v>-11880666</v>
      </c>
      <c r="V29" s="208">
        <v>-2777</v>
      </c>
      <c r="W29" s="208">
        <v>0</v>
      </c>
      <c r="X29" s="208">
        <v>-2777</v>
      </c>
      <c r="Y29" s="208">
        <v>-145804</v>
      </c>
      <c r="Z29" s="208">
        <v>0</v>
      </c>
      <c r="AA29" s="208">
        <v>-145804</v>
      </c>
      <c r="AB29" s="208">
        <v>78063</v>
      </c>
      <c r="AC29" s="208">
        <v>0</v>
      </c>
      <c r="AD29" s="208">
        <v>78063</v>
      </c>
      <c r="AE29" s="208">
        <v>-223867</v>
      </c>
      <c r="AF29" s="208">
        <v>0</v>
      </c>
      <c r="AG29" s="208">
        <v>-223867</v>
      </c>
      <c r="AH29" s="208">
        <v>0</v>
      </c>
      <c r="AI29" s="208">
        <v>0</v>
      </c>
      <c r="AJ29" s="208">
        <v>0</v>
      </c>
      <c r="AK29" s="208">
        <v>-337</v>
      </c>
      <c r="AL29" s="208">
        <v>0</v>
      </c>
      <c r="AM29" s="208">
        <v>-337</v>
      </c>
      <c r="AN29" s="208">
        <v>2101124</v>
      </c>
      <c r="AO29" s="208">
        <v>0</v>
      </c>
      <c r="AP29" s="208">
        <v>2101124</v>
      </c>
      <c r="AQ29" s="208">
        <v>-54719</v>
      </c>
      <c r="AR29" s="208">
        <v>0</v>
      </c>
      <c r="AS29" s="208">
        <v>-54719</v>
      </c>
      <c r="AT29" s="208">
        <v>-7386892</v>
      </c>
      <c r="AU29" s="208">
        <v>0</v>
      </c>
      <c r="AV29" s="208">
        <v>-7386892</v>
      </c>
      <c r="AW29" s="208">
        <v>-194305</v>
      </c>
      <c r="AX29" s="208">
        <v>0</v>
      </c>
      <c r="AY29" s="208">
        <v>-194305</v>
      </c>
      <c r="AZ29" s="208">
        <v>-86062</v>
      </c>
      <c r="BA29" s="208">
        <v>0</v>
      </c>
      <c r="BB29" s="208">
        <v>-86062</v>
      </c>
      <c r="BC29" s="208">
        <v>0</v>
      </c>
      <c r="BD29" s="208">
        <v>0</v>
      </c>
      <c r="BE29" s="208">
        <v>0</v>
      </c>
      <c r="BF29" s="208">
        <v>0</v>
      </c>
      <c r="BG29" s="208">
        <v>0</v>
      </c>
      <c r="BH29" s="208">
        <v>0</v>
      </c>
      <c r="BI29" s="208">
        <v>0</v>
      </c>
      <c r="BJ29" s="208">
        <v>0</v>
      </c>
      <c r="BK29" s="208">
        <v>0</v>
      </c>
      <c r="BL29" s="208">
        <v>-17647324</v>
      </c>
      <c r="BM29" s="208">
        <v>0</v>
      </c>
      <c r="BN29" s="208">
        <v>-17647324</v>
      </c>
      <c r="BO29" s="208">
        <v>-9122</v>
      </c>
      <c r="BP29" s="208">
        <v>0</v>
      </c>
      <c r="BQ29" s="208">
        <v>-9122</v>
      </c>
      <c r="BR29" s="208">
        <v>7490</v>
      </c>
      <c r="BS29" s="208">
        <v>0</v>
      </c>
      <c r="BT29" s="208">
        <v>7490</v>
      </c>
      <c r="BU29" s="208">
        <v>-4272998</v>
      </c>
      <c r="BV29" s="208">
        <v>0</v>
      </c>
      <c r="BW29" s="208">
        <v>-4272998</v>
      </c>
      <c r="BX29" s="208">
        <v>-172623</v>
      </c>
      <c r="BY29" s="208">
        <v>0</v>
      </c>
      <c r="BZ29" s="208">
        <v>-172623</v>
      </c>
      <c r="CA29" s="208">
        <v>-4447253</v>
      </c>
      <c r="CB29" s="208">
        <v>0</v>
      </c>
      <c r="CC29" s="208">
        <v>-4447253</v>
      </c>
      <c r="CD29" s="208">
        <v>-617613</v>
      </c>
      <c r="CE29" s="208">
        <v>0</v>
      </c>
      <c r="CF29" s="208">
        <v>-617613</v>
      </c>
      <c r="CG29" s="208">
        <v>14912</v>
      </c>
      <c r="CH29" s="208">
        <v>0</v>
      </c>
      <c r="CI29" s="208">
        <v>14912</v>
      </c>
      <c r="CJ29" s="208">
        <v>-295039</v>
      </c>
      <c r="CK29" s="208">
        <v>0</v>
      </c>
      <c r="CL29" s="208">
        <v>-295039</v>
      </c>
      <c r="CM29" s="208">
        <v>-23144</v>
      </c>
      <c r="CN29" s="208">
        <v>0</v>
      </c>
      <c r="CO29" s="208">
        <v>-23144</v>
      </c>
      <c r="CP29" s="208">
        <v>-5182</v>
      </c>
      <c r="CQ29" s="208">
        <v>0</v>
      </c>
      <c r="CR29" s="208">
        <v>-5182</v>
      </c>
      <c r="CS29" s="208">
        <v>0</v>
      </c>
      <c r="CT29" s="208">
        <v>0</v>
      </c>
      <c r="CU29" s="208">
        <v>0</v>
      </c>
      <c r="CV29" s="208">
        <v>0</v>
      </c>
      <c r="CW29" s="208">
        <v>0</v>
      </c>
      <c r="CX29" s="208">
        <v>0</v>
      </c>
      <c r="CY29" s="208">
        <v>0</v>
      </c>
      <c r="CZ29" s="208">
        <v>0</v>
      </c>
      <c r="DA29" s="208">
        <v>0</v>
      </c>
      <c r="DB29" s="208">
        <v>0</v>
      </c>
      <c r="DC29" s="208">
        <v>0</v>
      </c>
      <c r="DD29" s="208">
        <v>0</v>
      </c>
      <c r="DE29" s="208">
        <v>0</v>
      </c>
      <c r="DF29" s="208">
        <v>0</v>
      </c>
      <c r="DG29" s="208">
        <v>0</v>
      </c>
      <c r="DH29" s="208">
        <v>0</v>
      </c>
      <c r="DI29" s="208">
        <v>0</v>
      </c>
      <c r="DJ29" s="208">
        <v>0</v>
      </c>
      <c r="DK29" s="208">
        <v>0</v>
      </c>
      <c r="DL29" s="208">
        <v>0</v>
      </c>
      <c r="DM29" s="208">
        <v>0</v>
      </c>
      <c r="DN29" s="208">
        <v>0</v>
      </c>
      <c r="DO29" s="208">
        <v>0</v>
      </c>
      <c r="DP29" s="208">
        <v>-926066</v>
      </c>
      <c r="DQ29" s="208">
        <v>0</v>
      </c>
      <c r="DR29" s="208">
        <v>-926066</v>
      </c>
      <c r="DS29" s="208">
        <v>0</v>
      </c>
      <c r="DT29" s="208">
        <v>0</v>
      </c>
      <c r="DU29" s="208">
        <v>0</v>
      </c>
      <c r="DV29" s="208">
        <v>2407</v>
      </c>
      <c r="DW29" s="208">
        <v>0</v>
      </c>
      <c r="DX29" s="208">
        <v>2407</v>
      </c>
      <c r="DY29" s="208">
        <v>-6098</v>
      </c>
      <c r="DZ29" s="208">
        <v>0</v>
      </c>
      <c r="EA29" s="208">
        <v>-6098</v>
      </c>
      <c r="EB29" s="208">
        <v>0</v>
      </c>
      <c r="EC29" s="208">
        <v>0</v>
      </c>
      <c r="ED29" s="208">
        <v>0</v>
      </c>
      <c r="EE29" s="208">
        <v>0</v>
      </c>
      <c r="EF29" s="208">
        <v>0</v>
      </c>
      <c r="EG29" s="208">
        <v>0</v>
      </c>
      <c r="EH29" s="208">
        <v>0</v>
      </c>
      <c r="EI29" s="208">
        <v>0</v>
      </c>
      <c r="EJ29" s="208">
        <v>0</v>
      </c>
      <c r="EK29" s="208">
        <v>0</v>
      </c>
      <c r="EL29" s="208">
        <v>0</v>
      </c>
      <c r="EM29" s="208">
        <v>0</v>
      </c>
      <c r="EN29" s="208">
        <v>0</v>
      </c>
      <c r="EO29" s="208">
        <v>0</v>
      </c>
      <c r="EP29" s="208">
        <v>0</v>
      </c>
      <c r="EQ29" s="208">
        <v>-1500</v>
      </c>
      <c r="ER29" s="208">
        <v>0</v>
      </c>
      <c r="ES29" s="208">
        <v>-1500</v>
      </c>
      <c r="ET29" s="208">
        <v>0</v>
      </c>
      <c r="EU29" s="208">
        <v>0</v>
      </c>
      <c r="EV29" s="208">
        <v>0</v>
      </c>
      <c r="EW29" s="208">
        <v>-43167</v>
      </c>
      <c r="EX29" s="208">
        <v>0</v>
      </c>
      <c r="EY29" s="208">
        <v>-43167</v>
      </c>
      <c r="EZ29" s="208">
        <v>0</v>
      </c>
      <c r="FA29" s="208">
        <v>0</v>
      </c>
      <c r="FB29" s="208">
        <v>0</v>
      </c>
      <c r="FC29" s="208">
        <v>-203715</v>
      </c>
      <c r="FD29" s="208">
        <v>0</v>
      </c>
      <c r="FE29" s="208">
        <v>-203715</v>
      </c>
      <c r="FF29" s="208">
        <v>0</v>
      </c>
      <c r="FG29" s="208">
        <v>0</v>
      </c>
      <c r="FH29" s="208">
        <v>0</v>
      </c>
      <c r="FI29" s="208">
        <v>-103457</v>
      </c>
      <c r="FJ29" s="208">
        <v>0</v>
      </c>
      <c r="FK29" s="208">
        <v>-103457</v>
      </c>
      <c r="FL29" s="208">
        <v>0</v>
      </c>
      <c r="FM29" s="208">
        <v>0</v>
      </c>
      <c r="FN29" s="208">
        <v>0</v>
      </c>
      <c r="FO29" s="208">
        <v>0</v>
      </c>
      <c r="FP29" s="208">
        <v>0</v>
      </c>
      <c r="FQ29" s="208">
        <v>0</v>
      </c>
      <c r="FR29" s="208">
        <v>0</v>
      </c>
      <c r="FS29" s="208">
        <v>0</v>
      </c>
      <c r="FT29" s="208">
        <v>0</v>
      </c>
      <c r="FU29" s="208">
        <v>-355530</v>
      </c>
      <c r="FV29" s="208">
        <v>0</v>
      </c>
      <c r="FW29" s="208">
        <v>-355530</v>
      </c>
      <c r="FX29" s="208">
        <v>-9822</v>
      </c>
      <c r="FY29" s="208">
        <v>0</v>
      </c>
      <c r="FZ29" s="208">
        <v>-9822</v>
      </c>
      <c r="GA29" s="208">
        <v>0</v>
      </c>
      <c r="GB29" s="208">
        <v>0</v>
      </c>
      <c r="GC29" s="208">
        <v>0</v>
      </c>
      <c r="GD29" s="208">
        <v>-9822</v>
      </c>
      <c r="GE29" s="208">
        <v>0</v>
      </c>
      <c r="GF29" s="208">
        <v>-9822</v>
      </c>
      <c r="GG29" s="208">
        <v>108670945</v>
      </c>
      <c r="GH29" s="208">
        <v>0</v>
      </c>
      <c r="GI29" s="208">
        <v>108670945</v>
      </c>
      <c r="GJ29" s="208">
        <v>3451861</v>
      </c>
      <c r="GK29" s="208">
        <v>0</v>
      </c>
      <c r="GL29" s="208">
        <v>3451861</v>
      </c>
      <c r="GM29" s="208">
        <v>-17647324</v>
      </c>
      <c r="GN29" s="208">
        <v>0</v>
      </c>
      <c r="GO29" s="208">
        <v>-17647324</v>
      </c>
      <c r="GP29" s="208">
        <v>-4447253</v>
      </c>
      <c r="GQ29" s="208">
        <v>0</v>
      </c>
      <c r="GR29" s="208">
        <v>-4447253</v>
      </c>
      <c r="GS29" s="208">
        <v>-926066</v>
      </c>
      <c r="GT29" s="208">
        <v>0</v>
      </c>
      <c r="GU29" s="208">
        <v>-926066</v>
      </c>
      <c r="GV29" s="208">
        <v>-355530</v>
      </c>
      <c r="GW29" s="208">
        <v>0</v>
      </c>
      <c r="GX29" s="208">
        <v>-355530</v>
      </c>
      <c r="GY29" s="208">
        <v>-9822</v>
      </c>
      <c r="GZ29" s="208">
        <v>0</v>
      </c>
      <c r="HA29" s="208">
        <v>-9822</v>
      </c>
      <c r="HB29" s="208">
        <v>-19934134</v>
      </c>
      <c r="HC29" s="208">
        <v>0</v>
      </c>
      <c r="HD29" s="208">
        <v>-19934134</v>
      </c>
      <c r="HE29" s="208">
        <v>88736811</v>
      </c>
      <c r="HF29" s="208">
        <v>0</v>
      </c>
      <c r="HG29" s="208">
        <v>88736811</v>
      </c>
      <c r="HH29" s="187" t="s">
        <v>1056</v>
      </c>
    </row>
    <row r="30" spans="2:216" s="187" customFormat="1" x14ac:dyDescent="0.2">
      <c r="B30" s="429" t="s">
        <v>139</v>
      </c>
      <c r="C30" s="429" t="s">
        <v>138</v>
      </c>
      <c r="D30" s="208">
        <v>-578595</v>
      </c>
      <c r="E30" s="208">
        <v>0</v>
      </c>
      <c r="F30" s="208">
        <v>-578595</v>
      </c>
      <c r="G30" s="208">
        <v>5402</v>
      </c>
      <c r="H30" s="208">
        <v>0</v>
      </c>
      <c r="I30" s="208">
        <v>5402</v>
      </c>
      <c r="J30" s="208">
        <v>337968</v>
      </c>
      <c r="K30" s="208">
        <v>0</v>
      </c>
      <c r="L30" s="208">
        <v>337968</v>
      </c>
      <c r="M30" s="208">
        <v>50600</v>
      </c>
      <c r="N30" s="208">
        <v>0</v>
      </c>
      <c r="O30" s="208">
        <v>50600</v>
      </c>
      <c r="P30" s="208">
        <v>-184625</v>
      </c>
      <c r="Q30" s="208">
        <v>0</v>
      </c>
      <c r="R30" s="208">
        <v>-184625</v>
      </c>
      <c r="S30" s="208">
        <v>-2483900</v>
      </c>
      <c r="T30" s="208">
        <v>0</v>
      </c>
      <c r="U30" s="208">
        <v>-2483900</v>
      </c>
      <c r="V30" s="208">
        <v>-8889</v>
      </c>
      <c r="W30" s="208">
        <v>0</v>
      </c>
      <c r="X30" s="208">
        <v>-8889</v>
      </c>
      <c r="Y30" s="208">
        <v>-104735</v>
      </c>
      <c r="Z30" s="208">
        <v>0</v>
      </c>
      <c r="AA30" s="208">
        <v>-104735</v>
      </c>
      <c r="AB30" s="208">
        <v>-32879</v>
      </c>
      <c r="AC30" s="208">
        <v>0</v>
      </c>
      <c r="AD30" s="208">
        <v>-32879</v>
      </c>
      <c r="AE30" s="208">
        <v>-67604</v>
      </c>
      <c r="AF30" s="208">
        <v>0</v>
      </c>
      <c r="AG30" s="208">
        <v>-67604</v>
      </c>
      <c r="AH30" s="208">
        <v>0</v>
      </c>
      <c r="AI30" s="208">
        <v>0</v>
      </c>
      <c r="AJ30" s="208">
        <v>0</v>
      </c>
      <c r="AK30" s="208">
        <v>-706</v>
      </c>
      <c r="AL30" s="208">
        <v>0</v>
      </c>
      <c r="AM30" s="208">
        <v>-706</v>
      </c>
      <c r="AN30" s="208">
        <v>476281</v>
      </c>
      <c r="AO30" s="208">
        <v>0</v>
      </c>
      <c r="AP30" s="208">
        <v>476281</v>
      </c>
      <c r="AQ30" s="208">
        <v>-8027</v>
      </c>
      <c r="AR30" s="208">
        <v>0</v>
      </c>
      <c r="AS30" s="208">
        <v>-8027</v>
      </c>
      <c r="AT30" s="208">
        <v>-1683219</v>
      </c>
      <c r="AU30" s="208">
        <v>0</v>
      </c>
      <c r="AV30" s="208">
        <v>-1683219</v>
      </c>
      <c r="AW30" s="208">
        <v>-11495</v>
      </c>
      <c r="AX30" s="208">
        <v>0</v>
      </c>
      <c r="AY30" s="208">
        <v>-11495</v>
      </c>
      <c r="AZ30" s="208">
        <v>-81421</v>
      </c>
      <c r="BA30" s="208">
        <v>0</v>
      </c>
      <c r="BB30" s="208">
        <v>-81421</v>
      </c>
      <c r="BC30" s="208">
        <v>0</v>
      </c>
      <c r="BD30" s="208">
        <v>0</v>
      </c>
      <c r="BE30" s="208">
        <v>0</v>
      </c>
      <c r="BF30" s="208">
        <v>-16547</v>
      </c>
      <c r="BG30" s="208">
        <v>0</v>
      </c>
      <c r="BH30" s="208">
        <v>-16547</v>
      </c>
      <c r="BI30" s="208">
        <v>0</v>
      </c>
      <c r="BJ30" s="208">
        <v>0</v>
      </c>
      <c r="BK30" s="208">
        <v>0</v>
      </c>
      <c r="BL30" s="208">
        <v>-3913063</v>
      </c>
      <c r="BM30" s="208">
        <v>0</v>
      </c>
      <c r="BN30" s="208">
        <v>-3913063</v>
      </c>
      <c r="BO30" s="208">
        <v>0</v>
      </c>
      <c r="BP30" s="208">
        <v>0</v>
      </c>
      <c r="BQ30" s="208">
        <v>0</v>
      </c>
      <c r="BR30" s="208">
        <v>0</v>
      </c>
      <c r="BS30" s="208">
        <v>0</v>
      </c>
      <c r="BT30" s="208">
        <v>0</v>
      </c>
      <c r="BU30" s="208">
        <v>-873305</v>
      </c>
      <c r="BV30" s="208">
        <v>0</v>
      </c>
      <c r="BW30" s="208">
        <v>-873305</v>
      </c>
      <c r="BX30" s="208">
        <v>-28707</v>
      </c>
      <c r="BY30" s="208">
        <v>0</v>
      </c>
      <c r="BZ30" s="208">
        <v>-28707</v>
      </c>
      <c r="CA30" s="208">
        <v>-902012</v>
      </c>
      <c r="CB30" s="208">
        <v>0</v>
      </c>
      <c r="CC30" s="208">
        <v>-902012</v>
      </c>
      <c r="CD30" s="208">
        <v>-47595</v>
      </c>
      <c r="CE30" s="208">
        <v>0</v>
      </c>
      <c r="CF30" s="208">
        <v>-47595</v>
      </c>
      <c r="CG30" s="208">
        <v>-1936</v>
      </c>
      <c r="CH30" s="208">
        <v>0</v>
      </c>
      <c r="CI30" s="208">
        <v>-1936</v>
      </c>
      <c r="CJ30" s="208">
        <v>-16103</v>
      </c>
      <c r="CK30" s="208">
        <v>0</v>
      </c>
      <c r="CL30" s="208">
        <v>-16103</v>
      </c>
      <c r="CM30" s="208">
        <v>0</v>
      </c>
      <c r="CN30" s="208">
        <v>0</v>
      </c>
      <c r="CO30" s="208">
        <v>0</v>
      </c>
      <c r="CP30" s="208">
        <v>-15266</v>
      </c>
      <c r="CQ30" s="208">
        <v>0</v>
      </c>
      <c r="CR30" s="208">
        <v>-15266</v>
      </c>
      <c r="CS30" s="208">
        <v>0</v>
      </c>
      <c r="CT30" s="208">
        <v>0</v>
      </c>
      <c r="CU30" s="208">
        <v>0</v>
      </c>
      <c r="CV30" s="208">
        <v>0</v>
      </c>
      <c r="CW30" s="208">
        <v>0</v>
      </c>
      <c r="CX30" s="208">
        <v>0</v>
      </c>
      <c r="CY30" s="208">
        <v>0</v>
      </c>
      <c r="CZ30" s="208">
        <v>0</v>
      </c>
      <c r="DA30" s="208">
        <v>0</v>
      </c>
      <c r="DB30" s="208">
        <v>0</v>
      </c>
      <c r="DC30" s="208">
        <v>0</v>
      </c>
      <c r="DD30" s="208">
        <v>0</v>
      </c>
      <c r="DE30" s="208">
        <v>0</v>
      </c>
      <c r="DF30" s="208">
        <v>0</v>
      </c>
      <c r="DG30" s="208">
        <v>0</v>
      </c>
      <c r="DH30" s="208">
        <v>0</v>
      </c>
      <c r="DI30" s="208">
        <v>0</v>
      </c>
      <c r="DJ30" s="208">
        <v>0</v>
      </c>
      <c r="DK30" s="208">
        <v>101</v>
      </c>
      <c r="DL30" s="208">
        <v>0</v>
      </c>
      <c r="DM30" s="208">
        <v>101</v>
      </c>
      <c r="DN30" s="208">
        <v>0</v>
      </c>
      <c r="DO30" s="208">
        <v>0</v>
      </c>
      <c r="DP30" s="208">
        <v>-80799</v>
      </c>
      <c r="DQ30" s="208">
        <v>0</v>
      </c>
      <c r="DR30" s="208">
        <v>-80799</v>
      </c>
      <c r="DS30" s="208">
        <v>0</v>
      </c>
      <c r="DT30" s="208">
        <v>0</v>
      </c>
      <c r="DU30" s="208">
        <v>0</v>
      </c>
      <c r="DV30" s="208">
        <v>0</v>
      </c>
      <c r="DW30" s="208">
        <v>0</v>
      </c>
      <c r="DX30" s="208">
        <v>0</v>
      </c>
      <c r="DY30" s="208">
        <v>0</v>
      </c>
      <c r="DZ30" s="208">
        <v>0</v>
      </c>
      <c r="EA30" s="208">
        <v>0</v>
      </c>
      <c r="EB30" s="208">
        <v>0</v>
      </c>
      <c r="EC30" s="208">
        <v>0</v>
      </c>
      <c r="ED30" s="208">
        <v>0</v>
      </c>
      <c r="EE30" s="208">
        <v>0</v>
      </c>
      <c r="EF30" s="208">
        <v>0</v>
      </c>
      <c r="EG30" s="208">
        <v>0</v>
      </c>
      <c r="EH30" s="208">
        <v>0</v>
      </c>
      <c r="EI30" s="208">
        <v>0</v>
      </c>
      <c r="EJ30" s="208">
        <v>0</v>
      </c>
      <c r="EK30" s="208">
        <v>-16547</v>
      </c>
      <c r="EL30" s="208">
        <v>0</v>
      </c>
      <c r="EM30" s="208">
        <v>-16547</v>
      </c>
      <c r="EN30" s="208">
        <v>0</v>
      </c>
      <c r="EO30" s="208">
        <v>0</v>
      </c>
      <c r="EP30" s="208">
        <v>0</v>
      </c>
      <c r="EQ30" s="208">
        <v>-3000</v>
      </c>
      <c r="ER30" s="208">
        <v>0</v>
      </c>
      <c r="ES30" s="208">
        <v>-3000</v>
      </c>
      <c r="ET30" s="208">
        <v>0</v>
      </c>
      <c r="EU30" s="208">
        <v>0</v>
      </c>
      <c r="EV30" s="208">
        <v>0</v>
      </c>
      <c r="EW30" s="208">
        <v>-5208</v>
      </c>
      <c r="EX30" s="208">
        <v>0</v>
      </c>
      <c r="EY30" s="208">
        <v>-5208</v>
      </c>
      <c r="EZ30" s="208">
        <v>1609</v>
      </c>
      <c r="FA30" s="208">
        <v>0</v>
      </c>
      <c r="FB30" s="208">
        <v>1609</v>
      </c>
      <c r="FC30" s="208">
        <v>-49608</v>
      </c>
      <c r="FD30" s="208">
        <v>0</v>
      </c>
      <c r="FE30" s="208">
        <v>-49608</v>
      </c>
      <c r="FF30" s="208">
        <v>79</v>
      </c>
      <c r="FG30" s="208">
        <v>0</v>
      </c>
      <c r="FH30" s="208">
        <v>79</v>
      </c>
      <c r="FI30" s="208">
        <v>-5958</v>
      </c>
      <c r="FJ30" s="208">
        <v>0</v>
      </c>
      <c r="FK30" s="208">
        <v>-5958</v>
      </c>
      <c r="FL30" s="208">
        <v>1184</v>
      </c>
      <c r="FM30" s="208">
        <v>0</v>
      </c>
      <c r="FN30" s="208">
        <v>1184</v>
      </c>
      <c r="FO30" s="208">
        <v>0</v>
      </c>
      <c r="FP30" s="208">
        <v>0</v>
      </c>
      <c r="FQ30" s="208">
        <v>0</v>
      </c>
      <c r="FR30" s="208">
        <v>0</v>
      </c>
      <c r="FS30" s="208">
        <v>0</v>
      </c>
      <c r="FT30" s="208">
        <v>0</v>
      </c>
      <c r="FU30" s="208">
        <v>-77449</v>
      </c>
      <c r="FV30" s="208">
        <v>0</v>
      </c>
      <c r="FW30" s="208">
        <v>-77449</v>
      </c>
      <c r="FX30" s="208">
        <v>-422</v>
      </c>
      <c r="FY30" s="208">
        <v>0</v>
      </c>
      <c r="FZ30" s="208">
        <v>-422</v>
      </c>
      <c r="GA30" s="208">
        <v>0</v>
      </c>
      <c r="GB30" s="208">
        <v>0</v>
      </c>
      <c r="GC30" s="208">
        <v>0</v>
      </c>
      <c r="GD30" s="208">
        <v>-422</v>
      </c>
      <c r="GE30" s="208">
        <v>0</v>
      </c>
      <c r="GF30" s="208">
        <v>-422</v>
      </c>
      <c r="GG30" s="208">
        <v>25404468</v>
      </c>
      <c r="GH30" s="208">
        <v>0</v>
      </c>
      <c r="GI30" s="208">
        <v>25404468</v>
      </c>
      <c r="GJ30" s="208">
        <v>-184625</v>
      </c>
      <c r="GK30" s="208">
        <v>0</v>
      </c>
      <c r="GL30" s="208">
        <v>-184625</v>
      </c>
      <c r="GM30" s="208">
        <v>-3913063</v>
      </c>
      <c r="GN30" s="208">
        <v>0</v>
      </c>
      <c r="GO30" s="208">
        <v>-3913063</v>
      </c>
      <c r="GP30" s="208">
        <v>-902012</v>
      </c>
      <c r="GQ30" s="208">
        <v>0</v>
      </c>
      <c r="GR30" s="208">
        <v>-902012</v>
      </c>
      <c r="GS30" s="208">
        <v>-80799</v>
      </c>
      <c r="GT30" s="208">
        <v>0</v>
      </c>
      <c r="GU30" s="208">
        <v>-80799</v>
      </c>
      <c r="GV30" s="208">
        <v>-77449</v>
      </c>
      <c r="GW30" s="208">
        <v>0</v>
      </c>
      <c r="GX30" s="208">
        <v>-77449</v>
      </c>
      <c r="GY30" s="208">
        <v>-422</v>
      </c>
      <c r="GZ30" s="208">
        <v>0</v>
      </c>
      <c r="HA30" s="208">
        <v>-422</v>
      </c>
      <c r="HB30" s="208">
        <v>-5158370</v>
      </c>
      <c r="HC30" s="208">
        <v>0</v>
      </c>
      <c r="HD30" s="208">
        <v>-5158370</v>
      </c>
      <c r="HE30" s="208">
        <v>20246098</v>
      </c>
      <c r="HF30" s="208">
        <v>0</v>
      </c>
      <c r="HG30" s="208">
        <v>20246098</v>
      </c>
      <c r="HH30" s="187" t="s">
        <v>1054</v>
      </c>
    </row>
    <row r="31" spans="2:216" s="187" customFormat="1" x14ac:dyDescent="0.2">
      <c r="B31" s="429" t="s">
        <v>141</v>
      </c>
      <c r="C31" s="429" t="s">
        <v>140</v>
      </c>
      <c r="D31" s="208">
        <v>-1388096</v>
      </c>
      <c r="E31" s="208">
        <v>0</v>
      </c>
      <c r="F31" s="208">
        <v>-1388096</v>
      </c>
      <c r="G31" s="208">
        <v>31833</v>
      </c>
      <c r="H31" s="208">
        <v>0</v>
      </c>
      <c r="I31" s="208">
        <v>31833</v>
      </c>
      <c r="J31" s="208">
        <v>3188967</v>
      </c>
      <c r="K31" s="208">
        <v>0</v>
      </c>
      <c r="L31" s="208">
        <v>3188967</v>
      </c>
      <c r="M31" s="208">
        <v>24537</v>
      </c>
      <c r="N31" s="208">
        <v>0</v>
      </c>
      <c r="O31" s="208">
        <v>24537</v>
      </c>
      <c r="P31" s="208">
        <v>1857241</v>
      </c>
      <c r="Q31" s="208">
        <v>0</v>
      </c>
      <c r="R31" s="208">
        <v>1857241</v>
      </c>
      <c r="S31" s="208">
        <v>-7080913</v>
      </c>
      <c r="T31" s="208">
        <v>0</v>
      </c>
      <c r="U31" s="208">
        <v>-7080913</v>
      </c>
      <c r="V31" s="208">
        <v>-22693</v>
      </c>
      <c r="W31" s="208">
        <v>0</v>
      </c>
      <c r="X31" s="208">
        <v>-22693</v>
      </c>
      <c r="Y31" s="208">
        <v>-130266</v>
      </c>
      <c r="Z31" s="208">
        <v>0</v>
      </c>
      <c r="AA31" s="208">
        <v>-130266</v>
      </c>
      <c r="AB31" s="208">
        <v>-38284</v>
      </c>
      <c r="AC31" s="208">
        <v>0</v>
      </c>
      <c r="AD31" s="208">
        <v>-38284</v>
      </c>
      <c r="AE31" s="208">
        <v>-80900</v>
      </c>
      <c r="AF31" s="208">
        <v>0</v>
      </c>
      <c r="AG31" s="208">
        <v>-80900</v>
      </c>
      <c r="AH31" s="208">
        <v>0</v>
      </c>
      <c r="AI31" s="208">
        <v>0</v>
      </c>
      <c r="AJ31" s="208">
        <v>0</v>
      </c>
      <c r="AK31" s="208">
        <v>-761</v>
      </c>
      <c r="AL31" s="208">
        <v>0</v>
      </c>
      <c r="AM31" s="208">
        <v>-761</v>
      </c>
      <c r="AN31" s="208">
        <v>1529295</v>
      </c>
      <c r="AO31" s="208">
        <v>0</v>
      </c>
      <c r="AP31" s="208">
        <v>1529295</v>
      </c>
      <c r="AQ31" s="208">
        <v>-11211</v>
      </c>
      <c r="AR31" s="208">
        <v>0</v>
      </c>
      <c r="AS31" s="208">
        <v>-11211</v>
      </c>
      <c r="AT31" s="208">
        <v>-5845392</v>
      </c>
      <c r="AU31" s="208">
        <v>0</v>
      </c>
      <c r="AV31" s="208">
        <v>-5845392</v>
      </c>
      <c r="AW31" s="208">
        <v>-9</v>
      </c>
      <c r="AX31" s="208">
        <v>0</v>
      </c>
      <c r="AY31" s="208">
        <v>-9</v>
      </c>
      <c r="AZ31" s="208">
        <v>-144942</v>
      </c>
      <c r="BA31" s="208">
        <v>0</v>
      </c>
      <c r="BB31" s="208">
        <v>-144942</v>
      </c>
      <c r="BC31" s="208">
        <v>0</v>
      </c>
      <c r="BD31" s="208">
        <v>0</v>
      </c>
      <c r="BE31" s="208">
        <v>0</v>
      </c>
      <c r="BF31" s="208">
        <v>0</v>
      </c>
      <c r="BG31" s="208">
        <v>0</v>
      </c>
      <c r="BH31" s="208">
        <v>0</v>
      </c>
      <c r="BI31" s="208">
        <v>0</v>
      </c>
      <c r="BJ31" s="208">
        <v>0</v>
      </c>
      <c r="BK31" s="208">
        <v>0</v>
      </c>
      <c r="BL31" s="208">
        <v>-11683438</v>
      </c>
      <c r="BM31" s="208">
        <v>0</v>
      </c>
      <c r="BN31" s="208">
        <v>-11683438</v>
      </c>
      <c r="BO31" s="208">
        <v>-18309</v>
      </c>
      <c r="BP31" s="208">
        <v>0</v>
      </c>
      <c r="BQ31" s="208">
        <v>-18309</v>
      </c>
      <c r="BR31" s="208">
        <v>-10056</v>
      </c>
      <c r="BS31" s="208">
        <v>0</v>
      </c>
      <c r="BT31" s="208">
        <v>-10056</v>
      </c>
      <c r="BU31" s="208">
        <v>-1740251</v>
      </c>
      <c r="BV31" s="208">
        <v>0</v>
      </c>
      <c r="BW31" s="208">
        <v>-1740251</v>
      </c>
      <c r="BX31" s="208">
        <v>-29627</v>
      </c>
      <c r="BY31" s="208">
        <v>0</v>
      </c>
      <c r="BZ31" s="208">
        <v>-29627</v>
      </c>
      <c r="CA31" s="208">
        <v>-1798243</v>
      </c>
      <c r="CB31" s="208">
        <v>0</v>
      </c>
      <c r="CC31" s="208">
        <v>-1798243</v>
      </c>
      <c r="CD31" s="208">
        <v>-27950</v>
      </c>
      <c r="CE31" s="208">
        <v>0</v>
      </c>
      <c r="CF31" s="208">
        <v>-27950</v>
      </c>
      <c r="CG31" s="208">
        <v>-30</v>
      </c>
      <c r="CH31" s="208">
        <v>0</v>
      </c>
      <c r="CI31" s="208">
        <v>-30</v>
      </c>
      <c r="CJ31" s="208">
        <v>0</v>
      </c>
      <c r="CK31" s="208">
        <v>0</v>
      </c>
      <c r="CL31" s="208">
        <v>0</v>
      </c>
      <c r="CM31" s="208">
        <v>0</v>
      </c>
      <c r="CN31" s="208">
        <v>0</v>
      </c>
      <c r="CO31" s="208">
        <v>0</v>
      </c>
      <c r="CP31" s="208">
        <v>0</v>
      </c>
      <c r="CQ31" s="208">
        <v>0</v>
      </c>
      <c r="CR31" s="208">
        <v>0</v>
      </c>
      <c r="CS31" s="208">
        <v>0</v>
      </c>
      <c r="CT31" s="208">
        <v>0</v>
      </c>
      <c r="CU31" s="208">
        <v>0</v>
      </c>
      <c r="CV31" s="208">
        <v>0</v>
      </c>
      <c r="CW31" s="208">
        <v>0</v>
      </c>
      <c r="CX31" s="208">
        <v>0</v>
      </c>
      <c r="CY31" s="208">
        <v>0</v>
      </c>
      <c r="CZ31" s="208">
        <v>0</v>
      </c>
      <c r="DA31" s="208">
        <v>0</v>
      </c>
      <c r="DB31" s="208">
        <v>0</v>
      </c>
      <c r="DC31" s="208">
        <v>0</v>
      </c>
      <c r="DD31" s="208">
        <v>0</v>
      </c>
      <c r="DE31" s="208">
        <v>0</v>
      </c>
      <c r="DF31" s="208">
        <v>0</v>
      </c>
      <c r="DG31" s="208">
        <v>0</v>
      </c>
      <c r="DH31" s="208">
        <v>0</v>
      </c>
      <c r="DI31" s="208">
        <v>0</v>
      </c>
      <c r="DJ31" s="208">
        <v>0</v>
      </c>
      <c r="DK31" s="208">
        <v>0</v>
      </c>
      <c r="DL31" s="208">
        <v>0</v>
      </c>
      <c r="DM31" s="208">
        <v>0</v>
      </c>
      <c r="DN31" s="208">
        <v>0</v>
      </c>
      <c r="DO31" s="208">
        <v>0</v>
      </c>
      <c r="DP31" s="208">
        <v>-27980</v>
      </c>
      <c r="DQ31" s="208">
        <v>0</v>
      </c>
      <c r="DR31" s="208">
        <v>-27980</v>
      </c>
      <c r="DS31" s="208">
        <v>0</v>
      </c>
      <c r="DT31" s="208">
        <v>0</v>
      </c>
      <c r="DU31" s="208">
        <v>0</v>
      </c>
      <c r="DV31" s="208">
        <v>0</v>
      </c>
      <c r="DW31" s="208">
        <v>0</v>
      </c>
      <c r="DX31" s="208">
        <v>0</v>
      </c>
      <c r="DY31" s="208">
        <v>471</v>
      </c>
      <c r="DZ31" s="208">
        <v>0</v>
      </c>
      <c r="EA31" s="208">
        <v>471</v>
      </c>
      <c r="EB31" s="208">
        <v>0</v>
      </c>
      <c r="EC31" s="208">
        <v>0</v>
      </c>
      <c r="ED31" s="208">
        <v>0</v>
      </c>
      <c r="EE31" s="208">
        <v>0</v>
      </c>
      <c r="EF31" s="208">
        <v>0</v>
      </c>
      <c r="EG31" s="208">
        <v>0</v>
      </c>
      <c r="EH31" s="208">
        <v>0</v>
      </c>
      <c r="EI31" s="208">
        <v>0</v>
      </c>
      <c r="EJ31" s="208">
        <v>0</v>
      </c>
      <c r="EK31" s="208">
        <v>0</v>
      </c>
      <c r="EL31" s="208">
        <v>0</v>
      </c>
      <c r="EM31" s="208">
        <v>0</v>
      </c>
      <c r="EN31" s="208">
        <v>0</v>
      </c>
      <c r="EO31" s="208">
        <v>0</v>
      </c>
      <c r="EP31" s="208">
        <v>0</v>
      </c>
      <c r="EQ31" s="208">
        <v>-1500</v>
      </c>
      <c r="ER31" s="208">
        <v>0</v>
      </c>
      <c r="ES31" s="208">
        <v>-1500</v>
      </c>
      <c r="ET31" s="208">
        <v>-1500</v>
      </c>
      <c r="EU31" s="208">
        <v>0</v>
      </c>
      <c r="EV31" s="208">
        <v>-1500</v>
      </c>
      <c r="EW31" s="208">
        <v>-54826</v>
      </c>
      <c r="EX31" s="208">
        <v>0</v>
      </c>
      <c r="EY31" s="208">
        <v>-54826</v>
      </c>
      <c r="EZ31" s="208">
        <v>-1791</v>
      </c>
      <c r="FA31" s="208">
        <v>0</v>
      </c>
      <c r="FB31" s="208">
        <v>-1791</v>
      </c>
      <c r="FC31" s="208">
        <v>-166486</v>
      </c>
      <c r="FD31" s="208">
        <v>0</v>
      </c>
      <c r="FE31" s="208">
        <v>-166486</v>
      </c>
      <c r="FF31" s="208">
        <v>3004</v>
      </c>
      <c r="FG31" s="208">
        <v>0</v>
      </c>
      <c r="FH31" s="208">
        <v>3004</v>
      </c>
      <c r="FI31" s="208">
        <v>-12937</v>
      </c>
      <c r="FJ31" s="208">
        <v>0</v>
      </c>
      <c r="FK31" s="208">
        <v>-12937</v>
      </c>
      <c r="FL31" s="208">
        <v>82</v>
      </c>
      <c r="FM31" s="208">
        <v>0</v>
      </c>
      <c r="FN31" s="208">
        <v>82</v>
      </c>
      <c r="FO31" s="208">
        <v>0</v>
      </c>
      <c r="FP31" s="208">
        <v>0</v>
      </c>
      <c r="FQ31" s="208">
        <v>0</v>
      </c>
      <c r="FR31" s="208">
        <v>0</v>
      </c>
      <c r="FS31" s="208">
        <v>0</v>
      </c>
      <c r="FT31" s="208">
        <v>0</v>
      </c>
      <c r="FU31" s="208">
        <v>-235483</v>
      </c>
      <c r="FV31" s="208">
        <v>0</v>
      </c>
      <c r="FW31" s="208">
        <v>-235483</v>
      </c>
      <c r="FX31" s="208">
        <v>0</v>
      </c>
      <c r="FY31" s="208">
        <v>0</v>
      </c>
      <c r="FZ31" s="208">
        <v>0</v>
      </c>
      <c r="GA31" s="208">
        <v>0</v>
      </c>
      <c r="GB31" s="208">
        <v>0</v>
      </c>
      <c r="GC31" s="208">
        <v>0</v>
      </c>
      <c r="GD31" s="208">
        <v>0</v>
      </c>
      <c r="GE31" s="208">
        <v>0</v>
      </c>
      <c r="GF31" s="208">
        <v>0</v>
      </c>
      <c r="GG31" s="208">
        <v>79495710</v>
      </c>
      <c r="GH31" s="208">
        <v>0</v>
      </c>
      <c r="GI31" s="208">
        <v>79495710</v>
      </c>
      <c r="GJ31" s="208">
        <v>1857241</v>
      </c>
      <c r="GK31" s="208">
        <v>0</v>
      </c>
      <c r="GL31" s="208">
        <v>1857241</v>
      </c>
      <c r="GM31" s="208">
        <v>-11683438</v>
      </c>
      <c r="GN31" s="208">
        <v>0</v>
      </c>
      <c r="GO31" s="208">
        <v>-11683438</v>
      </c>
      <c r="GP31" s="208">
        <v>-1798243</v>
      </c>
      <c r="GQ31" s="208">
        <v>0</v>
      </c>
      <c r="GR31" s="208">
        <v>-1798243</v>
      </c>
      <c r="GS31" s="208">
        <v>-27980</v>
      </c>
      <c r="GT31" s="208">
        <v>0</v>
      </c>
      <c r="GU31" s="208">
        <v>-27980</v>
      </c>
      <c r="GV31" s="208">
        <v>-235483</v>
      </c>
      <c r="GW31" s="208">
        <v>0</v>
      </c>
      <c r="GX31" s="208">
        <v>-235483</v>
      </c>
      <c r="GY31" s="208">
        <v>0</v>
      </c>
      <c r="GZ31" s="208">
        <v>0</v>
      </c>
      <c r="HA31" s="208">
        <v>0</v>
      </c>
      <c r="HB31" s="208">
        <v>-11887903</v>
      </c>
      <c r="HC31" s="208">
        <v>0</v>
      </c>
      <c r="HD31" s="208">
        <v>-11887903</v>
      </c>
      <c r="HE31" s="208">
        <v>67607807</v>
      </c>
      <c r="HF31" s="208">
        <v>0</v>
      </c>
      <c r="HG31" s="208">
        <v>67607807</v>
      </c>
      <c r="HH31" s="187" t="s">
        <v>742</v>
      </c>
    </row>
    <row r="32" spans="2:216" s="187" customFormat="1" x14ac:dyDescent="0.2">
      <c r="B32" s="429" t="s">
        <v>143</v>
      </c>
      <c r="C32" s="429" t="s">
        <v>142</v>
      </c>
      <c r="D32" s="208">
        <v>-1106708</v>
      </c>
      <c r="E32" s="208">
        <v>0</v>
      </c>
      <c r="F32" s="208">
        <v>-1106708</v>
      </c>
      <c r="G32" s="208">
        <v>-54555</v>
      </c>
      <c r="H32" s="208">
        <v>0</v>
      </c>
      <c r="I32" s="208">
        <v>-54555</v>
      </c>
      <c r="J32" s="208">
        <v>1210764</v>
      </c>
      <c r="K32" s="208">
        <v>0</v>
      </c>
      <c r="L32" s="208">
        <v>1210764</v>
      </c>
      <c r="M32" s="208">
        <v>-279140</v>
      </c>
      <c r="N32" s="208">
        <v>0</v>
      </c>
      <c r="O32" s="208">
        <v>-279140</v>
      </c>
      <c r="P32" s="208">
        <v>-229639</v>
      </c>
      <c r="Q32" s="208">
        <v>0</v>
      </c>
      <c r="R32" s="208">
        <v>-229639</v>
      </c>
      <c r="S32" s="208">
        <v>-1483707</v>
      </c>
      <c r="T32" s="208">
        <v>0</v>
      </c>
      <c r="U32" s="208">
        <v>-1483707</v>
      </c>
      <c r="V32" s="208">
        <v>-1291</v>
      </c>
      <c r="W32" s="208">
        <v>0</v>
      </c>
      <c r="X32" s="208">
        <v>-1291</v>
      </c>
      <c r="Y32" s="208">
        <v>-46560</v>
      </c>
      <c r="Z32" s="208">
        <v>0</v>
      </c>
      <c r="AA32" s="208">
        <v>-46560</v>
      </c>
      <c r="AB32" s="208">
        <v>-2043</v>
      </c>
      <c r="AC32" s="208">
        <v>0</v>
      </c>
      <c r="AD32" s="208">
        <v>-2043</v>
      </c>
      <c r="AE32" s="208">
        <v>-43226</v>
      </c>
      <c r="AF32" s="208">
        <v>0</v>
      </c>
      <c r="AG32" s="208">
        <v>-43226</v>
      </c>
      <c r="AH32" s="208">
        <v>-83</v>
      </c>
      <c r="AI32" s="208">
        <v>0</v>
      </c>
      <c r="AJ32" s="208">
        <v>-83</v>
      </c>
      <c r="AK32" s="208">
        <v>-1209</v>
      </c>
      <c r="AL32" s="208">
        <v>0</v>
      </c>
      <c r="AM32" s="208">
        <v>-1209</v>
      </c>
      <c r="AN32" s="208">
        <v>1965563</v>
      </c>
      <c r="AO32" s="208">
        <v>0</v>
      </c>
      <c r="AP32" s="208">
        <v>1965563</v>
      </c>
      <c r="AQ32" s="208">
        <v>2817</v>
      </c>
      <c r="AR32" s="208">
        <v>0</v>
      </c>
      <c r="AS32" s="208">
        <v>2817</v>
      </c>
      <c r="AT32" s="208">
        <v>-3559337</v>
      </c>
      <c r="AU32" s="208">
        <v>0</v>
      </c>
      <c r="AV32" s="208">
        <v>-3559337</v>
      </c>
      <c r="AW32" s="208">
        <v>-62993</v>
      </c>
      <c r="AX32" s="208">
        <v>0</v>
      </c>
      <c r="AY32" s="208">
        <v>-62993</v>
      </c>
      <c r="AZ32" s="208">
        <v>-3510</v>
      </c>
      <c r="BA32" s="208">
        <v>0</v>
      </c>
      <c r="BB32" s="208">
        <v>-3510</v>
      </c>
      <c r="BC32" s="208">
        <v>0</v>
      </c>
      <c r="BD32" s="208">
        <v>0</v>
      </c>
      <c r="BE32" s="208">
        <v>0</v>
      </c>
      <c r="BF32" s="208">
        <v>0</v>
      </c>
      <c r="BG32" s="208">
        <v>0</v>
      </c>
      <c r="BH32" s="208">
        <v>0</v>
      </c>
      <c r="BI32" s="208">
        <v>0</v>
      </c>
      <c r="BJ32" s="208">
        <v>0</v>
      </c>
      <c r="BK32" s="208">
        <v>0</v>
      </c>
      <c r="BL32" s="208">
        <v>-3187727</v>
      </c>
      <c r="BM32" s="208">
        <v>0</v>
      </c>
      <c r="BN32" s="208">
        <v>-3187727</v>
      </c>
      <c r="BO32" s="208">
        <v>-118316</v>
      </c>
      <c r="BP32" s="208">
        <v>0</v>
      </c>
      <c r="BQ32" s="208">
        <v>-118316</v>
      </c>
      <c r="BR32" s="208">
        <v>9153</v>
      </c>
      <c r="BS32" s="208">
        <v>0</v>
      </c>
      <c r="BT32" s="208">
        <v>9153</v>
      </c>
      <c r="BU32" s="208">
        <v>-2515099</v>
      </c>
      <c r="BV32" s="208">
        <v>0</v>
      </c>
      <c r="BW32" s="208">
        <v>-2515099</v>
      </c>
      <c r="BX32" s="208">
        <v>362850</v>
      </c>
      <c r="BY32" s="208">
        <v>0</v>
      </c>
      <c r="BZ32" s="208">
        <v>362850</v>
      </c>
      <c r="CA32" s="208">
        <v>-2261412</v>
      </c>
      <c r="CB32" s="208">
        <v>0</v>
      </c>
      <c r="CC32" s="208">
        <v>-2261412</v>
      </c>
      <c r="CD32" s="208">
        <v>-85072</v>
      </c>
      <c r="CE32" s="208">
        <v>0</v>
      </c>
      <c r="CF32" s="208">
        <v>-85072</v>
      </c>
      <c r="CG32" s="208">
        <v>-5270</v>
      </c>
      <c r="CH32" s="208">
        <v>0</v>
      </c>
      <c r="CI32" s="208">
        <v>-5270</v>
      </c>
      <c r="CJ32" s="208">
        <v>-44481</v>
      </c>
      <c r="CK32" s="208">
        <v>0</v>
      </c>
      <c r="CL32" s="208">
        <v>-44481</v>
      </c>
      <c r="CM32" s="208">
        <v>6244</v>
      </c>
      <c r="CN32" s="208">
        <v>0</v>
      </c>
      <c r="CO32" s="208">
        <v>6244</v>
      </c>
      <c r="CP32" s="208">
        <v>0</v>
      </c>
      <c r="CQ32" s="208">
        <v>0</v>
      </c>
      <c r="CR32" s="208">
        <v>0</v>
      </c>
      <c r="CS32" s="208">
        <v>0</v>
      </c>
      <c r="CT32" s="208">
        <v>0</v>
      </c>
      <c r="CU32" s="208">
        <v>0</v>
      </c>
      <c r="CV32" s="208">
        <v>0</v>
      </c>
      <c r="CW32" s="208">
        <v>0</v>
      </c>
      <c r="CX32" s="208">
        <v>0</v>
      </c>
      <c r="CY32" s="208">
        <v>0</v>
      </c>
      <c r="CZ32" s="208">
        <v>0</v>
      </c>
      <c r="DA32" s="208">
        <v>0</v>
      </c>
      <c r="DB32" s="208">
        <v>0</v>
      </c>
      <c r="DC32" s="208">
        <v>0</v>
      </c>
      <c r="DD32" s="208">
        <v>0</v>
      </c>
      <c r="DE32" s="208">
        <v>0</v>
      </c>
      <c r="DF32" s="208">
        <v>0</v>
      </c>
      <c r="DG32" s="208">
        <v>0</v>
      </c>
      <c r="DH32" s="208">
        <v>0</v>
      </c>
      <c r="DI32" s="208">
        <v>0</v>
      </c>
      <c r="DJ32" s="208">
        <v>0</v>
      </c>
      <c r="DK32" s="208">
        <v>0</v>
      </c>
      <c r="DL32" s="208">
        <v>0</v>
      </c>
      <c r="DM32" s="208">
        <v>0</v>
      </c>
      <c r="DN32" s="208">
        <v>0</v>
      </c>
      <c r="DO32" s="208">
        <v>0</v>
      </c>
      <c r="DP32" s="208">
        <v>-128579</v>
      </c>
      <c r="DQ32" s="208">
        <v>0</v>
      </c>
      <c r="DR32" s="208">
        <v>-128579</v>
      </c>
      <c r="DS32" s="208">
        <v>0</v>
      </c>
      <c r="DT32" s="208">
        <v>0</v>
      </c>
      <c r="DU32" s="208">
        <v>0</v>
      </c>
      <c r="DV32" s="208">
        <v>0</v>
      </c>
      <c r="DW32" s="208">
        <v>0</v>
      </c>
      <c r="DX32" s="208">
        <v>0</v>
      </c>
      <c r="DY32" s="208">
        <v>0</v>
      </c>
      <c r="DZ32" s="208">
        <v>0</v>
      </c>
      <c r="EA32" s="208">
        <v>0</v>
      </c>
      <c r="EB32" s="208">
        <v>0</v>
      </c>
      <c r="EC32" s="208">
        <v>0</v>
      </c>
      <c r="ED32" s="208">
        <v>0</v>
      </c>
      <c r="EE32" s="208">
        <v>0</v>
      </c>
      <c r="EF32" s="208">
        <v>0</v>
      </c>
      <c r="EG32" s="208">
        <v>0</v>
      </c>
      <c r="EH32" s="208">
        <v>0</v>
      </c>
      <c r="EI32" s="208">
        <v>0</v>
      </c>
      <c r="EJ32" s="208">
        <v>0</v>
      </c>
      <c r="EK32" s="208">
        <v>0</v>
      </c>
      <c r="EL32" s="208">
        <v>0</v>
      </c>
      <c r="EM32" s="208">
        <v>0</v>
      </c>
      <c r="EN32" s="208">
        <v>0</v>
      </c>
      <c r="EO32" s="208">
        <v>0</v>
      </c>
      <c r="EP32" s="208">
        <v>0</v>
      </c>
      <c r="EQ32" s="208">
        <v>0</v>
      </c>
      <c r="ER32" s="208">
        <v>0</v>
      </c>
      <c r="ES32" s="208">
        <v>0</v>
      </c>
      <c r="ET32" s="208">
        <v>0</v>
      </c>
      <c r="EU32" s="208">
        <v>0</v>
      </c>
      <c r="EV32" s="208">
        <v>0</v>
      </c>
      <c r="EW32" s="208">
        <v>-2803</v>
      </c>
      <c r="EX32" s="208">
        <v>0</v>
      </c>
      <c r="EY32" s="208">
        <v>-2803</v>
      </c>
      <c r="EZ32" s="208">
        <v>0</v>
      </c>
      <c r="FA32" s="208">
        <v>0</v>
      </c>
      <c r="FB32" s="208">
        <v>0</v>
      </c>
      <c r="FC32" s="208">
        <v>-135115</v>
      </c>
      <c r="FD32" s="208">
        <v>0</v>
      </c>
      <c r="FE32" s="208">
        <v>-135115</v>
      </c>
      <c r="FF32" s="208">
        <v>-4149</v>
      </c>
      <c r="FG32" s="208">
        <v>0</v>
      </c>
      <c r="FH32" s="208">
        <v>-4149</v>
      </c>
      <c r="FI32" s="208">
        <v>-16814</v>
      </c>
      <c r="FJ32" s="208">
        <v>0</v>
      </c>
      <c r="FK32" s="208">
        <v>-16814</v>
      </c>
      <c r="FL32" s="208">
        <v>0</v>
      </c>
      <c r="FM32" s="208">
        <v>0</v>
      </c>
      <c r="FN32" s="208">
        <v>0</v>
      </c>
      <c r="FO32" s="208">
        <v>0</v>
      </c>
      <c r="FP32" s="208">
        <v>0</v>
      </c>
      <c r="FQ32" s="208">
        <v>0</v>
      </c>
      <c r="FR32" s="208">
        <v>0</v>
      </c>
      <c r="FS32" s="208">
        <v>0</v>
      </c>
      <c r="FT32" s="208">
        <v>0</v>
      </c>
      <c r="FU32" s="208">
        <v>-158881</v>
      </c>
      <c r="FV32" s="208">
        <v>0</v>
      </c>
      <c r="FW32" s="208">
        <v>-158881</v>
      </c>
      <c r="FX32" s="208">
        <v>0</v>
      </c>
      <c r="FY32" s="208">
        <v>0</v>
      </c>
      <c r="FZ32" s="208">
        <v>0</v>
      </c>
      <c r="GA32" s="208">
        <v>0</v>
      </c>
      <c r="GB32" s="208">
        <v>0</v>
      </c>
      <c r="GC32" s="208">
        <v>0</v>
      </c>
      <c r="GD32" s="208">
        <v>0</v>
      </c>
      <c r="GE32" s="208">
        <v>0</v>
      </c>
      <c r="GF32" s="208">
        <v>0</v>
      </c>
      <c r="GG32" s="208">
        <v>80162656</v>
      </c>
      <c r="GH32" s="208">
        <v>0</v>
      </c>
      <c r="GI32" s="208">
        <v>80162656</v>
      </c>
      <c r="GJ32" s="208">
        <v>-229639</v>
      </c>
      <c r="GK32" s="208">
        <v>0</v>
      </c>
      <c r="GL32" s="208">
        <v>-229639</v>
      </c>
      <c r="GM32" s="208">
        <v>-3187727</v>
      </c>
      <c r="GN32" s="208">
        <v>0</v>
      </c>
      <c r="GO32" s="208">
        <v>-3187727</v>
      </c>
      <c r="GP32" s="208">
        <v>-2261412</v>
      </c>
      <c r="GQ32" s="208">
        <v>0</v>
      </c>
      <c r="GR32" s="208">
        <v>-2261412</v>
      </c>
      <c r="GS32" s="208">
        <v>-128579</v>
      </c>
      <c r="GT32" s="208">
        <v>0</v>
      </c>
      <c r="GU32" s="208">
        <v>-128579</v>
      </c>
      <c r="GV32" s="208">
        <v>-158881</v>
      </c>
      <c r="GW32" s="208">
        <v>0</v>
      </c>
      <c r="GX32" s="208">
        <v>-158881</v>
      </c>
      <c r="GY32" s="208">
        <v>0</v>
      </c>
      <c r="GZ32" s="208">
        <v>0</v>
      </c>
      <c r="HA32" s="208">
        <v>0</v>
      </c>
      <c r="HB32" s="208">
        <v>-5966238</v>
      </c>
      <c r="HC32" s="208">
        <v>0</v>
      </c>
      <c r="HD32" s="208">
        <v>-5966238</v>
      </c>
      <c r="HE32" s="208">
        <v>74196418</v>
      </c>
      <c r="HF32" s="208">
        <v>0</v>
      </c>
      <c r="HG32" s="208">
        <v>74196418</v>
      </c>
      <c r="HH32" s="187" t="s">
        <v>742</v>
      </c>
    </row>
    <row r="33" spans="1:216" s="187" customFormat="1" x14ac:dyDescent="0.2">
      <c r="B33" s="429" t="s">
        <v>145</v>
      </c>
      <c r="C33" s="429" t="s">
        <v>144</v>
      </c>
      <c r="D33" s="208">
        <v>-4335049</v>
      </c>
      <c r="E33" s="208">
        <v>0</v>
      </c>
      <c r="F33" s="208">
        <v>-4335049</v>
      </c>
      <c r="G33" s="208">
        <v>285649</v>
      </c>
      <c r="H33" s="208">
        <v>0</v>
      </c>
      <c r="I33" s="208">
        <v>285649</v>
      </c>
      <c r="J33" s="208">
        <v>5912877</v>
      </c>
      <c r="K33" s="208">
        <v>0</v>
      </c>
      <c r="L33" s="208">
        <v>5912877</v>
      </c>
      <c r="M33" s="208">
        <v>-2988</v>
      </c>
      <c r="N33" s="208">
        <v>0</v>
      </c>
      <c r="O33" s="208">
        <v>-2988</v>
      </c>
      <c r="P33" s="208">
        <v>1860489</v>
      </c>
      <c r="Q33" s="208">
        <v>0</v>
      </c>
      <c r="R33" s="208">
        <v>1860489</v>
      </c>
      <c r="S33" s="208">
        <v>-24679106</v>
      </c>
      <c r="T33" s="208">
        <v>0</v>
      </c>
      <c r="U33" s="208">
        <v>-24679106</v>
      </c>
      <c r="V33" s="208">
        <v>-72325</v>
      </c>
      <c r="W33" s="208">
        <v>0</v>
      </c>
      <c r="X33" s="208">
        <v>-72325</v>
      </c>
      <c r="Y33" s="208">
        <v>-819070</v>
      </c>
      <c r="Z33" s="208">
        <v>0</v>
      </c>
      <c r="AA33" s="208">
        <v>-819070</v>
      </c>
      <c r="AB33" s="208">
        <v>0</v>
      </c>
      <c r="AC33" s="208">
        <v>0</v>
      </c>
      <c r="AD33" s="208">
        <v>0</v>
      </c>
      <c r="AE33" s="208">
        <v>0</v>
      </c>
      <c r="AF33" s="208">
        <v>0</v>
      </c>
      <c r="AG33" s="208">
        <v>0</v>
      </c>
      <c r="AH33" s="208">
        <v>6899.84</v>
      </c>
      <c r="AI33" s="208">
        <v>0</v>
      </c>
      <c r="AJ33" s="208">
        <v>6899.84</v>
      </c>
      <c r="AK33" s="208">
        <v>0</v>
      </c>
      <c r="AL33" s="208">
        <v>0</v>
      </c>
      <c r="AM33" s="208">
        <v>0</v>
      </c>
      <c r="AN33" s="208">
        <v>3334648</v>
      </c>
      <c r="AO33" s="208">
        <v>0</v>
      </c>
      <c r="AP33" s="208">
        <v>3334648</v>
      </c>
      <c r="AQ33" s="208">
        <v>77319</v>
      </c>
      <c r="AR33" s="208">
        <v>0</v>
      </c>
      <c r="AS33" s="208">
        <v>77319</v>
      </c>
      <c r="AT33" s="208">
        <v>-15689181</v>
      </c>
      <c r="AU33" s="208">
        <v>0</v>
      </c>
      <c r="AV33" s="208">
        <v>-15689181</v>
      </c>
      <c r="AW33" s="208">
        <v>-439943</v>
      </c>
      <c r="AX33" s="208">
        <v>0</v>
      </c>
      <c r="AY33" s="208">
        <v>-439943</v>
      </c>
      <c r="AZ33" s="208">
        <v>-176096</v>
      </c>
      <c r="BA33" s="208">
        <v>0</v>
      </c>
      <c r="BB33" s="208">
        <v>-176096</v>
      </c>
      <c r="BC33" s="208">
        <v>0</v>
      </c>
      <c r="BD33" s="208">
        <v>0</v>
      </c>
      <c r="BE33" s="208">
        <v>0</v>
      </c>
      <c r="BF33" s="208">
        <v>-6089</v>
      </c>
      <c r="BG33" s="208">
        <v>0</v>
      </c>
      <c r="BH33" s="208">
        <v>-6089</v>
      </c>
      <c r="BI33" s="208">
        <v>0</v>
      </c>
      <c r="BJ33" s="208">
        <v>0</v>
      </c>
      <c r="BK33" s="208">
        <v>0</v>
      </c>
      <c r="BL33" s="208">
        <v>-38397518</v>
      </c>
      <c r="BM33" s="208">
        <v>0</v>
      </c>
      <c r="BN33" s="208">
        <v>-38397518</v>
      </c>
      <c r="BO33" s="208">
        <v>-53203</v>
      </c>
      <c r="BP33" s="208">
        <v>0</v>
      </c>
      <c r="BQ33" s="208">
        <v>-53203</v>
      </c>
      <c r="BR33" s="208">
        <v>-212386</v>
      </c>
      <c r="BS33" s="208">
        <v>0</v>
      </c>
      <c r="BT33" s="208">
        <v>-212386</v>
      </c>
      <c r="BU33" s="208">
        <v>-7963497</v>
      </c>
      <c r="BV33" s="208">
        <v>0</v>
      </c>
      <c r="BW33" s="208">
        <v>-7963497</v>
      </c>
      <c r="BX33" s="208">
        <v>3861</v>
      </c>
      <c r="BY33" s="208">
        <v>0</v>
      </c>
      <c r="BZ33" s="208">
        <v>3861</v>
      </c>
      <c r="CA33" s="208">
        <v>-8225225</v>
      </c>
      <c r="CB33" s="208">
        <v>0</v>
      </c>
      <c r="CC33" s="208">
        <v>-8225225</v>
      </c>
      <c r="CD33" s="208">
        <v>-7162</v>
      </c>
      <c r="CE33" s="208">
        <v>0</v>
      </c>
      <c r="CF33" s="208">
        <v>-7162</v>
      </c>
      <c r="CG33" s="208">
        <v>-109</v>
      </c>
      <c r="CH33" s="208">
        <v>0</v>
      </c>
      <c r="CI33" s="208">
        <v>-109</v>
      </c>
      <c r="CJ33" s="208">
        <v>0</v>
      </c>
      <c r="CK33" s="208">
        <v>0</v>
      </c>
      <c r="CL33" s="208">
        <v>0</v>
      </c>
      <c r="CM33" s="208">
        <v>0</v>
      </c>
      <c r="CN33" s="208">
        <v>0</v>
      </c>
      <c r="CO33" s="208">
        <v>0</v>
      </c>
      <c r="CP33" s="208">
        <v>0</v>
      </c>
      <c r="CQ33" s="208">
        <v>0</v>
      </c>
      <c r="CR33" s="208">
        <v>0</v>
      </c>
      <c r="CS33" s="208">
        <v>0</v>
      </c>
      <c r="CT33" s="208">
        <v>0</v>
      </c>
      <c r="CU33" s="208">
        <v>0</v>
      </c>
      <c r="CV33" s="208">
        <v>-5422</v>
      </c>
      <c r="CW33" s="208">
        <v>0</v>
      </c>
      <c r="CX33" s="208">
        <v>-5422</v>
      </c>
      <c r="CY33" s="208">
        <v>0</v>
      </c>
      <c r="CZ33" s="208">
        <v>0</v>
      </c>
      <c r="DA33" s="208">
        <v>0</v>
      </c>
      <c r="DB33" s="208">
        <v>0</v>
      </c>
      <c r="DC33" s="208">
        <v>0</v>
      </c>
      <c r="DD33" s="208">
        <v>0</v>
      </c>
      <c r="DE33" s="208">
        <v>0</v>
      </c>
      <c r="DF33" s="208">
        <v>0</v>
      </c>
      <c r="DG33" s="208">
        <v>0</v>
      </c>
      <c r="DH33" s="208">
        <v>-5378</v>
      </c>
      <c r="DI33" s="208">
        <v>0</v>
      </c>
      <c r="DJ33" s="208">
        <v>-5378</v>
      </c>
      <c r="DK33" s="208">
        <v>0</v>
      </c>
      <c r="DL33" s="208">
        <v>0</v>
      </c>
      <c r="DM33" s="208">
        <v>0</v>
      </c>
      <c r="DN33" s="208">
        <v>0</v>
      </c>
      <c r="DO33" s="208">
        <v>0</v>
      </c>
      <c r="DP33" s="208">
        <v>-18071</v>
      </c>
      <c r="DQ33" s="208">
        <v>0</v>
      </c>
      <c r="DR33" s="208">
        <v>-18071</v>
      </c>
      <c r="DS33" s="208">
        <v>0</v>
      </c>
      <c r="DT33" s="208">
        <v>0</v>
      </c>
      <c r="DU33" s="208">
        <v>0</v>
      </c>
      <c r="DV33" s="208">
        <v>0</v>
      </c>
      <c r="DW33" s="208">
        <v>0</v>
      </c>
      <c r="DX33" s="208">
        <v>0</v>
      </c>
      <c r="DY33" s="208">
        <v>1443</v>
      </c>
      <c r="DZ33" s="208">
        <v>0</v>
      </c>
      <c r="EA33" s="208">
        <v>1443</v>
      </c>
      <c r="EB33" s="208">
        <v>0</v>
      </c>
      <c r="EC33" s="208">
        <v>0</v>
      </c>
      <c r="ED33" s="208">
        <v>0</v>
      </c>
      <c r="EE33" s="208">
        <v>542</v>
      </c>
      <c r="EF33" s="208">
        <v>0</v>
      </c>
      <c r="EG33" s="208">
        <v>542</v>
      </c>
      <c r="EH33" s="208">
        <v>0</v>
      </c>
      <c r="EI33" s="208">
        <v>0</v>
      </c>
      <c r="EJ33" s="208">
        <v>0</v>
      </c>
      <c r="EK33" s="208">
        <v>-6089</v>
      </c>
      <c r="EL33" s="208">
        <v>0</v>
      </c>
      <c r="EM33" s="208">
        <v>-6089</v>
      </c>
      <c r="EN33" s="208">
        <v>0</v>
      </c>
      <c r="EO33" s="208">
        <v>0</v>
      </c>
      <c r="EP33" s="208">
        <v>0</v>
      </c>
      <c r="EQ33" s="208">
        <v>0</v>
      </c>
      <c r="ER33" s="208">
        <v>0</v>
      </c>
      <c r="ES33" s="208">
        <v>0</v>
      </c>
      <c r="ET33" s="208">
        <v>0</v>
      </c>
      <c r="EU33" s="208">
        <v>0</v>
      </c>
      <c r="EV33" s="208">
        <v>0</v>
      </c>
      <c r="EW33" s="208">
        <v>-54803</v>
      </c>
      <c r="EX33" s="208">
        <v>0</v>
      </c>
      <c r="EY33" s="208">
        <v>-54803</v>
      </c>
      <c r="EZ33" s="208">
        <v>4366</v>
      </c>
      <c r="FA33" s="208">
        <v>0</v>
      </c>
      <c r="FB33" s="208">
        <v>4366</v>
      </c>
      <c r="FC33" s="208">
        <v>-454552</v>
      </c>
      <c r="FD33" s="208">
        <v>0</v>
      </c>
      <c r="FE33" s="208">
        <v>-454552</v>
      </c>
      <c r="FF33" s="208">
        <v>21182</v>
      </c>
      <c r="FG33" s="208">
        <v>0</v>
      </c>
      <c r="FH33" s="208">
        <v>21182</v>
      </c>
      <c r="FI33" s="208">
        <v>-153189</v>
      </c>
      <c r="FJ33" s="208">
        <v>0</v>
      </c>
      <c r="FK33" s="208">
        <v>-153189</v>
      </c>
      <c r="FL33" s="208">
        <v>-5883</v>
      </c>
      <c r="FM33" s="208">
        <v>0</v>
      </c>
      <c r="FN33" s="208">
        <v>-5883</v>
      </c>
      <c r="FO33" s="208">
        <v>0</v>
      </c>
      <c r="FP33" s="208">
        <v>0</v>
      </c>
      <c r="FQ33" s="208">
        <v>0</v>
      </c>
      <c r="FR33" s="208">
        <v>0</v>
      </c>
      <c r="FS33" s="208">
        <v>0</v>
      </c>
      <c r="FT33" s="208">
        <v>0</v>
      </c>
      <c r="FU33" s="208">
        <v>-646983</v>
      </c>
      <c r="FV33" s="208">
        <v>0</v>
      </c>
      <c r="FW33" s="208">
        <v>-646983</v>
      </c>
      <c r="FX33" s="208">
        <v>0</v>
      </c>
      <c r="FY33" s="208">
        <v>0</v>
      </c>
      <c r="FZ33" s="208">
        <v>0</v>
      </c>
      <c r="GA33" s="208">
        <v>0</v>
      </c>
      <c r="GB33" s="208">
        <v>0</v>
      </c>
      <c r="GC33" s="208">
        <v>0</v>
      </c>
      <c r="GD33" s="208">
        <v>0</v>
      </c>
      <c r="GE33" s="208">
        <v>0</v>
      </c>
      <c r="GF33" s="208">
        <v>0</v>
      </c>
      <c r="GG33" s="208">
        <v>184987839</v>
      </c>
      <c r="GH33" s="208">
        <v>0</v>
      </c>
      <c r="GI33" s="208">
        <v>184987839</v>
      </c>
      <c r="GJ33" s="208">
        <v>1860489</v>
      </c>
      <c r="GK33" s="208">
        <v>0</v>
      </c>
      <c r="GL33" s="208">
        <v>1860489</v>
      </c>
      <c r="GM33" s="208">
        <v>-38397518</v>
      </c>
      <c r="GN33" s="208">
        <v>0</v>
      </c>
      <c r="GO33" s="208">
        <v>-38397518</v>
      </c>
      <c r="GP33" s="208">
        <v>-8225225</v>
      </c>
      <c r="GQ33" s="208">
        <v>0</v>
      </c>
      <c r="GR33" s="208">
        <v>-8225225</v>
      </c>
      <c r="GS33" s="208">
        <v>-18071</v>
      </c>
      <c r="GT33" s="208">
        <v>0</v>
      </c>
      <c r="GU33" s="208">
        <v>-18071</v>
      </c>
      <c r="GV33" s="208">
        <v>-646983</v>
      </c>
      <c r="GW33" s="208">
        <v>0</v>
      </c>
      <c r="GX33" s="208">
        <v>-646983</v>
      </c>
      <c r="GY33" s="208">
        <v>0</v>
      </c>
      <c r="GZ33" s="208">
        <v>0</v>
      </c>
      <c r="HA33" s="208">
        <v>0</v>
      </c>
      <c r="HB33" s="208">
        <v>-45427308</v>
      </c>
      <c r="HC33" s="208">
        <v>0</v>
      </c>
      <c r="HD33" s="208">
        <v>-45427308</v>
      </c>
      <c r="HE33" s="208">
        <v>139560531</v>
      </c>
      <c r="HF33" s="208">
        <v>0</v>
      </c>
      <c r="HG33" s="208">
        <v>139560531</v>
      </c>
      <c r="HH33" s="187" t="s">
        <v>1056</v>
      </c>
    </row>
    <row r="34" spans="1:216" s="187" customFormat="1" x14ac:dyDescent="0.2">
      <c r="B34" s="429" t="s">
        <v>147</v>
      </c>
      <c r="C34" s="429" t="s">
        <v>146</v>
      </c>
      <c r="D34" s="208">
        <v>-618638</v>
      </c>
      <c r="E34" s="208">
        <v>0</v>
      </c>
      <c r="F34" s="208">
        <v>-618638</v>
      </c>
      <c r="G34" s="208">
        <v>241</v>
      </c>
      <c r="H34" s="208">
        <v>0</v>
      </c>
      <c r="I34" s="208">
        <v>241</v>
      </c>
      <c r="J34" s="208">
        <v>416754</v>
      </c>
      <c r="K34" s="208">
        <v>0</v>
      </c>
      <c r="L34" s="208">
        <v>416754</v>
      </c>
      <c r="M34" s="208">
        <v>-17770</v>
      </c>
      <c r="N34" s="208">
        <v>0</v>
      </c>
      <c r="O34" s="208">
        <v>-17770</v>
      </c>
      <c r="P34" s="208">
        <v>-219413</v>
      </c>
      <c r="Q34" s="208">
        <v>0</v>
      </c>
      <c r="R34" s="208">
        <v>-219413</v>
      </c>
      <c r="S34" s="208">
        <v>-5307191</v>
      </c>
      <c r="T34" s="208">
        <v>0</v>
      </c>
      <c r="U34" s="208">
        <v>-5307191</v>
      </c>
      <c r="V34" s="208">
        <v>0</v>
      </c>
      <c r="W34" s="208">
        <v>0</v>
      </c>
      <c r="X34" s="208">
        <v>0</v>
      </c>
      <c r="Y34" s="208">
        <v>-183306</v>
      </c>
      <c r="Z34" s="208">
        <v>0</v>
      </c>
      <c r="AA34" s="208">
        <v>-183306</v>
      </c>
      <c r="AB34" s="208">
        <v>-48365</v>
      </c>
      <c r="AC34" s="208">
        <v>0</v>
      </c>
      <c r="AD34" s="208">
        <v>-48365</v>
      </c>
      <c r="AE34" s="208">
        <v>-133594.82</v>
      </c>
      <c r="AF34" s="208">
        <v>0</v>
      </c>
      <c r="AG34" s="208">
        <v>-133594.82</v>
      </c>
      <c r="AH34" s="208">
        <v>0</v>
      </c>
      <c r="AI34" s="208">
        <v>0</v>
      </c>
      <c r="AJ34" s="208">
        <v>0</v>
      </c>
      <c r="AK34" s="208">
        <v>0</v>
      </c>
      <c r="AL34" s="208">
        <v>0</v>
      </c>
      <c r="AM34" s="208">
        <v>0</v>
      </c>
      <c r="AN34" s="208">
        <v>895593</v>
      </c>
      <c r="AO34" s="208">
        <v>0</v>
      </c>
      <c r="AP34" s="208">
        <v>895593</v>
      </c>
      <c r="AQ34" s="208">
        <v>-12280</v>
      </c>
      <c r="AR34" s="208">
        <v>0</v>
      </c>
      <c r="AS34" s="208">
        <v>-12280</v>
      </c>
      <c r="AT34" s="208">
        <v>-3099687</v>
      </c>
      <c r="AU34" s="208">
        <v>0</v>
      </c>
      <c r="AV34" s="208">
        <v>-3099687</v>
      </c>
      <c r="AW34" s="208">
        <v>105728</v>
      </c>
      <c r="AX34" s="208">
        <v>0</v>
      </c>
      <c r="AY34" s="208">
        <v>105728</v>
      </c>
      <c r="AZ34" s="208">
        <v>-114534</v>
      </c>
      <c r="BA34" s="208">
        <v>0</v>
      </c>
      <c r="BB34" s="208">
        <v>-114534</v>
      </c>
      <c r="BC34" s="208">
        <v>-18</v>
      </c>
      <c r="BD34" s="208">
        <v>0</v>
      </c>
      <c r="BE34" s="208">
        <v>-18</v>
      </c>
      <c r="BF34" s="208">
        <v>-15708</v>
      </c>
      <c r="BG34" s="208">
        <v>0</v>
      </c>
      <c r="BH34" s="208">
        <v>-15708</v>
      </c>
      <c r="BI34" s="208">
        <v>0</v>
      </c>
      <c r="BJ34" s="208">
        <v>0</v>
      </c>
      <c r="BK34" s="208">
        <v>0</v>
      </c>
      <c r="BL34" s="208">
        <v>-7731403</v>
      </c>
      <c r="BM34" s="208">
        <v>0</v>
      </c>
      <c r="BN34" s="208">
        <v>-7731403</v>
      </c>
      <c r="BO34" s="208">
        <v>-27893</v>
      </c>
      <c r="BP34" s="208">
        <v>0</v>
      </c>
      <c r="BQ34" s="208">
        <v>-27893</v>
      </c>
      <c r="BR34" s="208">
        <v>0</v>
      </c>
      <c r="BS34" s="208">
        <v>0</v>
      </c>
      <c r="BT34" s="208">
        <v>0</v>
      </c>
      <c r="BU34" s="208">
        <v>-1190049</v>
      </c>
      <c r="BV34" s="208">
        <v>0</v>
      </c>
      <c r="BW34" s="208">
        <v>-1190049</v>
      </c>
      <c r="BX34" s="208">
        <v>33340</v>
      </c>
      <c r="BY34" s="208">
        <v>0</v>
      </c>
      <c r="BZ34" s="208">
        <v>33340</v>
      </c>
      <c r="CA34" s="208">
        <v>-1184602</v>
      </c>
      <c r="CB34" s="208">
        <v>0</v>
      </c>
      <c r="CC34" s="208">
        <v>-1184602</v>
      </c>
      <c r="CD34" s="208">
        <v>0</v>
      </c>
      <c r="CE34" s="208">
        <v>0</v>
      </c>
      <c r="CF34" s="208">
        <v>0</v>
      </c>
      <c r="CG34" s="208">
        <v>5746</v>
      </c>
      <c r="CH34" s="208">
        <v>0</v>
      </c>
      <c r="CI34" s="208">
        <v>5746</v>
      </c>
      <c r="CJ34" s="208">
        <v>-261828</v>
      </c>
      <c r="CK34" s="208">
        <v>0</v>
      </c>
      <c r="CL34" s="208">
        <v>-261828</v>
      </c>
      <c r="CM34" s="208">
        <v>-5692</v>
      </c>
      <c r="CN34" s="208">
        <v>0</v>
      </c>
      <c r="CO34" s="208">
        <v>-5692</v>
      </c>
      <c r="CP34" s="208">
        <v>0</v>
      </c>
      <c r="CQ34" s="208">
        <v>0</v>
      </c>
      <c r="CR34" s="208">
        <v>0</v>
      </c>
      <c r="CS34" s="208">
        <v>0</v>
      </c>
      <c r="CT34" s="208">
        <v>0</v>
      </c>
      <c r="CU34" s="208">
        <v>0</v>
      </c>
      <c r="CV34" s="208">
        <v>0</v>
      </c>
      <c r="CW34" s="208">
        <v>0</v>
      </c>
      <c r="CX34" s="208">
        <v>0</v>
      </c>
      <c r="CY34" s="208">
        <v>0</v>
      </c>
      <c r="CZ34" s="208">
        <v>0</v>
      </c>
      <c r="DA34" s="208">
        <v>0</v>
      </c>
      <c r="DB34" s="208">
        <v>0</v>
      </c>
      <c r="DC34" s="208">
        <v>0</v>
      </c>
      <c r="DD34" s="208">
        <v>0</v>
      </c>
      <c r="DE34" s="208">
        <v>0</v>
      </c>
      <c r="DF34" s="208">
        <v>0</v>
      </c>
      <c r="DG34" s="208">
        <v>0</v>
      </c>
      <c r="DH34" s="208">
        <v>0</v>
      </c>
      <c r="DI34" s="208">
        <v>0</v>
      </c>
      <c r="DJ34" s="208">
        <v>0</v>
      </c>
      <c r="DK34" s="208">
        <v>0</v>
      </c>
      <c r="DL34" s="208">
        <v>0</v>
      </c>
      <c r="DM34" s="208">
        <v>0</v>
      </c>
      <c r="DN34" s="208">
        <v>0</v>
      </c>
      <c r="DO34" s="208">
        <v>0</v>
      </c>
      <c r="DP34" s="208">
        <v>-261774</v>
      </c>
      <c r="DQ34" s="208">
        <v>0</v>
      </c>
      <c r="DR34" s="208">
        <v>-261774</v>
      </c>
      <c r="DS34" s="208">
        <v>0</v>
      </c>
      <c r="DT34" s="208">
        <v>0</v>
      </c>
      <c r="DU34" s="208">
        <v>0</v>
      </c>
      <c r="DV34" s="208">
        <v>0</v>
      </c>
      <c r="DW34" s="208">
        <v>0</v>
      </c>
      <c r="DX34" s="208">
        <v>0</v>
      </c>
      <c r="DY34" s="208">
        <v>1500</v>
      </c>
      <c r="DZ34" s="208">
        <v>0</v>
      </c>
      <c r="EA34" s="208">
        <v>1500</v>
      </c>
      <c r="EB34" s="208">
        <v>0</v>
      </c>
      <c r="EC34" s="208">
        <v>0</v>
      </c>
      <c r="ED34" s="208">
        <v>0</v>
      </c>
      <c r="EE34" s="208">
        <v>2787</v>
      </c>
      <c r="EF34" s="208">
        <v>0</v>
      </c>
      <c r="EG34" s="208">
        <v>2787</v>
      </c>
      <c r="EH34" s="208">
        <v>-24</v>
      </c>
      <c r="EI34" s="208">
        <v>0</v>
      </c>
      <c r="EJ34" s="208">
        <v>-24</v>
      </c>
      <c r="EK34" s="208">
        <v>-12216</v>
      </c>
      <c r="EL34" s="208">
        <v>0</v>
      </c>
      <c r="EM34" s="208">
        <v>-12216</v>
      </c>
      <c r="EN34" s="208">
        <v>0</v>
      </c>
      <c r="EO34" s="208">
        <v>0</v>
      </c>
      <c r="EP34" s="208">
        <v>0</v>
      </c>
      <c r="EQ34" s="208">
        <v>-1500</v>
      </c>
      <c r="ER34" s="208">
        <v>0</v>
      </c>
      <c r="ES34" s="208">
        <v>-1500</v>
      </c>
      <c r="ET34" s="208">
        <v>0</v>
      </c>
      <c r="EU34" s="208">
        <v>0</v>
      </c>
      <c r="EV34" s="208">
        <v>0</v>
      </c>
      <c r="EW34" s="208">
        <v>-17567</v>
      </c>
      <c r="EX34" s="208">
        <v>0</v>
      </c>
      <c r="EY34" s="208">
        <v>-17567</v>
      </c>
      <c r="EZ34" s="208">
        <v>0</v>
      </c>
      <c r="FA34" s="208">
        <v>0</v>
      </c>
      <c r="FB34" s="208">
        <v>0</v>
      </c>
      <c r="FC34" s="208">
        <v>-130925</v>
      </c>
      <c r="FD34" s="208">
        <v>0</v>
      </c>
      <c r="FE34" s="208">
        <v>-130925</v>
      </c>
      <c r="FF34" s="208">
        <v>940</v>
      </c>
      <c r="FG34" s="208">
        <v>0</v>
      </c>
      <c r="FH34" s="208">
        <v>940</v>
      </c>
      <c r="FI34" s="208">
        <v>-54811</v>
      </c>
      <c r="FJ34" s="208">
        <v>0</v>
      </c>
      <c r="FK34" s="208">
        <v>-54811</v>
      </c>
      <c r="FL34" s="208">
        <v>0</v>
      </c>
      <c r="FM34" s="208">
        <v>0</v>
      </c>
      <c r="FN34" s="208">
        <v>0</v>
      </c>
      <c r="FO34" s="208">
        <v>0</v>
      </c>
      <c r="FP34" s="208">
        <v>0</v>
      </c>
      <c r="FQ34" s="208">
        <v>0</v>
      </c>
      <c r="FR34" s="208">
        <v>0</v>
      </c>
      <c r="FS34" s="208">
        <v>0</v>
      </c>
      <c r="FT34" s="208">
        <v>0</v>
      </c>
      <c r="FU34" s="208">
        <v>-211816</v>
      </c>
      <c r="FV34" s="208">
        <v>0</v>
      </c>
      <c r="FW34" s="208">
        <v>-211816</v>
      </c>
      <c r="FX34" s="208">
        <v>0</v>
      </c>
      <c r="FY34" s="208">
        <v>0</v>
      </c>
      <c r="FZ34" s="208">
        <v>0</v>
      </c>
      <c r="GA34" s="208">
        <v>0</v>
      </c>
      <c r="GB34" s="208">
        <v>0</v>
      </c>
      <c r="GC34" s="208">
        <v>0</v>
      </c>
      <c r="GD34" s="208">
        <v>0</v>
      </c>
      <c r="GE34" s="208">
        <v>0</v>
      </c>
      <c r="GF34" s="208">
        <v>0</v>
      </c>
      <c r="GG34" s="208">
        <v>52472746</v>
      </c>
      <c r="GH34" s="208">
        <v>0</v>
      </c>
      <c r="GI34" s="208">
        <v>52472746</v>
      </c>
      <c r="GJ34" s="208">
        <v>-219413</v>
      </c>
      <c r="GK34" s="208">
        <v>0</v>
      </c>
      <c r="GL34" s="208">
        <v>-219413</v>
      </c>
      <c r="GM34" s="208">
        <v>-7731403</v>
      </c>
      <c r="GN34" s="208">
        <v>0</v>
      </c>
      <c r="GO34" s="208">
        <v>-7731403</v>
      </c>
      <c r="GP34" s="208">
        <v>-1184602</v>
      </c>
      <c r="GQ34" s="208">
        <v>0</v>
      </c>
      <c r="GR34" s="208">
        <v>-1184602</v>
      </c>
      <c r="GS34" s="208">
        <v>-261774</v>
      </c>
      <c r="GT34" s="208">
        <v>0</v>
      </c>
      <c r="GU34" s="208">
        <v>-261774</v>
      </c>
      <c r="GV34" s="208">
        <v>-211816</v>
      </c>
      <c r="GW34" s="208">
        <v>0</v>
      </c>
      <c r="GX34" s="208">
        <v>-211816</v>
      </c>
      <c r="GY34" s="208">
        <v>0</v>
      </c>
      <c r="GZ34" s="208">
        <v>0</v>
      </c>
      <c r="HA34" s="208">
        <v>0</v>
      </c>
      <c r="HB34" s="208">
        <v>-9609008</v>
      </c>
      <c r="HC34" s="208">
        <v>0</v>
      </c>
      <c r="HD34" s="208">
        <v>-9609008</v>
      </c>
      <c r="HE34" s="208">
        <v>42863738</v>
      </c>
      <c r="HF34" s="208">
        <v>0</v>
      </c>
      <c r="HG34" s="208">
        <v>42863738</v>
      </c>
      <c r="HH34" s="187" t="s">
        <v>1054</v>
      </c>
    </row>
    <row r="35" spans="1:216" s="187" customFormat="1" x14ac:dyDescent="0.2">
      <c r="B35" s="429" t="s">
        <v>149</v>
      </c>
      <c r="C35" s="429" t="s">
        <v>148</v>
      </c>
      <c r="D35" s="208">
        <v>-899678</v>
      </c>
      <c r="E35" s="208">
        <v>0</v>
      </c>
      <c r="F35" s="208">
        <v>-899678</v>
      </c>
      <c r="G35" s="208">
        <v>25096</v>
      </c>
      <c r="H35" s="208">
        <v>0</v>
      </c>
      <c r="I35" s="208">
        <v>25096</v>
      </c>
      <c r="J35" s="208">
        <v>414679</v>
      </c>
      <c r="K35" s="208">
        <v>0</v>
      </c>
      <c r="L35" s="208">
        <v>414679</v>
      </c>
      <c r="M35" s="208">
        <v>-1601</v>
      </c>
      <c r="N35" s="208">
        <v>0</v>
      </c>
      <c r="O35" s="208">
        <v>-1601</v>
      </c>
      <c r="P35" s="208">
        <v>-461504</v>
      </c>
      <c r="Q35" s="208">
        <v>0</v>
      </c>
      <c r="R35" s="208">
        <v>-461504</v>
      </c>
      <c r="S35" s="208">
        <v>-4757421</v>
      </c>
      <c r="T35" s="208">
        <v>0</v>
      </c>
      <c r="U35" s="208">
        <v>-4757421</v>
      </c>
      <c r="V35" s="208">
        <v>0</v>
      </c>
      <c r="W35" s="208">
        <v>0</v>
      </c>
      <c r="X35" s="208">
        <v>0</v>
      </c>
      <c r="Y35" s="208">
        <v>-83883</v>
      </c>
      <c r="Z35" s="208">
        <v>0</v>
      </c>
      <c r="AA35" s="208">
        <v>-83883</v>
      </c>
      <c r="AB35" s="208">
        <v>-8056</v>
      </c>
      <c r="AC35" s="208">
        <v>0</v>
      </c>
      <c r="AD35" s="208">
        <v>-8056</v>
      </c>
      <c r="AE35" s="208">
        <v>-73599</v>
      </c>
      <c r="AF35" s="208">
        <v>0</v>
      </c>
      <c r="AG35" s="208">
        <v>-73599</v>
      </c>
      <c r="AH35" s="208">
        <v>0</v>
      </c>
      <c r="AI35" s="208">
        <v>0</v>
      </c>
      <c r="AJ35" s="208">
        <v>0</v>
      </c>
      <c r="AK35" s="208">
        <v>0</v>
      </c>
      <c r="AL35" s="208">
        <v>0</v>
      </c>
      <c r="AM35" s="208">
        <v>0</v>
      </c>
      <c r="AN35" s="208">
        <v>717542</v>
      </c>
      <c r="AO35" s="208">
        <v>0</v>
      </c>
      <c r="AP35" s="208">
        <v>717542</v>
      </c>
      <c r="AQ35" s="208">
        <v>22405</v>
      </c>
      <c r="AR35" s="208">
        <v>0</v>
      </c>
      <c r="AS35" s="208">
        <v>22405</v>
      </c>
      <c r="AT35" s="208">
        <v>-2570353</v>
      </c>
      <c r="AU35" s="208">
        <v>0</v>
      </c>
      <c r="AV35" s="208">
        <v>-2570353</v>
      </c>
      <c r="AW35" s="208">
        <v>15944</v>
      </c>
      <c r="AX35" s="208">
        <v>0</v>
      </c>
      <c r="AY35" s="208">
        <v>15944</v>
      </c>
      <c r="AZ35" s="208">
        <v>-37902</v>
      </c>
      <c r="BA35" s="208">
        <v>0</v>
      </c>
      <c r="BB35" s="208">
        <v>-37902</v>
      </c>
      <c r="BC35" s="208">
        <v>0</v>
      </c>
      <c r="BD35" s="208">
        <v>0</v>
      </c>
      <c r="BE35" s="208">
        <v>0</v>
      </c>
      <c r="BF35" s="208">
        <v>-59446</v>
      </c>
      <c r="BG35" s="208">
        <v>0</v>
      </c>
      <c r="BH35" s="208">
        <v>-59446</v>
      </c>
      <c r="BI35" s="208">
        <v>-30</v>
      </c>
      <c r="BJ35" s="208">
        <v>0</v>
      </c>
      <c r="BK35" s="208">
        <v>-30</v>
      </c>
      <c r="BL35" s="208">
        <v>-6753144</v>
      </c>
      <c r="BM35" s="208">
        <v>0</v>
      </c>
      <c r="BN35" s="208">
        <v>-6753144</v>
      </c>
      <c r="BO35" s="208">
        <v>0</v>
      </c>
      <c r="BP35" s="208">
        <v>0</v>
      </c>
      <c r="BQ35" s="208">
        <v>0</v>
      </c>
      <c r="BR35" s="208">
        <v>0</v>
      </c>
      <c r="BS35" s="208">
        <v>0</v>
      </c>
      <c r="BT35" s="208">
        <v>0</v>
      </c>
      <c r="BU35" s="208">
        <v>-801214</v>
      </c>
      <c r="BV35" s="208">
        <v>0</v>
      </c>
      <c r="BW35" s="208">
        <v>-801214</v>
      </c>
      <c r="BX35" s="208">
        <v>-38346</v>
      </c>
      <c r="BY35" s="208">
        <v>0</v>
      </c>
      <c r="BZ35" s="208">
        <v>-38346</v>
      </c>
      <c r="CA35" s="208">
        <v>-839560</v>
      </c>
      <c r="CB35" s="208">
        <v>0</v>
      </c>
      <c r="CC35" s="208">
        <v>-839560</v>
      </c>
      <c r="CD35" s="208">
        <v>-46443</v>
      </c>
      <c r="CE35" s="208">
        <v>0</v>
      </c>
      <c r="CF35" s="208">
        <v>-46443</v>
      </c>
      <c r="CG35" s="208">
        <v>-20325</v>
      </c>
      <c r="CH35" s="208">
        <v>0</v>
      </c>
      <c r="CI35" s="208">
        <v>-20325</v>
      </c>
      <c r="CJ35" s="208">
        <v>-219205</v>
      </c>
      <c r="CK35" s="208">
        <v>0</v>
      </c>
      <c r="CL35" s="208">
        <v>-219205</v>
      </c>
      <c r="CM35" s="208">
        <v>-1043</v>
      </c>
      <c r="CN35" s="208">
        <v>0</v>
      </c>
      <c r="CO35" s="208">
        <v>-1043</v>
      </c>
      <c r="CP35" s="208">
        <v>-2366</v>
      </c>
      <c r="CQ35" s="208">
        <v>0</v>
      </c>
      <c r="CR35" s="208">
        <v>-2366</v>
      </c>
      <c r="CS35" s="208">
        <v>0</v>
      </c>
      <c r="CT35" s="208">
        <v>0</v>
      </c>
      <c r="CU35" s="208">
        <v>0</v>
      </c>
      <c r="CV35" s="208">
        <v>0</v>
      </c>
      <c r="CW35" s="208">
        <v>0</v>
      </c>
      <c r="CX35" s="208">
        <v>0</v>
      </c>
      <c r="CY35" s="208">
        <v>0</v>
      </c>
      <c r="CZ35" s="208">
        <v>0</v>
      </c>
      <c r="DA35" s="208">
        <v>0</v>
      </c>
      <c r="DB35" s="208">
        <v>0</v>
      </c>
      <c r="DC35" s="208">
        <v>0</v>
      </c>
      <c r="DD35" s="208">
        <v>0</v>
      </c>
      <c r="DE35" s="208">
        <v>0</v>
      </c>
      <c r="DF35" s="208">
        <v>0</v>
      </c>
      <c r="DG35" s="208">
        <v>0</v>
      </c>
      <c r="DH35" s="208">
        <v>-7366</v>
      </c>
      <c r="DI35" s="208">
        <v>0</v>
      </c>
      <c r="DJ35" s="208">
        <v>-7366</v>
      </c>
      <c r="DK35" s="208">
        <v>0</v>
      </c>
      <c r="DL35" s="208">
        <v>0</v>
      </c>
      <c r="DM35" s="208">
        <v>0</v>
      </c>
      <c r="DN35" s="208">
        <v>0</v>
      </c>
      <c r="DO35" s="208">
        <v>0</v>
      </c>
      <c r="DP35" s="208">
        <v>-296748</v>
      </c>
      <c r="DQ35" s="208">
        <v>0</v>
      </c>
      <c r="DR35" s="208">
        <v>-296748</v>
      </c>
      <c r="DS35" s="208">
        <v>0</v>
      </c>
      <c r="DT35" s="208">
        <v>0</v>
      </c>
      <c r="DU35" s="208">
        <v>0</v>
      </c>
      <c r="DV35" s="208">
        <v>0</v>
      </c>
      <c r="DW35" s="208">
        <v>0</v>
      </c>
      <c r="DX35" s="208">
        <v>0</v>
      </c>
      <c r="DY35" s="208">
        <v>3702</v>
      </c>
      <c r="DZ35" s="208">
        <v>0</v>
      </c>
      <c r="EA35" s="208">
        <v>3702</v>
      </c>
      <c r="EB35" s="208">
        <v>0</v>
      </c>
      <c r="EC35" s="208">
        <v>0</v>
      </c>
      <c r="ED35" s="208">
        <v>0</v>
      </c>
      <c r="EE35" s="208">
        <v>0</v>
      </c>
      <c r="EF35" s="208">
        <v>0</v>
      </c>
      <c r="EG35" s="208">
        <v>0</v>
      </c>
      <c r="EH35" s="208">
        <v>0</v>
      </c>
      <c r="EI35" s="208">
        <v>0</v>
      </c>
      <c r="EJ35" s="208">
        <v>0</v>
      </c>
      <c r="EK35" s="208">
        <v>-62830</v>
      </c>
      <c r="EL35" s="208">
        <v>0</v>
      </c>
      <c r="EM35" s="208">
        <v>-62830</v>
      </c>
      <c r="EN35" s="208">
        <v>-47</v>
      </c>
      <c r="EO35" s="208">
        <v>0</v>
      </c>
      <c r="EP35" s="208">
        <v>-47</v>
      </c>
      <c r="EQ35" s="208">
        <v>-1224</v>
      </c>
      <c r="ER35" s="208">
        <v>0</v>
      </c>
      <c r="ES35" s="208">
        <v>-1224</v>
      </c>
      <c r="ET35" s="208">
        <v>4</v>
      </c>
      <c r="EU35" s="208">
        <v>0</v>
      </c>
      <c r="EV35" s="208">
        <v>4</v>
      </c>
      <c r="EW35" s="208">
        <v>-40120</v>
      </c>
      <c r="EX35" s="208">
        <v>0</v>
      </c>
      <c r="EY35" s="208">
        <v>-40120</v>
      </c>
      <c r="EZ35" s="208">
        <v>-910</v>
      </c>
      <c r="FA35" s="208">
        <v>0</v>
      </c>
      <c r="FB35" s="208">
        <v>-910</v>
      </c>
      <c r="FC35" s="208">
        <v>-143270</v>
      </c>
      <c r="FD35" s="208">
        <v>0</v>
      </c>
      <c r="FE35" s="208">
        <v>-143270</v>
      </c>
      <c r="FF35" s="208">
        <v>-73485</v>
      </c>
      <c r="FG35" s="208">
        <v>0</v>
      </c>
      <c r="FH35" s="208">
        <v>-73485</v>
      </c>
      <c r="FI35" s="208">
        <v>-26342</v>
      </c>
      <c r="FJ35" s="208">
        <v>0</v>
      </c>
      <c r="FK35" s="208">
        <v>-26342</v>
      </c>
      <c r="FL35" s="208">
        <v>-850</v>
      </c>
      <c r="FM35" s="208">
        <v>0</v>
      </c>
      <c r="FN35" s="208">
        <v>-850</v>
      </c>
      <c r="FO35" s="208">
        <v>0</v>
      </c>
      <c r="FP35" s="208">
        <v>0</v>
      </c>
      <c r="FQ35" s="208">
        <v>0</v>
      </c>
      <c r="FR35" s="208">
        <v>0</v>
      </c>
      <c r="FS35" s="208">
        <v>0</v>
      </c>
      <c r="FT35" s="208">
        <v>0</v>
      </c>
      <c r="FU35" s="208">
        <v>-345372</v>
      </c>
      <c r="FV35" s="208">
        <v>0</v>
      </c>
      <c r="FW35" s="208">
        <v>-345372</v>
      </c>
      <c r="FX35" s="208">
        <v>-20080</v>
      </c>
      <c r="FY35" s="208">
        <v>0</v>
      </c>
      <c r="FZ35" s="208">
        <v>-20080</v>
      </c>
      <c r="GA35" s="208">
        <v>-21217</v>
      </c>
      <c r="GB35" s="208">
        <v>0</v>
      </c>
      <c r="GC35" s="208">
        <v>-21217</v>
      </c>
      <c r="GD35" s="208">
        <v>-41297</v>
      </c>
      <c r="GE35" s="208">
        <v>0</v>
      </c>
      <c r="GF35" s="208">
        <v>-41297</v>
      </c>
      <c r="GG35" s="208">
        <v>43745618</v>
      </c>
      <c r="GH35" s="208">
        <v>0</v>
      </c>
      <c r="GI35" s="208">
        <v>43745618</v>
      </c>
      <c r="GJ35" s="208">
        <v>-461504</v>
      </c>
      <c r="GK35" s="208">
        <v>0</v>
      </c>
      <c r="GL35" s="208">
        <v>-461504</v>
      </c>
      <c r="GM35" s="208">
        <v>-6753144</v>
      </c>
      <c r="GN35" s="208">
        <v>0</v>
      </c>
      <c r="GO35" s="208">
        <v>-6753144</v>
      </c>
      <c r="GP35" s="208">
        <v>-839560</v>
      </c>
      <c r="GQ35" s="208">
        <v>0</v>
      </c>
      <c r="GR35" s="208">
        <v>-839560</v>
      </c>
      <c r="GS35" s="208">
        <v>-296748</v>
      </c>
      <c r="GT35" s="208">
        <v>0</v>
      </c>
      <c r="GU35" s="208">
        <v>-296748</v>
      </c>
      <c r="GV35" s="208">
        <v>-345372</v>
      </c>
      <c r="GW35" s="208">
        <v>0</v>
      </c>
      <c r="GX35" s="208">
        <v>-345372</v>
      </c>
      <c r="GY35" s="208">
        <v>-41297</v>
      </c>
      <c r="GZ35" s="208">
        <v>0</v>
      </c>
      <c r="HA35" s="208">
        <v>-41297</v>
      </c>
      <c r="HB35" s="208">
        <v>-8737625</v>
      </c>
      <c r="HC35" s="208">
        <v>0</v>
      </c>
      <c r="HD35" s="208">
        <v>-8737625</v>
      </c>
      <c r="HE35" s="208">
        <v>35007993</v>
      </c>
      <c r="HF35" s="208">
        <v>0</v>
      </c>
      <c r="HG35" s="208">
        <v>35007993</v>
      </c>
      <c r="HH35" s="187" t="s">
        <v>1054</v>
      </c>
    </row>
    <row r="36" spans="1:216" s="187" customFormat="1" x14ac:dyDescent="0.2">
      <c r="B36" s="429" t="s">
        <v>151</v>
      </c>
      <c r="C36" s="429" t="s">
        <v>150</v>
      </c>
      <c r="D36" s="208">
        <v>-3421332</v>
      </c>
      <c r="E36" s="208">
        <v>0</v>
      </c>
      <c r="F36" s="208">
        <v>-3421332</v>
      </c>
      <c r="G36" s="208">
        <v>320412</v>
      </c>
      <c r="H36" s="208">
        <v>0</v>
      </c>
      <c r="I36" s="208">
        <v>320412</v>
      </c>
      <c r="J36" s="208">
        <v>1574140</v>
      </c>
      <c r="K36" s="208">
        <v>0</v>
      </c>
      <c r="L36" s="208">
        <v>1574140</v>
      </c>
      <c r="M36" s="208">
        <v>97633</v>
      </c>
      <c r="N36" s="208">
        <v>0</v>
      </c>
      <c r="O36" s="208">
        <v>97633</v>
      </c>
      <c r="P36" s="208">
        <v>-1429147</v>
      </c>
      <c r="Q36" s="208">
        <v>0</v>
      </c>
      <c r="R36" s="208">
        <v>-1429147</v>
      </c>
      <c r="S36" s="208">
        <v>-8734502</v>
      </c>
      <c r="T36" s="208">
        <v>0</v>
      </c>
      <c r="U36" s="208">
        <v>-8734502</v>
      </c>
      <c r="V36" s="208">
        <v>-4032</v>
      </c>
      <c r="W36" s="208">
        <v>0</v>
      </c>
      <c r="X36" s="208">
        <v>-4032</v>
      </c>
      <c r="Y36" s="208">
        <v>-350588</v>
      </c>
      <c r="Z36" s="208">
        <v>0</v>
      </c>
      <c r="AA36" s="208">
        <v>-350588</v>
      </c>
      <c r="AB36" s="208">
        <v>-74303</v>
      </c>
      <c r="AC36" s="208">
        <v>0</v>
      </c>
      <c r="AD36" s="208">
        <v>-74303</v>
      </c>
      <c r="AE36" s="208">
        <v>-271841</v>
      </c>
      <c r="AF36" s="208">
        <v>0</v>
      </c>
      <c r="AG36" s="208">
        <v>-271841</v>
      </c>
      <c r="AH36" s="208">
        <v>0</v>
      </c>
      <c r="AI36" s="208">
        <v>0</v>
      </c>
      <c r="AJ36" s="208">
        <v>0</v>
      </c>
      <c r="AK36" s="208">
        <v>0</v>
      </c>
      <c r="AL36" s="208">
        <v>0</v>
      </c>
      <c r="AM36" s="208">
        <v>0</v>
      </c>
      <c r="AN36" s="208">
        <v>2914181</v>
      </c>
      <c r="AO36" s="208">
        <v>0</v>
      </c>
      <c r="AP36" s="208">
        <v>2914181</v>
      </c>
      <c r="AQ36" s="208">
        <v>-125002</v>
      </c>
      <c r="AR36" s="208">
        <v>0</v>
      </c>
      <c r="AS36" s="208">
        <v>-125002</v>
      </c>
      <c r="AT36" s="208">
        <v>-8963417</v>
      </c>
      <c r="AU36" s="208">
        <v>0</v>
      </c>
      <c r="AV36" s="208">
        <v>-8963417</v>
      </c>
      <c r="AW36" s="208">
        <v>-324211</v>
      </c>
      <c r="AX36" s="208">
        <v>0</v>
      </c>
      <c r="AY36" s="208">
        <v>-324211</v>
      </c>
      <c r="AZ36" s="208">
        <v>-31552</v>
      </c>
      <c r="BA36" s="208">
        <v>0</v>
      </c>
      <c r="BB36" s="208">
        <v>-31552</v>
      </c>
      <c r="BC36" s="208">
        <v>0</v>
      </c>
      <c r="BD36" s="208">
        <v>0</v>
      </c>
      <c r="BE36" s="208">
        <v>0</v>
      </c>
      <c r="BF36" s="208">
        <v>0</v>
      </c>
      <c r="BG36" s="208">
        <v>0</v>
      </c>
      <c r="BH36" s="208">
        <v>0</v>
      </c>
      <c r="BI36" s="208">
        <v>0</v>
      </c>
      <c r="BJ36" s="208">
        <v>0</v>
      </c>
      <c r="BK36" s="208">
        <v>0</v>
      </c>
      <c r="BL36" s="208">
        <v>-15615091</v>
      </c>
      <c r="BM36" s="208">
        <v>0</v>
      </c>
      <c r="BN36" s="208">
        <v>-15615091</v>
      </c>
      <c r="BO36" s="208">
        <v>-31867</v>
      </c>
      <c r="BP36" s="208">
        <v>0</v>
      </c>
      <c r="BQ36" s="208">
        <v>-31867</v>
      </c>
      <c r="BR36" s="208">
        <v>-14538</v>
      </c>
      <c r="BS36" s="208">
        <v>0</v>
      </c>
      <c r="BT36" s="208">
        <v>-14538</v>
      </c>
      <c r="BU36" s="208">
        <v>-3571161</v>
      </c>
      <c r="BV36" s="208">
        <v>0</v>
      </c>
      <c r="BW36" s="208">
        <v>-3571161</v>
      </c>
      <c r="BX36" s="208">
        <v>-43478</v>
      </c>
      <c r="BY36" s="208">
        <v>0</v>
      </c>
      <c r="BZ36" s="208">
        <v>-43478</v>
      </c>
      <c r="CA36" s="208">
        <v>-3661044</v>
      </c>
      <c r="CB36" s="208">
        <v>0</v>
      </c>
      <c r="CC36" s="208">
        <v>-3661044</v>
      </c>
      <c r="CD36" s="208">
        <v>-418335</v>
      </c>
      <c r="CE36" s="208">
        <v>0</v>
      </c>
      <c r="CF36" s="208">
        <v>-418335</v>
      </c>
      <c r="CG36" s="208">
        <v>-14998</v>
      </c>
      <c r="CH36" s="208">
        <v>0</v>
      </c>
      <c r="CI36" s="208">
        <v>-14998</v>
      </c>
      <c r="CJ36" s="208">
        <v>-17881</v>
      </c>
      <c r="CK36" s="208">
        <v>0</v>
      </c>
      <c r="CL36" s="208">
        <v>-17881</v>
      </c>
      <c r="CM36" s="208">
        <v>0</v>
      </c>
      <c r="CN36" s="208">
        <v>0</v>
      </c>
      <c r="CO36" s="208">
        <v>0</v>
      </c>
      <c r="CP36" s="208">
        <v>0</v>
      </c>
      <c r="CQ36" s="208">
        <v>0</v>
      </c>
      <c r="CR36" s="208">
        <v>0</v>
      </c>
      <c r="CS36" s="208">
        <v>0</v>
      </c>
      <c r="CT36" s="208">
        <v>0</v>
      </c>
      <c r="CU36" s="208">
        <v>0</v>
      </c>
      <c r="CV36" s="208">
        <v>0</v>
      </c>
      <c r="CW36" s="208">
        <v>0</v>
      </c>
      <c r="CX36" s="208">
        <v>0</v>
      </c>
      <c r="CY36" s="208">
        <v>0</v>
      </c>
      <c r="CZ36" s="208">
        <v>0</v>
      </c>
      <c r="DA36" s="208">
        <v>0</v>
      </c>
      <c r="DB36" s="208">
        <v>0</v>
      </c>
      <c r="DC36" s="208">
        <v>0</v>
      </c>
      <c r="DD36" s="208">
        <v>0</v>
      </c>
      <c r="DE36" s="208">
        <v>0</v>
      </c>
      <c r="DF36" s="208">
        <v>0</v>
      </c>
      <c r="DG36" s="208">
        <v>0</v>
      </c>
      <c r="DH36" s="208">
        <v>-300</v>
      </c>
      <c r="DI36" s="208">
        <v>0</v>
      </c>
      <c r="DJ36" s="208">
        <v>-300</v>
      </c>
      <c r="DK36" s="208">
        <v>0</v>
      </c>
      <c r="DL36" s="208">
        <v>0</v>
      </c>
      <c r="DM36" s="208">
        <v>0</v>
      </c>
      <c r="DN36" s="208">
        <v>0</v>
      </c>
      <c r="DO36" s="208">
        <v>0</v>
      </c>
      <c r="DP36" s="208">
        <v>-451514</v>
      </c>
      <c r="DQ36" s="208">
        <v>0</v>
      </c>
      <c r="DR36" s="208">
        <v>-451514</v>
      </c>
      <c r="DS36" s="208">
        <v>0</v>
      </c>
      <c r="DT36" s="208">
        <v>0</v>
      </c>
      <c r="DU36" s="208">
        <v>0</v>
      </c>
      <c r="DV36" s="208">
        <v>0</v>
      </c>
      <c r="DW36" s="208">
        <v>0</v>
      </c>
      <c r="DX36" s="208">
        <v>0</v>
      </c>
      <c r="DY36" s="208">
        <v>2355</v>
      </c>
      <c r="DZ36" s="208">
        <v>0</v>
      </c>
      <c r="EA36" s="208">
        <v>2355</v>
      </c>
      <c r="EB36" s="208">
        <v>0</v>
      </c>
      <c r="EC36" s="208">
        <v>0</v>
      </c>
      <c r="ED36" s="208">
        <v>0</v>
      </c>
      <c r="EE36" s="208">
        <v>0</v>
      </c>
      <c r="EF36" s="208">
        <v>0</v>
      </c>
      <c r="EG36" s="208">
        <v>0</v>
      </c>
      <c r="EH36" s="208">
        <v>-480</v>
      </c>
      <c r="EI36" s="208">
        <v>0</v>
      </c>
      <c r="EJ36" s="208">
        <v>-480</v>
      </c>
      <c r="EK36" s="208">
        <v>0</v>
      </c>
      <c r="EL36" s="208">
        <v>0</v>
      </c>
      <c r="EM36" s="208">
        <v>0</v>
      </c>
      <c r="EN36" s="208">
        <v>0</v>
      </c>
      <c r="EO36" s="208">
        <v>0</v>
      </c>
      <c r="EP36" s="208">
        <v>0</v>
      </c>
      <c r="EQ36" s="208">
        <v>0</v>
      </c>
      <c r="ER36" s="208">
        <v>0</v>
      </c>
      <c r="ES36" s="208">
        <v>0</v>
      </c>
      <c r="ET36" s="208">
        <v>0</v>
      </c>
      <c r="EU36" s="208">
        <v>0</v>
      </c>
      <c r="EV36" s="208">
        <v>0</v>
      </c>
      <c r="EW36" s="208">
        <v>-111963</v>
      </c>
      <c r="EX36" s="208">
        <v>0</v>
      </c>
      <c r="EY36" s="208">
        <v>-111963</v>
      </c>
      <c r="EZ36" s="208">
        <v>1716</v>
      </c>
      <c r="FA36" s="208">
        <v>0</v>
      </c>
      <c r="FB36" s="208">
        <v>1716</v>
      </c>
      <c r="FC36" s="208">
        <v>-416715</v>
      </c>
      <c r="FD36" s="208">
        <v>0</v>
      </c>
      <c r="FE36" s="208">
        <v>-416715</v>
      </c>
      <c r="FF36" s="208">
        <v>21497</v>
      </c>
      <c r="FG36" s="208">
        <v>0</v>
      </c>
      <c r="FH36" s="208">
        <v>21497</v>
      </c>
      <c r="FI36" s="208">
        <v>-34082</v>
      </c>
      <c r="FJ36" s="208">
        <v>0</v>
      </c>
      <c r="FK36" s="208">
        <v>-34082</v>
      </c>
      <c r="FL36" s="208">
        <v>-1292</v>
      </c>
      <c r="FM36" s="208">
        <v>0</v>
      </c>
      <c r="FN36" s="208">
        <v>-1292</v>
      </c>
      <c r="FO36" s="208">
        <v>0</v>
      </c>
      <c r="FP36" s="208">
        <v>0</v>
      </c>
      <c r="FQ36" s="208">
        <v>0</v>
      </c>
      <c r="FR36" s="208">
        <v>0</v>
      </c>
      <c r="FS36" s="208">
        <v>0</v>
      </c>
      <c r="FT36" s="208">
        <v>0</v>
      </c>
      <c r="FU36" s="208">
        <v>-538964</v>
      </c>
      <c r="FV36" s="208">
        <v>0</v>
      </c>
      <c r="FW36" s="208">
        <v>-538964</v>
      </c>
      <c r="FX36" s="208">
        <v>-39500</v>
      </c>
      <c r="FY36" s="208">
        <v>0</v>
      </c>
      <c r="FZ36" s="208">
        <v>-39500</v>
      </c>
      <c r="GA36" s="208">
        <v>0</v>
      </c>
      <c r="GB36" s="208">
        <v>0</v>
      </c>
      <c r="GC36" s="208">
        <v>0</v>
      </c>
      <c r="GD36" s="208">
        <v>-39500</v>
      </c>
      <c r="GE36" s="208">
        <v>0</v>
      </c>
      <c r="GF36" s="208">
        <v>-39500</v>
      </c>
      <c r="GG36" s="208">
        <v>148013401</v>
      </c>
      <c r="GH36" s="208">
        <v>0</v>
      </c>
      <c r="GI36" s="208">
        <v>148013401</v>
      </c>
      <c r="GJ36" s="208">
        <v>-1429147</v>
      </c>
      <c r="GK36" s="208">
        <v>0</v>
      </c>
      <c r="GL36" s="208">
        <v>-1429147</v>
      </c>
      <c r="GM36" s="208">
        <v>-15615091</v>
      </c>
      <c r="GN36" s="208">
        <v>0</v>
      </c>
      <c r="GO36" s="208">
        <v>-15615091</v>
      </c>
      <c r="GP36" s="208">
        <v>-3661044</v>
      </c>
      <c r="GQ36" s="208">
        <v>0</v>
      </c>
      <c r="GR36" s="208">
        <v>-3661044</v>
      </c>
      <c r="GS36" s="208">
        <v>-451514</v>
      </c>
      <c r="GT36" s="208">
        <v>0</v>
      </c>
      <c r="GU36" s="208">
        <v>-451514</v>
      </c>
      <c r="GV36" s="208">
        <v>-538964</v>
      </c>
      <c r="GW36" s="208">
        <v>0</v>
      </c>
      <c r="GX36" s="208">
        <v>-538964</v>
      </c>
      <c r="GY36" s="208">
        <v>-39500</v>
      </c>
      <c r="GZ36" s="208">
        <v>0</v>
      </c>
      <c r="HA36" s="208">
        <v>-39500</v>
      </c>
      <c r="HB36" s="208">
        <v>-21735260</v>
      </c>
      <c r="HC36" s="208">
        <v>0</v>
      </c>
      <c r="HD36" s="208">
        <v>-21735260</v>
      </c>
      <c r="HE36" s="208">
        <v>126278141</v>
      </c>
      <c r="HF36" s="208">
        <v>0</v>
      </c>
      <c r="HG36" s="208">
        <v>126278141</v>
      </c>
      <c r="HH36" s="187" t="s">
        <v>1055</v>
      </c>
    </row>
    <row r="37" spans="1:216" s="187" customFormat="1" x14ac:dyDescent="0.2">
      <c r="B37" s="429" t="s">
        <v>153</v>
      </c>
      <c r="C37" s="429" t="s">
        <v>152</v>
      </c>
      <c r="D37" s="208">
        <v>-342172</v>
      </c>
      <c r="E37" s="208">
        <v>0</v>
      </c>
      <c r="F37" s="208">
        <v>-342172</v>
      </c>
      <c r="G37" s="208">
        <v>8415</v>
      </c>
      <c r="H37" s="208">
        <v>0</v>
      </c>
      <c r="I37" s="208">
        <v>8415</v>
      </c>
      <c r="J37" s="208">
        <v>637069</v>
      </c>
      <c r="K37" s="208">
        <v>0</v>
      </c>
      <c r="L37" s="208">
        <v>637069</v>
      </c>
      <c r="M37" s="208">
        <v>248454</v>
      </c>
      <c r="N37" s="208">
        <v>0</v>
      </c>
      <c r="O37" s="208">
        <v>248454</v>
      </c>
      <c r="P37" s="208">
        <v>551766</v>
      </c>
      <c r="Q37" s="208">
        <v>0</v>
      </c>
      <c r="R37" s="208">
        <v>551766</v>
      </c>
      <c r="S37" s="208">
        <v>-2466997</v>
      </c>
      <c r="T37" s="208">
        <v>0</v>
      </c>
      <c r="U37" s="208">
        <v>-2466997</v>
      </c>
      <c r="V37" s="208">
        <v>0</v>
      </c>
      <c r="W37" s="208">
        <v>0</v>
      </c>
      <c r="X37" s="208">
        <v>0</v>
      </c>
      <c r="Y37" s="208">
        <v>-166671</v>
      </c>
      <c r="Z37" s="208">
        <v>0</v>
      </c>
      <c r="AA37" s="208">
        <v>-166671</v>
      </c>
      <c r="AB37" s="208">
        <v>-31258</v>
      </c>
      <c r="AC37" s="208">
        <v>0</v>
      </c>
      <c r="AD37" s="208">
        <v>-31258</v>
      </c>
      <c r="AE37" s="208">
        <v>-135120</v>
      </c>
      <c r="AF37" s="208">
        <v>0</v>
      </c>
      <c r="AG37" s="208">
        <v>-135120</v>
      </c>
      <c r="AH37" s="208">
        <v>0</v>
      </c>
      <c r="AI37" s="208">
        <v>0</v>
      </c>
      <c r="AJ37" s="208">
        <v>0</v>
      </c>
      <c r="AK37" s="208">
        <v>0</v>
      </c>
      <c r="AL37" s="208">
        <v>0</v>
      </c>
      <c r="AM37" s="208">
        <v>0</v>
      </c>
      <c r="AN37" s="208">
        <v>612900</v>
      </c>
      <c r="AO37" s="208">
        <v>0</v>
      </c>
      <c r="AP37" s="208">
        <v>612900</v>
      </c>
      <c r="AQ37" s="208">
        <v>-48154</v>
      </c>
      <c r="AR37" s="208">
        <v>0</v>
      </c>
      <c r="AS37" s="208">
        <v>-48154</v>
      </c>
      <c r="AT37" s="208">
        <v>-2371910</v>
      </c>
      <c r="AU37" s="208">
        <v>0</v>
      </c>
      <c r="AV37" s="208">
        <v>-2371910</v>
      </c>
      <c r="AW37" s="208">
        <v>13569</v>
      </c>
      <c r="AX37" s="208">
        <v>0</v>
      </c>
      <c r="AY37" s="208">
        <v>13569</v>
      </c>
      <c r="AZ37" s="208">
        <v>-40130</v>
      </c>
      <c r="BA37" s="208">
        <v>0</v>
      </c>
      <c r="BB37" s="208">
        <v>-40130</v>
      </c>
      <c r="BC37" s="208">
        <v>0</v>
      </c>
      <c r="BD37" s="208">
        <v>0</v>
      </c>
      <c r="BE37" s="208">
        <v>0</v>
      </c>
      <c r="BF37" s="208">
        <v>0</v>
      </c>
      <c r="BG37" s="208">
        <v>0</v>
      </c>
      <c r="BH37" s="208">
        <v>0</v>
      </c>
      <c r="BI37" s="208">
        <v>0</v>
      </c>
      <c r="BJ37" s="208">
        <v>0</v>
      </c>
      <c r="BK37" s="208">
        <v>0</v>
      </c>
      <c r="BL37" s="208">
        <v>-4467393</v>
      </c>
      <c r="BM37" s="208">
        <v>0</v>
      </c>
      <c r="BN37" s="208">
        <v>-4467393</v>
      </c>
      <c r="BO37" s="208">
        <v>-15787</v>
      </c>
      <c r="BP37" s="208">
        <v>0</v>
      </c>
      <c r="BQ37" s="208">
        <v>-15787</v>
      </c>
      <c r="BR37" s="208">
        <v>-29339</v>
      </c>
      <c r="BS37" s="208">
        <v>0</v>
      </c>
      <c r="BT37" s="208">
        <v>-29339</v>
      </c>
      <c r="BU37" s="208">
        <v>-858749</v>
      </c>
      <c r="BV37" s="208">
        <v>0</v>
      </c>
      <c r="BW37" s="208">
        <v>-858749</v>
      </c>
      <c r="BX37" s="208">
        <v>-222930</v>
      </c>
      <c r="BY37" s="208">
        <v>0</v>
      </c>
      <c r="BZ37" s="208">
        <v>-222930</v>
      </c>
      <c r="CA37" s="208">
        <v>-1126805</v>
      </c>
      <c r="CB37" s="208">
        <v>0</v>
      </c>
      <c r="CC37" s="208">
        <v>-1126805</v>
      </c>
      <c r="CD37" s="208">
        <v>-37617</v>
      </c>
      <c r="CE37" s="208">
        <v>0</v>
      </c>
      <c r="CF37" s="208">
        <v>-37617</v>
      </c>
      <c r="CG37" s="208">
        <v>1602</v>
      </c>
      <c r="CH37" s="208">
        <v>0</v>
      </c>
      <c r="CI37" s="208">
        <v>1602</v>
      </c>
      <c r="CJ37" s="208">
        <v>-8474</v>
      </c>
      <c r="CK37" s="208">
        <v>0</v>
      </c>
      <c r="CL37" s="208">
        <v>-8474</v>
      </c>
      <c r="CM37" s="208">
        <v>28</v>
      </c>
      <c r="CN37" s="208">
        <v>0</v>
      </c>
      <c r="CO37" s="208">
        <v>28</v>
      </c>
      <c r="CP37" s="208">
        <v>0</v>
      </c>
      <c r="CQ37" s="208">
        <v>0</v>
      </c>
      <c r="CR37" s="208">
        <v>0</v>
      </c>
      <c r="CS37" s="208">
        <v>0</v>
      </c>
      <c r="CT37" s="208">
        <v>0</v>
      </c>
      <c r="CU37" s="208">
        <v>0</v>
      </c>
      <c r="CV37" s="208">
        <v>0</v>
      </c>
      <c r="CW37" s="208">
        <v>0</v>
      </c>
      <c r="CX37" s="208">
        <v>0</v>
      </c>
      <c r="CY37" s="208">
        <v>0</v>
      </c>
      <c r="CZ37" s="208">
        <v>0</v>
      </c>
      <c r="DA37" s="208">
        <v>0</v>
      </c>
      <c r="DB37" s="208">
        <v>0</v>
      </c>
      <c r="DC37" s="208">
        <v>0</v>
      </c>
      <c r="DD37" s="208">
        <v>0</v>
      </c>
      <c r="DE37" s="208">
        <v>0</v>
      </c>
      <c r="DF37" s="208">
        <v>0</v>
      </c>
      <c r="DG37" s="208">
        <v>0</v>
      </c>
      <c r="DH37" s="208">
        <v>0</v>
      </c>
      <c r="DI37" s="208">
        <v>0</v>
      </c>
      <c r="DJ37" s="208">
        <v>0</v>
      </c>
      <c r="DK37" s="208">
        <v>0</v>
      </c>
      <c r="DL37" s="208">
        <v>0</v>
      </c>
      <c r="DM37" s="208">
        <v>0</v>
      </c>
      <c r="DN37" s="208">
        <v>0</v>
      </c>
      <c r="DO37" s="208">
        <v>0</v>
      </c>
      <c r="DP37" s="208">
        <v>-44461</v>
      </c>
      <c r="DQ37" s="208">
        <v>0</v>
      </c>
      <c r="DR37" s="208">
        <v>-44461</v>
      </c>
      <c r="DS37" s="208">
        <v>6151</v>
      </c>
      <c r="DT37" s="208">
        <v>0</v>
      </c>
      <c r="DU37" s="208">
        <v>6151</v>
      </c>
      <c r="DV37" s="208">
        <v>503</v>
      </c>
      <c r="DW37" s="208">
        <v>0</v>
      </c>
      <c r="DX37" s="208">
        <v>503</v>
      </c>
      <c r="DY37" s="208">
        <v>253</v>
      </c>
      <c r="DZ37" s="208">
        <v>0</v>
      </c>
      <c r="EA37" s="208">
        <v>253</v>
      </c>
      <c r="EB37" s="208">
        <v>0</v>
      </c>
      <c r="EC37" s="208">
        <v>0</v>
      </c>
      <c r="ED37" s="208">
        <v>0</v>
      </c>
      <c r="EE37" s="208">
        <v>0</v>
      </c>
      <c r="EF37" s="208">
        <v>0</v>
      </c>
      <c r="EG37" s="208">
        <v>0</v>
      </c>
      <c r="EH37" s="208">
        <v>0</v>
      </c>
      <c r="EI37" s="208">
        <v>0</v>
      </c>
      <c r="EJ37" s="208">
        <v>0</v>
      </c>
      <c r="EK37" s="208">
        <v>0</v>
      </c>
      <c r="EL37" s="208">
        <v>0</v>
      </c>
      <c r="EM37" s="208">
        <v>0</v>
      </c>
      <c r="EN37" s="208">
        <v>0</v>
      </c>
      <c r="EO37" s="208">
        <v>0</v>
      </c>
      <c r="EP37" s="208">
        <v>0</v>
      </c>
      <c r="EQ37" s="208">
        <v>0</v>
      </c>
      <c r="ER37" s="208">
        <v>0</v>
      </c>
      <c r="ES37" s="208">
        <v>0</v>
      </c>
      <c r="ET37" s="208">
        <v>0</v>
      </c>
      <c r="EU37" s="208">
        <v>0</v>
      </c>
      <c r="EV37" s="208">
        <v>0</v>
      </c>
      <c r="EW37" s="208">
        <v>-3833</v>
      </c>
      <c r="EX37" s="208">
        <v>0</v>
      </c>
      <c r="EY37" s="208">
        <v>-3833</v>
      </c>
      <c r="EZ37" s="208">
        <v>182</v>
      </c>
      <c r="FA37" s="208">
        <v>0</v>
      </c>
      <c r="FB37" s="208">
        <v>182</v>
      </c>
      <c r="FC37" s="208">
        <v>-53616</v>
      </c>
      <c r="FD37" s="208">
        <v>0</v>
      </c>
      <c r="FE37" s="208">
        <v>-53616</v>
      </c>
      <c r="FF37" s="208">
        <v>8762</v>
      </c>
      <c r="FG37" s="208">
        <v>0</v>
      </c>
      <c r="FH37" s="208">
        <v>8762</v>
      </c>
      <c r="FI37" s="208">
        <v>-18915</v>
      </c>
      <c r="FJ37" s="208">
        <v>0</v>
      </c>
      <c r="FK37" s="208">
        <v>-18915</v>
      </c>
      <c r="FL37" s="208">
        <v>0</v>
      </c>
      <c r="FM37" s="208">
        <v>0</v>
      </c>
      <c r="FN37" s="208">
        <v>0</v>
      </c>
      <c r="FO37" s="208">
        <v>0</v>
      </c>
      <c r="FP37" s="208">
        <v>0</v>
      </c>
      <c r="FQ37" s="208">
        <v>0</v>
      </c>
      <c r="FR37" s="208">
        <v>0</v>
      </c>
      <c r="FS37" s="208">
        <v>0</v>
      </c>
      <c r="FT37" s="208">
        <v>0</v>
      </c>
      <c r="FU37" s="208">
        <v>-60513</v>
      </c>
      <c r="FV37" s="208">
        <v>0</v>
      </c>
      <c r="FW37" s="208">
        <v>-60513</v>
      </c>
      <c r="FX37" s="208">
        <v>0</v>
      </c>
      <c r="FY37" s="208">
        <v>0</v>
      </c>
      <c r="FZ37" s="208">
        <v>0</v>
      </c>
      <c r="GA37" s="208">
        <v>0</v>
      </c>
      <c r="GB37" s="208">
        <v>0</v>
      </c>
      <c r="GC37" s="208">
        <v>0</v>
      </c>
      <c r="GD37" s="208">
        <v>0</v>
      </c>
      <c r="GE37" s="208">
        <v>0</v>
      </c>
      <c r="GF37" s="208">
        <v>0</v>
      </c>
      <c r="GG37" s="208">
        <v>33311828</v>
      </c>
      <c r="GH37" s="208">
        <v>0</v>
      </c>
      <c r="GI37" s="208">
        <v>33311828</v>
      </c>
      <c r="GJ37" s="208">
        <v>551766</v>
      </c>
      <c r="GK37" s="208">
        <v>0</v>
      </c>
      <c r="GL37" s="208">
        <v>551766</v>
      </c>
      <c r="GM37" s="208">
        <v>-4467393</v>
      </c>
      <c r="GN37" s="208">
        <v>0</v>
      </c>
      <c r="GO37" s="208">
        <v>-4467393</v>
      </c>
      <c r="GP37" s="208">
        <v>-1126805</v>
      </c>
      <c r="GQ37" s="208">
        <v>0</v>
      </c>
      <c r="GR37" s="208">
        <v>-1126805</v>
      </c>
      <c r="GS37" s="208">
        <v>-44461</v>
      </c>
      <c r="GT37" s="208">
        <v>0</v>
      </c>
      <c r="GU37" s="208">
        <v>-44461</v>
      </c>
      <c r="GV37" s="208">
        <v>-60513</v>
      </c>
      <c r="GW37" s="208">
        <v>0</v>
      </c>
      <c r="GX37" s="208">
        <v>-60513</v>
      </c>
      <c r="GY37" s="208">
        <v>0</v>
      </c>
      <c r="GZ37" s="208">
        <v>0</v>
      </c>
      <c r="HA37" s="208">
        <v>0</v>
      </c>
      <c r="HB37" s="208">
        <v>-5147406</v>
      </c>
      <c r="HC37" s="208">
        <v>0</v>
      </c>
      <c r="HD37" s="208">
        <v>-5147406</v>
      </c>
      <c r="HE37" s="208">
        <v>28164422</v>
      </c>
      <c r="HF37" s="208">
        <v>0</v>
      </c>
      <c r="HG37" s="208">
        <v>28164422</v>
      </c>
      <c r="HH37" s="187" t="s">
        <v>1054</v>
      </c>
    </row>
    <row r="38" spans="1:216" s="187" customFormat="1" x14ac:dyDescent="0.2">
      <c r="B38" s="429" t="s">
        <v>155</v>
      </c>
      <c r="C38" s="429" t="s">
        <v>154</v>
      </c>
      <c r="D38" s="208">
        <v>-4802706</v>
      </c>
      <c r="E38" s="208">
        <v>0</v>
      </c>
      <c r="F38" s="208">
        <v>-4802706</v>
      </c>
      <c r="G38" s="208">
        <v>-184084</v>
      </c>
      <c r="H38" s="208">
        <v>0</v>
      </c>
      <c r="I38" s="208">
        <v>-184084</v>
      </c>
      <c r="J38" s="208">
        <v>574311</v>
      </c>
      <c r="K38" s="208">
        <v>0</v>
      </c>
      <c r="L38" s="208">
        <v>574311</v>
      </c>
      <c r="M38" s="208">
        <v>29093</v>
      </c>
      <c r="N38" s="208">
        <v>0</v>
      </c>
      <c r="O38" s="208">
        <v>29093</v>
      </c>
      <c r="P38" s="208">
        <v>-4383386</v>
      </c>
      <c r="Q38" s="208">
        <v>0</v>
      </c>
      <c r="R38" s="208">
        <v>-4383386</v>
      </c>
      <c r="S38" s="208">
        <v>-11079192</v>
      </c>
      <c r="T38" s="208">
        <v>0</v>
      </c>
      <c r="U38" s="208">
        <v>-11079192</v>
      </c>
      <c r="V38" s="208">
        <v>-49141</v>
      </c>
      <c r="W38" s="208">
        <v>0</v>
      </c>
      <c r="X38" s="208">
        <v>-49141</v>
      </c>
      <c r="Y38" s="208">
        <v>-496313</v>
      </c>
      <c r="Z38" s="208">
        <v>0</v>
      </c>
      <c r="AA38" s="208">
        <v>-496313</v>
      </c>
      <c r="AB38" s="208">
        <v>-156650</v>
      </c>
      <c r="AC38" s="208">
        <v>0</v>
      </c>
      <c r="AD38" s="208">
        <v>-156650</v>
      </c>
      <c r="AE38" s="208">
        <v>-339663</v>
      </c>
      <c r="AF38" s="208">
        <v>0</v>
      </c>
      <c r="AG38" s="208">
        <v>-339663</v>
      </c>
      <c r="AH38" s="208">
        <v>-742</v>
      </c>
      <c r="AI38" s="208">
        <v>0</v>
      </c>
      <c r="AJ38" s="208">
        <v>-742</v>
      </c>
      <c r="AK38" s="208">
        <v>-17386</v>
      </c>
      <c r="AL38" s="208">
        <v>0</v>
      </c>
      <c r="AM38" s="208">
        <v>-17386</v>
      </c>
      <c r="AN38" s="208">
        <v>2822763</v>
      </c>
      <c r="AO38" s="208">
        <v>0</v>
      </c>
      <c r="AP38" s="208">
        <v>2822763</v>
      </c>
      <c r="AQ38" s="208">
        <v>-14449</v>
      </c>
      <c r="AR38" s="208">
        <v>0</v>
      </c>
      <c r="AS38" s="208">
        <v>-14449</v>
      </c>
      <c r="AT38" s="208">
        <v>-11607141</v>
      </c>
      <c r="AU38" s="208">
        <v>0</v>
      </c>
      <c r="AV38" s="208">
        <v>-11607141</v>
      </c>
      <c r="AW38" s="208">
        <v>-201831</v>
      </c>
      <c r="AX38" s="208">
        <v>0</v>
      </c>
      <c r="AY38" s="208">
        <v>-201831</v>
      </c>
      <c r="AZ38" s="208">
        <v>-53499</v>
      </c>
      <c r="BA38" s="208">
        <v>0</v>
      </c>
      <c r="BB38" s="208">
        <v>-53499</v>
      </c>
      <c r="BC38" s="208">
        <v>0</v>
      </c>
      <c r="BD38" s="208">
        <v>0</v>
      </c>
      <c r="BE38" s="208">
        <v>0</v>
      </c>
      <c r="BF38" s="208">
        <v>0</v>
      </c>
      <c r="BG38" s="208">
        <v>0</v>
      </c>
      <c r="BH38" s="208">
        <v>0</v>
      </c>
      <c r="BI38" s="208">
        <v>0</v>
      </c>
      <c r="BJ38" s="208">
        <v>0</v>
      </c>
      <c r="BK38" s="208">
        <v>0</v>
      </c>
      <c r="BL38" s="208">
        <v>-20629662</v>
      </c>
      <c r="BM38" s="208">
        <v>0</v>
      </c>
      <c r="BN38" s="208">
        <v>-20629662</v>
      </c>
      <c r="BO38" s="208">
        <v>-298539</v>
      </c>
      <c r="BP38" s="208">
        <v>0</v>
      </c>
      <c r="BQ38" s="208">
        <v>-298539</v>
      </c>
      <c r="BR38" s="208">
        <v>7897</v>
      </c>
      <c r="BS38" s="208">
        <v>0</v>
      </c>
      <c r="BT38" s="208">
        <v>7897</v>
      </c>
      <c r="BU38" s="208">
        <v>-3609883</v>
      </c>
      <c r="BV38" s="208">
        <v>0</v>
      </c>
      <c r="BW38" s="208">
        <v>-3609883</v>
      </c>
      <c r="BX38" s="208">
        <v>-397312</v>
      </c>
      <c r="BY38" s="208">
        <v>0</v>
      </c>
      <c r="BZ38" s="208">
        <v>-397312</v>
      </c>
      <c r="CA38" s="208">
        <v>-4297837</v>
      </c>
      <c r="CB38" s="208">
        <v>0</v>
      </c>
      <c r="CC38" s="208">
        <v>-4297837</v>
      </c>
      <c r="CD38" s="208">
        <v>-34438</v>
      </c>
      <c r="CE38" s="208">
        <v>0</v>
      </c>
      <c r="CF38" s="208">
        <v>-34438</v>
      </c>
      <c r="CG38" s="208">
        <v>-20687</v>
      </c>
      <c r="CH38" s="208">
        <v>0</v>
      </c>
      <c r="CI38" s="208">
        <v>-20687</v>
      </c>
      <c r="CJ38" s="208">
        <v>-30250</v>
      </c>
      <c r="CK38" s="208">
        <v>0</v>
      </c>
      <c r="CL38" s="208">
        <v>-30250</v>
      </c>
      <c r="CM38" s="208">
        <v>-5856</v>
      </c>
      <c r="CN38" s="208">
        <v>0</v>
      </c>
      <c r="CO38" s="208">
        <v>-5856</v>
      </c>
      <c r="CP38" s="208">
        <v>-200</v>
      </c>
      <c r="CQ38" s="208">
        <v>0</v>
      </c>
      <c r="CR38" s="208">
        <v>-200</v>
      </c>
      <c r="CS38" s="208">
        <v>0</v>
      </c>
      <c r="CT38" s="208">
        <v>0</v>
      </c>
      <c r="CU38" s="208">
        <v>0</v>
      </c>
      <c r="CV38" s="208">
        <v>0</v>
      </c>
      <c r="CW38" s="208">
        <v>0</v>
      </c>
      <c r="CX38" s="208">
        <v>0</v>
      </c>
      <c r="CY38" s="208">
        <v>0</v>
      </c>
      <c r="CZ38" s="208">
        <v>0</v>
      </c>
      <c r="DA38" s="208">
        <v>0</v>
      </c>
      <c r="DB38" s="208">
        <v>0</v>
      </c>
      <c r="DC38" s="208">
        <v>0</v>
      </c>
      <c r="DD38" s="208">
        <v>0</v>
      </c>
      <c r="DE38" s="208">
        <v>0</v>
      </c>
      <c r="DF38" s="208">
        <v>0</v>
      </c>
      <c r="DG38" s="208">
        <v>0</v>
      </c>
      <c r="DH38" s="208">
        <v>0</v>
      </c>
      <c r="DI38" s="208">
        <v>0</v>
      </c>
      <c r="DJ38" s="208">
        <v>0</v>
      </c>
      <c r="DK38" s="208">
        <v>0</v>
      </c>
      <c r="DL38" s="208">
        <v>0</v>
      </c>
      <c r="DM38" s="208">
        <v>0</v>
      </c>
      <c r="DN38" s="208">
        <v>0</v>
      </c>
      <c r="DO38" s="208">
        <v>0</v>
      </c>
      <c r="DP38" s="208">
        <v>-91431</v>
      </c>
      <c r="DQ38" s="208">
        <v>0</v>
      </c>
      <c r="DR38" s="208">
        <v>-91431</v>
      </c>
      <c r="DS38" s="208">
        <v>0</v>
      </c>
      <c r="DT38" s="208">
        <v>0</v>
      </c>
      <c r="DU38" s="208">
        <v>0</v>
      </c>
      <c r="DV38" s="208">
        <v>-169</v>
      </c>
      <c r="DW38" s="208">
        <v>0</v>
      </c>
      <c r="DX38" s="208">
        <v>-169</v>
      </c>
      <c r="DY38" s="208">
        <v>14754</v>
      </c>
      <c r="DZ38" s="208">
        <v>0</v>
      </c>
      <c r="EA38" s="208">
        <v>14754</v>
      </c>
      <c r="EB38" s="208">
        <v>0</v>
      </c>
      <c r="EC38" s="208">
        <v>0</v>
      </c>
      <c r="ED38" s="208">
        <v>0</v>
      </c>
      <c r="EE38" s="208">
        <v>0</v>
      </c>
      <c r="EF38" s="208">
        <v>0</v>
      </c>
      <c r="EG38" s="208">
        <v>0</v>
      </c>
      <c r="EH38" s="208">
        <v>0</v>
      </c>
      <c r="EI38" s="208">
        <v>0</v>
      </c>
      <c r="EJ38" s="208">
        <v>0</v>
      </c>
      <c r="EK38" s="208">
        <v>0</v>
      </c>
      <c r="EL38" s="208">
        <v>0</v>
      </c>
      <c r="EM38" s="208">
        <v>0</v>
      </c>
      <c r="EN38" s="208">
        <v>0</v>
      </c>
      <c r="EO38" s="208">
        <v>0</v>
      </c>
      <c r="EP38" s="208">
        <v>0</v>
      </c>
      <c r="EQ38" s="208">
        <v>0</v>
      </c>
      <c r="ER38" s="208">
        <v>0</v>
      </c>
      <c r="ES38" s="208">
        <v>0</v>
      </c>
      <c r="ET38" s="208">
        <v>0</v>
      </c>
      <c r="EU38" s="208">
        <v>0</v>
      </c>
      <c r="EV38" s="208">
        <v>0</v>
      </c>
      <c r="EW38" s="208">
        <v>-137640</v>
      </c>
      <c r="EX38" s="208">
        <v>0</v>
      </c>
      <c r="EY38" s="208">
        <v>-137640</v>
      </c>
      <c r="EZ38" s="208">
        <v>1583</v>
      </c>
      <c r="FA38" s="208">
        <v>0</v>
      </c>
      <c r="FB38" s="208">
        <v>1583</v>
      </c>
      <c r="FC38" s="208">
        <v>-545514</v>
      </c>
      <c r="FD38" s="208">
        <v>0</v>
      </c>
      <c r="FE38" s="208">
        <v>-545514</v>
      </c>
      <c r="FF38" s="208">
        <v>-192157</v>
      </c>
      <c r="FG38" s="208">
        <v>0</v>
      </c>
      <c r="FH38" s="208">
        <v>-192157</v>
      </c>
      <c r="FI38" s="208">
        <v>-187447</v>
      </c>
      <c r="FJ38" s="208">
        <v>0</v>
      </c>
      <c r="FK38" s="208">
        <v>-187447</v>
      </c>
      <c r="FL38" s="208">
        <v>1151</v>
      </c>
      <c r="FM38" s="208">
        <v>0</v>
      </c>
      <c r="FN38" s="208">
        <v>1151</v>
      </c>
      <c r="FO38" s="208">
        <v>0</v>
      </c>
      <c r="FP38" s="208">
        <v>0</v>
      </c>
      <c r="FQ38" s="208">
        <v>0</v>
      </c>
      <c r="FR38" s="208">
        <v>0</v>
      </c>
      <c r="FS38" s="208">
        <v>0</v>
      </c>
      <c r="FT38" s="208">
        <v>0</v>
      </c>
      <c r="FU38" s="208">
        <v>-1045439</v>
      </c>
      <c r="FV38" s="208">
        <v>0</v>
      </c>
      <c r="FW38" s="208">
        <v>-1045439</v>
      </c>
      <c r="FX38" s="208">
        <v>0</v>
      </c>
      <c r="FY38" s="208">
        <v>0</v>
      </c>
      <c r="FZ38" s="208">
        <v>0</v>
      </c>
      <c r="GA38" s="208">
        <v>0</v>
      </c>
      <c r="GB38" s="208">
        <v>0</v>
      </c>
      <c r="GC38" s="208">
        <v>0</v>
      </c>
      <c r="GD38" s="208">
        <v>0</v>
      </c>
      <c r="GE38" s="208">
        <v>0</v>
      </c>
      <c r="GF38" s="208">
        <v>0</v>
      </c>
      <c r="GG38" s="208">
        <v>147074948</v>
      </c>
      <c r="GH38" s="208">
        <v>0</v>
      </c>
      <c r="GI38" s="208">
        <v>147074948</v>
      </c>
      <c r="GJ38" s="208">
        <v>-4383386</v>
      </c>
      <c r="GK38" s="208">
        <v>0</v>
      </c>
      <c r="GL38" s="208">
        <v>-4383386</v>
      </c>
      <c r="GM38" s="208">
        <v>-20629662</v>
      </c>
      <c r="GN38" s="208">
        <v>0</v>
      </c>
      <c r="GO38" s="208">
        <v>-20629662</v>
      </c>
      <c r="GP38" s="208">
        <v>-4297837</v>
      </c>
      <c r="GQ38" s="208">
        <v>0</v>
      </c>
      <c r="GR38" s="208">
        <v>-4297837</v>
      </c>
      <c r="GS38" s="208">
        <v>-91431</v>
      </c>
      <c r="GT38" s="208">
        <v>0</v>
      </c>
      <c r="GU38" s="208">
        <v>-91431</v>
      </c>
      <c r="GV38" s="208">
        <v>-1045439</v>
      </c>
      <c r="GW38" s="208">
        <v>0</v>
      </c>
      <c r="GX38" s="208">
        <v>-1045439</v>
      </c>
      <c r="GY38" s="208">
        <v>0</v>
      </c>
      <c r="GZ38" s="208">
        <v>0</v>
      </c>
      <c r="HA38" s="208">
        <v>0</v>
      </c>
      <c r="HB38" s="208">
        <v>-30447755</v>
      </c>
      <c r="HC38" s="208">
        <v>0</v>
      </c>
      <c r="HD38" s="208">
        <v>-30447755</v>
      </c>
      <c r="HE38" s="208">
        <v>116627193</v>
      </c>
      <c r="HF38" s="208">
        <v>0</v>
      </c>
      <c r="HG38" s="208">
        <v>116627193</v>
      </c>
      <c r="HH38" s="187" t="s">
        <v>742</v>
      </c>
    </row>
    <row r="39" spans="1:216" s="187" customFormat="1" x14ac:dyDescent="0.2">
      <c r="A39" s="188"/>
      <c r="B39" s="429" t="s">
        <v>157</v>
      </c>
      <c r="C39" s="429" t="s">
        <v>156</v>
      </c>
      <c r="D39" s="208">
        <v>-4572768</v>
      </c>
      <c r="E39" s="208">
        <v>-195678</v>
      </c>
      <c r="F39" s="208">
        <v>-4768446</v>
      </c>
      <c r="G39" s="208">
        <v>-676683</v>
      </c>
      <c r="H39" s="208">
        <v>46303</v>
      </c>
      <c r="I39" s="208">
        <v>-630380</v>
      </c>
      <c r="J39" s="208">
        <v>7481898</v>
      </c>
      <c r="K39" s="208">
        <v>352287</v>
      </c>
      <c r="L39" s="208">
        <v>7834185</v>
      </c>
      <c r="M39" s="208">
        <v>-59534</v>
      </c>
      <c r="N39" s="208">
        <v>-21098</v>
      </c>
      <c r="O39" s="208">
        <v>-80632</v>
      </c>
      <c r="P39" s="208">
        <v>2172913</v>
      </c>
      <c r="Q39" s="208">
        <v>181814</v>
      </c>
      <c r="R39" s="208">
        <v>2354727</v>
      </c>
      <c r="S39" s="208">
        <v>-13464297</v>
      </c>
      <c r="T39" s="208">
        <v>-290544</v>
      </c>
      <c r="U39" s="208">
        <v>-13754841</v>
      </c>
      <c r="V39" s="208">
        <v>-54356</v>
      </c>
      <c r="W39" s="208">
        <v>-6349</v>
      </c>
      <c r="X39" s="208">
        <v>-60705</v>
      </c>
      <c r="Y39" s="208">
        <v>-581139</v>
      </c>
      <c r="Z39" s="208">
        <v>-14742</v>
      </c>
      <c r="AA39" s="208">
        <v>-595881</v>
      </c>
      <c r="AB39" s="208">
        <v>-162634</v>
      </c>
      <c r="AC39" s="208">
        <v>-1225</v>
      </c>
      <c r="AD39" s="208">
        <v>-163859</v>
      </c>
      <c r="AE39" s="208">
        <v>-409743</v>
      </c>
      <c r="AF39" s="208">
        <v>-13368</v>
      </c>
      <c r="AG39" s="208">
        <v>-423111</v>
      </c>
      <c r="AH39" s="208">
        <v>-11502</v>
      </c>
      <c r="AI39" s="208">
        <v>0</v>
      </c>
      <c r="AJ39" s="208">
        <v>-11502</v>
      </c>
      <c r="AK39" s="208">
        <v>-23061</v>
      </c>
      <c r="AL39" s="208">
        <v>-980</v>
      </c>
      <c r="AM39" s="208">
        <v>-24041</v>
      </c>
      <c r="AN39" s="208">
        <v>4648676</v>
      </c>
      <c r="AO39" s="208">
        <v>794270</v>
      </c>
      <c r="AP39" s="208">
        <v>5442946</v>
      </c>
      <c r="AQ39" s="208">
        <v>-112629</v>
      </c>
      <c r="AR39" s="208">
        <v>-34493</v>
      </c>
      <c r="AS39" s="208">
        <v>-147122</v>
      </c>
      <c r="AT39" s="208">
        <v>-19183139</v>
      </c>
      <c r="AU39" s="208">
        <v>-407817</v>
      </c>
      <c r="AV39" s="208">
        <v>-19590956</v>
      </c>
      <c r="AW39" s="208">
        <v>1166548</v>
      </c>
      <c r="AX39" s="208">
        <v>1374</v>
      </c>
      <c r="AY39" s="208">
        <v>1167922</v>
      </c>
      <c r="AZ39" s="208">
        <v>-125221</v>
      </c>
      <c r="BA39" s="208">
        <v>0</v>
      </c>
      <c r="BB39" s="208">
        <v>-125221</v>
      </c>
      <c r="BC39" s="208">
        <v>-3953</v>
      </c>
      <c r="BD39" s="208">
        <v>0</v>
      </c>
      <c r="BE39" s="208">
        <v>-3953</v>
      </c>
      <c r="BF39" s="208">
        <v>0</v>
      </c>
      <c r="BG39" s="208">
        <v>0</v>
      </c>
      <c r="BH39" s="208">
        <v>0</v>
      </c>
      <c r="BI39" s="208">
        <v>0</v>
      </c>
      <c r="BJ39" s="208">
        <v>0</v>
      </c>
      <c r="BK39" s="208">
        <v>0</v>
      </c>
      <c r="BL39" s="208">
        <v>-27655154</v>
      </c>
      <c r="BM39" s="208">
        <v>48048</v>
      </c>
      <c r="BN39" s="208">
        <v>-27607106</v>
      </c>
      <c r="BO39" s="208">
        <v>-1987</v>
      </c>
      <c r="BP39" s="208">
        <v>0</v>
      </c>
      <c r="BQ39" s="208">
        <v>-1987</v>
      </c>
      <c r="BR39" s="208">
        <v>-16505</v>
      </c>
      <c r="BS39" s="208">
        <v>30540</v>
      </c>
      <c r="BT39" s="208">
        <v>14035</v>
      </c>
      <c r="BU39" s="208">
        <v>-8821974</v>
      </c>
      <c r="BV39" s="208">
        <v>-465971</v>
      </c>
      <c r="BW39" s="208">
        <v>-9287945</v>
      </c>
      <c r="BX39" s="208">
        <v>474115</v>
      </c>
      <c r="BY39" s="208">
        <v>143832</v>
      </c>
      <c r="BZ39" s="208">
        <v>617947</v>
      </c>
      <c r="CA39" s="208">
        <v>-8366351</v>
      </c>
      <c r="CB39" s="208">
        <v>-291599</v>
      </c>
      <c r="CC39" s="208">
        <v>-8657950</v>
      </c>
      <c r="CD39" s="208">
        <v>-289435</v>
      </c>
      <c r="CE39" s="208">
        <v>0</v>
      </c>
      <c r="CF39" s="208">
        <v>-289435</v>
      </c>
      <c r="CG39" s="208">
        <v>-5455</v>
      </c>
      <c r="CH39" s="208">
        <v>0</v>
      </c>
      <c r="CI39" s="208">
        <v>-5455</v>
      </c>
      <c r="CJ39" s="208">
        <v>-193365</v>
      </c>
      <c r="CK39" s="208">
        <v>0</v>
      </c>
      <c r="CL39" s="208">
        <v>-193365</v>
      </c>
      <c r="CM39" s="208">
        <v>237</v>
      </c>
      <c r="CN39" s="208">
        <v>0</v>
      </c>
      <c r="CO39" s="208">
        <v>237</v>
      </c>
      <c r="CP39" s="208">
        <v>-2109</v>
      </c>
      <c r="CQ39" s="208">
        <v>0</v>
      </c>
      <c r="CR39" s="208">
        <v>-2109</v>
      </c>
      <c r="CS39" s="208">
        <v>0</v>
      </c>
      <c r="CT39" s="208">
        <v>0</v>
      </c>
      <c r="CU39" s="208">
        <v>0</v>
      </c>
      <c r="CV39" s="208">
        <v>0</v>
      </c>
      <c r="CW39" s="208">
        <v>0</v>
      </c>
      <c r="CX39" s="208">
        <v>0</v>
      </c>
      <c r="CY39" s="208">
        <v>0</v>
      </c>
      <c r="CZ39" s="208">
        <v>0</v>
      </c>
      <c r="DA39" s="208">
        <v>0</v>
      </c>
      <c r="DB39" s="208">
        <v>0</v>
      </c>
      <c r="DC39" s="208">
        <v>0</v>
      </c>
      <c r="DD39" s="208">
        <v>0</v>
      </c>
      <c r="DE39" s="208">
        <v>0</v>
      </c>
      <c r="DF39" s="208">
        <v>0</v>
      </c>
      <c r="DG39" s="208">
        <v>0</v>
      </c>
      <c r="DH39" s="208">
        <v>0</v>
      </c>
      <c r="DI39" s="208">
        <v>-1149156</v>
      </c>
      <c r="DJ39" s="208">
        <v>-1149156</v>
      </c>
      <c r="DK39" s="208">
        <v>0</v>
      </c>
      <c r="DL39" s="208">
        <v>-486351</v>
      </c>
      <c r="DM39" s="208">
        <v>-486351</v>
      </c>
      <c r="DN39" s="208">
        <v>-1635507</v>
      </c>
      <c r="DO39" s="208">
        <v>0</v>
      </c>
      <c r="DP39" s="208">
        <v>-490127</v>
      </c>
      <c r="DQ39" s="208">
        <v>-1635507</v>
      </c>
      <c r="DR39" s="208">
        <v>-2125634</v>
      </c>
      <c r="DS39" s="208">
        <v>0</v>
      </c>
      <c r="DT39" s="208">
        <v>0</v>
      </c>
      <c r="DU39" s="208">
        <v>0</v>
      </c>
      <c r="DV39" s="208">
        <v>5202</v>
      </c>
      <c r="DW39" s="208">
        <v>0</v>
      </c>
      <c r="DX39" s="208">
        <v>5202</v>
      </c>
      <c r="DY39" s="208">
        <v>1488</v>
      </c>
      <c r="DZ39" s="208">
        <v>0</v>
      </c>
      <c r="EA39" s="208">
        <v>1488</v>
      </c>
      <c r="EB39" s="208">
        <v>0</v>
      </c>
      <c r="EC39" s="208">
        <v>0</v>
      </c>
      <c r="ED39" s="208">
        <v>0</v>
      </c>
      <c r="EE39" s="208">
        <v>0</v>
      </c>
      <c r="EF39" s="208">
        <v>0</v>
      </c>
      <c r="EG39" s="208">
        <v>0</v>
      </c>
      <c r="EH39" s="208">
        <v>0</v>
      </c>
      <c r="EI39" s="208">
        <v>0</v>
      </c>
      <c r="EJ39" s="208">
        <v>0</v>
      </c>
      <c r="EK39" s="208">
        <v>0</v>
      </c>
      <c r="EL39" s="208">
        <v>0</v>
      </c>
      <c r="EM39" s="208">
        <v>0</v>
      </c>
      <c r="EN39" s="208">
        <v>0</v>
      </c>
      <c r="EO39" s="208">
        <v>0</v>
      </c>
      <c r="EP39" s="208">
        <v>0</v>
      </c>
      <c r="EQ39" s="208">
        <v>-1500</v>
      </c>
      <c r="ER39" s="208">
        <v>0</v>
      </c>
      <c r="ES39" s="208">
        <v>-1500</v>
      </c>
      <c r="ET39" s="208">
        <v>-1500</v>
      </c>
      <c r="EU39" s="208">
        <v>0</v>
      </c>
      <c r="EV39" s="208">
        <v>-1500</v>
      </c>
      <c r="EW39" s="208">
        <v>-57361</v>
      </c>
      <c r="EX39" s="208">
        <v>-1863</v>
      </c>
      <c r="EY39" s="208">
        <v>-59224</v>
      </c>
      <c r="EZ39" s="208">
        <v>2942</v>
      </c>
      <c r="FA39" s="208">
        <v>0</v>
      </c>
      <c r="FB39" s="208">
        <v>2942</v>
      </c>
      <c r="FC39" s="208">
        <v>-411229</v>
      </c>
      <c r="FD39" s="208">
        <v>-29443</v>
      </c>
      <c r="FE39" s="208">
        <v>-440672</v>
      </c>
      <c r="FF39" s="208">
        <v>4061</v>
      </c>
      <c r="FG39" s="208">
        <v>-77</v>
      </c>
      <c r="FH39" s="208">
        <v>3984</v>
      </c>
      <c r="FI39" s="208">
        <v>-166301</v>
      </c>
      <c r="FJ39" s="208">
        <v>0</v>
      </c>
      <c r="FK39" s="208">
        <v>-166301</v>
      </c>
      <c r="FL39" s="208">
        <v>9970</v>
      </c>
      <c r="FM39" s="208">
        <v>0</v>
      </c>
      <c r="FN39" s="208">
        <v>9970</v>
      </c>
      <c r="FO39" s="208">
        <v>0</v>
      </c>
      <c r="FP39" s="208">
        <v>0</v>
      </c>
      <c r="FQ39" s="208">
        <v>0</v>
      </c>
      <c r="FR39" s="208">
        <v>0</v>
      </c>
      <c r="FS39" s="208">
        <v>0</v>
      </c>
      <c r="FT39" s="208">
        <v>0</v>
      </c>
      <c r="FU39" s="208">
        <v>-614228</v>
      </c>
      <c r="FV39" s="208">
        <v>-31383</v>
      </c>
      <c r="FW39" s="208">
        <v>-645611</v>
      </c>
      <c r="FX39" s="208">
        <v>0</v>
      </c>
      <c r="FY39" s="208">
        <v>0</v>
      </c>
      <c r="FZ39" s="208">
        <v>0</v>
      </c>
      <c r="GA39" s="208">
        <v>0</v>
      </c>
      <c r="GB39" s="208">
        <v>-77</v>
      </c>
      <c r="GC39" s="208">
        <v>-77</v>
      </c>
      <c r="GD39" s="208">
        <v>0</v>
      </c>
      <c r="GE39" s="208">
        <v>-77</v>
      </c>
      <c r="GF39" s="208">
        <v>-77</v>
      </c>
      <c r="GG39" s="208">
        <v>224057362</v>
      </c>
      <c r="GH39" s="208">
        <v>30948108</v>
      </c>
      <c r="GI39" s="208">
        <v>255005470</v>
      </c>
      <c r="GJ39" s="208">
        <v>2172913</v>
      </c>
      <c r="GK39" s="208">
        <v>181814</v>
      </c>
      <c r="GL39" s="208">
        <v>2354727</v>
      </c>
      <c r="GM39" s="208">
        <v>-27655154</v>
      </c>
      <c r="GN39" s="208">
        <v>48048</v>
      </c>
      <c r="GO39" s="208">
        <v>-27607106</v>
      </c>
      <c r="GP39" s="208">
        <v>-8366351</v>
      </c>
      <c r="GQ39" s="208">
        <v>-291599</v>
      </c>
      <c r="GR39" s="208">
        <v>-8657950</v>
      </c>
      <c r="GS39" s="208">
        <v>-490127</v>
      </c>
      <c r="GT39" s="208">
        <v>-1635507</v>
      </c>
      <c r="GU39" s="208">
        <v>-2125634</v>
      </c>
      <c r="GV39" s="208">
        <v>-614228</v>
      </c>
      <c r="GW39" s="208">
        <v>-31383</v>
      </c>
      <c r="GX39" s="208">
        <v>-645611</v>
      </c>
      <c r="GY39" s="208">
        <v>0</v>
      </c>
      <c r="GZ39" s="208">
        <v>-77</v>
      </c>
      <c r="HA39" s="208">
        <v>-77</v>
      </c>
      <c r="HB39" s="208">
        <v>-34952947</v>
      </c>
      <c r="HC39" s="208">
        <v>-1728704</v>
      </c>
      <c r="HD39" s="208">
        <v>-36681651</v>
      </c>
      <c r="HE39" s="208">
        <v>189104415</v>
      </c>
      <c r="HF39" s="208">
        <v>29219404</v>
      </c>
      <c r="HG39" s="208">
        <v>218323819</v>
      </c>
      <c r="HH39" s="187" t="s">
        <v>742</v>
      </c>
    </row>
    <row r="40" spans="1:216" s="187" customFormat="1" x14ac:dyDescent="0.2">
      <c r="B40" s="429" t="s">
        <v>159</v>
      </c>
      <c r="C40" s="429" t="s">
        <v>158</v>
      </c>
      <c r="D40" s="208">
        <v>-910670</v>
      </c>
      <c r="E40" s="208">
        <v>0</v>
      </c>
      <c r="F40" s="208">
        <v>-910670</v>
      </c>
      <c r="G40" s="208">
        <v>21517</v>
      </c>
      <c r="H40" s="208">
        <v>0</v>
      </c>
      <c r="I40" s="208">
        <v>21517</v>
      </c>
      <c r="J40" s="208">
        <v>1549456</v>
      </c>
      <c r="K40" s="208">
        <v>0</v>
      </c>
      <c r="L40" s="208">
        <v>1549456</v>
      </c>
      <c r="M40" s="208">
        <v>25975</v>
      </c>
      <c r="N40" s="208">
        <v>0</v>
      </c>
      <c r="O40" s="208">
        <v>25975</v>
      </c>
      <c r="P40" s="208">
        <v>686278</v>
      </c>
      <c r="Q40" s="208">
        <v>0</v>
      </c>
      <c r="R40" s="208">
        <v>686278</v>
      </c>
      <c r="S40" s="208">
        <v>-4036855</v>
      </c>
      <c r="T40" s="208">
        <v>0</v>
      </c>
      <c r="U40" s="208">
        <v>-4036855</v>
      </c>
      <c r="V40" s="208">
        <v>-16382</v>
      </c>
      <c r="W40" s="208">
        <v>0</v>
      </c>
      <c r="X40" s="208">
        <v>-16382</v>
      </c>
      <c r="Y40" s="208">
        <v>-56435</v>
      </c>
      <c r="Z40" s="208">
        <v>0</v>
      </c>
      <c r="AA40" s="208">
        <v>-56435</v>
      </c>
      <c r="AB40" s="208">
        <v>-11443</v>
      </c>
      <c r="AC40" s="208">
        <v>0</v>
      </c>
      <c r="AD40" s="208">
        <v>-11443</v>
      </c>
      <c r="AE40" s="208">
        <v>-43777</v>
      </c>
      <c r="AF40" s="208">
        <v>0</v>
      </c>
      <c r="AG40" s="208">
        <v>-43777</v>
      </c>
      <c r="AH40" s="208">
        <v>0</v>
      </c>
      <c r="AI40" s="208">
        <v>0</v>
      </c>
      <c r="AJ40" s="208">
        <v>0</v>
      </c>
      <c r="AK40" s="208">
        <v>0</v>
      </c>
      <c r="AL40" s="208">
        <v>0</v>
      </c>
      <c r="AM40" s="208">
        <v>0</v>
      </c>
      <c r="AN40" s="208">
        <v>657117</v>
      </c>
      <c r="AO40" s="208">
        <v>0</v>
      </c>
      <c r="AP40" s="208">
        <v>657117</v>
      </c>
      <c r="AQ40" s="208">
        <v>5147</v>
      </c>
      <c r="AR40" s="208">
        <v>0</v>
      </c>
      <c r="AS40" s="208">
        <v>5147</v>
      </c>
      <c r="AT40" s="208">
        <v>-1989490</v>
      </c>
      <c r="AU40" s="208">
        <v>0</v>
      </c>
      <c r="AV40" s="208">
        <v>-1989490</v>
      </c>
      <c r="AW40" s="208">
        <v>9715</v>
      </c>
      <c r="AX40" s="208">
        <v>0</v>
      </c>
      <c r="AY40" s="208">
        <v>9715</v>
      </c>
      <c r="AZ40" s="208">
        <v>-30771</v>
      </c>
      <c r="BA40" s="208">
        <v>0</v>
      </c>
      <c r="BB40" s="208">
        <v>-30771</v>
      </c>
      <c r="BC40" s="208">
        <v>0</v>
      </c>
      <c r="BD40" s="208">
        <v>0</v>
      </c>
      <c r="BE40" s="208">
        <v>0</v>
      </c>
      <c r="BF40" s="208">
        <v>-39770</v>
      </c>
      <c r="BG40" s="208">
        <v>0</v>
      </c>
      <c r="BH40" s="208">
        <v>-39770</v>
      </c>
      <c r="BI40" s="208">
        <v>2810</v>
      </c>
      <c r="BJ40" s="208">
        <v>0</v>
      </c>
      <c r="BK40" s="208">
        <v>2810</v>
      </c>
      <c r="BL40" s="208">
        <v>-5478532</v>
      </c>
      <c r="BM40" s="208">
        <v>0</v>
      </c>
      <c r="BN40" s="208">
        <v>-5478532</v>
      </c>
      <c r="BO40" s="208">
        <v>-4952</v>
      </c>
      <c r="BP40" s="208">
        <v>0</v>
      </c>
      <c r="BQ40" s="208">
        <v>-4952</v>
      </c>
      <c r="BR40" s="208">
        <v>0</v>
      </c>
      <c r="BS40" s="208">
        <v>0</v>
      </c>
      <c r="BT40" s="208">
        <v>0</v>
      </c>
      <c r="BU40" s="208">
        <v>-624473</v>
      </c>
      <c r="BV40" s="208">
        <v>0</v>
      </c>
      <c r="BW40" s="208">
        <v>-624473</v>
      </c>
      <c r="BX40" s="208">
        <v>-43531</v>
      </c>
      <c r="BY40" s="208">
        <v>0</v>
      </c>
      <c r="BZ40" s="208">
        <v>-43531</v>
      </c>
      <c r="CA40" s="208">
        <v>-672956</v>
      </c>
      <c r="CB40" s="208">
        <v>0</v>
      </c>
      <c r="CC40" s="208">
        <v>-672956</v>
      </c>
      <c r="CD40" s="208">
        <v>-22994</v>
      </c>
      <c r="CE40" s="208">
        <v>0</v>
      </c>
      <c r="CF40" s="208">
        <v>-22994</v>
      </c>
      <c r="CG40" s="208">
        <v>0</v>
      </c>
      <c r="CH40" s="208">
        <v>0</v>
      </c>
      <c r="CI40" s="208">
        <v>0</v>
      </c>
      <c r="CJ40" s="208">
        <v>-54060</v>
      </c>
      <c r="CK40" s="208">
        <v>0</v>
      </c>
      <c r="CL40" s="208">
        <v>-54060</v>
      </c>
      <c r="CM40" s="208">
        <v>73</v>
      </c>
      <c r="CN40" s="208">
        <v>0</v>
      </c>
      <c r="CO40" s="208">
        <v>73</v>
      </c>
      <c r="CP40" s="208">
        <v>0</v>
      </c>
      <c r="CQ40" s="208">
        <v>0</v>
      </c>
      <c r="CR40" s="208">
        <v>0</v>
      </c>
      <c r="CS40" s="208">
        <v>0</v>
      </c>
      <c r="CT40" s="208">
        <v>0</v>
      </c>
      <c r="CU40" s="208">
        <v>0</v>
      </c>
      <c r="CV40" s="208">
        <v>0</v>
      </c>
      <c r="CW40" s="208">
        <v>0</v>
      </c>
      <c r="CX40" s="208">
        <v>0</v>
      </c>
      <c r="CY40" s="208">
        <v>0</v>
      </c>
      <c r="CZ40" s="208">
        <v>0</v>
      </c>
      <c r="DA40" s="208">
        <v>0</v>
      </c>
      <c r="DB40" s="208">
        <v>-1040</v>
      </c>
      <c r="DC40" s="208">
        <v>0</v>
      </c>
      <c r="DD40" s="208">
        <v>-1040</v>
      </c>
      <c r="DE40" s="208">
        <v>0</v>
      </c>
      <c r="DF40" s="208">
        <v>0</v>
      </c>
      <c r="DG40" s="208">
        <v>0</v>
      </c>
      <c r="DH40" s="208">
        <v>-27070</v>
      </c>
      <c r="DI40" s="208">
        <v>0</v>
      </c>
      <c r="DJ40" s="208">
        <v>-27070</v>
      </c>
      <c r="DK40" s="208">
        <v>-101</v>
      </c>
      <c r="DL40" s="208">
        <v>0</v>
      </c>
      <c r="DM40" s="208">
        <v>-101</v>
      </c>
      <c r="DN40" s="208">
        <v>0</v>
      </c>
      <c r="DO40" s="208">
        <v>0</v>
      </c>
      <c r="DP40" s="208">
        <v>-105192</v>
      </c>
      <c r="DQ40" s="208">
        <v>0</v>
      </c>
      <c r="DR40" s="208">
        <v>-105192</v>
      </c>
      <c r="DS40" s="208">
        <v>0</v>
      </c>
      <c r="DT40" s="208">
        <v>0</v>
      </c>
      <c r="DU40" s="208">
        <v>0</v>
      </c>
      <c r="DV40" s="208">
        <v>0</v>
      </c>
      <c r="DW40" s="208">
        <v>0</v>
      </c>
      <c r="DX40" s="208">
        <v>0</v>
      </c>
      <c r="DY40" s="208">
        <v>0</v>
      </c>
      <c r="DZ40" s="208">
        <v>0</v>
      </c>
      <c r="EA40" s="208">
        <v>0</v>
      </c>
      <c r="EB40" s="208">
        <v>0</v>
      </c>
      <c r="EC40" s="208">
        <v>0</v>
      </c>
      <c r="ED40" s="208">
        <v>0</v>
      </c>
      <c r="EE40" s="208">
        <v>0</v>
      </c>
      <c r="EF40" s="208">
        <v>0</v>
      </c>
      <c r="EG40" s="208">
        <v>0</v>
      </c>
      <c r="EH40" s="208">
        <v>0</v>
      </c>
      <c r="EI40" s="208">
        <v>0</v>
      </c>
      <c r="EJ40" s="208">
        <v>0</v>
      </c>
      <c r="EK40" s="208">
        <v>-39770</v>
      </c>
      <c r="EL40" s="208">
        <v>0</v>
      </c>
      <c r="EM40" s="208">
        <v>-39770</v>
      </c>
      <c r="EN40" s="208">
        <v>2810</v>
      </c>
      <c r="EO40" s="208">
        <v>0</v>
      </c>
      <c r="EP40" s="208">
        <v>2810</v>
      </c>
      <c r="EQ40" s="208">
        <v>0</v>
      </c>
      <c r="ER40" s="208">
        <v>0</v>
      </c>
      <c r="ES40" s="208">
        <v>0</v>
      </c>
      <c r="ET40" s="208">
        <v>0</v>
      </c>
      <c r="EU40" s="208">
        <v>0</v>
      </c>
      <c r="EV40" s="208">
        <v>0</v>
      </c>
      <c r="EW40" s="208">
        <v>-25577</v>
      </c>
      <c r="EX40" s="208">
        <v>0</v>
      </c>
      <c r="EY40" s="208">
        <v>-25577</v>
      </c>
      <c r="EZ40" s="208">
        <v>1977</v>
      </c>
      <c r="FA40" s="208">
        <v>0</v>
      </c>
      <c r="FB40" s="208">
        <v>1977</v>
      </c>
      <c r="FC40" s="208">
        <v>-125844</v>
      </c>
      <c r="FD40" s="208">
        <v>0</v>
      </c>
      <c r="FE40" s="208">
        <v>-125844</v>
      </c>
      <c r="FF40" s="208">
        <v>-127</v>
      </c>
      <c r="FG40" s="208">
        <v>0</v>
      </c>
      <c r="FH40" s="208">
        <v>-127</v>
      </c>
      <c r="FI40" s="208">
        <v>-39893</v>
      </c>
      <c r="FJ40" s="208">
        <v>0</v>
      </c>
      <c r="FK40" s="208">
        <v>-39893</v>
      </c>
      <c r="FL40" s="208">
        <v>-30</v>
      </c>
      <c r="FM40" s="208">
        <v>0</v>
      </c>
      <c r="FN40" s="208">
        <v>-30</v>
      </c>
      <c r="FO40" s="208">
        <v>0</v>
      </c>
      <c r="FP40" s="208">
        <v>0</v>
      </c>
      <c r="FQ40" s="208">
        <v>0</v>
      </c>
      <c r="FR40" s="208">
        <v>0</v>
      </c>
      <c r="FS40" s="208">
        <v>0</v>
      </c>
      <c r="FT40" s="208">
        <v>0</v>
      </c>
      <c r="FU40" s="208">
        <v>-226454</v>
      </c>
      <c r="FV40" s="208">
        <v>0</v>
      </c>
      <c r="FW40" s="208">
        <v>-226454</v>
      </c>
      <c r="FX40" s="208">
        <v>0</v>
      </c>
      <c r="FY40" s="208">
        <v>0</v>
      </c>
      <c r="FZ40" s="208">
        <v>0</v>
      </c>
      <c r="GA40" s="208">
        <v>0</v>
      </c>
      <c r="GB40" s="208">
        <v>0</v>
      </c>
      <c r="GC40" s="208">
        <v>0</v>
      </c>
      <c r="GD40" s="208">
        <v>0</v>
      </c>
      <c r="GE40" s="208">
        <v>0</v>
      </c>
      <c r="GF40" s="208">
        <v>0</v>
      </c>
      <c r="GG40" s="208">
        <v>37519700</v>
      </c>
      <c r="GH40" s="208">
        <v>0</v>
      </c>
      <c r="GI40" s="208">
        <v>37519700</v>
      </c>
      <c r="GJ40" s="208">
        <v>686278</v>
      </c>
      <c r="GK40" s="208">
        <v>0</v>
      </c>
      <c r="GL40" s="208">
        <v>686278</v>
      </c>
      <c r="GM40" s="208">
        <v>-5478532</v>
      </c>
      <c r="GN40" s="208">
        <v>0</v>
      </c>
      <c r="GO40" s="208">
        <v>-5478532</v>
      </c>
      <c r="GP40" s="208">
        <v>-672956</v>
      </c>
      <c r="GQ40" s="208">
        <v>0</v>
      </c>
      <c r="GR40" s="208">
        <v>-672956</v>
      </c>
      <c r="GS40" s="208">
        <v>-105192</v>
      </c>
      <c r="GT40" s="208">
        <v>0</v>
      </c>
      <c r="GU40" s="208">
        <v>-105192</v>
      </c>
      <c r="GV40" s="208">
        <v>-226454</v>
      </c>
      <c r="GW40" s="208">
        <v>0</v>
      </c>
      <c r="GX40" s="208">
        <v>-226454</v>
      </c>
      <c r="GY40" s="208">
        <v>0</v>
      </c>
      <c r="GZ40" s="208">
        <v>0</v>
      </c>
      <c r="HA40" s="208">
        <v>0</v>
      </c>
      <c r="HB40" s="208">
        <v>-5796856</v>
      </c>
      <c r="HC40" s="208">
        <v>0</v>
      </c>
      <c r="HD40" s="208">
        <v>-5796856</v>
      </c>
      <c r="HE40" s="208">
        <v>31722844</v>
      </c>
      <c r="HF40" s="208">
        <v>0</v>
      </c>
      <c r="HG40" s="208">
        <v>31722844</v>
      </c>
      <c r="HH40" s="187" t="s">
        <v>1054</v>
      </c>
    </row>
    <row r="41" spans="1:216" s="187" customFormat="1" x14ac:dyDescent="0.2">
      <c r="B41" s="429" t="s">
        <v>161</v>
      </c>
      <c r="C41" s="429" t="s">
        <v>160</v>
      </c>
      <c r="D41" s="208">
        <v>-4964595</v>
      </c>
      <c r="E41" s="208">
        <v>0</v>
      </c>
      <c r="F41" s="208">
        <v>-4964595</v>
      </c>
      <c r="G41" s="208">
        <v>32641</v>
      </c>
      <c r="H41" s="208">
        <v>0</v>
      </c>
      <c r="I41" s="208">
        <v>32641</v>
      </c>
      <c r="J41" s="208">
        <v>1495048</v>
      </c>
      <c r="K41" s="208">
        <v>0</v>
      </c>
      <c r="L41" s="208">
        <v>1495048</v>
      </c>
      <c r="M41" s="208">
        <v>665</v>
      </c>
      <c r="N41" s="208">
        <v>0</v>
      </c>
      <c r="O41" s="208">
        <v>665</v>
      </c>
      <c r="P41" s="208">
        <v>-3436241</v>
      </c>
      <c r="Q41" s="208">
        <v>0</v>
      </c>
      <c r="R41" s="208">
        <v>-3436241</v>
      </c>
      <c r="S41" s="208">
        <v>-6722357</v>
      </c>
      <c r="T41" s="208">
        <v>0</v>
      </c>
      <c r="U41" s="208">
        <v>-6722357</v>
      </c>
      <c r="V41" s="208">
        <v>0</v>
      </c>
      <c r="W41" s="208">
        <v>0</v>
      </c>
      <c r="X41" s="208">
        <v>0</v>
      </c>
      <c r="Y41" s="208">
        <v>-196413</v>
      </c>
      <c r="Z41" s="208">
        <v>0</v>
      </c>
      <c r="AA41" s="208">
        <v>-196413</v>
      </c>
      <c r="AB41" s="208">
        <v>-101204</v>
      </c>
      <c r="AC41" s="208">
        <v>0</v>
      </c>
      <c r="AD41" s="208">
        <v>-101204</v>
      </c>
      <c r="AE41" s="208">
        <v>-78428</v>
      </c>
      <c r="AF41" s="208">
        <v>0</v>
      </c>
      <c r="AG41" s="208">
        <v>-78428</v>
      </c>
      <c r="AH41" s="208">
        <v>0</v>
      </c>
      <c r="AI41" s="208">
        <v>0</v>
      </c>
      <c r="AJ41" s="208">
        <v>0</v>
      </c>
      <c r="AK41" s="208">
        <v>0</v>
      </c>
      <c r="AL41" s="208">
        <v>0</v>
      </c>
      <c r="AM41" s="208">
        <v>0</v>
      </c>
      <c r="AN41" s="208">
        <v>2269855</v>
      </c>
      <c r="AO41" s="208">
        <v>0</v>
      </c>
      <c r="AP41" s="208">
        <v>2269855</v>
      </c>
      <c r="AQ41" s="208">
        <v>-20885</v>
      </c>
      <c r="AR41" s="208">
        <v>0</v>
      </c>
      <c r="AS41" s="208">
        <v>-20885</v>
      </c>
      <c r="AT41" s="208">
        <v>-10913688</v>
      </c>
      <c r="AU41" s="208">
        <v>0</v>
      </c>
      <c r="AV41" s="208">
        <v>-10913688</v>
      </c>
      <c r="AW41" s="208">
        <v>-110336</v>
      </c>
      <c r="AX41" s="208">
        <v>0</v>
      </c>
      <c r="AY41" s="208">
        <v>-110336</v>
      </c>
      <c r="AZ41" s="208">
        <v>-186356</v>
      </c>
      <c r="BA41" s="208">
        <v>0</v>
      </c>
      <c r="BB41" s="208">
        <v>-186356</v>
      </c>
      <c r="BC41" s="208">
        <v>0</v>
      </c>
      <c r="BD41" s="208">
        <v>0</v>
      </c>
      <c r="BE41" s="208">
        <v>0</v>
      </c>
      <c r="BF41" s="208">
        <v>0</v>
      </c>
      <c r="BG41" s="208">
        <v>0</v>
      </c>
      <c r="BH41" s="208">
        <v>0</v>
      </c>
      <c r="BI41" s="208">
        <v>0</v>
      </c>
      <c r="BJ41" s="208">
        <v>0</v>
      </c>
      <c r="BK41" s="208">
        <v>0</v>
      </c>
      <c r="BL41" s="208">
        <v>-15880180</v>
      </c>
      <c r="BM41" s="208">
        <v>0</v>
      </c>
      <c r="BN41" s="208">
        <v>-15880180</v>
      </c>
      <c r="BO41" s="208">
        <v>-9553</v>
      </c>
      <c r="BP41" s="208">
        <v>0</v>
      </c>
      <c r="BQ41" s="208">
        <v>-9553</v>
      </c>
      <c r="BR41" s="208">
        <v>0</v>
      </c>
      <c r="BS41" s="208">
        <v>0</v>
      </c>
      <c r="BT41" s="208">
        <v>0</v>
      </c>
      <c r="BU41" s="208">
        <v>-3382648</v>
      </c>
      <c r="BV41" s="208">
        <v>0</v>
      </c>
      <c r="BW41" s="208">
        <v>-3382648</v>
      </c>
      <c r="BX41" s="208">
        <v>194914</v>
      </c>
      <c r="BY41" s="208">
        <v>0</v>
      </c>
      <c r="BZ41" s="208">
        <v>194914</v>
      </c>
      <c r="CA41" s="208">
        <v>-3197287</v>
      </c>
      <c r="CB41" s="208">
        <v>0</v>
      </c>
      <c r="CC41" s="208">
        <v>-3197287</v>
      </c>
      <c r="CD41" s="208">
        <v>-304156</v>
      </c>
      <c r="CE41" s="208">
        <v>0</v>
      </c>
      <c r="CF41" s="208">
        <v>-304156</v>
      </c>
      <c r="CG41" s="208">
        <v>-25470</v>
      </c>
      <c r="CH41" s="208">
        <v>0</v>
      </c>
      <c r="CI41" s="208">
        <v>-25470</v>
      </c>
      <c r="CJ41" s="208">
        <v>-338653</v>
      </c>
      <c r="CK41" s="208">
        <v>0</v>
      </c>
      <c r="CL41" s="208">
        <v>-338653</v>
      </c>
      <c r="CM41" s="208">
        <v>-2000</v>
      </c>
      <c r="CN41" s="208">
        <v>0</v>
      </c>
      <c r="CO41" s="208">
        <v>-2000</v>
      </c>
      <c r="CP41" s="208">
        <v>-46589</v>
      </c>
      <c r="CQ41" s="208">
        <v>0</v>
      </c>
      <c r="CR41" s="208">
        <v>-46589</v>
      </c>
      <c r="CS41" s="208">
        <v>0</v>
      </c>
      <c r="CT41" s="208">
        <v>0</v>
      </c>
      <c r="CU41" s="208">
        <v>0</v>
      </c>
      <c r="CV41" s="208">
        <v>0</v>
      </c>
      <c r="CW41" s="208">
        <v>0</v>
      </c>
      <c r="CX41" s="208">
        <v>0</v>
      </c>
      <c r="CY41" s="208">
        <v>0</v>
      </c>
      <c r="CZ41" s="208">
        <v>0</v>
      </c>
      <c r="DA41" s="208">
        <v>0</v>
      </c>
      <c r="DB41" s="208">
        <v>0</v>
      </c>
      <c r="DC41" s="208">
        <v>0</v>
      </c>
      <c r="DD41" s="208">
        <v>0</v>
      </c>
      <c r="DE41" s="208">
        <v>0</v>
      </c>
      <c r="DF41" s="208">
        <v>0</v>
      </c>
      <c r="DG41" s="208">
        <v>0</v>
      </c>
      <c r="DH41" s="208">
        <v>0</v>
      </c>
      <c r="DI41" s="208">
        <v>0</v>
      </c>
      <c r="DJ41" s="208">
        <v>0</v>
      </c>
      <c r="DK41" s="208">
        <v>0</v>
      </c>
      <c r="DL41" s="208">
        <v>0</v>
      </c>
      <c r="DM41" s="208">
        <v>0</v>
      </c>
      <c r="DN41" s="208">
        <v>0</v>
      </c>
      <c r="DO41" s="208">
        <v>0</v>
      </c>
      <c r="DP41" s="208">
        <v>-716868</v>
      </c>
      <c r="DQ41" s="208">
        <v>0</v>
      </c>
      <c r="DR41" s="208">
        <v>-716868</v>
      </c>
      <c r="DS41" s="208">
        <v>0</v>
      </c>
      <c r="DT41" s="208">
        <v>0</v>
      </c>
      <c r="DU41" s="208">
        <v>0</v>
      </c>
      <c r="DV41" s="208">
        <v>0</v>
      </c>
      <c r="DW41" s="208">
        <v>0</v>
      </c>
      <c r="DX41" s="208">
        <v>0</v>
      </c>
      <c r="DY41" s="208">
        <v>2515</v>
      </c>
      <c r="DZ41" s="208">
        <v>0</v>
      </c>
      <c r="EA41" s="208">
        <v>2515</v>
      </c>
      <c r="EB41" s="208">
        <v>0</v>
      </c>
      <c r="EC41" s="208">
        <v>0</v>
      </c>
      <c r="ED41" s="208">
        <v>0</v>
      </c>
      <c r="EE41" s="208">
        <v>0</v>
      </c>
      <c r="EF41" s="208">
        <v>0</v>
      </c>
      <c r="EG41" s="208">
        <v>0</v>
      </c>
      <c r="EH41" s="208">
        <v>3175</v>
      </c>
      <c r="EI41" s="208">
        <v>0</v>
      </c>
      <c r="EJ41" s="208">
        <v>3175</v>
      </c>
      <c r="EK41" s="208">
        <v>0</v>
      </c>
      <c r="EL41" s="208">
        <v>0</v>
      </c>
      <c r="EM41" s="208">
        <v>0</v>
      </c>
      <c r="EN41" s="208">
        <v>0</v>
      </c>
      <c r="EO41" s="208">
        <v>0</v>
      </c>
      <c r="EP41" s="208">
        <v>0</v>
      </c>
      <c r="EQ41" s="208">
        <v>0</v>
      </c>
      <c r="ER41" s="208">
        <v>0</v>
      </c>
      <c r="ES41" s="208">
        <v>0</v>
      </c>
      <c r="ET41" s="208">
        <v>0</v>
      </c>
      <c r="EU41" s="208">
        <v>0</v>
      </c>
      <c r="EV41" s="208">
        <v>0</v>
      </c>
      <c r="EW41" s="208">
        <v>-126815</v>
      </c>
      <c r="EX41" s="208">
        <v>0</v>
      </c>
      <c r="EY41" s="208">
        <v>-126815</v>
      </c>
      <c r="EZ41" s="208">
        <v>-157</v>
      </c>
      <c r="FA41" s="208">
        <v>0</v>
      </c>
      <c r="FB41" s="208">
        <v>-157</v>
      </c>
      <c r="FC41" s="208">
        <v>-258588</v>
      </c>
      <c r="FD41" s="208">
        <v>0</v>
      </c>
      <c r="FE41" s="208">
        <v>-258588</v>
      </c>
      <c r="FF41" s="208">
        <v>-301901</v>
      </c>
      <c r="FG41" s="208">
        <v>0</v>
      </c>
      <c r="FH41" s="208">
        <v>-301901</v>
      </c>
      <c r="FI41" s="208">
        <v>-36890</v>
      </c>
      <c r="FJ41" s="208">
        <v>0</v>
      </c>
      <c r="FK41" s="208">
        <v>-36890</v>
      </c>
      <c r="FL41" s="208">
        <v>208</v>
      </c>
      <c r="FM41" s="208">
        <v>0</v>
      </c>
      <c r="FN41" s="208">
        <v>208</v>
      </c>
      <c r="FO41" s="208">
        <v>0</v>
      </c>
      <c r="FP41" s="208">
        <v>0</v>
      </c>
      <c r="FQ41" s="208">
        <v>0</v>
      </c>
      <c r="FR41" s="208">
        <v>0</v>
      </c>
      <c r="FS41" s="208">
        <v>0</v>
      </c>
      <c r="FT41" s="208">
        <v>0</v>
      </c>
      <c r="FU41" s="208">
        <v>-718453</v>
      </c>
      <c r="FV41" s="208">
        <v>0</v>
      </c>
      <c r="FW41" s="208">
        <v>-718453</v>
      </c>
      <c r="FX41" s="208">
        <v>0</v>
      </c>
      <c r="FY41" s="208">
        <v>0</v>
      </c>
      <c r="FZ41" s="208">
        <v>0</v>
      </c>
      <c r="GA41" s="208">
        <v>0</v>
      </c>
      <c r="GB41" s="208">
        <v>0</v>
      </c>
      <c r="GC41" s="208">
        <v>0</v>
      </c>
      <c r="GD41" s="208">
        <v>0</v>
      </c>
      <c r="GE41" s="208">
        <v>0</v>
      </c>
      <c r="GF41" s="208">
        <v>0</v>
      </c>
      <c r="GG41" s="208">
        <v>116390766</v>
      </c>
      <c r="GH41" s="208">
        <v>0</v>
      </c>
      <c r="GI41" s="208">
        <v>116390766</v>
      </c>
      <c r="GJ41" s="208">
        <v>-3436241</v>
      </c>
      <c r="GK41" s="208">
        <v>0</v>
      </c>
      <c r="GL41" s="208">
        <v>-3436241</v>
      </c>
      <c r="GM41" s="208">
        <v>-15880180</v>
      </c>
      <c r="GN41" s="208">
        <v>0</v>
      </c>
      <c r="GO41" s="208">
        <v>-15880180</v>
      </c>
      <c r="GP41" s="208">
        <v>-3197287</v>
      </c>
      <c r="GQ41" s="208">
        <v>0</v>
      </c>
      <c r="GR41" s="208">
        <v>-3197287</v>
      </c>
      <c r="GS41" s="208">
        <v>-716868</v>
      </c>
      <c r="GT41" s="208">
        <v>0</v>
      </c>
      <c r="GU41" s="208">
        <v>-716868</v>
      </c>
      <c r="GV41" s="208">
        <v>-718453</v>
      </c>
      <c r="GW41" s="208">
        <v>0</v>
      </c>
      <c r="GX41" s="208">
        <v>-718453</v>
      </c>
      <c r="GY41" s="208">
        <v>0</v>
      </c>
      <c r="GZ41" s="208">
        <v>0</v>
      </c>
      <c r="HA41" s="208">
        <v>0</v>
      </c>
      <c r="HB41" s="208">
        <v>-23949029</v>
      </c>
      <c r="HC41" s="208">
        <v>0</v>
      </c>
      <c r="HD41" s="208">
        <v>-23949029</v>
      </c>
      <c r="HE41" s="208">
        <v>92441737</v>
      </c>
      <c r="HF41" s="208">
        <v>0</v>
      </c>
      <c r="HG41" s="208">
        <v>92441737</v>
      </c>
      <c r="HH41" s="187" t="s">
        <v>1055</v>
      </c>
    </row>
    <row r="42" spans="1:216" s="187" customFormat="1" x14ac:dyDescent="0.2">
      <c r="B42" s="429" t="s">
        <v>163</v>
      </c>
      <c r="C42" s="429" t="s">
        <v>162</v>
      </c>
      <c r="D42" s="208">
        <v>-510222</v>
      </c>
      <c r="E42" s="208">
        <v>0</v>
      </c>
      <c r="F42" s="208">
        <v>-510222</v>
      </c>
      <c r="G42" s="208">
        <v>-41820</v>
      </c>
      <c r="H42" s="208">
        <v>0</v>
      </c>
      <c r="I42" s="208">
        <v>-41820</v>
      </c>
      <c r="J42" s="208">
        <v>1150447</v>
      </c>
      <c r="K42" s="208">
        <v>0</v>
      </c>
      <c r="L42" s="208">
        <v>1150447</v>
      </c>
      <c r="M42" s="208">
        <v>-5481</v>
      </c>
      <c r="N42" s="208">
        <v>0</v>
      </c>
      <c r="O42" s="208">
        <v>-5481</v>
      </c>
      <c r="P42" s="208">
        <v>592924</v>
      </c>
      <c r="Q42" s="208">
        <v>0</v>
      </c>
      <c r="R42" s="208">
        <v>592924</v>
      </c>
      <c r="S42" s="208">
        <v>-3879300</v>
      </c>
      <c r="T42" s="208">
        <v>0</v>
      </c>
      <c r="U42" s="208">
        <v>-3879300</v>
      </c>
      <c r="V42" s="208">
        <v>0</v>
      </c>
      <c r="W42" s="208">
        <v>0</v>
      </c>
      <c r="X42" s="208">
        <v>0</v>
      </c>
      <c r="Y42" s="208">
        <v>-236520</v>
      </c>
      <c r="Z42" s="208">
        <v>0</v>
      </c>
      <c r="AA42" s="208">
        <v>-236520</v>
      </c>
      <c r="AB42" s="208">
        <v>-90270</v>
      </c>
      <c r="AC42" s="208">
        <v>0</v>
      </c>
      <c r="AD42" s="208">
        <v>-90270</v>
      </c>
      <c r="AE42" s="208">
        <v>-141028</v>
      </c>
      <c r="AF42" s="208">
        <v>0</v>
      </c>
      <c r="AG42" s="208">
        <v>-141028</v>
      </c>
      <c r="AH42" s="208">
        <v>0</v>
      </c>
      <c r="AI42" s="208">
        <v>0</v>
      </c>
      <c r="AJ42" s="208">
        <v>0</v>
      </c>
      <c r="AK42" s="208">
        <v>0</v>
      </c>
      <c r="AL42" s="208">
        <v>0</v>
      </c>
      <c r="AM42" s="208">
        <v>0</v>
      </c>
      <c r="AN42" s="208">
        <v>537500</v>
      </c>
      <c r="AO42" s="208">
        <v>0</v>
      </c>
      <c r="AP42" s="208">
        <v>537500</v>
      </c>
      <c r="AQ42" s="208">
        <v>-22420</v>
      </c>
      <c r="AR42" s="208">
        <v>0</v>
      </c>
      <c r="AS42" s="208">
        <v>-22420</v>
      </c>
      <c r="AT42" s="208">
        <v>-2404486</v>
      </c>
      <c r="AU42" s="208">
        <v>0</v>
      </c>
      <c r="AV42" s="208">
        <v>-2404486</v>
      </c>
      <c r="AW42" s="208">
        <v>232934</v>
      </c>
      <c r="AX42" s="208">
        <v>0</v>
      </c>
      <c r="AY42" s="208">
        <v>232934</v>
      </c>
      <c r="AZ42" s="208">
        <v>0</v>
      </c>
      <c r="BA42" s="208">
        <v>0</v>
      </c>
      <c r="BB42" s="208">
        <v>0</v>
      </c>
      <c r="BC42" s="208">
        <v>0</v>
      </c>
      <c r="BD42" s="208">
        <v>0</v>
      </c>
      <c r="BE42" s="208">
        <v>0</v>
      </c>
      <c r="BF42" s="208">
        <v>-1188</v>
      </c>
      <c r="BG42" s="208">
        <v>0</v>
      </c>
      <c r="BH42" s="208">
        <v>-1188</v>
      </c>
      <c r="BI42" s="208">
        <v>0</v>
      </c>
      <c r="BJ42" s="208">
        <v>0</v>
      </c>
      <c r="BK42" s="208">
        <v>0</v>
      </c>
      <c r="BL42" s="208">
        <v>-5773480</v>
      </c>
      <c r="BM42" s="208">
        <v>0</v>
      </c>
      <c r="BN42" s="208">
        <v>-5773480</v>
      </c>
      <c r="BO42" s="208">
        <v>0</v>
      </c>
      <c r="BP42" s="208">
        <v>0</v>
      </c>
      <c r="BQ42" s="208">
        <v>0</v>
      </c>
      <c r="BR42" s="208">
        <v>0</v>
      </c>
      <c r="BS42" s="208">
        <v>0</v>
      </c>
      <c r="BT42" s="208">
        <v>0</v>
      </c>
      <c r="BU42" s="208">
        <v>-1162859</v>
      </c>
      <c r="BV42" s="208">
        <v>0</v>
      </c>
      <c r="BW42" s="208">
        <v>-1162859</v>
      </c>
      <c r="BX42" s="208">
        <v>-153997</v>
      </c>
      <c r="BY42" s="208">
        <v>0</v>
      </c>
      <c r="BZ42" s="208">
        <v>-153997</v>
      </c>
      <c r="CA42" s="208">
        <v>-1316856</v>
      </c>
      <c r="CB42" s="208">
        <v>0</v>
      </c>
      <c r="CC42" s="208">
        <v>-1316856</v>
      </c>
      <c r="CD42" s="208">
        <v>-35509</v>
      </c>
      <c r="CE42" s="208">
        <v>0</v>
      </c>
      <c r="CF42" s="208">
        <v>-35509</v>
      </c>
      <c r="CG42" s="208">
        <v>0</v>
      </c>
      <c r="CH42" s="208">
        <v>0</v>
      </c>
      <c r="CI42" s="208">
        <v>0</v>
      </c>
      <c r="CJ42" s="208">
        <v>-52641</v>
      </c>
      <c r="CK42" s="208">
        <v>0</v>
      </c>
      <c r="CL42" s="208">
        <v>-52641</v>
      </c>
      <c r="CM42" s="208">
        <v>41076</v>
      </c>
      <c r="CN42" s="208">
        <v>0</v>
      </c>
      <c r="CO42" s="208">
        <v>41076</v>
      </c>
      <c r="CP42" s="208">
        <v>0</v>
      </c>
      <c r="CQ42" s="208">
        <v>0</v>
      </c>
      <c r="CR42" s="208">
        <v>0</v>
      </c>
      <c r="CS42" s="208">
        <v>0</v>
      </c>
      <c r="CT42" s="208">
        <v>0</v>
      </c>
      <c r="CU42" s="208">
        <v>0</v>
      </c>
      <c r="CV42" s="208">
        <v>0</v>
      </c>
      <c r="CW42" s="208">
        <v>0</v>
      </c>
      <c r="CX42" s="208">
        <v>0</v>
      </c>
      <c r="CY42" s="208">
        <v>0</v>
      </c>
      <c r="CZ42" s="208">
        <v>0</v>
      </c>
      <c r="DA42" s="208">
        <v>0</v>
      </c>
      <c r="DB42" s="208">
        <v>0</v>
      </c>
      <c r="DC42" s="208">
        <v>0</v>
      </c>
      <c r="DD42" s="208">
        <v>0</v>
      </c>
      <c r="DE42" s="208">
        <v>0</v>
      </c>
      <c r="DF42" s="208">
        <v>0</v>
      </c>
      <c r="DG42" s="208">
        <v>0</v>
      </c>
      <c r="DH42" s="208">
        <v>0</v>
      </c>
      <c r="DI42" s="208">
        <v>0</v>
      </c>
      <c r="DJ42" s="208">
        <v>0</v>
      </c>
      <c r="DK42" s="208">
        <v>0</v>
      </c>
      <c r="DL42" s="208">
        <v>0</v>
      </c>
      <c r="DM42" s="208">
        <v>0</v>
      </c>
      <c r="DN42" s="208">
        <v>0</v>
      </c>
      <c r="DO42" s="208">
        <v>0</v>
      </c>
      <c r="DP42" s="208">
        <v>-47074</v>
      </c>
      <c r="DQ42" s="208">
        <v>0</v>
      </c>
      <c r="DR42" s="208">
        <v>-47074</v>
      </c>
      <c r="DS42" s="208">
        <v>0</v>
      </c>
      <c r="DT42" s="208">
        <v>0</v>
      </c>
      <c r="DU42" s="208">
        <v>0</v>
      </c>
      <c r="DV42" s="208">
        <v>0</v>
      </c>
      <c r="DW42" s="208">
        <v>0</v>
      </c>
      <c r="DX42" s="208">
        <v>0</v>
      </c>
      <c r="DY42" s="208">
        <v>-1188</v>
      </c>
      <c r="DZ42" s="208">
        <v>0</v>
      </c>
      <c r="EA42" s="208">
        <v>-1188</v>
      </c>
      <c r="EB42" s="208">
        <v>0</v>
      </c>
      <c r="EC42" s="208">
        <v>0</v>
      </c>
      <c r="ED42" s="208">
        <v>0</v>
      </c>
      <c r="EE42" s="208">
        <v>0</v>
      </c>
      <c r="EF42" s="208">
        <v>0</v>
      </c>
      <c r="EG42" s="208">
        <v>0</v>
      </c>
      <c r="EH42" s="208">
        <v>0</v>
      </c>
      <c r="EI42" s="208">
        <v>0</v>
      </c>
      <c r="EJ42" s="208">
        <v>0</v>
      </c>
      <c r="EK42" s="208">
        <v>0</v>
      </c>
      <c r="EL42" s="208">
        <v>0</v>
      </c>
      <c r="EM42" s="208">
        <v>0</v>
      </c>
      <c r="EN42" s="208">
        <v>0</v>
      </c>
      <c r="EO42" s="208">
        <v>0</v>
      </c>
      <c r="EP42" s="208">
        <v>0</v>
      </c>
      <c r="EQ42" s="208">
        <v>0</v>
      </c>
      <c r="ER42" s="208">
        <v>0</v>
      </c>
      <c r="ES42" s="208">
        <v>0</v>
      </c>
      <c r="ET42" s="208">
        <v>0</v>
      </c>
      <c r="EU42" s="208">
        <v>0</v>
      </c>
      <c r="EV42" s="208">
        <v>0</v>
      </c>
      <c r="EW42" s="208">
        <v>-16604</v>
      </c>
      <c r="EX42" s="208">
        <v>0</v>
      </c>
      <c r="EY42" s="208">
        <v>-16604</v>
      </c>
      <c r="EZ42" s="208">
        <v>938</v>
      </c>
      <c r="FA42" s="208">
        <v>0</v>
      </c>
      <c r="FB42" s="208">
        <v>938</v>
      </c>
      <c r="FC42" s="208">
        <v>-21386</v>
      </c>
      <c r="FD42" s="208">
        <v>0</v>
      </c>
      <c r="FE42" s="208">
        <v>-21386</v>
      </c>
      <c r="FF42" s="208">
        <v>1072</v>
      </c>
      <c r="FG42" s="208">
        <v>0</v>
      </c>
      <c r="FH42" s="208">
        <v>1072</v>
      </c>
      <c r="FI42" s="208">
        <v>-35385</v>
      </c>
      <c r="FJ42" s="208">
        <v>0</v>
      </c>
      <c r="FK42" s="208">
        <v>-35385</v>
      </c>
      <c r="FL42" s="208">
        <v>882</v>
      </c>
      <c r="FM42" s="208">
        <v>0</v>
      </c>
      <c r="FN42" s="208">
        <v>882</v>
      </c>
      <c r="FO42" s="208">
        <v>0</v>
      </c>
      <c r="FP42" s="208">
        <v>0</v>
      </c>
      <c r="FQ42" s="208">
        <v>0</v>
      </c>
      <c r="FR42" s="208">
        <v>0</v>
      </c>
      <c r="FS42" s="208">
        <v>0</v>
      </c>
      <c r="FT42" s="208">
        <v>0</v>
      </c>
      <c r="FU42" s="208">
        <v>-71671</v>
      </c>
      <c r="FV42" s="208">
        <v>0</v>
      </c>
      <c r="FW42" s="208">
        <v>-71671</v>
      </c>
      <c r="FX42" s="208">
        <v>0</v>
      </c>
      <c r="FY42" s="208">
        <v>0</v>
      </c>
      <c r="FZ42" s="208">
        <v>0</v>
      </c>
      <c r="GA42" s="208">
        <v>0</v>
      </c>
      <c r="GB42" s="208">
        <v>0</v>
      </c>
      <c r="GC42" s="208">
        <v>0</v>
      </c>
      <c r="GD42" s="208">
        <v>0</v>
      </c>
      <c r="GE42" s="208">
        <v>0</v>
      </c>
      <c r="GF42" s="208">
        <v>0</v>
      </c>
      <c r="GG42" s="208">
        <v>31358977</v>
      </c>
      <c r="GH42" s="208">
        <v>0</v>
      </c>
      <c r="GI42" s="208">
        <v>31358977</v>
      </c>
      <c r="GJ42" s="208">
        <v>592924</v>
      </c>
      <c r="GK42" s="208">
        <v>0</v>
      </c>
      <c r="GL42" s="208">
        <v>592924</v>
      </c>
      <c r="GM42" s="208">
        <v>-5773480</v>
      </c>
      <c r="GN42" s="208">
        <v>0</v>
      </c>
      <c r="GO42" s="208">
        <v>-5773480</v>
      </c>
      <c r="GP42" s="208">
        <v>-1316856</v>
      </c>
      <c r="GQ42" s="208">
        <v>0</v>
      </c>
      <c r="GR42" s="208">
        <v>-1316856</v>
      </c>
      <c r="GS42" s="208">
        <v>-47074</v>
      </c>
      <c r="GT42" s="208">
        <v>0</v>
      </c>
      <c r="GU42" s="208">
        <v>-47074</v>
      </c>
      <c r="GV42" s="208">
        <v>-71671</v>
      </c>
      <c r="GW42" s="208">
        <v>0</v>
      </c>
      <c r="GX42" s="208">
        <v>-71671</v>
      </c>
      <c r="GY42" s="208">
        <v>0</v>
      </c>
      <c r="GZ42" s="208">
        <v>0</v>
      </c>
      <c r="HA42" s="208">
        <v>0</v>
      </c>
      <c r="HB42" s="208">
        <v>-6616157</v>
      </c>
      <c r="HC42" s="208">
        <v>0</v>
      </c>
      <c r="HD42" s="208">
        <v>-6616157</v>
      </c>
      <c r="HE42" s="208">
        <v>24742820</v>
      </c>
      <c r="HF42" s="208">
        <v>0</v>
      </c>
      <c r="HG42" s="208">
        <v>24742820</v>
      </c>
      <c r="HH42" s="187" t="s">
        <v>1054</v>
      </c>
    </row>
    <row r="43" spans="1:216" s="187" customFormat="1" x14ac:dyDescent="0.2">
      <c r="B43" s="429" t="s">
        <v>165</v>
      </c>
      <c r="C43" s="429" t="s">
        <v>164</v>
      </c>
      <c r="D43" s="208">
        <v>-579517</v>
      </c>
      <c r="E43" s="208">
        <v>0</v>
      </c>
      <c r="F43" s="208">
        <v>-579517</v>
      </c>
      <c r="G43" s="208">
        <v>69384</v>
      </c>
      <c r="H43" s="208">
        <v>0</v>
      </c>
      <c r="I43" s="208">
        <v>69384</v>
      </c>
      <c r="J43" s="208">
        <v>1639631</v>
      </c>
      <c r="K43" s="208">
        <v>0</v>
      </c>
      <c r="L43" s="208">
        <v>1639631</v>
      </c>
      <c r="M43" s="208">
        <v>-30306</v>
      </c>
      <c r="N43" s="208">
        <v>0</v>
      </c>
      <c r="O43" s="208">
        <v>-30306</v>
      </c>
      <c r="P43" s="208">
        <v>1099192</v>
      </c>
      <c r="Q43" s="208">
        <v>0</v>
      </c>
      <c r="R43" s="208">
        <v>1099192</v>
      </c>
      <c r="S43" s="208">
        <v>-2817581</v>
      </c>
      <c r="T43" s="208">
        <v>0</v>
      </c>
      <c r="U43" s="208">
        <v>-2817581</v>
      </c>
      <c r="V43" s="208">
        <v>0</v>
      </c>
      <c r="W43" s="208">
        <v>0</v>
      </c>
      <c r="X43" s="208">
        <v>0</v>
      </c>
      <c r="Y43" s="208">
        <v>-134791</v>
      </c>
      <c r="Z43" s="208">
        <v>0</v>
      </c>
      <c r="AA43" s="208">
        <v>-134791</v>
      </c>
      <c r="AB43" s="208">
        <v>-32</v>
      </c>
      <c r="AC43" s="208">
        <v>0</v>
      </c>
      <c r="AD43" s="208">
        <v>-32</v>
      </c>
      <c r="AE43" s="208">
        <v>-100</v>
      </c>
      <c r="AF43" s="208">
        <v>0</v>
      </c>
      <c r="AG43" s="208">
        <v>-100</v>
      </c>
      <c r="AH43" s="208">
        <v>0</v>
      </c>
      <c r="AI43" s="208">
        <v>0</v>
      </c>
      <c r="AJ43" s="208">
        <v>0</v>
      </c>
      <c r="AK43" s="208">
        <v>0</v>
      </c>
      <c r="AL43" s="208">
        <v>0</v>
      </c>
      <c r="AM43" s="208">
        <v>0</v>
      </c>
      <c r="AN43" s="208">
        <v>934202</v>
      </c>
      <c r="AO43" s="208">
        <v>0</v>
      </c>
      <c r="AP43" s="208">
        <v>934202</v>
      </c>
      <c r="AQ43" s="208">
        <v>-7855</v>
      </c>
      <c r="AR43" s="208">
        <v>0</v>
      </c>
      <c r="AS43" s="208">
        <v>-7855</v>
      </c>
      <c r="AT43" s="208">
        <v>-2381016</v>
      </c>
      <c r="AU43" s="208">
        <v>0</v>
      </c>
      <c r="AV43" s="208">
        <v>-2381016</v>
      </c>
      <c r="AW43" s="208">
        <v>-50522</v>
      </c>
      <c r="AX43" s="208">
        <v>0</v>
      </c>
      <c r="AY43" s="208">
        <v>-50522</v>
      </c>
      <c r="AZ43" s="208">
        <v>-44908</v>
      </c>
      <c r="BA43" s="208">
        <v>0</v>
      </c>
      <c r="BB43" s="208">
        <v>-44908</v>
      </c>
      <c r="BC43" s="208">
        <v>0</v>
      </c>
      <c r="BD43" s="208">
        <v>0</v>
      </c>
      <c r="BE43" s="208">
        <v>0</v>
      </c>
      <c r="BF43" s="208">
        <v>0</v>
      </c>
      <c r="BG43" s="208">
        <v>0</v>
      </c>
      <c r="BH43" s="208">
        <v>0</v>
      </c>
      <c r="BI43" s="208">
        <v>0</v>
      </c>
      <c r="BJ43" s="208">
        <v>0</v>
      </c>
      <c r="BK43" s="208">
        <v>0</v>
      </c>
      <c r="BL43" s="208">
        <v>-4502471</v>
      </c>
      <c r="BM43" s="208">
        <v>0</v>
      </c>
      <c r="BN43" s="208">
        <v>-4502471</v>
      </c>
      <c r="BO43" s="208">
        <v>0</v>
      </c>
      <c r="BP43" s="208">
        <v>0</v>
      </c>
      <c r="BQ43" s="208">
        <v>0</v>
      </c>
      <c r="BR43" s="208">
        <v>0</v>
      </c>
      <c r="BS43" s="208">
        <v>0</v>
      </c>
      <c r="BT43" s="208">
        <v>0</v>
      </c>
      <c r="BU43" s="208">
        <v>-1487950</v>
      </c>
      <c r="BV43" s="208">
        <v>0</v>
      </c>
      <c r="BW43" s="208">
        <v>-1487950</v>
      </c>
      <c r="BX43" s="208">
        <v>-162201</v>
      </c>
      <c r="BY43" s="208">
        <v>0</v>
      </c>
      <c r="BZ43" s="208">
        <v>-162201</v>
      </c>
      <c r="CA43" s="208">
        <v>-1650151</v>
      </c>
      <c r="CB43" s="208">
        <v>0</v>
      </c>
      <c r="CC43" s="208">
        <v>-1650151</v>
      </c>
      <c r="CD43" s="208">
        <v>-50597</v>
      </c>
      <c r="CE43" s="208">
        <v>0</v>
      </c>
      <c r="CF43" s="208">
        <v>-50597</v>
      </c>
      <c r="CG43" s="208">
        <v>337</v>
      </c>
      <c r="CH43" s="208">
        <v>0</v>
      </c>
      <c r="CI43" s="208">
        <v>337</v>
      </c>
      <c r="CJ43" s="208">
        <v>-6016</v>
      </c>
      <c r="CK43" s="208">
        <v>0</v>
      </c>
      <c r="CL43" s="208">
        <v>-6016</v>
      </c>
      <c r="CM43" s="208">
        <v>0</v>
      </c>
      <c r="CN43" s="208">
        <v>0</v>
      </c>
      <c r="CO43" s="208">
        <v>0</v>
      </c>
      <c r="CP43" s="208">
        <v>-10353</v>
      </c>
      <c r="CQ43" s="208">
        <v>0</v>
      </c>
      <c r="CR43" s="208">
        <v>-10353</v>
      </c>
      <c r="CS43" s="208">
        <v>0</v>
      </c>
      <c r="CT43" s="208">
        <v>0</v>
      </c>
      <c r="CU43" s="208">
        <v>0</v>
      </c>
      <c r="CV43" s="208">
        <v>0</v>
      </c>
      <c r="CW43" s="208">
        <v>0</v>
      </c>
      <c r="CX43" s="208">
        <v>0</v>
      </c>
      <c r="CY43" s="208">
        <v>0</v>
      </c>
      <c r="CZ43" s="208">
        <v>0</v>
      </c>
      <c r="DA43" s="208">
        <v>0</v>
      </c>
      <c r="DB43" s="208">
        <v>0</v>
      </c>
      <c r="DC43" s="208">
        <v>0</v>
      </c>
      <c r="DD43" s="208">
        <v>0</v>
      </c>
      <c r="DE43" s="208">
        <v>0</v>
      </c>
      <c r="DF43" s="208">
        <v>0</v>
      </c>
      <c r="DG43" s="208">
        <v>0</v>
      </c>
      <c r="DH43" s="208">
        <v>0</v>
      </c>
      <c r="DI43" s="208">
        <v>0</v>
      </c>
      <c r="DJ43" s="208">
        <v>0</v>
      </c>
      <c r="DK43" s="208">
        <v>0</v>
      </c>
      <c r="DL43" s="208">
        <v>0</v>
      </c>
      <c r="DM43" s="208">
        <v>0</v>
      </c>
      <c r="DN43" s="208">
        <v>0</v>
      </c>
      <c r="DO43" s="208">
        <v>0</v>
      </c>
      <c r="DP43" s="208">
        <v>-66629</v>
      </c>
      <c r="DQ43" s="208">
        <v>0</v>
      </c>
      <c r="DR43" s="208">
        <v>-66629</v>
      </c>
      <c r="DS43" s="208">
        <v>0</v>
      </c>
      <c r="DT43" s="208">
        <v>0</v>
      </c>
      <c r="DU43" s="208">
        <v>0</v>
      </c>
      <c r="DV43" s="208">
        <v>0</v>
      </c>
      <c r="DW43" s="208">
        <v>0</v>
      </c>
      <c r="DX43" s="208">
        <v>0</v>
      </c>
      <c r="DY43" s="208">
        <v>0</v>
      </c>
      <c r="DZ43" s="208">
        <v>0</v>
      </c>
      <c r="EA43" s="208">
        <v>0</v>
      </c>
      <c r="EB43" s="208">
        <v>0</v>
      </c>
      <c r="EC43" s="208">
        <v>0</v>
      </c>
      <c r="ED43" s="208">
        <v>0</v>
      </c>
      <c r="EE43" s="208">
        <v>0</v>
      </c>
      <c r="EF43" s="208">
        <v>0</v>
      </c>
      <c r="EG43" s="208">
        <v>0</v>
      </c>
      <c r="EH43" s="208">
        <v>0</v>
      </c>
      <c r="EI43" s="208">
        <v>0</v>
      </c>
      <c r="EJ43" s="208">
        <v>0</v>
      </c>
      <c r="EK43" s="208">
        <v>0</v>
      </c>
      <c r="EL43" s="208">
        <v>0</v>
      </c>
      <c r="EM43" s="208">
        <v>0</v>
      </c>
      <c r="EN43" s="208">
        <v>0</v>
      </c>
      <c r="EO43" s="208">
        <v>0</v>
      </c>
      <c r="EP43" s="208">
        <v>0</v>
      </c>
      <c r="EQ43" s="208">
        <v>0</v>
      </c>
      <c r="ER43" s="208">
        <v>0</v>
      </c>
      <c r="ES43" s="208">
        <v>0</v>
      </c>
      <c r="ET43" s="208">
        <v>0</v>
      </c>
      <c r="EU43" s="208">
        <v>0</v>
      </c>
      <c r="EV43" s="208">
        <v>0</v>
      </c>
      <c r="EW43" s="208">
        <v>-16371</v>
      </c>
      <c r="EX43" s="208">
        <v>0</v>
      </c>
      <c r="EY43" s="208">
        <v>-16371</v>
      </c>
      <c r="EZ43" s="208">
        <v>4288</v>
      </c>
      <c r="FA43" s="208">
        <v>0</v>
      </c>
      <c r="FB43" s="208">
        <v>4288</v>
      </c>
      <c r="FC43" s="208">
        <v>-19190</v>
      </c>
      <c r="FD43" s="208">
        <v>0</v>
      </c>
      <c r="FE43" s="208">
        <v>-19190</v>
      </c>
      <c r="FF43" s="208">
        <v>-360</v>
      </c>
      <c r="FG43" s="208">
        <v>0</v>
      </c>
      <c r="FH43" s="208">
        <v>-360</v>
      </c>
      <c r="FI43" s="208">
        <v>-23013</v>
      </c>
      <c r="FJ43" s="208">
        <v>0</v>
      </c>
      <c r="FK43" s="208">
        <v>-23013</v>
      </c>
      <c r="FL43" s="208">
        <v>0</v>
      </c>
      <c r="FM43" s="208">
        <v>0</v>
      </c>
      <c r="FN43" s="208">
        <v>0</v>
      </c>
      <c r="FO43" s="208">
        <v>0</v>
      </c>
      <c r="FP43" s="208">
        <v>0</v>
      </c>
      <c r="FQ43" s="208">
        <v>0</v>
      </c>
      <c r="FR43" s="208">
        <v>0</v>
      </c>
      <c r="FS43" s="208">
        <v>0</v>
      </c>
      <c r="FT43" s="208">
        <v>0</v>
      </c>
      <c r="FU43" s="208">
        <v>-54646</v>
      </c>
      <c r="FV43" s="208">
        <v>0</v>
      </c>
      <c r="FW43" s="208">
        <v>-54646</v>
      </c>
      <c r="FX43" s="208">
        <v>0</v>
      </c>
      <c r="FY43" s="208">
        <v>0</v>
      </c>
      <c r="FZ43" s="208">
        <v>0</v>
      </c>
      <c r="GA43" s="208">
        <v>0</v>
      </c>
      <c r="GB43" s="208">
        <v>0</v>
      </c>
      <c r="GC43" s="208">
        <v>0</v>
      </c>
      <c r="GD43" s="208">
        <v>0</v>
      </c>
      <c r="GE43" s="208">
        <v>0</v>
      </c>
      <c r="GF43" s="208">
        <v>0</v>
      </c>
      <c r="GG43" s="208">
        <v>45619321</v>
      </c>
      <c r="GH43" s="208">
        <v>0</v>
      </c>
      <c r="GI43" s="208">
        <v>45619321</v>
      </c>
      <c r="GJ43" s="208">
        <v>1099192</v>
      </c>
      <c r="GK43" s="208">
        <v>0</v>
      </c>
      <c r="GL43" s="208">
        <v>1099192</v>
      </c>
      <c r="GM43" s="208">
        <v>-4502471</v>
      </c>
      <c r="GN43" s="208">
        <v>0</v>
      </c>
      <c r="GO43" s="208">
        <v>-4502471</v>
      </c>
      <c r="GP43" s="208">
        <v>-1650151</v>
      </c>
      <c r="GQ43" s="208">
        <v>0</v>
      </c>
      <c r="GR43" s="208">
        <v>-1650151</v>
      </c>
      <c r="GS43" s="208">
        <v>-66629</v>
      </c>
      <c r="GT43" s="208">
        <v>0</v>
      </c>
      <c r="GU43" s="208">
        <v>-66629</v>
      </c>
      <c r="GV43" s="208">
        <v>-54646</v>
      </c>
      <c r="GW43" s="208">
        <v>0</v>
      </c>
      <c r="GX43" s="208">
        <v>-54646</v>
      </c>
      <c r="GY43" s="208">
        <v>0</v>
      </c>
      <c r="GZ43" s="208">
        <v>0</v>
      </c>
      <c r="HA43" s="208">
        <v>0</v>
      </c>
      <c r="HB43" s="208">
        <v>-5174705</v>
      </c>
      <c r="HC43" s="208">
        <v>0</v>
      </c>
      <c r="HD43" s="208">
        <v>-5174705</v>
      </c>
      <c r="HE43" s="208">
        <v>40444616</v>
      </c>
      <c r="HF43" s="208">
        <v>0</v>
      </c>
      <c r="HG43" s="208">
        <v>40444616</v>
      </c>
      <c r="HH43" s="187" t="s">
        <v>1054</v>
      </c>
    </row>
    <row r="44" spans="1:216" s="187" customFormat="1" x14ac:dyDescent="0.2">
      <c r="B44" s="429" t="s">
        <v>167</v>
      </c>
      <c r="C44" s="429" t="s">
        <v>166</v>
      </c>
      <c r="D44" s="208">
        <v>-756969</v>
      </c>
      <c r="E44" s="208">
        <v>0</v>
      </c>
      <c r="F44" s="208">
        <v>-756969</v>
      </c>
      <c r="G44" s="208">
        <v>-17618</v>
      </c>
      <c r="H44" s="208">
        <v>0</v>
      </c>
      <c r="I44" s="208">
        <v>-17618</v>
      </c>
      <c r="J44" s="208">
        <v>193632</v>
      </c>
      <c r="K44" s="208">
        <v>17645</v>
      </c>
      <c r="L44" s="208">
        <v>211277</v>
      </c>
      <c r="M44" s="208">
        <v>-90372</v>
      </c>
      <c r="N44" s="208">
        <v>0</v>
      </c>
      <c r="O44" s="208">
        <v>-90372</v>
      </c>
      <c r="P44" s="208">
        <v>-671327</v>
      </c>
      <c r="Q44" s="208">
        <v>17645</v>
      </c>
      <c r="R44" s="208">
        <v>-653682</v>
      </c>
      <c r="S44" s="208">
        <v>-2635925</v>
      </c>
      <c r="T44" s="208">
        <v>0</v>
      </c>
      <c r="U44" s="208">
        <v>-2635925</v>
      </c>
      <c r="V44" s="208">
        <v>0</v>
      </c>
      <c r="W44" s="208">
        <v>0</v>
      </c>
      <c r="X44" s="208">
        <v>0</v>
      </c>
      <c r="Y44" s="208">
        <v>-56568</v>
      </c>
      <c r="Z44" s="208">
        <v>0</v>
      </c>
      <c r="AA44" s="208">
        <v>-56568</v>
      </c>
      <c r="AB44" s="208">
        <v>-13811</v>
      </c>
      <c r="AC44" s="208">
        <v>0</v>
      </c>
      <c r="AD44" s="208">
        <v>-13811</v>
      </c>
      <c r="AE44" s="208">
        <v>-39192</v>
      </c>
      <c r="AF44" s="208">
        <v>0</v>
      </c>
      <c r="AG44" s="208">
        <v>-39192</v>
      </c>
      <c r="AH44" s="208">
        <v>0</v>
      </c>
      <c r="AI44" s="208">
        <v>0</v>
      </c>
      <c r="AJ44" s="208">
        <v>0</v>
      </c>
      <c r="AK44" s="208">
        <v>0</v>
      </c>
      <c r="AL44" s="208">
        <v>0</v>
      </c>
      <c r="AM44" s="208">
        <v>0</v>
      </c>
      <c r="AN44" s="208">
        <v>596761</v>
      </c>
      <c r="AO44" s="208">
        <v>10082</v>
      </c>
      <c r="AP44" s="208">
        <v>606843</v>
      </c>
      <c r="AQ44" s="208">
        <v>-8358</v>
      </c>
      <c r="AR44" s="208">
        <v>-5493</v>
      </c>
      <c r="AS44" s="208">
        <v>-13851</v>
      </c>
      <c r="AT44" s="208">
        <v>-1509239</v>
      </c>
      <c r="AU44" s="208">
        <v>0</v>
      </c>
      <c r="AV44" s="208">
        <v>-1509239</v>
      </c>
      <c r="AW44" s="208">
        <v>-17103</v>
      </c>
      <c r="AX44" s="208">
        <v>0</v>
      </c>
      <c r="AY44" s="208">
        <v>-17103</v>
      </c>
      <c r="AZ44" s="208">
        <v>0</v>
      </c>
      <c r="BA44" s="208">
        <v>0</v>
      </c>
      <c r="BB44" s="208">
        <v>0</v>
      </c>
      <c r="BC44" s="208">
        <v>0</v>
      </c>
      <c r="BD44" s="208">
        <v>0</v>
      </c>
      <c r="BE44" s="208">
        <v>0</v>
      </c>
      <c r="BF44" s="208">
        <v>-2359</v>
      </c>
      <c r="BG44" s="208">
        <v>0</v>
      </c>
      <c r="BH44" s="208">
        <v>-2359</v>
      </c>
      <c r="BI44" s="208">
        <v>0</v>
      </c>
      <c r="BJ44" s="208">
        <v>0</v>
      </c>
      <c r="BK44" s="208">
        <v>0</v>
      </c>
      <c r="BL44" s="208">
        <v>-3632791</v>
      </c>
      <c r="BM44" s="208">
        <v>4589</v>
      </c>
      <c r="BN44" s="208">
        <v>-3628202</v>
      </c>
      <c r="BO44" s="208">
        <v>0</v>
      </c>
      <c r="BP44" s="208">
        <v>0</v>
      </c>
      <c r="BQ44" s="208">
        <v>0</v>
      </c>
      <c r="BR44" s="208">
        <v>0</v>
      </c>
      <c r="BS44" s="208">
        <v>0</v>
      </c>
      <c r="BT44" s="208">
        <v>0</v>
      </c>
      <c r="BU44" s="208">
        <v>-744186</v>
      </c>
      <c r="BV44" s="208">
        <v>0</v>
      </c>
      <c r="BW44" s="208">
        <v>-744186</v>
      </c>
      <c r="BX44" s="208">
        <v>2217</v>
      </c>
      <c r="BY44" s="208">
        <v>16079</v>
      </c>
      <c r="BZ44" s="208">
        <v>18296</v>
      </c>
      <c r="CA44" s="208">
        <v>-741969</v>
      </c>
      <c r="CB44" s="208">
        <v>16079</v>
      </c>
      <c r="CC44" s="208">
        <v>-725890</v>
      </c>
      <c r="CD44" s="208">
        <v>-74076</v>
      </c>
      <c r="CE44" s="208">
        <v>0</v>
      </c>
      <c r="CF44" s="208">
        <v>-74076</v>
      </c>
      <c r="CG44" s="208">
        <v>-2880</v>
      </c>
      <c r="CH44" s="208">
        <v>0</v>
      </c>
      <c r="CI44" s="208">
        <v>-2880</v>
      </c>
      <c r="CJ44" s="208">
        <v>-13875</v>
      </c>
      <c r="CK44" s="208">
        <v>0</v>
      </c>
      <c r="CL44" s="208">
        <v>-13875</v>
      </c>
      <c r="CM44" s="208">
        <v>0</v>
      </c>
      <c r="CN44" s="208">
        <v>0</v>
      </c>
      <c r="CO44" s="208">
        <v>0</v>
      </c>
      <c r="CP44" s="208">
        <v>0</v>
      </c>
      <c r="CQ44" s="208">
        <v>0</v>
      </c>
      <c r="CR44" s="208">
        <v>0</v>
      </c>
      <c r="CS44" s="208">
        <v>0</v>
      </c>
      <c r="CT44" s="208">
        <v>0</v>
      </c>
      <c r="CU44" s="208">
        <v>0</v>
      </c>
      <c r="CV44" s="208">
        <v>-2359</v>
      </c>
      <c r="CW44" s="208">
        <v>0</v>
      </c>
      <c r="CX44" s="208">
        <v>-2359</v>
      </c>
      <c r="CY44" s="208">
        <v>0</v>
      </c>
      <c r="CZ44" s="208">
        <v>0</v>
      </c>
      <c r="DA44" s="208">
        <v>0</v>
      </c>
      <c r="DB44" s="208">
        <v>0</v>
      </c>
      <c r="DC44" s="208">
        <v>0</v>
      </c>
      <c r="DD44" s="208">
        <v>0</v>
      </c>
      <c r="DE44" s="208">
        <v>0</v>
      </c>
      <c r="DF44" s="208">
        <v>0</v>
      </c>
      <c r="DG44" s="208">
        <v>0</v>
      </c>
      <c r="DH44" s="208">
        <v>0</v>
      </c>
      <c r="DI44" s="208">
        <v>-110000</v>
      </c>
      <c r="DJ44" s="208">
        <v>-110000</v>
      </c>
      <c r="DK44" s="208">
        <v>0</v>
      </c>
      <c r="DL44" s="208">
        <v>0</v>
      </c>
      <c r="DM44" s="208">
        <v>0</v>
      </c>
      <c r="DN44" s="208">
        <v>-110000</v>
      </c>
      <c r="DO44" s="208">
        <v>0</v>
      </c>
      <c r="DP44" s="208">
        <v>-93190</v>
      </c>
      <c r="DQ44" s="208">
        <v>-110000</v>
      </c>
      <c r="DR44" s="208">
        <v>-203190</v>
      </c>
      <c r="DS44" s="208">
        <v>0</v>
      </c>
      <c r="DT44" s="208">
        <v>0</v>
      </c>
      <c r="DU44" s="208">
        <v>0</v>
      </c>
      <c r="DV44" s="208">
        <v>0</v>
      </c>
      <c r="DW44" s="208">
        <v>0</v>
      </c>
      <c r="DX44" s="208">
        <v>0</v>
      </c>
      <c r="DY44" s="208">
        <v>0</v>
      </c>
      <c r="DZ44" s="208">
        <v>0</v>
      </c>
      <c r="EA44" s="208">
        <v>0</v>
      </c>
      <c r="EB44" s="208">
        <v>0</v>
      </c>
      <c r="EC44" s="208">
        <v>0</v>
      </c>
      <c r="ED44" s="208">
        <v>0</v>
      </c>
      <c r="EE44" s="208">
        <v>0</v>
      </c>
      <c r="EF44" s="208">
        <v>0</v>
      </c>
      <c r="EG44" s="208">
        <v>0</v>
      </c>
      <c r="EH44" s="208">
        <v>0</v>
      </c>
      <c r="EI44" s="208">
        <v>0</v>
      </c>
      <c r="EJ44" s="208">
        <v>0</v>
      </c>
      <c r="EK44" s="208">
        <v>0</v>
      </c>
      <c r="EL44" s="208">
        <v>0</v>
      </c>
      <c r="EM44" s="208">
        <v>0</v>
      </c>
      <c r="EN44" s="208">
        <v>0</v>
      </c>
      <c r="EO44" s="208">
        <v>0</v>
      </c>
      <c r="EP44" s="208">
        <v>0</v>
      </c>
      <c r="EQ44" s="208">
        <v>0</v>
      </c>
      <c r="ER44" s="208">
        <v>0</v>
      </c>
      <c r="ES44" s="208">
        <v>0</v>
      </c>
      <c r="ET44" s="208">
        <v>0</v>
      </c>
      <c r="EU44" s="208">
        <v>0</v>
      </c>
      <c r="EV44" s="208">
        <v>0</v>
      </c>
      <c r="EW44" s="208">
        <v>-9166</v>
      </c>
      <c r="EX44" s="208">
        <v>0</v>
      </c>
      <c r="EY44" s="208">
        <v>-9166</v>
      </c>
      <c r="EZ44" s="208">
        <v>0</v>
      </c>
      <c r="FA44" s="208">
        <v>0</v>
      </c>
      <c r="FB44" s="208">
        <v>0</v>
      </c>
      <c r="FC44" s="208">
        <v>-46305</v>
      </c>
      <c r="FD44" s="208">
        <v>0</v>
      </c>
      <c r="FE44" s="208">
        <v>-46305</v>
      </c>
      <c r="FF44" s="208">
        <v>3284</v>
      </c>
      <c r="FG44" s="208">
        <v>0</v>
      </c>
      <c r="FH44" s="208">
        <v>3284</v>
      </c>
      <c r="FI44" s="208">
        <v>-32380</v>
      </c>
      <c r="FJ44" s="208">
        <v>0</v>
      </c>
      <c r="FK44" s="208">
        <v>-32380</v>
      </c>
      <c r="FL44" s="208">
        <v>-427</v>
      </c>
      <c r="FM44" s="208">
        <v>0</v>
      </c>
      <c r="FN44" s="208">
        <v>-427</v>
      </c>
      <c r="FO44" s="208">
        <v>0</v>
      </c>
      <c r="FP44" s="208">
        <v>0</v>
      </c>
      <c r="FQ44" s="208">
        <v>0</v>
      </c>
      <c r="FR44" s="208">
        <v>0</v>
      </c>
      <c r="FS44" s="208">
        <v>0</v>
      </c>
      <c r="FT44" s="208">
        <v>0</v>
      </c>
      <c r="FU44" s="208">
        <v>-84994</v>
      </c>
      <c r="FV44" s="208">
        <v>0</v>
      </c>
      <c r="FW44" s="208">
        <v>-84994</v>
      </c>
      <c r="FX44" s="208">
        <v>0</v>
      </c>
      <c r="FY44" s="208">
        <v>0</v>
      </c>
      <c r="FZ44" s="208">
        <v>0</v>
      </c>
      <c r="GA44" s="208">
        <v>0</v>
      </c>
      <c r="GB44" s="208">
        <v>0</v>
      </c>
      <c r="GC44" s="208">
        <v>0</v>
      </c>
      <c r="GD44" s="208">
        <v>0</v>
      </c>
      <c r="GE44" s="208">
        <v>0</v>
      </c>
      <c r="GF44" s="208">
        <v>0</v>
      </c>
      <c r="GG44" s="208">
        <v>31022048</v>
      </c>
      <c r="GH44" s="208">
        <v>183155</v>
      </c>
      <c r="GI44" s="208">
        <v>31205203</v>
      </c>
      <c r="GJ44" s="208">
        <v>-671327</v>
      </c>
      <c r="GK44" s="208">
        <v>17645</v>
      </c>
      <c r="GL44" s="208">
        <v>-653682</v>
      </c>
      <c r="GM44" s="208">
        <v>-3632791</v>
      </c>
      <c r="GN44" s="208">
        <v>4589</v>
      </c>
      <c r="GO44" s="208">
        <v>-3628202</v>
      </c>
      <c r="GP44" s="208">
        <v>-741969</v>
      </c>
      <c r="GQ44" s="208">
        <v>16079</v>
      </c>
      <c r="GR44" s="208">
        <v>-725890</v>
      </c>
      <c r="GS44" s="208">
        <v>-93190</v>
      </c>
      <c r="GT44" s="208">
        <v>-110000</v>
      </c>
      <c r="GU44" s="208">
        <v>-203190</v>
      </c>
      <c r="GV44" s="208">
        <v>-84994</v>
      </c>
      <c r="GW44" s="208">
        <v>0</v>
      </c>
      <c r="GX44" s="208">
        <v>-84994</v>
      </c>
      <c r="GY44" s="208">
        <v>0</v>
      </c>
      <c r="GZ44" s="208">
        <v>0</v>
      </c>
      <c r="HA44" s="208">
        <v>0</v>
      </c>
      <c r="HB44" s="208">
        <v>-5224271</v>
      </c>
      <c r="HC44" s="208">
        <v>-71687</v>
      </c>
      <c r="HD44" s="208">
        <v>-5295958</v>
      </c>
      <c r="HE44" s="208">
        <v>25797777</v>
      </c>
      <c r="HF44" s="208">
        <v>111468</v>
      </c>
      <c r="HG44" s="208">
        <v>25909245</v>
      </c>
      <c r="HH44" s="187" t="s">
        <v>1054</v>
      </c>
    </row>
    <row r="45" spans="1:216" s="187" customFormat="1" x14ac:dyDescent="0.2">
      <c r="B45" s="429" t="s">
        <v>169</v>
      </c>
      <c r="C45" s="429" t="s">
        <v>168</v>
      </c>
      <c r="D45" s="208">
        <v>-599080</v>
      </c>
      <c r="E45" s="208">
        <v>0</v>
      </c>
      <c r="F45" s="208">
        <v>-599080</v>
      </c>
      <c r="G45" s="208">
        <v>-537</v>
      </c>
      <c r="H45" s="208">
        <v>0</v>
      </c>
      <c r="I45" s="208">
        <v>-537</v>
      </c>
      <c r="J45" s="208">
        <v>1409852</v>
      </c>
      <c r="K45" s="208">
        <v>0</v>
      </c>
      <c r="L45" s="208">
        <v>1409852</v>
      </c>
      <c r="M45" s="208">
        <v>-55176</v>
      </c>
      <c r="N45" s="208">
        <v>0</v>
      </c>
      <c r="O45" s="208">
        <v>-55176</v>
      </c>
      <c r="P45" s="208">
        <v>755059</v>
      </c>
      <c r="Q45" s="208">
        <v>0</v>
      </c>
      <c r="R45" s="208">
        <v>755059</v>
      </c>
      <c r="S45" s="208">
        <v>-3850372</v>
      </c>
      <c r="T45" s="208">
        <v>0</v>
      </c>
      <c r="U45" s="208">
        <v>-3850372</v>
      </c>
      <c r="V45" s="208">
        <v>-12669</v>
      </c>
      <c r="W45" s="208">
        <v>0</v>
      </c>
      <c r="X45" s="208">
        <v>-12669</v>
      </c>
      <c r="Y45" s="208">
        <v>-71807</v>
      </c>
      <c r="Z45" s="208">
        <v>0</v>
      </c>
      <c r="AA45" s="208">
        <v>-71807</v>
      </c>
      <c r="AB45" s="208">
        <v>-13846</v>
      </c>
      <c r="AC45" s="208">
        <v>0</v>
      </c>
      <c r="AD45" s="208">
        <v>-13846</v>
      </c>
      <c r="AE45" s="208">
        <v>-57284</v>
      </c>
      <c r="AF45" s="208">
        <v>0</v>
      </c>
      <c r="AG45" s="208">
        <v>-57284</v>
      </c>
      <c r="AH45" s="208">
        <v>-777</v>
      </c>
      <c r="AI45" s="208">
        <v>0</v>
      </c>
      <c r="AJ45" s="208">
        <v>-777</v>
      </c>
      <c r="AK45" s="208">
        <v>1509.5</v>
      </c>
      <c r="AL45" s="208">
        <v>0</v>
      </c>
      <c r="AM45" s="208">
        <v>1509.5</v>
      </c>
      <c r="AN45" s="208">
        <v>672422</v>
      </c>
      <c r="AO45" s="208">
        <v>0</v>
      </c>
      <c r="AP45" s="208">
        <v>672422</v>
      </c>
      <c r="AQ45" s="208">
        <v>-7330</v>
      </c>
      <c r="AR45" s="208">
        <v>0</v>
      </c>
      <c r="AS45" s="208">
        <v>-7330</v>
      </c>
      <c r="AT45" s="208">
        <v>-2290898</v>
      </c>
      <c r="AU45" s="208">
        <v>0</v>
      </c>
      <c r="AV45" s="208">
        <v>-2290898</v>
      </c>
      <c r="AW45" s="208">
        <v>52894</v>
      </c>
      <c r="AX45" s="208">
        <v>0</v>
      </c>
      <c r="AY45" s="208">
        <v>52894</v>
      </c>
      <c r="AZ45" s="208">
        <v>-24036</v>
      </c>
      <c r="BA45" s="208">
        <v>0</v>
      </c>
      <c r="BB45" s="208">
        <v>-24036</v>
      </c>
      <c r="BC45" s="208">
        <v>0</v>
      </c>
      <c r="BD45" s="208">
        <v>0</v>
      </c>
      <c r="BE45" s="208">
        <v>0</v>
      </c>
      <c r="BF45" s="208">
        <v>-819</v>
      </c>
      <c r="BG45" s="208">
        <v>0</v>
      </c>
      <c r="BH45" s="208">
        <v>-819</v>
      </c>
      <c r="BI45" s="208">
        <v>0</v>
      </c>
      <c r="BJ45" s="208">
        <v>0</v>
      </c>
      <c r="BK45" s="208">
        <v>0</v>
      </c>
      <c r="BL45" s="208">
        <v>-5519946</v>
      </c>
      <c r="BM45" s="208">
        <v>0</v>
      </c>
      <c r="BN45" s="208">
        <v>-5519946</v>
      </c>
      <c r="BO45" s="208">
        <v>-8360</v>
      </c>
      <c r="BP45" s="208">
        <v>0</v>
      </c>
      <c r="BQ45" s="208">
        <v>-8360</v>
      </c>
      <c r="BR45" s="208">
        <v>0</v>
      </c>
      <c r="BS45" s="208">
        <v>0</v>
      </c>
      <c r="BT45" s="208">
        <v>0</v>
      </c>
      <c r="BU45" s="208">
        <v>-1383194</v>
      </c>
      <c r="BV45" s="208">
        <v>0</v>
      </c>
      <c r="BW45" s="208">
        <v>-1383194</v>
      </c>
      <c r="BX45" s="208">
        <v>-49443</v>
      </c>
      <c r="BY45" s="208">
        <v>0</v>
      </c>
      <c r="BZ45" s="208">
        <v>-49443</v>
      </c>
      <c r="CA45" s="208">
        <v>-1440997</v>
      </c>
      <c r="CB45" s="208">
        <v>0</v>
      </c>
      <c r="CC45" s="208">
        <v>-1440997</v>
      </c>
      <c r="CD45" s="208">
        <v>-101680</v>
      </c>
      <c r="CE45" s="208">
        <v>0</v>
      </c>
      <c r="CF45" s="208">
        <v>-101680</v>
      </c>
      <c r="CG45" s="208">
        <v>-3908</v>
      </c>
      <c r="CH45" s="208">
        <v>0</v>
      </c>
      <c r="CI45" s="208">
        <v>-3908</v>
      </c>
      <c r="CJ45" s="208">
        <v>-108689</v>
      </c>
      <c r="CK45" s="208">
        <v>0</v>
      </c>
      <c r="CL45" s="208">
        <v>-108689</v>
      </c>
      <c r="CM45" s="208">
        <v>-127</v>
      </c>
      <c r="CN45" s="208">
        <v>0</v>
      </c>
      <c r="CO45" s="208">
        <v>-127</v>
      </c>
      <c r="CP45" s="208">
        <v>0</v>
      </c>
      <c r="CQ45" s="208">
        <v>0</v>
      </c>
      <c r="CR45" s="208">
        <v>0</v>
      </c>
      <c r="CS45" s="208">
        <v>0</v>
      </c>
      <c r="CT45" s="208">
        <v>0</v>
      </c>
      <c r="CU45" s="208">
        <v>0</v>
      </c>
      <c r="CV45" s="208">
        <v>0</v>
      </c>
      <c r="CW45" s="208">
        <v>0</v>
      </c>
      <c r="CX45" s="208">
        <v>0</v>
      </c>
      <c r="CY45" s="208">
        <v>0</v>
      </c>
      <c r="CZ45" s="208">
        <v>0</v>
      </c>
      <c r="DA45" s="208">
        <v>0</v>
      </c>
      <c r="DB45" s="208">
        <v>0</v>
      </c>
      <c r="DC45" s="208">
        <v>0</v>
      </c>
      <c r="DD45" s="208">
        <v>0</v>
      </c>
      <c r="DE45" s="208">
        <v>0</v>
      </c>
      <c r="DF45" s="208">
        <v>0</v>
      </c>
      <c r="DG45" s="208">
        <v>0</v>
      </c>
      <c r="DH45" s="208">
        <v>-17683</v>
      </c>
      <c r="DI45" s="208">
        <v>0</v>
      </c>
      <c r="DJ45" s="208">
        <v>-17683</v>
      </c>
      <c r="DK45" s="208">
        <v>0</v>
      </c>
      <c r="DL45" s="208">
        <v>0</v>
      </c>
      <c r="DM45" s="208">
        <v>0</v>
      </c>
      <c r="DN45" s="208">
        <v>0</v>
      </c>
      <c r="DO45" s="208">
        <v>0</v>
      </c>
      <c r="DP45" s="208">
        <v>-232087</v>
      </c>
      <c r="DQ45" s="208">
        <v>0</v>
      </c>
      <c r="DR45" s="208">
        <v>-232087</v>
      </c>
      <c r="DS45" s="208">
        <v>0</v>
      </c>
      <c r="DT45" s="208">
        <v>0</v>
      </c>
      <c r="DU45" s="208">
        <v>0</v>
      </c>
      <c r="DV45" s="208">
        <v>0</v>
      </c>
      <c r="DW45" s="208">
        <v>0</v>
      </c>
      <c r="DX45" s="208">
        <v>0</v>
      </c>
      <c r="DY45" s="208">
        <v>0</v>
      </c>
      <c r="DZ45" s="208">
        <v>0</v>
      </c>
      <c r="EA45" s="208">
        <v>0</v>
      </c>
      <c r="EB45" s="208">
        <v>0</v>
      </c>
      <c r="EC45" s="208">
        <v>0</v>
      </c>
      <c r="ED45" s="208">
        <v>0</v>
      </c>
      <c r="EE45" s="208">
        <v>0</v>
      </c>
      <c r="EF45" s="208">
        <v>0</v>
      </c>
      <c r="EG45" s="208">
        <v>0</v>
      </c>
      <c r="EH45" s="208">
        <v>0</v>
      </c>
      <c r="EI45" s="208">
        <v>0</v>
      </c>
      <c r="EJ45" s="208">
        <v>0</v>
      </c>
      <c r="EK45" s="208">
        <v>0</v>
      </c>
      <c r="EL45" s="208">
        <v>0</v>
      </c>
      <c r="EM45" s="208">
        <v>0</v>
      </c>
      <c r="EN45" s="208">
        <v>0</v>
      </c>
      <c r="EO45" s="208">
        <v>0</v>
      </c>
      <c r="EP45" s="208">
        <v>0</v>
      </c>
      <c r="EQ45" s="208">
        <v>0</v>
      </c>
      <c r="ER45" s="208">
        <v>0</v>
      </c>
      <c r="ES45" s="208">
        <v>0</v>
      </c>
      <c r="ET45" s="208">
        <v>0</v>
      </c>
      <c r="EU45" s="208">
        <v>0</v>
      </c>
      <c r="EV45" s="208">
        <v>0</v>
      </c>
      <c r="EW45" s="208">
        <v>-10452</v>
      </c>
      <c r="EX45" s="208">
        <v>0</v>
      </c>
      <c r="EY45" s="208">
        <v>-10452</v>
      </c>
      <c r="EZ45" s="208">
        <v>0</v>
      </c>
      <c r="FA45" s="208">
        <v>0</v>
      </c>
      <c r="FB45" s="208">
        <v>0</v>
      </c>
      <c r="FC45" s="208">
        <v>-38680</v>
      </c>
      <c r="FD45" s="208">
        <v>0</v>
      </c>
      <c r="FE45" s="208">
        <v>-38680</v>
      </c>
      <c r="FF45" s="208">
        <v>141</v>
      </c>
      <c r="FG45" s="208">
        <v>0</v>
      </c>
      <c r="FH45" s="208">
        <v>141</v>
      </c>
      <c r="FI45" s="208">
        <v>-26447</v>
      </c>
      <c r="FJ45" s="208">
        <v>0</v>
      </c>
      <c r="FK45" s="208">
        <v>-26447</v>
      </c>
      <c r="FL45" s="208">
        <v>1178</v>
      </c>
      <c r="FM45" s="208">
        <v>0</v>
      </c>
      <c r="FN45" s="208">
        <v>1178</v>
      </c>
      <c r="FO45" s="208">
        <v>0</v>
      </c>
      <c r="FP45" s="208">
        <v>0</v>
      </c>
      <c r="FQ45" s="208">
        <v>0</v>
      </c>
      <c r="FR45" s="208">
        <v>0</v>
      </c>
      <c r="FS45" s="208">
        <v>0</v>
      </c>
      <c r="FT45" s="208">
        <v>0</v>
      </c>
      <c r="FU45" s="208">
        <v>-74260</v>
      </c>
      <c r="FV45" s="208">
        <v>0</v>
      </c>
      <c r="FW45" s="208">
        <v>-74260</v>
      </c>
      <c r="FX45" s="208">
        <v>-2001</v>
      </c>
      <c r="FY45" s="208">
        <v>0</v>
      </c>
      <c r="FZ45" s="208">
        <v>-2001</v>
      </c>
      <c r="GA45" s="208">
        <v>0</v>
      </c>
      <c r="GB45" s="208">
        <v>0</v>
      </c>
      <c r="GC45" s="208">
        <v>0</v>
      </c>
      <c r="GD45" s="208">
        <v>-2001</v>
      </c>
      <c r="GE45" s="208">
        <v>0</v>
      </c>
      <c r="GF45" s="208">
        <v>-2001</v>
      </c>
      <c r="GG45" s="208">
        <v>35483282</v>
      </c>
      <c r="GH45" s="208">
        <v>0</v>
      </c>
      <c r="GI45" s="208">
        <v>35483282</v>
      </c>
      <c r="GJ45" s="208">
        <v>755059</v>
      </c>
      <c r="GK45" s="208">
        <v>0</v>
      </c>
      <c r="GL45" s="208">
        <v>755059</v>
      </c>
      <c r="GM45" s="208">
        <v>-5519946</v>
      </c>
      <c r="GN45" s="208">
        <v>0</v>
      </c>
      <c r="GO45" s="208">
        <v>-5519946</v>
      </c>
      <c r="GP45" s="208">
        <v>-1440997</v>
      </c>
      <c r="GQ45" s="208">
        <v>0</v>
      </c>
      <c r="GR45" s="208">
        <v>-1440997</v>
      </c>
      <c r="GS45" s="208">
        <v>-232087</v>
      </c>
      <c r="GT45" s="208">
        <v>0</v>
      </c>
      <c r="GU45" s="208">
        <v>-232087</v>
      </c>
      <c r="GV45" s="208">
        <v>-74260</v>
      </c>
      <c r="GW45" s="208">
        <v>0</v>
      </c>
      <c r="GX45" s="208">
        <v>-74260</v>
      </c>
      <c r="GY45" s="208">
        <v>-2001</v>
      </c>
      <c r="GZ45" s="208">
        <v>0</v>
      </c>
      <c r="HA45" s="208">
        <v>-2001</v>
      </c>
      <c r="HB45" s="208">
        <v>-6514232</v>
      </c>
      <c r="HC45" s="208">
        <v>0</v>
      </c>
      <c r="HD45" s="208">
        <v>-6514232</v>
      </c>
      <c r="HE45" s="208">
        <v>28969050</v>
      </c>
      <c r="HF45" s="208">
        <v>0</v>
      </c>
      <c r="HG45" s="208">
        <v>28969050</v>
      </c>
      <c r="HH45" s="187" t="s">
        <v>1054</v>
      </c>
    </row>
    <row r="46" spans="1:216" s="187" customFormat="1" x14ac:dyDescent="0.2">
      <c r="B46" s="429" t="s">
        <v>171</v>
      </c>
      <c r="C46" s="429" t="s">
        <v>170</v>
      </c>
      <c r="D46" s="208">
        <v>-1223982</v>
      </c>
      <c r="E46" s="208">
        <v>0</v>
      </c>
      <c r="F46" s="208">
        <v>-1223982</v>
      </c>
      <c r="G46" s="208">
        <v>45722</v>
      </c>
      <c r="H46" s="208">
        <v>0</v>
      </c>
      <c r="I46" s="208">
        <v>45722</v>
      </c>
      <c r="J46" s="208">
        <v>2237052</v>
      </c>
      <c r="K46" s="208">
        <v>0</v>
      </c>
      <c r="L46" s="208">
        <v>2237052</v>
      </c>
      <c r="M46" s="208">
        <v>20670</v>
      </c>
      <c r="N46" s="208">
        <v>0</v>
      </c>
      <c r="O46" s="208">
        <v>20670</v>
      </c>
      <c r="P46" s="208">
        <v>1079462</v>
      </c>
      <c r="Q46" s="208">
        <v>0</v>
      </c>
      <c r="R46" s="208">
        <v>1079462</v>
      </c>
      <c r="S46" s="208">
        <v>-7634127</v>
      </c>
      <c r="T46" s="208">
        <v>0</v>
      </c>
      <c r="U46" s="208">
        <v>-7634127</v>
      </c>
      <c r="V46" s="208">
        <v>-10241</v>
      </c>
      <c r="W46" s="208">
        <v>0</v>
      </c>
      <c r="X46" s="208">
        <v>-10241</v>
      </c>
      <c r="Y46" s="208">
        <v>-278442</v>
      </c>
      <c r="Z46" s="208">
        <v>0</v>
      </c>
      <c r="AA46" s="208">
        <v>-278442</v>
      </c>
      <c r="AB46" s="208">
        <v>-54577</v>
      </c>
      <c r="AC46" s="208">
        <v>0</v>
      </c>
      <c r="AD46" s="208">
        <v>-54577</v>
      </c>
      <c r="AE46" s="208">
        <v>-215949</v>
      </c>
      <c r="AF46" s="208">
        <v>0</v>
      </c>
      <c r="AG46" s="208">
        <v>-215949</v>
      </c>
      <c r="AH46" s="208">
        <v>230</v>
      </c>
      <c r="AI46" s="208">
        <v>0</v>
      </c>
      <c r="AJ46" s="208">
        <v>230</v>
      </c>
      <c r="AK46" s="208">
        <v>0</v>
      </c>
      <c r="AL46" s="208">
        <v>0</v>
      </c>
      <c r="AM46" s="208">
        <v>0</v>
      </c>
      <c r="AN46" s="208">
        <v>1079351</v>
      </c>
      <c r="AO46" s="208">
        <v>0</v>
      </c>
      <c r="AP46" s="208">
        <v>1079351</v>
      </c>
      <c r="AQ46" s="208">
        <v>-9090</v>
      </c>
      <c r="AR46" s="208">
        <v>0</v>
      </c>
      <c r="AS46" s="208">
        <v>-9090</v>
      </c>
      <c r="AT46" s="208">
        <v>-2866657</v>
      </c>
      <c r="AU46" s="208">
        <v>0</v>
      </c>
      <c r="AV46" s="208">
        <v>-2866657</v>
      </c>
      <c r="AW46" s="208">
        <v>-70601</v>
      </c>
      <c r="AX46" s="208">
        <v>0</v>
      </c>
      <c r="AY46" s="208">
        <v>-70601</v>
      </c>
      <c r="AZ46" s="208">
        <v>-113641</v>
      </c>
      <c r="BA46" s="208">
        <v>0</v>
      </c>
      <c r="BB46" s="208">
        <v>-113641</v>
      </c>
      <c r="BC46" s="208">
        <v>0</v>
      </c>
      <c r="BD46" s="208">
        <v>0</v>
      </c>
      <c r="BE46" s="208">
        <v>0</v>
      </c>
      <c r="BF46" s="208">
        <v>-1553</v>
      </c>
      <c r="BG46" s="208">
        <v>0</v>
      </c>
      <c r="BH46" s="208">
        <v>-1553</v>
      </c>
      <c r="BI46" s="208">
        <v>0</v>
      </c>
      <c r="BJ46" s="208">
        <v>0</v>
      </c>
      <c r="BK46" s="208">
        <v>0</v>
      </c>
      <c r="BL46" s="208">
        <v>-9894760</v>
      </c>
      <c r="BM46" s="208">
        <v>0</v>
      </c>
      <c r="BN46" s="208">
        <v>-9894760</v>
      </c>
      <c r="BO46" s="208">
        <v>0</v>
      </c>
      <c r="BP46" s="208">
        <v>0</v>
      </c>
      <c r="BQ46" s="208">
        <v>0</v>
      </c>
      <c r="BR46" s="208">
        <v>0</v>
      </c>
      <c r="BS46" s="208">
        <v>0</v>
      </c>
      <c r="BT46" s="208">
        <v>0</v>
      </c>
      <c r="BU46" s="208">
        <v>-1539931</v>
      </c>
      <c r="BV46" s="208">
        <v>0</v>
      </c>
      <c r="BW46" s="208">
        <v>-1539931</v>
      </c>
      <c r="BX46" s="208">
        <v>-283448</v>
      </c>
      <c r="BY46" s="208">
        <v>0</v>
      </c>
      <c r="BZ46" s="208">
        <v>-283448</v>
      </c>
      <c r="CA46" s="208">
        <v>-1823379</v>
      </c>
      <c r="CB46" s="208">
        <v>0</v>
      </c>
      <c r="CC46" s="208">
        <v>-1823379</v>
      </c>
      <c r="CD46" s="208">
        <v>-394595</v>
      </c>
      <c r="CE46" s="208">
        <v>0</v>
      </c>
      <c r="CF46" s="208">
        <v>-394595</v>
      </c>
      <c r="CG46" s="208">
        <v>682</v>
      </c>
      <c r="CH46" s="208">
        <v>0</v>
      </c>
      <c r="CI46" s="208">
        <v>682</v>
      </c>
      <c r="CJ46" s="208">
        <v>-50608</v>
      </c>
      <c r="CK46" s="208">
        <v>0</v>
      </c>
      <c r="CL46" s="208">
        <v>-50608</v>
      </c>
      <c r="CM46" s="208">
        <v>-976</v>
      </c>
      <c r="CN46" s="208">
        <v>0</v>
      </c>
      <c r="CO46" s="208">
        <v>-976</v>
      </c>
      <c r="CP46" s="208">
        <v>-28404</v>
      </c>
      <c r="CQ46" s="208">
        <v>0</v>
      </c>
      <c r="CR46" s="208">
        <v>-28404</v>
      </c>
      <c r="CS46" s="208">
        <v>0</v>
      </c>
      <c r="CT46" s="208">
        <v>0</v>
      </c>
      <c r="CU46" s="208">
        <v>0</v>
      </c>
      <c r="CV46" s="208">
        <v>-1553</v>
      </c>
      <c r="CW46" s="208">
        <v>0</v>
      </c>
      <c r="CX46" s="208">
        <v>-1553</v>
      </c>
      <c r="CY46" s="208">
        <v>0</v>
      </c>
      <c r="CZ46" s="208">
        <v>0</v>
      </c>
      <c r="DA46" s="208">
        <v>0</v>
      </c>
      <c r="DB46" s="208">
        <v>0</v>
      </c>
      <c r="DC46" s="208">
        <v>0</v>
      </c>
      <c r="DD46" s="208">
        <v>0</v>
      </c>
      <c r="DE46" s="208">
        <v>0</v>
      </c>
      <c r="DF46" s="208">
        <v>0</v>
      </c>
      <c r="DG46" s="208">
        <v>0</v>
      </c>
      <c r="DH46" s="208">
        <v>0</v>
      </c>
      <c r="DI46" s="208">
        <v>0</v>
      </c>
      <c r="DJ46" s="208">
        <v>0</v>
      </c>
      <c r="DK46" s="208">
        <v>0</v>
      </c>
      <c r="DL46" s="208">
        <v>0</v>
      </c>
      <c r="DM46" s="208">
        <v>0</v>
      </c>
      <c r="DN46" s="208">
        <v>0</v>
      </c>
      <c r="DO46" s="208">
        <v>0</v>
      </c>
      <c r="DP46" s="208">
        <v>-475454</v>
      </c>
      <c r="DQ46" s="208">
        <v>0</v>
      </c>
      <c r="DR46" s="208">
        <v>-475454</v>
      </c>
      <c r="DS46" s="208">
        <v>5020</v>
      </c>
      <c r="DT46" s="208">
        <v>0</v>
      </c>
      <c r="DU46" s="208">
        <v>5020</v>
      </c>
      <c r="DV46" s="208">
        <v>0</v>
      </c>
      <c r="DW46" s="208">
        <v>0</v>
      </c>
      <c r="DX46" s="208">
        <v>0</v>
      </c>
      <c r="DY46" s="208">
        <v>-370</v>
      </c>
      <c r="DZ46" s="208">
        <v>0</v>
      </c>
      <c r="EA46" s="208">
        <v>-370</v>
      </c>
      <c r="EB46" s="208">
        <v>0</v>
      </c>
      <c r="EC46" s="208">
        <v>0</v>
      </c>
      <c r="ED46" s="208">
        <v>0</v>
      </c>
      <c r="EE46" s="208">
        <v>11936</v>
      </c>
      <c r="EF46" s="208">
        <v>0</v>
      </c>
      <c r="EG46" s="208">
        <v>11936</v>
      </c>
      <c r="EH46" s="208">
        <v>213</v>
      </c>
      <c r="EI46" s="208">
        <v>0</v>
      </c>
      <c r="EJ46" s="208">
        <v>213</v>
      </c>
      <c r="EK46" s="208">
        <v>-1553</v>
      </c>
      <c r="EL46" s="208">
        <v>0</v>
      </c>
      <c r="EM46" s="208">
        <v>-1553</v>
      </c>
      <c r="EN46" s="208">
        <v>0</v>
      </c>
      <c r="EO46" s="208">
        <v>0</v>
      </c>
      <c r="EP46" s="208">
        <v>0</v>
      </c>
      <c r="EQ46" s="208">
        <v>0</v>
      </c>
      <c r="ER46" s="208">
        <v>0</v>
      </c>
      <c r="ES46" s="208">
        <v>0</v>
      </c>
      <c r="ET46" s="208">
        <v>0</v>
      </c>
      <c r="EU46" s="208">
        <v>0</v>
      </c>
      <c r="EV46" s="208">
        <v>0</v>
      </c>
      <c r="EW46" s="208">
        <v>-36531</v>
      </c>
      <c r="EX46" s="208">
        <v>0</v>
      </c>
      <c r="EY46" s="208">
        <v>-36531</v>
      </c>
      <c r="EZ46" s="208">
        <v>641</v>
      </c>
      <c r="FA46" s="208">
        <v>0</v>
      </c>
      <c r="FB46" s="208">
        <v>641</v>
      </c>
      <c r="FC46" s="208">
        <v>-184000</v>
      </c>
      <c r="FD46" s="208">
        <v>0</v>
      </c>
      <c r="FE46" s="208">
        <v>-184000</v>
      </c>
      <c r="FF46" s="208">
        <v>7934</v>
      </c>
      <c r="FG46" s="208">
        <v>0</v>
      </c>
      <c r="FH46" s="208">
        <v>7934</v>
      </c>
      <c r="FI46" s="208">
        <v>-66191</v>
      </c>
      <c r="FJ46" s="208">
        <v>0</v>
      </c>
      <c r="FK46" s="208">
        <v>-66191</v>
      </c>
      <c r="FL46" s="208">
        <v>2586</v>
      </c>
      <c r="FM46" s="208">
        <v>0</v>
      </c>
      <c r="FN46" s="208">
        <v>2586</v>
      </c>
      <c r="FO46" s="208">
        <v>0</v>
      </c>
      <c r="FP46" s="208">
        <v>0</v>
      </c>
      <c r="FQ46" s="208">
        <v>0</v>
      </c>
      <c r="FR46" s="208">
        <v>0</v>
      </c>
      <c r="FS46" s="208">
        <v>0</v>
      </c>
      <c r="FT46" s="208">
        <v>0</v>
      </c>
      <c r="FU46" s="208">
        <v>-260315</v>
      </c>
      <c r="FV46" s="208">
        <v>0</v>
      </c>
      <c r="FW46" s="208">
        <v>-260315</v>
      </c>
      <c r="FX46" s="208">
        <v>0</v>
      </c>
      <c r="FY46" s="208">
        <v>0</v>
      </c>
      <c r="FZ46" s="208">
        <v>0</v>
      </c>
      <c r="GA46" s="208">
        <v>-1859</v>
      </c>
      <c r="GB46" s="208">
        <v>0</v>
      </c>
      <c r="GC46" s="208">
        <v>-1859</v>
      </c>
      <c r="GD46" s="208">
        <v>-1859</v>
      </c>
      <c r="GE46" s="208">
        <v>0</v>
      </c>
      <c r="GF46" s="208">
        <v>-1859</v>
      </c>
      <c r="GG46" s="208">
        <v>62490208</v>
      </c>
      <c r="GH46" s="208">
        <v>0</v>
      </c>
      <c r="GI46" s="208">
        <v>62490208</v>
      </c>
      <c r="GJ46" s="208">
        <v>1079462</v>
      </c>
      <c r="GK46" s="208">
        <v>0</v>
      </c>
      <c r="GL46" s="208">
        <v>1079462</v>
      </c>
      <c r="GM46" s="208">
        <v>-9894760</v>
      </c>
      <c r="GN46" s="208">
        <v>0</v>
      </c>
      <c r="GO46" s="208">
        <v>-9894760</v>
      </c>
      <c r="GP46" s="208">
        <v>-1823379</v>
      </c>
      <c r="GQ46" s="208">
        <v>0</v>
      </c>
      <c r="GR46" s="208">
        <v>-1823379</v>
      </c>
      <c r="GS46" s="208">
        <v>-475454</v>
      </c>
      <c r="GT46" s="208">
        <v>0</v>
      </c>
      <c r="GU46" s="208">
        <v>-475454</v>
      </c>
      <c r="GV46" s="208">
        <v>-260315</v>
      </c>
      <c r="GW46" s="208">
        <v>0</v>
      </c>
      <c r="GX46" s="208">
        <v>-260315</v>
      </c>
      <c r="GY46" s="208">
        <v>-1859</v>
      </c>
      <c r="GZ46" s="208">
        <v>0</v>
      </c>
      <c r="HA46" s="208">
        <v>-1859</v>
      </c>
      <c r="HB46" s="208">
        <v>-11376305</v>
      </c>
      <c r="HC46" s="208">
        <v>0</v>
      </c>
      <c r="HD46" s="208">
        <v>-11376305</v>
      </c>
      <c r="HE46" s="208">
        <v>51113903</v>
      </c>
      <c r="HF46" s="208">
        <v>0</v>
      </c>
      <c r="HG46" s="208">
        <v>51113903</v>
      </c>
      <c r="HH46" s="187" t="s">
        <v>1056</v>
      </c>
    </row>
    <row r="47" spans="1:216" s="187" customFormat="1" x14ac:dyDescent="0.2">
      <c r="B47" s="429" t="s">
        <v>173</v>
      </c>
      <c r="C47" s="429" t="s">
        <v>172</v>
      </c>
      <c r="D47" s="208">
        <v>-1402444</v>
      </c>
      <c r="E47" s="208">
        <v>0</v>
      </c>
      <c r="F47" s="208">
        <v>-1402444</v>
      </c>
      <c r="G47" s="208">
        <v>-28521</v>
      </c>
      <c r="H47" s="208">
        <v>0</v>
      </c>
      <c r="I47" s="208">
        <v>-28521</v>
      </c>
      <c r="J47" s="208">
        <v>1683382</v>
      </c>
      <c r="K47" s="208">
        <v>0</v>
      </c>
      <c r="L47" s="208">
        <v>1683382</v>
      </c>
      <c r="M47" s="208">
        <v>-19018</v>
      </c>
      <c r="N47" s="208">
        <v>0</v>
      </c>
      <c r="O47" s="208">
        <v>-19018</v>
      </c>
      <c r="P47" s="208">
        <v>233399</v>
      </c>
      <c r="Q47" s="208">
        <v>0</v>
      </c>
      <c r="R47" s="208">
        <v>233399</v>
      </c>
      <c r="S47" s="208">
        <v>-10805217</v>
      </c>
      <c r="T47" s="208">
        <v>0</v>
      </c>
      <c r="U47" s="208">
        <v>-10805217</v>
      </c>
      <c r="V47" s="208">
        <v>0</v>
      </c>
      <c r="W47" s="208">
        <v>0</v>
      </c>
      <c r="X47" s="208">
        <v>0</v>
      </c>
      <c r="Y47" s="208">
        <v>-497271</v>
      </c>
      <c r="Z47" s="208">
        <v>0</v>
      </c>
      <c r="AA47" s="208">
        <v>-497271</v>
      </c>
      <c r="AB47" s="208">
        <v>-123201</v>
      </c>
      <c r="AC47" s="208">
        <v>0</v>
      </c>
      <c r="AD47" s="208">
        <v>-123201</v>
      </c>
      <c r="AE47" s="208">
        <v>-357981</v>
      </c>
      <c r="AF47" s="208">
        <v>0</v>
      </c>
      <c r="AG47" s="208">
        <v>-357981</v>
      </c>
      <c r="AH47" s="208">
        <v>0</v>
      </c>
      <c r="AI47" s="208">
        <v>0</v>
      </c>
      <c r="AJ47" s="208">
        <v>0</v>
      </c>
      <c r="AK47" s="208">
        <v>0</v>
      </c>
      <c r="AL47" s="208">
        <v>0</v>
      </c>
      <c r="AM47" s="208">
        <v>0</v>
      </c>
      <c r="AN47" s="208">
        <v>1246495</v>
      </c>
      <c r="AO47" s="208">
        <v>0</v>
      </c>
      <c r="AP47" s="208">
        <v>1246495</v>
      </c>
      <c r="AQ47" s="208">
        <v>-22926</v>
      </c>
      <c r="AR47" s="208">
        <v>0</v>
      </c>
      <c r="AS47" s="208">
        <v>-22926</v>
      </c>
      <c r="AT47" s="208">
        <v>-4491936</v>
      </c>
      <c r="AU47" s="208">
        <v>0</v>
      </c>
      <c r="AV47" s="208">
        <v>-4491936</v>
      </c>
      <c r="AW47" s="208">
        <v>22630</v>
      </c>
      <c r="AX47" s="208">
        <v>0</v>
      </c>
      <c r="AY47" s="208">
        <v>22630</v>
      </c>
      <c r="AZ47" s="208">
        <v>-182037</v>
      </c>
      <c r="BA47" s="208">
        <v>0</v>
      </c>
      <c r="BB47" s="208">
        <v>-182037</v>
      </c>
      <c r="BC47" s="208">
        <v>0</v>
      </c>
      <c r="BD47" s="208">
        <v>0</v>
      </c>
      <c r="BE47" s="208">
        <v>0</v>
      </c>
      <c r="BF47" s="208">
        <v>-6537</v>
      </c>
      <c r="BG47" s="208">
        <v>0</v>
      </c>
      <c r="BH47" s="208">
        <v>-6537</v>
      </c>
      <c r="BI47" s="208">
        <v>52</v>
      </c>
      <c r="BJ47" s="208">
        <v>0</v>
      </c>
      <c r="BK47" s="208">
        <v>52</v>
      </c>
      <c r="BL47" s="208">
        <v>-14736747</v>
      </c>
      <c r="BM47" s="208">
        <v>0</v>
      </c>
      <c r="BN47" s="208">
        <v>-14736747</v>
      </c>
      <c r="BO47" s="208">
        <v>-9559</v>
      </c>
      <c r="BP47" s="208">
        <v>0</v>
      </c>
      <c r="BQ47" s="208">
        <v>-9559</v>
      </c>
      <c r="BR47" s="208">
        <v>-1453</v>
      </c>
      <c r="BS47" s="208">
        <v>0</v>
      </c>
      <c r="BT47" s="208">
        <v>-1453</v>
      </c>
      <c r="BU47" s="208">
        <v>-2806723</v>
      </c>
      <c r="BV47" s="208">
        <v>0</v>
      </c>
      <c r="BW47" s="208">
        <v>-2806723</v>
      </c>
      <c r="BX47" s="208">
        <v>-118143</v>
      </c>
      <c r="BY47" s="208">
        <v>0</v>
      </c>
      <c r="BZ47" s="208">
        <v>-118143</v>
      </c>
      <c r="CA47" s="208">
        <v>-2935878</v>
      </c>
      <c r="CB47" s="208">
        <v>0</v>
      </c>
      <c r="CC47" s="208">
        <v>-2935878</v>
      </c>
      <c r="CD47" s="208">
        <v>-270454</v>
      </c>
      <c r="CE47" s="208">
        <v>0</v>
      </c>
      <c r="CF47" s="208">
        <v>-270454</v>
      </c>
      <c r="CG47" s="208">
        <v>-2277</v>
      </c>
      <c r="CH47" s="208">
        <v>0</v>
      </c>
      <c r="CI47" s="208">
        <v>-2277</v>
      </c>
      <c r="CJ47" s="208">
        <v>-165021</v>
      </c>
      <c r="CK47" s="208">
        <v>0</v>
      </c>
      <c r="CL47" s="208">
        <v>-165021</v>
      </c>
      <c r="CM47" s="208">
        <v>7063</v>
      </c>
      <c r="CN47" s="208">
        <v>0</v>
      </c>
      <c r="CO47" s="208">
        <v>7063</v>
      </c>
      <c r="CP47" s="208">
        <v>0</v>
      </c>
      <c r="CQ47" s="208">
        <v>0</v>
      </c>
      <c r="CR47" s="208">
        <v>0</v>
      </c>
      <c r="CS47" s="208">
        <v>0</v>
      </c>
      <c r="CT47" s="208">
        <v>0</v>
      </c>
      <c r="CU47" s="208">
        <v>0</v>
      </c>
      <c r="CV47" s="208">
        <v>0</v>
      </c>
      <c r="CW47" s="208">
        <v>0</v>
      </c>
      <c r="CX47" s="208">
        <v>0</v>
      </c>
      <c r="CY47" s="208">
        <v>0</v>
      </c>
      <c r="CZ47" s="208">
        <v>0</v>
      </c>
      <c r="DA47" s="208">
        <v>0</v>
      </c>
      <c r="DB47" s="208">
        <v>0</v>
      </c>
      <c r="DC47" s="208">
        <v>0</v>
      </c>
      <c r="DD47" s="208">
        <v>0</v>
      </c>
      <c r="DE47" s="208">
        <v>0</v>
      </c>
      <c r="DF47" s="208">
        <v>0</v>
      </c>
      <c r="DG47" s="208">
        <v>0</v>
      </c>
      <c r="DH47" s="208">
        <v>-29724</v>
      </c>
      <c r="DI47" s="208">
        <v>0</v>
      </c>
      <c r="DJ47" s="208">
        <v>-29724</v>
      </c>
      <c r="DK47" s="208">
        <v>0</v>
      </c>
      <c r="DL47" s="208">
        <v>0</v>
      </c>
      <c r="DM47" s="208">
        <v>0</v>
      </c>
      <c r="DN47" s="208">
        <v>0</v>
      </c>
      <c r="DO47" s="208">
        <v>0</v>
      </c>
      <c r="DP47" s="208">
        <v>-460413</v>
      </c>
      <c r="DQ47" s="208">
        <v>0</v>
      </c>
      <c r="DR47" s="208">
        <v>-460413</v>
      </c>
      <c r="DS47" s="208">
        <v>0</v>
      </c>
      <c r="DT47" s="208">
        <v>0</v>
      </c>
      <c r="DU47" s="208">
        <v>0</v>
      </c>
      <c r="DV47" s="208">
        <v>0</v>
      </c>
      <c r="DW47" s="208">
        <v>0</v>
      </c>
      <c r="DX47" s="208">
        <v>0</v>
      </c>
      <c r="DY47" s="208">
        <v>3926</v>
      </c>
      <c r="DZ47" s="208">
        <v>0</v>
      </c>
      <c r="EA47" s="208">
        <v>3926</v>
      </c>
      <c r="EB47" s="208">
        <v>0</v>
      </c>
      <c r="EC47" s="208">
        <v>0</v>
      </c>
      <c r="ED47" s="208">
        <v>0</v>
      </c>
      <c r="EE47" s="208">
        <v>0</v>
      </c>
      <c r="EF47" s="208">
        <v>0</v>
      </c>
      <c r="EG47" s="208">
        <v>0</v>
      </c>
      <c r="EH47" s="208">
        <v>278</v>
      </c>
      <c r="EI47" s="208">
        <v>0</v>
      </c>
      <c r="EJ47" s="208">
        <v>278</v>
      </c>
      <c r="EK47" s="208">
        <v>-6537</v>
      </c>
      <c r="EL47" s="208">
        <v>0</v>
      </c>
      <c r="EM47" s="208">
        <v>-6537</v>
      </c>
      <c r="EN47" s="208">
        <v>52</v>
      </c>
      <c r="EO47" s="208">
        <v>0</v>
      </c>
      <c r="EP47" s="208">
        <v>52</v>
      </c>
      <c r="EQ47" s="208">
        <v>-1500</v>
      </c>
      <c r="ER47" s="208">
        <v>0</v>
      </c>
      <c r="ES47" s="208">
        <v>-1500</v>
      </c>
      <c r="ET47" s="208">
        <v>-1500</v>
      </c>
      <c r="EU47" s="208">
        <v>0</v>
      </c>
      <c r="EV47" s="208">
        <v>-1500</v>
      </c>
      <c r="EW47" s="208">
        <v>-39938</v>
      </c>
      <c r="EX47" s="208">
        <v>0</v>
      </c>
      <c r="EY47" s="208">
        <v>-39938</v>
      </c>
      <c r="EZ47" s="208">
        <v>1880</v>
      </c>
      <c r="FA47" s="208">
        <v>0</v>
      </c>
      <c r="FB47" s="208">
        <v>1880</v>
      </c>
      <c r="FC47" s="208">
        <v>-88398</v>
      </c>
      <c r="FD47" s="208">
        <v>0</v>
      </c>
      <c r="FE47" s="208">
        <v>-88398</v>
      </c>
      <c r="FF47" s="208">
        <v>11490</v>
      </c>
      <c r="FG47" s="208">
        <v>0</v>
      </c>
      <c r="FH47" s="208">
        <v>11490</v>
      </c>
      <c r="FI47" s="208">
        <v>-86356</v>
      </c>
      <c r="FJ47" s="208">
        <v>0</v>
      </c>
      <c r="FK47" s="208">
        <v>-86356</v>
      </c>
      <c r="FL47" s="208">
        <v>740</v>
      </c>
      <c r="FM47" s="208">
        <v>0</v>
      </c>
      <c r="FN47" s="208">
        <v>740</v>
      </c>
      <c r="FO47" s="208">
        <v>0</v>
      </c>
      <c r="FP47" s="208">
        <v>0</v>
      </c>
      <c r="FQ47" s="208">
        <v>0</v>
      </c>
      <c r="FR47" s="208">
        <v>0</v>
      </c>
      <c r="FS47" s="208">
        <v>0</v>
      </c>
      <c r="FT47" s="208">
        <v>0</v>
      </c>
      <c r="FU47" s="208">
        <v>-205863</v>
      </c>
      <c r="FV47" s="208">
        <v>0</v>
      </c>
      <c r="FW47" s="208">
        <v>-205863</v>
      </c>
      <c r="FX47" s="208">
        <v>0</v>
      </c>
      <c r="FY47" s="208">
        <v>0</v>
      </c>
      <c r="FZ47" s="208">
        <v>0</v>
      </c>
      <c r="GA47" s="208">
        <v>0</v>
      </c>
      <c r="GB47" s="208">
        <v>0</v>
      </c>
      <c r="GC47" s="208">
        <v>0</v>
      </c>
      <c r="GD47" s="208">
        <v>0</v>
      </c>
      <c r="GE47" s="208">
        <v>0</v>
      </c>
      <c r="GF47" s="208">
        <v>0</v>
      </c>
      <c r="GG47" s="208">
        <v>76347452</v>
      </c>
      <c r="GH47" s="208">
        <v>0</v>
      </c>
      <c r="GI47" s="208">
        <v>76347452</v>
      </c>
      <c r="GJ47" s="208">
        <v>233399</v>
      </c>
      <c r="GK47" s="208">
        <v>0</v>
      </c>
      <c r="GL47" s="208">
        <v>233399</v>
      </c>
      <c r="GM47" s="208">
        <v>-14736747</v>
      </c>
      <c r="GN47" s="208">
        <v>0</v>
      </c>
      <c r="GO47" s="208">
        <v>-14736747</v>
      </c>
      <c r="GP47" s="208">
        <v>-2935878</v>
      </c>
      <c r="GQ47" s="208">
        <v>0</v>
      </c>
      <c r="GR47" s="208">
        <v>-2935878</v>
      </c>
      <c r="GS47" s="208">
        <v>-460413</v>
      </c>
      <c r="GT47" s="208">
        <v>0</v>
      </c>
      <c r="GU47" s="208">
        <v>-460413</v>
      </c>
      <c r="GV47" s="208">
        <v>-205863</v>
      </c>
      <c r="GW47" s="208">
        <v>0</v>
      </c>
      <c r="GX47" s="208">
        <v>-205863</v>
      </c>
      <c r="GY47" s="208">
        <v>0</v>
      </c>
      <c r="GZ47" s="208">
        <v>0</v>
      </c>
      <c r="HA47" s="208">
        <v>0</v>
      </c>
      <c r="HB47" s="208">
        <v>-18105502</v>
      </c>
      <c r="HC47" s="208">
        <v>0</v>
      </c>
      <c r="HD47" s="208">
        <v>-18105502</v>
      </c>
      <c r="HE47" s="208">
        <v>58241950</v>
      </c>
      <c r="HF47" s="208">
        <v>0</v>
      </c>
      <c r="HG47" s="208">
        <v>58241950</v>
      </c>
      <c r="HH47" s="187" t="s">
        <v>1056</v>
      </c>
    </row>
    <row r="48" spans="1:216" s="187" customFormat="1" x14ac:dyDescent="0.2">
      <c r="B48" s="429" t="s">
        <v>175</v>
      </c>
      <c r="C48" s="429" t="s">
        <v>174</v>
      </c>
      <c r="D48" s="208">
        <v>-1543381</v>
      </c>
      <c r="E48" s="208">
        <v>0</v>
      </c>
      <c r="F48" s="208">
        <v>-1543381</v>
      </c>
      <c r="G48" s="208">
        <v>-166014</v>
      </c>
      <c r="H48" s="208">
        <v>0</v>
      </c>
      <c r="I48" s="208">
        <v>-166014</v>
      </c>
      <c r="J48" s="208">
        <v>1308026</v>
      </c>
      <c r="K48" s="208">
        <v>0</v>
      </c>
      <c r="L48" s="208">
        <v>1308026</v>
      </c>
      <c r="M48" s="208">
        <v>93521</v>
      </c>
      <c r="N48" s="208">
        <v>0</v>
      </c>
      <c r="O48" s="208">
        <v>93521</v>
      </c>
      <c r="P48" s="208">
        <v>-307848</v>
      </c>
      <c r="Q48" s="208">
        <v>0</v>
      </c>
      <c r="R48" s="208">
        <v>-307848</v>
      </c>
      <c r="S48" s="208">
        <v>-2847827</v>
      </c>
      <c r="T48" s="208">
        <v>0</v>
      </c>
      <c r="U48" s="208">
        <v>-2847827</v>
      </c>
      <c r="V48" s="208">
        <v>-16263</v>
      </c>
      <c r="W48" s="208">
        <v>0</v>
      </c>
      <c r="X48" s="208">
        <v>-16263</v>
      </c>
      <c r="Y48" s="208">
        <v>-39994</v>
      </c>
      <c r="Z48" s="208">
        <v>0</v>
      </c>
      <c r="AA48" s="208">
        <v>-39994</v>
      </c>
      <c r="AB48" s="208">
        <v>-39994</v>
      </c>
      <c r="AC48" s="208">
        <v>0</v>
      </c>
      <c r="AD48" s="208">
        <v>-39994</v>
      </c>
      <c r="AE48" s="208">
        <v>0</v>
      </c>
      <c r="AF48" s="208">
        <v>0</v>
      </c>
      <c r="AG48" s="208">
        <v>0</v>
      </c>
      <c r="AH48" s="208">
        <v>863</v>
      </c>
      <c r="AI48" s="208">
        <v>0</v>
      </c>
      <c r="AJ48" s="208">
        <v>863</v>
      </c>
      <c r="AK48" s="208">
        <v>0</v>
      </c>
      <c r="AL48" s="208">
        <v>0</v>
      </c>
      <c r="AM48" s="208">
        <v>0</v>
      </c>
      <c r="AN48" s="208">
        <v>3378900</v>
      </c>
      <c r="AO48" s="208">
        <v>0</v>
      </c>
      <c r="AP48" s="208">
        <v>3378900</v>
      </c>
      <c r="AQ48" s="208">
        <v>-6543</v>
      </c>
      <c r="AR48" s="208">
        <v>0</v>
      </c>
      <c r="AS48" s="208">
        <v>-6543</v>
      </c>
      <c r="AT48" s="208">
        <v>-27298489</v>
      </c>
      <c r="AU48" s="208">
        <v>0</v>
      </c>
      <c r="AV48" s="208">
        <v>-27298489</v>
      </c>
      <c r="AW48" s="208">
        <v>-621690</v>
      </c>
      <c r="AX48" s="208">
        <v>0</v>
      </c>
      <c r="AY48" s="208">
        <v>-621690</v>
      </c>
      <c r="AZ48" s="208">
        <v>-16239</v>
      </c>
      <c r="BA48" s="208">
        <v>0</v>
      </c>
      <c r="BB48" s="208">
        <v>-16239</v>
      </c>
      <c r="BC48" s="208">
        <v>0</v>
      </c>
      <c r="BD48" s="208">
        <v>0</v>
      </c>
      <c r="BE48" s="208">
        <v>0</v>
      </c>
      <c r="BF48" s="208">
        <v>0</v>
      </c>
      <c r="BG48" s="208">
        <v>0</v>
      </c>
      <c r="BH48" s="208">
        <v>0</v>
      </c>
      <c r="BI48" s="208">
        <v>0</v>
      </c>
      <c r="BJ48" s="208">
        <v>0</v>
      </c>
      <c r="BK48" s="208">
        <v>0</v>
      </c>
      <c r="BL48" s="208">
        <v>-27451882</v>
      </c>
      <c r="BM48" s="208">
        <v>0</v>
      </c>
      <c r="BN48" s="208">
        <v>-27451882</v>
      </c>
      <c r="BO48" s="208">
        <v>-40503</v>
      </c>
      <c r="BP48" s="208">
        <v>0</v>
      </c>
      <c r="BQ48" s="208">
        <v>-40503</v>
      </c>
      <c r="BR48" s="208">
        <v>-6076</v>
      </c>
      <c r="BS48" s="208">
        <v>0</v>
      </c>
      <c r="BT48" s="208">
        <v>-6076</v>
      </c>
      <c r="BU48" s="208">
        <v>-4358468</v>
      </c>
      <c r="BV48" s="208">
        <v>0</v>
      </c>
      <c r="BW48" s="208">
        <v>-4358468</v>
      </c>
      <c r="BX48" s="208">
        <v>-105483</v>
      </c>
      <c r="BY48" s="208">
        <v>0</v>
      </c>
      <c r="BZ48" s="208">
        <v>-105483</v>
      </c>
      <c r="CA48" s="208">
        <v>-4510530</v>
      </c>
      <c r="CB48" s="208">
        <v>0</v>
      </c>
      <c r="CC48" s="208">
        <v>-4510530</v>
      </c>
      <c r="CD48" s="208">
        <v>-141776</v>
      </c>
      <c r="CE48" s="208">
        <v>0</v>
      </c>
      <c r="CF48" s="208">
        <v>-141776</v>
      </c>
      <c r="CG48" s="208">
        <v>0</v>
      </c>
      <c r="CH48" s="208">
        <v>0</v>
      </c>
      <c r="CI48" s="208">
        <v>0</v>
      </c>
      <c r="CJ48" s="208">
        <v>0</v>
      </c>
      <c r="CK48" s="208">
        <v>0</v>
      </c>
      <c r="CL48" s="208">
        <v>0</v>
      </c>
      <c r="CM48" s="208">
        <v>0</v>
      </c>
      <c r="CN48" s="208">
        <v>0</v>
      </c>
      <c r="CO48" s="208">
        <v>0</v>
      </c>
      <c r="CP48" s="208">
        <v>0</v>
      </c>
      <c r="CQ48" s="208">
        <v>0</v>
      </c>
      <c r="CR48" s="208">
        <v>0</v>
      </c>
      <c r="CS48" s="208">
        <v>0</v>
      </c>
      <c r="CT48" s="208">
        <v>0</v>
      </c>
      <c r="CU48" s="208">
        <v>0</v>
      </c>
      <c r="CV48" s="208">
        <v>0</v>
      </c>
      <c r="CW48" s="208">
        <v>0</v>
      </c>
      <c r="CX48" s="208">
        <v>0</v>
      </c>
      <c r="CY48" s="208">
        <v>0</v>
      </c>
      <c r="CZ48" s="208">
        <v>0</v>
      </c>
      <c r="DA48" s="208">
        <v>0</v>
      </c>
      <c r="DB48" s="208">
        <v>0</v>
      </c>
      <c r="DC48" s="208">
        <v>0</v>
      </c>
      <c r="DD48" s="208">
        <v>0</v>
      </c>
      <c r="DE48" s="208">
        <v>0</v>
      </c>
      <c r="DF48" s="208">
        <v>0</v>
      </c>
      <c r="DG48" s="208">
        <v>0</v>
      </c>
      <c r="DH48" s="208">
        <v>0</v>
      </c>
      <c r="DI48" s="208">
        <v>0</v>
      </c>
      <c r="DJ48" s="208">
        <v>0</v>
      </c>
      <c r="DK48" s="208">
        <v>0</v>
      </c>
      <c r="DL48" s="208">
        <v>0</v>
      </c>
      <c r="DM48" s="208">
        <v>0</v>
      </c>
      <c r="DN48" s="208">
        <v>0</v>
      </c>
      <c r="DO48" s="208">
        <v>0</v>
      </c>
      <c r="DP48" s="208">
        <v>-141776</v>
      </c>
      <c r="DQ48" s="208">
        <v>0</v>
      </c>
      <c r="DR48" s="208">
        <v>-141776</v>
      </c>
      <c r="DS48" s="208">
        <v>0</v>
      </c>
      <c r="DT48" s="208">
        <v>0</v>
      </c>
      <c r="DU48" s="208">
        <v>0</v>
      </c>
      <c r="DV48" s="208">
        <v>-68741</v>
      </c>
      <c r="DW48" s="208">
        <v>0</v>
      </c>
      <c r="DX48" s="208">
        <v>-68741</v>
      </c>
      <c r="DY48" s="208">
        <v>1061</v>
      </c>
      <c r="DZ48" s="208">
        <v>0</v>
      </c>
      <c r="EA48" s="208">
        <v>1061</v>
      </c>
      <c r="EB48" s="208">
        <v>0</v>
      </c>
      <c r="EC48" s="208">
        <v>0</v>
      </c>
      <c r="ED48" s="208">
        <v>0</v>
      </c>
      <c r="EE48" s="208">
        <v>0</v>
      </c>
      <c r="EF48" s="208">
        <v>0</v>
      </c>
      <c r="EG48" s="208">
        <v>0</v>
      </c>
      <c r="EH48" s="208">
        <v>0</v>
      </c>
      <c r="EI48" s="208">
        <v>0</v>
      </c>
      <c r="EJ48" s="208">
        <v>0</v>
      </c>
      <c r="EK48" s="208">
        <v>0</v>
      </c>
      <c r="EL48" s="208">
        <v>0</v>
      </c>
      <c r="EM48" s="208">
        <v>0</v>
      </c>
      <c r="EN48" s="208">
        <v>0</v>
      </c>
      <c r="EO48" s="208">
        <v>0</v>
      </c>
      <c r="EP48" s="208">
        <v>0</v>
      </c>
      <c r="EQ48" s="208">
        <v>0</v>
      </c>
      <c r="ER48" s="208">
        <v>0</v>
      </c>
      <c r="ES48" s="208">
        <v>0</v>
      </c>
      <c r="ET48" s="208">
        <v>0</v>
      </c>
      <c r="EU48" s="208">
        <v>0</v>
      </c>
      <c r="EV48" s="208">
        <v>0</v>
      </c>
      <c r="EW48" s="208">
        <v>-10696</v>
      </c>
      <c r="EX48" s="208">
        <v>0</v>
      </c>
      <c r="EY48" s="208">
        <v>-10696</v>
      </c>
      <c r="EZ48" s="208">
        <v>-1068</v>
      </c>
      <c r="FA48" s="208">
        <v>0</v>
      </c>
      <c r="FB48" s="208">
        <v>-1068</v>
      </c>
      <c r="FC48" s="208">
        <v>-201667</v>
      </c>
      <c r="FD48" s="208">
        <v>0</v>
      </c>
      <c r="FE48" s="208">
        <v>-201667</v>
      </c>
      <c r="FF48" s="208">
        <v>4782</v>
      </c>
      <c r="FG48" s="208">
        <v>0</v>
      </c>
      <c r="FH48" s="208">
        <v>4782</v>
      </c>
      <c r="FI48" s="208">
        <v>-58838</v>
      </c>
      <c r="FJ48" s="208">
        <v>0</v>
      </c>
      <c r="FK48" s="208">
        <v>-58838</v>
      </c>
      <c r="FL48" s="208">
        <v>172</v>
      </c>
      <c r="FM48" s="208">
        <v>0</v>
      </c>
      <c r="FN48" s="208">
        <v>172</v>
      </c>
      <c r="FO48" s="208">
        <v>0</v>
      </c>
      <c r="FP48" s="208">
        <v>0</v>
      </c>
      <c r="FQ48" s="208">
        <v>0</v>
      </c>
      <c r="FR48" s="208">
        <v>0</v>
      </c>
      <c r="FS48" s="208">
        <v>0</v>
      </c>
      <c r="FT48" s="208">
        <v>0</v>
      </c>
      <c r="FU48" s="208">
        <v>-334995</v>
      </c>
      <c r="FV48" s="208">
        <v>0</v>
      </c>
      <c r="FW48" s="208">
        <v>-334995</v>
      </c>
      <c r="FX48" s="208">
        <v>0</v>
      </c>
      <c r="FY48" s="208">
        <v>0</v>
      </c>
      <c r="FZ48" s="208">
        <v>0</v>
      </c>
      <c r="GA48" s="208">
        <v>0</v>
      </c>
      <c r="GB48" s="208">
        <v>0</v>
      </c>
      <c r="GC48" s="208">
        <v>0</v>
      </c>
      <c r="GD48" s="208">
        <v>0</v>
      </c>
      <c r="GE48" s="208">
        <v>0</v>
      </c>
      <c r="GF48" s="208">
        <v>0</v>
      </c>
      <c r="GG48" s="208">
        <v>142725153</v>
      </c>
      <c r="GH48" s="208">
        <v>0</v>
      </c>
      <c r="GI48" s="208">
        <v>142725153</v>
      </c>
      <c r="GJ48" s="208">
        <v>-307848</v>
      </c>
      <c r="GK48" s="208">
        <v>0</v>
      </c>
      <c r="GL48" s="208">
        <v>-307848</v>
      </c>
      <c r="GM48" s="208">
        <v>-27451882</v>
      </c>
      <c r="GN48" s="208">
        <v>0</v>
      </c>
      <c r="GO48" s="208">
        <v>-27451882</v>
      </c>
      <c r="GP48" s="208">
        <v>-4510530</v>
      </c>
      <c r="GQ48" s="208">
        <v>0</v>
      </c>
      <c r="GR48" s="208">
        <v>-4510530</v>
      </c>
      <c r="GS48" s="208">
        <v>-141776</v>
      </c>
      <c r="GT48" s="208">
        <v>0</v>
      </c>
      <c r="GU48" s="208">
        <v>-141776</v>
      </c>
      <c r="GV48" s="208">
        <v>-334995</v>
      </c>
      <c r="GW48" s="208">
        <v>0</v>
      </c>
      <c r="GX48" s="208">
        <v>-334995</v>
      </c>
      <c r="GY48" s="208">
        <v>0</v>
      </c>
      <c r="GZ48" s="208">
        <v>0</v>
      </c>
      <c r="HA48" s="208">
        <v>0</v>
      </c>
      <c r="HB48" s="208">
        <v>-32747031</v>
      </c>
      <c r="HC48" s="208">
        <v>0</v>
      </c>
      <c r="HD48" s="208">
        <v>-32747031</v>
      </c>
      <c r="HE48" s="208">
        <v>109978122</v>
      </c>
      <c r="HF48" s="208">
        <v>0</v>
      </c>
      <c r="HG48" s="208">
        <v>109978122</v>
      </c>
      <c r="HH48" s="187" t="s">
        <v>1054</v>
      </c>
    </row>
    <row r="49" spans="2:216" s="187" customFormat="1" x14ac:dyDescent="0.2">
      <c r="B49" s="429" t="s">
        <v>177</v>
      </c>
      <c r="C49" s="429" t="s">
        <v>176</v>
      </c>
      <c r="D49" s="208">
        <v>-17889929.300000001</v>
      </c>
      <c r="E49" s="208">
        <v>0</v>
      </c>
      <c r="F49" s="208">
        <v>-17889929.300000001</v>
      </c>
      <c r="G49" s="208">
        <v>-124156.02</v>
      </c>
      <c r="H49" s="208">
        <v>0</v>
      </c>
      <c r="I49" s="208">
        <v>-124156.02</v>
      </c>
      <c r="J49" s="208">
        <v>1137755.01</v>
      </c>
      <c r="K49" s="208">
        <v>0</v>
      </c>
      <c r="L49" s="208">
        <v>1137755.01</v>
      </c>
      <c r="M49" s="208">
        <v>-96718.03</v>
      </c>
      <c r="N49" s="208">
        <v>0</v>
      </c>
      <c r="O49" s="208">
        <v>-96718.03</v>
      </c>
      <c r="P49" s="208">
        <v>-16973048</v>
      </c>
      <c r="Q49" s="208">
        <v>0</v>
      </c>
      <c r="R49" s="208">
        <v>-16973048</v>
      </c>
      <c r="S49" s="208">
        <v>-5633990</v>
      </c>
      <c r="T49" s="208">
        <v>0</v>
      </c>
      <c r="U49" s="208">
        <v>-5633990</v>
      </c>
      <c r="V49" s="208">
        <v>0</v>
      </c>
      <c r="W49" s="208">
        <v>0</v>
      </c>
      <c r="X49" s="208">
        <v>0</v>
      </c>
      <c r="Y49" s="208">
        <v>-588582</v>
      </c>
      <c r="Z49" s="208">
        <v>0</v>
      </c>
      <c r="AA49" s="208">
        <v>-588582</v>
      </c>
      <c r="AB49" s="208">
        <v>-282761</v>
      </c>
      <c r="AC49" s="208">
        <v>0</v>
      </c>
      <c r="AD49" s="208">
        <v>-282761</v>
      </c>
      <c r="AE49" s="208">
        <v>-296476</v>
      </c>
      <c r="AF49" s="208">
        <v>0</v>
      </c>
      <c r="AG49" s="208">
        <v>-296476</v>
      </c>
      <c r="AH49" s="208">
        <v>0</v>
      </c>
      <c r="AI49" s="208">
        <v>0</v>
      </c>
      <c r="AJ49" s="208">
        <v>0</v>
      </c>
      <c r="AK49" s="208">
        <v>0</v>
      </c>
      <c r="AL49" s="208">
        <v>0</v>
      </c>
      <c r="AM49" s="208">
        <v>0</v>
      </c>
      <c r="AN49" s="208">
        <v>18634303</v>
      </c>
      <c r="AO49" s="208">
        <v>0</v>
      </c>
      <c r="AP49" s="208">
        <v>18634303</v>
      </c>
      <c r="AQ49" s="208">
        <v>-628840</v>
      </c>
      <c r="AR49" s="208">
        <v>0</v>
      </c>
      <c r="AS49" s="208">
        <v>-628840</v>
      </c>
      <c r="AT49" s="208">
        <v>-86513301</v>
      </c>
      <c r="AU49" s="208">
        <v>0</v>
      </c>
      <c r="AV49" s="208">
        <v>-86513301</v>
      </c>
      <c r="AW49" s="208">
        <v>651819</v>
      </c>
      <c r="AX49" s="208">
        <v>0</v>
      </c>
      <c r="AY49" s="208">
        <v>651819</v>
      </c>
      <c r="AZ49" s="208">
        <v>0</v>
      </c>
      <c r="BA49" s="208">
        <v>0</v>
      </c>
      <c r="BB49" s="208">
        <v>0</v>
      </c>
      <c r="BC49" s="208">
        <v>0</v>
      </c>
      <c r="BD49" s="208">
        <v>0</v>
      </c>
      <c r="BE49" s="208">
        <v>0</v>
      </c>
      <c r="BF49" s="208">
        <v>0</v>
      </c>
      <c r="BG49" s="208">
        <v>0</v>
      </c>
      <c r="BH49" s="208">
        <v>0</v>
      </c>
      <c r="BI49" s="208">
        <v>0</v>
      </c>
      <c r="BJ49" s="208">
        <v>0</v>
      </c>
      <c r="BK49" s="208">
        <v>0</v>
      </c>
      <c r="BL49" s="208">
        <v>-74078591</v>
      </c>
      <c r="BM49" s="208">
        <v>0</v>
      </c>
      <c r="BN49" s="208">
        <v>-74078591</v>
      </c>
      <c r="BO49" s="208">
        <v>-898386</v>
      </c>
      <c r="BP49" s="208">
        <v>0</v>
      </c>
      <c r="BQ49" s="208">
        <v>-898386</v>
      </c>
      <c r="BR49" s="208">
        <v>-131986</v>
      </c>
      <c r="BS49" s="208">
        <v>0</v>
      </c>
      <c r="BT49" s="208">
        <v>-131986</v>
      </c>
      <c r="BU49" s="208">
        <v>-34520428</v>
      </c>
      <c r="BV49" s="208">
        <v>0</v>
      </c>
      <c r="BW49" s="208">
        <v>-34520428</v>
      </c>
      <c r="BX49" s="208">
        <v>2575197</v>
      </c>
      <c r="BY49" s="208">
        <v>0</v>
      </c>
      <c r="BZ49" s="208">
        <v>2575197</v>
      </c>
      <c r="CA49" s="208">
        <v>-32975603</v>
      </c>
      <c r="CB49" s="208">
        <v>0</v>
      </c>
      <c r="CC49" s="208">
        <v>-32975603</v>
      </c>
      <c r="CD49" s="208">
        <v>-301825</v>
      </c>
      <c r="CE49" s="208">
        <v>0</v>
      </c>
      <c r="CF49" s="208">
        <v>-301825</v>
      </c>
      <c r="CG49" s="208">
        <v>0</v>
      </c>
      <c r="CH49" s="208">
        <v>0</v>
      </c>
      <c r="CI49" s="208">
        <v>0</v>
      </c>
      <c r="CJ49" s="208">
        <v>-4000</v>
      </c>
      <c r="CK49" s="208">
        <v>0</v>
      </c>
      <c r="CL49" s="208">
        <v>-4000</v>
      </c>
      <c r="CM49" s="208">
        <v>0</v>
      </c>
      <c r="CN49" s="208">
        <v>0</v>
      </c>
      <c r="CO49" s="208">
        <v>0</v>
      </c>
      <c r="CP49" s="208">
        <v>0</v>
      </c>
      <c r="CQ49" s="208">
        <v>0</v>
      </c>
      <c r="CR49" s="208">
        <v>0</v>
      </c>
      <c r="CS49" s="208">
        <v>0</v>
      </c>
      <c r="CT49" s="208">
        <v>0</v>
      </c>
      <c r="CU49" s="208">
        <v>0</v>
      </c>
      <c r="CV49" s="208">
        <v>0</v>
      </c>
      <c r="CW49" s="208">
        <v>0</v>
      </c>
      <c r="CX49" s="208">
        <v>0</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0</v>
      </c>
      <c r="DO49" s="208">
        <v>0</v>
      </c>
      <c r="DP49" s="208">
        <v>-305825</v>
      </c>
      <c r="DQ49" s="208">
        <v>0</v>
      </c>
      <c r="DR49" s="208">
        <v>-305825</v>
      </c>
      <c r="DS49" s="208">
        <v>870</v>
      </c>
      <c r="DT49" s="208">
        <v>0</v>
      </c>
      <c r="DU49" s="208">
        <v>870</v>
      </c>
      <c r="DV49" s="208">
        <v>0</v>
      </c>
      <c r="DW49" s="208">
        <v>0</v>
      </c>
      <c r="DX49" s="208">
        <v>0</v>
      </c>
      <c r="DY49" s="208">
        <v>-3866</v>
      </c>
      <c r="DZ49" s="208">
        <v>0</v>
      </c>
      <c r="EA49" s="208">
        <v>-3866</v>
      </c>
      <c r="EB49" s="208">
        <v>0</v>
      </c>
      <c r="EC49" s="208">
        <v>0</v>
      </c>
      <c r="ED49" s="208">
        <v>0</v>
      </c>
      <c r="EE49" s="208">
        <v>0</v>
      </c>
      <c r="EF49" s="208">
        <v>0</v>
      </c>
      <c r="EG49" s="208">
        <v>0</v>
      </c>
      <c r="EH49" s="208">
        <v>0</v>
      </c>
      <c r="EI49" s="208">
        <v>0</v>
      </c>
      <c r="EJ49" s="208">
        <v>0</v>
      </c>
      <c r="EK49" s="208">
        <v>0</v>
      </c>
      <c r="EL49" s="208">
        <v>0</v>
      </c>
      <c r="EM49" s="208">
        <v>0</v>
      </c>
      <c r="EN49" s="208">
        <v>0</v>
      </c>
      <c r="EO49" s="208">
        <v>0</v>
      </c>
      <c r="EP49" s="208">
        <v>0</v>
      </c>
      <c r="EQ49" s="208">
        <v>-1924</v>
      </c>
      <c r="ER49" s="208">
        <v>0</v>
      </c>
      <c r="ES49" s="208">
        <v>-1924</v>
      </c>
      <c r="ET49" s="208">
        <v>0</v>
      </c>
      <c r="EU49" s="208">
        <v>0</v>
      </c>
      <c r="EV49" s="208">
        <v>0</v>
      </c>
      <c r="EW49" s="208">
        <v>-164624</v>
      </c>
      <c r="EX49" s="208">
        <v>0</v>
      </c>
      <c r="EY49" s="208">
        <v>-164624</v>
      </c>
      <c r="EZ49" s="208">
        <v>-23</v>
      </c>
      <c r="FA49" s="208">
        <v>0</v>
      </c>
      <c r="FB49" s="208">
        <v>-23</v>
      </c>
      <c r="FC49" s="208">
        <v>-2691727</v>
      </c>
      <c r="FD49" s="208">
        <v>0</v>
      </c>
      <c r="FE49" s="208">
        <v>-2691727</v>
      </c>
      <c r="FF49" s="208">
        <v>114870</v>
      </c>
      <c r="FG49" s="208">
        <v>0</v>
      </c>
      <c r="FH49" s="208">
        <v>114870</v>
      </c>
      <c r="FI49" s="208">
        <v>-104328</v>
      </c>
      <c r="FJ49" s="208">
        <v>0</v>
      </c>
      <c r="FK49" s="208">
        <v>-104328</v>
      </c>
      <c r="FL49" s="208">
        <v>-1460</v>
      </c>
      <c r="FM49" s="208">
        <v>0</v>
      </c>
      <c r="FN49" s="208">
        <v>-1460</v>
      </c>
      <c r="FO49" s="208">
        <v>0</v>
      </c>
      <c r="FP49" s="208">
        <v>0</v>
      </c>
      <c r="FQ49" s="208">
        <v>0</v>
      </c>
      <c r="FR49" s="208">
        <v>0</v>
      </c>
      <c r="FS49" s="208">
        <v>0</v>
      </c>
      <c r="FT49" s="208">
        <v>0</v>
      </c>
      <c r="FU49" s="208">
        <v>-2852212</v>
      </c>
      <c r="FV49" s="208">
        <v>0</v>
      </c>
      <c r="FW49" s="208">
        <v>-2852212</v>
      </c>
      <c r="FX49" s="208">
        <v>0</v>
      </c>
      <c r="FY49" s="208">
        <v>0</v>
      </c>
      <c r="FZ49" s="208">
        <v>0</v>
      </c>
      <c r="GA49" s="208">
        <v>0</v>
      </c>
      <c r="GB49" s="208">
        <v>0</v>
      </c>
      <c r="GC49" s="208">
        <v>0</v>
      </c>
      <c r="GD49" s="208">
        <v>0</v>
      </c>
      <c r="GE49" s="208">
        <v>0</v>
      </c>
      <c r="GF49" s="208">
        <v>0</v>
      </c>
      <c r="GG49" s="208">
        <v>750135380.14999998</v>
      </c>
      <c r="GH49" s="208">
        <v>0</v>
      </c>
      <c r="GI49" s="208">
        <v>750135380.14999998</v>
      </c>
      <c r="GJ49" s="208">
        <v>-16973048</v>
      </c>
      <c r="GK49" s="208">
        <v>0</v>
      </c>
      <c r="GL49" s="208">
        <v>-16973048</v>
      </c>
      <c r="GM49" s="208">
        <v>-74078591</v>
      </c>
      <c r="GN49" s="208">
        <v>0</v>
      </c>
      <c r="GO49" s="208">
        <v>-74078591</v>
      </c>
      <c r="GP49" s="208">
        <v>-32975603</v>
      </c>
      <c r="GQ49" s="208">
        <v>0</v>
      </c>
      <c r="GR49" s="208">
        <v>-32975603</v>
      </c>
      <c r="GS49" s="208">
        <v>-305825</v>
      </c>
      <c r="GT49" s="208">
        <v>0</v>
      </c>
      <c r="GU49" s="208">
        <v>-305825</v>
      </c>
      <c r="GV49" s="208">
        <v>-2852212</v>
      </c>
      <c r="GW49" s="208">
        <v>0</v>
      </c>
      <c r="GX49" s="208">
        <v>-2852212</v>
      </c>
      <c r="GY49" s="208">
        <v>0</v>
      </c>
      <c r="GZ49" s="208">
        <v>0</v>
      </c>
      <c r="HA49" s="208">
        <v>0</v>
      </c>
      <c r="HB49" s="208">
        <v>-127185279</v>
      </c>
      <c r="HC49" s="208">
        <v>0</v>
      </c>
      <c r="HD49" s="208">
        <v>-127185279</v>
      </c>
      <c r="HE49" s="208">
        <v>622950101.14999998</v>
      </c>
      <c r="HF49" s="208">
        <v>0</v>
      </c>
      <c r="HG49" s="208">
        <v>622950101.14999998</v>
      </c>
      <c r="HH49" s="187" t="s">
        <v>1057</v>
      </c>
    </row>
    <row r="50" spans="2:216" s="187" customFormat="1" x14ac:dyDescent="0.2">
      <c r="B50" s="429" t="s">
        <v>179</v>
      </c>
      <c r="C50" s="429" t="s">
        <v>178</v>
      </c>
      <c r="D50" s="208">
        <v>-410411</v>
      </c>
      <c r="E50" s="208">
        <v>0</v>
      </c>
      <c r="F50" s="208">
        <v>-410411</v>
      </c>
      <c r="G50" s="208">
        <v>-47825</v>
      </c>
      <c r="H50" s="208">
        <v>0</v>
      </c>
      <c r="I50" s="208">
        <v>-47825</v>
      </c>
      <c r="J50" s="208">
        <v>875543</v>
      </c>
      <c r="K50" s="208">
        <v>0</v>
      </c>
      <c r="L50" s="208">
        <v>875543</v>
      </c>
      <c r="M50" s="208">
        <v>-36492</v>
      </c>
      <c r="N50" s="208">
        <v>0</v>
      </c>
      <c r="O50" s="208">
        <v>-36492</v>
      </c>
      <c r="P50" s="208">
        <v>380815</v>
      </c>
      <c r="Q50" s="208">
        <v>0</v>
      </c>
      <c r="R50" s="208">
        <v>380815</v>
      </c>
      <c r="S50" s="208">
        <v>-4272137</v>
      </c>
      <c r="T50" s="208">
        <v>0</v>
      </c>
      <c r="U50" s="208">
        <v>-4272137</v>
      </c>
      <c r="V50" s="208">
        <v>-11373</v>
      </c>
      <c r="W50" s="208">
        <v>0</v>
      </c>
      <c r="X50" s="208">
        <v>-11373</v>
      </c>
      <c r="Y50" s="208">
        <v>-109556</v>
      </c>
      <c r="Z50" s="208">
        <v>0</v>
      </c>
      <c r="AA50" s="208">
        <v>-109556</v>
      </c>
      <c r="AB50" s="208">
        <v>-19561.919999999998</v>
      </c>
      <c r="AC50" s="208">
        <v>0</v>
      </c>
      <c r="AD50" s="208">
        <v>-19561.919999999998</v>
      </c>
      <c r="AE50" s="208">
        <v>-90020.98</v>
      </c>
      <c r="AF50" s="208">
        <v>0</v>
      </c>
      <c r="AG50" s="208">
        <v>-90020.98</v>
      </c>
      <c r="AH50" s="208">
        <v>0</v>
      </c>
      <c r="AI50" s="208">
        <v>0</v>
      </c>
      <c r="AJ50" s="208">
        <v>0</v>
      </c>
      <c r="AK50" s="208">
        <v>3442</v>
      </c>
      <c r="AL50" s="208">
        <v>0</v>
      </c>
      <c r="AM50" s="208">
        <v>3442</v>
      </c>
      <c r="AN50" s="208">
        <v>710870</v>
      </c>
      <c r="AO50" s="208">
        <v>0</v>
      </c>
      <c r="AP50" s="208">
        <v>710870</v>
      </c>
      <c r="AQ50" s="208">
        <v>2117</v>
      </c>
      <c r="AR50" s="208">
        <v>0</v>
      </c>
      <c r="AS50" s="208">
        <v>2117</v>
      </c>
      <c r="AT50" s="208">
        <v>-1790688</v>
      </c>
      <c r="AU50" s="208">
        <v>0</v>
      </c>
      <c r="AV50" s="208">
        <v>-1790688</v>
      </c>
      <c r="AW50" s="208">
        <v>-14078</v>
      </c>
      <c r="AX50" s="208">
        <v>0</v>
      </c>
      <c r="AY50" s="208">
        <v>-14078</v>
      </c>
      <c r="AZ50" s="208">
        <v>-572</v>
      </c>
      <c r="BA50" s="208">
        <v>0</v>
      </c>
      <c r="BB50" s="208">
        <v>-572</v>
      </c>
      <c r="BC50" s="208">
        <v>0</v>
      </c>
      <c r="BD50" s="208">
        <v>0</v>
      </c>
      <c r="BE50" s="208">
        <v>0</v>
      </c>
      <c r="BF50" s="208">
        <v>0</v>
      </c>
      <c r="BG50" s="208">
        <v>0</v>
      </c>
      <c r="BH50" s="208">
        <v>0</v>
      </c>
      <c r="BI50" s="208">
        <v>0</v>
      </c>
      <c r="BJ50" s="208">
        <v>0</v>
      </c>
      <c r="BK50" s="208">
        <v>0</v>
      </c>
      <c r="BL50" s="208">
        <v>-5474044</v>
      </c>
      <c r="BM50" s="208">
        <v>0</v>
      </c>
      <c r="BN50" s="208">
        <v>-5474044</v>
      </c>
      <c r="BO50" s="208">
        <v>0</v>
      </c>
      <c r="BP50" s="208">
        <v>0</v>
      </c>
      <c r="BQ50" s="208">
        <v>0</v>
      </c>
      <c r="BR50" s="208">
        <v>0</v>
      </c>
      <c r="BS50" s="208">
        <v>0</v>
      </c>
      <c r="BT50" s="208">
        <v>0</v>
      </c>
      <c r="BU50" s="208">
        <v>-1220309</v>
      </c>
      <c r="BV50" s="208">
        <v>0</v>
      </c>
      <c r="BW50" s="208">
        <v>-1220309</v>
      </c>
      <c r="BX50" s="208">
        <v>-63654</v>
      </c>
      <c r="BY50" s="208">
        <v>0</v>
      </c>
      <c r="BZ50" s="208">
        <v>-63654</v>
      </c>
      <c r="CA50" s="208">
        <v>-1283963</v>
      </c>
      <c r="CB50" s="208">
        <v>0</v>
      </c>
      <c r="CC50" s="208">
        <v>-1283963</v>
      </c>
      <c r="CD50" s="208">
        <v>-95945</v>
      </c>
      <c r="CE50" s="208">
        <v>0</v>
      </c>
      <c r="CF50" s="208">
        <v>-95945</v>
      </c>
      <c r="CG50" s="208">
        <v>-328</v>
      </c>
      <c r="CH50" s="208">
        <v>0</v>
      </c>
      <c r="CI50" s="208">
        <v>-328</v>
      </c>
      <c r="CJ50" s="208">
        <v>-17203</v>
      </c>
      <c r="CK50" s="208">
        <v>0</v>
      </c>
      <c r="CL50" s="208">
        <v>-17203</v>
      </c>
      <c r="CM50" s="208">
        <v>0</v>
      </c>
      <c r="CN50" s="208">
        <v>0</v>
      </c>
      <c r="CO50" s="208">
        <v>0</v>
      </c>
      <c r="CP50" s="208">
        <v>-36</v>
      </c>
      <c r="CQ50" s="208">
        <v>0</v>
      </c>
      <c r="CR50" s="208">
        <v>-36</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-5048</v>
      </c>
      <c r="DI50" s="208">
        <v>0</v>
      </c>
      <c r="DJ50" s="208">
        <v>-5048</v>
      </c>
      <c r="DK50" s="208">
        <v>4931</v>
      </c>
      <c r="DL50" s="208">
        <v>0</v>
      </c>
      <c r="DM50" s="208">
        <v>4931</v>
      </c>
      <c r="DN50" s="208">
        <v>0</v>
      </c>
      <c r="DO50" s="208">
        <v>0</v>
      </c>
      <c r="DP50" s="208">
        <v>-113629</v>
      </c>
      <c r="DQ50" s="208">
        <v>0</v>
      </c>
      <c r="DR50" s="208">
        <v>-113629</v>
      </c>
      <c r="DS50" s="208">
        <v>0</v>
      </c>
      <c r="DT50" s="208">
        <v>0</v>
      </c>
      <c r="DU50" s="208">
        <v>0</v>
      </c>
      <c r="DV50" s="208">
        <v>0</v>
      </c>
      <c r="DW50" s="208">
        <v>0</v>
      </c>
      <c r="DX50" s="208">
        <v>0</v>
      </c>
      <c r="DY50" s="208">
        <v>0</v>
      </c>
      <c r="DZ50" s="208">
        <v>0</v>
      </c>
      <c r="EA50" s="208">
        <v>0</v>
      </c>
      <c r="EB50" s="208">
        <v>0</v>
      </c>
      <c r="EC50" s="208">
        <v>0</v>
      </c>
      <c r="ED50" s="208">
        <v>0</v>
      </c>
      <c r="EE50" s="208">
        <v>0</v>
      </c>
      <c r="EF50" s="208">
        <v>0</v>
      </c>
      <c r="EG50" s="208">
        <v>0</v>
      </c>
      <c r="EH50" s="208">
        <v>0</v>
      </c>
      <c r="EI50" s="208">
        <v>0</v>
      </c>
      <c r="EJ50" s="208">
        <v>0</v>
      </c>
      <c r="EK50" s="208">
        <v>0</v>
      </c>
      <c r="EL50" s="208">
        <v>0</v>
      </c>
      <c r="EM50" s="208">
        <v>0</v>
      </c>
      <c r="EN50" s="208">
        <v>0</v>
      </c>
      <c r="EO50" s="208">
        <v>0</v>
      </c>
      <c r="EP50" s="208">
        <v>0</v>
      </c>
      <c r="EQ50" s="208">
        <v>-1500</v>
      </c>
      <c r="ER50" s="208">
        <v>0</v>
      </c>
      <c r="ES50" s="208">
        <v>-1500</v>
      </c>
      <c r="ET50" s="208">
        <v>0</v>
      </c>
      <c r="EU50" s="208">
        <v>0</v>
      </c>
      <c r="EV50" s="208">
        <v>0</v>
      </c>
      <c r="EW50" s="208">
        <v>-4487</v>
      </c>
      <c r="EX50" s="208">
        <v>0</v>
      </c>
      <c r="EY50" s="208">
        <v>-4487</v>
      </c>
      <c r="EZ50" s="208">
        <v>0</v>
      </c>
      <c r="FA50" s="208">
        <v>0</v>
      </c>
      <c r="FB50" s="208">
        <v>0</v>
      </c>
      <c r="FC50" s="208">
        <v>-63726</v>
      </c>
      <c r="FD50" s="208">
        <v>0</v>
      </c>
      <c r="FE50" s="208">
        <v>-63726</v>
      </c>
      <c r="FF50" s="208">
        <v>4044</v>
      </c>
      <c r="FG50" s="208">
        <v>0</v>
      </c>
      <c r="FH50" s="208">
        <v>4044</v>
      </c>
      <c r="FI50" s="208">
        <v>-15816</v>
      </c>
      <c r="FJ50" s="208">
        <v>0</v>
      </c>
      <c r="FK50" s="208">
        <v>-15816</v>
      </c>
      <c r="FL50" s="208">
        <v>-1000</v>
      </c>
      <c r="FM50" s="208">
        <v>0</v>
      </c>
      <c r="FN50" s="208">
        <v>-1000</v>
      </c>
      <c r="FO50" s="208">
        <v>0</v>
      </c>
      <c r="FP50" s="208">
        <v>0</v>
      </c>
      <c r="FQ50" s="208">
        <v>0</v>
      </c>
      <c r="FR50" s="208">
        <v>0</v>
      </c>
      <c r="FS50" s="208">
        <v>0</v>
      </c>
      <c r="FT50" s="208">
        <v>0</v>
      </c>
      <c r="FU50" s="208">
        <v>-82485</v>
      </c>
      <c r="FV50" s="208">
        <v>0</v>
      </c>
      <c r="FW50" s="208">
        <v>-82485</v>
      </c>
      <c r="FX50" s="208">
        <v>0</v>
      </c>
      <c r="FY50" s="208">
        <v>0</v>
      </c>
      <c r="FZ50" s="208">
        <v>0</v>
      </c>
      <c r="GA50" s="208">
        <v>0</v>
      </c>
      <c r="GB50" s="208">
        <v>0</v>
      </c>
      <c r="GC50" s="208">
        <v>0</v>
      </c>
      <c r="GD50" s="208">
        <v>0</v>
      </c>
      <c r="GE50" s="208">
        <v>0</v>
      </c>
      <c r="GF50" s="208">
        <v>0</v>
      </c>
      <c r="GG50" s="208">
        <v>40134012</v>
      </c>
      <c r="GH50" s="208">
        <v>0</v>
      </c>
      <c r="GI50" s="208">
        <v>40134012</v>
      </c>
      <c r="GJ50" s="208">
        <v>380815</v>
      </c>
      <c r="GK50" s="208">
        <v>0</v>
      </c>
      <c r="GL50" s="208">
        <v>380815</v>
      </c>
      <c r="GM50" s="208">
        <v>-5474044</v>
      </c>
      <c r="GN50" s="208">
        <v>0</v>
      </c>
      <c r="GO50" s="208">
        <v>-5474044</v>
      </c>
      <c r="GP50" s="208">
        <v>-1283963</v>
      </c>
      <c r="GQ50" s="208">
        <v>0</v>
      </c>
      <c r="GR50" s="208">
        <v>-1283963</v>
      </c>
      <c r="GS50" s="208">
        <v>-113629</v>
      </c>
      <c r="GT50" s="208">
        <v>0</v>
      </c>
      <c r="GU50" s="208">
        <v>-113629</v>
      </c>
      <c r="GV50" s="208">
        <v>-82485</v>
      </c>
      <c r="GW50" s="208">
        <v>0</v>
      </c>
      <c r="GX50" s="208">
        <v>-82485</v>
      </c>
      <c r="GY50" s="208">
        <v>0</v>
      </c>
      <c r="GZ50" s="208">
        <v>0</v>
      </c>
      <c r="HA50" s="208">
        <v>0</v>
      </c>
      <c r="HB50" s="208">
        <v>-6573306</v>
      </c>
      <c r="HC50" s="208">
        <v>0</v>
      </c>
      <c r="HD50" s="208">
        <v>-6573306</v>
      </c>
      <c r="HE50" s="208">
        <v>33560706</v>
      </c>
      <c r="HF50" s="208">
        <v>0</v>
      </c>
      <c r="HG50" s="208">
        <v>33560706</v>
      </c>
      <c r="HH50" s="187" t="s">
        <v>1054</v>
      </c>
    </row>
    <row r="51" spans="2:216" s="187" customFormat="1" x14ac:dyDescent="0.2">
      <c r="B51" s="429" t="s">
        <v>181</v>
      </c>
      <c r="C51" s="429" t="s">
        <v>180</v>
      </c>
      <c r="D51" s="208">
        <v>-1454701</v>
      </c>
      <c r="E51" s="208">
        <v>0</v>
      </c>
      <c r="F51" s="208">
        <v>-1454701</v>
      </c>
      <c r="G51" s="208">
        <v>117973</v>
      </c>
      <c r="H51" s="208">
        <v>0</v>
      </c>
      <c r="I51" s="208">
        <v>117973</v>
      </c>
      <c r="J51" s="208">
        <v>3291338</v>
      </c>
      <c r="K51" s="208">
        <v>0</v>
      </c>
      <c r="L51" s="208">
        <v>3291338</v>
      </c>
      <c r="M51" s="208">
        <v>151430</v>
      </c>
      <c r="N51" s="208">
        <v>0</v>
      </c>
      <c r="O51" s="208">
        <v>151430</v>
      </c>
      <c r="P51" s="208">
        <v>2106040</v>
      </c>
      <c r="Q51" s="208">
        <v>0</v>
      </c>
      <c r="R51" s="208">
        <v>2106040</v>
      </c>
      <c r="S51" s="208">
        <v>-5516761</v>
      </c>
      <c r="T51" s="208">
        <v>0</v>
      </c>
      <c r="U51" s="208">
        <v>-5516761</v>
      </c>
      <c r="V51" s="208">
        <v>-7627</v>
      </c>
      <c r="W51" s="208">
        <v>0</v>
      </c>
      <c r="X51" s="208">
        <v>-7627</v>
      </c>
      <c r="Y51" s="208">
        <v>-139662</v>
      </c>
      <c r="Z51" s="208">
        <v>0</v>
      </c>
      <c r="AA51" s="208">
        <v>-139662</v>
      </c>
      <c r="AB51" s="208">
        <v>-24542</v>
      </c>
      <c r="AC51" s="208">
        <v>0</v>
      </c>
      <c r="AD51" s="208">
        <v>-24542</v>
      </c>
      <c r="AE51" s="208">
        <v>-114818</v>
      </c>
      <c r="AF51" s="208">
        <v>0</v>
      </c>
      <c r="AG51" s="208">
        <v>-114818</v>
      </c>
      <c r="AH51" s="208">
        <v>0</v>
      </c>
      <c r="AI51" s="208">
        <v>0</v>
      </c>
      <c r="AJ51" s="208">
        <v>0</v>
      </c>
      <c r="AK51" s="208">
        <v>0</v>
      </c>
      <c r="AL51" s="208">
        <v>0</v>
      </c>
      <c r="AM51" s="208">
        <v>0</v>
      </c>
      <c r="AN51" s="208">
        <v>1324907</v>
      </c>
      <c r="AO51" s="208">
        <v>0</v>
      </c>
      <c r="AP51" s="208">
        <v>1324907</v>
      </c>
      <c r="AQ51" s="208">
        <v>-10478</v>
      </c>
      <c r="AR51" s="208">
        <v>0</v>
      </c>
      <c r="AS51" s="208">
        <v>-10478</v>
      </c>
      <c r="AT51" s="208">
        <v>-9096275</v>
      </c>
      <c r="AU51" s="208">
        <v>0</v>
      </c>
      <c r="AV51" s="208">
        <v>-9096275</v>
      </c>
      <c r="AW51" s="208">
        <v>-330926</v>
      </c>
      <c r="AX51" s="208">
        <v>0</v>
      </c>
      <c r="AY51" s="208">
        <v>-330926</v>
      </c>
      <c r="AZ51" s="208">
        <v>-61702</v>
      </c>
      <c r="BA51" s="208">
        <v>0</v>
      </c>
      <c r="BB51" s="208">
        <v>-61702</v>
      </c>
      <c r="BC51" s="208">
        <v>0</v>
      </c>
      <c r="BD51" s="208">
        <v>0</v>
      </c>
      <c r="BE51" s="208">
        <v>0</v>
      </c>
      <c r="BF51" s="208">
        <v>-13700</v>
      </c>
      <c r="BG51" s="208">
        <v>0</v>
      </c>
      <c r="BH51" s="208">
        <v>-13700</v>
      </c>
      <c r="BI51" s="208">
        <v>0</v>
      </c>
      <c r="BJ51" s="208">
        <v>0</v>
      </c>
      <c r="BK51" s="208">
        <v>0</v>
      </c>
      <c r="BL51" s="208">
        <v>-13844597</v>
      </c>
      <c r="BM51" s="208">
        <v>0</v>
      </c>
      <c r="BN51" s="208">
        <v>-13844597</v>
      </c>
      <c r="BO51" s="208">
        <v>0</v>
      </c>
      <c r="BP51" s="208">
        <v>0</v>
      </c>
      <c r="BQ51" s="208">
        <v>0</v>
      </c>
      <c r="BR51" s="208">
        <v>0</v>
      </c>
      <c r="BS51" s="208">
        <v>0</v>
      </c>
      <c r="BT51" s="208">
        <v>0</v>
      </c>
      <c r="BU51" s="208">
        <v>-1612963</v>
      </c>
      <c r="BV51" s="208">
        <v>0</v>
      </c>
      <c r="BW51" s="208">
        <v>-1612963</v>
      </c>
      <c r="BX51" s="208">
        <v>88888</v>
      </c>
      <c r="BY51" s="208">
        <v>0</v>
      </c>
      <c r="BZ51" s="208">
        <v>88888</v>
      </c>
      <c r="CA51" s="208">
        <v>-1524075</v>
      </c>
      <c r="CB51" s="208">
        <v>0</v>
      </c>
      <c r="CC51" s="208">
        <v>-1524075</v>
      </c>
      <c r="CD51" s="208">
        <v>-256191</v>
      </c>
      <c r="CE51" s="208">
        <v>0</v>
      </c>
      <c r="CF51" s="208">
        <v>-256191</v>
      </c>
      <c r="CG51" s="208">
        <v>-115828</v>
      </c>
      <c r="CH51" s="208">
        <v>0</v>
      </c>
      <c r="CI51" s="208">
        <v>-115828</v>
      </c>
      <c r="CJ51" s="208">
        <v>-181198</v>
      </c>
      <c r="CK51" s="208">
        <v>0</v>
      </c>
      <c r="CL51" s="208">
        <v>-181198</v>
      </c>
      <c r="CM51" s="208">
        <v>-42</v>
      </c>
      <c r="CN51" s="208">
        <v>0</v>
      </c>
      <c r="CO51" s="208">
        <v>-42</v>
      </c>
      <c r="CP51" s="208">
        <v>-4817</v>
      </c>
      <c r="CQ51" s="208">
        <v>0</v>
      </c>
      <c r="CR51" s="208">
        <v>-4817</v>
      </c>
      <c r="CS51" s="208">
        <v>0</v>
      </c>
      <c r="CT51" s="208">
        <v>0</v>
      </c>
      <c r="CU51" s="208">
        <v>0</v>
      </c>
      <c r="CV51" s="208">
        <v>-1090</v>
      </c>
      <c r="CW51" s="208">
        <v>0</v>
      </c>
      <c r="CX51" s="208">
        <v>-1090</v>
      </c>
      <c r="CY51" s="208">
        <v>0</v>
      </c>
      <c r="CZ51" s="208">
        <v>0</v>
      </c>
      <c r="DA51" s="208">
        <v>0</v>
      </c>
      <c r="DB51" s="208">
        <v>0</v>
      </c>
      <c r="DC51" s="208">
        <v>0</v>
      </c>
      <c r="DD51" s="208">
        <v>0</v>
      </c>
      <c r="DE51" s="208">
        <v>0</v>
      </c>
      <c r="DF51" s="208">
        <v>0</v>
      </c>
      <c r="DG51" s="208">
        <v>0</v>
      </c>
      <c r="DH51" s="208">
        <v>0</v>
      </c>
      <c r="DI51" s="208">
        <v>0</v>
      </c>
      <c r="DJ51" s="208">
        <v>0</v>
      </c>
      <c r="DK51" s="208">
        <v>0</v>
      </c>
      <c r="DL51" s="208">
        <v>0</v>
      </c>
      <c r="DM51" s="208">
        <v>0</v>
      </c>
      <c r="DN51" s="208">
        <v>0</v>
      </c>
      <c r="DO51" s="208">
        <v>0</v>
      </c>
      <c r="DP51" s="208">
        <v>-559166</v>
      </c>
      <c r="DQ51" s="208">
        <v>0</v>
      </c>
      <c r="DR51" s="208">
        <v>-559166</v>
      </c>
      <c r="DS51" s="208">
        <v>5086</v>
      </c>
      <c r="DT51" s="208">
        <v>0</v>
      </c>
      <c r="DU51" s="208">
        <v>5086</v>
      </c>
      <c r="DV51" s="208">
        <v>0</v>
      </c>
      <c r="DW51" s="208">
        <v>0</v>
      </c>
      <c r="DX51" s="208">
        <v>0</v>
      </c>
      <c r="DY51" s="208">
        <v>63</v>
      </c>
      <c r="DZ51" s="208">
        <v>0</v>
      </c>
      <c r="EA51" s="208">
        <v>63</v>
      </c>
      <c r="EB51" s="208">
        <v>0</v>
      </c>
      <c r="EC51" s="208">
        <v>0</v>
      </c>
      <c r="ED51" s="208">
        <v>0</v>
      </c>
      <c r="EE51" s="208">
        <v>0</v>
      </c>
      <c r="EF51" s="208">
        <v>0</v>
      </c>
      <c r="EG51" s="208">
        <v>0</v>
      </c>
      <c r="EH51" s="208">
        <v>328</v>
      </c>
      <c r="EI51" s="208">
        <v>0</v>
      </c>
      <c r="EJ51" s="208">
        <v>328</v>
      </c>
      <c r="EK51" s="208">
        <v>-13700</v>
      </c>
      <c r="EL51" s="208">
        <v>0</v>
      </c>
      <c r="EM51" s="208">
        <v>-13700</v>
      </c>
      <c r="EN51" s="208">
        <v>0</v>
      </c>
      <c r="EO51" s="208">
        <v>0</v>
      </c>
      <c r="EP51" s="208">
        <v>0</v>
      </c>
      <c r="EQ51" s="208">
        <v>0</v>
      </c>
      <c r="ER51" s="208">
        <v>0</v>
      </c>
      <c r="ES51" s="208">
        <v>0</v>
      </c>
      <c r="ET51" s="208">
        <v>0</v>
      </c>
      <c r="EU51" s="208">
        <v>0</v>
      </c>
      <c r="EV51" s="208">
        <v>0</v>
      </c>
      <c r="EW51" s="208">
        <v>-79271</v>
      </c>
      <c r="EX51" s="208">
        <v>0</v>
      </c>
      <c r="EY51" s="208">
        <v>-79271</v>
      </c>
      <c r="EZ51" s="208">
        <v>90</v>
      </c>
      <c r="FA51" s="208">
        <v>0</v>
      </c>
      <c r="FB51" s="208">
        <v>90</v>
      </c>
      <c r="FC51" s="208">
        <v>-174774</v>
      </c>
      <c r="FD51" s="208">
        <v>0</v>
      </c>
      <c r="FE51" s="208">
        <v>-174774</v>
      </c>
      <c r="FF51" s="208">
        <v>2504</v>
      </c>
      <c r="FG51" s="208">
        <v>0</v>
      </c>
      <c r="FH51" s="208">
        <v>2504</v>
      </c>
      <c r="FI51" s="208">
        <v>-77682</v>
      </c>
      <c r="FJ51" s="208">
        <v>0</v>
      </c>
      <c r="FK51" s="208">
        <v>-77682</v>
      </c>
      <c r="FL51" s="208">
        <v>3085</v>
      </c>
      <c r="FM51" s="208">
        <v>0</v>
      </c>
      <c r="FN51" s="208">
        <v>3085</v>
      </c>
      <c r="FO51" s="208">
        <v>0</v>
      </c>
      <c r="FP51" s="208">
        <v>0</v>
      </c>
      <c r="FQ51" s="208">
        <v>0</v>
      </c>
      <c r="FR51" s="208">
        <v>0</v>
      </c>
      <c r="FS51" s="208">
        <v>0</v>
      </c>
      <c r="FT51" s="208">
        <v>0</v>
      </c>
      <c r="FU51" s="208">
        <v>-334271</v>
      </c>
      <c r="FV51" s="208">
        <v>0</v>
      </c>
      <c r="FW51" s="208">
        <v>-334271</v>
      </c>
      <c r="FX51" s="208">
        <v>0</v>
      </c>
      <c r="FY51" s="208">
        <v>0</v>
      </c>
      <c r="FZ51" s="208">
        <v>0</v>
      </c>
      <c r="GA51" s="208">
        <v>0</v>
      </c>
      <c r="GB51" s="208">
        <v>0</v>
      </c>
      <c r="GC51" s="208">
        <v>0</v>
      </c>
      <c r="GD51" s="208">
        <v>0</v>
      </c>
      <c r="GE51" s="208">
        <v>0</v>
      </c>
      <c r="GF51" s="208">
        <v>0</v>
      </c>
      <c r="GG51" s="208">
        <v>68561347</v>
      </c>
      <c r="GH51" s="208">
        <v>0</v>
      </c>
      <c r="GI51" s="208">
        <v>68561347</v>
      </c>
      <c r="GJ51" s="208">
        <v>2106040</v>
      </c>
      <c r="GK51" s="208">
        <v>0</v>
      </c>
      <c r="GL51" s="208">
        <v>2106040</v>
      </c>
      <c r="GM51" s="208">
        <v>-13844597</v>
      </c>
      <c r="GN51" s="208">
        <v>0</v>
      </c>
      <c r="GO51" s="208">
        <v>-13844597</v>
      </c>
      <c r="GP51" s="208">
        <v>-1524075</v>
      </c>
      <c r="GQ51" s="208">
        <v>0</v>
      </c>
      <c r="GR51" s="208">
        <v>-1524075</v>
      </c>
      <c r="GS51" s="208">
        <v>-559166</v>
      </c>
      <c r="GT51" s="208">
        <v>0</v>
      </c>
      <c r="GU51" s="208">
        <v>-559166</v>
      </c>
      <c r="GV51" s="208">
        <v>-334271</v>
      </c>
      <c r="GW51" s="208">
        <v>0</v>
      </c>
      <c r="GX51" s="208">
        <v>-334271</v>
      </c>
      <c r="GY51" s="208">
        <v>0</v>
      </c>
      <c r="GZ51" s="208">
        <v>0</v>
      </c>
      <c r="HA51" s="208">
        <v>0</v>
      </c>
      <c r="HB51" s="208">
        <v>-14156069</v>
      </c>
      <c r="HC51" s="208">
        <v>0</v>
      </c>
      <c r="HD51" s="208">
        <v>-14156069</v>
      </c>
      <c r="HE51" s="208">
        <v>54405278</v>
      </c>
      <c r="HF51" s="208">
        <v>0</v>
      </c>
      <c r="HG51" s="208">
        <v>54405278</v>
      </c>
      <c r="HH51" s="187" t="s">
        <v>1054</v>
      </c>
    </row>
    <row r="52" spans="2:216" s="187" customFormat="1" x14ac:dyDescent="0.2">
      <c r="B52" s="429" t="s">
        <v>183</v>
      </c>
      <c r="C52" s="429" t="s">
        <v>182</v>
      </c>
      <c r="D52" s="208">
        <v>-547453</v>
      </c>
      <c r="E52" s="208">
        <v>-1357</v>
      </c>
      <c r="F52" s="208">
        <v>-548810</v>
      </c>
      <c r="G52" s="208">
        <v>2920</v>
      </c>
      <c r="H52" s="208">
        <v>0</v>
      </c>
      <c r="I52" s="208">
        <v>2920</v>
      </c>
      <c r="J52" s="208">
        <v>2323703</v>
      </c>
      <c r="K52" s="208">
        <v>12778</v>
      </c>
      <c r="L52" s="208">
        <v>2336481</v>
      </c>
      <c r="M52" s="208">
        <v>1192</v>
      </c>
      <c r="N52" s="208">
        <v>0</v>
      </c>
      <c r="O52" s="208">
        <v>1192</v>
      </c>
      <c r="P52" s="208">
        <v>1780362</v>
      </c>
      <c r="Q52" s="208">
        <v>11421</v>
      </c>
      <c r="R52" s="208">
        <v>1791783</v>
      </c>
      <c r="S52" s="208">
        <v>-4202352</v>
      </c>
      <c r="T52" s="208">
        <v>-86580</v>
      </c>
      <c r="U52" s="208">
        <v>-4288932</v>
      </c>
      <c r="V52" s="208">
        <v>-21483</v>
      </c>
      <c r="W52" s="208">
        <v>0</v>
      </c>
      <c r="X52" s="208">
        <v>-21483</v>
      </c>
      <c r="Y52" s="208">
        <v>-84317</v>
      </c>
      <c r="Z52" s="208">
        <v>-15867</v>
      </c>
      <c r="AA52" s="208">
        <v>-100184</v>
      </c>
      <c r="AB52" s="208">
        <v>-22192</v>
      </c>
      <c r="AC52" s="208">
        <v>-8049</v>
      </c>
      <c r="AD52" s="208">
        <v>-30241</v>
      </c>
      <c r="AE52" s="208">
        <v>-62118</v>
      </c>
      <c r="AF52" s="208">
        <v>-6033</v>
      </c>
      <c r="AG52" s="208">
        <v>-68151</v>
      </c>
      <c r="AH52" s="208">
        <v>-2359</v>
      </c>
      <c r="AI52" s="208">
        <v>0</v>
      </c>
      <c r="AJ52" s="208">
        <v>-2359</v>
      </c>
      <c r="AK52" s="208">
        <v>3353</v>
      </c>
      <c r="AL52" s="208">
        <v>0</v>
      </c>
      <c r="AM52" s="208">
        <v>3353</v>
      </c>
      <c r="AN52" s="208">
        <v>928330</v>
      </c>
      <c r="AO52" s="208">
        <v>39110</v>
      </c>
      <c r="AP52" s="208">
        <v>967440</v>
      </c>
      <c r="AQ52" s="208">
        <v>-5327</v>
      </c>
      <c r="AR52" s="208">
        <v>6</v>
      </c>
      <c r="AS52" s="208">
        <v>-5321</v>
      </c>
      <c r="AT52" s="208">
        <v>-3427488</v>
      </c>
      <c r="AU52" s="208">
        <v>-3155</v>
      </c>
      <c r="AV52" s="208">
        <v>-3430643</v>
      </c>
      <c r="AW52" s="208">
        <v>-9437</v>
      </c>
      <c r="AX52" s="208">
        <v>0</v>
      </c>
      <c r="AY52" s="208">
        <v>-9437</v>
      </c>
      <c r="AZ52" s="208">
        <v>-79363</v>
      </c>
      <c r="BA52" s="208">
        <v>0</v>
      </c>
      <c r="BB52" s="208">
        <v>-79363</v>
      </c>
      <c r="BC52" s="208">
        <v>0</v>
      </c>
      <c r="BD52" s="208">
        <v>0</v>
      </c>
      <c r="BE52" s="208">
        <v>0</v>
      </c>
      <c r="BF52" s="208">
        <v>-23564</v>
      </c>
      <c r="BG52" s="208">
        <v>0</v>
      </c>
      <c r="BH52" s="208">
        <v>-23564</v>
      </c>
      <c r="BI52" s="208">
        <v>-728</v>
      </c>
      <c r="BJ52" s="208">
        <v>0</v>
      </c>
      <c r="BK52" s="208">
        <v>-728</v>
      </c>
      <c r="BL52" s="208">
        <v>-6904246</v>
      </c>
      <c r="BM52" s="208">
        <v>-66486</v>
      </c>
      <c r="BN52" s="208">
        <v>-6970732</v>
      </c>
      <c r="BO52" s="208">
        <v>-6745</v>
      </c>
      <c r="BP52" s="208">
        <v>0</v>
      </c>
      <c r="BQ52" s="208">
        <v>-6745</v>
      </c>
      <c r="BR52" s="208">
        <v>0</v>
      </c>
      <c r="BS52" s="208">
        <v>0</v>
      </c>
      <c r="BT52" s="208">
        <v>0</v>
      </c>
      <c r="BU52" s="208">
        <v>-1616494</v>
      </c>
      <c r="BV52" s="208">
        <v>-138913</v>
      </c>
      <c r="BW52" s="208">
        <v>-1755407</v>
      </c>
      <c r="BX52" s="208">
        <v>-28796</v>
      </c>
      <c r="BY52" s="208">
        <v>-261</v>
      </c>
      <c r="BZ52" s="208">
        <v>-29057</v>
      </c>
      <c r="CA52" s="208">
        <v>-1652035</v>
      </c>
      <c r="CB52" s="208">
        <v>-139174</v>
      </c>
      <c r="CC52" s="208">
        <v>-1791209</v>
      </c>
      <c r="CD52" s="208">
        <v>-53537</v>
      </c>
      <c r="CE52" s="208">
        <v>0</v>
      </c>
      <c r="CF52" s="208">
        <v>-53537</v>
      </c>
      <c r="CG52" s="208">
        <v>1842</v>
      </c>
      <c r="CH52" s="208">
        <v>0</v>
      </c>
      <c r="CI52" s="208">
        <v>1842</v>
      </c>
      <c r="CJ52" s="208">
        <v>-30719</v>
      </c>
      <c r="CK52" s="208">
        <v>0</v>
      </c>
      <c r="CL52" s="208">
        <v>-30719</v>
      </c>
      <c r="CM52" s="208">
        <v>534</v>
      </c>
      <c r="CN52" s="208">
        <v>0</v>
      </c>
      <c r="CO52" s="208">
        <v>534</v>
      </c>
      <c r="CP52" s="208">
        <v>-2857</v>
      </c>
      <c r="CQ52" s="208">
        <v>0</v>
      </c>
      <c r="CR52" s="208">
        <v>-2857</v>
      </c>
      <c r="CS52" s="208">
        <v>0</v>
      </c>
      <c r="CT52" s="208">
        <v>0</v>
      </c>
      <c r="CU52" s="208">
        <v>0</v>
      </c>
      <c r="CV52" s="208">
        <v>0</v>
      </c>
      <c r="CW52" s="208">
        <v>0</v>
      </c>
      <c r="CX52" s="208">
        <v>0</v>
      </c>
      <c r="CY52" s="208">
        <v>0</v>
      </c>
      <c r="CZ52" s="208">
        <v>0</v>
      </c>
      <c r="DA52" s="208">
        <v>0</v>
      </c>
      <c r="DB52" s="208">
        <v>-816</v>
      </c>
      <c r="DC52" s="208">
        <v>0</v>
      </c>
      <c r="DD52" s="208">
        <v>-816</v>
      </c>
      <c r="DE52" s="208">
        <v>0</v>
      </c>
      <c r="DF52" s="208">
        <v>0</v>
      </c>
      <c r="DG52" s="208">
        <v>0</v>
      </c>
      <c r="DH52" s="208">
        <v>-57519</v>
      </c>
      <c r="DI52" s="208">
        <v>-127168</v>
      </c>
      <c r="DJ52" s="208">
        <v>-184687</v>
      </c>
      <c r="DK52" s="208">
        <v>0</v>
      </c>
      <c r="DL52" s="208">
        <v>0</v>
      </c>
      <c r="DM52" s="208">
        <v>0</v>
      </c>
      <c r="DN52" s="208">
        <v>-127168</v>
      </c>
      <c r="DO52" s="208">
        <v>0</v>
      </c>
      <c r="DP52" s="208">
        <v>-143072</v>
      </c>
      <c r="DQ52" s="208">
        <v>-127168</v>
      </c>
      <c r="DR52" s="208">
        <v>-270240</v>
      </c>
      <c r="DS52" s="208">
        <v>0</v>
      </c>
      <c r="DT52" s="208">
        <v>0</v>
      </c>
      <c r="DU52" s="208">
        <v>0</v>
      </c>
      <c r="DV52" s="208">
        <v>0</v>
      </c>
      <c r="DW52" s="208">
        <v>0</v>
      </c>
      <c r="DX52" s="208">
        <v>0</v>
      </c>
      <c r="DY52" s="208">
        <v>0</v>
      </c>
      <c r="DZ52" s="208">
        <v>0</v>
      </c>
      <c r="EA52" s="208">
        <v>0</v>
      </c>
      <c r="EB52" s="208">
        <v>-61847</v>
      </c>
      <c r="EC52" s="208">
        <v>0</v>
      </c>
      <c r="ED52" s="208">
        <v>-61847</v>
      </c>
      <c r="EE52" s="208">
        <v>2132</v>
      </c>
      <c r="EF52" s="208">
        <v>0</v>
      </c>
      <c r="EG52" s="208">
        <v>2132</v>
      </c>
      <c r="EH52" s="208">
        <v>0</v>
      </c>
      <c r="EI52" s="208">
        <v>0</v>
      </c>
      <c r="EJ52" s="208">
        <v>0</v>
      </c>
      <c r="EK52" s="208">
        <v>-23563</v>
      </c>
      <c r="EL52" s="208">
        <v>0</v>
      </c>
      <c r="EM52" s="208">
        <v>-23563</v>
      </c>
      <c r="EN52" s="208">
        <v>1368</v>
      </c>
      <c r="EO52" s="208">
        <v>0</v>
      </c>
      <c r="EP52" s="208">
        <v>1368</v>
      </c>
      <c r="EQ52" s="208">
        <v>-1500</v>
      </c>
      <c r="ER52" s="208">
        <v>0</v>
      </c>
      <c r="ES52" s="208">
        <v>-1500</v>
      </c>
      <c r="ET52" s="208">
        <v>0</v>
      </c>
      <c r="EU52" s="208">
        <v>0</v>
      </c>
      <c r="EV52" s="208">
        <v>0</v>
      </c>
      <c r="EW52" s="208">
        <v>-13474</v>
      </c>
      <c r="EX52" s="208">
        <v>0</v>
      </c>
      <c r="EY52" s="208">
        <v>-13474</v>
      </c>
      <c r="EZ52" s="208">
        <v>1199</v>
      </c>
      <c r="FA52" s="208">
        <v>0</v>
      </c>
      <c r="FB52" s="208">
        <v>1199</v>
      </c>
      <c r="FC52" s="208">
        <v>-69757</v>
      </c>
      <c r="FD52" s="208">
        <v>-2661</v>
      </c>
      <c r="FE52" s="208">
        <v>-72418</v>
      </c>
      <c r="FF52" s="208">
        <v>1293</v>
      </c>
      <c r="FG52" s="208">
        <v>1500</v>
      </c>
      <c r="FH52" s="208">
        <v>2793</v>
      </c>
      <c r="FI52" s="208">
        <v>-37495</v>
      </c>
      <c r="FJ52" s="208">
        <v>0</v>
      </c>
      <c r="FK52" s="208">
        <v>-37495</v>
      </c>
      <c r="FL52" s="208">
        <v>-964</v>
      </c>
      <c r="FM52" s="208">
        <v>0</v>
      </c>
      <c r="FN52" s="208">
        <v>-964</v>
      </c>
      <c r="FO52" s="208">
        <v>0</v>
      </c>
      <c r="FP52" s="208">
        <v>0</v>
      </c>
      <c r="FQ52" s="208">
        <v>0</v>
      </c>
      <c r="FR52" s="208">
        <v>0</v>
      </c>
      <c r="FS52" s="208">
        <v>0</v>
      </c>
      <c r="FT52" s="208">
        <v>0</v>
      </c>
      <c r="FU52" s="208">
        <v>-202608</v>
      </c>
      <c r="FV52" s="208">
        <v>-1161</v>
      </c>
      <c r="FW52" s="208">
        <v>-203769</v>
      </c>
      <c r="FX52" s="208">
        <v>0</v>
      </c>
      <c r="FY52" s="208">
        <v>0</v>
      </c>
      <c r="FZ52" s="208">
        <v>0</v>
      </c>
      <c r="GA52" s="208">
        <v>-2470</v>
      </c>
      <c r="GB52" s="208">
        <v>0</v>
      </c>
      <c r="GC52" s="208">
        <v>-2470</v>
      </c>
      <c r="GD52" s="208">
        <v>-2470</v>
      </c>
      <c r="GE52" s="208">
        <v>0</v>
      </c>
      <c r="GF52" s="208">
        <v>-2470</v>
      </c>
      <c r="GG52" s="208">
        <v>49843139</v>
      </c>
      <c r="GH52" s="208">
        <v>1827310</v>
      </c>
      <c r="GI52" s="208">
        <v>51670449</v>
      </c>
      <c r="GJ52" s="208">
        <v>1780362</v>
      </c>
      <c r="GK52" s="208">
        <v>11421</v>
      </c>
      <c r="GL52" s="208">
        <v>1791783</v>
      </c>
      <c r="GM52" s="208">
        <v>-6904246</v>
      </c>
      <c r="GN52" s="208">
        <v>-66486</v>
      </c>
      <c r="GO52" s="208">
        <v>-6970732</v>
      </c>
      <c r="GP52" s="208">
        <v>-1652035</v>
      </c>
      <c r="GQ52" s="208">
        <v>-139174</v>
      </c>
      <c r="GR52" s="208">
        <v>-1791209</v>
      </c>
      <c r="GS52" s="208">
        <v>-143072</v>
      </c>
      <c r="GT52" s="208">
        <v>-127168</v>
      </c>
      <c r="GU52" s="208">
        <v>-270240</v>
      </c>
      <c r="GV52" s="208">
        <v>-202608</v>
      </c>
      <c r="GW52" s="208">
        <v>-1161</v>
      </c>
      <c r="GX52" s="208">
        <v>-203769</v>
      </c>
      <c r="GY52" s="208">
        <v>-2470</v>
      </c>
      <c r="GZ52" s="208">
        <v>0</v>
      </c>
      <c r="HA52" s="208">
        <v>-2470</v>
      </c>
      <c r="HB52" s="208">
        <v>-7124069</v>
      </c>
      <c r="HC52" s="208">
        <v>-322568</v>
      </c>
      <c r="HD52" s="208">
        <v>-7446637</v>
      </c>
      <c r="HE52" s="208">
        <v>42719070</v>
      </c>
      <c r="HF52" s="208">
        <v>1504742</v>
      </c>
      <c r="HG52" s="208">
        <v>44223812</v>
      </c>
      <c r="HH52" s="187" t="s">
        <v>1054</v>
      </c>
    </row>
    <row r="53" spans="2:216" s="187" customFormat="1" x14ac:dyDescent="0.2">
      <c r="B53" s="429" t="s">
        <v>185</v>
      </c>
      <c r="C53" s="429" t="s">
        <v>184</v>
      </c>
      <c r="D53" s="208">
        <v>-370868</v>
      </c>
      <c r="E53" s="208">
        <v>0</v>
      </c>
      <c r="F53" s="208">
        <v>-370868</v>
      </c>
      <c r="G53" s="208">
        <v>-16311</v>
      </c>
      <c r="H53" s="208">
        <v>0</v>
      </c>
      <c r="I53" s="208">
        <v>-16311</v>
      </c>
      <c r="J53" s="208">
        <v>411167</v>
      </c>
      <c r="K53" s="208">
        <v>0</v>
      </c>
      <c r="L53" s="208">
        <v>411167</v>
      </c>
      <c r="M53" s="208">
        <v>53499</v>
      </c>
      <c r="N53" s="208">
        <v>0</v>
      </c>
      <c r="O53" s="208">
        <v>53499</v>
      </c>
      <c r="P53" s="208">
        <v>77487</v>
      </c>
      <c r="Q53" s="208">
        <v>0</v>
      </c>
      <c r="R53" s="208">
        <v>77487</v>
      </c>
      <c r="S53" s="208">
        <v>-3127154</v>
      </c>
      <c r="T53" s="208">
        <v>0</v>
      </c>
      <c r="U53" s="208">
        <v>-3127154</v>
      </c>
      <c r="V53" s="208">
        <v>0</v>
      </c>
      <c r="W53" s="208">
        <v>0</v>
      </c>
      <c r="X53" s="208">
        <v>0</v>
      </c>
      <c r="Y53" s="208">
        <v>-24226</v>
      </c>
      <c r="Z53" s="208">
        <v>0</v>
      </c>
      <c r="AA53" s="208">
        <v>-24226</v>
      </c>
      <c r="AB53" s="208">
        <v>5521</v>
      </c>
      <c r="AC53" s="208">
        <v>0</v>
      </c>
      <c r="AD53" s="208">
        <v>5521</v>
      </c>
      <c r="AE53" s="208">
        <v>-29177</v>
      </c>
      <c r="AF53" s="208">
        <v>0</v>
      </c>
      <c r="AG53" s="208">
        <v>-29177</v>
      </c>
      <c r="AH53" s="208">
        <v>0</v>
      </c>
      <c r="AI53" s="208">
        <v>0</v>
      </c>
      <c r="AJ53" s="208">
        <v>0</v>
      </c>
      <c r="AK53" s="208">
        <v>726</v>
      </c>
      <c r="AL53" s="208">
        <v>0</v>
      </c>
      <c r="AM53" s="208">
        <v>726</v>
      </c>
      <c r="AN53" s="208">
        <v>308086</v>
      </c>
      <c r="AO53" s="208">
        <v>0</v>
      </c>
      <c r="AP53" s="208">
        <v>308086</v>
      </c>
      <c r="AQ53" s="208">
        <v>-7205</v>
      </c>
      <c r="AR53" s="208">
        <v>0</v>
      </c>
      <c r="AS53" s="208">
        <v>-7205</v>
      </c>
      <c r="AT53" s="208">
        <v>-1740244</v>
      </c>
      <c r="AU53" s="208">
        <v>0</v>
      </c>
      <c r="AV53" s="208">
        <v>-1740244</v>
      </c>
      <c r="AW53" s="208">
        <v>156246</v>
      </c>
      <c r="AX53" s="208">
        <v>0</v>
      </c>
      <c r="AY53" s="208">
        <v>156246</v>
      </c>
      <c r="AZ53" s="208">
        <v>-10294</v>
      </c>
      <c r="BA53" s="208">
        <v>0</v>
      </c>
      <c r="BB53" s="208">
        <v>-10294</v>
      </c>
      <c r="BC53" s="208">
        <v>0</v>
      </c>
      <c r="BD53" s="208">
        <v>0</v>
      </c>
      <c r="BE53" s="208">
        <v>0</v>
      </c>
      <c r="BF53" s="208">
        <v>0</v>
      </c>
      <c r="BG53" s="208">
        <v>0</v>
      </c>
      <c r="BH53" s="208">
        <v>0</v>
      </c>
      <c r="BI53" s="208">
        <v>0</v>
      </c>
      <c r="BJ53" s="208">
        <v>0</v>
      </c>
      <c r="BK53" s="208">
        <v>0</v>
      </c>
      <c r="BL53" s="208">
        <v>-4444791</v>
      </c>
      <c r="BM53" s="208">
        <v>0</v>
      </c>
      <c r="BN53" s="208">
        <v>-4444791</v>
      </c>
      <c r="BO53" s="208">
        <v>-463</v>
      </c>
      <c r="BP53" s="208">
        <v>0</v>
      </c>
      <c r="BQ53" s="208">
        <v>-463</v>
      </c>
      <c r="BR53" s="208">
        <v>-5251</v>
      </c>
      <c r="BS53" s="208">
        <v>0</v>
      </c>
      <c r="BT53" s="208">
        <v>-5251</v>
      </c>
      <c r="BU53" s="208">
        <v>-283101</v>
      </c>
      <c r="BV53" s="208">
        <v>0</v>
      </c>
      <c r="BW53" s="208">
        <v>-283101</v>
      </c>
      <c r="BX53" s="208">
        <v>5690</v>
      </c>
      <c r="BY53" s="208">
        <v>0</v>
      </c>
      <c r="BZ53" s="208">
        <v>5690</v>
      </c>
      <c r="CA53" s="208">
        <v>-283125</v>
      </c>
      <c r="CB53" s="208">
        <v>0</v>
      </c>
      <c r="CC53" s="208">
        <v>-283125</v>
      </c>
      <c r="CD53" s="208">
        <v>-62723</v>
      </c>
      <c r="CE53" s="208">
        <v>0</v>
      </c>
      <c r="CF53" s="208">
        <v>-62723</v>
      </c>
      <c r="CG53" s="208">
        <v>-73</v>
      </c>
      <c r="CH53" s="208">
        <v>0</v>
      </c>
      <c r="CI53" s="208">
        <v>-73</v>
      </c>
      <c r="CJ53" s="208">
        <v>-40117</v>
      </c>
      <c r="CK53" s="208">
        <v>0</v>
      </c>
      <c r="CL53" s="208">
        <v>-40117</v>
      </c>
      <c r="CM53" s="208">
        <v>0</v>
      </c>
      <c r="CN53" s="208">
        <v>0</v>
      </c>
      <c r="CO53" s="208">
        <v>0</v>
      </c>
      <c r="CP53" s="208">
        <v>-2573</v>
      </c>
      <c r="CQ53" s="208">
        <v>0</v>
      </c>
      <c r="CR53" s="208">
        <v>-2573</v>
      </c>
      <c r="CS53" s="208">
        <v>0</v>
      </c>
      <c r="CT53" s="208">
        <v>0</v>
      </c>
      <c r="CU53" s="208">
        <v>0</v>
      </c>
      <c r="CV53" s="208">
        <v>0</v>
      </c>
      <c r="CW53" s="208">
        <v>0</v>
      </c>
      <c r="CX53" s="208">
        <v>0</v>
      </c>
      <c r="CY53" s="208">
        <v>0</v>
      </c>
      <c r="CZ53" s="208">
        <v>0</v>
      </c>
      <c r="DA53" s="208">
        <v>0</v>
      </c>
      <c r="DB53" s="208">
        <v>0</v>
      </c>
      <c r="DC53" s="208">
        <v>0</v>
      </c>
      <c r="DD53" s="208">
        <v>0</v>
      </c>
      <c r="DE53" s="208">
        <v>0</v>
      </c>
      <c r="DF53" s="208">
        <v>0</v>
      </c>
      <c r="DG53" s="208">
        <v>0</v>
      </c>
      <c r="DH53" s="208">
        <v>0</v>
      </c>
      <c r="DI53" s="208">
        <v>0</v>
      </c>
      <c r="DJ53" s="208">
        <v>0</v>
      </c>
      <c r="DK53" s="208">
        <v>0</v>
      </c>
      <c r="DL53" s="208">
        <v>0</v>
      </c>
      <c r="DM53" s="208">
        <v>0</v>
      </c>
      <c r="DN53" s="208">
        <v>0</v>
      </c>
      <c r="DO53" s="208">
        <v>0</v>
      </c>
      <c r="DP53" s="208">
        <v>-105486</v>
      </c>
      <c r="DQ53" s="208">
        <v>0</v>
      </c>
      <c r="DR53" s="208">
        <v>-105486</v>
      </c>
      <c r="DS53" s="208">
        <v>0</v>
      </c>
      <c r="DT53" s="208">
        <v>0</v>
      </c>
      <c r="DU53" s="208">
        <v>0</v>
      </c>
      <c r="DV53" s="208">
        <v>0</v>
      </c>
      <c r="DW53" s="208">
        <v>0</v>
      </c>
      <c r="DX53" s="208">
        <v>0</v>
      </c>
      <c r="DY53" s="208">
        <v>0</v>
      </c>
      <c r="DZ53" s="208">
        <v>0</v>
      </c>
      <c r="EA53" s="208">
        <v>0</v>
      </c>
      <c r="EB53" s="208">
        <v>0</v>
      </c>
      <c r="EC53" s="208">
        <v>0</v>
      </c>
      <c r="ED53" s="208">
        <v>0</v>
      </c>
      <c r="EE53" s="208">
        <v>0</v>
      </c>
      <c r="EF53" s="208">
        <v>0</v>
      </c>
      <c r="EG53" s="208">
        <v>0</v>
      </c>
      <c r="EH53" s="208">
        <v>0</v>
      </c>
      <c r="EI53" s="208">
        <v>0</v>
      </c>
      <c r="EJ53" s="208">
        <v>0</v>
      </c>
      <c r="EK53" s="208">
        <v>0</v>
      </c>
      <c r="EL53" s="208">
        <v>0</v>
      </c>
      <c r="EM53" s="208">
        <v>0</v>
      </c>
      <c r="EN53" s="208">
        <v>0</v>
      </c>
      <c r="EO53" s="208">
        <v>0</v>
      </c>
      <c r="EP53" s="208">
        <v>0</v>
      </c>
      <c r="EQ53" s="208">
        <v>0</v>
      </c>
      <c r="ER53" s="208">
        <v>0</v>
      </c>
      <c r="ES53" s="208">
        <v>0</v>
      </c>
      <c r="ET53" s="208">
        <v>0</v>
      </c>
      <c r="EU53" s="208">
        <v>0</v>
      </c>
      <c r="EV53" s="208">
        <v>0</v>
      </c>
      <c r="EW53" s="208">
        <v>-9284</v>
      </c>
      <c r="EX53" s="208">
        <v>0</v>
      </c>
      <c r="EY53" s="208">
        <v>-9284</v>
      </c>
      <c r="EZ53" s="208">
        <v>-1781</v>
      </c>
      <c r="FA53" s="208">
        <v>0</v>
      </c>
      <c r="FB53" s="208">
        <v>-1781</v>
      </c>
      <c r="FC53" s="208">
        <v>-17326</v>
      </c>
      <c r="FD53" s="208">
        <v>0</v>
      </c>
      <c r="FE53" s="208">
        <v>-17326</v>
      </c>
      <c r="FF53" s="208">
        <v>1207</v>
      </c>
      <c r="FG53" s="208">
        <v>0</v>
      </c>
      <c r="FH53" s="208">
        <v>1207</v>
      </c>
      <c r="FI53" s="208">
        <v>-8000</v>
      </c>
      <c r="FJ53" s="208">
        <v>0</v>
      </c>
      <c r="FK53" s="208">
        <v>-8000</v>
      </c>
      <c r="FL53" s="208">
        <v>0</v>
      </c>
      <c r="FM53" s="208">
        <v>0</v>
      </c>
      <c r="FN53" s="208">
        <v>0</v>
      </c>
      <c r="FO53" s="208">
        <v>0</v>
      </c>
      <c r="FP53" s="208">
        <v>0</v>
      </c>
      <c r="FQ53" s="208">
        <v>0</v>
      </c>
      <c r="FR53" s="208">
        <v>0</v>
      </c>
      <c r="FS53" s="208">
        <v>0</v>
      </c>
      <c r="FT53" s="208">
        <v>0</v>
      </c>
      <c r="FU53" s="208">
        <v>-35184</v>
      </c>
      <c r="FV53" s="208">
        <v>0</v>
      </c>
      <c r="FW53" s="208">
        <v>-35184</v>
      </c>
      <c r="FX53" s="208">
        <v>0</v>
      </c>
      <c r="FY53" s="208">
        <v>0</v>
      </c>
      <c r="FZ53" s="208">
        <v>0</v>
      </c>
      <c r="GA53" s="208">
        <v>0</v>
      </c>
      <c r="GB53" s="208">
        <v>0</v>
      </c>
      <c r="GC53" s="208">
        <v>0</v>
      </c>
      <c r="GD53" s="208">
        <v>0</v>
      </c>
      <c r="GE53" s="208">
        <v>0</v>
      </c>
      <c r="GF53" s="208">
        <v>0</v>
      </c>
      <c r="GG53" s="208">
        <v>19284191</v>
      </c>
      <c r="GH53" s="208">
        <v>0</v>
      </c>
      <c r="GI53" s="208">
        <v>19284191</v>
      </c>
      <c r="GJ53" s="208">
        <v>77487</v>
      </c>
      <c r="GK53" s="208">
        <v>0</v>
      </c>
      <c r="GL53" s="208">
        <v>77487</v>
      </c>
      <c r="GM53" s="208">
        <v>-4444791</v>
      </c>
      <c r="GN53" s="208">
        <v>0</v>
      </c>
      <c r="GO53" s="208">
        <v>-4444791</v>
      </c>
      <c r="GP53" s="208">
        <v>-283125</v>
      </c>
      <c r="GQ53" s="208">
        <v>0</v>
      </c>
      <c r="GR53" s="208">
        <v>-283125</v>
      </c>
      <c r="GS53" s="208">
        <v>-105486</v>
      </c>
      <c r="GT53" s="208">
        <v>0</v>
      </c>
      <c r="GU53" s="208">
        <v>-105486</v>
      </c>
      <c r="GV53" s="208">
        <v>-35184</v>
      </c>
      <c r="GW53" s="208">
        <v>0</v>
      </c>
      <c r="GX53" s="208">
        <v>-35184</v>
      </c>
      <c r="GY53" s="208">
        <v>0</v>
      </c>
      <c r="GZ53" s="208">
        <v>0</v>
      </c>
      <c r="HA53" s="208">
        <v>0</v>
      </c>
      <c r="HB53" s="208">
        <v>-4791099</v>
      </c>
      <c r="HC53" s="208">
        <v>0</v>
      </c>
      <c r="HD53" s="208">
        <v>-4791099</v>
      </c>
      <c r="HE53" s="208">
        <v>14493092</v>
      </c>
      <c r="HF53" s="208">
        <v>0</v>
      </c>
      <c r="HG53" s="208">
        <v>14493092</v>
      </c>
      <c r="HH53" s="187" t="s">
        <v>1054</v>
      </c>
    </row>
    <row r="54" spans="2:216" s="187" customFormat="1" x14ac:dyDescent="0.2">
      <c r="B54" s="429" t="s">
        <v>187</v>
      </c>
      <c r="C54" s="429" t="s">
        <v>186</v>
      </c>
      <c r="D54" s="208">
        <v>-1125731</v>
      </c>
      <c r="E54" s="208">
        <v>0</v>
      </c>
      <c r="F54" s="208">
        <v>-1125731</v>
      </c>
      <c r="G54" s="208">
        <v>60430</v>
      </c>
      <c r="H54" s="208">
        <v>0</v>
      </c>
      <c r="I54" s="208">
        <v>60430</v>
      </c>
      <c r="J54" s="208">
        <v>1769959</v>
      </c>
      <c r="K54" s="208">
        <v>0</v>
      </c>
      <c r="L54" s="208">
        <v>1769959</v>
      </c>
      <c r="M54" s="208">
        <v>-6137</v>
      </c>
      <c r="N54" s="208">
        <v>0</v>
      </c>
      <c r="O54" s="208">
        <v>-6137</v>
      </c>
      <c r="P54" s="208">
        <v>698521</v>
      </c>
      <c r="Q54" s="208">
        <v>0</v>
      </c>
      <c r="R54" s="208">
        <v>698521</v>
      </c>
      <c r="S54" s="208">
        <v>-8329558</v>
      </c>
      <c r="T54" s="208">
        <v>0</v>
      </c>
      <c r="U54" s="208">
        <v>-8329558</v>
      </c>
      <c r="V54" s="208">
        <v>0</v>
      </c>
      <c r="W54" s="208">
        <v>0</v>
      </c>
      <c r="X54" s="208">
        <v>0</v>
      </c>
      <c r="Y54" s="208">
        <v>-213812</v>
      </c>
      <c r="Z54" s="208">
        <v>0</v>
      </c>
      <c r="AA54" s="208">
        <v>-213812</v>
      </c>
      <c r="AB54" s="208">
        <v>-47458</v>
      </c>
      <c r="AC54" s="208">
        <v>0</v>
      </c>
      <c r="AD54" s="208">
        <v>-47458</v>
      </c>
      <c r="AE54" s="208">
        <v>-159435</v>
      </c>
      <c r="AF54" s="208">
        <v>0</v>
      </c>
      <c r="AG54" s="208">
        <v>-159435</v>
      </c>
      <c r="AH54" s="208">
        <v>0</v>
      </c>
      <c r="AI54" s="208">
        <v>0</v>
      </c>
      <c r="AJ54" s="208">
        <v>0</v>
      </c>
      <c r="AK54" s="208">
        <v>0</v>
      </c>
      <c r="AL54" s="208">
        <v>0</v>
      </c>
      <c r="AM54" s="208">
        <v>0</v>
      </c>
      <c r="AN54" s="208">
        <v>2050263</v>
      </c>
      <c r="AO54" s="208">
        <v>0</v>
      </c>
      <c r="AP54" s="208">
        <v>2050263</v>
      </c>
      <c r="AQ54" s="208">
        <v>-48967</v>
      </c>
      <c r="AR54" s="208">
        <v>0</v>
      </c>
      <c r="AS54" s="208">
        <v>-48967</v>
      </c>
      <c r="AT54" s="208">
        <v>-7927150</v>
      </c>
      <c r="AU54" s="208">
        <v>0</v>
      </c>
      <c r="AV54" s="208">
        <v>-7927150</v>
      </c>
      <c r="AW54" s="208">
        <v>-117989</v>
      </c>
      <c r="AX54" s="208">
        <v>0</v>
      </c>
      <c r="AY54" s="208">
        <v>-117989</v>
      </c>
      <c r="AZ54" s="208">
        <v>-60711</v>
      </c>
      <c r="BA54" s="208">
        <v>0</v>
      </c>
      <c r="BB54" s="208">
        <v>-60711</v>
      </c>
      <c r="BC54" s="208">
        <v>0</v>
      </c>
      <c r="BD54" s="208">
        <v>0</v>
      </c>
      <c r="BE54" s="208">
        <v>0</v>
      </c>
      <c r="BF54" s="208">
        <v>-26547</v>
      </c>
      <c r="BG54" s="208">
        <v>0</v>
      </c>
      <c r="BH54" s="208">
        <v>-26547</v>
      </c>
      <c r="BI54" s="208">
        <v>0</v>
      </c>
      <c r="BJ54" s="208">
        <v>0</v>
      </c>
      <c r="BK54" s="208">
        <v>0</v>
      </c>
      <c r="BL54" s="208">
        <v>-14674471</v>
      </c>
      <c r="BM54" s="208">
        <v>0</v>
      </c>
      <c r="BN54" s="208">
        <v>-14674471</v>
      </c>
      <c r="BO54" s="208">
        <v>-98405</v>
      </c>
      <c r="BP54" s="208">
        <v>0</v>
      </c>
      <c r="BQ54" s="208">
        <v>-98405</v>
      </c>
      <c r="BR54" s="208">
        <v>-3102</v>
      </c>
      <c r="BS54" s="208">
        <v>0</v>
      </c>
      <c r="BT54" s="208">
        <v>-3102</v>
      </c>
      <c r="BU54" s="208">
        <v>-2150199</v>
      </c>
      <c r="BV54" s="208">
        <v>0</v>
      </c>
      <c r="BW54" s="208">
        <v>-2150199</v>
      </c>
      <c r="BX54" s="208">
        <v>62542</v>
      </c>
      <c r="BY54" s="208">
        <v>0</v>
      </c>
      <c r="BZ54" s="208">
        <v>62542</v>
      </c>
      <c r="CA54" s="208">
        <v>-2189164</v>
      </c>
      <c r="CB54" s="208">
        <v>0</v>
      </c>
      <c r="CC54" s="208">
        <v>-2189164</v>
      </c>
      <c r="CD54" s="208">
        <v>-281630</v>
      </c>
      <c r="CE54" s="208">
        <v>0</v>
      </c>
      <c r="CF54" s="208">
        <v>-281630</v>
      </c>
      <c r="CG54" s="208">
        <v>-1475</v>
      </c>
      <c r="CH54" s="208">
        <v>0</v>
      </c>
      <c r="CI54" s="208">
        <v>-1475</v>
      </c>
      <c r="CJ54" s="208">
        <v>-199738</v>
      </c>
      <c r="CK54" s="208">
        <v>0</v>
      </c>
      <c r="CL54" s="208">
        <v>-199738</v>
      </c>
      <c r="CM54" s="208">
        <v>-517</v>
      </c>
      <c r="CN54" s="208">
        <v>0</v>
      </c>
      <c r="CO54" s="208">
        <v>-517</v>
      </c>
      <c r="CP54" s="208">
        <v>-3244</v>
      </c>
      <c r="CQ54" s="208">
        <v>0</v>
      </c>
      <c r="CR54" s="208">
        <v>-3244</v>
      </c>
      <c r="CS54" s="208">
        <v>0</v>
      </c>
      <c r="CT54" s="208">
        <v>0</v>
      </c>
      <c r="CU54" s="208">
        <v>0</v>
      </c>
      <c r="CV54" s="208">
        <v>-26547</v>
      </c>
      <c r="CW54" s="208">
        <v>0</v>
      </c>
      <c r="CX54" s="208">
        <v>-26547</v>
      </c>
      <c r="CY54" s="208">
        <v>0</v>
      </c>
      <c r="CZ54" s="208">
        <v>0</v>
      </c>
      <c r="DA54" s="208">
        <v>0</v>
      </c>
      <c r="DB54" s="208">
        <v>-3039</v>
      </c>
      <c r="DC54" s="208">
        <v>0</v>
      </c>
      <c r="DD54" s="208">
        <v>-3039</v>
      </c>
      <c r="DE54" s="208">
        <v>0</v>
      </c>
      <c r="DF54" s="208">
        <v>0</v>
      </c>
      <c r="DG54" s="208">
        <v>0</v>
      </c>
      <c r="DH54" s="208">
        <v>0</v>
      </c>
      <c r="DI54" s="208">
        <v>0</v>
      </c>
      <c r="DJ54" s="208">
        <v>0</v>
      </c>
      <c r="DK54" s="208">
        <v>0</v>
      </c>
      <c r="DL54" s="208">
        <v>0</v>
      </c>
      <c r="DM54" s="208">
        <v>0</v>
      </c>
      <c r="DN54" s="208">
        <v>0</v>
      </c>
      <c r="DO54" s="208">
        <v>0</v>
      </c>
      <c r="DP54" s="208">
        <v>-516190</v>
      </c>
      <c r="DQ54" s="208">
        <v>0</v>
      </c>
      <c r="DR54" s="208">
        <v>-516190</v>
      </c>
      <c r="DS54" s="208">
        <v>69481</v>
      </c>
      <c r="DT54" s="208">
        <v>0</v>
      </c>
      <c r="DU54" s="208">
        <v>69481</v>
      </c>
      <c r="DV54" s="208">
        <v>929</v>
      </c>
      <c r="DW54" s="208">
        <v>0</v>
      </c>
      <c r="DX54" s="208">
        <v>929</v>
      </c>
      <c r="DY54" s="208">
        <v>2799</v>
      </c>
      <c r="DZ54" s="208">
        <v>0</v>
      </c>
      <c r="EA54" s="208">
        <v>2799</v>
      </c>
      <c r="EB54" s="208">
        <v>0</v>
      </c>
      <c r="EC54" s="208">
        <v>0</v>
      </c>
      <c r="ED54" s="208">
        <v>0</v>
      </c>
      <c r="EE54" s="208">
        <v>0</v>
      </c>
      <c r="EF54" s="208">
        <v>0</v>
      </c>
      <c r="EG54" s="208">
        <v>0</v>
      </c>
      <c r="EH54" s="208">
        <v>0</v>
      </c>
      <c r="EI54" s="208">
        <v>0</v>
      </c>
      <c r="EJ54" s="208">
        <v>0</v>
      </c>
      <c r="EK54" s="208">
        <v>-1827</v>
      </c>
      <c r="EL54" s="208">
        <v>0</v>
      </c>
      <c r="EM54" s="208">
        <v>-1827</v>
      </c>
      <c r="EN54" s="208">
        <v>0</v>
      </c>
      <c r="EO54" s="208">
        <v>0</v>
      </c>
      <c r="EP54" s="208">
        <v>0</v>
      </c>
      <c r="EQ54" s="208">
        <v>0</v>
      </c>
      <c r="ER54" s="208">
        <v>0</v>
      </c>
      <c r="ES54" s="208">
        <v>0</v>
      </c>
      <c r="ET54" s="208">
        <v>0</v>
      </c>
      <c r="EU54" s="208">
        <v>0</v>
      </c>
      <c r="EV54" s="208">
        <v>0</v>
      </c>
      <c r="EW54" s="208">
        <v>-15604</v>
      </c>
      <c r="EX54" s="208">
        <v>0</v>
      </c>
      <c r="EY54" s="208">
        <v>-15604</v>
      </c>
      <c r="EZ54" s="208">
        <v>0</v>
      </c>
      <c r="FA54" s="208">
        <v>0</v>
      </c>
      <c r="FB54" s="208">
        <v>0</v>
      </c>
      <c r="FC54" s="208">
        <v>-167135</v>
      </c>
      <c r="FD54" s="208">
        <v>0</v>
      </c>
      <c r="FE54" s="208">
        <v>-167135</v>
      </c>
      <c r="FF54" s="208">
        <v>4123</v>
      </c>
      <c r="FG54" s="208">
        <v>0</v>
      </c>
      <c r="FH54" s="208">
        <v>4123</v>
      </c>
      <c r="FI54" s="208">
        <v>-115208</v>
      </c>
      <c r="FJ54" s="208">
        <v>0</v>
      </c>
      <c r="FK54" s="208">
        <v>-115208</v>
      </c>
      <c r="FL54" s="208">
        <v>11644</v>
      </c>
      <c r="FM54" s="208">
        <v>0</v>
      </c>
      <c r="FN54" s="208">
        <v>11644</v>
      </c>
      <c r="FO54" s="208">
        <v>0</v>
      </c>
      <c r="FP54" s="208">
        <v>0</v>
      </c>
      <c r="FQ54" s="208">
        <v>0</v>
      </c>
      <c r="FR54" s="208">
        <v>0</v>
      </c>
      <c r="FS54" s="208">
        <v>0</v>
      </c>
      <c r="FT54" s="208">
        <v>0</v>
      </c>
      <c r="FU54" s="208">
        <v>-210798</v>
      </c>
      <c r="FV54" s="208">
        <v>0</v>
      </c>
      <c r="FW54" s="208">
        <v>-210798</v>
      </c>
      <c r="FX54" s="208">
        <v>0</v>
      </c>
      <c r="FY54" s="208">
        <v>0</v>
      </c>
      <c r="FZ54" s="208">
        <v>0</v>
      </c>
      <c r="GA54" s="208">
        <v>0</v>
      </c>
      <c r="GB54" s="208">
        <v>0</v>
      </c>
      <c r="GC54" s="208">
        <v>0</v>
      </c>
      <c r="GD54" s="208">
        <v>0</v>
      </c>
      <c r="GE54" s="208">
        <v>0</v>
      </c>
      <c r="GF54" s="208">
        <v>0</v>
      </c>
      <c r="GG54" s="208">
        <v>103832998</v>
      </c>
      <c r="GH54" s="208">
        <v>0</v>
      </c>
      <c r="GI54" s="208">
        <v>103832998</v>
      </c>
      <c r="GJ54" s="208">
        <v>698521</v>
      </c>
      <c r="GK54" s="208">
        <v>0</v>
      </c>
      <c r="GL54" s="208">
        <v>698521</v>
      </c>
      <c r="GM54" s="208">
        <v>-14674471</v>
      </c>
      <c r="GN54" s="208">
        <v>0</v>
      </c>
      <c r="GO54" s="208">
        <v>-14674471</v>
      </c>
      <c r="GP54" s="208">
        <v>-2189164</v>
      </c>
      <c r="GQ54" s="208">
        <v>0</v>
      </c>
      <c r="GR54" s="208">
        <v>-2189164</v>
      </c>
      <c r="GS54" s="208">
        <v>-516190</v>
      </c>
      <c r="GT54" s="208">
        <v>0</v>
      </c>
      <c r="GU54" s="208">
        <v>-516190</v>
      </c>
      <c r="GV54" s="208">
        <v>-210798</v>
      </c>
      <c r="GW54" s="208">
        <v>0</v>
      </c>
      <c r="GX54" s="208">
        <v>-210798</v>
      </c>
      <c r="GY54" s="208">
        <v>0</v>
      </c>
      <c r="GZ54" s="208">
        <v>0</v>
      </c>
      <c r="HA54" s="208">
        <v>0</v>
      </c>
      <c r="HB54" s="208">
        <v>-16892102</v>
      </c>
      <c r="HC54" s="208">
        <v>0</v>
      </c>
      <c r="HD54" s="208">
        <v>-16892102</v>
      </c>
      <c r="HE54" s="208">
        <v>86940896</v>
      </c>
      <c r="HF54" s="208">
        <v>0</v>
      </c>
      <c r="HG54" s="208">
        <v>86940896</v>
      </c>
      <c r="HH54" s="187" t="s">
        <v>742</v>
      </c>
    </row>
    <row r="55" spans="2:216" s="187" customFormat="1" x14ac:dyDescent="0.2">
      <c r="B55" s="429" t="s">
        <v>189</v>
      </c>
      <c r="C55" s="429" t="s">
        <v>188</v>
      </c>
      <c r="D55" s="208">
        <v>-1560965</v>
      </c>
      <c r="E55" s="208">
        <v>0</v>
      </c>
      <c r="F55" s="208">
        <v>-1560965</v>
      </c>
      <c r="G55" s="208">
        <v>3033</v>
      </c>
      <c r="H55" s="208">
        <v>0</v>
      </c>
      <c r="I55" s="208">
        <v>3033</v>
      </c>
      <c r="J55" s="208">
        <v>633150</v>
      </c>
      <c r="K55" s="208">
        <v>0</v>
      </c>
      <c r="L55" s="208">
        <v>633150</v>
      </c>
      <c r="M55" s="208">
        <v>24162</v>
      </c>
      <c r="N55" s="208">
        <v>0</v>
      </c>
      <c r="O55" s="208">
        <v>24162</v>
      </c>
      <c r="P55" s="208">
        <v>-900620</v>
      </c>
      <c r="Q55" s="208">
        <v>0</v>
      </c>
      <c r="R55" s="208">
        <v>-900620</v>
      </c>
      <c r="S55" s="208">
        <v>-5428548</v>
      </c>
      <c r="T55" s="208">
        <v>0</v>
      </c>
      <c r="U55" s="208">
        <v>-5428548</v>
      </c>
      <c r="V55" s="208">
        <v>-11169</v>
      </c>
      <c r="W55" s="208">
        <v>0</v>
      </c>
      <c r="X55" s="208">
        <v>-11169</v>
      </c>
      <c r="Y55" s="208">
        <v>-132054</v>
      </c>
      <c r="Z55" s="208">
        <v>0</v>
      </c>
      <c r="AA55" s="208">
        <v>-132054</v>
      </c>
      <c r="AB55" s="208">
        <v>-49173</v>
      </c>
      <c r="AC55" s="208">
        <v>0</v>
      </c>
      <c r="AD55" s="208">
        <v>-49173</v>
      </c>
      <c r="AE55" s="208">
        <v>-79548</v>
      </c>
      <c r="AF55" s="208">
        <v>0</v>
      </c>
      <c r="AG55" s="208">
        <v>-79548</v>
      </c>
      <c r="AH55" s="208">
        <v>0</v>
      </c>
      <c r="AI55" s="208">
        <v>0</v>
      </c>
      <c r="AJ55" s="208">
        <v>0</v>
      </c>
      <c r="AK55" s="208">
        <v>-273</v>
      </c>
      <c r="AL55" s="208">
        <v>0</v>
      </c>
      <c r="AM55" s="208">
        <v>-273</v>
      </c>
      <c r="AN55" s="208">
        <v>1143417</v>
      </c>
      <c r="AO55" s="208">
        <v>9235</v>
      </c>
      <c r="AP55" s="208">
        <v>1152652</v>
      </c>
      <c r="AQ55" s="208">
        <v>-6485</v>
      </c>
      <c r="AR55" s="208">
        <v>0</v>
      </c>
      <c r="AS55" s="208">
        <v>-6485</v>
      </c>
      <c r="AT55" s="208">
        <v>-7541135</v>
      </c>
      <c r="AU55" s="208">
        <v>0</v>
      </c>
      <c r="AV55" s="208">
        <v>-7541135</v>
      </c>
      <c r="AW55" s="208">
        <v>-12299</v>
      </c>
      <c r="AX55" s="208">
        <v>0</v>
      </c>
      <c r="AY55" s="208">
        <v>-12299</v>
      </c>
      <c r="AZ55" s="208">
        <v>-18845</v>
      </c>
      <c r="BA55" s="208">
        <v>0</v>
      </c>
      <c r="BB55" s="208">
        <v>-18845</v>
      </c>
      <c r="BC55" s="208">
        <v>0</v>
      </c>
      <c r="BD55" s="208">
        <v>0</v>
      </c>
      <c r="BE55" s="208">
        <v>0</v>
      </c>
      <c r="BF55" s="208">
        <v>-1947</v>
      </c>
      <c r="BG55" s="208">
        <v>0</v>
      </c>
      <c r="BH55" s="208">
        <v>-1947</v>
      </c>
      <c r="BI55" s="208">
        <v>0</v>
      </c>
      <c r="BJ55" s="208">
        <v>0</v>
      </c>
      <c r="BK55" s="208">
        <v>0</v>
      </c>
      <c r="BL55" s="208">
        <v>-11997896</v>
      </c>
      <c r="BM55" s="208">
        <v>9235</v>
      </c>
      <c r="BN55" s="208">
        <v>-11988661</v>
      </c>
      <c r="BO55" s="208">
        <v>-351363</v>
      </c>
      <c r="BP55" s="208">
        <v>0</v>
      </c>
      <c r="BQ55" s="208">
        <v>-351363</v>
      </c>
      <c r="BR55" s="208">
        <v>-56227.98</v>
      </c>
      <c r="BS55" s="208">
        <v>-4333.26</v>
      </c>
      <c r="BT55" s="208">
        <v>-60561.240000000005</v>
      </c>
      <c r="BU55" s="208">
        <v>-1034929</v>
      </c>
      <c r="BV55" s="208">
        <v>0</v>
      </c>
      <c r="BW55" s="208">
        <v>-1034929</v>
      </c>
      <c r="BX55" s="208">
        <v>-91205</v>
      </c>
      <c r="BY55" s="208">
        <v>0</v>
      </c>
      <c r="BZ55" s="208">
        <v>-91205</v>
      </c>
      <c r="CA55" s="208">
        <v>-1533725</v>
      </c>
      <c r="CB55" s="208">
        <v>-4333</v>
      </c>
      <c r="CC55" s="208">
        <v>-1538058</v>
      </c>
      <c r="CD55" s="208">
        <v>-76372</v>
      </c>
      <c r="CE55" s="208">
        <v>0</v>
      </c>
      <c r="CF55" s="208">
        <v>-76372</v>
      </c>
      <c r="CG55" s="208">
        <v>102</v>
      </c>
      <c r="CH55" s="208">
        <v>0</v>
      </c>
      <c r="CI55" s="208">
        <v>102</v>
      </c>
      <c r="CJ55" s="208">
        <v>-175096</v>
      </c>
      <c r="CK55" s="208">
        <v>0</v>
      </c>
      <c r="CL55" s="208">
        <v>-175096</v>
      </c>
      <c r="CM55" s="208">
        <v>-5730</v>
      </c>
      <c r="CN55" s="208">
        <v>0</v>
      </c>
      <c r="CO55" s="208">
        <v>-5730</v>
      </c>
      <c r="CP55" s="208">
        <v>-422</v>
      </c>
      <c r="CQ55" s="208">
        <v>0</v>
      </c>
      <c r="CR55" s="208">
        <v>-422</v>
      </c>
      <c r="CS55" s="208">
        <v>0</v>
      </c>
      <c r="CT55" s="208">
        <v>0</v>
      </c>
      <c r="CU55" s="208">
        <v>0</v>
      </c>
      <c r="CV55" s="208">
        <v>0</v>
      </c>
      <c r="CW55" s="208">
        <v>0</v>
      </c>
      <c r="CX55" s="208">
        <v>0</v>
      </c>
      <c r="CY55" s="208">
        <v>0</v>
      </c>
      <c r="CZ55" s="208">
        <v>0</v>
      </c>
      <c r="DA55" s="208">
        <v>0</v>
      </c>
      <c r="DB55" s="208">
        <v>0</v>
      </c>
      <c r="DC55" s="208">
        <v>0</v>
      </c>
      <c r="DD55" s="208">
        <v>0</v>
      </c>
      <c r="DE55" s="208">
        <v>0</v>
      </c>
      <c r="DF55" s="208">
        <v>0</v>
      </c>
      <c r="DG55" s="208">
        <v>0</v>
      </c>
      <c r="DH55" s="208">
        <v>-88560</v>
      </c>
      <c r="DI55" s="208">
        <v>0</v>
      </c>
      <c r="DJ55" s="208">
        <v>-88560</v>
      </c>
      <c r="DK55" s="208">
        <v>0</v>
      </c>
      <c r="DL55" s="208">
        <v>0</v>
      </c>
      <c r="DM55" s="208">
        <v>0</v>
      </c>
      <c r="DN55" s="208">
        <v>0</v>
      </c>
      <c r="DO55" s="208">
        <v>0</v>
      </c>
      <c r="DP55" s="208">
        <v>-346078</v>
      </c>
      <c r="DQ55" s="208">
        <v>0</v>
      </c>
      <c r="DR55" s="208">
        <v>-346078</v>
      </c>
      <c r="DS55" s="208">
        <v>-8940</v>
      </c>
      <c r="DT55" s="208">
        <v>0</v>
      </c>
      <c r="DU55" s="208">
        <v>-8940</v>
      </c>
      <c r="DV55" s="208">
        <v>446</v>
      </c>
      <c r="DW55" s="208">
        <v>0</v>
      </c>
      <c r="DX55" s="208">
        <v>446</v>
      </c>
      <c r="DY55" s="208">
        <v>0</v>
      </c>
      <c r="DZ55" s="208">
        <v>0</v>
      </c>
      <c r="EA55" s="208">
        <v>0</v>
      </c>
      <c r="EB55" s="208">
        <v>0</v>
      </c>
      <c r="EC55" s="208">
        <v>0</v>
      </c>
      <c r="ED55" s="208">
        <v>0</v>
      </c>
      <c r="EE55" s="208">
        <v>0</v>
      </c>
      <c r="EF55" s="208">
        <v>0</v>
      </c>
      <c r="EG55" s="208">
        <v>0</v>
      </c>
      <c r="EH55" s="208">
        <v>0</v>
      </c>
      <c r="EI55" s="208">
        <v>0</v>
      </c>
      <c r="EJ55" s="208">
        <v>0</v>
      </c>
      <c r="EK55" s="208">
        <v>-1948</v>
      </c>
      <c r="EL55" s="208">
        <v>0</v>
      </c>
      <c r="EM55" s="208">
        <v>-1948</v>
      </c>
      <c r="EN55" s="208">
        <v>0</v>
      </c>
      <c r="EO55" s="208">
        <v>0</v>
      </c>
      <c r="EP55" s="208">
        <v>0</v>
      </c>
      <c r="EQ55" s="208">
        <v>-1500</v>
      </c>
      <c r="ER55" s="208">
        <v>0</v>
      </c>
      <c r="ES55" s="208">
        <v>-1500</v>
      </c>
      <c r="ET55" s="208">
        <v>0</v>
      </c>
      <c r="EU55" s="208">
        <v>0</v>
      </c>
      <c r="EV55" s="208">
        <v>0</v>
      </c>
      <c r="EW55" s="208">
        <v>-49149</v>
      </c>
      <c r="EX55" s="208">
        <v>0</v>
      </c>
      <c r="EY55" s="208">
        <v>-49149</v>
      </c>
      <c r="EZ55" s="208">
        <v>-1578</v>
      </c>
      <c r="FA55" s="208">
        <v>0</v>
      </c>
      <c r="FB55" s="208">
        <v>-1578</v>
      </c>
      <c r="FC55" s="208">
        <v>-185128</v>
      </c>
      <c r="FD55" s="208">
        <v>0</v>
      </c>
      <c r="FE55" s="208">
        <v>-185128</v>
      </c>
      <c r="FF55" s="208">
        <v>-55835</v>
      </c>
      <c r="FG55" s="208">
        <v>0</v>
      </c>
      <c r="FH55" s="208">
        <v>-55835</v>
      </c>
      <c r="FI55" s="208">
        <v>-56000</v>
      </c>
      <c r="FJ55" s="208">
        <v>0</v>
      </c>
      <c r="FK55" s="208">
        <v>-56000</v>
      </c>
      <c r="FL55" s="208">
        <v>-589</v>
      </c>
      <c r="FM55" s="208">
        <v>0</v>
      </c>
      <c r="FN55" s="208">
        <v>-589</v>
      </c>
      <c r="FO55" s="208">
        <v>0</v>
      </c>
      <c r="FP55" s="208">
        <v>0</v>
      </c>
      <c r="FQ55" s="208">
        <v>0</v>
      </c>
      <c r="FR55" s="208">
        <v>0</v>
      </c>
      <c r="FS55" s="208">
        <v>0</v>
      </c>
      <c r="FT55" s="208">
        <v>0</v>
      </c>
      <c r="FU55" s="208">
        <v>-360221</v>
      </c>
      <c r="FV55" s="208">
        <v>0</v>
      </c>
      <c r="FW55" s="208">
        <v>-360221</v>
      </c>
      <c r="FX55" s="208">
        <v>-3419</v>
      </c>
      <c r="FY55" s="208">
        <v>0</v>
      </c>
      <c r="FZ55" s="208">
        <v>-3419</v>
      </c>
      <c r="GA55" s="208">
        <v>-8226</v>
      </c>
      <c r="GB55" s="208">
        <v>0</v>
      </c>
      <c r="GC55" s="208">
        <v>-8226</v>
      </c>
      <c r="GD55" s="208">
        <v>-11645</v>
      </c>
      <c r="GE55" s="208">
        <v>0</v>
      </c>
      <c r="GF55" s="208">
        <v>-11645</v>
      </c>
      <c r="GG55" s="208">
        <v>62016773</v>
      </c>
      <c r="GH55" s="208">
        <v>340075</v>
      </c>
      <c r="GI55" s="208">
        <v>62356848</v>
      </c>
      <c r="GJ55" s="208">
        <v>-900620</v>
      </c>
      <c r="GK55" s="208">
        <v>0</v>
      </c>
      <c r="GL55" s="208">
        <v>-900620</v>
      </c>
      <c r="GM55" s="208">
        <v>-11997896</v>
      </c>
      <c r="GN55" s="208">
        <v>9235</v>
      </c>
      <c r="GO55" s="208">
        <v>-11988661</v>
      </c>
      <c r="GP55" s="208">
        <v>-1533725</v>
      </c>
      <c r="GQ55" s="208">
        <v>-4333</v>
      </c>
      <c r="GR55" s="208">
        <v>-1538058</v>
      </c>
      <c r="GS55" s="208">
        <v>-346078</v>
      </c>
      <c r="GT55" s="208">
        <v>0</v>
      </c>
      <c r="GU55" s="208">
        <v>-346078</v>
      </c>
      <c r="GV55" s="208">
        <v>-360221</v>
      </c>
      <c r="GW55" s="208">
        <v>0</v>
      </c>
      <c r="GX55" s="208">
        <v>-360221</v>
      </c>
      <c r="GY55" s="208">
        <v>-11645</v>
      </c>
      <c r="GZ55" s="208">
        <v>0</v>
      </c>
      <c r="HA55" s="208">
        <v>-11645</v>
      </c>
      <c r="HB55" s="208">
        <v>-15150185</v>
      </c>
      <c r="HC55" s="208">
        <v>4902</v>
      </c>
      <c r="HD55" s="208">
        <v>-15145283</v>
      </c>
      <c r="HE55" s="208">
        <v>46866588</v>
      </c>
      <c r="HF55" s="208">
        <v>344977</v>
      </c>
      <c r="HG55" s="208">
        <v>47211565</v>
      </c>
      <c r="HH55" s="187" t="s">
        <v>1054</v>
      </c>
    </row>
    <row r="56" spans="2:216" s="187" customFormat="1" x14ac:dyDescent="0.2">
      <c r="B56" s="429" t="s">
        <v>191</v>
      </c>
      <c r="C56" s="429" t="s">
        <v>190</v>
      </c>
      <c r="D56" s="208">
        <v>-839174</v>
      </c>
      <c r="E56" s="208">
        <v>0</v>
      </c>
      <c r="F56" s="208">
        <v>-839174</v>
      </c>
      <c r="G56" s="208">
        <v>21045.200000000001</v>
      </c>
      <c r="H56" s="208">
        <v>0</v>
      </c>
      <c r="I56" s="208">
        <v>21045.200000000001</v>
      </c>
      <c r="J56" s="208">
        <v>2779780</v>
      </c>
      <c r="K56" s="208">
        <v>0</v>
      </c>
      <c r="L56" s="208">
        <v>2779780</v>
      </c>
      <c r="M56" s="208">
        <v>-133534</v>
      </c>
      <c r="N56" s="208">
        <v>0</v>
      </c>
      <c r="O56" s="208">
        <v>-133534</v>
      </c>
      <c r="P56" s="208">
        <v>1828117</v>
      </c>
      <c r="Q56" s="208">
        <v>0</v>
      </c>
      <c r="R56" s="208">
        <v>1828117</v>
      </c>
      <c r="S56" s="208">
        <v>-5283135</v>
      </c>
      <c r="T56" s="208">
        <v>0</v>
      </c>
      <c r="U56" s="208">
        <v>-5283135</v>
      </c>
      <c r="V56" s="208">
        <v>0</v>
      </c>
      <c r="W56" s="208">
        <v>0</v>
      </c>
      <c r="X56" s="208">
        <v>0</v>
      </c>
      <c r="Y56" s="208">
        <v>-132451</v>
      </c>
      <c r="Z56" s="208">
        <v>0</v>
      </c>
      <c r="AA56" s="208">
        <v>-132451</v>
      </c>
      <c r="AB56" s="208">
        <v>-11169</v>
      </c>
      <c r="AC56" s="208">
        <v>0</v>
      </c>
      <c r="AD56" s="208">
        <v>-11169</v>
      </c>
      <c r="AE56" s="208">
        <v>-121281.68</v>
      </c>
      <c r="AF56" s="208">
        <v>0</v>
      </c>
      <c r="AG56" s="208">
        <v>-121281.68</v>
      </c>
      <c r="AH56" s="208">
        <v>0</v>
      </c>
      <c r="AI56" s="208">
        <v>0</v>
      </c>
      <c r="AJ56" s="208">
        <v>0</v>
      </c>
      <c r="AK56" s="208">
        <v>0</v>
      </c>
      <c r="AL56" s="208">
        <v>0</v>
      </c>
      <c r="AM56" s="208">
        <v>0</v>
      </c>
      <c r="AN56" s="208">
        <v>1904331</v>
      </c>
      <c r="AO56" s="208">
        <v>0</v>
      </c>
      <c r="AP56" s="208">
        <v>1904331</v>
      </c>
      <c r="AQ56" s="208">
        <v>-30235</v>
      </c>
      <c r="AR56" s="208">
        <v>0</v>
      </c>
      <c r="AS56" s="208">
        <v>-30235</v>
      </c>
      <c r="AT56" s="208">
        <v>-5172200</v>
      </c>
      <c r="AU56" s="208">
        <v>0</v>
      </c>
      <c r="AV56" s="208">
        <v>-5172200</v>
      </c>
      <c r="AW56" s="208">
        <v>138303</v>
      </c>
      <c r="AX56" s="208">
        <v>0</v>
      </c>
      <c r="AY56" s="208">
        <v>138303</v>
      </c>
      <c r="AZ56" s="208">
        <v>-35417</v>
      </c>
      <c r="BA56" s="208">
        <v>0</v>
      </c>
      <c r="BB56" s="208">
        <v>-35417</v>
      </c>
      <c r="BC56" s="208">
        <v>0</v>
      </c>
      <c r="BD56" s="208">
        <v>0</v>
      </c>
      <c r="BE56" s="208">
        <v>0</v>
      </c>
      <c r="BF56" s="208">
        <v>-4942</v>
      </c>
      <c r="BG56" s="208">
        <v>0</v>
      </c>
      <c r="BH56" s="208">
        <v>-4942</v>
      </c>
      <c r="BI56" s="208">
        <v>0</v>
      </c>
      <c r="BJ56" s="208">
        <v>0</v>
      </c>
      <c r="BK56" s="208">
        <v>0</v>
      </c>
      <c r="BL56" s="208">
        <v>-8615746</v>
      </c>
      <c r="BM56" s="208">
        <v>0</v>
      </c>
      <c r="BN56" s="208">
        <v>-8615746</v>
      </c>
      <c r="BO56" s="208">
        <v>-15961</v>
      </c>
      <c r="BP56" s="208">
        <v>0</v>
      </c>
      <c r="BQ56" s="208">
        <v>-15961</v>
      </c>
      <c r="BR56" s="208">
        <v>-5828</v>
      </c>
      <c r="BS56" s="208">
        <v>0</v>
      </c>
      <c r="BT56" s="208">
        <v>-5828</v>
      </c>
      <c r="BU56" s="208">
        <v>-2360930</v>
      </c>
      <c r="BV56" s="208">
        <v>0</v>
      </c>
      <c r="BW56" s="208">
        <v>-2360930</v>
      </c>
      <c r="BX56" s="208">
        <v>-157208.17000000001</v>
      </c>
      <c r="BY56" s="208">
        <v>0</v>
      </c>
      <c r="BZ56" s="208">
        <v>-157208.17000000001</v>
      </c>
      <c r="CA56" s="208">
        <v>-2539927</v>
      </c>
      <c r="CB56" s="208">
        <v>0</v>
      </c>
      <c r="CC56" s="208">
        <v>-2539927</v>
      </c>
      <c r="CD56" s="208">
        <v>-8769</v>
      </c>
      <c r="CE56" s="208">
        <v>0</v>
      </c>
      <c r="CF56" s="208">
        <v>-8769</v>
      </c>
      <c r="CG56" s="208">
        <v>0</v>
      </c>
      <c r="CH56" s="208">
        <v>0</v>
      </c>
      <c r="CI56" s="208">
        <v>0</v>
      </c>
      <c r="CJ56" s="208">
        <v>-98643</v>
      </c>
      <c r="CK56" s="208">
        <v>0</v>
      </c>
      <c r="CL56" s="208">
        <v>-98643</v>
      </c>
      <c r="CM56" s="208">
        <v>0.01</v>
      </c>
      <c r="CN56" s="208">
        <v>0</v>
      </c>
      <c r="CO56" s="208">
        <v>0.01</v>
      </c>
      <c r="CP56" s="208">
        <v>0</v>
      </c>
      <c r="CQ56" s="208">
        <v>0</v>
      </c>
      <c r="CR56" s="208">
        <v>0</v>
      </c>
      <c r="CS56" s="208">
        <v>0</v>
      </c>
      <c r="CT56" s="208">
        <v>0</v>
      </c>
      <c r="CU56" s="208">
        <v>0</v>
      </c>
      <c r="CV56" s="208">
        <v>0</v>
      </c>
      <c r="CW56" s="208">
        <v>0</v>
      </c>
      <c r="CX56" s="208">
        <v>0</v>
      </c>
      <c r="CY56" s="208">
        <v>0</v>
      </c>
      <c r="CZ56" s="208">
        <v>0</v>
      </c>
      <c r="DA56" s="208">
        <v>0</v>
      </c>
      <c r="DB56" s="208">
        <v>-3584</v>
      </c>
      <c r="DC56" s="208">
        <v>0</v>
      </c>
      <c r="DD56" s="208">
        <v>-3584</v>
      </c>
      <c r="DE56" s="208">
        <v>0</v>
      </c>
      <c r="DF56" s="208">
        <v>0</v>
      </c>
      <c r="DG56" s="208">
        <v>0</v>
      </c>
      <c r="DH56" s="208">
        <v>0</v>
      </c>
      <c r="DI56" s="208">
        <v>0</v>
      </c>
      <c r="DJ56" s="208">
        <v>0</v>
      </c>
      <c r="DK56" s="208">
        <v>0</v>
      </c>
      <c r="DL56" s="208">
        <v>0</v>
      </c>
      <c r="DM56" s="208">
        <v>0</v>
      </c>
      <c r="DN56" s="208">
        <v>0</v>
      </c>
      <c r="DO56" s="208">
        <v>0</v>
      </c>
      <c r="DP56" s="208">
        <v>-110996</v>
      </c>
      <c r="DQ56" s="208">
        <v>0</v>
      </c>
      <c r="DR56" s="208">
        <v>-110996</v>
      </c>
      <c r="DS56" s="208">
        <v>0</v>
      </c>
      <c r="DT56" s="208">
        <v>0</v>
      </c>
      <c r="DU56" s="208">
        <v>0</v>
      </c>
      <c r="DV56" s="208">
        <v>0</v>
      </c>
      <c r="DW56" s="208">
        <v>0</v>
      </c>
      <c r="DX56" s="208">
        <v>0</v>
      </c>
      <c r="DY56" s="208">
        <v>0</v>
      </c>
      <c r="DZ56" s="208">
        <v>0</v>
      </c>
      <c r="EA56" s="208">
        <v>0</v>
      </c>
      <c r="EB56" s="208">
        <v>0</v>
      </c>
      <c r="EC56" s="208">
        <v>0</v>
      </c>
      <c r="ED56" s="208">
        <v>0</v>
      </c>
      <c r="EE56" s="208">
        <v>0</v>
      </c>
      <c r="EF56" s="208">
        <v>0</v>
      </c>
      <c r="EG56" s="208">
        <v>0</v>
      </c>
      <c r="EH56" s="208">
        <v>0</v>
      </c>
      <c r="EI56" s="208">
        <v>0</v>
      </c>
      <c r="EJ56" s="208">
        <v>0</v>
      </c>
      <c r="EK56" s="208">
        <v>-4942</v>
      </c>
      <c r="EL56" s="208">
        <v>0</v>
      </c>
      <c r="EM56" s="208">
        <v>-4942</v>
      </c>
      <c r="EN56" s="208">
        <v>0</v>
      </c>
      <c r="EO56" s="208">
        <v>0</v>
      </c>
      <c r="EP56" s="208">
        <v>0</v>
      </c>
      <c r="EQ56" s="208">
        <v>-1500</v>
      </c>
      <c r="ER56" s="208">
        <v>0</v>
      </c>
      <c r="ES56" s="208">
        <v>-1500</v>
      </c>
      <c r="ET56" s="208">
        <v>0</v>
      </c>
      <c r="EU56" s="208">
        <v>0</v>
      </c>
      <c r="EV56" s="208">
        <v>0</v>
      </c>
      <c r="EW56" s="208">
        <v>-31084</v>
      </c>
      <c r="EX56" s="208">
        <v>0</v>
      </c>
      <c r="EY56" s="208">
        <v>-31084</v>
      </c>
      <c r="EZ56" s="208">
        <v>2147</v>
      </c>
      <c r="FA56" s="208">
        <v>0</v>
      </c>
      <c r="FB56" s="208">
        <v>2147</v>
      </c>
      <c r="FC56" s="208">
        <v>-131345</v>
      </c>
      <c r="FD56" s="208">
        <v>0</v>
      </c>
      <c r="FE56" s="208">
        <v>-131345</v>
      </c>
      <c r="FF56" s="208">
        <v>9237</v>
      </c>
      <c r="FG56" s="208">
        <v>0</v>
      </c>
      <c r="FH56" s="208">
        <v>9237</v>
      </c>
      <c r="FI56" s="208">
        <v>-69693</v>
      </c>
      <c r="FJ56" s="208">
        <v>0</v>
      </c>
      <c r="FK56" s="208">
        <v>-69693</v>
      </c>
      <c r="FL56" s="208">
        <v>1479</v>
      </c>
      <c r="FM56" s="208">
        <v>0</v>
      </c>
      <c r="FN56" s="208">
        <v>1479</v>
      </c>
      <c r="FO56" s="208">
        <v>0</v>
      </c>
      <c r="FP56" s="208">
        <v>0</v>
      </c>
      <c r="FQ56" s="208">
        <v>0</v>
      </c>
      <c r="FR56" s="208">
        <v>0</v>
      </c>
      <c r="FS56" s="208">
        <v>0</v>
      </c>
      <c r="FT56" s="208">
        <v>0</v>
      </c>
      <c r="FU56" s="208">
        <v>-225701</v>
      </c>
      <c r="FV56" s="208">
        <v>0</v>
      </c>
      <c r="FW56" s="208">
        <v>-225701</v>
      </c>
      <c r="FX56" s="208">
        <v>-4140</v>
      </c>
      <c r="FY56" s="208">
        <v>0</v>
      </c>
      <c r="FZ56" s="208">
        <v>-4140</v>
      </c>
      <c r="GA56" s="208">
        <v>-206.97</v>
      </c>
      <c r="GB56" s="208">
        <v>0</v>
      </c>
      <c r="GC56" s="208">
        <v>-206.97</v>
      </c>
      <c r="GD56" s="208">
        <v>-4347</v>
      </c>
      <c r="GE56" s="208">
        <v>0</v>
      </c>
      <c r="GF56" s="208">
        <v>-4347</v>
      </c>
      <c r="GG56" s="208">
        <v>91062974</v>
      </c>
      <c r="GH56" s="208">
        <v>0</v>
      </c>
      <c r="GI56" s="208">
        <v>91062974</v>
      </c>
      <c r="GJ56" s="208">
        <v>1828117</v>
      </c>
      <c r="GK56" s="208">
        <v>0</v>
      </c>
      <c r="GL56" s="208">
        <v>1828117</v>
      </c>
      <c r="GM56" s="208">
        <v>-8615746</v>
      </c>
      <c r="GN56" s="208">
        <v>0</v>
      </c>
      <c r="GO56" s="208">
        <v>-8615746</v>
      </c>
      <c r="GP56" s="208">
        <v>-2539927</v>
      </c>
      <c r="GQ56" s="208">
        <v>0</v>
      </c>
      <c r="GR56" s="208">
        <v>-2539927</v>
      </c>
      <c r="GS56" s="208">
        <v>-110996</v>
      </c>
      <c r="GT56" s="208">
        <v>0</v>
      </c>
      <c r="GU56" s="208">
        <v>-110996</v>
      </c>
      <c r="GV56" s="208">
        <v>-225701</v>
      </c>
      <c r="GW56" s="208">
        <v>0</v>
      </c>
      <c r="GX56" s="208">
        <v>-225701</v>
      </c>
      <c r="GY56" s="208">
        <v>-4347</v>
      </c>
      <c r="GZ56" s="208">
        <v>0</v>
      </c>
      <c r="HA56" s="208">
        <v>-4347</v>
      </c>
      <c r="HB56" s="208">
        <v>-9668600</v>
      </c>
      <c r="HC56" s="208">
        <v>0</v>
      </c>
      <c r="HD56" s="208">
        <v>-9668600</v>
      </c>
      <c r="HE56" s="208">
        <v>81394374</v>
      </c>
      <c r="HF56" s="208">
        <v>0</v>
      </c>
      <c r="HG56" s="208">
        <v>81394374</v>
      </c>
      <c r="HH56" s="187" t="s">
        <v>1054</v>
      </c>
    </row>
    <row r="57" spans="2:216" s="187" customFormat="1" x14ac:dyDescent="0.2">
      <c r="B57" s="429" t="s">
        <v>193</v>
      </c>
      <c r="C57" s="429" t="s">
        <v>192</v>
      </c>
      <c r="D57" s="208">
        <v>-592322</v>
      </c>
      <c r="E57" s="208">
        <v>0</v>
      </c>
      <c r="F57" s="208">
        <v>-592322</v>
      </c>
      <c r="G57" s="208">
        <v>16249</v>
      </c>
      <c r="H57" s="208">
        <v>0</v>
      </c>
      <c r="I57" s="208">
        <v>16249</v>
      </c>
      <c r="J57" s="208">
        <v>1871757</v>
      </c>
      <c r="K57" s="208">
        <v>0</v>
      </c>
      <c r="L57" s="208">
        <v>1871757</v>
      </c>
      <c r="M57" s="208">
        <v>-99867</v>
      </c>
      <c r="N57" s="208">
        <v>0</v>
      </c>
      <c r="O57" s="208">
        <v>-99867</v>
      </c>
      <c r="P57" s="208">
        <v>1195817</v>
      </c>
      <c r="Q57" s="208">
        <v>0</v>
      </c>
      <c r="R57" s="208">
        <v>1195817</v>
      </c>
      <c r="S57" s="208">
        <v>-3758480</v>
      </c>
      <c r="T57" s="208">
        <v>0</v>
      </c>
      <c r="U57" s="208">
        <v>-3758480</v>
      </c>
      <c r="V57" s="208">
        <v>-2785</v>
      </c>
      <c r="W57" s="208">
        <v>0</v>
      </c>
      <c r="X57" s="208">
        <v>-2785</v>
      </c>
      <c r="Y57" s="208">
        <v>-150833</v>
      </c>
      <c r="Z57" s="208">
        <v>0</v>
      </c>
      <c r="AA57" s="208">
        <v>-150833</v>
      </c>
      <c r="AB57" s="208">
        <v>-69850.37</v>
      </c>
      <c r="AC57" s="208">
        <v>0</v>
      </c>
      <c r="AD57" s="208">
        <v>-69850.37</v>
      </c>
      <c r="AE57" s="208">
        <v>-80983</v>
      </c>
      <c r="AF57" s="208">
        <v>0</v>
      </c>
      <c r="AG57" s="208">
        <v>-80983</v>
      </c>
      <c r="AH57" s="208">
        <v>0</v>
      </c>
      <c r="AI57" s="208">
        <v>0</v>
      </c>
      <c r="AJ57" s="208">
        <v>0</v>
      </c>
      <c r="AK57" s="208">
        <v>0</v>
      </c>
      <c r="AL57" s="208">
        <v>0</v>
      </c>
      <c r="AM57" s="208">
        <v>0</v>
      </c>
      <c r="AN57" s="208">
        <v>1311723</v>
      </c>
      <c r="AO57" s="208">
        <v>0</v>
      </c>
      <c r="AP57" s="208">
        <v>1311723</v>
      </c>
      <c r="AQ57" s="208">
        <v>-35002</v>
      </c>
      <c r="AR57" s="208">
        <v>0</v>
      </c>
      <c r="AS57" s="208">
        <v>-35002</v>
      </c>
      <c r="AT57" s="208">
        <v>-4601473</v>
      </c>
      <c r="AU57" s="208">
        <v>0</v>
      </c>
      <c r="AV57" s="208">
        <v>-4601473</v>
      </c>
      <c r="AW57" s="208">
        <v>-49775</v>
      </c>
      <c r="AX57" s="208">
        <v>0</v>
      </c>
      <c r="AY57" s="208">
        <v>-49775</v>
      </c>
      <c r="AZ57" s="208">
        <v>-50565</v>
      </c>
      <c r="BA57" s="208">
        <v>0</v>
      </c>
      <c r="BB57" s="208">
        <v>-50565</v>
      </c>
      <c r="BC57" s="208">
        <v>0</v>
      </c>
      <c r="BD57" s="208">
        <v>0</v>
      </c>
      <c r="BE57" s="208">
        <v>0</v>
      </c>
      <c r="BF57" s="208">
        <v>0</v>
      </c>
      <c r="BG57" s="208">
        <v>0</v>
      </c>
      <c r="BH57" s="208">
        <v>0</v>
      </c>
      <c r="BI57" s="208">
        <v>0</v>
      </c>
      <c r="BJ57" s="208">
        <v>0</v>
      </c>
      <c r="BK57" s="208">
        <v>0</v>
      </c>
      <c r="BL57" s="208">
        <v>-7334405</v>
      </c>
      <c r="BM57" s="208">
        <v>0</v>
      </c>
      <c r="BN57" s="208">
        <v>-7334405</v>
      </c>
      <c r="BO57" s="208">
        <v>-307</v>
      </c>
      <c r="BP57" s="208">
        <v>0</v>
      </c>
      <c r="BQ57" s="208">
        <v>-307</v>
      </c>
      <c r="BR57" s="208">
        <v>-10015</v>
      </c>
      <c r="BS57" s="208">
        <v>0</v>
      </c>
      <c r="BT57" s="208">
        <v>-10015</v>
      </c>
      <c r="BU57" s="208">
        <v>-1688554</v>
      </c>
      <c r="BV57" s="208">
        <v>0</v>
      </c>
      <c r="BW57" s="208">
        <v>-1688554</v>
      </c>
      <c r="BX57" s="208">
        <v>112880</v>
      </c>
      <c r="BY57" s="208">
        <v>0</v>
      </c>
      <c r="BZ57" s="208">
        <v>112880</v>
      </c>
      <c r="CA57" s="208">
        <v>-1585996</v>
      </c>
      <c r="CB57" s="208">
        <v>0</v>
      </c>
      <c r="CC57" s="208">
        <v>-1585996</v>
      </c>
      <c r="CD57" s="208">
        <v>-21587</v>
      </c>
      <c r="CE57" s="208">
        <v>0</v>
      </c>
      <c r="CF57" s="208">
        <v>-21587</v>
      </c>
      <c r="CG57" s="208">
        <v>36</v>
      </c>
      <c r="CH57" s="208">
        <v>0</v>
      </c>
      <c r="CI57" s="208">
        <v>36</v>
      </c>
      <c r="CJ57" s="208">
        <v>-22176</v>
      </c>
      <c r="CK57" s="208">
        <v>0</v>
      </c>
      <c r="CL57" s="208">
        <v>-22176</v>
      </c>
      <c r="CM57" s="208">
        <v>-5513</v>
      </c>
      <c r="CN57" s="208">
        <v>0</v>
      </c>
      <c r="CO57" s="208">
        <v>-5513</v>
      </c>
      <c r="CP57" s="208">
        <v>0</v>
      </c>
      <c r="CQ57" s="208">
        <v>0</v>
      </c>
      <c r="CR57" s="208">
        <v>0</v>
      </c>
      <c r="CS57" s="208">
        <v>0</v>
      </c>
      <c r="CT57" s="208">
        <v>0</v>
      </c>
      <c r="CU57" s="208">
        <v>0</v>
      </c>
      <c r="CV57" s="208">
        <v>0</v>
      </c>
      <c r="CW57" s="208">
        <v>0</v>
      </c>
      <c r="CX57" s="208">
        <v>0</v>
      </c>
      <c r="CY57" s="208">
        <v>0</v>
      </c>
      <c r="CZ57" s="208">
        <v>0</v>
      </c>
      <c r="DA57" s="208">
        <v>0</v>
      </c>
      <c r="DB57" s="208">
        <v>0</v>
      </c>
      <c r="DC57" s="208">
        <v>0</v>
      </c>
      <c r="DD57" s="208">
        <v>0</v>
      </c>
      <c r="DE57" s="208">
        <v>0</v>
      </c>
      <c r="DF57" s="208">
        <v>0</v>
      </c>
      <c r="DG57" s="208">
        <v>0</v>
      </c>
      <c r="DH57" s="208">
        <v>0</v>
      </c>
      <c r="DI57" s="208">
        <v>0</v>
      </c>
      <c r="DJ57" s="208">
        <v>0</v>
      </c>
      <c r="DK57" s="208">
        <v>0</v>
      </c>
      <c r="DL57" s="208">
        <v>0</v>
      </c>
      <c r="DM57" s="208">
        <v>0</v>
      </c>
      <c r="DN57" s="208">
        <v>0</v>
      </c>
      <c r="DO57" s="208">
        <v>0</v>
      </c>
      <c r="DP57" s="208">
        <v>-49240</v>
      </c>
      <c r="DQ57" s="208">
        <v>0</v>
      </c>
      <c r="DR57" s="208">
        <v>-49240</v>
      </c>
      <c r="DS57" s="208">
        <v>0</v>
      </c>
      <c r="DT57" s="208">
        <v>0</v>
      </c>
      <c r="DU57" s="208">
        <v>0</v>
      </c>
      <c r="DV57" s="208">
        <v>3725</v>
      </c>
      <c r="DW57" s="208">
        <v>0</v>
      </c>
      <c r="DX57" s="208">
        <v>3725</v>
      </c>
      <c r="DY57" s="208">
        <v>-74</v>
      </c>
      <c r="DZ57" s="208">
        <v>0</v>
      </c>
      <c r="EA57" s="208">
        <v>-74</v>
      </c>
      <c r="EB57" s="208">
        <v>0</v>
      </c>
      <c r="EC57" s="208">
        <v>0</v>
      </c>
      <c r="ED57" s="208">
        <v>0</v>
      </c>
      <c r="EE57" s="208">
        <v>0</v>
      </c>
      <c r="EF57" s="208">
        <v>0</v>
      </c>
      <c r="EG57" s="208">
        <v>0</v>
      </c>
      <c r="EH57" s="208">
        <v>0</v>
      </c>
      <c r="EI57" s="208">
        <v>0</v>
      </c>
      <c r="EJ57" s="208">
        <v>0</v>
      </c>
      <c r="EK57" s="208">
        <v>0</v>
      </c>
      <c r="EL57" s="208">
        <v>0</v>
      </c>
      <c r="EM57" s="208">
        <v>0</v>
      </c>
      <c r="EN57" s="208">
        <v>0</v>
      </c>
      <c r="EO57" s="208">
        <v>0</v>
      </c>
      <c r="EP57" s="208">
        <v>0</v>
      </c>
      <c r="EQ57" s="208">
        <v>0</v>
      </c>
      <c r="ER57" s="208">
        <v>0</v>
      </c>
      <c r="ES57" s="208">
        <v>0</v>
      </c>
      <c r="ET57" s="208">
        <v>0</v>
      </c>
      <c r="EU57" s="208">
        <v>0</v>
      </c>
      <c r="EV57" s="208">
        <v>0</v>
      </c>
      <c r="EW57" s="208">
        <v>-13885</v>
      </c>
      <c r="EX57" s="208">
        <v>0</v>
      </c>
      <c r="EY57" s="208">
        <v>-13885</v>
      </c>
      <c r="EZ57" s="208">
        <v>313</v>
      </c>
      <c r="FA57" s="208">
        <v>0</v>
      </c>
      <c r="FB57" s="208">
        <v>313</v>
      </c>
      <c r="FC57" s="208">
        <v>-129953</v>
      </c>
      <c r="FD57" s="208">
        <v>0</v>
      </c>
      <c r="FE57" s="208">
        <v>-129953</v>
      </c>
      <c r="FF57" s="208">
        <v>-30635</v>
      </c>
      <c r="FG57" s="208">
        <v>0</v>
      </c>
      <c r="FH57" s="208">
        <v>-30635</v>
      </c>
      <c r="FI57" s="208">
        <v>-30751</v>
      </c>
      <c r="FJ57" s="208">
        <v>0</v>
      </c>
      <c r="FK57" s="208">
        <v>-30751</v>
      </c>
      <c r="FL57" s="208">
        <v>1162</v>
      </c>
      <c r="FM57" s="208">
        <v>0</v>
      </c>
      <c r="FN57" s="208">
        <v>1162</v>
      </c>
      <c r="FO57" s="208">
        <v>0</v>
      </c>
      <c r="FP57" s="208">
        <v>0</v>
      </c>
      <c r="FQ57" s="208">
        <v>0</v>
      </c>
      <c r="FR57" s="208">
        <v>0</v>
      </c>
      <c r="FS57" s="208">
        <v>0</v>
      </c>
      <c r="FT57" s="208">
        <v>0</v>
      </c>
      <c r="FU57" s="208">
        <v>-200098</v>
      </c>
      <c r="FV57" s="208">
        <v>0</v>
      </c>
      <c r="FW57" s="208">
        <v>-200098</v>
      </c>
      <c r="FX57" s="208">
        <v>0</v>
      </c>
      <c r="FY57" s="208">
        <v>0</v>
      </c>
      <c r="FZ57" s="208">
        <v>0</v>
      </c>
      <c r="GA57" s="208">
        <v>0</v>
      </c>
      <c r="GB57" s="208">
        <v>0</v>
      </c>
      <c r="GC57" s="208">
        <v>0</v>
      </c>
      <c r="GD57" s="208">
        <v>0</v>
      </c>
      <c r="GE57" s="208">
        <v>0</v>
      </c>
      <c r="GF57" s="208">
        <v>0</v>
      </c>
      <c r="GG57" s="208">
        <v>63113999</v>
      </c>
      <c r="GH57" s="208">
        <v>0</v>
      </c>
      <c r="GI57" s="208">
        <v>63113999</v>
      </c>
      <c r="GJ57" s="208">
        <v>1195817</v>
      </c>
      <c r="GK57" s="208">
        <v>0</v>
      </c>
      <c r="GL57" s="208">
        <v>1195817</v>
      </c>
      <c r="GM57" s="208">
        <v>-7334405</v>
      </c>
      <c r="GN57" s="208">
        <v>0</v>
      </c>
      <c r="GO57" s="208">
        <v>-7334405</v>
      </c>
      <c r="GP57" s="208">
        <v>-1585996</v>
      </c>
      <c r="GQ57" s="208">
        <v>0</v>
      </c>
      <c r="GR57" s="208">
        <v>-1585996</v>
      </c>
      <c r="GS57" s="208">
        <v>-49240</v>
      </c>
      <c r="GT57" s="208">
        <v>0</v>
      </c>
      <c r="GU57" s="208">
        <v>-49240</v>
      </c>
      <c r="GV57" s="208">
        <v>-200098</v>
      </c>
      <c r="GW57" s="208">
        <v>0</v>
      </c>
      <c r="GX57" s="208">
        <v>-200098</v>
      </c>
      <c r="GY57" s="208">
        <v>0</v>
      </c>
      <c r="GZ57" s="208">
        <v>0</v>
      </c>
      <c r="HA57" s="208">
        <v>0</v>
      </c>
      <c r="HB57" s="208">
        <v>-7973922</v>
      </c>
      <c r="HC57" s="208">
        <v>0</v>
      </c>
      <c r="HD57" s="208">
        <v>-7973922</v>
      </c>
      <c r="HE57" s="208">
        <v>55140077</v>
      </c>
      <c r="HF57" s="208">
        <v>0</v>
      </c>
      <c r="HG57" s="208">
        <v>55140077</v>
      </c>
      <c r="HH57" s="187" t="s">
        <v>1054</v>
      </c>
    </row>
    <row r="58" spans="2:216" s="187" customFormat="1" x14ac:dyDescent="0.2">
      <c r="B58" s="429" t="s">
        <v>195</v>
      </c>
      <c r="C58" s="429" t="s">
        <v>194</v>
      </c>
      <c r="D58" s="208">
        <v>-5264562</v>
      </c>
      <c r="E58" s="208">
        <v>0</v>
      </c>
      <c r="F58" s="208">
        <v>-5264562</v>
      </c>
      <c r="G58" s="208">
        <v>215842</v>
      </c>
      <c r="H58" s="208">
        <v>0</v>
      </c>
      <c r="I58" s="208">
        <v>215842</v>
      </c>
      <c r="J58" s="208">
        <v>1480313</v>
      </c>
      <c r="K58" s="208">
        <v>0</v>
      </c>
      <c r="L58" s="208">
        <v>1480313</v>
      </c>
      <c r="M58" s="208">
        <v>-552839</v>
      </c>
      <c r="N58" s="208">
        <v>0</v>
      </c>
      <c r="O58" s="208">
        <v>-552839</v>
      </c>
      <c r="P58" s="208">
        <v>-4121246</v>
      </c>
      <c r="Q58" s="208">
        <v>0</v>
      </c>
      <c r="R58" s="208">
        <v>-4121246</v>
      </c>
      <c r="S58" s="208">
        <v>-4066410</v>
      </c>
      <c r="T58" s="208">
        <v>0</v>
      </c>
      <c r="U58" s="208">
        <v>-4066410</v>
      </c>
      <c r="V58" s="208">
        <v>-1837</v>
      </c>
      <c r="W58" s="208">
        <v>0</v>
      </c>
      <c r="X58" s="208">
        <v>-1837</v>
      </c>
      <c r="Y58" s="208">
        <v>-389816</v>
      </c>
      <c r="Z58" s="208">
        <v>0</v>
      </c>
      <c r="AA58" s="208">
        <v>-389816</v>
      </c>
      <c r="AB58" s="208">
        <v>-106246</v>
      </c>
      <c r="AC58" s="208">
        <v>0</v>
      </c>
      <c r="AD58" s="208">
        <v>-106246</v>
      </c>
      <c r="AE58" s="208">
        <v>-272320</v>
      </c>
      <c r="AF58" s="208">
        <v>0</v>
      </c>
      <c r="AG58" s="208">
        <v>-272320</v>
      </c>
      <c r="AH58" s="208">
        <v>0</v>
      </c>
      <c r="AI58" s="208">
        <v>0</v>
      </c>
      <c r="AJ58" s="208">
        <v>0</v>
      </c>
      <c r="AK58" s="208">
        <v>-1644</v>
      </c>
      <c r="AL58" s="208">
        <v>0</v>
      </c>
      <c r="AM58" s="208">
        <v>-1644</v>
      </c>
      <c r="AN58" s="208">
        <v>2357607</v>
      </c>
      <c r="AO58" s="208">
        <v>0</v>
      </c>
      <c r="AP58" s="208">
        <v>2357607</v>
      </c>
      <c r="AQ58" s="208">
        <v>-84878</v>
      </c>
      <c r="AR58" s="208">
        <v>0</v>
      </c>
      <c r="AS58" s="208">
        <v>-84878</v>
      </c>
      <c r="AT58" s="208">
        <v>-4071981</v>
      </c>
      <c r="AU58" s="208">
        <v>0</v>
      </c>
      <c r="AV58" s="208">
        <v>-4071981</v>
      </c>
      <c r="AW58" s="208">
        <v>-43360</v>
      </c>
      <c r="AX58" s="208">
        <v>0</v>
      </c>
      <c r="AY58" s="208">
        <v>-43360</v>
      </c>
      <c r="AZ58" s="208">
        <v>-48708</v>
      </c>
      <c r="BA58" s="208">
        <v>0</v>
      </c>
      <c r="BB58" s="208">
        <v>-48708</v>
      </c>
      <c r="BC58" s="208">
        <v>0</v>
      </c>
      <c r="BD58" s="208">
        <v>0</v>
      </c>
      <c r="BE58" s="208">
        <v>0</v>
      </c>
      <c r="BF58" s="208">
        <v>-646</v>
      </c>
      <c r="BG58" s="208">
        <v>0</v>
      </c>
      <c r="BH58" s="208">
        <v>-646</v>
      </c>
      <c r="BI58" s="208">
        <v>0</v>
      </c>
      <c r="BJ58" s="208">
        <v>0</v>
      </c>
      <c r="BK58" s="208">
        <v>0</v>
      </c>
      <c r="BL58" s="208">
        <v>-6348192</v>
      </c>
      <c r="BM58" s="208">
        <v>0</v>
      </c>
      <c r="BN58" s="208">
        <v>-6348192</v>
      </c>
      <c r="BO58" s="208">
        <v>0</v>
      </c>
      <c r="BP58" s="208">
        <v>0</v>
      </c>
      <c r="BQ58" s="208">
        <v>0</v>
      </c>
      <c r="BR58" s="208">
        <v>-38995</v>
      </c>
      <c r="BS58" s="208">
        <v>0</v>
      </c>
      <c r="BT58" s="208">
        <v>-38995</v>
      </c>
      <c r="BU58" s="208">
        <v>-2415744</v>
      </c>
      <c r="BV58" s="208">
        <v>0</v>
      </c>
      <c r="BW58" s="208">
        <v>-2415744</v>
      </c>
      <c r="BX58" s="208">
        <v>-60345</v>
      </c>
      <c r="BY58" s="208">
        <v>0</v>
      </c>
      <c r="BZ58" s="208">
        <v>-60345</v>
      </c>
      <c r="CA58" s="208">
        <v>-2515084</v>
      </c>
      <c r="CB58" s="208">
        <v>0</v>
      </c>
      <c r="CC58" s="208">
        <v>-2515084</v>
      </c>
      <c r="CD58" s="208">
        <v>-75722</v>
      </c>
      <c r="CE58" s="208">
        <v>0</v>
      </c>
      <c r="CF58" s="208">
        <v>-75722</v>
      </c>
      <c r="CG58" s="208">
        <v>-3892</v>
      </c>
      <c r="CH58" s="208">
        <v>0</v>
      </c>
      <c r="CI58" s="208">
        <v>-3892</v>
      </c>
      <c r="CJ58" s="208">
        <v>-33436</v>
      </c>
      <c r="CK58" s="208">
        <v>0</v>
      </c>
      <c r="CL58" s="208">
        <v>-33436</v>
      </c>
      <c r="CM58" s="208">
        <v>-3469</v>
      </c>
      <c r="CN58" s="208">
        <v>0</v>
      </c>
      <c r="CO58" s="208">
        <v>-3469</v>
      </c>
      <c r="CP58" s="208">
        <v>-887</v>
      </c>
      <c r="CQ58" s="208">
        <v>0</v>
      </c>
      <c r="CR58" s="208">
        <v>-887</v>
      </c>
      <c r="CS58" s="208">
        <v>-1690</v>
      </c>
      <c r="CT58" s="208">
        <v>0</v>
      </c>
      <c r="CU58" s="208">
        <v>-1690</v>
      </c>
      <c r="CV58" s="208">
        <v>-646</v>
      </c>
      <c r="CW58" s="208">
        <v>0</v>
      </c>
      <c r="CX58" s="208">
        <v>-646</v>
      </c>
      <c r="CY58" s="208">
        <v>0</v>
      </c>
      <c r="CZ58" s="208">
        <v>0</v>
      </c>
      <c r="DA58" s="208">
        <v>0</v>
      </c>
      <c r="DB58" s="208">
        <v>0</v>
      </c>
      <c r="DC58" s="208">
        <v>0</v>
      </c>
      <c r="DD58" s="208">
        <v>0</v>
      </c>
      <c r="DE58" s="208">
        <v>0</v>
      </c>
      <c r="DF58" s="208">
        <v>0</v>
      </c>
      <c r="DG58" s="208">
        <v>0</v>
      </c>
      <c r="DH58" s="208">
        <v>-33797</v>
      </c>
      <c r="DI58" s="208">
        <v>0</v>
      </c>
      <c r="DJ58" s="208">
        <v>-33797</v>
      </c>
      <c r="DK58" s="208">
        <v>-2957</v>
      </c>
      <c r="DL58" s="208">
        <v>0</v>
      </c>
      <c r="DM58" s="208">
        <v>-2957</v>
      </c>
      <c r="DN58" s="208">
        <v>0</v>
      </c>
      <c r="DO58" s="208">
        <v>0</v>
      </c>
      <c r="DP58" s="208">
        <v>-156496</v>
      </c>
      <c r="DQ58" s="208">
        <v>0</v>
      </c>
      <c r="DR58" s="208">
        <v>-156496</v>
      </c>
      <c r="DS58" s="208">
        <v>0</v>
      </c>
      <c r="DT58" s="208">
        <v>0</v>
      </c>
      <c r="DU58" s="208">
        <v>0</v>
      </c>
      <c r="DV58" s="208">
        <v>15342</v>
      </c>
      <c r="DW58" s="208">
        <v>0</v>
      </c>
      <c r="DX58" s="208">
        <v>15342</v>
      </c>
      <c r="DY58" s="208">
        <v>1053</v>
      </c>
      <c r="DZ58" s="208">
        <v>0</v>
      </c>
      <c r="EA58" s="208">
        <v>1053</v>
      </c>
      <c r="EB58" s="208">
        <v>0</v>
      </c>
      <c r="EC58" s="208">
        <v>0</v>
      </c>
      <c r="ED58" s="208">
        <v>0</v>
      </c>
      <c r="EE58" s="208">
        <v>0</v>
      </c>
      <c r="EF58" s="208">
        <v>0</v>
      </c>
      <c r="EG58" s="208">
        <v>0</v>
      </c>
      <c r="EH58" s="208">
        <v>0</v>
      </c>
      <c r="EI58" s="208">
        <v>0</v>
      </c>
      <c r="EJ58" s="208">
        <v>0</v>
      </c>
      <c r="EK58" s="208">
        <v>-54675</v>
      </c>
      <c r="EL58" s="208">
        <v>0</v>
      </c>
      <c r="EM58" s="208">
        <v>-54675</v>
      </c>
      <c r="EN58" s="208">
        <v>0</v>
      </c>
      <c r="EO58" s="208">
        <v>0</v>
      </c>
      <c r="EP58" s="208">
        <v>0</v>
      </c>
      <c r="EQ58" s="208">
        <v>-852</v>
      </c>
      <c r="ER58" s="208">
        <v>0</v>
      </c>
      <c r="ES58" s="208">
        <v>-852</v>
      </c>
      <c r="ET58" s="208">
        <v>-827</v>
      </c>
      <c r="EU58" s="208">
        <v>0</v>
      </c>
      <c r="EV58" s="208">
        <v>-827</v>
      </c>
      <c r="EW58" s="208">
        <v>-52328</v>
      </c>
      <c r="EX58" s="208">
        <v>0</v>
      </c>
      <c r="EY58" s="208">
        <v>-52328</v>
      </c>
      <c r="EZ58" s="208">
        <v>1632</v>
      </c>
      <c r="FA58" s="208">
        <v>0</v>
      </c>
      <c r="FB58" s="208">
        <v>1632</v>
      </c>
      <c r="FC58" s="208">
        <v>-336088</v>
      </c>
      <c r="FD58" s="208">
        <v>0</v>
      </c>
      <c r="FE58" s="208">
        <v>-336088</v>
      </c>
      <c r="FF58" s="208">
        <v>-13403</v>
      </c>
      <c r="FG58" s="208">
        <v>0</v>
      </c>
      <c r="FH58" s="208">
        <v>-13403</v>
      </c>
      <c r="FI58" s="208">
        <v>-56808</v>
      </c>
      <c r="FJ58" s="208">
        <v>0</v>
      </c>
      <c r="FK58" s="208">
        <v>-56808</v>
      </c>
      <c r="FL58" s="208">
        <v>3929</v>
      </c>
      <c r="FM58" s="208">
        <v>0</v>
      </c>
      <c r="FN58" s="208">
        <v>3929</v>
      </c>
      <c r="FO58" s="208">
        <v>0</v>
      </c>
      <c r="FP58" s="208">
        <v>0</v>
      </c>
      <c r="FQ58" s="208">
        <v>0</v>
      </c>
      <c r="FR58" s="208">
        <v>0</v>
      </c>
      <c r="FS58" s="208">
        <v>0</v>
      </c>
      <c r="FT58" s="208">
        <v>0</v>
      </c>
      <c r="FU58" s="208">
        <v>-493025</v>
      </c>
      <c r="FV58" s="208">
        <v>0</v>
      </c>
      <c r="FW58" s="208">
        <v>-493025</v>
      </c>
      <c r="FX58" s="208">
        <v>0</v>
      </c>
      <c r="FY58" s="208">
        <v>0</v>
      </c>
      <c r="FZ58" s="208">
        <v>0</v>
      </c>
      <c r="GA58" s="208">
        <v>0</v>
      </c>
      <c r="GB58" s="208">
        <v>0</v>
      </c>
      <c r="GC58" s="208">
        <v>0</v>
      </c>
      <c r="GD58" s="208">
        <v>0</v>
      </c>
      <c r="GE58" s="208">
        <v>0</v>
      </c>
      <c r="GF58" s="208">
        <v>0</v>
      </c>
      <c r="GG58" s="208">
        <v>105907309</v>
      </c>
      <c r="GH58" s="208">
        <v>0</v>
      </c>
      <c r="GI58" s="208">
        <v>105907309</v>
      </c>
      <c r="GJ58" s="208">
        <v>-4121246</v>
      </c>
      <c r="GK58" s="208">
        <v>0</v>
      </c>
      <c r="GL58" s="208">
        <v>-4121246</v>
      </c>
      <c r="GM58" s="208">
        <v>-6348192</v>
      </c>
      <c r="GN58" s="208">
        <v>0</v>
      </c>
      <c r="GO58" s="208">
        <v>-6348192</v>
      </c>
      <c r="GP58" s="208">
        <v>-2515084</v>
      </c>
      <c r="GQ58" s="208">
        <v>0</v>
      </c>
      <c r="GR58" s="208">
        <v>-2515084</v>
      </c>
      <c r="GS58" s="208">
        <v>-156496</v>
      </c>
      <c r="GT58" s="208">
        <v>0</v>
      </c>
      <c r="GU58" s="208">
        <v>-156496</v>
      </c>
      <c r="GV58" s="208">
        <v>-493025</v>
      </c>
      <c r="GW58" s="208">
        <v>0</v>
      </c>
      <c r="GX58" s="208">
        <v>-493025</v>
      </c>
      <c r="GY58" s="208">
        <v>0</v>
      </c>
      <c r="GZ58" s="208">
        <v>0</v>
      </c>
      <c r="HA58" s="208">
        <v>0</v>
      </c>
      <c r="HB58" s="208">
        <v>-13634043</v>
      </c>
      <c r="HC58" s="208">
        <v>0</v>
      </c>
      <c r="HD58" s="208">
        <v>-13634043</v>
      </c>
      <c r="HE58" s="208">
        <v>92273266</v>
      </c>
      <c r="HF58" s="208">
        <v>0</v>
      </c>
      <c r="HG58" s="208">
        <v>92273266</v>
      </c>
      <c r="HH58" s="187" t="s">
        <v>1054</v>
      </c>
    </row>
    <row r="59" spans="2:216" s="187" customFormat="1" x14ac:dyDescent="0.2">
      <c r="B59" s="429" t="s">
        <v>197</v>
      </c>
      <c r="C59" s="429" t="s">
        <v>196</v>
      </c>
      <c r="D59" s="208">
        <v>-2597808</v>
      </c>
      <c r="E59" s="208">
        <v>-124642</v>
      </c>
      <c r="F59" s="208">
        <v>-2722450</v>
      </c>
      <c r="G59" s="208">
        <v>231124.07</v>
      </c>
      <c r="H59" s="208">
        <v>-233344</v>
      </c>
      <c r="I59" s="208">
        <v>-2219.929999999993</v>
      </c>
      <c r="J59" s="208">
        <v>4017870</v>
      </c>
      <c r="K59" s="208">
        <v>58830</v>
      </c>
      <c r="L59" s="208">
        <v>4076700</v>
      </c>
      <c r="M59" s="208">
        <v>-388455</v>
      </c>
      <c r="N59" s="208">
        <v>-93634</v>
      </c>
      <c r="O59" s="208">
        <v>-482089</v>
      </c>
      <c r="P59" s="208">
        <v>1262731</v>
      </c>
      <c r="Q59" s="208">
        <v>-392790</v>
      </c>
      <c r="R59" s="208">
        <v>869941</v>
      </c>
      <c r="S59" s="208">
        <v>-14663600</v>
      </c>
      <c r="T59" s="208">
        <v>-21305</v>
      </c>
      <c r="U59" s="208">
        <v>-14684905</v>
      </c>
      <c r="V59" s="208">
        <v>-89518</v>
      </c>
      <c r="W59" s="208">
        <v>0</v>
      </c>
      <c r="X59" s="208">
        <v>-89518</v>
      </c>
      <c r="Y59" s="208">
        <v>-506369</v>
      </c>
      <c r="Z59" s="208">
        <v>13192</v>
      </c>
      <c r="AA59" s="208">
        <v>-493177</v>
      </c>
      <c r="AB59" s="208">
        <v>-112083</v>
      </c>
      <c r="AC59" s="208">
        <v>6476</v>
      </c>
      <c r="AD59" s="208">
        <v>-105607</v>
      </c>
      <c r="AE59" s="208">
        <v>-390298</v>
      </c>
      <c r="AF59" s="208">
        <v>6716</v>
      </c>
      <c r="AG59" s="208">
        <v>-383582</v>
      </c>
      <c r="AH59" s="208">
        <v>-9838</v>
      </c>
      <c r="AI59" s="208">
        <v>-400</v>
      </c>
      <c r="AJ59" s="208">
        <v>-10238</v>
      </c>
      <c r="AK59" s="208">
        <v>-9377</v>
      </c>
      <c r="AL59" s="208">
        <v>-142</v>
      </c>
      <c r="AM59" s="208">
        <v>-9519</v>
      </c>
      <c r="AN59" s="208">
        <v>3010114</v>
      </c>
      <c r="AO59" s="208">
        <v>79900</v>
      </c>
      <c r="AP59" s="208">
        <v>3090014</v>
      </c>
      <c r="AQ59" s="208">
        <v>-42799</v>
      </c>
      <c r="AR59" s="208">
        <v>-22431</v>
      </c>
      <c r="AS59" s="208">
        <v>-65230</v>
      </c>
      <c r="AT59" s="208">
        <v>-8758051</v>
      </c>
      <c r="AU59" s="208">
        <v>-35805</v>
      </c>
      <c r="AV59" s="208">
        <v>-8793856</v>
      </c>
      <c r="AW59" s="208">
        <v>9952</v>
      </c>
      <c r="AX59" s="208">
        <v>-7810</v>
      </c>
      <c r="AY59" s="208">
        <v>2142</v>
      </c>
      <c r="AZ59" s="208">
        <v>-120522</v>
      </c>
      <c r="BA59" s="208">
        <v>0</v>
      </c>
      <c r="BB59" s="208">
        <v>-120522</v>
      </c>
      <c r="BC59" s="208">
        <v>-1335</v>
      </c>
      <c r="BD59" s="208">
        <v>0</v>
      </c>
      <c r="BE59" s="208">
        <v>-1335</v>
      </c>
      <c r="BF59" s="208">
        <v>-13622</v>
      </c>
      <c r="BG59" s="208">
        <v>0</v>
      </c>
      <c r="BH59" s="208">
        <v>-13622</v>
      </c>
      <c r="BI59" s="208">
        <v>0</v>
      </c>
      <c r="BJ59" s="208">
        <v>0</v>
      </c>
      <c r="BK59" s="208">
        <v>0</v>
      </c>
      <c r="BL59" s="208">
        <v>-21086232</v>
      </c>
      <c r="BM59" s="208">
        <v>5741</v>
      </c>
      <c r="BN59" s="208">
        <v>-21080491</v>
      </c>
      <c r="BO59" s="208">
        <v>-187899</v>
      </c>
      <c r="BP59" s="208">
        <v>0</v>
      </c>
      <c r="BQ59" s="208">
        <v>-187899</v>
      </c>
      <c r="BR59" s="208">
        <v>-3</v>
      </c>
      <c r="BS59" s="208">
        <v>0</v>
      </c>
      <c r="BT59" s="208">
        <v>-3</v>
      </c>
      <c r="BU59" s="208">
        <v>-3469095</v>
      </c>
      <c r="BV59" s="208">
        <v>-101937</v>
      </c>
      <c r="BW59" s="208">
        <v>-3571032</v>
      </c>
      <c r="BX59" s="208">
        <v>107083</v>
      </c>
      <c r="BY59" s="208">
        <v>368612</v>
      </c>
      <c r="BZ59" s="208">
        <v>475695</v>
      </c>
      <c r="CA59" s="208">
        <v>-3549914</v>
      </c>
      <c r="CB59" s="208">
        <v>266675</v>
      </c>
      <c r="CC59" s="208">
        <v>-3283239</v>
      </c>
      <c r="CD59" s="208">
        <v>-222412</v>
      </c>
      <c r="CE59" s="208">
        <v>-94</v>
      </c>
      <c r="CF59" s="208">
        <v>-222506</v>
      </c>
      <c r="CG59" s="208">
        <v>7073</v>
      </c>
      <c r="CH59" s="208">
        <v>-87</v>
      </c>
      <c r="CI59" s="208">
        <v>6986</v>
      </c>
      <c r="CJ59" s="208">
        <v>-55584</v>
      </c>
      <c r="CK59" s="208">
        <v>0</v>
      </c>
      <c r="CL59" s="208">
        <v>-55584</v>
      </c>
      <c r="CM59" s="208">
        <v>-200</v>
      </c>
      <c r="CN59" s="208">
        <v>0</v>
      </c>
      <c r="CO59" s="208">
        <v>-200</v>
      </c>
      <c r="CP59" s="208">
        <v>-5427</v>
      </c>
      <c r="CQ59" s="208">
        <v>0</v>
      </c>
      <c r="CR59" s="208">
        <v>-5427</v>
      </c>
      <c r="CS59" s="208">
        <v>0</v>
      </c>
      <c r="CT59" s="208">
        <v>0</v>
      </c>
      <c r="CU59" s="208">
        <v>0</v>
      </c>
      <c r="CV59" s="208">
        <v>0</v>
      </c>
      <c r="CW59" s="208">
        <v>0</v>
      </c>
      <c r="CX59" s="208">
        <v>0</v>
      </c>
      <c r="CY59" s="208">
        <v>0</v>
      </c>
      <c r="CZ59" s="208">
        <v>0</v>
      </c>
      <c r="DA59" s="208">
        <v>0</v>
      </c>
      <c r="DB59" s="208">
        <v>-8216</v>
      </c>
      <c r="DC59" s="208">
        <v>0</v>
      </c>
      <c r="DD59" s="208">
        <v>-8216</v>
      </c>
      <c r="DE59" s="208">
        <v>-1679</v>
      </c>
      <c r="DF59" s="208">
        <v>0</v>
      </c>
      <c r="DG59" s="208">
        <v>-1679</v>
      </c>
      <c r="DH59" s="208">
        <v>0</v>
      </c>
      <c r="DI59" s="208">
        <v>-193725</v>
      </c>
      <c r="DJ59" s="208">
        <v>-193725</v>
      </c>
      <c r="DK59" s="208">
        <v>0</v>
      </c>
      <c r="DL59" s="208">
        <v>16922</v>
      </c>
      <c r="DM59" s="208">
        <v>16922</v>
      </c>
      <c r="DN59" s="208">
        <v>-176803</v>
      </c>
      <c r="DO59" s="208">
        <v>0</v>
      </c>
      <c r="DP59" s="208">
        <v>-286445</v>
      </c>
      <c r="DQ59" s="208">
        <v>-176984</v>
      </c>
      <c r="DR59" s="208">
        <v>-463429</v>
      </c>
      <c r="DS59" s="208">
        <v>0</v>
      </c>
      <c r="DT59" s="208">
        <v>0</v>
      </c>
      <c r="DU59" s="208">
        <v>0</v>
      </c>
      <c r="DV59" s="208">
        <v>0</v>
      </c>
      <c r="DW59" s="208">
        <v>0</v>
      </c>
      <c r="DX59" s="208">
        <v>0</v>
      </c>
      <c r="DY59" s="208">
        <v>1500</v>
      </c>
      <c r="DZ59" s="208">
        <v>0</v>
      </c>
      <c r="EA59" s="208">
        <v>1500</v>
      </c>
      <c r="EB59" s="208">
        <v>0</v>
      </c>
      <c r="EC59" s="208">
        <v>0</v>
      </c>
      <c r="ED59" s="208">
        <v>0</v>
      </c>
      <c r="EE59" s="208">
        <v>0</v>
      </c>
      <c r="EF59" s="208">
        <v>0</v>
      </c>
      <c r="EG59" s="208">
        <v>0</v>
      </c>
      <c r="EH59" s="208">
        <v>0</v>
      </c>
      <c r="EI59" s="208">
        <v>0</v>
      </c>
      <c r="EJ59" s="208">
        <v>0</v>
      </c>
      <c r="EK59" s="208">
        <v>-13622</v>
      </c>
      <c r="EL59" s="208">
        <v>0</v>
      </c>
      <c r="EM59" s="208">
        <v>-13622</v>
      </c>
      <c r="EN59" s="208">
        <v>0</v>
      </c>
      <c r="EO59" s="208">
        <v>0</v>
      </c>
      <c r="EP59" s="208">
        <v>0</v>
      </c>
      <c r="EQ59" s="208">
        <v>-1500</v>
      </c>
      <c r="ER59" s="208">
        <v>0</v>
      </c>
      <c r="ES59" s="208">
        <v>-1500</v>
      </c>
      <c r="ET59" s="208">
        <v>0</v>
      </c>
      <c r="EU59" s="208">
        <v>0</v>
      </c>
      <c r="EV59" s="208">
        <v>0</v>
      </c>
      <c r="EW59" s="208">
        <v>-61157</v>
      </c>
      <c r="EX59" s="208">
        <v>0</v>
      </c>
      <c r="EY59" s="208">
        <v>-61157</v>
      </c>
      <c r="EZ59" s="208">
        <v>1980</v>
      </c>
      <c r="FA59" s="208">
        <v>0</v>
      </c>
      <c r="FB59" s="208">
        <v>1980</v>
      </c>
      <c r="FC59" s="208">
        <v>-357578</v>
      </c>
      <c r="FD59" s="208">
        <v>0</v>
      </c>
      <c r="FE59" s="208">
        <v>-357578</v>
      </c>
      <c r="FF59" s="208">
        <v>6010</v>
      </c>
      <c r="FG59" s="208">
        <v>0</v>
      </c>
      <c r="FH59" s="208">
        <v>6010</v>
      </c>
      <c r="FI59" s="208">
        <v>-183513</v>
      </c>
      <c r="FJ59" s="208">
        <v>0</v>
      </c>
      <c r="FK59" s="208">
        <v>-183513</v>
      </c>
      <c r="FL59" s="208">
        <v>-1867</v>
      </c>
      <c r="FM59" s="208">
        <v>0</v>
      </c>
      <c r="FN59" s="208">
        <v>-1867</v>
      </c>
      <c r="FO59" s="208">
        <v>0</v>
      </c>
      <c r="FP59" s="208">
        <v>0</v>
      </c>
      <c r="FQ59" s="208">
        <v>0</v>
      </c>
      <c r="FR59" s="208">
        <v>0</v>
      </c>
      <c r="FS59" s="208">
        <v>0</v>
      </c>
      <c r="FT59" s="208">
        <v>0</v>
      </c>
      <c r="FU59" s="208">
        <v>-609747</v>
      </c>
      <c r="FV59" s="208">
        <v>0</v>
      </c>
      <c r="FW59" s="208">
        <v>-609747</v>
      </c>
      <c r="FX59" s="208">
        <v>-11439</v>
      </c>
      <c r="FY59" s="208">
        <v>0</v>
      </c>
      <c r="FZ59" s="208">
        <v>-11439</v>
      </c>
      <c r="GA59" s="208">
        <v>-4542</v>
      </c>
      <c r="GB59" s="208">
        <v>0</v>
      </c>
      <c r="GC59" s="208">
        <v>-4542</v>
      </c>
      <c r="GD59" s="208">
        <v>-15981</v>
      </c>
      <c r="GE59" s="208">
        <v>0</v>
      </c>
      <c r="GF59" s="208">
        <v>-15981</v>
      </c>
      <c r="GG59" s="208">
        <v>159970941</v>
      </c>
      <c r="GH59" s="208">
        <v>2400704</v>
      </c>
      <c r="GI59" s="208">
        <v>162371645</v>
      </c>
      <c r="GJ59" s="208">
        <v>1262731</v>
      </c>
      <c r="GK59" s="208">
        <v>-392790</v>
      </c>
      <c r="GL59" s="208">
        <v>869941</v>
      </c>
      <c r="GM59" s="208">
        <v>-21086232</v>
      </c>
      <c r="GN59" s="208">
        <v>5741</v>
      </c>
      <c r="GO59" s="208">
        <v>-21080491</v>
      </c>
      <c r="GP59" s="208">
        <v>-3549914</v>
      </c>
      <c r="GQ59" s="208">
        <v>266675</v>
      </c>
      <c r="GR59" s="208">
        <v>-3283239</v>
      </c>
      <c r="GS59" s="208">
        <v>-286445</v>
      </c>
      <c r="GT59" s="208">
        <v>-176984</v>
      </c>
      <c r="GU59" s="208">
        <v>-463429</v>
      </c>
      <c r="GV59" s="208">
        <v>-609747</v>
      </c>
      <c r="GW59" s="208">
        <v>0</v>
      </c>
      <c r="GX59" s="208">
        <v>-609747</v>
      </c>
      <c r="GY59" s="208">
        <v>-15981</v>
      </c>
      <c r="GZ59" s="208">
        <v>0</v>
      </c>
      <c r="HA59" s="208">
        <v>-15981</v>
      </c>
      <c r="HB59" s="208">
        <v>-24285588</v>
      </c>
      <c r="HC59" s="208">
        <v>-297358</v>
      </c>
      <c r="HD59" s="208">
        <v>-24582946</v>
      </c>
      <c r="HE59" s="208">
        <v>135685353</v>
      </c>
      <c r="HF59" s="208">
        <v>2103346</v>
      </c>
      <c r="HG59" s="208">
        <v>137788699</v>
      </c>
      <c r="HH59" s="187" t="s">
        <v>742</v>
      </c>
    </row>
    <row r="60" spans="2:216" s="187" customFormat="1" x14ac:dyDescent="0.2">
      <c r="B60" s="429" t="s">
        <v>199</v>
      </c>
      <c r="C60" s="429" t="s">
        <v>855</v>
      </c>
      <c r="D60" s="208">
        <v>-2332150</v>
      </c>
      <c r="E60" s="208">
        <v>-15</v>
      </c>
      <c r="F60" s="208">
        <v>-2332165</v>
      </c>
      <c r="G60" s="208">
        <v>207713</v>
      </c>
      <c r="H60" s="208">
        <v>0</v>
      </c>
      <c r="I60" s="208">
        <v>207713</v>
      </c>
      <c r="J60" s="208">
        <v>11453637</v>
      </c>
      <c r="K60" s="208">
        <v>0</v>
      </c>
      <c r="L60" s="208">
        <v>11453637</v>
      </c>
      <c r="M60" s="208">
        <v>1532675</v>
      </c>
      <c r="N60" s="208">
        <v>0</v>
      </c>
      <c r="O60" s="208">
        <v>1532675</v>
      </c>
      <c r="P60" s="208">
        <v>10861875</v>
      </c>
      <c r="Q60" s="208">
        <v>-15</v>
      </c>
      <c r="R60" s="208">
        <v>10861860</v>
      </c>
      <c r="S60" s="208">
        <v>-10621544</v>
      </c>
      <c r="T60" s="208">
        <v>0</v>
      </c>
      <c r="U60" s="208">
        <v>-10621544</v>
      </c>
      <c r="V60" s="208">
        <v>-24144</v>
      </c>
      <c r="W60" s="208">
        <v>0</v>
      </c>
      <c r="X60" s="208">
        <v>-24144</v>
      </c>
      <c r="Y60" s="208">
        <v>-249043</v>
      </c>
      <c r="Z60" s="208">
        <v>0</v>
      </c>
      <c r="AA60" s="208">
        <v>-249043</v>
      </c>
      <c r="AB60" s="208">
        <v>-46394</v>
      </c>
      <c r="AC60" s="208">
        <v>0</v>
      </c>
      <c r="AD60" s="208">
        <v>-46394</v>
      </c>
      <c r="AE60" s="208">
        <v>-195007</v>
      </c>
      <c r="AF60" s="208">
        <v>0</v>
      </c>
      <c r="AG60" s="208">
        <v>-195007</v>
      </c>
      <c r="AH60" s="208">
        <v>677</v>
      </c>
      <c r="AI60" s="208">
        <v>0</v>
      </c>
      <c r="AJ60" s="208">
        <v>677</v>
      </c>
      <c r="AK60" s="208">
        <v>7481</v>
      </c>
      <c r="AL60" s="208">
        <v>0</v>
      </c>
      <c r="AM60" s="208">
        <v>7481</v>
      </c>
      <c r="AN60" s="208">
        <v>3849527</v>
      </c>
      <c r="AO60" s="208">
        <v>10295</v>
      </c>
      <c r="AP60" s="208">
        <v>3859822</v>
      </c>
      <c r="AQ60" s="208">
        <v>-284992</v>
      </c>
      <c r="AR60" s="208">
        <v>0</v>
      </c>
      <c r="AS60" s="208">
        <v>-284992</v>
      </c>
      <c r="AT60" s="208">
        <v>-9913371</v>
      </c>
      <c r="AU60" s="208">
        <v>0</v>
      </c>
      <c r="AV60" s="208">
        <v>-9913371</v>
      </c>
      <c r="AW60" s="208">
        <v>43749</v>
      </c>
      <c r="AX60" s="208">
        <v>0</v>
      </c>
      <c r="AY60" s="208">
        <v>43749</v>
      </c>
      <c r="AZ60" s="208">
        <v>-63249</v>
      </c>
      <c r="BA60" s="208">
        <v>0</v>
      </c>
      <c r="BB60" s="208">
        <v>-63249</v>
      </c>
      <c r="BC60" s="208">
        <v>0</v>
      </c>
      <c r="BD60" s="208">
        <v>0</v>
      </c>
      <c r="BE60" s="208">
        <v>0</v>
      </c>
      <c r="BF60" s="208">
        <v>-5831</v>
      </c>
      <c r="BG60" s="208">
        <v>0</v>
      </c>
      <c r="BH60" s="208">
        <v>-5831</v>
      </c>
      <c r="BI60" s="208">
        <v>0</v>
      </c>
      <c r="BJ60" s="208">
        <v>0</v>
      </c>
      <c r="BK60" s="208">
        <v>0</v>
      </c>
      <c r="BL60" s="208">
        <v>-17244754</v>
      </c>
      <c r="BM60" s="208">
        <v>10295</v>
      </c>
      <c r="BN60" s="208">
        <v>-17234459</v>
      </c>
      <c r="BO60" s="208">
        <v>-15586</v>
      </c>
      <c r="BP60" s="208">
        <v>0</v>
      </c>
      <c r="BQ60" s="208">
        <v>-15586</v>
      </c>
      <c r="BR60" s="208">
        <v>-7410</v>
      </c>
      <c r="BS60" s="208">
        <v>0</v>
      </c>
      <c r="BT60" s="208">
        <v>-7410</v>
      </c>
      <c r="BU60" s="208">
        <v>-6660413</v>
      </c>
      <c r="BV60" s="208">
        <v>-25236</v>
      </c>
      <c r="BW60" s="208">
        <v>-6685649</v>
      </c>
      <c r="BX60" s="208">
        <v>-299287</v>
      </c>
      <c r="BY60" s="208">
        <v>0</v>
      </c>
      <c r="BZ60" s="208">
        <v>-299287</v>
      </c>
      <c r="CA60" s="208">
        <v>-6982696</v>
      </c>
      <c r="CB60" s="208">
        <v>-25236</v>
      </c>
      <c r="CC60" s="208">
        <v>-7007932</v>
      </c>
      <c r="CD60" s="208">
        <v>-976556</v>
      </c>
      <c r="CE60" s="208">
        <v>0</v>
      </c>
      <c r="CF60" s="208">
        <v>-976556</v>
      </c>
      <c r="CG60" s="208">
        <v>10879</v>
      </c>
      <c r="CH60" s="208">
        <v>0</v>
      </c>
      <c r="CI60" s="208">
        <v>10879</v>
      </c>
      <c r="CJ60" s="208">
        <v>-1251576</v>
      </c>
      <c r="CK60" s="208">
        <v>0</v>
      </c>
      <c r="CL60" s="208">
        <v>-1251576</v>
      </c>
      <c r="CM60" s="208">
        <v>-2363</v>
      </c>
      <c r="CN60" s="208">
        <v>0</v>
      </c>
      <c r="CO60" s="208">
        <v>-2363</v>
      </c>
      <c r="CP60" s="208">
        <v>-14764</v>
      </c>
      <c r="CQ60" s="208">
        <v>0</v>
      </c>
      <c r="CR60" s="208">
        <v>-14764</v>
      </c>
      <c r="CS60" s="208">
        <v>0</v>
      </c>
      <c r="CT60" s="208">
        <v>0</v>
      </c>
      <c r="CU60" s="208">
        <v>0</v>
      </c>
      <c r="CV60" s="208">
        <v>0</v>
      </c>
      <c r="CW60" s="208">
        <v>0</v>
      </c>
      <c r="CX60" s="208">
        <v>0</v>
      </c>
      <c r="CY60" s="208">
        <v>0</v>
      </c>
      <c r="CZ60" s="208">
        <v>0</v>
      </c>
      <c r="DA60" s="208">
        <v>0</v>
      </c>
      <c r="DB60" s="208">
        <v>-11873</v>
      </c>
      <c r="DC60" s="208">
        <v>0</v>
      </c>
      <c r="DD60" s="208">
        <v>-11873</v>
      </c>
      <c r="DE60" s="208">
        <v>279</v>
      </c>
      <c r="DF60" s="208">
        <v>0</v>
      </c>
      <c r="DG60" s="208">
        <v>279</v>
      </c>
      <c r="DH60" s="208">
        <v>-66055</v>
      </c>
      <c r="DI60" s="208">
        <v>-205462</v>
      </c>
      <c r="DJ60" s="208">
        <v>-271517</v>
      </c>
      <c r="DK60" s="208">
        <v>0</v>
      </c>
      <c r="DL60" s="208">
        <v>0</v>
      </c>
      <c r="DM60" s="208">
        <v>0</v>
      </c>
      <c r="DN60" s="208">
        <v>-205462</v>
      </c>
      <c r="DO60" s="208">
        <v>0</v>
      </c>
      <c r="DP60" s="208">
        <v>-2312029</v>
      </c>
      <c r="DQ60" s="208">
        <v>-205462</v>
      </c>
      <c r="DR60" s="208">
        <v>-2517491</v>
      </c>
      <c r="DS60" s="208">
        <v>0</v>
      </c>
      <c r="DT60" s="208">
        <v>0</v>
      </c>
      <c r="DU60" s="208">
        <v>0</v>
      </c>
      <c r="DV60" s="208">
        <v>0</v>
      </c>
      <c r="DW60" s="208">
        <v>0</v>
      </c>
      <c r="DX60" s="208">
        <v>0</v>
      </c>
      <c r="DY60" s="208">
        <v>2988</v>
      </c>
      <c r="DZ60" s="208">
        <v>0</v>
      </c>
      <c r="EA60" s="208">
        <v>2988</v>
      </c>
      <c r="EB60" s="208">
        <v>0</v>
      </c>
      <c r="EC60" s="208">
        <v>0</v>
      </c>
      <c r="ED60" s="208">
        <v>0</v>
      </c>
      <c r="EE60" s="208">
        <v>0</v>
      </c>
      <c r="EF60" s="208">
        <v>0</v>
      </c>
      <c r="EG60" s="208">
        <v>0</v>
      </c>
      <c r="EH60" s="208">
        <v>0</v>
      </c>
      <c r="EI60" s="208">
        <v>0</v>
      </c>
      <c r="EJ60" s="208">
        <v>0</v>
      </c>
      <c r="EK60" s="208">
        <v>-5831</v>
      </c>
      <c r="EL60" s="208">
        <v>0</v>
      </c>
      <c r="EM60" s="208">
        <v>-5831</v>
      </c>
      <c r="EN60" s="208">
        <v>0</v>
      </c>
      <c r="EO60" s="208">
        <v>0</v>
      </c>
      <c r="EP60" s="208">
        <v>0</v>
      </c>
      <c r="EQ60" s="208">
        <v>-1878</v>
      </c>
      <c r="ER60" s="208">
        <v>0</v>
      </c>
      <c r="ES60" s="208">
        <v>-1878</v>
      </c>
      <c r="ET60" s="208">
        <v>0</v>
      </c>
      <c r="EU60" s="208">
        <v>0</v>
      </c>
      <c r="EV60" s="208">
        <v>0</v>
      </c>
      <c r="EW60" s="208">
        <v>-58067</v>
      </c>
      <c r="EX60" s="208">
        <v>0</v>
      </c>
      <c r="EY60" s="208">
        <v>-58067</v>
      </c>
      <c r="EZ60" s="208">
        <v>583</v>
      </c>
      <c r="FA60" s="208">
        <v>0</v>
      </c>
      <c r="FB60" s="208">
        <v>583</v>
      </c>
      <c r="FC60" s="208">
        <v>-450901</v>
      </c>
      <c r="FD60" s="208">
        <v>-1308</v>
      </c>
      <c r="FE60" s="208">
        <v>-452209</v>
      </c>
      <c r="FF60" s="208">
        <v>-1472</v>
      </c>
      <c r="FG60" s="208">
        <v>0</v>
      </c>
      <c r="FH60" s="208">
        <v>-1472</v>
      </c>
      <c r="FI60" s="208">
        <v>-141063</v>
      </c>
      <c r="FJ60" s="208">
        <v>0</v>
      </c>
      <c r="FK60" s="208">
        <v>-141063</v>
      </c>
      <c r="FL60" s="208">
        <v>5082</v>
      </c>
      <c r="FM60" s="208">
        <v>0</v>
      </c>
      <c r="FN60" s="208">
        <v>5082</v>
      </c>
      <c r="FO60" s="208">
        <v>0</v>
      </c>
      <c r="FP60" s="208">
        <v>0</v>
      </c>
      <c r="FQ60" s="208">
        <v>0</v>
      </c>
      <c r="FR60" s="208">
        <v>0</v>
      </c>
      <c r="FS60" s="208">
        <v>0</v>
      </c>
      <c r="FT60" s="208">
        <v>0</v>
      </c>
      <c r="FU60" s="208">
        <v>-650559</v>
      </c>
      <c r="FV60" s="208">
        <v>-1308</v>
      </c>
      <c r="FW60" s="208">
        <v>-651867</v>
      </c>
      <c r="FX60" s="208">
        <v>0</v>
      </c>
      <c r="FY60" s="208">
        <v>0</v>
      </c>
      <c r="FZ60" s="208">
        <v>0</v>
      </c>
      <c r="GA60" s="208">
        <v>0</v>
      </c>
      <c r="GB60" s="208">
        <v>0</v>
      </c>
      <c r="GC60" s="208">
        <v>0</v>
      </c>
      <c r="GD60" s="208">
        <v>0</v>
      </c>
      <c r="GE60" s="208">
        <v>0</v>
      </c>
      <c r="GF60" s="208">
        <v>0</v>
      </c>
      <c r="GG60" s="208">
        <v>169960487</v>
      </c>
      <c r="GH60" s="208">
        <v>414371</v>
      </c>
      <c r="GI60" s="208">
        <v>170374858</v>
      </c>
      <c r="GJ60" s="208">
        <v>10861875</v>
      </c>
      <c r="GK60" s="208">
        <v>-15</v>
      </c>
      <c r="GL60" s="208">
        <v>10861860</v>
      </c>
      <c r="GM60" s="208">
        <v>-17244754</v>
      </c>
      <c r="GN60" s="208">
        <v>10295</v>
      </c>
      <c r="GO60" s="208">
        <v>-17234459</v>
      </c>
      <c r="GP60" s="208">
        <v>-6982696</v>
      </c>
      <c r="GQ60" s="208">
        <v>-25236</v>
      </c>
      <c r="GR60" s="208">
        <v>-7007932</v>
      </c>
      <c r="GS60" s="208">
        <v>-2312029</v>
      </c>
      <c r="GT60" s="208">
        <v>-205462</v>
      </c>
      <c r="GU60" s="208">
        <v>-2517491</v>
      </c>
      <c r="GV60" s="208">
        <v>-650559</v>
      </c>
      <c r="GW60" s="208">
        <v>-1308</v>
      </c>
      <c r="GX60" s="208">
        <v>-651867</v>
      </c>
      <c r="GY60" s="208">
        <v>0</v>
      </c>
      <c r="GZ60" s="208">
        <v>0</v>
      </c>
      <c r="HA60" s="208">
        <v>0</v>
      </c>
      <c r="HB60" s="208">
        <v>-16328163</v>
      </c>
      <c r="HC60" s="208">
        <v>-221726</v>
      </c>
      <c r="HD60" s="208">
        <v>-16549889</v>
      </c>
      <c r="HE60" s="208">
        <v>153632324</v>
      </c>
      <c r="HF60" s="208">
        <v>192645</v>
      </c>
      <c r="HG60" s="208">
        <v>153824969</v>
      </c>
      <c r="HH60" s="187" t="s">
        <v>742</v>
      </c>
    </row>
    <row r="61" spans="2:216" s="187" customFormat="1" x14ac:dyDescent="0.2">
      <c r="B61" s="429" t="s">
        <v>201</v>
      </c>
      <c r="C61" s="429" t="s">
        <v>200</v>
      </c>
      <c r="D61" s="208">
        <v>-779624</v>
      </c>
      <c r="E61" s="208">
        <v>0</v>
      </c>
      <c r="F61" s="208">
        <v>-779624</v>
      </c>
      <c r="G61" s="208">
        <v>-5495</v>
      </c>
      <c r="H61" s="208">
        <v>0</v>
      </c>
      <c r="I61" s="208">
        <v>-5495</v>
      </c>
      <c r="J61" s="208">
        <v>940446</v>
      </c>
      <c r="K61" s="208">
        <v>0</v>
      </c>
      <c r="L61" s="208">
        <v>940446</v>
      </c>
      <c r="M61" s="208">
        <v>7706</v>
      </c>
      <c r="N61" s="208">
        <v>0</v>
      </c>
      <c r="O61" s="208">
        <v>7706</v>
      </c>
      <c r="P61" s="208">
        <v>163033</v>
      </c>
      <c r="Q61" s="208">
        <v>0</v>
      </c>
      <c r="R61" s="208">
        <v>163033</v>
      </c>
      <c r="S61" s="208">
        <v>-4530388</v>
      </c>
      <c r="T61" s="208">
        <v>0</v>
      </c>
      <c r="U61" s="208">
        <v>-4530388</v>
      </c>
      <c r="V61" s="208">
        <v>-5601</v>
      </c>
      <c r="W61" s="208">
        <v>0</v>
      </c>
      <c r="X61" s="208">
        <v>-5601</v>
      </c>
      <c r="Y61" s="208">
        <v>-189295</v>
      </c>
      <c r="Z61" s="208">
        <v>0</v>
      </c>
      <c r="AA61" s="208">
        <v>-189295</v>
      </c>
      <c r="AB61" s="208">
        <v>-67223</v>
      </c>
      <c r="AC61" s="208">
        <v>0</v>
      </c>
      <c r="AD61" s="208">
        <v>-67223</v>
      </c>
      <c r="AE61" s="208">
        <v>-122072</v>
      </c>
      <c r="AF61" s="208">
        <v>0</v>
      </c>
      <c r="AG61" s="208">
        <v>-122072</v>
      </c>
      <c r="AH61" s="208">
        <v>0</v>
      </c>
      <c r="AI61" s="208">
        <v>0</v>
      </c>
      <c r="AJ61" s="208">
        <v>0</v>
      </c>
      <c r="AK61" s="208">
        <v>14</v>
      </c>
      <c r="AL61" s="208">
        <v>0</v>
      </c>
      <c r="AM61" s="208">
        <v>14</v>
      </c>
      <c r="AN61" s="208">
        <v>812277</v>
      </c>
      <c r="AO61" s="208">
        <v>31753</v>
      </c>
      <c r="AP61" s="208">
        <v>844030</v>
      </c>
      <c r="AQ61" s="208">
        <v>-13418</v>
      </c>
      <c r="AR61" s="208">
        <v>0</v>
      </c>
      <c r="AS61" s="208">
        <v>-13418</v>
      </c>
      <c r="AT61" s="208">
        <v>-2157401</v>
      </c>
      <c r="AU61" s="208">
        <v>0</v>
      </c>
      <c r="AV61" s="208">
        <v>-2157401</v>
      </c>
      <c r="AW61" s="208">
        <v>1087</v>
      </c>
      <c r="AX61" s="208">
        <v>0</v>
      </c>
      <c r="AY61" s="208">
        <v>1087</v>
      </c>
      <c r="AZ61" s="208">
        <v>-38291</v>
      </c>
      <c r="BA61" s="208">
        <v>0</v>
      </c>
      <c r="BB61" s="208">
        <v>-38291</v>
      </c>
      <c r="BC61" s="208">
        <v>0</v>
      </c>
      <c r="BD61" s="208">
        <v>0</v>
      </c>
      <c r="BE61" s="208">
        <v>0</v>
      </c>
      <c r="BF61" s="208">
        <v>-3798</v>
      </c>
      <c r="BG61" s="208">
        <v>0</v>
      </c>
      <c r="BH61" s="208">
        <v>-3798</v>
      </c>
      <c r="BI61" s="208">
        <v>0</v>
      </c>
      <c r="BJ61" s="208">
        <v>0</v>
      </c>
      <c r="BK61" s="208">
        <v>0</v>
      </c>
      <c r="BL61" s="208">
        <v>-6119227</v>
      </c>
      <c r="BM61" s="208">
        <v>31753</v>
      </c>
      <c r="BN61" s="208">
        <v>-6087474</v>
      </c>
      <c r="BO61" s="208">
        <v>-15918</v>
      </c>
      <c r="BP61" s="208">
        <v>0</v>
      </c>
      <c r="BQ61" s="208">
        <v>-15918</v>
      </c>
      <c r="BR61" s="208">
        <v>-22010</v>
      </c>
      <c r="BS61" s="208">
        <v>0</v>
      </c>
      <c r="BT61" s="208">
        <v>-22010</v>
      </c>
      <c r="BU61" s="208">
        <v>-1589269</v>
      </c>
      <c r="BV61" s="208">
        <v>0</v>
      </c>
      <c r="BW61" s="208">
        <v>-1589269</v>
      </c>
      <c r="BX61" s="208">
        <v>514460</v>
      </c>
      <c r="BY61" s="208">
        <v>0</v>
      </c>
      <c r="BZ61" s="208">
        <v>514460</v>
      </c>
      <c r="CA61" s="208">
        <v>-1112737</v>
      </c>
      <c r="CB61" s="208">
        <v>0</v>
      </c>
      <c r="CC61" s="208">
        <v>-1112737</v>
      </c>
      <c r="CD61" s="208">
        <v>-57117</v>
      </c>
      <c r="CE61" s="208">
        <v>0</v>
      </c>
      <c r="CF61" s="208">
        <v>-57117</v>
      </c>
      <c r="CG61" s="208">
        <v>-4653</v>
      </c>
      <c r="CH61" s="208">
        <v>0</v>
      </c>
      <c r="CI61" s="208">
        <v>-4653</v>
      </c>
      <c r="CJ61" s="208">
        <v>-90050</v>
      </c>
      <c r="CK61" s="208">
        <v>0</v>
      </c>
      <c r="CL61" s="208">
        <v>-90050</v>
      </c>
      <c r="CM61" s="208">
        <v>0</v>
      </c>
      <c r="CN61" s="208">
        <v>0</v>
      </c>
      <c r="CO61" s="208">
        <v>0</v>
      </c>
      <c r="CP61" s="208">
        <v>-91</v>
      </c>
      <c r="CQ61" s="208">
        <v>0</v>
      </c>
      <c r="CR61" s="208">
        <v>-91</v>
      </c>
      <c r="CS61" s="208">
        <v>0</v>
      </c>
      <c r="CT61" s="208">
        <v>0</v>
      </c>
      <c r="CU61" s="208">
        <v>0</v>
      </c>
      <c r="CV61" s="208">
        <v>0</v>
      </c>
      <c r="CW61" s="208">
        <v>0</v>
      </c>
      <c r="CX61" s="208">
        <v>0</v>
      </c>
      <c r="CY61" s="208">
        <v>0</v>
      </c>
      <c r="CZ61" s="208">
        <v>0</v>
      </c>
      <c r="DA61" s="208">
        <v>0</v>
      </c>
      <c r="DB61" s="208">
        <v>0</v>
      </c>
      <c r="DC61" s="208">
        <v>0</v>
      </c>
      <c r="DD61" s="208">
        <v>0</v>
      </c>
      <c r="DE61" s="208">
        <v>0</v>
      </c>
      <c r="DF61" s="208">
        <v>0</v>
      </c>
      <c r="DG61" s="208">
        <v>0</v>
      </c>
      <c r="DH61" s="208">
        <v>-53432</v>
      </c>
      <c r="DI61" s="208">
        <v>0</v>
      </c>
      <c r="DJ61" s="208">
        <v>-53432</v>
      </c>
      <c r="DK61" s="208">
        <v>0</v>
      </c>
      <c r="DL61" s="208">
        <v>0</v>
      </c>
      <c r="DM61" s="208">
        <v>0</v>
      </c>
      <c r="DN61" s="208">
        <v>0</v>
      </c>
      <c r="DO61" s="208">
        <v>0</v>
      </c>
      <c r="DP61" s="208">
        <v>-205343</v>
      </c>
      <c r="DQ61" s="208">
        <v>0</v>
      </c>
      <c r="DR61" s="208">
        <v>-205343</v>
      </c>
      <c r="DS61" s="208">
        <v>0</v>
      </c>
      <c r="DT61" s="208">
        <v>0</v>
      </c>
      <c r="DU61" s="208">
        <v>0</v>
      </c>
      <c r="DV61" s="208">
        <v>1563</v>
      </c>
      <c r="DW61" s="208">
        <v>0</v>
      </c>
      <c r="DX61" s="208">
        <v>1563</v>
      </c>
      <c r="DY61" s="208">
        <v>1155</v>
      </c>
      <c r="DZ61" s="208">
        <v>0</v>
      </c>
      <c r="EA61" s="208">
        <v>1155</v>
      </c>
      <c r="EB61" s="208">
        <v>0</v>
      </c>
      <c r="EC61" s="208">
        <v>0</v>
      </c>
      <c r="ED61" s="208">
        <v>0</v>
      </c>
      <c r="EE61" s="208">
        <v>0</v>
      </c>
      <c r="EF61" s="208">
        <v>0</v>
      </c>
      <c r="EG61" s="208">
        <v>0</v>
      </c>
      <c r="EH61" s="208">
        <v>0</v>
      </c>
      <c r="EI61" s="208">
        <v>0</v>
      </c>
      <c r="EJ61" s="208">
        <v>0</v>
      </c>
      <c r="EK61" s="208">
        <v>-3798</v>
      </c>
      <c r="EL61" s="208">
        <v>0</v>
      </c>
      <c r="EM61" s="208">
        <v>-3798</v>
      </c>
      <c r="EN61" s="208">
        <v>0</v>
      </c>
      <c r="EO61" s="208">
        <v>0</v>
      </c>
      <c r="EP61" s="208">
        <v>0</v>
      </c>
      <c r="EQ61" s="208">
        <v>-1500</v>
      </c>
      <c r="ER61" s="208">
        <v>0</v>
      </c>
      <c r="ES61" s="208">
        <v>-1500</v>
      </c>
      <c r="ET61" s="208">
        <v>0</v>
      </c>
      <c r="EU61" s="208">
        <v>0</v>
      </c>
      <c r="EV61" s="208">
        <v>0</v>
      </c>
      <c r="EW61" s="208">
        <v>-17929</v>
      </c>
      <c r="EX61" s="208">
        <v>0</v>
      </c>
      <c r="EY61" s="208">
        <v>-17929</v>
      </c>
      <c r="EZ61" s="208">
        <v>-1083</v>
      </c>
      <c r="FA61" s="208">
        <v>0</v>
      </c>
      <c r="FB61" s="208">
        <v>-1083</v>
      </c>
      <c r="FC61" s="208">
        <v>-130479</v>
      </c>
      <c r="FD61" s="208">
        <v>0</v>
      </c>
      <c r="FE61" s="208">
        <v>-130479</v>
      </c>
      <c r="FF61" s="208">
        <v>2736</v>
      </c>
      <c r="FG61" s="208">
        <v>0</v>
      </c>
      <c r="FH61" s="208">
        <v>2736</v>
      </c>
      <c r="FI61" s="208">
        <v>-37101</v>
      </c>
      <c r="FJ61" s="208">
        <v>0</v>
      </c>
      <c r="FK61" s="208">
        <v>-37101</v>
      </c>
      <c r="FL61" s="208">
        <v>5938</v>
      </c>
      <c r="FM61" s="208">
        <v>0</v>
      </c>
      <c r="FN61" s="208">
        <v>5938</v>
      </c>
      <c r="FO61" s="208">
        <v>0</v>
      </c>
      <c r="FP61" s="208">
        <v>0</v>
      </c>
      <c r="FQ61" s="208">
        <v>0</v>
      </c>
      <c r="FR61" s="208">
        <v>0</v>
      </c>
      <c r="FS61" s="208">
        <v>0</v>
      </c>
      <c r="FT61" s="208">
        <v>0</v>
      </c>
      <c r="FU61" s="208">
        <v>-180498</v>
      </c>
      <c r="FV61" s="208">
        <v>0</v>
      </c>
      <c r="FW61" s="208">
        <v>-180498</v>
      </c>
      <c r="FX61" s="208">
        <v>0</v>
      </c>
      <c r="FY61" s="208">
        <v>0</v>
      </c>
      <c r="FZ61" s="208">
        <v>0</v>
      </c>
      <c r="GA61" s="208">
        <v>0</v>
      </c>
      <c r="GB61" s="208">
        <v>0</v>
      </c>
      <c r="GC61" s="208">
        <v>0</v>
      </c>
      <c r="GD61" s="208">
        <v>0</v>
      </c>
      <c r="GE61" s="208">
        <v>0</v>
      </c>
      <c r="GF61" s="208">
        <v>0</v>
      </c>
      <c r="GG61" s="208">
        <v>46297102</v>
      </c>
      <c r="GH61" s="208">
        <v>1172399</v>
      </c>
      <c r="GI61" s="208">
        <v>47469501</v>
      </c>
      <c r="GJ61" s="208">
        <v>163033</v>
      </c>
      <c r="GK61" s="208">
        <v>0</v>
      </c>
      <c r="GL61" s="208">
        <v>163033</v>
      </c>
      <c r="GM61" s="208">
        <v>-6119227</v>
      </c>
      <c r="GN61" s="208">
        <v>31753</v>
      </c>
      <c r="GO61" s="208">
        <v>-6087474</v>
      </c>
      <c r="GP61" s="208">
        <v>-1112737</v>
      </c>
      <c r="GQ61" s="208">
        <v>0</v>
      </c>
      <c r="GR61" s="208">
        <v>-1112737</v>
      </c>
      <c r="GS61" s="208">
        <v>-205343</v>
      </c>
      <c r="GT61" s="208">
        <v>0</v>
      </c>
      <c r="GU61" s="208">
        <v>-205343</v>
      </c>
      <c r="GV61" s="208">
        <v>-180498</v>
      </c>
      <c r="GW61" s="208">
        <v>0</v>
      </c>
      <c r="GX61" s="208">
        <v>-180498</v>
      </c>
      <c r="GY61" s="208">
        <v>0</v>
      </c>
      <c r="GZ61" s="208">
        <v>0</v>
      </c>
      <c r="HA61" s="208">
        <v>0</v>
      </c>
      <c r="HB61" s="208">
        <v>-7454772</v>
      </c>
      <c r="HC61" s="208">
        <v>31753</v>
      </c>
      <c r="HD61" s="208">
        <v>-7423019</v>
      </c>
      <c r="HE61" s="208">
        <v>38842330</v>
      </c>
      <c r="HF61" s="208">
        <v>1204152</v>
      </c>
      <c r="HG61" s="208">
        <v>40046482</v>
      </c>
      <c r="HH61" s="187" t="s">
        <v>1054</v>
      </c>
    </row>
    <row r="62" spans="2:216" s="187" customFormat="1" x14ac:dyDescent="0.2">
      <c r="B62" s="429" t="s">
        <v>203</v>
      </c>
      <c r="C62" s="429" t="s">
        <v>202</v>
      </c>
      <c r="D62" s="208">
        <v>-1390966</v>
      </c>
      <c r="E62" s="208">
        <v>0</v>
      </c>
      <c r="F62" s="208">
        <v>-1390966</v>
      </c>
      <c r="G62" s="208">
        <v>23802</v>
      </c>
      <c r="H62" s="208">
        <v>0</v>
      </c>
      <c r="I62" s="208">
        <v>23802</v>
      </c>
      <c r="J62" s="208">
        <v>445344</v>
      </c>
      <c r="K62" s="208">
        <v>0</v>
      </c>
      <c r="L62" s="208">
        <v>445344</v>
      </c>
      <c r="M62" s="208">
        <v>10205</v>
      </c>
      <c r="N62" s="208">
        <v>0</v>
      </c>
      <c r="O62" s="208">
        <v>10205</v>
      </c>
      <c r="P62" s="208">
        <v>-911615</v>
      </c>
      <c r="Q62" s="208">
        <v>0</v>
      </c>
      <c r="R62" s="208">
        <v>-911615</v>
      </c>
      <c r="S62" s="208">
        <v>-5407254</v>
      </c>
      <c r="T62" s="208">
        <v>0</v>
      </c>
      <c r="U62" s="208">
        <v>-5407254</v>
      </c>
      <c r="V62" s="208">
        <v>-5451</v>
      </c>
      <c r="W62" s="208">
        <v>0</v>
      </c>
      <c r="X62" s="208">
        <v>-5451</v>
      </c>
      <c r="Y62" s="208">
        <v>-322927</v>
      </c>
      <c r="Z62" s="208">
        <v>0</v>
      </c>
      <c r="AA62" s="208">
        <v>-322927</v>
      </c>
      <c r="AB62" s="208">
        <v>-140127</v>
      </c>
      <c r="AC62" s="208">
        <v>0</v>
      </c>
      <c r="AD62" s="208">
        <v>-140127</v>
      </c>
      <c r="AE62" s="208">
        <v>-159360</v>
      </c>
      <c r="AF62" s="208">
        <v>0</v>
      </c>
      <c r="AG62" s="208">
        <v>-159360</v>
      </c>
      <c r="AH62" s="208">
        <v>0</v>
      </c>
      <c r="AI62" s="208">
        <v>0</v>
      </c>
      <c r="AJ62" s="208">
        <v>0</v>
      </c>
      <c r="AK62" s="208">
        <v>-3438</v>
      </c>
      <c r="AL62" s="208">
        <v>0</v>
      </c>
      <c r="AM62" s="208">
        <v>-3438</v>
      </c>
      <c r="AN62" s="208">
        <v>1143303</v>
      </c>
      <c r="AO62" s="208">
        <v>0</v>
      </c>
      <c r="AP62" s="208">
        <v>1143303</v>
      </c>
      <c r="AQ62" s="208">
        <v>2267</v>
      </c>
      <c r="AR62" s="208">
        <v>0</v>
      </c>
      <c r="AS62" s="208">
        <v>2267</v>
      </c>
      <c r="AT62" s="208">
        <v>-4694231</v>
      </c>
      <c r="AU62" s="208">
        <v>0</v>
      </c>
      <c r="AV62" s="208">
        <v>-4694231</v>
      </c>
      <c r="AW62" s="208">
        <v>-34406</v>
      </c>
      <c r="AX62" s="208">
        <v>0</v>
      </c>
      <c r="AY62" s="208">
        <v>-34406</v>
      </c>
      <c r="AZ62" s="208">
        <v>-41163</v>
      </c>
      <c r="BA62" s="208">
        <v>0</v>
      </c>
      <c r="BB62" s="208">
        <v>-41163</v>
      </c>
      <c r="BC62" s="208">
        <v>0</v>
      </c>
      <c r="BD62" s="208">
        <v>0</v>
      </c>
      <c r="BE62" s="208">
        <v>0</v>
      </c>
      <c r="BF62" s="208">
        <v>-19896</v>
      </c>
      <c r="BG62" s="208">
        <v>0</v>
      </c>
      <c r="BH62" s="208">
        <v>-19896</v>
      </c>
      <c r="BI62" s="208">
        <v>3967.65</v>
      </c>
      <c r="BJ62" s="208">
        <v>0</v>
      </c>
      <c r="BK62" s="208">
        <v>3967.65</v>
      </c>
      <c r="BL62" s="208">
        <v>-9370339</v>
      </c>
      <c r="BM62" s="208">
        <v>0</v>
      </c>
      <c r="BN62" s="208">
        <v>-9370339</v>
      </c>
      <c r="BO62" s="208">
        <v>-17026</v>
      </c>
      <c r="BP62" s="208">
        <v>0</v>
      </c>
      <c r="BQ62" s="208">
        <v>-17026</v>
      </c>
      <c r="BR62" s="208">
        <v>-655</v>
      </c>
      <c r="BS62" s="208">
        <v>0</v>
      </c>
      <c r="BT62" s="208">
        <v>-655</v>
      </c>
      <c r="BU62" s="208">
        <v>-1544658</v>
      </c>
      <c r="BV62" s="208">
        <v>0</v>
      </c>
      <c r="BW62" s="208">
        <v>-1544658</v>
      </c>
      <c r="BX62" s="208">
        <v>-128622</v>
      </c>
      <c r="BY62" s="208">
        <v>0</v>
      </c>
      <c r="BZ62" s="208">
        <v>-128622</v>
      </c>
      <c r="CA62" s="208">
        <v>-1690961</v>
      </c>
      <c r="CB62" s="208">
        <v>0</v>
      </c>
      <c r="CC62" s="208">
        <v>-1690961</v>
      </c>
      <c r="CD62" s="208">
        <v>-956</v>
      </c>
      <c r="CE62" s="208">
        <v>0</v>
      </c>
      <c r="CF62" s="208">
        <v>-956</v>
      </c>
      <c r="CG62" s="208">
        <v>-929</v>
      </c>
      <c r="CH62" s="208">
        <v>0</v>
      </c>
      <c r="CI62" s="208">
        <v>-929</v>
      </c>
      <c r="CJ62" s="208">
        <v>0</v>
      </c>
      <c r="CK62" s="208">
        <v>0</v>
      </c>
      <c r="CL62" s="208">
        <v>0</v>
      </c>
      <c r="CM62" s="208">
        <v>0</v>
      </c>
      <c r="CN62" s="208">
        <v>0</v>
      </c>
      <c r="CO62" s="208">
        <v>0</v>
      </c>
      <c r="CP62" s="208">
        <v>0</v>
      </c>
      <c r="CQ62" s="208">
        <v>0</v>
      </c>
      <c r="CR62" s="208">
        <v>0</v>
      </c>
      <c r="CS62" s="208">
        <v>0</v>
      </c>
      <c r="CT62" s="208">
        <v>0</v>
      </c>
      <c r="CU62" s="208">
        <v>0</v>
      </c>
      <c r="CV62" s="208">
        <v>0</v>
      </c>
      <c r="CW62" s="208">
        <v>0</v>
      </c>
      <c r="CX62" s="208">
        <v>0</v>
      </c>
      <c r="CY62" s="208">
        <v>2640</v>
      </c>
      <c r="CZ62" s="208">
        <v>0</v>
      </c>
      <c r="DA62" s="208">
        <v>2640</v>
      </c>
      <c r="DB62" s="208">
        <v>0</v>
      </c>
      <c r="DC62" s="208">
        <v>0</v>
      </c>
      <c r="DD62" s="208">
        <v>0</v>
      </c>
      <c r="DE62" s="208">
        <v>0</v>
      </c>
      <c r="DF62" s="208">
        <v>0</v>
      </c>
      <c r="DG62" s="208">
        <v>0</v>
      </c>
      <c r="DH62" s="208">
        <v>0</v>
      </c>
      <c r="DI62" s="208">
        <v>0</v>
      </c>
      <c r="DJ62" s="208">
        <v>0</v>
      </c>
      <c r="DK62" s="208">
        <v>0</v>
      </c>
      <c r="DL62" s="208">
        <v>0</v>
      </c>
      <c r="DM62" s="208">
        <v>0</v>
      </c>
      <c r="DN62" s="208">
        <v>0</v>
      </c>
      <c r="DO62" s="208">
        <v>0</v>
      </c>
      <c r="DP62" s="208">
        <v>755</v>
      </c>
      <c r="DQ62" s="208">
        <v>0</v>
      </c>
      <c r="DR62" s="208">
        <v>755</v>
      </c>
      <c r="DS62" s="208">
        <v>0</v>
      </c>
      <c r="DT62" s="208">
        <v>0</v>
      </c>
      <c r="DU62" s="208">
        <v>0</v>
      </c>
      <c r="DV62" s="208">
        <v>0</v>
      </c>
      <c r="DW62" s="208">
        <v>0</v>
      </c>
      <c r="DX62" s="208">
        <v>0</v>
      </c>
      <c r="DY62" s="208">
        <v>2094.2399999999998</v>
      </c>
      <c r="DZ62" s="208">
        <v>0</v>
      </c>
      <c r="EA62" s="208">
        <v>2094.2399999999998</v>
      </c>
      <c r="EB62" s="208">
        <v>0</v>
      </c>
      <c r="EC62" s="208">
        <v>0</v>
      </c>
      <c r="ED62" s="208">
        <v>0</v>
      </c>
      <c r="EE62" s="208">
        <v>0</v>
      </c>
      <c r="EF62" s="208">
        <v>0</v>
      </c>
      <c r="EG62" s="208">
        <v>0</v>
      </c>
      <c r="EH62" s="208">
        <v>0</v>
      </c>
      <c r="EI62" s="208">
        <v>0</v>
      </c>
      <c r="EJ62" s="208">
        <v>0</v>
      </c>
      <c r="EK62" s="208">
        <v>-19896</v>
      </c>
      <c r="EL62" s="208">
        <v>0</v>
      </c>
      <c r="EM62" s="208">
        <v>-19896</v>
      </c>
      <c r="EN62" s="208">
        <v>1328.08</v>
      </c>
      <c r="EO62" s="208">
        <v>0</v>
      </c>
      <c r="EP62" s="208">
        <v>1328.08</v>
      </c>
      <c r="EQ62" s="208">
        <v>-2196</v>
      </c>
      <c r="ER62" s="208">
        <v>0</v>
      </c>
      <c r="ES62" s="208">
        <v>-2196</v>
      </c>
      <c r="ET62" s="208">
        <v>0</v>
      </c>
      <c r="EU62" s="208">
        <v>0</v>
      </c>
      <c r="EV62" s="208">
        <v>0</v>
      </c>
      <c r="EW62" s="208">
        <v>-54435</v>
      </c>
      <c r="EX62" s="208">
        <v>0</v>
      </c>
      <c r="EY62" s="208">
        <v>-54435</v>
      </c>
      <c r="EZ62" s="208">
        <v>0</v>
      </c>
      <c r="FA62" s="208">
        <v>0</v>
      </c>
      <c r="FB62" s="208">
        <v>0</v>
      </c>
      <c r="FC62" s="208">
        <v>-218192</v>
      </c>
      <c r="FD62" s="208">
        <v>0</v>
      </c>
      <c r="FE62" s="208">
        <v>-218192</v>
      </c>
      <c r="FF62" s="208">
        <v>-22195</v>
      </c>
      <c r="FG62" s="208">
        <v>0</v>
      </c>
      <c r="FH62" s="208">
        <v>-22195</v>
      </c>
      <c r="FI62" s="208">
        <v>-86315</v>
      </c>
      <c r="FJ62" s="208">
        <v>0</v>
      </c>
      <c r="FK62" s="208">
        <v>-86315</v>
      </c>
      <c r="FL62" s="208">
        <v>120.54</v>
      </c>
      <c r="FM62" s="208">
        <v>0</v>
      </c>
      <c r="FN62" s="208">
        <v>120.54</v>
      </c>
      <c r="FO62" s="208">
        <v>0</v>
      </c>
      <c r="FP62" s="208">
        <v>0</v>
      </c>
      <c r="FQ62" s="208">
        <v>0</v>
      </c>
      <c r="FR62" s="208">
        <v>0</v>
      </c>
      <c r="FS62" s="208">
        <v>0</v>
      </c>
      <c r="FT62" s="208">
        <v>0</v>
      </c>
      <c r="FU62" s="208">
        <v>-399686</v>
      </c>
      <c r="FV62" s="208">
        <v>0</v>
      </c>
      <c r="FW62" s="208">
        <v>-399686</v>
      </c>
      <c r="FX62" s="208">
        <v>0</v>
      </c>
      <c r="FY62" s="208">
        <v>0</v>
      </c>
      <c r="FZ62" s="208">
        <v>0</v>
      </c>
      <c r="GA62" s="208">
        <v>0</v>
      </c>
      <c r="GB62" s="208">
        <v>0</v>
      </c>
      <c r="GC62" s="208">
        <v>0</v>
      </c>
      <c r="GD62" s="208">
        <v>0</v>
      </c>
      <c r="GE62" s="208">
        <v>0</v>
      </c>
      <c r="GF62" s="208">
        <v>0</v>
      </c>
      <c r="GG62" s="208">
        <v>61185415.609999992</v>
      </c>
      <c r="GH62" s="208">
        <v>0</v>
      </c>
      <c r="GI62" s="208">
        <v>61185415.609999992</v>
      </c>
      <c r="GJ62" s="208">
        <v>-911615</v>
      </c>
      <c r="GK62" s="208">
        <v>0</v>
      </c>
      <c r="GL62" s="208">
        <v>-911615</v>
      </c>
      <c r="GM62" s="208">
        <v>-9370339</v>
      </c>
      <c r="GN62" s="208">
        <v>0</v>
      </c>
      <c r="GO62" s="208">
        <v>-9370339</v>
      </c>
      <c r="GP62" s="208">
        <v>-1690961</v>
      </c>
      <c r="GQ62" s="208">
        <v>0</v>
      </c>
      <c r="GR62" s="208">
        <v>-1690961</v>
      </c>
      <c r="GS62" s="208">
        <v>755</v>
      </c>
      <c r="GT62" s="208">
        <v>0</v>
      </c>
      <c r="GU62" s="208">
        <v>755</v>
      </c>
      <c r="GV62" s="208">
        <v>-399686</v>
      </c>
      <c r="GW62" s="208">
        <v>0</v>
      </c>
      <c r="GX62" s="208">
        <v>-399686</v>
      </c>
      <c r="GY62" s="208">
        <v>0</v>
      </c>
      <c r="GZ62" s="208">
        <v>0</v>
      </c>
      <c r="HA62" s="208">
        <v>0</v>
      </c>
      <c r="HB62" s="208">
        <v>-12371846</v>
      </c>
      <c r="HC62" s="208">
        <v>0</v>
      </c>
      <c r="HD62" s="208">
        <v>-12371846</v>
      </c>
      <c r="HE62" s="208">
        <v>48813569.609999992</v>
      </c>
      <c r="HF62" s="208">
        <v>0</v>
      </c>
      <c r="HG62" s="208">
        <v>48813569.609999992</v>
      </c>
      <c r="HH62" s="187" t="s">
        <v>1054</v>
      </c>
    </row>
    <row r="63" spans="2:216" s="187" customFormat="1" x14ac:dyDescent="0.2">
      <c r="B63" s="429" t="s">
        <v>205</v>
      </c>
      <c r="C63" s="429" t="s">
        <v>204</v>
      </c>
      <c r="D63" s="208">
        <v>-813758.57</v>
      </c>
      <c r="E63" s="208">
        <v>0</v>
      </c>
      <c r="F63" s="208">
        <v>-813758.57</v>
      </c>
      <c r="G63" s="208">
        <v>-49066.64</v>
      </c>
      <c r="H63" s="208">
        <v>0</v>
      </c>
      <c r="I63" s="208">
        <v>-49066.64</v>
      </c>
      <c r="J63" s="208">
        <v>195119.22</v>
      </c>
      <c r="K63" s="208">
        <v>0</v>
      </c>
      <c r="L63" s="208">
        <v>195119.22</v>
      </c>
      <c r="M63" s="208">
        <v>27292.19</v>
      </c>
      <c r="N63" s="208">
        <v>0</v>
      </c>
      <c r="O63" s="208">
        <v>27292.19</v>
      </c>
      <c r="P63" s="208">
        <v>-640414</v>
      </c>
      <c r="Q63" s="208">
        <v>0</v>
      </c>
      <c r="R63" s="208">
        <v>-640414</v>
      </c>
      <c r="S63" s="208">
        <v>-2816926.2</v>
      </c>
      <c r="T63" s="208">
        <v>0</v>
      </c>
      <c r="U63" s="208">
        <v>-2816926.2</v>
      </c>
      <c r="V63" s="208">
        <v>0</v>
      </c>
      <c r="W63" s="208">
        <v>0</v>
      </c>
      <c r="X63" s="208">
        <v>0</v>
      </c>
      <c r="Y63" s="208">
        <v>-96656.49</v>
      </c>
      <c r="Z63" s="208">
        <v>0</v>
      </c>
      <c r="AA63" s="208">
        <v>-96656.49</v>
      </c>
      <c r="AB63" s="208">
        <v>-32615.47</v>
      </c>
      <c r="AC63" s="208">
        <v>0</v>
      </c>
      <c r="AD63" s="208">
        <v>-32615.47</v>
      </c>
      <c r="AE63" s="208">
        <v>-60508.52</v>
      </c>
      <c r="AF63" s="208">
        <v>0</v>
      </c>
      <c r="AG63" s="208">
        <v>-60508.52</v>
      </c>
      <c r="AH63" s="208">
        <v>0</v>
      </c>
      <c r="AI63" s="208">
        <v>0</v>
      </c>
      <c r="AJ63" s="208">
        <v>0</v>
      </c>
      <c r="AK63" s="208">
        <v>0</v>
      </c>
      <c r="AL63" s="208">
        <v>0</v>
      </c>
      <c r="AM63" s="208">
        <v>0</v>
      </c>
      <c r="AN63" s="208">
        <v>436207.92</v>
      </c>
      <c r="AO63" s="208">
        <v>0</v>
      </c>
      <c r="AP63" s="208">
        <v>436207.92</v>
      </c>
      <c r="AQ63" s="208">
        <v>-15337.34</v>
      </c>
      <c r="AR63" s="208">
        <v>0</v>
      </c>
      <c r="AS63" s="208">
        <v>-15337.34</v>
      </c>
      <c r="AT63" s="208">
        <v>-2842195.86</v>
      </c>
      <c r="AU63" s="208">
        <v>0</v>
      </c>
      <c r="AV63" s="208">
        <v>-2842195.86</v>
      </c>
      <c r="AW63" s="208">
        <v>-25452.11</v>
      </c>
      <c r="AX63" s="208">
        <v>0</v>
      </c>
      <c r="AY63" s="208">
        <v>-25452.11</v>
      </c>
      <c r="AZ63" s="208">
        <v>-32457.279999999999</v>
      </c>
      <c r="BA63" s="208">
        <v>0</v>
      </c>
      <c r="BB63" s="208">
        <v>-32457.279999999999</v>
      </c>
      <c r="BC63" s="208">
        <v>-474.39</v>
      </c>
      <c r="BD63" s="208">
        <v>0</v>
      </c>
      <c r="BE63" s="208">
        <v>-474.39</v>
      </c>
      <c r="BF63" s="208">
        <v>-11405.82</v>
      </c>
      <c r="BG63" s="208">
        <v>0</v>
      </c>
      <c r="BH63" s="208">
        <v>-11405.82</v>
      </c>
      <c r="BI63" s="208">
        <v>0</v>
      </c>
      <c r="BJ63" s="208">
        <v>0</v>
      </c>
      <c r="BK63" s="208">
        <v>0</v>
      </c>
      <c r="BL63" s="208">
        <v>-5404698</v>
      </c>
      <c r="BM63" s="208">
        <v>0</v>
      </c>
      <c r="BN63" s="208">
        <v>-5404698</v>
      </c>
      <c r="BO63" s="208">
        <v>-36926.07</v>
      </c>
      <c r="BP63" s="208">
        <v>0</v>
      </c>
      <c r="BQ63" s="208">
        <v>-36926.07</v>
      </c>
      <c r="BR63" s="208">
        <v>6018.17</v>
      </c>
      <c r="BS63" s="208">
        <v>0</v>
      </c>
      <c r="BT63" s="208">
        <v>6018.17</v>
      </c>
      <c r="BU63" s="208">
        <v>-777970.5</v>
      </c>
      <c r="BV63" s="208">
        <v>0</v>
      </c>
      <c r="BW63" s="208">
        <v>-777970.5</v>
      </c>
      <c r="BX63" s="208">
        <v>-25717.08</v>
      </c>
      <c r="BY63" s="208">
        <v>0</v>
      </c>
      <c r="BZ63" s="208">
        <v>-25717.08</v>
      </c>
      <c r="CA63" s="208">
        <v>-834595</v>
      </c>
      <c r="CB63" s="208">
        <v>0</v>
      </c>
      <c r="CC63" s="208">
        <v>-834595</v>
      </c>
      <c r="CD63" s="208">
        <v>-140363.75</v>
      </c>
      <c r="CE63" s="208">
        <v>0</v>
      </c>
      <c r="CF63" s="208">
        <v>-140363.75</v>
      </c>
      <c r="CG63" s="208">
        <v>1285.0899999999999</v>
      </c>
      <c r="CH63" s="208">
        <v>0</v>
      </c>
      <c r="CI63" s="208">
        <v>1285.0899999999999</v>
      </c>
      <c r="CJ63" s="208">
        <v>-23670.6</v>
      </c>
      <c r="CK63" s="208">
        <v>0</v>
      </c>
      <c r="CL63" s="208">
        <v>-23670.6</v>
      </c>
      <c r="CM63" s="208">
        <v>0</v>
      </c>
      <c r="CN63" s="208">
        <v>0</v>
      </c>
      <c r="CO63" s="208">
        <v>0</v>
      </c>
      <c r="CP63" s="208">
        <v>-1310.92</v>
      </c>
      <c r="CQ63" s="208">
        <v>0</v>
      </c>
      <c r="CR63" s="208">
        <v>-1310.92</v>
      </c>
      <c r="CS63" s="208">
        <v>0</v>
      </c>
      <c r="CT63" s="208">
        <v>0</v>
      </c>
      <c r="CU63" s="208">
        <v>0</v>
      </c>
      <c r="CV63" s="208">
        <v>-2538.9499999999998</v>
      </c>
      <c r="CW63" s="208">
        <v>0</v>
      </c>
      <c r="CX63" s="208">
        <v>-2538.9499999999998</v>
      </c>
      <c r="CY63" s="208">
        <v>0</v>
      </c>
      <c r="CZ63" s="208">
        <v>0</v>
      </c>
      <c r="DA63" s="208">
        <v>0</v>
      </c>
      <c r="DB63" s="208">
        <v>0</v>
      </c>
      <c r="DC63" s="208">
        <v>0</v>
      </c>
      <c r="DD63" s="208">
        <v>0</v>
      </c>
      <c r="DE63" s="208">
        <v>0</v>
      </c>
      <c r="DF63" s="208">
        <v>0</v>
      </c>
      <c r="DG63" s="208">
        <v>0</v>
      </c>
      <c r="DH63" s="208">
        <v>0</v>
      </c>
      <c r="DI63" s="208">
        <v>0</v>
      </c>
      <c r="DJ63" s="208">
        <v>0</v>
      </c>
      <c r="DK63" s="208">
        <v>0</v>
      </c>
      <c r="DL63" s="208">
        <v>0</v>
      </c>
      <c r="DM63" s="208">
        <v>0</v>
      </c>
      <c r="DN63" s="208">
        <v>0</v>
      </c>
      <c r="DO63" s="208">
        <v>0</v>
      </c>
      <c r="DP63" s="208">
        <v>-166599</v>
      </c>
      <c r="DQ63" s="208">
        <v>0</v>
      </c>
      <c r="DR63" s="208">
        <v>-166599</v>
      </c>
      <c r="DS63" s="208">
        <v>0</v>
      </c>
      <c r="DT63" s="208">
        <v>0</v>
      </c>
      <c r="DU63" s="208">
        <v>0</v>
      </c>
      <c r="DV63" s="208">
        <v>0</v>
      </c>
      <c r="DW63" s="208">
        <v>0</v>
      </c>
      <c r="DX63" s="208">
        <v>0</v>
      </c>
      <c r="DY63" s="208">
        <v>4388.1899999999996</v>
      </c>
      <c r="DZ63" s="208">
        <v>0</v>
      </c>
      <c r="EA63" s="208">
        <v>4388.1899999999996</v>
      </c>
      <c r="EB63" s="208">
        <v>0</v>
      </c>
      <c r="EC63" s="208">
        <v>0</v>
      </c>
      <c r="ED63" s="208">
        <v>0</v>
      </c>
      <c r="EE63" s="208">
        <v>0</v>
      </c>
      <c r="EF63" s="208">
        <v>0</v>
      </c>
      <c r="EG63" s="208">
        <v>0</v>
      </c>
      <c r="EH63" s="208">
        <v>0</v>
      </c>
      <c r="EI63" s="208">
        <v>0</v>
      </c>
      <c r="EJ63" s="208">
        <v>0</v>
      </c>
      <c r="EK63" s="208">
        <v>0</v>
      </c>
      <c r="EL63" s="208">
        <v>0</v>
      </c>
      <c r="EM63" s="208">
        <v>0</v>
      </c>
      <c r="EN63" s="208">
        <v>0</v>
      </c>
      <c r="EO63" s="208">
        <v>0</v>
      </c>
      <c r="EP63" s="208">
        <v>0</v>
      </c>
      <c r="EQ63" s="208">
        <v>0</v>
      </c>
      <c r="ER63" s="208">
        <v>0</v>
      </c>
      <c r="ES63" s="208">
        <v>0</v>
      </c>
      <c r="ET63" s="208">
        <v>0</v>
      </c>
      <c r="EU63" s="208">
        <v>0</v>
      </c>
      <c r="EV63" s="208">
        <v>0</v>
      </c>
      <c r="EW63" s="208">
        <v>-19801.419999999998</v>
      </c>
      <c r="EX63" s="208">
        <v>0</v>
      </c>
      <c r="EY63" s="208">
        <v>-19801.419999999998</v>
      </c>
      <c r="EZ63" s="208">
        <v>0</v>
      </c>
      <c r="FA63" s="208">
        <v>0</v>
      </c>
      <c r="FB63" s="208">
        <v>0</v>
      </c>
      <c r="FC63" s="208">
        <v>-95632.66</v>
      </c>
      <c r="FD63" s="208">
        <v>0</v>
      </c>
      <c r="FE63" s="208">
        <v>-95632.66</v>
      </c>
      <c r="FF63" s="208">
        <v>1945.51</v>
      </c>
      <c r="FG63" s="208">
        <v>0</v>
      </c>
      <c r="FH63" s="208">
        <v>1945.51</v>
      </c>
      <c r="FI63" s="208">
        <v>-35279.589999999997</v>
      </c>
      <c r="FJ63" s="208">
        <v>0</v>
      </c>
      <c r="FK63" s="208">
        <v>-35279.589999999997</v>
      </c>
      <c r="FL63" s="208">
        <v>-997.26</v>
      </c>
      <c r="FM63" s="208">
        <v>0</v>
      </c>
      <c r="FN63" s="208">
        <v>-997.26</v>
      </c>
      <c r="FO63" s="208">
        <v>0</v>
      </c>
      <c r="FP63" s="208">
        <v>0</v>
      </c>
      <c r="FQ63" s="208">
        <v>0</v>
      </c>
      <c r="FR63" s="208">
        <v>0</v>
      </c>
      <c r="FS63" s="208">
        <v>0</v>
      </c>
      <c r="FT63" s="208">
        <v>0</v>
      </c>
      <c r="FU63" s="208">
        <v>-145377</v>
      </c>
      <c r="FV63" s="208">
        <v>0</v>
      </c>
      <c r="FW63" s="208">
        <v>-145377</v>
      </c>
      <c r="FX63" s="208">
        <v>0</v>
      </c>
      <c r="FY63" s="208">
        <v>0</v>
      </c>
      <c r="FZ63" s="208">
        <v>0</v>
      </c>
      <c r="GA63" s="208">
        <v>0</v>
      </c>
      <c r="GB63" s="208">
        <v>0</v>
      </c>
      <c r="GC63" s="208">
        <v>0</v>
      </c>
      <c r="GD63" s="208">
        <v>0</v>
      </c>
      <c r="GE63" s="208">
        <v>0</v>
      </c>
      <c r="GF63" s="208">
        <v>0</v>
      </c>
      <c r="GG63" s="208">
        <v>27799047</v>
      </c>
      <c r="GH63" s="208">
        <v>0</v>
      </c>
      <c r="GI63" s="208">
        <v>27799047</v>
      </c>
      <c r="GJ63" s="208">
        <v>-640414</v>
      </c>
      <c r="GK63" s="208">
        <v>0</v>
      </c>
      <c r="GL63" s="208">
        <v>-640414</v>
      </c>
      <c r="GM63" s="208">
        <v>-5404698</v>
      </c>
      <c r="GN63" s="208">
        <v>0</v>
      </c>
      <c r="GO63" s="208">
        <v>-5404698</v>
      </c>
      <c r="GP63" s="208">
        <v>-834595</v>
      </c>
      <c r="GQ63" s="208">
        <v>0</v>
      </c>
      <c r="GR63" s="208">
        <v>-834595</v>
      </c>
      <c r="GS63" s="208">
        <v>-166599</v>
      </c>
      <c r="GT63" s="208">
        <v>0</v>
      </c>
      <c r="GU63" s="208">
        <v>-166599</v>
      </c>
      <c r="GV63" s="208">
        <v>-145377</v>
      </c>
      <c r="GW63" s="208">
        <v>0</v>
      </c>
      <c r="GX63" s="208">
        <v>-145377</v>
      </c>
      <c r="GY63" s="208">
        <v>0</v>
      </c>
      <c r="GZ63" s="208">
        <v>0</v>
      </c>
      <c r="HA63" s="208">
        <v>0</v>
      </c>
      <c r="HB63" s="208">
        <v>-7191683</v>
      </c>
      <c r="HC63" s="208">
        <v>0</v>
      </c>
      <c r="HD63" s="208">
        <v>-7191683</v>
      </c>
      <c r="HE63" s="208">
        <v>20607364</v>
      </c>
      <c r="HF63" s="208">
        <v>0</v>
      </c>
      <c r="HG63" s="208">
        <v>20607364</v>
      </c>
      <c r="HH63" s="187" t="s">
        <v>1054</v>
      </c>
    </row>
    <row r="64" spans="2:216" s="187" customFormat="1" x14ac:dyDescent="0.2">
      <c r="B64" s="429" t="s">
        <v>207</v>
      </c>
      <c r="C64" s="429" t="s">
        <v>206</v>
      </c>
      <c r="D64" s="208">
        <v>-401076</v>
      </c>
      <c r="E64" s="208">
        <v>0</v>
      </c>
      <c r="F64" s="208">
        <v>-401076</v>
      </c>
      <c r="G64" s="208">
        <v>13966</v>
      </c>
      <c r="H64" s="208">
        <v>0</v>
      </c>
      <c r="I64" s="208">
        <v>13966</v>
      </c>
      <c r="J64" s="208">
        <v>1354791</v>
      </c>
      <c r="K64" s="208">
        <v>0</v>
      </c>
      <c r="L64" s="208">
        <v>1354791</v>
      </c>
      <c r="M64" s="208">
        <v>22396</v>
      </c>
      <c r="N64" s="208">
        <v>0</v>
      </c>
      <c r="O64" s="208">
        <v>22396</v>
      </c>
      <c r="P64" s="208">
        <v>990077</v>
      </c>
      <c r="Q64" s="208">
        <v>0</v>
      </c>
      <c r="R64" s="208">
        <v>990077</v>
      </c>
      <c r="S64" s="208">
        <v>-3629262</v>
      </c>
      <c r="T64" s="208">
        <v>0</v>
      </c>
      <c r="U64" s="208">
        <v>-3629262</v>
      </c>
      <c r="V64" s="208">
        <v>0</v>
      </c>
      <c r="W64" s="208">
        <v>0</v>
      </c>
      <c r="X64" s="208">
        <v>0</v>
      </c>
      <c r="Y64" s="208">
        <v>-155759</v>
      </c>
      <c r="Z64" s="208">
        <v>0</v>
      </c>
      <c r="AA64" s="208">
        <v>-155759</v>
      </c>
      <c r="AB64" s="208">
        <v>-65659</v>
      </c>
      <c r="AC64" s="208">
        <v>0</v>
      </c>
      <c r="AD64" s="208">
        <v>-65659</v>
      </c>
      <c r="AE64" s="208">
        <v>-81766</v>
      </c>
      <c r="AF64" s="208">
        <v>0</v>
      </c>
      <c r="AG64" s="208">
        <v>-81766</v>
      </c>
      <c r="AH64" s="208">
        <v>0</v>
      </c>
      <c r="AI64" s="208">
        <v>0</v>
      </c>
      <c r="AJ64" s="208">
        <v>0</v>
      </c>
      <c r="AK64" s="208">
        <v>0</v>
      </c>
      <c r="AL64" s="208">
        <v>0</v>
      </c>
      <c r="AM64" s="208">
        <v>0</v>
      </c>
      <c r="AN64" s="208">
        <v>556793</v>
      </c>
      <c r="AO64" s="208">
        <v>0</v>
      </c>
      <c r="AP64" s="208">
        <v>556793</v>
      </c>
      <c r="AQ64" s="208">
        <v>-18697</v>
      </c>
      <c r="AR64" s="208">
        <v>0</v>
      </c>
      <c r="AS64" s="208">
        <v>-18697</v>
      </c>
      <c r="AT64" s="208">
        <v>-2300277</v>
      </c>
      <c r="AU64" s="208">
        <v>0</v>
      </c>
      <c r="AV64" s="208">
        <v>-2300277</v>
      </c>
      <c r="AW64" s="208">
        <v>-16587</v>
      </c>
      <c r="AX64" s="208">
        <v>0</v>
      </c>
      <c r="AY64" s="208">
        <v>-16587</v>
      </c>
      <c r="AZ64" s="208">
        <v>-30067</v>
      </c>
      <c r="BA64" s="208">
        <v>0</v>
      </c>
      <c r="BB64" s="208">
        <v>-30067</v>
      </c>
      <c r="BC64" s="208">
        <v>0</v>
      </c>
      <c r="BD64" s="208">
        <v>0</v>
      </c>
      <c r="BE64" s="208">
        <v>0</v>
      </c>
      <c r="BF64" s="208">
        <v>-5460</v>
      </c>
      <c r="BG64" s="208">
        <v>0</v>
      </c>
      <c r="BH64" s="208">
        <v>-5460</v>
      </c>
      <c r="BI64" s="208">
        <v>0</v>
      </c>
      <c r="BJ64" s="208">
        <v>0</v>
      </c>
      <c r="BK64" s="208">
        <v>0</v>
      </c>
      <c r="BL64" s="208">
        <v>-5599316</v>
      </c>
      <c r="BM64" s="208">
        <v>0</v>
      </c>
      <c r="BN64" s="208">
        <v>-5599316</v>
      </c>
      <c r="BO64" s="208">
        <v>-1803</v>
      </c>
      <c r="BP64" s="208">
        <v>0</v>
      </c>
      <c r="BQ64" s="208">
        <v>-1803</v>
      </c>
      <c r="BR64" s="208">
        <v>0</v>
      </c>
      <c r="BS64" s="208">
        <v>0</v>
      </c>
      <c r="BT64" s="208">
        <v>0</v>
      </c>
      <c r="BU64" s="208">
        <v>-716349</v>
      </c>
      <c r="BV64" s="208">
        <v>0</v>
      </c>
      <c r="BW64" s="208">
        <v>-716349</v>
      </c>
      <c r="BX64" s="208">
        <v>-3755</v>
      </c>
      <c r="BY64" s="208">
        <v>0</v>
      </c>
      <c r="BZ64" s="208">
        <v>-3755</v>
      </c>
      <c r="CA64" s="208">
        <v>-721907</v>
      </c>
      <c r="CB64" s="208">
        <v>0</v>
      </c>
      <c r="CC64" s="208">
        <v>-721907</v>
      </c>
      <c r="CD64" s="208">
        <v>-12796</v>
      </c>
      <c r="CE64" s="208">
        <v>0</v>
      </c>
      <c r="CF64" s="208">
        <v>-12796</v>
      </c>
      <c r="CG64" s="208">
        <v>642</v>
      </c>
      <c r="CH64" s="208">
        <v>0</v>
      </c>
      <c r="CI64" s="208">
        <v>642</v>
      </c>
      <c r="CJ64" s="208">
        <v>0</v>
      </c>
      <c r="CK64" s="208">
        <v>0</v>
      </c>
      <c r="CL64" s="208">
        <v>0</v>
      </c>
      <c r="CM64" s="208">
        <v>0</v>
      </c>
      <c r="CN64" s="208">
        <v>0</v>
      </c>
      <c r="CO64" s="208">
        <v>0</v>
      </c>
      <c r="CP64" s="208">
        <v>0</v>
      </c>
      <c r="CQ64" s="208">
        <v>0</v>
      </c>
      <c r="CR64" s="208">
        <v>0</v>
      </c>
      <c r="CS64" s="208">
        <v>0</v>
      </c>
      <c r="CT64" s="208">
        <v>0</v>
      </c>
      <c r="CU64" s="208">
        <v>0</v>
      </c>
      <c r="CV64" s="208">
        <v>0</v>
      </c>
      <c r="CW64" s="208">
        <v>0</v>
      </c>
      <c r="CX64" s="208">
        <v>0</v>
      </c>
      <c r="CY64" s="208">
        <v>0</v>
      </c>
      <c r="CZ64" s="208">
        <v>0</v>
      </c>
      <c r="DA64" s="208">
        <v>0</v>
      </c>
      <c r="DB64" s="208">
        <v>0</v>
      </c>
      <c r="DC64" s="208">
        <v>0</v>
      </c>
      <c r="DD64" s="208">
        <v>0</v>
      </c>
      <c r="DE64" s="208">
        <v>0</v>
      </c>
      <c r="DF64" s="208">
        <v>0</v>
      </c>
      <c r="DG64" s="208">
        <v>0</v>
      </c>
      <c r="DH64" s="208">
        <v>0</v>
      </c>
      <c r="DI64" s="208">
        <v>0</v>
      </c>
      <c r="DJ64" s="208">
        <v>0</v>
      </c>
      <c r="DK64" s="208">
        <v>0</v>
      </c>
      <c r="DL64" s="208">
        <v>0</v>
      </c>
      <c r="DM64" s="208">
        <v>0</v>
      </c>
      <c r="DN64" s="208">
        <v>0</v>
      </c>
      <c r="DO64" s="208">
        <v>0</v>
      </c>
      <c r="DP64" s="208">
        <v>-12154</v>
      </c>
      <c r="DQ64" s="208">
        <v>0</v>
      </c>
      <c r="DR64" s="208">
        <v>-12154</v>
      </c>
      <c r="DS64" s="208">
        <v>0</v>
      </c>
      <c r="DT64" s="208">
        <v>0</v>
      </c>
      <c r="DU64" s="208">
        <v>0</v>
      </c>
      <c r="DV64" s="208">
        <v>0</v>
      </c>
      <c r="DW64" s="208">
        <v>0</v>
      </c>
      <c r="DX64" s="208">
        <v>0</v>
      </c>
      <c r="DY64" s="208">
        <v>-242</v>
      </c>
      <c r="DZ64" s="208">
        <v>0</v>
      </c>
      <c r="EA64" s="208">
        <v>-242</v>
      </c>
      <c r="EB64" s="208">
        <v>0</v>
      </c>
      <c r="EC64" s="208">
        <v>0</v>
      </c>
      <c r="ED64" s="208">
        <v>0</v>
      </c>
      <c r="EE64" s="208">
        <v>0</v>
      </c>
      <c r="EF64" s="208">
        <v>0</v>
      </c>
      <c r="EG64" s="208">
        <v>0</v>
      </c>
      <c r="EH64" s="208">
        <v>0</v>
      </c>
      <c r="EI64" s="208">
        <v>0</v>
      </c>
      <c r="EJ64" s="208">
        <v>0</v>
      </c>
      <c r="EK64" s="208">
        <v>-5460</v>
      </c>
      <c r="EL64" s="208">
        <v>0</v>
      </c>
      <c r="EM64" s="208">
        <v>-5460</v>
      </c>
      <c r="EN64" s="208">
        <v>0</v>
      </c>
      <c r="EO64" s="208">
        <v>0</v>
      </c>
      <c r="EP64" s="208">
        <v>0</v>
      </c>
      <c r="EQ64" s="208">
        <v>0</v>
      </c>
      <c r="ER64" s="208">
        <v>0</v>
      </c>
      <c r="ES64" s="208">
        <v>0</v>
      </c>
      <c r="ET64" s="208">
        <v>0</v>
      </c>
      <c r="EU64" s="208">
        <v>0</v>
      </c>
      <c r="EV64" s="208">
        <v>0</v>
      </c>
      <c r="EW64" s="208">
        <v>-24749</v>
      </c>
      <c r="EX64" s="208">
        <v>0</v>
      </c>
      <c r="EY64" s="208">
        <v>-24749</v>
      </c>
      <c r="EZ64" s="208">
        <v>203</v>
      </c>
      <c r="FA64" s="208">
        <v>0</v>
      </c>
      <c r="FB64" s="208">
        <v>203</v>
      </c>
      <c r="FC64" s="208">
        <v>-50810</v>
      </c>
      <c r="FD64" s="208">
        <v>0</v>
      </c>
      <c r="FE64" s="208">
        <v>-50810</v>
      </c>
      <c r="FF64" s="208">
        <v>59</v>
      </c>
      <c r="FG64" s="208">
        <v>0</v>
      </c>
      <c r="FH64" s="208">
        <v>59</v>
      </c>
      <c r="FI64" s="208">
        <v>-50989</v>
      </c>
      <c r="FJ64" s="208">
        <v>0</v>
      </c>
      <c r="FK64" s="208">
        <v>-50989</v>
      </c>
      <c r="FL64" s="208">
        <v>-1655</v>
      </c>
      <c r="FM64" s="208">
        <v>0</v>
      </c>
      <c r="FN64" s="208">
        <v>-1655</v>
      </c>
      <c r="FO64" s="208">
        <v>0</v>
      </c>
      <c r="FP64" s="208">
        <v>0</v>
      </c>
      <c r="FQ64" s="208">
        <v>0</v>
      </c>
      <c r="FR64" s="208">
        <v>0</v>
      </c>
      <c r="FS64" s="208">
        <v>0</v>
      </c>
      <c r="FT64" s="208">
        <v>0</v>
      </c>
      <c r="FU64" s="208">
        <v>-133643</v>
      </c>
      <c r="FV64" s="208">
        <v>0</v>
      </c>
      <c r="FW64" s="208">
        <v>-133643</v>
      </c>
      <c r="FX64" s="208">
        <v>0</v>
      </c>
      <c r="FY64" s="208">
        <v>0</v>
      </c>
      <c r="FZ64" s="208">
        <v>0</v>
      </c>
      <c r="GA64" s="208">
        <v>0</v>
      </c>
      <c r="GB64" s="208">
        <v>0</v>
      </c>
      <c r="GC64" s="208">
        <v>0</v>
      </c>
      <c r="GD64" s="208">
        <v>0</v>
      </c>
      <c r="GE64" s="208">
        <v>0</v>
      </c>
      <c r="GF64" s="208">
        <v>0</v>
      </c>
      <c r="GG64" s="208">
        <v>31470128</v>
      </c>
      <c r="GH64" s="208">
        <v>0</v>
      </c>
      <c r="GI64" s="208">
        <v>31470128</v>
      </c>
      <c r="GJ64" s="208">
        <v>990077</v>
      </c>
      <c r="GK64" s="208">
        <v>0</v>
      </c>
      <c r="GL64" s="208">
        <v>990077</v>
      </c>
      <c r="GM64" s="208">
        <v>-5599316</v>
      </c>
      <c r="GN64" s="208">
        <v>0</v>
      </c>
      <c r="GO64" s="208">
        <v>-5599316</v>
      </c>
      <c r="GP64" s="208">
        <v>-721907</v>
      </c>
      <c r="GQ64" s="208">
        <v>0</v>
      </c>
      <c r="GR64" s="208">
        <v>-721907</v>
      </c>
      <c r="GS64" s="208">
        <v>-12154</v>
      </c>
      <c r="GT64" s="208">
        <v>0</v>
      </c>
      <c r="GU64" s="208">
        <v>-12154</v>
      </c>
      <c r="GV64" s="208">
        <v>-133643</v>
      </c>
      <c r="GW64" s="208">
        <v>0</v>
      </c>
      <c r="GX64" s="208">
        <v>-133643</v>
      </c>
      <c r="GY64" s="208">
        <v>0</v>
      </c>
      <c r="GZ64" s="208">
        <v>0</v>
      </c>
      <c r="HA64" s="208">
        <v>0</v>
      </c>
      <c r="HB64" s="208">
        <v>-5476943</v>
      </c>
      <c r="HC64" s="208">
        <v>0</v>
      </c>
      <c r="HD64" s="208">
        <v>-5476943</v>
      </c>
      <c r="HE64" s="208">
        <v>25993185</v>
      </c>
      <c r="HF64" s="208">
        <v>0</v>
      </c>
      <c r="HG64" s="208">
        <v>25993185</v>
      </c>
      <c r="HH64" s="187" t="s">
        <v>1054</v>
      </c>
    </row>
    <row r="65" spans="1:216" s="187" customFormat="1" x14ac:dyDescent="0.2">
      <c r="B65" s="429" t="s">
        <v>209</v>
      </c>
      <c r="C65" s="429" t="s">
        <v>208</v>
      </c>
      <c r="D65" s="208">
        <v>-364902</v>
      </c>
      <c r="E65" s="208">
        <v>0</v>
      </c>
      <c r="F65" s="208">
        <v>-364902</v>
      </c>
      <c r="G65" s="208">
        <v>5352</v>
      </c>
      <c r="H65" s="208">
        <v>0</v>
      </c>
      <c r="I65" s="208">
        <v>5352</v>
      </c>
      <c r="J65" s="208">
        <v>344387</v>
      </c>
      <c r="K65" s="208">
        <v>0</v>
      </c>
      <c r="L65" s="208">
        <v>344387</v>
      </c>
      <c r="M65" s="208">
        <v>-4888</v>
      </c>
      <c r="N65" s="208">
        <v>0</v>
      </c>
      <c r="O65" s="208">
        <v>-4888</v>
      </c>
      <c r="P65" s="208">
        <v>-20051</v>
      </c>
      <c r="Q65" s="208">
        <v>0</v>
      </c>
      <c r="R65" s="208">
        <v>-20051</v>
      </c>
      <c r="S65" s="208">
        <v>-2173357</v>
      </c>
      <c r="T65" s="208">
        <v>0</v>
      </c>
      <c r="U65" s="208">
        <v>-2173357</v>
      </c>
      <c r="V65" s="208">
        <v>0</v>
      </c>
      <c r="W65" s="208">
        <v>0</v>
      </c>
      <c r="X65" s="208">
        <v>0</v>
      </c>
      <c r="Y65" s="208">
        <v>-101609</v>
      </c>
      <c r="Z65" s="208">
        <v>0</v>
      </c>
      <c r="AA65" s="208">
        <v>-101609</v>
      </c>
      <c r="AB65" s="208">
        <v>-9463</v>
      </c>
      <c r="AC65" s="208">
        <v>0</v>
      </c>
      <c r="AD65" s="208">
        <v>-9463</v>
      </c>
      <c r="AE65" s="208">
        <v>-92146</v>
      </c>
      <c r="AF65" s="208">
        <v>0</v>
      </c>
      <c r="AG65" s="208">
        <v>-92146</v>
      </c>
      <c r="AH65" s="208">
        <v>0</v>
      </c>
      <c r="AI65" s="208">
        <v>0</v>
      </c>
      <c r="AJ65" s="208">
        <v>0</v>
      </c>
      <c r="AK65" s="208">
        <v>295</v>
      </c>
      <c r="AL65" s="208">
        <v>0</v>
      </c>
      <c r="AM65" s="208">
        <v>295</v>
      </c>
      <c r="AN65" s="208">
        <v>470731</v>
      </c>
      <c r="AO65" s="208">
        <v>0</v>
      </c>
      <c r="AP65" s="208">
        <v>470731</v>
      </c>
      <c r="AQ65" s="208">
        <v>-93</v>
      </c>
      <c r="AR65" s="208">
        <v>0</v>
      </c>
      <c r="AS65" s="208">
        <v>-93</v>
      </c>
      <c r="AT65" s="208">
        <v>-996701</v>
      </c>
      <c r="AU65" s="208">
        <v>0</v>
      </c>
      <c r="AV65" s="208">
        <v>-996701</v>
      </c>
      <c r="AW65" s="208">
        <v>-7761</v>
      </c>
      <c r="AX65" s="208">
        <v>0</v>
      </c>
      <c r="AY65" s="208">
        <v>-7761</v>
      </c>
      <c r="AZ65" s="208">
        <v>-32407</v>
      </c>
      <c r="BA65" s="208">
        <v>0</v>
      </c>
      <c r="BB65" s="208">
        <v>-32407</v>
      </c>
      <c r="BC65" s="208">
        <v>0</v>
      </c>
      <c r="BD65" s="208">
        <v>0</v>
      </c>
      <c r="BE65" s="208">
        <v>0</v>
      </c>
      <c r="BF65" s="208">
        <v>0</v>
      </c>
      <c r="BG65" s="208">
        <v>0</v>
      </c>
      <c r="BH65" s="208">
        <v>0</v>
      </c>
      <c r="BI65" s="208">
        <v>0</v>
      </c>
      <c r="BJ65" s="208">
        <v>0</v>
      </c>
      <c r="BK65" s="208">
        <v>0</v>
      </c>
      <c r="BL65" s="208">
        <v>-2841197</v>
      </c>
      <c r="BM65" s="208">
        <v>0</v>
      </c>
      <c r="BN65" s="208">
        <v>-2841197</v>
      </c>
      <c r="BO65" s="208">
        <v>0</v>
      </c>
      <c r="BP65" s="208">
        <v>0</v>
      </c>
      <c r="BQ65" s="208">
        <v>0</v>
      </c>
      <c r="BR65" s="208">
        <v>0</v>
      </c>
      <c r="BS65" s="208">
        <v>0</v>
      </c>
      <c r="BT65" s="208">
        <v>0</v>
      </c>
      <c r="BU65" s="208">
        <v>-571896</v>
      </c>
      <c r="BV65" s="208">
        <v>0</v>
      </c>
      <c r="BW65" s="208">
        <v>-571896</v>
      </c>
      <c r="BX65" s="208">
        <v>-22355</v>
      </c>
      <c r="BY65" s="208">
        <v>0</v>
      </c>
      <c r="BZ65" s="208">
        <v>-22355</v>
      </c>
      <c r="CA65" s="208">
        <v>-594251</v>
      </c>
      <c r="CB65" s="208">
        <v>0</v>
      </c>
      <c r="CC65" s="208">
        <v>-594251</v>
      </c>
      <c r="CD65" s="208">
        <v>-7793</v>
      </c>
      <c r="CE65" s="208">
        <v>0</v>
      </c>
      <c r="CF65" s="208">
        <v>-7793</v>
      </c>
      <c r="CG65" s="208">
        <v>6</v>
      </c>
      <c r="CH65" s="208">
        <v>0</v>
      </c>
      <c r="CI65" s="208">
        <v>6</v>
      </c>
      <c r="CJ65" s="208">
        <v>-16920</v>
      </c>
      <c r="CK65" s="208">
        <v>0</v>
      </c>
      <c r="CL65" s="208">
        <v>-16920</v>
      </c>
      <c r="CM65" s="208">
        <v>-840</v>
      </c>
      <c r="CN65" s="208">
        <v>0</v>
      </c>
      <c r="CO65" s="208">
        <v>-840</v>
      </c>
      <c r="CP65" s="208">
        <v>-1578</v>
      </c>
      <c r="CQ65" s="208">
        <v>0</v>
      </c>
      <c r="CR65" s="208">
        <v>-1578</v>
      </c>
      <c r="CS65" s="208">
        <v>0</v>
      </c>
      <c r="CT65" s="208">
        <v>0</v>
      </c>
      <c r="CU65" s="208">
        <v>0</v>
      </c>
      <c r="CV65" s="208">
        <v>0</v>
      </c>
      <c r="CW65" s="208">
        <v>0</v>
      </c>
      <c r="CX65" s="208">
        <v>0</v>
      </c>
      <c r="CY65" s="208">
        <v>0</v>
      </c>
      <c r="CZ65" s="208">
        <v>0</v>
      </c>
      <c r="DA65" s="208">
        <v>0</v>
      </c>
      <c r="DB65" s="208">
        <v>0</v>
      </c>
      <c r="DC65" s="208">
        <v>0</v>
      </c>
      <c r="DD65" s="208">
        <v>0</v>
      </c>
      <c r="DE65" s="208">
        <v>0</v>
      </c>
      <c r="DF65" s="208">
        <v>0</v>
      </c>
      <c r="DG65" s="208">
        <v>0</v>
      </c>
      <c r="DH65" s="208">
        <v>0</v>
      </c>
      <c r="DI65" s="208">
        <v>0</v>
      </c>
      <c r="DJ65" s="208">
        <v>0</v>
      </c>
      <c r="DK65" s="208">
        <v>0</v>
      </c>
      <c r="DL65" s="208">
        <v>0</v>
      </c>
      <c r="DM65" s="208">
        <v>0</v>
      </c>
      <c r="DN65" s="208">
        <v>0</v>
      </c>
      <c r="DO65" s="208">
        <v>0</v>
      </c>
      <c r="DP65" s="208">
        <v>-27125</v>
      </c>
      <c r="DQ65" s="208">
        <v>0</v>
      </c>
      <c r="DR65" s="208">
        <v>-27125</v>
      </c>
      <c r="DS65" s="208">
        <v>0</v>
      </c>
      <c r="DT65" s="208">
        <v>0</v>
      </c>
      <c r="DU65" s="208">
        <v>0</v>
      </c>
      <c r="DV65" s="208">
        <v>0</v>
      </c>
      <c r="DW65" s="208">
        <v>0</v>
      </c>
      <c r="DX65" s="208">
        <v>0</v>
      </c>
      <c r="DY65" s="208">
        <v>0</v>
      </c>
      <c r="DZ65" s="208">
        <v>0</v>
      </c>
      <c r="EA65" s="208">
        <v>0</v>
      </c>
      <c r="EB65" s="208">
        <v>0</v>
      </c>
      <c r="EC65" s="208">
        <v>0</v>
      </c>
      <c r="ED65" s="208">
        <v>0</v>
      </c>
      <c r="EE65" s="208">
        <v>0</v>
      </c>
      <c r="EF65" s="208">
        <v>0</v>
      </c>
      <c r="EG65" s="208">
        <v>0</v>
      </c>
      <c r="EH65" s="208">
        <v>0</v>
      </c>
      <c r="EI65" s="208">
        <v>0</v>
      </c>
      <c r="EJ65" s="208">
        <v>0</v>
      </c>
      <c r="EK65" s="208">
        <v>0</v>
      </c>
      <c r="EL65" s="208">
        <v>0</v>
      </c>
      <c r="EM65" s="208">
        <v>0</v>
      </c>
      <c r="EN65" s="208">
        <v>0</v>
      </c>
      <c r="EO65" s="208">
        <v>0</v>
      </c>
      <c r="EP65" s="208">
        <v>0</v>
      </c>
      <c r="EQ65" s="208">
        <v>0</v>
      </c>
      <c r="ER65" s="208">
        <v>0</v>
      </c>
      <c r="ES65" s="208">
        <v>0</v>
      </c>
      <c r="ET65" s="208">
        <v>0</v>
      </c>
      <c r="EU65" s="208">
        <v>0</v>
      </c>
      <c r="EV65" s="208">
        <v>0</v>
      </c>
      <c r="EW65" s="208">
        <v>-2991</v>
      </c>
      <c r="EX65" s="208">
        <v>0</v>
      </c>
      <c r="EY65" s="208">
        <v>-2991</v>
      </c>
      <c r="EZ65" s="208">
        <v>0</v>
      </c>
      <c r="FA65" s="208">
        <v>0</v>
      </c>
      <c r="FB65" s="208">
        <v>0</v>
      </c>
      <c r="FC65" s="208">
        <v>-76115</v>
      </c>
      <c r="FD65" s="208">
        <v>0</v>
      </c>
      <c r="FE65" s="208">
        <v>-76115</v>
      </c>
      <c r="FF65" s="208">
        <v>1709</v>
      </c>
      <c r="FG65" s="208">
        <v>0</v>
      </c>
      <c r="FH65" s="208">
        <v>1709</v>
      </c>
      <c r="FI65" s="208">
        <v>-15348</v>
      </c>
      <c r="FJ65" s="208">
        <v>0</v>
      </c>
      <c r="FK65" s="208">
        <v>-15348</v>
      </c>
      <c r="FL65" s="208">
        <v>-973</v>
      </c>
      <c r="FM65" s="208">
        <v>0</v>
      </c>
      <c r="FN65" s="208">
        <v>-973</v>
      </c>
      <c r="FO65" s="208">
        <v>0</v>
      </c>
      <c r="FP65" s="208">
        <v>0</v>
      </c>
      <c r="FQ65" s="208">
        <v>0</v>
      </c>
      <c r="FR65" s="208">
        <v>0</v>
      </c>
      <c r="FS65" s="208">
        <v>0</v>
      </c>
      <c r="FT65" s="208">
        <v>0</v>
      </c>
      <c r="FU65" s="208">
        <v>-93718</v>
      </c>
      <c r="FV65" s="208">
        <v>0</v>
      </c>
      <c r="FW65" s="208">
        <v>-93718</v>
      </c>
      <c r="FX65" s="208">
        <v>0</v>
      </c>
      <c r="FY65" s="208">
        <v>0</v>
      </c>
      <c r="FZ65" s="208">
        <v>0</v>
      </c>
      <c r="GA65" s="208">
        <v>0</v>
      </c>
      <c r="GB65" s="208">
        <v>0</v>
      </c>
      <c r="GC65" s="208">
        <v>0</v>
      </c>
      <c r="GD65" s="208">
        <v>0</v>
      </c>
      <c r="GE65" s="208">
        <v>0</v>
      </c>
      <c r="GF65" s="208">
        <v>0</v>
      </c>
      <c r="GG65" s="208">
        <v>24689041</v>
      </c>
      <c r="GH65" s="208">
        <v>0</v>
      </c>
      <c r="GI65" s="208">
        <v>24689041</v>
      </c>
      <c r="GJ65" s="208">
        <v>-20051</v>
      </c>
      <c r="GK65" s="208">
        <v>0</v>
      </c>
      <c r="GL65" s="208">
        <v>-20051</v>
      </c>
      <c r="GM65" s="208">
        <v>-2841197</v>
      </c>
      <c r="GN65" s="208">
        <v>0</v>
      </c>
      <c r="GO65" s="208">
        <v>-2841197</v>
      </c>
      <c r="GP65" s="208">
        <v>-594251</v>
      </c>
      <c r="GQ65" s="208">
        <v>0</v>
      </c>
      <c r="GR65" s="208">
        <v>-594251</v>
      </c>
      <c r="GS65" s="208">
        <v>-27125</v>
      </c>
      <c r="GT65" s="208">
        <v>0</v>
      </c>
      <c r="GU65" s="208">
        <v>-27125</v>
      </c>
      <c r="GV65" s="208">
        <v>-93718</v>
      </c>
      <c r="GW65" s="208">
        <v>0</v>
      </c>
      <c r="GX65" s="208">
        <v>-93718</v>
      </c>
      <c r="GY65" s="208">
        <v>0</v>
      </c>
      <c r="GZ65" s="208">
        <v>0</v>
      </c>
      <c r="HA65" s="208">
        <v>0</v>
      </c>
      <c r="HB65" s="208">
        <v>-3576342</v>
      </c>
      <c r="HC65" s="208">
        <v>0</v>
      </c>
      <c r="HD65" s="208">
        <v>-3576342</v>
      </c>
      <c r="HE65" s="208">
        <v>21112699</v>
      </c>
      <c r="HF65" s="208">
        <v>0</v>
      </c>
      <c r="HG65" s="208">
        <v>21112699</v>
      </c>
      <c r="HH65" s="187" t="s">
        <v>1054</v>
      </c>
    </row>
    <row r="66" spans="1:216" s="187" customFormat="1" x14ac:dyDescent="0.2">
      <c r="B66" s="429" t="s">
        <v>211</v>
      </c>
      <c r="C66" s="429" t="s">
        <v>210</v>
      </c>
      <c r="D66" s="208">
        <v>-12147891</v>
      </c>
      <c r="E66" s="208">
        <v>0</v>
      </c>
      <c r="F66" s="208">
        <v>-12147891</v>
      </c>
      <c r="G66" s="208">
        <v>-1004211</v>
      </c>
      <c r="H66" s="208">
        <v>0</v>
      </c>
      <c r="I66" s="208">
        <v>-1004211</v>
      </c>
      <c r="J66" s="208">
        <v>456380</v>
      </c>
      <c r="K66" s="208">
        <v>0</v>
      </c>
      <c r="L66" s="208">
        <v>456380</v>
      </c>
      <c r="M66" s="208">
        <v>-9739</v>
      </c>
      <c r="N66" s="208">
        <v>0</v>
      </c>
      <c r="O66" s="208">
        <v>-9739</v>
      </c>
      <c r="P66" s="208">
        <v>-12705461</v>
      </c>
      <c r="Q66" s="208">
        <v>0</v>
      </c>
      <c r="R66" s="208">
        <v>-12705461</v>
      </c>
      <c r="S66" s="208">
        <v>-1032100</v>
      </c>
      <c r="T66" s="208">
        <v>0</v>
      </c>
      <c r="U66" s="208">
        <v>-1032100</v>
      </c>
      <c r="V66" s="208">
        <v>0</v>
      </c>
      <c r="W66" s="208">
        <v>0</v>
      </c>
      <c r="X66" s="208">
        <v>0</v>
      </c>
      <c r="Y66" s="208">
        <v>-390907</v>
      </c>
      <c r="Z66" s="208">
        <v>0</v>
      </c>
      <c r="AA66" s="208">
        <v>-390907</v>
      </c>
      <c r="AB66" s="208">
        <v>-182184</v>
      </c>
      <c r="AC66" s="208">
        <v>0</v>
      </c>
      <c r="AD66" s="208">
        <v>-182184</v>
      </c>
      <c r="AE66" s="208">
        <v>-201655</v>
      </c>
      <c r="AF66" s="208">
        <v>0</v>
      </c>
      <c r="AG66" s="208">
        <v>-201655</v>
      </c>
      <c r="AH66" s="208">
        <v>0</v>
      </c>
      <c r="AI66" s="208">
        <v>0</v>
      </c>
      <c r="AJ66" s="208">
        <v>0</v>
      </c>
      <c r="AK66" s="208">
        <v>0</v>
      </c>
      <c r="AL66" s="208">
        <v>0</v>
      </c>
      <c r="AM66" s="208">
        <v>0</v>
      </c>
      <c r="AN66" s="208">
        <v>31173520</v>
      </c>
      <c r="AO66" s="208">
        <v>0</v>
      </c>
      <c r="AP66" s="208">
        <v>31173520</v>
      </c>
      <c r="AQ66" s="208">
        <v>-1756112</v>
      </c>
      <c r="AR66" s="208">
        <v>0</v>
      </c>
      <c r="AS66" s="208">
        <v>-1756112</v>
      </c>
      <c r="AT66" s="208">
        <v>-16587474</v>
      </c>
      <c r="AU66" s="208">
        <v>0</v>
      </c>
      <c r="AV66" s="208">
        <v>-16587474</v>
      </c>
      <c r="AW66" s="208">
        <v>266199</v>
      </c>
      <c r="AX66" s="208">
        <v>0</v>
      </c>
      <c r="AY66" s="208">
        <v>266199</v>
      </c>
      <c r="AZ66" s="208">
        <v>0</v>
      </c>
      <c r="BA66" s="208">
        <v>0</v>
      </c>
      <c r="BB66" s="208">
        <v>0</v>
      </c>
      <c r="BC66" s="208">
        <v>0</v>
      </c>
      <c r="BD66" s="208">
        <v>0</v>
      </c>
      <c r="BE66" s="208">
        <v>0</v>
      </c>
      <c r="BF66" s="208">
        <v>0</v>
      </c>
      <c r="BG66" s="208">
        <v>0</v>
      </c>
      <c r="BH66" s="208">
        <v>0</v>
      </c>
      <c r="BI66" s="208">
        <v>0</v>
      </c>
      <c r="BJ66" s="208">
        <v>0</v>
      </c>
      <c r="BK66" s="208">
        <v>0</v>
      </c>
      <c r="BL66" s="208">
        <v>11673126</v>
      </c>
      <c r="BM66" s="208">
        <v>0</v>
      </c>
      <c r="BN66" s="208">
        <v>11673126</v>
      </c>
      <c r="BO66" s="208">
        <v>-876606</v>
      </c>
      <c r="BP66" s="208">
        <v>0</v>
      </c>
      <c r="BQ66" s="208">
        <v>-876606</v>
      </c>
      <c r="BR66" s="208">
        <v>-1376203</v>
      </c>
      <c r="BS66" s="208">
        <v>0</v>
      </c>
      <c r="BT66" s="208">
        <v>-1376203</v>
      </c>
      <c r="BU66" s="208">
        <v>-46421346</v>
      </c>
      <c r="BV66" s="208">
        <v>0</v>
      </c>
      <c r="BW66" s="208">
        <v>-46421346</v>
      </c>
      <c r="BX66" s="208">
        <v>3616093</v>
      </c>
      <c r="BY66" s="208">
        <v>0</v>
      </c>
      <c r="BZ66" s="208">
        <v>3616093</v>
      </c>
      <c r="CA66" s="208">
        <v>-45058062</v>
      </c>
      <c r="CB66" s="208">
        <v>0</v>
      </c>
      <c r="CC66" s="208">
        <v>-45058062</v>
      </c>
      <c r="CD66" s="208">
        <v>-179028</v>
      </c>
      <c r="CE66" s="208">
        <v>0</v>
      </c>
      <c r="CF66" s="208">
        <v>-179028</v>
      </c>
      <c r="CG66" s="208">
        <v>0</v>
      </c>
      <c r="CH66" s="208">
        <v>0</v>
      </c>
      <c r="CI66" s="208">
        <v>0</v>
      </c>
      <c r="CJ66" s="208">
        <v>-213230</v>
      </c>
      <c r="CK66" s="208">
        <v>0</v>
      </c>
      <c r="CL66" s="208">
        <v>-213230</v>
      </c>
      <c r="CM66" s="208">
        <v>16461</v>
      </c>
      <c r="CN66" s="208">
        <v>0</v>
      </c>
      <c r="CO66" s="208">
        <v>16461</v>
      </c>
      <c r="CP66" s="208">
        <v>0</v>
      </c>
      <c r="CQ66" s="208">
        <v>0</v>
      </c>
      <c r="CR66" s="208">
        <v>0</v>
      </c>
      <c r="CS66" s="208">
        <v>0</v>
      </c>
      <c r="CT66" s="208">
        <v>0</v>
      </c>
      <c r="CU66" s="208">
        <v>0</v>
      </c>
      <c r="CV66" s="208">
        <v>0</v>
      </c>
      <c r="CW66" s="208">
        <v>0</v>
      </c>
      <c r="CX66" s="208">
        <v>0</v>
      </c>
      <c r="CY66" s="208">
        <v>0</v>
      </c>
      <c r="CZ66" s="208">
        <v>0</v>
      </c>
      <c r="DA66" s="208">
        <v>0</v>
      </c>
      <c r="DB66" s="208">
        <v>0</v>
      </c>
      <c r="DC66" s="208">
        <v>0</v>
      </c>
      <c r="DD66" s="208">
        <v>0</v>
      </c>
      <c r="DE66" s="208">
        <v>0</v>
      </c>
      <c r="DF66" s="208">
        <v>0</v>
      </c>
      <c r="DG66" s="208">
        <v>0</v>
      </c>
      <c r="DH66" s="208">
        <v>0</v>
      </c>
      <c r="DI66" s="208">
        <v>0</v>
      </c>
      <c r="DJ66" s="208">
        <v>0</v>
      </c>
      <c r="DK66" s="208">
        <v>0</v>
      </c>
      <c r="DL66" s="208">
        <v>0</v>
      </c>
      <c r="DM66" s="208">
        <v>0</v>
      </c>
      <c r="DN66" s="208">
        <v>0</v>
      </c>
      <c r="DO66" s="208">
        <v>0</v>
      </c>
      <c r="DP66" s="208">
        <v>-375797</v>
      </c>
      <c r="DQ66" s="208">
        <v>0</v>
      </c>
      <c r="DR66" s="208">
        <v>-375797</v>
      </c>
      <c r="DS66" s="208">
        <v>-22013</v>
      </c>
      <c r="DT66" s="208">
        <v>0</v>
      </c>
      <c r="DU66" s="208">
        <v>-22013</v>
      </c>
      <c r="DV66" s="208">
        <v>0</v>
      </c>
      <c r="DW66" s="208">
        <v>0</v>
      </c>
      <c r="DX66" s="208">
        <v>0</v>
      </c>
      <c r="DY66" s="208">
        <v>164</v>
      </c>
      <c r="DZ66" s="208">
        <v>0</v>
      </c>
      <c r="EA66" s="208">
        <v>164</v>
      </c>
      <c r="EB66" s="208">
        <v>0</v>
      </c>
      <c r="EC66" s="208">
        <v>0</v>
      </c>
      <c r="ED66" s="208">
        <v>0</v>
      </c>
      <c r="EE66" s="208">
        <v>0</v>
      </c>
      <c r="EF66" s="208">
        <v>0</v>
      </c>
      <c r="EG66" s="208">
        <v>0</v>
      </c>
      <c r="EH66" s="208">
        <v>0</v>
      </c>
      <c r="EI66" s="208">
        <v>0</v>
      </c>
      <c r="EJ66" s="208">
        <v>0</v>
      </c>
      <c r="EK66" s="208">
        <v>0</v>
      </c>
      <c r="EL66" s="208">
        <v>0</v>
      </c>
      <c r="EM66" s="208">
        <v>0</v>
      </c>
      <c r="EN66" s="208">
        <v>0</v>
      </c>
      <c r="EO66" s="208">
        <v>0</v>
      </c>
      <c r="EP66" s="208">
        <v>0</v>
      </c>
      <c r="EQ66" s="208">
        <v>0</v>
      </c>
      <c r="ER66" s="208">
        <v>0</v>
      </c>
      <c r="ES66" s="208">
        <v>0</v>
      </c>
      <c r="ET66" s="208">
        <v>0</v>
      </c>
      <c r="EU66" s="208">
        <v>0</v>
      </c>
      <c r="EV66" s="208">
        <v>0</v>
      </c>
      <c r="EW66" s="208">
        <v>-24195</v>
      </c>
      <c r="EX66" s="208">
        <v>0</v>
      </c>
      <c r="EY66" s="208">
        <v>-24195</v>
      </c>
      <c r="EZ66" s="208">
        <v>755</v>
      </c>
      <c r="FA66" s="208">
        <v>0</v>
      </c>
      <c r="FB66" s="208">
        <v>755</v>
      </c>
      <c r="FC66" s="208">
        <v>-2687680</v>
      </c>
      <c r="FD66" s="208">
        <v>0</v>
      </c>
      <c r="FE66" s="208">
        <v>-2687680</v>
      </c>
      <c r="FF66" s="208">
        <v>-24000</v>
      </c>
      <c r="FG66" s="208">
        <v>0</v>
      </c>
      <c r="FH66" s="208">
        <v>-24000</v>
      </c>
      <c r="FI66" s="208">
        <v>-50504</v>
      </c>
      <c r="FJ66" s="208">
        <v>0</v>
      </c>
      <c r="FK66" s="208">
        <v>-50504</v>
      </c>
      <c r="FL66" s="208">
        <v>0</v>
      </c>
      <c r="FM66" s="208">
        <v>0</v>
      </c>
      <c r="FN66" s="208">
        <v>0</v>
      </c>
      <c r="FO66" s="208">
        <v>0</v>
      </c>
      <c r="FP66" s="208">
        <v>0</v>
      </c>
      <c r="FQ66" s="208">
        <v>0</v>
      </c>
      <c r="FR66" s="208">
        <v>0</v>
      </c>
      <c r="FS66" s="208">
        <v>0</v>
      </c>
      <c r="FT66" s="208">
        <v>0</v>
      </c>
      <c r="FU66" s="208">
        <v>-2807473</v>
      </c>
      <c r="FV66" s="208">
        <v>0</v>
      </c>
      <c r="FW66" s="208">
        <v>-2807473</v>
      </c>
      <c r="FX66" s="208">
        <v>0</v>
      </c>
      <c r="FY66" s="208">
        <v>0</v>
      </c>
      <c r="FZ66" s="208">
        <v>0</v>
      </c>
      <c r="GA66" s="208">
        <v>0</v>
      </c>
      <c r="GB66" s="208">
        <v>0</v>
      </c>
      <c r="GC66" s="208">
        <v>0</v>
      </c>
      <c r="GD66" s="208">
        <v>0</v>
      </c>
      <c r="GE66" s="208">
        <v>0</v>
      </c>
      <c r="GF66" s="208">
        <v>0</v>
      </c>
      <c r="GG66" s="208">
        <v>1161229870</v>
      </c>
      <c r="GH66" s="208">
        <v>0</v>
      </c>
      <c r="GI66" s="208">
        <v>1161229870</v>
      </c>
      <c r="GJ66" s="208">
        <v>-12705461</v>
      </c>
      <c r="GK66" s="208">
        <v>0</v>
      </c>
      <c r="GL66" s="208">
        <v>-12705461</v>
      </c>
      <c r="GM66" s="208">
        <v>11673126</v>
      </c>
      <c r="GN66" s="208">
        <v>0</v>
      </c>
      <c r="GO66" s="208">
        <v>11673126</v>
      </c>
      <c r="GP66" s="208">
        <v>-45058062</v>
      </c>
      <c r="GQ66" s="208">
        <v>0</v>
      </c>
      <c r="GR66" s="208">
        <v>-45058062</v>
      </c>
      <c r="GS66" s="208">
        <v>-375797</v>
      </c>
      <c r="GT66" s="208">
        <v>0</v>
      </c>
      <c r="GU66" s="208">
        <v>-375797</v>
      </c>
      <c r="GV66" s="208">
        <v>-2807473</v>
      </c>
      <c r="GW66" s="208">
        <v>0</v>
      </c>
      <c r="GX66" s="208">
        <v>-2807473</v>
      </c>
      <c r="GY66" s="208">
        <v>0</v>
      </c>
      <c r="GZ66" s="208">
        <v>0</v>
      </c>
      <c r="HA66" s="208">
        <v>0</v>
      </c>
      <c r="HB66" s="208">
        <v>-49273667</v>
      </c>
      <c r="HC66" s="208">
        <v>0</v>
      </c>
      <c r="HD66" s="208">
        <v>-49273667</v>
      </c>
      <c r="HE66" s="208">
        <v>1111956203</v>
      </c>
      <c r="HF66" s="208">
        <v>0</v>
      </c>
      <c r="HG66" s="208">
        <v>1111956203</v>
      </c>
      <c r="HH66" s="187" t="s">
        <v>1057</v>
      </c>
    </row>
    <row r="67" spans="1:216" s="187" customFormat="1" x14ac:dyDescent="0.2">
      <c r="B67" s="429" t="s">
        <v>213</v>
      </c>
      <c r="C67" s="429" t="s">
        <v>212</v>
      </c>
      <c r="D67" s="208">
        <v>-1272503</v>
      </c>
      <c r="E67" s="208">
        <v>0</v>
      </c>
      <c r="F67" s="208">
        <v>-1272503</v>
      </c>
      <c r="G67" s="208">
        <v>45656</v>
      </c>
      <c r="H67" s="208">
        <v>0</v>
      </c>
      <c r="I67" s="208">
        <v>45656</v>
      </c>
      <c r="J67" s="208">
        <v>1927097</v>
      </c>
      <c r="K67" s="208">
        <v>0</v>
      </c>
      <c r="L67" s="208">
        <v>1927097</v>
      </c>
      <c r="M67" s="208">
        <v>-176573</v>
      </c>
      <c r="N67" s="208">
        <v>0</v>
      </c>
      <c r="O67" s="208">
        <v>-176573</v>
      </c>
      <c r="P67" s="208">
        <v>523677</v>
      </c>
      <c r="Q67" s="208">
        <v>0</v>
      </c>
      <c r="R67" s="208">
        <v>523677</v>
      </c>
      <c r="S67" s="208">
        <v>-5792603</v>
      </c>
      <c r="T67" s="208">
        <v>0</v>
      </c>
      <c r="U67" s="208">
        <v>-5792603</v>
      </c>
      <c r="V67" s="208">
        <v>0</v>
      </c>
      <c r="W67" s="208">
        <v>0</v>
      </c>
      <c r="X67" s="208">
        <v>0</v>
      </c>
      <c r="Y67" s="208">
        <v>-82724</v>
      </c>
      <c r="Z67" s="208">
        <v>0</v>
      </c>
      <c r="AA67" s="208">
        <v>-82724</v>
      </c>
      <c r="AB67" s="208">
        <v>-9915</v>
      </c>
      <c r="AC67" s="208">
        <v>0</v>
      </c>
      <c r="AD67" s="208">
        <v>-9915</v>
      </c>
      <c r="AE67" s="208">
        <v>-72621</v>
      </c>
      <c r="AF67" s="208">
        <v>0</v>
      </c>
      <c r="AG67" s="208">
        <v>-72621</v>
      </c>
      <c r="AH67" s="208">
        <v>0</v>
      </c>
      <c r="AI67" s="208">
        <v>0</v>
      </c>
      <c r="AJ67" s="208">
        <v>0</v>
      </c>
      <c r="AK67" s="208">
        <v>0</v>
      </c>
      <c r="AL67" s="208">
        <v>0</v>
      </c>
      <c r="AM67" s="208">
        <v>0</v>
      </c>
      <c r="AN67" s="208">
        <v>1505492</v>
      </c>
      <c r="AO67" s="208">
        <v>0</v>
      </c>
      <c r="AP67" s="208">
        <v>1505492</v>
      </c>
      <c r="AQ67" s="208">
        <v>-15152</v>
      </c>
      <c r="AR67" s="208">
        <v>0</v>
      </c>
      <c r="AS67" s="208">
        <v>-15152</v>
      </c>
      <c r="AT67" s="208">
        <v>-6480870</v>
      </c>
      <c r="AU67" s="208">
        <v>0</v>
      </c>
      <c r="AV67" s="208">
        <v>-6480870</v>
      </c>
      <c r="AW67" s="208">
        <v>-118091</v>
      </c>
      <c r="AX67" s="208">
        <v>0</v>
      </c>
      <c r="AY67" s="208">
        <v>-118091</v>
      </c>
      <c r="AZ67" s="208">
        <v>-57738</v>
      </c>
      <c r="BA67" s="208">
        <v>0</v>
      </c>
      <c r="BB67" s="208">
        <v>-57738</v>
      </c>
      <c r="BC67" s="208">
        <v>0</v>
      </c>
      <c r="BD67" s="208">
        <v>0</v>
      </c>
      <c r="BE67" s="208">
        <v>0</v>
      </c>
      <c r="BF67" s="208">
        <v>-5311</v>
      </c>
      <c r="BG67" s="208">
        <v>0</v>
      </c>
      <c r="BH67" s="208">
        <v>-5311</v>
      </c>
      <c r="BI67" s="208">
        <v>0</v>
      </c>
      <c r="BJ67" s="208">
        <v>0</v>
      </c>
      <c r="BK67" s="208">
        <v>0</v>
      </c>
      <c r="BL67" s="208">
        <v>-11046997</v>
      </c>
      <c r="BM67" s="208">
        <v>0</v>
      </c>
      <c r="BN67" s="208">
        <v>-11046997</v>
      </c>
      <c r="BO67" s="208">
        <v>-6403</v>
      </c>
      <c r="BP67" s="208">
        <v>0</v>
      </c>
      <c r="BQ67" s="208">
        <v>-6403</v>
      </c>
      <c r="BR67" s="208">
        <v>37373</v>
      </c>
      <c r="BS67" s="208">
        <v>0</v>
      </c>
      <c r="BT67" s="208">
        <v>37373</v>
      </c>
      <c r="BU67" s="208">
        <v>-1305725</v>
      </c>
      <c r="BV67" s="208">
        <v>0</v>
      </c>
      <c r="BW67" s="208">
        <v>-1305725</v>
      </c>
      <c r="BX67" s="208">
        <v>-122534</v>
      </c>
      <c r="BY67" s="208">
        <v>0</v>
      </c>
      <c r="BZ67" s="208">
        <v>-122534</v>
      </c>
      <c r="CA67" s="208">
        <v>-1397289</v>
      </c>
      <c r="CB67" s="208">
        <v>0</v>
      </c>
      <c r="CC67" s="208">
        <v>-1397289</v>
      </c>
      <c r="CD67" s="208">
        <v>-233755</v>
      </c>
      <c r="CE67" s="208">
        <v>0</v>
      </c>
      <c r="CF67" s="208">
        <v>-233755</v>
      </c>
      <c r="CG67" s="208">
        <v>-18887</v>
      </c>
      <c r="CH67" s="208">
        <v>0</v>
      </c>
      <c r="CI67" s="208">
        <v>-18887</v>
      </c>
      <c r="CJ67" s="208">
        <v>0</v>
      </c>
      <c r="CK67" s="208">
        <v>0</v>
      </c>
      <c r="CL67" s="208">
        <v>0</v>
      </c>
      <c r="CM67" s="208">
        <v>0</v>
      </c>
      <c r="CN67" s="208">
        <v>0</v>
      </c>
      <c r="CO67" s="208">
        <v>0</v>
      </c>
      <c r="CP67" s="208">
        <v>-13932</v>
      </c>
      <c r="CQ67" s="208">
        <v>0</v>
      </c>
      <c r="CR67" s="208">
        <v>-13932</v>
      </c>
      <c r="CS67" s="208">
        <v>0</v>
      </c>
      <c r="CT67" s="208">
        <v>0</v>
      </c>
      <c r="CU67" s="208">
        <v>0</v>
      </c>
      <c r="CV67" s="208">
        <v>0</v>
      </c>
      <c r="CW67" s="208">
        <v>0</v>
      </c>
      <c r="CX67" s="208">
        <v>0</v>
      </c>
      <c r="CY67" s="208">
        <v>0</v>
      </c>
      <c r="CZ67" s="208">
        <v>0</v>
      </c>
      <c r="DA67" s="208">
        <v>0</v>
      </c>
      <c r="DB67" s="208">
        <v>0</v>
      </c>
      <c r="DC67" s="208">
        <v>0</v>
      </c>
      <c r="DD67" s="208">
        <v>0</v>
      </c>
      <c r="DE67" s="208">
        <v>0</v>
      </c>
      <c r="DF67" s="208">
        <v>0</v>
      </c>
      <c r="DG67" s="208">
        <v>0</v>
      </c>
      <c r="DH67" s="208">
        <v>0</v>
      </c>
      <c r="DI67" s="208">
        <v>0</v>
      </c>
      <c r="DJ67" s="208">
        <v>0</v>
      </c>
      <c r="DK67" s="208">
        <v>0</v>
      </c>
      <c r="DL67" s="208">
        <v>0</v>
      </c>
      <c r="DM67" s="208">
        <v>0</v>
      </c>
      <c r="DN67" s="208">
        <v>0</v>
      </c>
      <c r="DO67" s="208">
        <v>0</v>
      </c>
      <c r="DP67" s="208">
        <v>-266574</v>
      </c>
      <c r="DQ67" s="208">
        <v>0</v>
      </c>
      <c r="DR67" s="208">
        <v>-266574</v>
      </c>
      <c r="DS67" s="208">
        <v>0</v>
      </c>
      <c r="DT67" s="208">
        <v>0</v>
      </c>
      <c r="DU67" s="208">
        <v>0</v>
      </c>
      <c r="DV67" s="208">
        <v>0</v>
      </c>
      <c r="DW67" s="208">
        <v>0</v>
      </c>
      <c r="DX67" s="208">
        <v>0</v>
      </c>
      <c r="DY67" s="208">
        <v>508</v>
      </c>
      <c r="DZ67" s="208">
        <v>0</v>
      </c>
      <c r="EA67" s="208">
        <v>508</v>
      </c>
      <c r="EB67" s="208">
        <v>0</v>
      </c>
      <c r="EC67" s="208">
        <v>0</v>
      </c>
      <c r="ED67" s="208">
        <v>0</v>
      </c>
      <c r="EE67" s="208">
        <v>0</v>
      </c>
      <c r="EF67" s="208">
        <v>0</v>
      </c>
      <c r="EG67" s="208">
        <v>0</v>
      </c>
      <c r="EH67" s="208">
        <v>0</v>
      </c>
      <c r="EI67" s="208">
        <v>0</v>
      </c>
      <c r="EJ67" s="208">
        <v>0</v>
      </c>
      <c r="EK67" s="208">
        <v>-5311</v>
      </c>
      <c r="EL67" s="208">
        <v>0</v>
      </c>
      <c r="EM67" s="208">
        <v>-5311</v>
      </c>
      <c r="EN67" s="208">
        <v>0</v>
      </c>
      <c r="EO67" s="208">
        <v>0</v>
      </c>
      <c r="EP67" s="208">
        <v>0</v>
      </c>
      <c r="EQ67" s="208">
        <v>-1500</v>
      </c>
      <c r="ER67" s="208">
        <v>0</v>
      </c>
      <c r="ES67" s="208">
        <v>-1500</v>
      </c>
      <c r="ET67" s="208">
        <v>0</v>
      </c>
      <c r="EU67" s="208">
        <v>0</v>
      </c>
      <c r="EV67" s="208">
        <v>0</v>
      </c>
      <c r="EW67" s="208">
        <v>-26027</v>
      </c>
      <c r="EX67" s="208">
        <v>0</v>
      </c>
      <c r="EY67" s="208">
        <v>-26027</v>
      </c>
      <c r="EZ67" s="208">
        <v>5337</v>
      </c>
      <c r="FA67" s="208">
        <v>0</v>
      </c>
      <c r="FB67" s="208">
        <v>5337</v>
      </c>
      <c r="FC67" s="208">
        <v>-145000</v>
      </c>
      <c r="FD67" s="208">
        <v>0</v>
      </c>
      <c r="FE67" s="208">
        <v>-145000</v>
      </c>
      <c r="FF67" s="208">
        <v>18310</v>
      </c>
      <c r="FG67" s="208">
        <v>0</v>
      </c>
      <c r="FH67" s="208">
        <v>18310</v>
      </c>
      <c r="FI67" s="208">
        <v>-62791</v>
      </c>
      <c r="FJ67" s="208">
        <v>0</v>
      </c>
      <c r="FK67" s="208">
        <v>-62791</v>
      </c>
      <c r="FL67" s="208">
        <v>99</v>
      </c>
      <c r="FM67" s="208">
        <v>0</v>
      </c>
      <c r="FN67" s="208">
        <v>99</v>
      </c>
      <c r="FO67" s="208">
        <v>0</v>
      </c>
      <c r="FP67" s="208">
        <v>0</v>
      </c>
      <c r="FQ67" s="208">
        <v>0</v>
      </c>
      <c r="FR67" s="208">
        <v>0</v>
      </c>
      <c r="FS67" s="208">
        <v>0</v>
      </c>
      <c r="FT67" s="208">
        <v>0</v>
      </c>
      <c r="FU67" s="208">
        <v>-216375</v>
      </c>
      <c r="FV67" s="208">
        <v>0</v>
      </c>
      <c r="FW67" s="208">
        <v>-216375</v>
      </c>
      <c r="FX67" s="208">
        <v>-3343</v>
      </c>
      <c r="FY67" s="208">
        <v>0</v>
      </c>
      <c r="FZ67" s="208">
        <v>-3343</v>
      </c>
      <c r="GA67" s="208">
        <v>0</v>
      </c>
      <c r="GB67" s="208">
        <v>0</v>
      </c>
      <c r="GC67" s="208">
        <v>0</v>
      </c>
      <c r="GD67" s="208">
        <v>-3343</v>
      </c>
      <c r="GE67" s="208">
        <v>0</v>
      </c>
      <c r="GF67" s="208">
        <v>-3343</v>
      </c>
      <c r="GG67" s="208">
        <v>77448929</v>
      </c>
      <c r="GH67" s="208">
        <v>0</v>
      </c>
      <c r="GI67" s="208">
        <v>77448929</v>
      </c>
      <c r="GJ67" s="208">
        <v>523677</v>
      </c>
      <c r="GK67" s="208">
        <v>0</v>
      </c>
      <c r="GL67" s="208">
        <v>523677</v>
      </c>
      <c r="GM67" s="208">
        <v>-11046997</v>
      </c>
      <c r="GN67" s="208">
        <v>0</v>
      </c>
      <c r="GO67" s="208">
        <v>-11046997</v>
      </c>
      <c r="GP67" s="208">
        <v>-1397289</v>
      </c>
      <c r="GQ67" s="208">
        <v>0</v>
      </c>
      <c r="GR67" s="208">
        <v>-1397289</v>
      </c>
      <c r="GS67" s="208">
        <v>-266574</v>
      </c>
      <c r="GT67" s="208">
        <v>0</v>
      </c>
      <c r="GU67" s="208">
        <v>-266574</v>
      </c>
      <c r="GV67" s="208">
        <v>-216375</v>
      </c>
      <c r="GW67" s="208">
        <v>0</v>
      </c>
      <c r="GX67" s="208">
        <v>-216375</v>
      </c>
      <c r="GY67" s="208">
        <v>-3343</v>
      </c>
      <c r="GZ67" s="208">
        <v>0</v>
      </c>
      <c r="HA67" s="208">
        <v>-3343</v>
      </c>
      <c r="HB67" s="208">
        <v>-12406901</v>
      </c>
      <c r="HC67" s="208">
        <v>0</v>
      </c>
      <c r="HD67" s="208">
        <v>-12406901</v>
      </c>
      <c r="HE67" s="208">
        <v>65042028</v>
      </c>
      <c r="HF67" s="208">
        <v>0</v>
      </c>
      <c r="HG67" s="208">
        <v>65042028</v>
      </c>
      <c r="HH67" s="187" t="s">
        <v>1054</v>
      </c>
    </row>
    <row r="68" spans="1:216" s="187" customFormat="1" x14ac:dyDescent="0.2">
      <c r="A68" s="187" t="s">
        <v>1811</v>
      </c>
      <c r="B68" s="429" t="s">
        <v>215</v>
      </c>
      <c r="C68" s="429" t="s">
        <v>214</v>
      </c>
      <c r="D68" s="208">
        <v>-781684</v>
      </c>
      <c r="E68" s="208">
        <v>0</v>
      </c>
      <c r="F68" s="208">
        <v>-781684</v>
      </c>
      <c r="G68" s="208">
        <v>67226</v>
      </c>
      <c r="H68" s="208">
        <v>0</v>
      </c>
      <c r="I68" s="208">
        <v>67226</v>
      </c>
      <c r="J68" s="208">
        <v>6386924</v>
      </c>
      <c r="K68" s="208">
        <v>0</v>
      </c>
      <c r="L68" s="208">
        <v>6386924</v>
      </c>
      <c r="M68" s="208">
        <v>-335983</v>
      </c>
      <c r="N68" s="208">
        <v>0</v>
      </c>
      <c r="O68" s="208">
        <v>-335983</v>
      </c>
      <c r="P68" s="208">
        <v>5336483</v>
      </c>
      <c r="Q68" s="208">
        <v>0</v>
      </c>
      <c r="R68" s="208">
        <v>5336483</v>
      </c>
      <c r="S68" s="208">
        <v>-2226790</v>
      </c>
      <c r="T68" s="208">
        <v>0</v>
      </c>
      <c r="U68" s="208">
        <v>-2226790</v>
      </c>
      <c r="V68" s="208">
        <v>0</v>
      </c>
      <c r="W68" s="208">
        <v>0</v>
      </c>
      <c r="X68" s="208">
        <v>0</v>
      </c>
      <c r="Y68" s="208">
        <v>-119657</v>
      </c>
      <c r="Z68" s="208">
        <v>0</v>
      </c>
      <c r="AA68" s="208">
        <v>-119657</v>
      </c>
      <c r="AB68" s="208">
        <v>-61463</v>
      </c>
      <c r="AC68" s="208">
        <v>0</v>
      </c>
      <c r="AD68" s="208">
        <v>-61463</v>
      </c>
      <c r="AE68" s="208">
        <v>-58194</v>
      </c>
      <c r="AF68" s="208">
        <v>0</v>
      </c>
      <c r="AG68" s="208">
        <v>-58194</v>
      </c>
      <c r="AH68" s="208">
        <v>0</v>
      </c>
      <c r="AI68" s="208">
        <v>0</v>
      </c>
      <c r="AJ68" s="208">
        <v>0</v>
      </c>
      <c r="AK68" s="208">
        <v>0</v>
      </c>
      <c r="AL68" s="208">
        <v>0</v>
      </c>
      <c r="AM68" s="208">
        <v>0</v>
      </c>
      <c r="AN68" s="208">
        <v>875894</v>
      </c>
      <c r="AO68" s="208">
        <v>0</v>
      </c>
      <c r="AP68" s="208">
        <v>875894</v>
      </c>
      <c r="AQ68" s="208">
        <v>643</v>
      </c>
      <c r="AR68" s="208">
        <v>0</v>
      </c>
      <c r="AS68" s="208">
        <v>643</v>
      </c>
      <c r="AT68" s="208">
        <v>-1236349</v>
      </c>
      <c r="AU68" s="208">
        <v>0</v>
      </c>
      <c r="AV68" s="208">
        <v>-1236349</v>
      </c>
      <c r="AW68" s="208">
        <v>68804</v>
      </c>
      <c r="AX68" s="208">
        <v>0</v>
      </c>
      <c r="AY68" s="208">
        <v>68804</v>
      </c>
      <c r="AZ68" s="208">
        <v>-68221</v>
      </c>
      <c r="BA68" s="208">
        <v>0</v>
      </c>
      <c r="BB68" s="208">
        <v>-68221</v>
      </c>
      <c r="BC68" s="208">
        <v>0</v>
      </c>
      <c r="BD68" s="208">
        <v>0</v>
      </c>
      <c r="BE68" s="208">
        <v>0</v>
      </c>
      <c r="BF68" s="208">
        <v>-18020</v>
      </c>
      <c r="BG68" s="208">
        <v>0</v>
      </c>
      <c r="BH68" s="208">
        <v>-18020</v>
      </c>
      <c r="BI68" s="208">
        <v>0</v>
      </c>
      <c r="BJ68" s="208">
        <v>0</v>
      </c>
      <c r="BK68" s="208">
        <v>0</v>
      </c>
      <c r="BL68" s="208">
        <v>-2723696</v>
      </c>
      <c r="BM68" s="208">
        <v>0</v>
      </c>
      <c r="BN68" s="208">
        <v>-2723696</v>
      </c>
      <c r="BO68" s="208">
        <v>0</v>
      </c>
      <c r="BP68" s="208">
        <v>0</v>
      </c>
      <c r="BQ68" s="208">
        <v>0</v>
      </c>
      <c r="BR68" s="208">
        <v>0</v>
      </c>
      <c r="BS68" s="208">
        <v>0</v>
      </c>
      <c r="BT68" s="208">
        <v>0</v>
      </c>
      <c r="BU68" s="208">
        <v>-424148</v>
      </c>
      <c r="BV68" s="208">
        <v>0</v>
      </c>
      <c r="BW68" s="208">
        <v>-424148</v>
      </c>
      <c r="BX68" s="208">
        <v>-62913</v>
      </c>
      <c r="BY68" s="208">
        <v>0</v>
      </c>
      <c r="BZ68" s="208">
        <v>-62913</v>
      </c>
      <c r="CA68" s="208">
        <v>-487061</v>
      </c>
      <c r="CB68" s="208">
        <v>0</v>
      </c>
      <c r="CC68" s="208">
        <v>-487061</v>
      </c>
      <c r="CD68" s="208">
        <v>-3820</v>
      </c>
      <c r="CE68" s="208">
        <v>0</v>
      </c>
      <c r="CF68" s="208">
        <v>-3820</v>
      </c>
      <c r="CG68" s="208">
        <v>0</v>
      </c>
      <c r="CH68" s="208">
        <v>0</v>
      </c>
      <c r="CI68" s="208">
        <v>0</v>
      </c>
      <c r="CJ68" s="208">
        <v>0</v>
      </c>
      <c r="CK68" s="208">
        <v>0</v>
      </c>
      <c r="CL68" s="208">
        <v>0</v>
      </c>
      <c r="CM68" s="208">
        <v>-887</v>
      </c>
      <c r="CN68" s="208">
        <v>0</v>
      </c>
      <c r="CO68" s="208">
        <v>-887</v>
      </c>
      <c r="CP68" s="208">
        <v>0</v>
      </c>
      <c r="CQ68" s="208">
        <v>0</v>
      </c>
      <c r="CR68" s="208">
        <v>0</v>
      </c>
      <c r="CS68" s="208">
        <v>0</v>
      </c>
      <c r="CT68" s="208">
        <v>0</v>
      </c>
      <c r="CU68" s="208">
        <v>0</v>
      </c>
      <c r="CV68" s="208">
        <v>0</v>
      </c>
      <c r="CW68" s="208">
        <v>0</v>
      </c>
      <c r="CX68" s="208">
        <v>0</v>
      </c>
      <c r="CY68" s="208">
        <v>0</v>
      </c>
      <c r="CZ68" s="208">
        <v>0</v>
      </c>
      <c r="DA68" s="208">
        <v>0</v>
      </c>
      <c r="DB68" s="208">
        <v>0</v>
      </c>
      <c r="DC68" s="208">
        <v>0</v>
      </c>
      <c r="DD68" s="208">
        <v>0</v>
      </c>
      <c r="DE68" s="208">
        <v>0</v>
      </c>
      <c r="DF68" s="208">
        <v>0</v>
      </c>
      <c r="DG68" s="208">
        <v>0</v>
      </c>
      <c r="DH68" s="208">
        <v>0</v>
      </c>
      <c r="DI68" s="208">
        <v>0</v>
      </c>
      <c r="DJ68" s="208">
        <v>0</v>
      </c>
      <c r="DK68" s="208">
        <v>0</v>
      </c>
      <c r="DL68" s="208">
        <v>0</v>
      </c>
      <c r="DM68" s="208">
        <v>0</v>
      </c>
      <c r="DN68" s="208">
        <v>0</v>
      </c>
      <c r="DO68" s="208">
        <v>0</v>
      </c>
      <c r="DP68" s="208">
        <v>-4707</v>
      </c>
      <c r="DQ68" s="208">
        <v>0</v>
      </c>
      <c r="DR68" s="208">
        <v>-4707</v>
      </c>
      <c r="DS68" s="208">
        <v>0</v>
      </c>
      <c r="DT68" s="208">
        <v>0</v>
      </c>
      <c r="DU68" s="208">
        <v>0</v>
      </c>
      <c r="DV68" s="208">
        <v>0</v>
      </c>
      <c r="DW68" s="208">
        <v>0</v>
      </c>
      <c r="DX68" s="208">
        <v>0</v>
      </c>
      <c r="DY68" s="208">
        <v>3921</v>
      </c>
      <c r="DZ68" s="208">
        <v>0</v>
      </c>
      <c r="EA68" s="208">
        <v>3921</v>
      </c>
      <c r="EB68" s="208">
        <v>0</v>
      </c>
      <c r="EC68" s="208">
        <v>0</v>
      </c>
      <c r="ED68" s="208">
        <v>0</v>
      </c>
      <c r="EE68" s="208">
        <v>0</v>
      </c>
      <c r="EF68" s="208">
        <v>0</v>
      </c>
      <c r="EG68" s="208">
        <v>0</v>
      </c>
      <c r="EH68" s="208">
        <v>0</v>
      </c>
      <c r="EI68" s="208">
        <v>0</v>
      </c>
      <c r="EJ68" s="208">
        <v>0</v>
      </c>
      <c r="EK68" s="208">
        <v>-18020</v>
      </c>
      <c r="EL68" s="208">
        <v>0</v>
      </c>
      <c r="EM68" s="208">
        <v>-18020</v>
      </c>
      <c r="EN68" s="208">
        <v>0</v>
      </c>
      <c r="EO68" s="208">
        <v>0</v>
      </c>
      <c r="EP68" s="208">
        <v>0</v>
      </c>
      <c r="EQ68" s="208">
        <v>0</v>
      </c>
      <c r="ER68" s="208">
        <v>0</v>
      </c>
      <c r="ES68" s="208">
        <v>0</v>
      </c>
      <c r="ET68" s="208">
        <v>353</v>
      </c>
      <c r="EU68" s="208">
        <v>0</v>
      </c>
      <c r="EV68" s="208">
        <v>353</v>
      </c>
      <c r="EW68" s="208">
        <v>-15254</v>
      </c>
      <c r="EX68" s="208">
        <v>0</v>
      </c>
      <c r="EY68" s="208">
        <v>-15254</v>
      </c>
      <c r="EZ68" s="208">
        <v>-313</v>
      </c>
      <c r="FA68" s="208">
        <v>0</v>
      </c>
      <c r="FB68" s="208">
        <v>-313</v>
      </c>
      <c r="FC68" s="208">
        <v>-94819</v>
      </c>
      <c r="FD68" s="208">
        <v>0</v>
      </c>
      <c r="FE68" s="208">
        <v>-94819</v>
      </c>
      <c r="FF68" s="208">
        <v>7863</v>
      </c>
      <c r="FG68" s="208">
        <v>0</v>
      </c>
      <c r="FH68" s="208">
        <v>7863</v>
      </c>
      <c r="FI68" s="208">
        <v>-51571</v>
      </c>
      <c r="FJ68" s="208">
        <v>0</v>
      </c>
      <c r="FK68" s="208">
        <v>-51571</v>
      </c>
      <c r="FL68" s="208">
        <v>951</v>
      </c>
      <c r="FM68" s="208">
        <v>0</v>
      </c>
      <c r="FN68" s="208">
        <v>951</v>
      </c>
      <c r="FO68" s="208">
        <v>0</v>
      </c>
      <c r="FP68" s="208">
        <v>0</v>
      </c>
      <c r="FQ68" s="208">
        <v>0</v>
      </c>
      <c r="FR68" s="208">
        <v>0</v>
      </c>
      <c r="FS68" s="208">
        <v>0</v>
      </c>
      <c r="FT68" s="208">
        <v>0</v>
      </c>
      <c r="FU68" s="208">
        <v>-166889</v>
      </c>
      <c r="FV68" s="208">
        <v>0</v>
      </c>
      <c r="FW68" s="208">
        <v>-166889</v>
      </c>
      <c r="FX68" s="208">
        <v>0</v>
      </c>
      <c r="FY68" s="208">
        <v>0</v>
      </c>
      <c r="FZ68" s="208">
        <v>0</v>
      </c>
      <c r="GA68" s="208">
        <v>0</v>
      </c>
      <c r="GB68" s="208">
        <v>0</v>
      </c>
      <c r="GC68" s="208">
        <v>0</v>
      </c>
      <c r="GD68" s="208">
        <v>0</v>
      </c>
      <c r="GE68" s="208">
        <v>0</v>
      </c>
      <c r="GF68" s="208">
        <v>0</v>
      </c>
      <c r="GG68" s="208">
        <v>40223138</v>
      </c>
      <c r="GH68" s="208">
        <v>0</v>
      </c>
      <c r="GI68" s="208">
        <v>40223138</v>
      </c>
      <c r="GJ68" s="208">
        <v>5336483</v>
      </c>
      <c r="GK68" s="208">
        <v>0</v>
      </c>
      <c r="GL68" s="208">
        <v>5336483</v>
      </c>
      <c r="GM68" s="208">
        <v>-2723696</v>
      </c>
      <c r="GN68" s="208">
        <v>0</v>
      </c>
      <c r="GO68" s="208">
        <v>-2723696</v>
      </c>
      <c r="GP68" s="208">
        <v>-487061</v>
      </c>
      <c r="GQ68" s="208">
        <v>0</v>
      </c>
      <c r="GR68" s="208">
        <v>-487061</v>
      </c>
      <c r="GS68" s="208">
        <v>-4707</v>
      </c>
      <c r="GT68" s="208">
        <v>0</v>
      </c>
      <c r="GU68" s="208">
        <v>-4707</v>
      </c>
      <c r="GV68" s="208">
        <v>-166889</v>
      </c>
      <c r="GW68" s="208">
        <v>0</v>
      </c>
      <c r="GX68" s="208">
        <v>-166889</v>
      </c>
      <c r="GY68" s="208">
        <v>0</v>
      </c>
      <c r="GZ68" s="208">
        <v>0</v>
      </c>
      <c r="HA68" s="208">
        <v>0</v>
      </c>
      <c r="HB68" s="208">
        <v>1954130</v>
      </c>
      <c r="HC68" s="208">
        <v>0</v>
      </c>
      <c r="HD68" s="208">
        <v>1954130</v>
      </c>
      <c r="HE68" s="208">
        <v>42177268</v>
      </c>
      <c r="HF68" s="208">
        <v>0</v>
      </c>
      <c r="HG68" s="208">
        <v>42177268</v>
      </c>
      <c r="HH68" s="187" t="s">
        <v>1054</v>
      </c>
    </row>
    <row r="69" spans="1:216" s="187" customFormat="1" x14ac:dyDescent="0.2">
      <c r="A69" s="188" t="s">
        <v>1817</v>
      </c>
      <c r="B69" s="429" t="s">
        <v>217</v>
      </c>
      <c r="C69" s="429" t="s">
        <v>216</v>
      </c>
      <c r="D69" s="208">
        <v>-416071</v>
      </c>
      <c r="E69" s="208">
        <v>0</v>
      </c>
      <c r="F69" s="208">
        <v>-416071</v>
      </c>
      <c r="G69" s="208">
        <v>-49379</v>
      </c>
      <c r="H69" s="208">
        <v>0</v>
      </c>
      <c r="I69" s="208">
        <v>-49379</v>
      </c>
      <c r="J69" s="208">
        <v>1126500</v>
      </c>
      <c r="K69" s="208">
        <v>0</v>
      </c>
      <c r="L69" s="208">
        <v>1126500</v>
      </c>
      <c r="M69" s="208">
        <v>-25404</v>
      </c>
      <c r="N69" s="208">
        <v>0</v>
      </c>
      <c r="O69" s="208">
        <v>-25404</v>
      </c>
      <c r="P69" s="208">
        <v>635646</v>
      </c>
      <c r="Q69" s="208">
        <v>0</v>
      </c>
      <c r="R69" s="208">
        <v>635646</v>
      </c>
      <c r="S69" s="208">
        <v>-1853396</v>
      </c>
      <c r="T69" s="208">
        <v>0</v>
      </c>
      <c r="U69" s="208">
        <v>-1853396</v>
      </c>
      <c r="V69" s="208">
        <v>0</v>
      </c>
      <c r="W69" s="208">
        <v>0</v>
      </c>
      <c r="X69" s="208">
        <v>0</v>
      </c>
      <c r="Y69" s="208">
        <v>-97380</v>
      </c>
      <c r="Z69" s="208">
        <v>0</v>
      </c>
      <c r="AA69" s="208">
        <v>-97380</v>
      </c>
      <c r="AB69" s="208">
        <v>-10230</v>
      </c>
      <c r="AC69" s="208">
        <v>0</v>
      </c>
      <c r="AD69" s="208">
        <v>-10230</v>
      </c>
      <c r="AE69" s="208">
        <v>-87150</v>
      </c>
      <c r="AF69" s="208">
        <v>0</v>
      </c>
      <c r="AG69" s="208">
        <v>-87150</v>
      </c>
      <c r="AH69" s="208">
        <v>0</v>
      </c>
      <c r="AI69" s="208">
        <v>0</v>
      </c>
      <c r="AJ69" s="208">
        <v>0</v>
      </c>
      <c r="AK69" s="208">
        <v>0</v>
      </c>
      <c r="AL69" s="208">
        <v>0</v>
      </c>
      <c r="AM69" s="208">
        <v>0</v>
      </c>
      <c r="AN69" s="208">
        <v>874919</v>
      </c>
      <c r="AO69" s="208">
        <v>0</v>
      </c>
      <c r="AP69" s="208">
        <v>874919</v>
      </c>
      <c r="AQ69" s="208">
        <v>11345</v>
      </c>
      <c r="AR69" s="208">
        <v>0</v>
      </c>
      <c r="AS69" s="208">
        <v>11345</v>
      </c>
      <c r="AT69" s="208">
        <v>-2197997</v>
      </c>
      <c r="AU69" s="208">
        <v>0</v>
      </c>
      <c r="AV69" s="208">
        <v>-2197997</v>
      </c>
      <c r="AW69" s="208">
        <v>-20703</v>
      </c>
      <c r="AX69" s="208">
        <v>0</v>
      </c>
      <c r="AY69" s="208">
        <v>-20703</v>
      </c>
      <c r="AZ69" s="208">
        <v>0</v>
      </c>
      <c r="BA69" s="208">
        <v>0</v>
      </c>
      <c r="BB69" s="208">
        <v>0</v>
      </c>
      <c r="BC69" s="208">
        <v>0</v>
      </c>
      <c r="BD69" s="208">
        <v>0</v>
      </c>
      <c r="BE69" s="208">
        <v>0</v>
      </c>
      <c r="BF69" s="208">
        <v>0</v>
      </c>
      <c r="BG69" s="208">
        <v>0</v>
      </c>
      <c r="BH69" s="208">
        <v>0</v>
      </c>
      <c r="BI69" s="208">
        <v>0</v>
      </c>
      <c r="BJ69" s="208">
        <v>0</v>
      </c>
      <c r="BK69" s="208">
        <v>0</v>
      </c>
      <c r="BL69" s="208">
        <v>-3283212</v>
      </c>
      <c r="BM69" s="208">
        <v>0</v>
      </c>
      <c r="BN69" s="208">
        <v>-3283212</v>
      </c>
      <c r="BO69" s="208">
        <v>-114890</v>
      </c>
      <c r="BP69" s="208">
        <v>0</v>
      </c>
      <c r="BQ69" s="208">
        <v>-114890</v>
      </c>
      <c r="BR69" s="208">
        <v>-126475</v>
      </c>
      <c r="BS69" s="208">
        <v>0</v>
      </c>
      <c r="BT69" s="208">
        <v>-126475</v>
      </c>
      <c r="BU69" s="208">
        <v>-734491</v>
      </c>
      <c r="BV69" s="208">
        <v>0</v>
      </c>
      <c r="BW69" s="208">
        <v>-734491</v>
      </c>
      <c r="BX69" s="208">
        <v>-70528</v>
      </c>
      <c r="BY69" s="208">
        <v>0</v>
      </c>
      <c r="BZ69" s="208">
        <v>-70528</v>
      </c>
      <c r="CA69" s="208">
        <v>-1046384</v>
      </c>
      <c r="CB69" s="208">
        <v>0</v>
      </c>
      <c r="CC69" s="208">
        <v>-1046384</v>
      </c>
      <c r="CD69" s="208">
        <v>-14614</v>
      </c>
      <c r="CE69" s="208">
        <v>0</v>
      </c>
      <c r="CF69" s="208">
        <v>-14614</v>
      </c>
      <c r="CG69" s="208">
        <v>0</v>
      </c>
      <c r="CH69" s="208">
        <v>0</v>
      </c>
      <c r="CI69" s="208">
        <v>0</v>
      </c>
      <c r="CJ69" s="208">
        <v>-152039</v>
      </c>
      <c r="CK69" s="208">
        <v>0</v>
      </c>
      <c r="CL69" s="208">
        <v>-152039</v>
      </c>
      <c r="CM69" s="208">
        <v>-41236</v>
      </c>
      <c r="CN69" s="208">
        <v>0</v>
      </c>
      <c r="CO69" s="208">
        <v>-41236</v>
      </c>
      <c r="CP69" s="208">
        <v>0</v>
      </c>
      <c r="CQ69" s="208">
        <v>0</v>
      </c>
      <c r="CR69" s="208">
        <v>0</v>
      </c>
      <c r="CS69" s="208">
        <v>0</v>
      </c>
      <c r="CT69" s="208">
        <v>0</v>
      </c>
      <c r="CU69" s="208">
        <v>0</v>
      </c>
      <c r="CV69" s="208">
        <v>0</v>
      </c>
      <c r="CW69" s="208">
        <v>0</v>
      </c>
      <c r="CX69" s="208">
        <v>0</v>
      </c>
      <c r="CY69" s="208">
        <v>0</v>
      </c>
      <c r="CZ69" s="208">
        <v>0</v>
      </c>
      <c r="DA69" s="208">
        <v>0</v>
      </c>
      <c r="DB69" s="208">
        <v>0</v>
      </c>
      <c r="DC69" s="208">
        <v>0</v>
      </c>
      <c r="DD69" s="208">
        <v>0</v>
      </c>
      <c r="DE69" s="208">
        <v>0</v>
      </c>
      <c r="DF69" s="208">
        <v>0</v>
      </c>
      <c r="DG69" s="208">
        <v>0</v>
      </c>
      <c r="DH69" s="208">
        <v>0</v>
      </c>
      <c r="DI69" s="208">
        <v>0</v>
      </c>
      <c r="DJ69" s="208">
        <v>0</v>
      </c>
      <c r="DK69" s="208">
        <v>0</v>
      </c>
      <c r="DL69" s="208">
        <v>0</v>
      </c>
      <c r="DM69" s="208">
        <v>0</v>
      </c>
      <c r="DN69" s="208">
        <v>0</v>
      </c>
      <c r="DO69" s="208">
        <v>0</v>
      </c>
      <c r="DP69" s="208">
        <v>-207889</v>
      </c>
      <c r="DQ69" s="208">
        <v>0</v>
      </c>
      <c r="DR69" s="208">
        <v>-207889</v>
      </c>
      <c r="DS69" s="208">
        <v>0</v>
      </c>
      <c r="DT69" s="208">
        <v>0</v>
      </c>
      <c r="DU69" s="208">
        <v>0</v>
      </c>
      <c r="DV69" s="208">
        <v>0</v>
      </c>
      <c r="DW69" s="208">
        <v>0</v>
      </c>
      <c r="DX69" s="208">
        <v>0</v>
      </c>
      <c r="DY69" s="208">
        <v>0</v>
      </c>
      <c r="DZ69" s="208">
        <v>0</v>
      </c>
      <c r="EA69" s="208">
        <v>0</v>
      </c>
      <c r="EB69" s="208">
        <v>0</v>
      </c>
      <c r="EC69" s="208">
        <v>0</v>
      </c>
      <c r="ED69" s="208">
        <v>0</v>
      </c>
      <c r="EE69" s="208">
        <v>0</v>
      </c>
      <c r="EF69" s="208">
        <v>0</v>
      </c>
      <c r="EG69" s="208">
        <v>0</v>
      </c>
      <c r="EH69" s="208">
        <v>0</v>
      </c>
      <c r="EI69" s="208">
        <v>0</v>
      </c>
      <c r="EJ69" s="208">
        <v>0</v>
      </c>
      <c r="EK69" s="208">
        <v>0</v>
      </c>
      <c r="EL69" s="208">
        <v>0</v>
      </c>
      <c r="EM69" s="208">
        <v>0</v>
      </c>
      <c r="EN69" s="208">
        <v>0</v>
      </c>
      <c r="EO69" s="208">
        <v>0</v>
      </c>
      <c r="EP69" s="208">
        <v>0</v>
      </c>
      <c r="EQ69" s="208">
        <v>0</v>
      </c>
      <c r="ER69" s="208">
        <v>0</v>
      </c>
      <c r="ES69" s="208">
        <v>0</v>
      </c>
      <c r="ET69" s="208">
        <v>0</v>
      </c>
      <c r="EU69" s="208">
        <v>0</v>
      </c>
      <c r="EV69" s="208">
        <v>0</v>
      </c>
      <c r="EW69" s="208">
        <v>-3618</v>
      </c>
      <c r="EX69" s="208">
        <v>0</v>
      </c>
      <c r="EY69" s="208">
        <v>-3618</v>
      </c>
      <c r="EZ69" s="208">
        <v>0</v>
      </c>
      <c r="FA69" s="208">
        <v>0</v>
      </c>
      <c r="FB69" s="208">
        <v>0</v>
      </c>
      <c r="FC69" s="208">
        <v>0</v>
      </c>
      <c r="FD69" s="208">
        <v>0</v>
      </c>
      <c r="FE69" s="208">
        <v>0</v>
      </c>
      <c r="FF69" s="208">
        <v>0</v>
      </c>
      <c r="FG69" s="208">
        <v>0</v>
      </c>
      <c r="FH69" s="208">
        <v>0</v>
      </c>
      <c r="FI69" s="208">
        <v>-3000</v>
      </c>
      <c r="FJ69" s="208">
        <v>0</v>
      </c>
      <c r="FK69" s="208">
        <v>-3000</v>
      </c>
      <c r="FL69" s="208">
        <v>0</v>
      </c>
      <c r="FM69" s="208">
        <v>0</v>
      </c>
      <c r="FN69" s="208">
        <v>0</v>
      </c>
      <c r="FO69" s="208">
        <v>0</v>
      </c>
      <c r="FP69" s="208">
        <v>0</v>
      </c>
      <c r="FQ69" s="208">
        <v>0</v>
      </c>
      <c r="FR69" s="208">
        <v>0</v>
      </c>
      <c r="FS69" s="208">
        <v>0</v>
      </c>
      <c r="FT69" s="208">
        <v>0</v>
      </c>
      <c r="FU69" s="208">
        <v>-6618</v>
      </c>
      <c r="FV69" s="208">
        <v>0</v>
      </c>
      <c r="FW69" s="208">
        <v>-6618</v>
      </c>
      <c r="FX69" s="208">
        <v>0</v>
      </c>
      <c r="FY69" s="208">
        <v>0</v>
      </c>
      <c r="FZ69" s="208">
        <v>0</v>
      </c>
      <c r="GA69" s="208">
        <v>0</v>
      </c>
      <c r="GB69" s="208">
        <v>0</v>
      </c>
      <c r="GC69" s="208">
        <v>0</v>
      </c>
      <c r="GD69" s="208">
        <v>0</v>
      </c>
      <c r="GE69" s="208">
        <v>0</v>
      </c>
      <c r="GF69" s="208">
        <v>0</v>
      </c>
      <c r="GG69" s="208">
        <v>40139198</v>
      </c>
      <c r="GH69" s="208">
        <v>0</v>
      </c>
      <c r="GI69" s="208">
        <v>40139198</v>
      </c>
      <c r="GJ69" s="208">
        <v>635646</v>
      </c>
      <c r="GK69" s="208">
        <v>0</v>
      </c>
      <c r="GL69" s="208">
        <v>635646</v>
      </c>
      <c r="GM69" s="208">
        <v>-3283212</v>
      </c>
      <c r="GN69" s="208">
        <v>0</v>
      </c>
      <c r="GO69" s="208">
        <v>-3283212</v>
      </c>
      <c r="GP69" s="208">
        <v>-1046384</v>
      </c>
      <c r="GQ69" s="208">
        <v>0</v>
      </c>
      <c r="GR69" s="208">
        <v>-1046384</v>
      </c>
      <c r="GS69" s="208">
        <v>-207889</v>
      </c>
      <c r="GT69" s="208">
        <v>0</v>
      </c>
      <c r="GU69" s="208">
        <v>-207889</v>
      </c>
      <c r="GV69" s="208">
        <v>-6618</v>
      </c>
      <c r="GW69" s="208">
        <v>0</v>
      </c>
      <c r="GX69" s="208">
        <v>-6618</v>
      </c>
      <c r="GY69" s="208">
        <v>0</v>
      </c>
      <c r="GZ69" s="208">
        <v>0</v>
      </c>
      <c r="HA69" s="208">
        <v>0</v>
      </c>
      <c r="HB69" s="208">
        <v>-3908457</v>
      </c>
      <c r="HC69" s="208">
        <v>0</v>
      </c>
      <c r="HD69" s="208">
        <v>-3908457</v>
      </c>
      <c r="HE69" s="208">
        <v>36230741</v>
      </c>
      <c r="HF69" s="208">
        <v>0</v>
      </c>
      <c r="HG69" s="208">
        <v>36230741</v>
      </c>
      <c r="HH69" s="187" t="s">
        <v>1054</v>
      </c>
    </row>
    <row r="70" spans="1:216" s="187" customFormat="1" x14ac:dyDescent="0.2">
      <c r="B70" s="429" t="s">
        <v>219</v>
      </c>
      <c r="C70" s="429" t="s">
        <v>218</v>
      </c>
      <c r="D70" s="208">
        <v>-5478828</v>
      </c>
      <c r="E70" s="208">
        <v>-1936</v>
      </c>
      <c r="F70" s="208">
        <v>-5480764</v>
      </c>
      <c r="G70" s="208">
        <v>46733</v>
      </c>
      <c r="H70" s="208">
        <v>0</v>
      </c>
      <c r="I70" s="208">
        <v>46733</v>
      </c>
      <c r="J70" s="208">
        <v>5311100</v>
      </c>
      <c r="K70" s="208">
        <v>2705</v>
      </c>
      <c r="L70" s="208">
        <v>5313805</v>
      </c>
      <c r="M70" s="208">
        <v>78097</v>
      </c>
      <c r="N70" s="208">
        <v>0</v>
      </c>
      <c r="O70" s="208">
        <v>78097</v>
      </c>
      <c r="P70" s="208">
        <v>-42898</v>
      </c>
      <c r="Q70" s="208">
        <v>769</v>
      </c>
      <c r="R70" s="208">
        <v>-42129</v>
      </c>
      <c r="S70" s="208">
        <v>-38944953</v>
      </c>
      <c r="T70" s="208">
        <v>-6030</v>
      </c>
      <c r="U70" s="208">
        <v>-38950983</v>
      </c>
      <c r="V70" s="208">
        <v>-22131</v>
      </c>
      <c r="W70" s="208">
        <v>0</v>
      </c>
      <c r="X70" s="208">
        <v>-22131</v>
      </c>
      <c r="Y70" s="208">
        <v>-2066991</v>
      </c>
      <c r="Z70" s="208">
        <v>0</v>
      </c>
      <c r="AA70" s="208">
        <v>-2066991</v>
      </c>
      <c r="AB70" s="208">
        <v>-667245</v>
      </c>
      <c r="AC70" s="208">
        <v>0</v>
      </c>
      <c r="AD70" s="208">
        <v>-667245</v>
      </c>
      <c r="AE70" s="208">
        <v>-1310540</v>
      </c>
      <c r="AF70" s="208">
        <v>0</v>
      </c>
      <c r="AG70" s="208">
        <v>-1310540</v>
      </c>
      <c r="AH70" s="208">
        <v>0</v>
      </c>
      <c r="AI70" s="208">
        <v>0</v>
      </c>
      <c r="AJ70" s="208">
        <v>0</v>
      </c>
      <c r="AK70" s="208">
        <v>612</v>
      </c>
      <c r="AL70" s="208">
        <v>0</v>
      </c>
      <c r="AM70" s="208">
        <v>612</v>
      </c>
      <c r="AN70" s="208">
        <v>3267542</v>
      </c>
      <c r="AO70" s="208">
        <v>21746</v>
      </c>
      <c r="AP70" s="208">
        <v>3289288</v>
      </c>
      <c r="AQ70" s="208">
        <v>-8370</v>
      </c>
      <c r="AR70" s="208">
        <v>663</v>
      </c>
      <c r="AS70" s="208">
        <v>-7707</v>
      </c>
      <c r="AT70" s="208">
        <v>-18163075</v>
      </c>
      <c r="AU70" s="208">
        <v>-1933</v>
      </c>
      <c r="AV70" s="208">
        <v>-18165008</v>
      </c>
      <c r="AW70" s="208">
        <v>-102840</v>
      </c>
      <c r="AX70" s="208">
        <v>0</v>
      </c>
      <c r="AY70" s="208">
        <v>-102840</v>
      </c>
      <c r="AZ70" s="208">
        <v>-201286</v>
      </c>
      <c r="BA70" s="208">
        <v>0</v>
      </c>
      <c r="BB70" s="208">
        <v>-201286</v>
      </c>
      <c r="BC70" s="208">
        <v>1013</v>
      </c>
      <c r="BD70" s="208">
        <v>0</v>
      </c>
      <c r="BE70" s="208">
        <v>1013</v>
      </c>
      <c r="BF70" s="208">
        <v>-170331</v>
      </c>
      <c r="BG70" s="208">
        <v>0</v>
      </c>
      <c r="BH70" s="208">
        <v>-170331</v>
      </c>
      <c r="BI70" s="208">
        <v>-8609</v>
      </c>
      <c r="BJ70" s="208">
        <v>0</v>
      </c>
      <c r="BK70" s="208">
        <v>-8609</v>
      </c>
      <c r="BL70" s="208">
        <v>-56397900</v>
      </c>
      <c r="BM70" s="208">
        <v>14446</v>
      </c>
      <c r="BN70" s="208">
        <v>-56383454</v>
      </c>
      <c r="BO70" s="208">
        <v>-162985</v>
      </c>
      <c r="BP70" s="208">
        <v>0</v>
      </c>
      <c r="BQ70" s="208">
        <v>-162985</v>
      </c>
      <c r="BR70" s="208">
        <v>8866</v>
      </c>
      <c r="BS70" s="208">
        <v>0</v>
      </c>
      <c r="BT70" s="208">
        <v>8866</v>
      </c>
      <c r="BU70" s="208">
        <v>-3441472</v>
      </c>
      <c r="BV70" s="208">
        <v>-8574</v>
      </c>
      <c r="BW70" s="208">
        <v>-3450046</v>
      </c>
      <c r="BX70" s="208">
        <v>-202235</v>
      </c>
      <c r="BY70" s="208">
        <v>0</v>
      </c>
      <c r="BZ70" s="208">
        <v>-202235</v>
      </c>
      <c r="CA70" s="208">
        <v>-3797826</v>
      </c>
      <c r="CB70" s="208">
        <v>-8574</v>
      </c>
      <c r="CC70" s="208">
        <v>-3806400</v>
      </c>
      <c r="CD70" s="208">
        <v>-670291</v>
      </c>
      <c r="CE70" s="208">
        <v>0</v>
      </c>
      <c r="CF70" s="208">
        <v>-670291</v>
      </c>
      <c r="CG70" s="208">
        <v>-600</v>
      </c>
      <c r="CH70" s="208">
        <v>0</v>
      </c>
      <c r="CI70" s="208">
        <v>-600</v>
      </c>
      <c r="CJ70" s="208">
        <v>-285885</v>
      </c>
      <c r="CK70" s="208">
        <v>0</v>
      </c>
      <c r="CL70" s="208">
        <v>-285885</v>
      </c>
      <c r="CM70" s="208">
        <v>-4464</v>
      </c>
      <c r="CN70" s="208">
        <v>0</v>
      </c>
      <c r="CO70" s="208">
        <v>-4464</v>
      </c>
      <c r="CP70" s="208">
        <v>-8124</v>
      </c>
      <c r="CQ70" s="208">
        <v>0</v>
      </c>
      <c r="CR70" s="208">
        <v>-8124</v>
      </c>
      <c r="CS70" s="208">
        <v>-30</v>
      </c>
      <c r="CT70" s="208">
        <v>0</v>
      </c>
      <c r="CU70" s="208">
        <v>-30</v>
      </c>
      <c r="CV70" s="208">
        <v>0</v>
      </c>
      <c r="CW70" s="208">
        <v>0</v>
      </c>
      <c r="CX70" s="208">
        <v>0</v>
      </c>
      <c r="CY70" s="208">
        <v>0</v>
      </c>
      <c r="CZ70" s="208">
        <v>0</v>
      </c>
      <c r="DA70" s="208">
        <v>0</v>
      </c>
      <c r="DB70" s="208">
        <v>-13361</v>
      </c>
      <c r="DC70" s="208">
        <v>0</v>
      </c>
      <c r="DD70" s="208">
        <v>-13361</v>
      </c>
      <c r="DE70" s="208">
        <v>0</v>
      </c>
      <c r="DF70" s="208">
        <v>0</v>
      </c>
      <c r="DG70" s="208">
        <v>0</v>
      </c>
      <c r="DH70" s="208">
        <v>-283</v>
      </c>
      <c r="DI70" s="208">
        <v>-318440</v>
      </c>
      <c r="DJ70" s="208">
        <v>-318723</v>
      </c>
      <c r="DK70" s="208">
        <v>0</v>
      </c>
      <c r="DL70" s="208">
        <v>-293</v>
      </c>
      <c r="DM70" s="208">
        <v>-293</v>
      </c>
      <c r="DN70" s="208">
        <v>-318733</v>
      </c>
      <c r="DO70" s="208">
        <v>0</v>
      </c>
      <c r="DP70" s="208">
        <v>-983038</v>
      </c>
      <c r="DQ70" s="208">
        <v>-318733</v>
      </c>
      <c r="DR70" s="208">
        <v>-1301771</v>
      </c>
      <c r="DS70" s="208">
        <v>0</v>
      </c>
      <c r="DT70" s="208">
        <v>0</v>
      </c>
      <c r="DU70" s="208">
        <v>0</v>
      </c>
      <c r="DV70" s="208">
        <v>0</v>
      </c>
      <c r="DW70" s="208">
        <v>0</v>
      </c>
      <c r="DX70" s="208">
        <v>0</v>
      </c>
      <c r="DY70" s="208">
        <v>11620</v>
      </c>
      <c r="DZ70" s="208">
        <v>0</v>
      </c>
      <c r="EA70" s="208">
        <v>11620</v>
      </c>
      <c r="EB70" s="208">
        <v>0</v>
      </c>
      <c r="EC70" s="208">
        <v>0</v>
      </c>
      <c r="ED70" s="208">
        <v>0</v>
      </c>
      <c r="EE70" s="208">
        <v>0</v>
      </c>
      <c r="EF70" s="208">
        <v>0</v>
      </c>
      <c r="EG70" s="208">
        <v>0</v>
      </c>
      <c r="EH70" s="208">
        <v>4031</v>
      </c>
      <c r="EI70" s="208">
        <v>0</v>
      </c>
      <c r="EJ70" s="208">
        <v>4031</v>
      </c>
      <c r="EK70" s="208">
        <v>-170320</v>
      </c>
      <c r="EL70" s="208">
        <v>0</v>
      </c>
      <c r="EM70" s="208">
        <v>-170320</v>
      </c>
      <c r="EN70" s="208">
        <v>-760</v>
      </c>
      <c r="EO70" s="208">
        <v>0</v>
      </c>
      <c r="EP70" s="208">
        <v>-760</v>
      </c>
      <c r="EQ70" s="208">
        <v>-9000</v>
      </c>
      <c r="ER70" s="208">
        <v>0</v>
      </c>
      <c r="ES70" s="208">
        <v>-9000</v>
      </c>
      <c r="ET70" s="208">
        <v>-1804</v>
      </c>
      <c r="EU70" s="208">
        <v>0</v>
      </c>
      <c r="EV70" s="208">
        <v>-1804</v>
      </c>
      <c r="EW70" s="208">
        <v>-242902</v>
      </c>
      <c r="EX70" s="208">
        <v>0</v>
      </c>
      <c r="EY70" s="208">
        <v>-242902</v>
      </c>
      <c r="EZ70" s="208">
        <v>-4394</v>
      </c>
      <c r="FA70" s="208">
        <v>0</v>
      </c>
      <c r="FB70" s="208">
        <v>-4394</v>
      </c>
      <c r="FC70" s="208">
        <v>-742977</v>
      </c>
      <c r="FD70" s="208">
        <v>0</v>
      </c>
      <c r="FE70" s="208">
        <v>-742977</v>
      </c>
      <c r="FF70" s="208">
        <v>-139211</v>
      </c>
      <c r="FG70" s="208">
        <v>0</v>
      </c>
      <c r="FH70" s="208">
        <v>-139211</v>
      </c>
      <c r="FI70" s="208">
        <v>-232874</v>
      </c>
      <c r="FJ70" s="208">
        <v>0</v>
      </c>
      <c r="FK70" s="208">
        <v>-232874</v>
      </c>
      <c r="FL70" s="208">
        <v>-12430</v>
      </c>
      <c r="FM70" s="208">
        <v>0</v>
      </c>
      <c r="FN70" s="208">
        <v>-12430</v>
      </c>
      <c r="FO70" s="208">
        <v>0</v>
      </c>
      <c r="FP70" s="208">
        <v>0</v>
      </c>
      <c r="FQ70" s="208">
        <v>0</v>
      </c>
      <c r="FR70" s="208">
        <v>0</v>
      </c>
      <c r="FS70" s="208">
        <v>0</v>
      </c>
      <c r="FT70" s="208">
        <v>0</v>
      </c>
      <c r="FU70" s="208">
        <v>-1541021</v>
      </c>
      <c r="FV70" s="208">
        <v>0</v>
      </c>
      <c r="FW70" s="208">
        <v>-1541021</v>
      </c>
      <c r="FX70" s="208">
        <v>0</v>
      </c>
      <c r="FY70" s="208">
        <v>0</v>
      </c>
      <c r="FZ70" s="208">
        <v>0</v>
      </c>
      <c r="GA70" s="208">
        <v>0</v>
      </c>
      <c r="GB70" s="208">
        <v>0</v>
      </c>
      <c r="GC70" s="208">
        <v>0</v>
      </c>
      <c r="GD70" s="208">
        <v>0</v>
      </c>
      <c r="GE70" s="208">
        <v>0</v>
      </c>
      <c r="GF70" s="208">
        <v>0</v>
      </c>
      <c r="GG70" s="208">
        <v>224490928</v>
      </c>
      <c r="GH70" s="208">
        <v>1070689</v>
      </c>
      <c r="GI70" s="208">
        <v>225561617</v>
      </c>
      <c r="GJ70" s="208">
        <v>-42898</v>
      </c>
      <c r="GK70" s="208">
        <v>769</v>
      </c>
      <c r="GL70" s="208">
        <v>-42129</v>
      </c>
      <c r="GM70" s="208">
        <v>-56397900</v>
      </c>
      <c r="GN70" s="208">
        <v>14446</v>
      </c>
      <c r="GO70" s="208">
        <v>-56383454</v>
      </c>
      <c r="GP70" s="208">
        <v>-3797826</v>
      </c>
      <c r="GQ70" s="208">
        <v>-8574</v>
      </c>
      <c r="GR70" s="208">
        <v>-3806400</v>
      </c>
      <c r="GS70" s="208">
        <v>-983038</v>
      </c>
      <c r="GT70" s="208">
        <v>-318733</v>
      </c>
      <c r="GU70" s="208">
        <v>-1301771</v>
      </c>
      <c r="GV70" s="208">
        <v>-1541021</v>
      </c>
      <c r="GW70" s="208">
        <v>0</v>
      </c>
      <c r="GX70" s="208">
        <v>-1541021</v>
      </c>
      <c r="GY70" s="208">
        <v>0</v>
      </c>
      <c r="GZ70" s="208">
        <v>0</v>
      </c>
      <c r="HA70" s="208">
        <v>0</v>
      </c>
      <c r="HB70" s="208">
        <v>-62762683</v>
      </c>
      <c r="HC70" s="208">
        <v>-312092</v>
      </c>
      <c r="HD70" s="208">
        <v>-63074775</v>
      </c>
      <c r="HE70" s="208">
        <v>161728245</v>
      </c>
      <c r="HF70" s="208">
        <v>758597</v>
      </c>
      <c r="HG70" s="208">
        <v>162486842</v>
      </c>
      <c r="HH70" s="187" t="s">
        <v>742</v>
      </c>
    </row>
    <row r="71" spans="1:216" s="187" customFormat="1" x14ac:dyDescent="0.2">
      <c r="B71" s="429" t="s">
        <v>221</v>
      </c>
      <c r="C71" s="429" t="s">
        <v>220</v>
      </c>
      <c r="D71" s="208">
        <v>-1075610</v>
      </c>
      <c r="E71" s="208">
        <v>0</v>
      </c>
      <c r="F71" s="208">
        <v>-1075610</v>
      </c>
      <c r="G71" s="208">
        <v>21148</v>
      </c>
      <c r="H71" s="208">
        <v>0</v>
      </c>
      <c r="I71" s="208">
        <v>21148</v>
      </c>
      <c r="J71" s="208">
        <v>221267</v>
      </c>
      <c r="K71" s="208">
        <v>0</v>
      </c>
      <c r="L71" s="208">
        <v>221267</v>
      </c>
      <c r="M71" s="208">
        <v>6759</v>
      </c>
      <c r="N71" s="208">
        <v>0</v>
      </c>
      <c r="O71" s="208">
        <v>6759</v>
      </c>
      <c r="P71" s="208">
        <v>-826436</v>
      </c>
      <c r="Q71" s="208">
        <v>0</v>
      </c>
      <c r="R71" s="208">
        <v>-826436</v>
      </c>
      <c r="S71" s="208">
        <v>-5479010</v>
      </c>
      <c r="T71" s="208">
        <v>0</v>
      </c>
      <c r="U71" s="208">
        <v>-5479010</v>
      </c>
      <c r="V71" s="208">
        <v>-14664</v>
      </c>
      <c r="W71" s="208">
        <v>0</v>
      </c>
      <c r="X71" s="208">
        <v>-14664</v>
      </c>
      <c r="Y71" s="208">
        <v>-255817</v>
      </c>
      <c r="Z71" s="208">
        <v>0</v>
      </c>
      <c r="AA71" s="208">
        <v>-255817</v>
      </c>
      <c r="AB71" s="208">
        <v>-90713</v>
      </c>
      <c r="AC71" s="208">
        <v>0</v>
      </c>
      <c r="AD71" s="208">
        <v>-90713</v>
      </c>
      <c r="AE71" s="208">
        <v>-164479</v>
      </c>
      <c r="AF71" s="208">
        <v>0</v>
      </c>
      <c r="AG71" s="208">
        <v>-164479</v>
      </c>
      <c r="AH71" s="208">
        <v>1208</v>
      </c>
      <c r="AI71" s="208">
        <v>0</v>
      </c>
      <c r="AJ71" s="208">
        <v>1208</v>
      </c>
      <c r="AK71" s="208">
        <v>2681</v>
      </c>
      <c r="AL71" s="208">
        <v>0</v>
      </c>
      <c r="AM71" s="208">
        <v>2681</v>
      </c>
      <c r="AN71" s="208">
        <v>645246</v>
      </c>
      <c r="AO71" s="208">
        <v>0</v>
      </c>
      <c r="AP71" s="208">
        <v>645246</v>
      </c>
      <c r="AQ71" s="208">
        <v>5842</v>
      </c>
      <c r="AR71" s="208">
        <v>0</v>
      </c>
      <c r="AS71" s="208">
        <v>5842</v>
      </c>
      <c r="AT71" s="208">
        <v>-2452016</v>
      </c>
      <c r="AU71" s="208">
        <v>0</v>
      </c>
      <c r="AV71" s="208">
        <v>-2452016</v>
      </c>
      <c r="AW71" s="208">
        <v>4513</v>
      </c>
      <c r="AX71" s="208">
        <v>0</v>
      </c>
      <c r="AY71" s="208">
        <v>4513</v>
      </c>
      <c r="AZ71" s="208">
        <v>-51972</v>
      </c>
      <c r="BA71" s="208">
        <v>0</v>
      </c>
      <c r="BB71" s="208">
        <v>-51972</v>
      </c>
      <c r="BC71" s="208">
        <v>0</v>
      </c>
      <c r="BD71" s="208">
        <v>0</v>
      </c>
      <c r="BE71" s="208">
        <v>0</v>
      </c>
      <c r="BF71" s="208">
        <v>-27814</v>
      </c>
      <c r="BG71" s="208">
        <v>0</v>
      </c>
      <c r="BH71" s="208">
        <v>-27814</v>
      </c>
      <c r="BI71" s="208">
        <v>-3316</v>
      </c>
      <c r="BJ71" s="208">
        <v>0</v>
      </c>
      <c r="BK71" s="208">
        <v>-3316</v>
      </c>
      <c r="BL71" s="208">
        <v>-7614344</v>
      </c>
      <c r="BM71" s="208">
        <v>0</v>
      </c>
      <c r="BN71" s="208">
        <v>-7614344</v>
      </c>
      <c r="BO71" s="208">
        <v>-9464</v>
      </c>
      <c r="BP71" s="208">
        <v>0</v>
      </c>
      <c r="BQ71" s="208">
        <v>-9464</v>
      </c>
      <c r="BR71" s="208">
        <v>0</v>
      </c>
      <c r="BS71" s="208">
        <v>0</v>
      </c>
      <c r="BT71" s="208">
        <v>0</v>
      </c>
      <c r="BU71" s="208">
        <v>-878773</v>
      </c>
      <c r="BV71" s="208">
        <v>0</v>
      </c>
      <c r="BW71" s="208">
        <v>-878773</v>
      </c>
      <c r="BX71" s="208">
        <v>-91655</v>
      </c>
      <c r="BY71" s="208">
        <v>0</v>
      </c>
      <c r="BZ71" s="208">
        <v>-91655</v>
      </c>
      <c r="CA71" s="208">
        <v>-979892</v>
      </c>
      <c r="CB71" s="208">
        <v>0</v>
      </c>
      <c r="CC71" s="208">
        <v>-979892</v>
      </c>
      <c r="CD71" s="208">
        <v>-93781</v>
      </c>
      <c r="CE71" s="208">
        <v>0</v>
      </c>
      <c r="CF71" s="208">
        <v>-93781</v>
      </c>
      <c r="CG71" s="208">
        <v>0</v>
      </c>
      <c r="CH71" s="208">
        <v>0</v>
      </c>
      <c r="CI71" s="208">
        <v>0</v>
      </c>
      <c r="CJ71" s="208">
        <v>-3493</v>
      </c>
      <c r="CK71" s="208">
        <v>0</v>
      </c>
      <c r="CL71" s="208">
        <v>-3493</v>
      </c>
      <c r="CM71" s="208">
        <v>0</v>
      </c>
      <c r="CN71" s="208">
        <v>0</v>
      </c>
      <c r="CO71" s="208">
        <v>0</v>
      </c>
      <c r="CP71" s="208">
        <v>-474</v>
      </c>
      <c r="CQ71" s="208">
        <v>0</v>
      </c>
      <c r="CR71" s="208">
        <v>-474</v>
      </c>
      <c r="CS71" s="208">
        <v>-73</v>
      </c>
      <c r="CT71" s="208">
        <v>0</v>
      </c>
      <c r="CU71" s="208">
        <v>-73</v>
      </c>
      <c r="CV71" s="208">
        <v>0</v>
      </c>
      <c r="CW71" s="208">
        <v>0</v>
      </c>
      <c r="CX71" s="208">
        <v>0</v>
      </c>
      <c r="CY71" s="208">
        <v>0</v>
      </c>
      <c r="CZ71" s="208">
        <v>0</v>
      </c>
      <c r="DA71" s="208">
        <v>0</v>
      </c>
      <c r="DB71" s="208">
        <v>0</v>
      </c>
      <c r="DC71" s="208">
        <v>0</v>
      </c>
      <c r="DD71" s="208">
        <v>0</v>
      </c>
      <c r="DE71" s="208">
        <v>0</v>
      </c>
      <c r="DF71" s="208">
        <v>0</v>
      </c>
      <c r="DG71" s="208">
        <v>0</v>
      </c>
      <c r="DH71" s="208">
        <v>0</v>
      </c>
      <c r="DI71" s="208">
        <v>0</v>
      </c>
      <c r="DJ71" s="208">
        <v>0</v>
      </c>
      <c r="DK71" s="208">
        <v>0</v>
      </c>
      <c r="DL71" s="208">
        <v>0</v>
      </c>
      <c r="DM71" s="208">
        <v>0</v>
      </c>
      <c r="DN71" s="208">
        <v>0</v>
      </c>
      <c r="DO71" s="208">
        <v>0</v>
      </c>
      <c r="DP71" s="208">
        <v>-97821</v>
      </c>
      <c r="DQ71" s="208">
        <v>0</v>
      </c>
      <c r="DR71" s="208">
        <v>-97821</v>
      </c>
      <c r="DS71" s="208">
        <v>0</v>
      </c>
      <c r="DT71" s="208">
        <v>0</v>
      </c>
      <c r="DU71" s="208">
        <v>0</v>
      </c>
      <c r="DV71" s="208">
        <v>0</v>
      </c>
      <c r="DW71" s="208">
        <v>0</v>
      </c>
      <c r="DX71" s="208">
        <v>0</v>
      </c>
      <c r="DY71" s="208">
        <v>2500</v>
      </c>
      <c r="DZ71" s="208">
        <v>0</v>
      </c>
      <c r="EA71" s="208">
        <v>2500</v>
      </c>
      <c r="EB71" s="208">
        <v>0</v>
      </c>
      <c r="EC71" s="208">
        <v>0</v>
      </c>
      <c r="ED71" s="208">
        <v>0</v>
      </c>
      <c r="EE71" s="208">
        <v>0</v>
      </c>
      <c r="EF71" s="208">
        <v>0</v>
      </c>
      <c r="EG71" s="208">
        <v>0</v>
      </c>
      <c r="EH71" s="208">
        <v>0</v>
      </c>
      <c r="EI71" s="208">
        <v>0</v>
      </c>
      <c r="EJ71" s="208">
        <v>0</v>
      </c>
      <c r="EK71" s="208">
        <v>-27814</v>
      </c>
      <c r="EL71" s="208">
        <v>0</v>
      </c>
      <c r="EM71" s="208">
        <v>-27814</v>
      </c>
      <c r="EN71" s="208">
        <v>-3316</v>
      </c>
      <c r="EO71" s="208">
        <v>0</v>
      </c>
      <c r="EP71" s="208">
        <v>-3316</v>
      </c>
      <c r="EQ71" s="208">
        <v>0</v>
      </c>
      <c r="ER71" s="208">
        <v>0</v>
      </c>
      <c r="ES71" s="208">
        <v>0</v>
      </c>
      <c r="ET71" s="208">
        <v>-1126</v>
      </c>
      <c r="EU71" s="208">
        <v>0</v>
      </c>
      <c r="EV71" s="208">
        <v>-1126</v>
      </c>
      <c r="EW71" s="208">
        <v>-19152</v>
      </c>
      <c r="EX71" s="208">
        <v>0</v>
      </c>
      <c r="EY71" s="208">
        <v>-19152</v>
      </c>
      <c r="EZ71" s="208">
        <v>-1399</v>
      </c>
      <c r="FA71" s="208">
        <v>0</v>
      </c>
      <c r="FB71" s="208">
        <v>-1399</v>
      </c>
      <c r="FC71" s="208">
        <v>-177963</v>
      </c>
      <c r="FD71" s="208">
        <v>0</v>
      </c>
      <c r="FE71" s="208">
        <v>-177963</v>
      </c>
      <c r="FF71" s="208">
        <v>3511</v>
      </c>
      <c r="FG71" s="208">
        <v>0</v>
      </c>
      <c r="FH71" s="208">
        <v>3511</v>
      </c>
      <c r="FI71" s="208">
        <v>-81016</v>
      </c>
      <c r="FJ71" s="208">
        <v>0</v>
      </c>
      <c r="FK71" s="208">
        <v>-81016</v>
      </c>
      <c r="FL71" s="208">
        <v>-2397</v>
      </c>
      <c r="FM71" s="208">
        <v>0</v>
      </c>
      <c r="FN71" s="208">
        <v>-2397</v>
      </c>
      <c r="FO71" s="208">
        <v>0</v>
      </c>
      <c r="FP71" s="208">
        <v>0</v>
      </c>
      <c r="FQ71" s="208">
        <v>0</v>
      </c>
      <c r="FR71" s="208">
        <v>0</v>
      </c>
      <c r="FS71" s="208">
        <v>0</v>
      </c>
      <c r="FT71" s="208">
        <v>0</v>
      </c>
      <c r="FU71" s="208">
        <v>-308172</v>
      </c>
      <c r="FV71" s="208">
        <v>0</v>
      </c>
      <c r="FW71" s="208">
        <v>-308172</v>
      </c>
      <c r="FX71" s="208">
        <v>0</v>
      </c>
      <c r="FY71" s="208">
        <v>0</v>
      </c>
      <c r="FZ71" s="208">
        <v>0</v>
      </c>
      <c r="GA71" s="208">
        <v>0</v>
      </c>
      <c r="GB71" s="208">
        <v>0</v>
      </c>
      <c r="GC71" s="208">
        <v>0</v>
      </c>
      <c r="GD71" s="208">
        <v>0</v>
      </c>
      <c r="GE71" s="208">
        <v>0</v>
      </c>
      <c r="GF71" s="208">
        <v>0</v>
      </c>
      <c r="GG71" s="208">
        <v>42910927</v>
      </c>
      <c r="GH71" s="208">
        <v>0</v>
      </c>
      <c r="GI71" s="208">
        <v>42910927</v>
      </c>
      <c r="GJ71" s="208">
        <v>-826436</v>
      </c>
      <c r="GK71" s="208">
        <v>0</v>
      </c>
      <c r="GL71" s="208">
        <v>-826436</v>
      </c>
      <c r="GM71" s="208">
        <v>-7614344</v>
      </c>
      <c r="GN71" s="208">
        <v>0</v>
      </c>
      <c r="GO71" s="208">
        <v>-7614344</v>
      </c>
      <c r="GP71" s="208">
        <v>-979892</v>
      </c>
      <c r="GQ71" s="208">
        <v>0</v>
      </c>
      <c r="GR71" s="208">
        <v>-979892</v>
      </c>
      <c r="GS71" s="208">
        <v>-97821</v>
      </c>
      <c r="GT71" s="208">
        <v>0</v>
      </c>
      <c r="GU71" s="208">
        <v>-97821</v>
      </c>
      <c r="GV71" s="208">
        <v>-308172</v>
      </c>
      <c r="GW71" s="208">
        <v>0</v>
      </c>
      <c r="GX71" s="208">
        <v>-308172</v>
      </c>
      <c r="GY71" s="208">
        <v>0</v>
      </c>
      <c r="GZ71" s="208">
        <v>0</v>
      </c>
      <c r="HA71" s="208">
        <v>0</v>
      </c>
      <c r="HB71" s="208">
        <v>-9826665</v>
      </c>
      <c r="HC71" s="208">
        <v>0</v>
      </c>
      <c r="HD71" s="208">
        <v>-9826665</v>
      </c>
      <c r="HE71" s="208">
        <v>33084262</v>
      </c>
      <c r="HF71" s="208">
        <v>0</v>
      </c>
      <c r="HG71" s="208">
        <v>33084262</v>
      </c>
      <c r="HH71" s="187" t="s">
        <v>1054</v>
      </c>
    </row>
    <row r="72" spans="1:216" s="187" customFormat="1" x14ac:dyDescent="0.2">
      <c r="B72" s="429" t="s">
        <v>223</v>
      </c>
      <c r="C72" s="429" t="s">
        <v>222</v>
      </c>
      <c r="D72" s="208">
        <v>-1619012</v>
      </c>
      <c r="E72" s="208">
        <v>0</v>
      </c>
      <c r="F72" s="208">
        <v>-1619012</v>
      </c>
      <c r="G72" s="208">
        <v>69764</v>
      </c>
      <c r="H72" s="208">
        <v>0</v>
      </c>
      <c r="I72" s="208">
        <v>69764</v>
      </c>
      <c r="J72" s="208">
        <v>4541102</v>
      </c>
      <c r="K72" s="208">
        <v>0</v>
      </c>
      <c r="L72" s="208">
        <v>4541102</v>
      </c>
      <c r="M72" s="208">
        <v>2435</v>
      </c>
      <c r="N72" s="208">
        <v>0</v>
      </c>
      <c r="O72" s="208">
        <v>2435</v>
      </c>
      <c r="P72" s="208">
        <v>2994289</v>
      </c>
      <c r="Q72" s="208">
        <v>0</v>
      </c>
      <c r="R72" s="208">
        <v>2994289</v>
      </c>
      <c r="S72" s="208">
        <v>-8782800</v>
      </c>
      <c r="T72" s="208">
        <v>0</v>
      </c>
      <c r="U72" s="208">
        <v>-8782800</v>
      </c>
      <c r="V72" s="208">
        <v>10383.920000000002</v>
      </c>
      <c r="W72" s="208">
        <v>0</v>
      </c>
      <c r="X72" s="208">
        <v>10383.920000000002</v>
      </c>
      <c r="Y72" s="208">
        <v>-325959</v>
      </c>
      <c r="Z72" s="208">
        <v>0</v>
      </c>
      <c r="AA72" s="208">
        <v>-325959</v>
      </c>
      <c r="AB72" s="208">
        <v>-279655</v>
      </c>
      <c r="AC72" s="208">
        <v>0</v>
      </c>
      <c r="AD72" s="208">
        <v>-279655</v>
      </c>
      <c r="AE72" s="208">
        <v>-46304</v>
      </c>
      <c r="AF72" s="208">
        <v>0</v>
      </c>
      <c r="AG72" s="208">
        <v>-46304</v>
      </c>
      <c r="AH72" s="208">
        <v>0</v>
      </c>
      <c r="AI72" s="208">
        <v>0</v>
      </c>
      <c r="AJ72" s="208">
        <v>0</v>
      </c>
      <c r="AK72" s="208">
        <v>7671.7799999999988</v>
      </c>
      <c r="AL72" s="208">
        <v>0</v>
      </c>
      <c r="AM72" s="208">
        <v>7671.7799999999988</v>
      </c>
      <c r="AN72" s="208">
        <v>3233369</v>
      </c>
      <c r="AO72" s="208">
        <v>0</v>
      </c>
      <c r="AP72" s="208">
        <v>3233369</v>
      </c>
      <c r="AQ72" s="208">
        <v>-45933</v>
      </c>
      <c r="AR72" s="208">
        <v>0</v>
      </c>
      <c r="AS72" s="208">
        <v>-45933</v>
      </c>
      <c r="AT72" s="208">
        <v>-17031329</v>
      </c>
      <c r="AU72" s="208">
        <v>0</v>
      </c>
      <c r="AV72" s="208">
        <v>-17031329</v>
      </c>
      <c r="AW72" s="208">
        <v>-1012018</v>
      </c>
      <c r="AX72" s="208">
        <v>0</v>
      </c>
      <c r="AY72" s="208">
        <v>-1012018</v>
      </c>
      <c r="AZ72" s="208">
        <v>-62376</v>
      </c>
      <c r="BA72" s="208">
        <v>0</v>
      </c>
      <c r="BB72" s="208">
        <v>-62376</v>
      </c>
      <c r="BC72" s="208">
        <v>-1666</v>
      </c>
      <c r="BD72" s="208">
        <v>0</v>
      </c>
      <c r="BE72" s="208">
        <v>-1666</v>
      </c>
      <c r="BF72" s="208">
        <v>0</v>
      </c>
      <c r="BG72" s="208">
        <v>0</v>
      </c>
      <c r="BH72" s="208">
        <v>0</v>
      </c>
      <c r="BI72" s="208">
        <v>0</v>
      </c>
      <c r="BJ72" s="208">
        <v>0</v>
      </c>
      <c r="BK72" s="208">
        <v>0</v>
      </c>
      <c r="BL72" s="208">
        <v>-24028712</v>
      </c>
      <c r="BM72" s="208">
        <v>0</v>
      </c>
      <c r="BN72" s="208">
        <v>-24028712</v>
      </c>
      <c r="BO72" s="208">
        <v>-162002</v>
      </c>
      <c r="BP72" s="208">
        <v>0</v>
      </c>
      <c r="BQ72" s="208">
        <v>-162002</v>
      </c>
      <c r="BR72" s="208">
        <v>-16364</v>
      </c>
      <c r="BS72" s="208">
        <v>0</v>
      </c>
      <c r="BT72" s="208">
        <v>-16364</v>
      </c>
      <c r="BU72" s="208">
        <v>-6873427</v>
      </c>
      <c r="BV72" s="208">
        <v>0</v>
      </c>
      <c r="BW72" s="208">
        <v>-6873427</v>
      </c>
      <c r="BX72" s="208">
        <v>-110472</v>
      </c>
      <c r="BY72" s="208">
        <v>0</v>
      </c>
      <c r="BZ72" s="208">
        <v>-110472</v>
      </c>
      <c r="CA72" s="208">
        <v>-7162265</v>
      </c>
      <c r="CB72" s="208">
        <v>0</v>
      </c>
      <c r="CC72" s="208">
        <v>-7162265</v>
      </c>
      <c r="CD72" s="208">
        <v>-425926</v>
      </c>
      <c r="CE72" s="208">
        <v>0</v>
      </c>
      <c r="CF72" s="208">
        <v>-425926</v>
      </c>
      <c r="CG72" s="208">
        <v>-246</v>
      </c>
      <c r="CH72" s="208">
        <v>0</v>
      </c>
      <c r="CI72" s="208">
        <v>-246</v>
      </c>
      <c r="CJ72" s="208">
        <v>-14505</v>
      </c>
      <c r="CK72" s="208">
        <v>0</v>
      </c>
      <c r="CL72" s="208">
        <v>-14505</v>
      </c>
      <c r="CM72" s="208">
        <v>0</v>
      </c>
      <c r="CN72" s="208">
        <v>0</v>
      </c>
      <c r="CO72" s="208">
        <v>0</v>
      </c>
      <c r="CP72" s="208">
        <v>0</v>
      </c>
      <c r="CQ72" s="208">
        <v>0</v>
      </c>
      <c r="CR72" s="208">
        <v>0</v>
      </c>
      <c r="CS72" s="208">
        <v>0</v>
      </c>
      <c r="CT72" s="208">
        <v>0</v>
      </c>
      <c r="CU72" s="208">
        <v>0</v>
      </c>
      <c r="CV72" s="208">
        <v>0</v>
      </c>
      <c r="CW72" s="208">
        <v>0</v>
      </c>
      <c r="CX72" s="208">
        <v>0</v>
      </c>
      <c r="CY72" s="208">
        <v>0</v>
      </c>
      <c r="CZ72" s="208">
        <v>0</v>
      </c>
      <c r="DA72" s="208">
        <v>0</v>
      </c>
      <c r="DB72" s="208">
        <v>0</v>
      </c>
      <c r="DC72" s="208">
        <v>0</v>
      </c>
      <c r="DD72" s="208">
        <v>0</v>
      </c>
      <c r="DE72" s="208">
        <v>0</v>
      </c>
      <c r="DF72" s="208">
        <v>0</v>
      </c>
      <c r="DG72" s="208">
        <v>0</v>
      </c>
      <c r="DH72" s="208">
        <v>-15568</v>
      </c>
      <c r="DI72" s="208">
        <v>0</v>
      </c>
      <c r="DJ72" s="208">
        <v>-15568</v>
      </c>
      <c r="DK72" s="208">
        <v>0</v>
      </c>
      <c r="DL72" s="208">
        <v>0</v>
      </c>
      <c r="DM72" s="208">
        <v>0</v>
      </c>
      <c r="DN72" s="208">
        <v>0</v>
      </c>
      <c r="DO72" s="208">
        <v>0</v>
      </c>
      <c r="DP72" s="208">
        <v>-456245</v>
      </c>
      <c r="DQ72" s="208">
        <v>0</v>
      </c>
      <c r="DR72" s="208">
        <v>-456245</v>
      </c>
      <c r="DS72" s="208">
        <v>50113</v>
      </c>
      <c r="DT72" s="208">
        <v>0</v>
      </c>
      <c r="DU72" s="208">
        <v>50113</v>
      </c>
      <c r="DV72" s="208">
        <v>9799</v>
      </c>
      <c r="DW72" s="208">
        <v>0</v>
      </c>
      <c r="DX72" s="208">
        <v>9799</v>
      </c>
      <c r="DY72" s="208">
        <v>-1064</v>
      </c>
      <c r="DZ72" s="208">
        <v>0</v>
      </c>
      <c r="EA72" s="208">
        <v>-1064</v>
      </c>
      <c r="EB72" s="208">
        <v>0</v>
      </c>
      <c r="EC72" s="208">
        <v>0</v>
      </c>
      <c r="ED72" s="208">
        <v>0</v>
      </c>
      <c r="EE72" s="208">
        <v>0</v>
      </c>
      <c r="EF72" s="208">
        <v>0</v>
      </c>
      <c r="EG72" s="208">
        <v>0</v>
      </c>
      <c r="EH72" s="208">
        <v>0</v>
      </c>
      <c r="EI72" s="208">
        <v>0</v>
      </c>
      <c r="EJ72" s="208">
        <v>0</v>
      </c>
      <c r="EK72" s="208">
        <v>0</v>
      </c>
      <c r="EL72" s="208">
        <v>0</v>
      </c>
      <c r="EM72" s="208">
        <v>0</v>
      </c>
      <c r="EN72" s="208">
        <v>0</v>
      </c>
      <c r="EO72" s="208">
        <v>0</v>
      </c>
      <c r="EP72" s="208">
        <v>0</v>
      </c>
      <c r="EQ72" s="208">
        <v>-1500.2199999999721</v>
      </c>
      <c r="ER72" s="208">
        <v>0</v>
      </c>
      <c r="ES72" s="208">
        <v>-1500.2199999999721</v>
      </c>
      <c r="ET72" s="208">
        <v>0</v>
      </c>
      <c r="EU72" s="208">
        <v>0</v>
      </c>
      <c r="EV72" s="208">
        <v>0</v>
      </c>
      <c r="EW72" s="208">
        <v>-72864</v>
      </c>
      <c r="EX72" s="208">
        <v>0</v>
      </c>
      <c r="EY72" s="208">
        <v>-72864</v>
      </c>
      <c r="EZ72" s="208">
        <v>-701</v>
      </c>
      <c r="FA72" s="208">
        <v>0</v>
      </c>
      <c r="FB72" s="208">
        <v>-701</v>
      </c>
      <c r="FC72" s="208">
        <v>-186852</v>
      </c>
      <c r="FD72" s="208">
        <v>0</v>
      </c>
      <c r="FE72" s="208">
        <v>-186852</v>
      </c>
      <c r="FF72" s="208">
        <v>5829</v>
      </c>
      <c r="FG72" s="208">
        <v>0</v>
      </c>
      <c r="FH72" s="208">
        <v>5829</v>
      </c>
      <c r="FI72" s="208">
        <v>-77468</v>
      </c>
      <c r="FJ72" s="208">
        <v>0</v>
      </c>
      <c r="FK72" s="208">
        <v>-77468</v>
      </c>
      <c r="FL72" s="208">
        <v>2792</v>
      </c>
      <c r="FM72" s="208">
        <v>0</v>
      </c>
      <c r="FN72" s="208">
        <v>2792</v>
      </c>
      <c r="FO72" s="208">
        <v>0</v>
      </c>
      <c r="FP72" s="208">
        <v>0</v>
      </c>
      <c r="FQ72" s="208">
        <v>0</v>
      </c>
      <c r="FR72" s="208">
        <v>0</v>
      </c>
      <c r="FS72" s="208">
        <v>0</v>
      </c>
      <c r="FT72" s="208">
        <v>0</v>
      </c>
      <c r="FU72" s="208">
        <v>-271916</v>
      </c>
      <c r="FV72" s="208">
        <v>0</v>
      </c>
      <c r="FW72" s="208">
        <v>-271916</v>
      </c>
      <c r="FX72" s="208">
        <v>0</v>
      </c>
      <c r="FY72" s="208">
        <v>0</v>
      </c>
      <c r="FZ72" s="208">
        <v>0</v>
      </c>
      <c r="GA72" s="208">
        <v>-5680</v>
      </c>
      <c r="GB72" s="208">
        <v>0</v>
      </c>
      <c r="GC72" s="208">
        <v>-5680</v>
      </c>
      <c r="GD72" s="208">
        <v>-5680</v>
      </c>
      <c r="GE72" s="208">
        <v>0</v>
      </c>
      <c r="GF72" s="208">
        <v>-5680</v>
      </c>
      <c r="GG72" s="208">
        <v>149538754</v>
      </c>
      <c r="GH72" s="208">
        <v>0</v>
      </c>
      <c r="GI72" s="208">
        <v>149538754</v>
      </c>
      <c r="GJ72" s="208">
        <v>2994289</v>
      </c>
      <c r="GK72" s="208">
        <v>0</v>
      </c>
      <c r="GL72" s="208">
        <v>2994289</v>
      </c>
      <c r="GM72" s="208">
        <v>-24028712</v>
      </c>
      <c r="GN72" s="208">
        <v>0</v>
      </c>
      <c r="GO72" s="208">
        <v>-24028712</v>
      </c>
      <c r="GP72" s="208">
        <v>-7162265</v>
      </c>
      <c r="GQ72" s="208">
        <v>0</v>
      </c>
      <c r="GR72" s="208">
        <v>-7162265</v>
      </c>
      <c r="GS72" s="208">
        <v>-456245</v>
      </c>
      <c r="GT72" s="208">
        <v>0</v>
      </c>
      <c r="GU72" s="208">
        <v>-456245</v>
      </c>
      <c r="GV72" s="208">
        <v>-271916</v>
      </c>
      <c r="GW72" s="208">
        <v>0</v>
      </c>
      <c r="GX72" s="208">
        <v>-271916</v>
      </c>
      <c r="GY72" s="208">
        <v>-5680</v>
      </c>
      <c r="GZ72" s="208">
        <v>0</v>
      </c>
      <c r="HA72" s="208">
        <v>-5680</v>
      </c>
      <c r="HB72" s="208">
        <v>-28930529</v>
      </c>
      <c r="HC72" s="208">
        <v>0</v>
      </c>
      <c r="HD72" s="208">
        <v>-28930529</v>
      </c>
      <c r="HE72" s="208">
        <v>120608225</v>
      </c>
      <c r="HF72" s="208">
        <v>0</v>
      </c>
      <c r="HG72" s="208">
        <v>120608225</v>
      </c>
      <c r="HH72" s="187" t="s">
        <v>1056</v>
      </c>
    </row>
    <row r="73" spans="1:216" s="187" customFormat="1" x14ac:dyDescent="0.2">
      <c r="B73" s="429" t="s">
        <v>225</v>
      </c>
      <c r="C73" s="429" t="s">
        <v>224</v>
      </c>
      <c r="D73" s="208">
        <v>-635962</v>
      </c>
      <c r="E73" s="208">
        <v>0</v>
      </c>
      <c r="F73" s="208">
        <v>-635962</v>
      </c>
      <c r="G73" s="208">
        <v>23097</v>
      </c>
      <c r="H73" s="208">
        <v>0</v>
      </c>
      <c r="I73" s="208">
        <v>23097</v>
      </c>
      <c r="J73" s="208">
        <v>251690</v>
      </c>
      <c r="K73" s="208">
        <v>0</v>
      </c>
      <c r="L73" s="208">
        <v>251690</v>
      </c>
      <c r="M73" s="208">
        <v>-1674</v>
      </c>
      <c r="N73" s="208">
        <v>0</v>
      </c>
      <c r="O73" s="208">
        <v>-1674</v>
      </c>
      <c r="P73" s="208">
        <v>-362849</v>
      </c>
      <c r="Q73" s="208">
        <v>0</v>
      </c>
      <c r="R73" s="208">
        <v>-362849</v>
      </c>
      <c r="S73" s="208">
        <v>-3706299</v>
      </c>
      <c r="T73" s="208">
        <v>0</v>
      </c>
      <c r="U73" s="208">
        <v>-3706299</v>
      </c>
      <c r="V73" s="208">
        <v>-17761</v>
      </c>
      <c r="W73" s="208">
        <v>0</v>
      </c>
      <c r="X73" s="208">
        <v>-17761</v>
      </c>
      <c r="Y73" s="208">
        <v>-83478</v>
      </c>
      <c r="Z73" s="208">
        <v>0</v>
      </c>
      <c r="AA73" s="208">
        <v>-83478</v>
      </c>
      <c r="AB73" s="208">
        <v>-17010.620000000003</v>
      </c>
      <c r="AC73" s="208">
        <v>0</v>
      </c>
      <c r="AD73" s="208">
        <v>-17010.620000000003</v>
      </c>
      <c r="AE73" s="208">
        <v>-66635.849999999991</v>
      </c>
      <c r="AF73" s="208">
        <v>0</v>
      </c>
      <c r="AG73" s="208">
        <v>-66635.849999999991</v>
      </c>
      <c r="AH73" s="208">
        <v>168.53999999999996</v>
      </c>
      <c r="AI73" s="208">
        <v>0</v>
      </c>
      <c r="AJ73" s="208">
        <v>168.53999999999996</v>
      </c>
      <c r="AK73" s="208">
        <v>-19868.129999999997</v>
      </c>
      <c r="AL73" s="208">
        <v>0</v>
      </c>
      <c r="AM73" s="208">
        <v>-19868.129999999997</v>
      </c>
      <c r="AN73" s="208">
        <v>330995</v>
      </c>
      <c r="AO73" s="208">
        <v>0</v>
      </c>
      <c r="AP73" s="208">
        <v>330995</v>
      </c>
      <c r="AQ73" s="208">
        <v>-846</v>
      </c>
      <c r="AR73" s="208">
        <v>0</v>
      </c>
      <c r="AS73" s="208">
        <v>-846</v>
      </c>
      <c r="AT73" s="208">
        <v>-1237269</v>
      </c>
      <c r="AU73" s="208">
        <v>0</v>
      </c>
      <c r="AV73" s="208">
        <v>-1237269</v>
      </c>
      <c r="AW73" s="208">
        <v>3889</v>
      </c>
      <c r="AX73" s="208">
        <v>0</v>
      </c>
      <c r="AY73" s="208">
        <v>3889</v>
      </c>
      <c r="AZ73" s="208">
        <v>-23270</v>
      </c>
      <c r="BA73" s="208">
        <v>0</v>
      </c>
      <c r="BB73" s="208">
        <v>-23270</v>
      </c>
      <c r="BC73" s="208">
        <v>0</v>
      </c>
      <c r="BD73" s="208">
        <v>0</v>
      </c>
      <c r="BE73" s="208">
        <v>0</v>
      </c>
      <c r="BF73" s="208">
        <v>-17412</v>
      </c>
      <c r="BG73" s="208">
        <v>0</v>
      </c>
      <c r="BH73" s="208">
        <v>-17412</v>
      </c>
      <c r="BI73" s="208">
        <v>0</v>
      </c>
      <c r="BJ73" s="208">
        <v>0</v>
      </c>
      <c r="BK73" s="208">
        <v>0</v>
      </c>
      <c r="BL73" s="208">
        <v>-4733690</v>
      </c>
      <c r="BM73" s="208">
        <v>0</v>
      </c>
      <c r="BN73" s="208">
        <v>-4733690</v>
      </c>
      <c r="BO73" s="208">
        <v>0</v>
      </c>
      <c r="BP73" s="208">
        <v>0</v>
      </c>
      <c r="BQ73" s="208">
        <v>0</v>
      </c>
      <c r="BR73" s="208">
        <v>0</v>
      </c>
      <c r="BS73" s="208">
        <v>0</v>
      </c>
      <c r="BT73" s="208">
        <v>0</v>
      </c>
      <c r="BU73" s="208">
        <v>-555520</v>
      </c>
      <c r="BV73" s="208">
        <v>0</v>
      </c>
      <c r="BW73" s="208">
        <v>-555520</v>
      </c>
      <c r="BX73" s="208">
        <v>16635</v>
      </c>
      <c r="BY73" s="208">
        <v>0</v>
      </c>
      <c r="BZ73" s="208">
        <v>16635</v>
      </c>
      <c r="CA73" s="208">
        <v>-538885</v>
      </c>
      <c r="CB73" s="208">
        <v>0</v>
      </c>
      <c r="CC73" s="208">
        <v>-538885</v>
      </c>
      <c r="CD73" s="208">
        <v>-27580</v>
      </c>
      <c r="CE73" s="208">
        <v>0</v>
      </c>
      <c r="CF73" s="208">
        <v>-27580</v>
      </c>
      <c r="CG73" s="208">
        <v>-150</v>
      </c>
      <c r="CH73" s="208">
        <v>0</v>
      </c>
      <c r="CI73" s="208">
        <v>-150</v>
      </c>
      <c r="CJ73" s="208">
        <v>-3292</v>
      </c>
      <c r="CK73" s="208">
        <v>0</v>
      </c>
      <c r="CL73" s="208">
        <v>-3292</v>
      </c>
      <c r="CM73" s="208">
        <v>0</v>
      </c>
      <c r="CN73" s="208">
        <v>0</v>
      </c>
      <c r="CO73" s="208">
        <v>0</v>
      </c>
      <c r="CP73" s="208">
        <v>0</v>
      </c>
      <c r="CQ73" s="208">
        <v>0</v>
      </c>
      <c r="CR73" s="208">
        <v>0</v>
      </c>
      <c r="CS73" s="208">
        <v>0</v>
      </c>
      <c r="CT73" s="208">
        <v>0</v>
      </c>
      <c r="CU73" s="208">
        <v>0</v>
      </c>
      <c r="CV73" s="208">
        <v>-9233</v>
      </c>
      <c r="CW73" s="208">
        <v>0</v>
      </c>
      <c r="CX73" s="208">
        <v>-9233</v>
      </c>
      <c r="CY73" s="208">
        <v>0</v>
      </c>
      <c r="CZ73" s="208">
        <v>0</v>
      </c>
      <c r="DA73" s="208">
        <v>0</v>
      </c>
      <c r="DB73" s="208">
        <v>-775</v>
      </c>
      <c r="DC73" s="208">
        <v>0</v>
      </c>
      <c r="DD73" s="208">
        <v>-775</v>
      </c>
      <c r="DE73" s="208">
        <v>0</v>
      </c>
      <c r="DF73" s="208">
        <v>0</v>
      </c>
      <c r="DG73" s="208">
        <v>0</v>
      </c>
      <c r="DH73" s="208">
        <v>0</v>
      </c>
      <c r="DI73" s="208">
        <v>0</v>
      </c>
      <c r="DJ73" s="208">
        <v>0</v>
      </c>
      <c r="DK73" s="208">
        <v>0</v>
      </c>
      <c r="DL73" s="208">
        <v>0</v>
      </c>
      <c r="DM73" s="208">
        <v>0</v>
      </c>
      <c r="DN73" s="208">
        <v>0</v>
      </c>
      <c r="DO73" s="208">
        <v>0</v>
      </c>
      <c r="DP73" s="208">
        <v>-41030</v>
      </c>
      <c r="DQ73" s="208">
        <v>0</v>
      </c>
      <c r="DR73" s="208">
        <v>-41030</v>
      </c>
      <c r="DS73" s="208">
        <v>0</v>
      </c>
      <c r="DT73" s="208">
        <v>0</v>
      </c>
      <c r="DU73" s="208">
        <v>0</v>
      </c>
      <c r="DV73" s="208">
        <v>0</v>
      </c>
      <c r="DW73" s="208">
        <v>0</v>
      </c>
      <c r="DX73" s="208">
        <v>0</v>
      </c>
      <c r="DY73" s="208">
        <v>0</v>
      </c>
      <c r="DZ73" s="208">
        <v>0</v>
      </c>
      <c r="EA73" s="208">
        <v>0</v>
      </c>
      <c r="EB73" s="208">
        <v>0</v>
      </c>
      <c r="EC73" s="208">
        <v>0</v>
      </c>
      <c r="ED73" s="208">
        <v>0</v>
      </c>
      <c r="EE73" s="208">
        <v>0</v>
      </c>
      <c r="EF73" s="208">
        <v>0</v>
      </c>
      <c r="EG73" s="208">
        <v>0</v>
      </c>
      <c r="EH73" s="208">
        <v>0</v>
      </c>
      <c r="EI73" s="208">
        <v>0</v>
      </c>
      <c r="EJ73" s="208">
        <v>0</v>
      </c>
      <c r="EK73" s="208">
        <v>-8196</v>
      </c>
      <c r="EL73" s="208">
        <v>0</v>
      </c>
      <c r="EM73" s="208">
        <v>-8196</v>
      </c>
      <c r="EN73" s="208">
        <v>0</v>
      </c>
      <c r="EO73" s="208">
        <v>0</v>
      </c>
      <c r="EP73" s="208">
        <v>0</v>
      </c>
      <c r="EQ73" s="208">
        <v>0</v>
      </c>
      <c r="ER73" s="208">
        <v>0</v>
      </c>
      <c r="ES73" s="208">
        <v>0</v>
      </c>
      <c r="ET73" s="208">
        <v>0</v>
      </c>
      <c r="EU73" s="208">
        <v>0</v>
      </c>
      <c r="EV73" s="208">
        <v>0</v>
      </c>
      <c r="EW73" s="208">
        <v>-17761</v>
      </c>
      <c r="EX73" s="208">
        <v>0</v>
      </c>
      <c r="EY73" s="208">
        <v>-17761</v>
      </c>
      <c r="EZ73" s="208">
        <v>0</v>
      </c>
      <c r="FA73" s="208">
        <v>0</v>
      </c>
      <c r="FB73" s="208">
        <v>0</v>
      </c>
      <c r="FC73" s="208">
        <v>-72733</v>
      </c>
      <c r="FD73" s="208">
        <v>0</v>
      </c>
      <c r="FE73" s="208">
        <v>-72733</v>
      </c>
      <c r="FF73" s="208">
        <v>0</v>
      </c>
      <c r="FG73" s="208">
        <v>0</v>
      </c>
      <c r="FH73" s="208">
        <v>0</v>
      </c>
      <c r="FI73" s="208">
        <v>-56460</v>
      </c>
      <c r="FJ73" s="208">
        <v>0</v>
      </c>
      <c r="FK73" s="208">
        <v>-56460</v>
      </c>
      <c r="FL73" s="208">
        <v>-332</v>
      </c>
      <c r="FM73" s="208">
        <v>0</v>
      </c>
      <c r="FN73" s="208">
        <v>-332</v>
      </c>
      <c r="FO73" s="208">
        <v>0</v>
      </c>
      <c r="FP73" s="208">
        <v>0</v>
      </c>
      <c r="FQ73" s="208">
        <v>0</v>
      </c>
      <c r="FR73" s="208">
        <v>0</v>
      </c>
      <c r="FS73" s="208">
        <v>0</v>
      </c>
      <c r="FT73" s="208">
        <v>0</v>
      </c>
      <c r="FU73" s="208">
        <v>-155482</v>
      </c>
      <c r="FV73" s="208">
        <v>0</v>
      </c>
      <c r="FW73" s="208">
        <v>-155482</v>
      </c>
      <c r="FX73" s="208">
        <v>0</v>
      </c>
      <c r="FY73" s="208">
        <v>0</v>
      </c>
      <c r="FZ73" s="208">
        <v>0</v>
      </c>
      <c r="GA73" s="208">
        <v>0</v>
      </c>
      <c r="GB73" s="208">
        <v>0</v>
      </c>
      <c r="GC73" s="208">
        <v>0</v>
      </c>
      <c r="GD73" s="208">
        <v>0</v>
      </c>
      <c r="GE73" s="208">
        <v>0</v>
      </c>
      <c r="GF73" s="208">
        <v>0</v>
      </c>
      <c r="GG73" s="208">
        <v>23928290</v>
      </c>
      <c r="GH73" s="208">
        <v>0</v>
      </c>
      <c r="GI73" s="208">
        <v>23928290</v>
      </c>
      <c r="GJ73" s="208">
        <v>-362849</v>
      </c>
      <c r="GK73" s="208">
        <v>0</v>
      </c>
      <c r="GL73" s="208">
        <v>-362849</v>
      </c>
      <c r="GM73" s="208">
        <v>-4733690</v>
      </c>
      <c r="GN73" s="208">
        <v>0</v>
      </c>
      <c r="GO73" s="208">
        <v>-4733690</v>
      </c>
      <c r="GP73" s="208">
        <v>-538885</v>
      </c>
      <c r="GQ73" s="208">
        <v>0</v>
      </c>
      <c r="GR73" s="208">
        <v>-538885</v>
      </c>
      <c r="GS73" s="208">
        <v>-41030</v>
      </c>
      <c r="GT73" s="208">
        <v>0</v>
      </c>
      <c r="GU73" s="208">
        <v>-41030</v>
      </c>
      <c r="GV73" s="208">
        <v>-155482</v>
      </c>
      <c r="GW73" s="208">
        <v>0</v>
      </c>
      <c r="GX73" s="208">
        <v>-155482</v>
      </c>
      <c r="GY73" s="208">
        <v>0</v>
      </c>
      <c r="GZ73" s="208">
        <v>0</v>
      </c>
      <c r="HA73" s="208">
        <v>0</v>
      </c>
      <c r="HB73" s="208">
        <v>-5831936</v>
      </c>
      <c r="HC73" s="208">
        <v>0</v>
      </c>
      <c r="HD73" s="208">
        <v>-5831936</v>
      </c>
      <c r="HE73" s="208">
        <v>18096354</v>
      </c>
      <c r="HF73" s="208">
        <v>0</v>
      </c>
      <c r="HG73" s="208">
        <v>18096354</v>
      </c>
      <c r="HH73" s="187" t="s">
        <v>1054</v>
      </c>
    </row>
    <row r="74" spans="1:216" s="187" customFormat="1" x14ac:dyDescent="0.2">
      <c r="B74" s="429" t="s">
        <v>227</v>
      </c>
      <c r="C74" s="429" t="s">
        <v>226</v>
      </c>
      <c r="D74" s="208">
        <v>-1153563</v>
      </c>
      <c r="E74" s="208">
        <v>0</v>
      </c>
      <c r="F74" s="208">
        <v>-1153563</v>
      </c>
      <c r="G74" s="208">
        <v>8523</v>
      </c>
      <c r="H74" s="208">
        <v>0</v>
      </c>
      <c r="I74" s="208">
        <v>8523</v>
      </c>
      <c r="J74" s="208">
        <v>3113340</v>
      </c>
      <c r="K74" s="208">
        <v>0</v>
      </c>
      <c r="L74" s="208">
        <v>3113340</v>
      </c>
      <c r="M74" s="208">
        <v>376660</v>
      </c>
      <c r="N74" s="208">
        <v>0</v>
      </c>
      <c r="O74" s="208">
        <v>376660</v>
      </c>
      <c r="P74" s="208">
        <v>2344960</v>
      </c>
      <c r="Q74" s="208">
        <v>0</v>
      </c>
      <c r="R74" s="208">
        <v>2344960</v>
      </c>
      <c r="S74" s="208">
        <v>-1652063</v>
      </c>
      <c r="T74" s="208">
        <v>0</v>
      </c>
      <c r="U74" s="208">
        <v>-1652063</v>
      </c>
      <c r="V74" s="208">
        <v>-13339</v>
      </c>
      <c r="W74" s="208">
        <v>0</v>
      </c>
      <c r="X74" s="208">
        <v>-13339</v>
      </c>
      <c r="Y74" s="208">
        <v>-171241</v>
      </c>
      <c r="Z74" s="208">
        <v>0</v>
      </c>
      <c r="AA74" s="208">
        <v>-171241</v>
      </c>
      <c r="AB74" s="208">
        <v>-62477</v>
      </c>
      <c r="AC74" s="208">
        <v>0</v>
      </c>
      <c r="AD74" s="208">
        <v>-62477</v>
      </c>
      <c r="AE74" s="208">
        <v>-108764</v>
      </c>
      <c r="AF74" s="208">
        <v>0</v>
      </c>
      <c r="AG74" s="208">
        <v>-108764</v>
      </c>
      <c r="AH74" s="208">
        <v>-396</v>
      </c>
      <c r="AI74" s="208">
        <v>0</v>
      </c>
      <c r="AJ74" s="208">
        <v>-396</v>
      </c>
      <c r="AK74" s="208">
        <v>-121</v>
      </c>
      <c r="AL74" s="208">
        <v>0</v>
      </c>
      <c r="AM74" s="208">
        <v>-121</v>
      </c>
      <c r="AN74" s="208">
        <v>3177420</v>
      </c>
      <c r="AO74" s="208">
        <v>0</v>
      </c>
      <c r="AP74" s="208">
        <v>3177420</v>
      </c>
      <c r="AQ74" s="208">
        <v>-14011</v>
      </c>
      <c r="AR74" s="208">
        <v>0</v>
      </c>
      <c r="AS74" s="208">
        <v>-14011</v>
      </c>
      <c r="AT74" s="208">
        <v>-3214166</v>
      </c>
      <c r="AU74" s="208">
        <v>0</v>
      </c>
      <c r="AV74" s="208">
        <v>-3214166</v>
      </c>
      <c r="AW74" s="208">
        <v>-4746</v>
      </c>
      <c r="AX74" s="208">
        <v>0</v>
      </c>
      <c r="AY74" s="208">
        <v>-4746</v>
      </c>
      <c r="AZ74" s="208">
        <v>-30952</v>
      </c>
      <c r="BA74" s="208">
        <v>0</v>
      </c>
      <c r="BB74" s="208">
        <v>-30952</v>
      </c>
      <c r="BC74" s="208">
        <v>0</v>
      </c>
      <c r="BD74" s="208">
        <v>0</v>
      </c>
      <c r="BE74" s="208">
        <v>0</v>
      </c>
      <c r="BF74" s="208">
        <v>0</v>
      </c>
      <c r="BG74" s="208">
        <v>0</v>
      </c>
      <c r="BH74" s="208">
        <v>0</v>
      </c>
      <c r="BI74" s="208">
        <v>0</v>
      </c>
      <c r="BJ74" s="208">
        <v>0</v>
      </c>
      <c r="BK74" s="208">
        <v>0</v>
      </c>
      <c r="BL74" s="208">
        <v>-1909759</v>
      </c>
      <c r="BM74" s="208">
        <v>0</v>
      </c>
      <c r="BN74" s="208">
        <v>-1909759</v>
      </c>
      <c r="BO74" s="208">
        <v>0</v>
      </c>
      <c r="BP74" s="208">
        <v>0</v>
      </c>
      <c r="BQ74" s="208">
        <v>0</v>
      </c>
      <c r="BR74" s="208">
        <v>31</v>
      </c>
      <c r="BS74" s="208">
        <v>0</v>
      </c>
      <c r="BT74" s="208">
        <v>31</v>
      </c>
      <c r="BU74" s="208">
        <v>-3436528</v>
      </c>
      <c r="BV74" s="208">
        <v>0</v>
      </c>
      <c r="BW74" s="208">
        <v>-3436528</v>
      </c>
      <c r="BX74" s="208">
        <v>-267587</v>
      </c>
      <c r="BY74" s="208">
        <v>0</v>
      </c>
      <c r="BZ74" s="208">
        <v>-267587</v>
      </c>
      <c r="CA74" s="208">
        <v>-3704084</v>
      </c>
      <c r="CB74" s="208">
        <v>0</v>
      </c>
      <c r="CC74" s="208">
        <v>-3704084</v>
      </c>
      <c r="CD74" s="208">
        <v>-266091</v>
      </c>
      <c r="CE74" s="208">
        <v>0</v>
      </c>
      <c r="CF74" s="208">
        <v>-266091</v>
      </c>
      <c r="CG74" s="208">
        <v>-1429</v>
      </c>
      <c r="CH74" s="208">
        <v>0</v>
      </c>
      <c r="CI74" s="208">
        <v>-1429</v>
      </c>
      <c r="CJ74" s="208">
        <v>-137525</v>
      </c>
      <c r="CK74" s="208">
        <v>0</v>
      </c>
      <c r="CL74" s="208">
        <v>-137525</v>
      </c>
      <c r="CM74" s="208">
        <v>-251</v>
      </c>
      <c r="CN74" s="208">
        <v>0</v>
      </c>
      <c r="CO74" s="208">
        <v>-251</v>
      </c>
      <c r="CP74" s="208">
        <v>-1927</v>
      </c>
      <c r="CQ74" s="208">
        <v>0</v>
      </c>
      <c r="CR74" s="208">
        <v>-1927</v>
      </c>
      <c r="CS74" s="208">
        <v>0</v>
      </c>
      <c r="CT74" s="208">
        <v>0</v>
      </c>
      <c r="CU74" s="208">
        <v>0</v>
      </c>
      <c r="CV74" s="208">
        <v>0</v>
      </c>
      <c r="CW74" s="208">
        <v>0</v>
      </c>
      <c r="CX74" s="208">
        <v>0</v>
      </c>
      <c r="CY74" s="208">
        <v>0</v>
      </c>
      <c r="CZ74" s="208">
        <v>0</v>
      </c>
      <c r="DA74" s="208">
        <v>0</v>
      </c>
      <c r="DB74" s="208">
        <v>0</v>
      </c>
      <c r="DC74" s="208">
        <v>0</v>
      </c>
      <c r="DD74" s="208">
        <v>0</v>
      </c>
      <c r="DE74" s="208">
        <v>0</v>
      </c>
      <c r="DF74" s="208">
        <v>0</v>
      </c>
      <c r="DG74" s="208">
        <v>0</v>
      </c>
      <c r="DH74" s="208">
        <v>0</v>
      </c>
      <c r="DI74" s="208">
        <v>0</v>
      </c>
      <c r="DJ74" s="208">
        <v>0</v>
      </c>
      <c r="DK74" s="208">
        <v>0</v>
      </c>
      <c r="DL74" s="208">
        <v>0</v>
      </c>
      <c r="DM74" s="208">
        <v>0</v>
      </c>
      <c r="DN74" s="208">
        <v>0</v>
      </c>
      <c r="DO74" s="208">
        <v>0</v>
      </c>
      <c r="DP74" s="208">
        <v>-407223</v>
      </c>
      <c r="DQ74" s="208">
        <v>0</v>
      </c>
      <c r="DR74" s="208">
        <v>-407223</v>
      </c>
      <c r="DS74" s="208">
        <v>0</v>
      </c>
      <c r="DT74" s="208">
        <v>0</v>
      </c>
      <c r="DU74" s="208">
        <v>0</v>
      </c>
      <c r="DV74" s="208">
        <v>0</v>
      </c>
      <c r="DW74" s="208">
        <v>0</v>
      </c>
      <c r="DX74" s="208">
        <v>0</v>
      </c>
      <c r="DY74" s="208">
        <v>0</v>
      </c>
      <c r="DZ74" s="208">
        <v>0</v>
      </c>
      <c r="EA74" s="208">
        <v>0</v>
      </c>
      <c r="EB74" s="208">
        <v>0</v>
      </c>
      <c r="EC74" s="208">
        <v>0</v>
      </c>
      <c r="ED74" s="208">
        <v>0</v>
      </c>
      <c r="EE74" s="208">
        <v>0</v>
      </c>
      <c r="EF74" s="208">
        <v>0</v>
      </c>
      <c r="EG74" s="208">
        <v>0</v>
      </c>
      <c r="EH74" s="208">
        <v>0</v>
      </c>
      <c r="EI74" s="208">
        <v>0</v>
      </c>
      <c r="EJ74" s="208">
        <v>0</v>
      </c>
      <c r="EK74" s="208">
        <v>0</v>
      </c>
      <c r="EL74" s="208">
        <v>0</v>
      </c>
      <c r="EM74" s="208">
        <v>0</v>
      </c>
      <c r="EN74" s="208">
        <v>0</v>
      </c>
      <c r="EO74" s="208">
        <v>0</v>
      </c>
      <c r="EP74" s="208">
        <v>0</v>
      </c>
      <c r="EQ74" s="208">
        <v>0</v>
      </c>
      <c r="ER74" s="208">
        <v>0</v>
      </c>
      <c r="ES74" s="208">
        <v>0</v>
      </c>
      <c r="ET74" s="208">
        <v>0</v>
      </c>
      <c r="EU74" s="208">
        <v>0</v>
      </c>
      <c r="EV74" s="208">
        <v>0</v>
      </c>
      <c r="EW74" s="208">
        <v>-15182</v>
      </c>
      <c r="EX74" s="208">
        <v>0</v>
      </c>
      <c r="EY74" s="208">
        <v>-15182</v>
      </c>
      <c r="EZ74" s="208">
        <v>288</v>
      </c>
      <c r="FA74" s="208">
        <v>0</v>
      </c>
      <c r="FB74" s="208">
        <v>288</v>
      </c>
      <c r="FC74" s="208">
        <v>-82785</v>
      </c>
      <c r="FD74" s="208">
        <v>0</v>
      </c>
      <c r="FE74" s="208">
        <v>-82785</v>
      </c>
      <c r="FF74" s="208">
        <v>15461</v>
      </c>
      <c r="FG74" s="208">
        <v>0</v>
      </c>
      <c r="FH74" s="208">
        <v>15461</v>
      </c>
      <c r="FI74" s="208">
        <v>-17940</v>
      </c>
      <c r="FJ74" s="208">
        <v>0</v>
      </c>
      <c r="FK74" s="208">
        <v>-17940</v>
      </c>
      <c r="FL74" s="208">
        <v>0</v>
      </c>
      <c r="FM74" s="208">
        <v>0</v>
      </c>
      <c r="FN74" s="208">
        <v>0</v>
      </c>
      <c r="FO74" s="208">
        <v>0</v>
      </c>
      <c r="FP74" s="208">
        <v>0</v>
      </c>
      <c r="FQ74" s="208">
        <v>0</v>
      </c>
      <c r="FR74" s="208">
        <v>0</v>
      </c>
      <c r="FS74" s="208">
        <v>0</v>
      </c>
      <c r="FT74" s="208">
        <v>0</v>
      </c>
      <c r="FU74" s="208">
        <v>-100158</v>
      </c>
      <c r="FV74" s="208">
        <v>0</v>
      </c>
      <c r="FW74" s="208">
        <v>-100158</v>
      </c>
      <c r="FX74" s="208">
        <v>0</v>
      </c>
      <c r="FY74" s="208">
        <v>0</v>
      </c>
      <c r="FZ74" s="208">
        <v>0</v>
      </c>
      <c r="GA74" s="208">
        <v>0</v>
      </c>
      <c r="GB74" s="208">
        <v>0</v>
      </c>
      <c r="GC74" s="208">
        <v>0</v>
      </c>
      <c r="GD74" s="208">
        <v>0</v>
      </c>
      <c r="GE74" s="208">
        <v>0</v>
      </c>
      <c r="GF74" s="208">
        <v>0</v>
      </c>
      <c r="GG74" s="208">
        <v>130351512</v>
      </c>
      <c r="GH74" s="208">
        <v>0</v>
      </c>
      <c r="GI74" s="208">
        <v>130351512</v>
      </c>
      <c r="GJ74" s="208">
        <v>2344960</v>
      </c>
      <c r="GK74" s="208">
        <v>0</v>
      </c>
      <c r="GL74" s="208">
        <v>2344960</v>
      </c>
      <c r="GM74" s="208">
        <v>-1909759</v>
      </c>
      <c r="GN74" s="208">
        <v>0</v>
      </c>
      <c r="GO74" s="208">
        <v>-1909759</v>
      </c>
      <c r="GP74" s="208">
        <v>-3704084</v>
      </c>
      <c r="GQ74" s="208">
        <v>0</v>
      </c>
      <c r="GR74" s="208">
        <v>-3704084</v>
      </c>
      <c r="GS74" s="208">
        <v>-407223</v>
      </c>
      <c r="GT74" s="208">
        <v>0</v>
      </c>
      <c r="GU74" s="208">
        <v>-407223</v>
      </c>
      <c r="GV74" s="208">
        <v>-100158</v>
      </c>
      <c r="GW74" s="208">
        <v>0</v>
      </c>
      <c r="GX74" s="208">
        <v>-100158</v>
      </c>
      <c r="GY74" s="208">
        <v>0</v>
      </c>
      <c r="GZ74" s="208">
        <v>0</v>
      </c>
      <c r="HA74" s="208">
        <v>0</v>
      </c>
      <c r="HB74" s="208">
        <v>-3776264</v>
      </c>
      <c r="HC74" s="208">
        <v>0</v>
      </c>
      <c r="HD74" s="208">
        <v>-3776264</v>
      </c>
      <c r="HE74" s="208">
        <v>126575248</v>
      </c>
      <c r="HF74" s="208">
        <v>0</v>
      </c>
      <c r="HG74" s="208">
        <v>126575248</v>
      </c>
      <c r="HH74" s="187" t="s">
        <v>1054</v>
      </c>
    </row>
    <row r="75" spans="1:216" s="187" customFormat="1" x14ac:dyDescent="0.2">
      <c r="B75" s="429" t="s">
        <v>229</v>
      </c>
      <c r="C75" s="429" t="s">
        <v>228</v>
      </c>
      <c r="D75" s="208">
        <v>-8141683</v>
      </c>
      <c r="E75" s="208">
        <v>-353889</v>
      </c>
      <c r="F75" s="208">
        <v>-8495572</v>
      </c>
      <c r="G75" s="208">
        <v>241758</v>
      </c>
      <c r="H75" s="208">
        <v>724</v>
      </c>
      <c r="I75" s="208">
        <v>242482</v>
      </c>
      <c r="J75" s="208">
        <v>1885784</v>
      </c>
      <c r="K75" s="208">
        <v>1394711</v>
      </c>
      <c r="L75" s="208">
        <v>3280495</v>
      </c>
      <c r="M75" s="208">
        <v>15023</v>
      </c>
      <c r="N75" s="208">
        <v>-359015</v>
      </c>
      <c r="O75" s="208">
        <v>-343992</v>
      </c>
      <c r="P75" s="208">
        <v>-5999118</v>
      </c>
      <c r="Q75" s="208">
        <v>682531</v>
      </c>
      <c r="R75" s="208">
        <v>-5316587</v>
      </c>
      <c r="S75" s="208">
        <v>-7781123</v>
      </c>
      <c r="T75" s="208">
        <v>-302335</v>
      </c>
      <c r="U75" s="208">
        <v>-8083458</v>
      </c>
      <c r="V75" s="208">
        <v>-34589</v>
      </c>
      <c r="W75" s="208">
        <v>-1256</v>
      </c>
      <c r="X75" s="208">
        <v>-35845</v>
      </c>
      <c r="Y75" s="208">
        <v>-205279</v>
      </c>
      <c r="Z75" s="208">
        <v>-25484</v>
      </c>
      <c r="AA75" s="208">
        <v>-230763</v>
      </c>
      <c r="AB75" s="208">
        <v>-172369</v>
      </c>
      <c r="AC75" s="208">
        <v>0</v>
      </c>
      <c r="AD75" s="208">
        <v>-172369</v>
      </c>
      <c r="AE75" s="208">
        <v>-31551</v>
      </c>
      <c r="AF75" s="208">
        <v>0</v>
      </c>
      <c r="AG75" s="208">
        <v>-31551</v>
      </c>
      <c r="AH75" s="208">
        <v>-2252</v>
      </c>
      <c r="AI75" s="208">
        <v>0</v>
      </c>
      <c r="AJ75" s="208">
        <v>-2252</v>
      </c>
      <c r="AK75" s="208">
        <v>-93</v>
      </c>
      <c r="AL75" s="208">
        <v>0</v>
      </c>
      <c r="AM75" s="208">
        <v>-93</v>
      </c>
      <c r="AN75" s="208">
        <v>2539887</v>
      </c>
      <c r="AO75" s="208">
        <v>666512</v>
      </c>
      <c r="AP75" s="208">
        <v>3206399</v>
      </c>
      <c r="AQ75" s="208">
        <v>15869</v>
      </c>
      <c r="AR75" s="208">
        <v>-14574</v>
      </c>
      <c r="AS75" s="208">
        <v>1295</v>
      </c>
      <c r="AT75" s="208">
        <v>-10918885</v>
      </c>
      <c r="AU75" s="208">
        <v>-353315</v>
      </c>
      <c r="AV75" s="208">
        <v>-11272200</v>
      </c>
      <c r="AW75" s="208">
        <v>-78691</v>
      </c>
      <c r="AX75" s="208">
        <v>-6657</v>
      </c>
      <c r="AY75" s="208">
        <v>-85348</v>
      </c>
      <c r="AZ75" s="208">
        <v>-218240</v>
      </c>
      <c r="BA75" s="208">
        <v>0</v>
      </c>
      <c r="BB75" s="208">
        <v>-218240</v>
      </c>
      <c r="BC75" s="208">
        <v>-6947</v>
      </c>
      <c r="BD75" s="208">
        <v>0</v>
      </c>
      <c r="BE75" s="208">
        <v>-6947</v>
      </c>
      <c r="BF75" s="208">
        <v>0</v>
      </c>
      <c r="BG75" s="208">
        <v>0</v>
      </c>
      <c r="BH75" s="208">
        <v>0</v>
      </c>
      <c r="BI75" s="208">
        <v>0</v>
      </c>
      <c r="BJ75" s="208">
        <v>0</v>
      </c>
      <c r="BK75" s="208">
        <v>0</v>
      </c>
      <c r="BL75" s="208">
        <v>-16653409</v>
      </c>
      <c r="BM75" s="208">
        <v>-35853</v>
      </c>
      <c r="BN75" s="208">
        <v>-16689262</v>
      </c>
      <c r="BO75" s="208">
        <v>-138714</v>
      </c>
      <c r="BP75" s="208">
        <v>-326549</v>
      </c>
      <c r="BQ75" s="208">
        <v>-465263</v>
      </c>
      <c r="BR75" s="208">
        <v>766</v>
      </c>
      <c r="BS75" s="208">
        <v>952820</v>
      </c>
      <c r="BT75" s="208">
        <v>953586</v>
      </c>
      <c r="BU75" s="208">
        <v>-3985038</v>
      </c>
      <c r="BV75" s="208">
        <v>-5463477</v>
      </c>
      <c r="BW75" s="208">
        <v>-9448515</v>
      </c>
      <c r="BX75" s="208">
        <v>1113887</v>
      </c>
      <c r="BY75" s="208">
        <v>608917</v>
      </c>
      <c r="BZ75" s="208">
        <v>1722804</v>
      </c>
      <c r="CA75" s="208">
        <v>-3009099</v>
      </c>
      <c r="CB75" s="208">
        <v>-4228289</v>
      </c>
      <c r="CC75" s="208">
        <v>-7237388</v>
      </c>
      <c r="CD75" s="208">
        <v>-130157</v>
      </c>
      <c r="CE75" s="208">
        <v>-5259</v>
      </c>
      <c r="CF75" s="208">
        <v>-135416</v>
      </c>
      <c r="CG75" s="208">
        <v>-466</v>
      </c>
      <c r="CH75" s="208">
        <v>0</v>
      </c>
      <c r="CI75" s="208">
        <v>-466</v>
      </c>
      <c r="CJ75" s="208">
        <v>-212013</v>
      </c>
      <c r="CK75" s="208">
        <v>-603162</v>
      </c>
      <c r="CL75" s="208">
        <v>-815175</v>
      </c>
      <c r="CM75" s="208">
        <v>-49899</v>
      </c>
      <c r="CN75" s="208">
        <v>0</v>
      </c>
      <c r="CO75" s="208">
        <v>-49899</v>
      </c>
      <c r="CP75" s="208">
        <v>0</v>
      </c>
      <c r="CQ75" s="208">
        <v>0</v>
      </c>
      <c r="CR75" s="208">
        <v>0</v>
      </c>
      <c r="CS75" s="208">
        <v>0</v>
      </c>
      <c r="CT75" s="208">
        <v>0</v>
      </c>
      <c r="CU75" s="208">
        <v>0</v>
      </c>
      <c r="CV75" s="208">
        <v>0</v>
      </c>
      <c r="CW75" s="208">
        <v>0</v>
      </c>
      <c r="CX75" s="208">
        <v>0</v>
      </c>
      <c r="CY75" s="208">
        <v>0</v>
      </c>
      <c r="CZ75" s="208">
        <v>0</v>
      </c>
      <c r="DA75" s="208">
        <v>0</v>
      </c>
      <c r="DB75" s="208">
        <v>0</v>
      </c>
      <c r="DC75" s="208">
        <v>0</v>
      </c>
      <c r="DD75" s="208">
        <v>0</v>
      </c>
      <c r="DE75" s="208">
        <v>0</v>
      </c>
      <c r="DF75" s="208">
        <v>0</v>
      </c>
      <c r="DG75" s="208">
        <v>0</v>
      </c>
      <c r="DH75" s="208">
        <v>0</v>
      </c>
      <c r="DI75" s="208">
        <v>0</v>
      </c>
      <c r="DJ75" s="208">
        <v>0</v>
      </c>
      <c r="DK75" s="208">
        <v>0</v>
      </c>
      <c r="DL75" s="208">
        <v>0</v>
      </c>
      <c r="DM75" s="208">
        <v>0</v>
      </c>
      <c r="DN75" s="208">
        <v>0</v>
      </c>
      <c r="DO75" s="208">
        <v>0</v>
      </c>
      <c r="DP75" s="208">
        <v>-392535</v>
      </c>
      <c r="DQ75" s="208">
        <v>-608421</v>
      </c>
      <c r="DR75" s="208">
        <v>-1000956</v>
      </c>
      <c r="DS75" s="208">
        <v>0</v>
      </c>
      <c r="DT75" s="208">
        <v>0</v>
      </c>
      <c r="DU75" s="208">
        <v>0</v>
      </c>
      <c r="DV75" s="208">
        <v>0</v>
      </c>
      <c r="DW75" s="208">
        <v>0</v>
      </c>
      <c r="DX75" s="208">
        <v>0</v>
      </c>
      <c r="DY75" s="208">
        <v>0</v>
      </c>
      <c r="DZ75" s="208">
        <v>0</v>
      </c>
      <c r="EA75" s="208">
        <v>0</v>
      </c>
      <c r="EB75" s="208">
        <v>0</v>
      </c>
      <c r="EC75" s="208">
        <v>0</v>
      </c>
      <c r="ED75" s="208">
        <v>0</v>
      </c>
      <c r="EE75" s="208">
        <v>0</v>
      </c>
      <c r="EF75" s="208">
        <v>0</v>
      </c>
      <c r="EG75" s="208">
        <v>0</v>
      </c>
      <c r="EH75" s="208">
        <v>0</v>
      </c>
      <c r="EI75" s="208">
        <v>0</v>
      </c>
      <c r="EJ75" s="208">
        <v>0</v>
      </c>
      <c r="EK75" s="208">
        <v>0</v>
      </c>
      <c r="EL75" s="208">
        <v>0</v>
      </c>
      <c r="EM75" s="208">
        <v>0</v>
      </c>
      <c r="EN75" s="208">
        <v>0</v>
      </c>
      <c r="EO75" s="208">
        <v>0</v>
      </c>
      <c r="EP75" s="208">
        <v>0</v>
      </c>
      <c r="EQ75" s="208">
        <v>0</v>
      </c>
      <c r="ER75" s="208">
        <v>0</v>
      </c>
      <c r="ES75" s="208">
        <v>0</v>
      </c>
      <c r="ET75" s="208">
        <v>0</v>
      </c>
      <c r="EU75" s="208">
        <v>0</v>
      </c>
      <c r="EV75" s="208">
        <v>0</v>
      </c>
      <c r="EW75" s="208">
        <v>-274627</v>
      </c>
      <c r="EX75" s="208">
        <v>-3203</v>
      </c>
      <c r="EY75" s="208">
        <v>-277830</v>
      </c>
      <c r="EZ75" s="208">
        <v>1624</v>
      </c>
      <c r="FA75" s="208">
        <v>0</v>
      </c>
      <c r="FB75" s="208">
        <v>1624</v>
      </c>
      <c r="FC75" s="208">
        <v>-800126</v>
      </c>
      <c r="FD75" s="208">
        <v>-63724</v>
      </c>
      <c r="FE75" s="208">
        <v>-863850</v>
      </c>
      <c r="FF75" s="208">
        <v>36232</v>
      </c>
      <c r="FG75" s="208">
        <v>13564</v>
      </c>
      <c r="FH75" s="208">
        <v>49796</v>
      </c>
      <c r="FI75" s="208">
        <v>-38878</v>
      </c>
      <c r="FJ75" s="208">
        <v>-500</v>
      </c>
      <c r="FK75" s="208">
        <v>-39378</v>
      </c>
      <c r="FL75" s="208">
        <v>1277</v>
      </c>
      <c r="FM75" s="208">
        <v>0</v>
      </c>
      <c r="FN75" s="208">
        <v>1277</v>
      </c>
      <c r="FO75" s="208">
        <v>0</v>
      </c>
      <c r="FP75" s="208">
        <v>0</v>
      </c>
      <c r="FQ75" s="208">
        <v>0</v>
      </c>
      <c r="FR75" s="208">
        <v>0</v>
      </c>
      <c r="FS75" s="208">
        <v>0</v>
      </c>
      <c r="FT75" s="208">
        <v>0</v>
      </c>
      <c r="FU75" s="208">
        <v>-1074498</v>
      </c>
      <c r="FV75" s="208">
        <v>-53863</v>
      </c>
      <c r="FW75" s="208">
        <v>-1128361</v>
      </c>
      <c r="FX75" s="208">
        <v>0</v>
      </c>
      <c r="FY75" s="208">
        <v>0</v>
      </c>
      <c r="FZ75" s="208">
        <v>0</v>
      </c>
      <c r="GA75" s="208">
        <v>0</v>
      </c>
      <c r="GB75" s="208">
        <v>0</v>
      </c>
      <c r="GC75" s="208">
        <v>0</v>
      </c>
      <c r="GD75" s="208">
        <v>0</v>
      </c>
      <c r="GE75" s="208">
        <v>0</v>
      </c>
      <c r="GF75" s="208">
        <v>0</v>
      </c>
      <c r="GG75" s="208">
        <v>126083241</v>
      </c>
      <c r="GH75" s="208">
        <v>26166683</v>
      </c>
      <c r="GI75" s="208">
        <v>152249924</v>
      </c>
      <c r="GJ75" s="208">
        <v>-5999118</v>
      </c>
      <c r="GK75" s="208">
        <v>682531</v>
      </c>
      <c r="GL75" s="208">
        <v>-5316587</v>
      </c>
      <c r="GM75" s="208">
        <v>-16653409</v>
      </c>
      <c r="GN75" s="208">
        <v>-35853</v>
      </c>
      <c r="GO75" s="208">
        <v>-16689262</v>
      </c>
      <c r="GP75" s="208">
        <v>-3009099</v>
      </c>
      <c r="GQ75" s="208">
        <v>-4228289</v>
      </c>
      <c r="GR75" s="208">
        <v>-7237388</v>
      </c>
      <c r="GS75" s="208">
        <v>-392535</v>
      </c>
      <c r="GT75" s="208">
        <v>-608421</v>
      </c>
      <c r="GU75" s="208">
        <v>-1000956</v>
      </c>
      <c r="GV75" s="208">
        <v>-1074498</v>
      </c>
      <c r="GW75" s="208">
        <v>-53863</v>
      </c>
      <c r="GX75" s="208">
        <v>-1128361</v>
      </c>
      <c r="GY75" s="208">
        <v>0</v>
      </c>
      <c r="GZ75" s="208">
        <v>0</v>
      </c>
      <c r="HA75" s="208">
        <v>0</v>
      </c>
      <c r="HB75" s="208">
        <v>-27128659</v>
      </c>
      <c r="HC75" s="208">
        <v>-4243895</v>
      </c>
      <c r="HD75" s="208">
        <v>-31372554</v>
      </c>
      <c r="HE75" s="208">
        <v>98954582</v>
      </c>
      <c r="HF75" s="208">
        <v>21922788</v>
      </c>
      <c r="HG75" s="208">
        <v>120877370</v>
      </c>
      <c r="HH75" s="187" t="s">
        <v>1055</v>
      </c>
    </row>
    <row r="76" spans="1:216" s="187" customFormat="1" x14ac:dyDescent="0.2">
      <c r="B76" s="429" t="s">
        <v>231</v>
      </c>
      <c r="C76" s="429" t="s">
        <v>230</v>
      </c>
      <c r="D76" s="208">
        <v>-1246428</v>
      </c>
      <c r="E76" s="208">
        <v>-594</v>
      </c>
      <c r="F76" s="208">
        <v>-1247022</v>
      </c>
      <c r="G76" s="208">
        <v>87125</v>
      </c>
      <c r="H76" s="208">
        <v>0</v>
      </c>
      <c r="I76" s="208">
        <v>87125</v>
      </c>
      <c r="J76" s="208">
        <v>1111912</v>
      </c>
      <c r="K76" s="208">
        <v>0</v>
      </c>
      <c r="L76" s="208">
        <v>1111912</v>
      </c>
      <c r="M76" s="208">
        <v>7708</v>
      </c>
      <c r="N76" s="208">
        <v>0</v>
      </c>
      <c r="O76" s="208">
        <v>7708</v>
      </c>
      <c r="P76" s="208">
        <v>-39683</v>
      </c>
      <c r="Q76" s="208">
        <v>-594</v>
      </c>
      <c r="R76" s="208">
        <v>-40277</v>
      </c>
      <c r="S76" s="208">
        <v>-3876296</v>
      </c>
      <c r="T76" s="208">
        <v>0</v>
      </c>
      <c r="U76" s="208">
        <v>-3876296</v>
      </c>
      <c r="V76" s="208">
        <v>0</v>
      </c>
      <c r="W76" s="208">
        <v>0</v>
      </c>
      <c r="X76" s="208">
        <v>0</v>
      </c>
      <c r="Y76" s="208">
        <v>-148904</v>
      </c>
      <c r="Z76" s="208">
        <v>0</v>
      </c>
      <c r="AA76" s="208">
        <v>-148904</v>
      </c>
      <c r="AB76" s="208">
        <v>-34170</v>
      </c>
      <c r="AC76" s="208">
        <v>0</v>
      </c>
      <c r="AD76" s="208">
        <v>-34170</v>
      </c>
      <c r="AE76" s="208">
        <v>-114734</v>
      </c>
      <c r="AF76" s="208">
        <v>0</v>
      </c>
      <c r="AG76" s="208">
        <v>-114734</v>
      </c>
      <c r="AH76" s="208">
        <v>0</v>
      </c>
      <c r="AI76" s="208">
        <v>0</v>
      </c>
      <c r="AJ76" s="208">
        <v>0</v>
      </c>
      <c r="AK76" s="208">
        <v>0</v>
      </c>
      <c r="AL76" s="208">
        <v>0</v>
      </c>
      <c r="AM76" s="208">
        <v>0</v>
      </c>
      <c r="AN76" s="208">
        <v>1552258</v>
      </c>
      <c r="AO76" s="208">
        <v>6698</v>
      </c>
      <c r="AP76" s="208">
        <v>1558956</v>
      </c>
      <c r="AQ76" s="208">
        <v>2910</v>
      </c>
      <c r="AR76" s="208">
        <v>0</v>
      </c>
      <c r="AS76" s="208">
        <v>2910</v>
      </c>
      <c r="AT76" s="208">
        <v>-5326488</v>
      </c>
      <c r="AU76" s="208">
        <v>0</v>
      </c>
      <c r="AV76" s="208">
        <v>-5326488</v>
      </c>
      <c r="AW76" s="208">
        <v>59903</v>
      </c>
      <c r="AX76" s="208">
        <v>0</v>
      </c>
      <c r="AY76" s="208">
        <v>59903</v>
      </c>
      <c r="AZ76" s="208">
        <v>-89204</v>
      </c>
      <c r="BA76" s="208">
        <v>0</v>
      </c>
      <c r="BB76" s="208">
        <v>-89204</v>
      </c>
      <c r="BC76" s="208">
        <v>0</v>
      </c>
      <c r="BD76" s="208">
        <v>0</v>
      </c>
      <c r="BE76" s="208">
        <v>0</v>
      </c>
      <c r="BF76" s="208">
        <v>-4264</v>
      </c>
      <c r="BG76" s="208">
        <v>0</v>
      </c>
      <c r="BH76" s="208">
        <v>-4264</v>
      </c>
      <c r="BI76" s="208">
        <v>0</v>
      </c>
      <c r="BJ76" s="208">
        <v>0</v>
      </c>
      <c r="BK76" s="208">
        <v>0</v>
      </c>
      <c r="BL76" s="208">
        <v>-7830085</v>
      </c>
      <c r="BM76" s="208">
        <v>6698</v>
      </c>
      <c r="BN76" s="208">
        <v>-7823387</v>
      </c>
      <c r="BO76" s="208">
        <v>-72336</v>
      </c>
      <c r="BP76" s="208">
        <v>0</v>
      </c>
      <c r="BQ76" s="208">
        <v>-72336</v>
      </c>
      <c r="BR76" s="208">
        <v>-15758</v>
      </c>
      <c r="BS76" s="208">
        <v>0</v>
      </c>
      <c r="BT76" s="208">
        <v>-15758</v>
      </c>
      <c r="BU76" s="208">
        <v>-2321292</v>
      </c>
      <c r="BV76" s="208">
        <v>0</v>
      </c>
      <c r="BW76" s="208">
        <v>-2321292</v>
      </c>
      <c r="BX76" s="208">
        <v>-162346</v>
      </c>
      <c r="BY76" s="208">
        <v>0</v>
      </c>
      <c r="BZ76" s="208">
        <v>-162346</v>
      </c>
      <c r="CA76" s="208">
        <v>-2571732</v>
      </c>
      <c r="CB76" s="208">
        <v>0</v>
      </c>
      <c r="CC76" s="208">
        <v>-2571732</v>
      </c>
      <c r="CD76" s="208">
        <v>-279177</v>
      </c>
      <c r="CE76" s="208">
        <v>0</v>
      </c>
      <c r="CF76" s="208">
        <v>-279177</v>
      </c>
      <c r="CG76" s="208">
        <v>-4201</v>
      </c>
      <c r="CH76" s="208">
        <v>0</v>
      </c>
      <c r="CI76" s="208">
        <v>-4201</v>
      </c>
      <c r="CJ76" s="208">
        <v>-540</v>
      </c>
      <c r="CK76" s="208">
        <v>0</v>
      </c>
      <c r="CL76" s="208">
        <v>-540</v>
      </c>
      <c r="CM76" s="208">
        <v>0</v>
      </c>
      <c r="CN76" s="208">
        <v>0</v>
      </c>
      <c r="CO76" s="208">
        <v>0</v>
      </c>
      <c r="CP76" s="208">
        <v>-215</v>
      </c>
      <c r="CQ76" s="208">
        <v>0</v>
      </c>
      <c r="CR76" s="208">
        <v>-215</v>
      </c>
      <c r="CS76" s="208">
        <v>0</v>
      </c>
      <c r="CT76" s="208">
        <v>0</v>
      </c>
      <c r="CU76" s="208">
        <v>0</v>
      </c>
      <c r="CV76" s="208">
        <v>0</v>
      </c>
      <c r="CW76" s="208">
        <v>0</v>
      </c>
      <c r="CX76" s="208">
        <v>0</v>
      </c>
      <c r="CY76" s="208">
        <v>0</v>
      </c>
      <c r="CZ76" s="208">
        <v>0</v>
      </c>
      <c r="DA76" s="208">
        <v>0</v>
      </c>
      <c r="DB76" s="208">
        <v>0</v>
      </c>
      <c r="DC76" s="208">
        <v>0</v>
      </c>
      <c r="DD76" s="208">
        <v>0</v>
      </c>
      <c r="DE76" s="208">
        <v>0</v>
      </c>
      <c r="DF76" s="208">
        <v>0</v>
      </c>
      <c r="DG76" s="208">
        <v>0</v>
      </c>
      <c r="DH76" s="208">
        <v>0</v>
      </c>
      <c r="DI76" s="208">
        <v>-18521</v>
      </c>
      <c r="DJ76" s="208">
        <v>-18521</v>
      </c>
      <c r="DK76" s="208">
        <v>0</v>
      </c>
      <c r="DL76" s="208">
        <v>0</v>
      </c>
      <c r="DM76" s="208">
        <v>0</v>
      </c>
      <c r="DN76" s="208">
        <v>-18521</v>
      </c>
      <c r="DO76" s="208">
        <v>0</v>
      </c>
      <c r="DP76" s="208">
        <v>-284133</v>
      </c>
      <c r="DQ76" s="208">
        <v>-18521</v>
      </c>
      <c r="DR76" s="208">
        <v>-302654</v>
      </c>
      <c r="DS76" s="208">
        <v>0</v>
      </c>
      <c r="DT76" s="208">
        <v>0</v>
      </c>
      <c r="DU76" s="208">
        <v>0</v>
      </c>
      <c r="DV76" s="208">
        <v>0</v>
      </c>
      <c r="DW76" s="208">
        <v>0</v>
      </c>
      <c r="DX76" s="208">
        <v>0</v>
      </c>
      <c r="DY76" s="208">
        <v>2418</v>
      </c>
      <c r="DZ76" s="208">
        <v>0</v>
      </c>
      <c r="EA76" s="208">
        <v>2418</v>
      </c>
      <c r="EB76" s="208">
        <v>0</v>
      </c>
      <c r="EC76" s="208">
        <v>0</v>
      </c>
      <c r="ED76" s="208">
        <v>0</v>
      </c>
      <c r="EE76" s="208">
        <v>0</v>
      </c>
      <c r="EF76" s="208">
        <v>0</v>
      </c>
      <c r="EG76" s="208">
        <v>0</v>
      </c>
      <c r="EH76" s="208">
        <v>0</v>
      </c>
      <c r="EI76" s="208">
        <v>0</v>
      </c>
      <c r="EJ76" s="208">
        <v>0</v>
      </c>
      <c r="EK76" s="208">
        <v>-4264</v>
      </c>
      <c r="EL76" s="208">
        <v>0</v>
      </c>
      <c r="EM76" s="208">
        <v>-4264</v>
      </c>
      <c r="EN76" s="208">
        <v>0</v>
      </c>
      <c r="EO76" s="208">
        <v>0</v>
      </c>
      <c r="EP76" s="208">
        <v>0</v>
      </c>
      <c r="EQ76" s="208">
        <v>0</v>
      </c>
      <c r="ER76" s="208">
        <v>0</v>
      </c>
      <c r="ES76" s="208">
        <v>0</v>
      </c>
      <c r="ET76" s="208">
        <v>0</v>
      </c>
      <c r="EU76" s="208">
        <v>0</v>
      </c>
      <c r="EV76" s="208">
        <v>0</v>
      </c>
      <c r="EW76" s="208">
        <v>-18540</v>
      </c>
      <c r="EX76" s="208">
        <v>0</v>
      </c>
      <c r="EY76" s="208">
        <v>-18540</v>
      </c>
      <c r="EZ76" s="208">
        <v>6</v>
      </c>
      <c r="FA76" s="208">
        <v>0</v>
      </c>
      <c r="FB76" s="208">
        <v>6</v>
      </c>
      <c r="FC76" s="208">
        <v>-176482</v>
      </c>
      <c r="FD76" s="208">
        <v>0</v>
      </c>
      <c r="FE76" s="208">
        <v>-176482</v>
      </c>
      <c r="FF76" s="208">
        <v>2700.26</v>
      </c>
      <c r="FG76" s="208">
        <v>0</v>
      </c>
      <c r="FH76" s="208">
        <v>2700.26</v>
      </c>
      <c r="FI76" s="208">
        <v>-41800</v>
      </c>
      <c r="FJ76" s="208">
        <v>0</v>
      </c>
      <c r="FK76" s="208">
        <v>-41800</v>
      </c>
      <c r="FL76" s="208">
        <v>3000</v>
      </c>
      <c r="FM76" s="208">
        <v>0</v>
      </c>
      <c r="FN76" s="208">
        <v>3000</v>
      </c>
      <c r="FO76" s="208">
        <v>0</v>
      </c>
      <c r="FP76" s="208">
        <v>0</v>
      </c>
      <c r="FQ76" s="208">
        <v>0</v>
      </c>
      <c r="FR76" s="208">
        <v>0</v>
      </c>
      <c r="FS76" s="208">
        <v>0</v>
      </c>
      <c r="FT76" s="208">
        <v>0</v>
      </c>
      <c r="FU76" s="208">
        <v>-232962</v>
      </c>
      <c r="FV76" s="208">
        <v>0</v>
      </c>
      <c r="FW76" s="208">
        <v>-232962</v>
      </c>
      <c r="FX76" s="208">
        <v>0</v>
      </c>
      <c r="FY76" s="208">
        <v>0</v>
      </c>
      <c r="FZ76" s="208">
        <v>0</v>
      </c>
      <c r="GA76" s="208">
        <v>0</v>
      </c>
      <c r="GB76" s="208">
        <v>0</v>
      </c>
      <c r="GC76" s="208">
        <v>0</v>
      </c>
      <c r="GD76" s="208">
        <v>0</v>
      </c>
      <c r="GE76" s="208">
        <v>0</v>
      </c>
      <c r="GF76" s="208">
        <v>0</v>
      </c>
      <c r="GG76" s="208">
        <v>76551195</v>
      </c>
      <c r="GH76" s="208">
        <v>257332</v>
      </c>
      <c r="GI76" s="208">
        <v>76808527</v>
      </c>
      <c r="GJ76" s="208">
        <v>-39683</v>
      </c>
      <c r="GK76" s="208">
        <v>-594</v>
      </c>
      <c r="GL76" s="208">
        <v>-40277</v>
      </c>
      <c r="GM76" s="208">
        <v>-7830085</v>
      </c>
      <c r="GN76" s="208">
        <v>6698</v>
      </c>
      <c r="GO76" s="208">
        <v>-7823387</v>
      </c>
      <c r="GP76" s="208">
        <v>-2571732</v>
      </c>
      <c r="GQ76" s="208">
        <v>0</v>
      </c>
      <c r="GR76" s="208">
        <v>-2571732</v>
      </c>
      <c r="GS76" s="208">
        <v>-284133</v>
      </c>
      <c r="GT76" s="208">
        <v>-18521</v>
      </c>
      <c r="GU76" s="208">
        <v>-302654</v>
      </c>
      <c r="GV76" s="208">
        <v>-232962</v>
      </c>
      <c r="GW76" s="208">
        <v>0</v>
      </c>
      <c r="GX76" s="208">
        <v>-232962</v>
      </c>
      <c r="GY76" s="208">
        <v>0</v>
      </c>
      <c r="GZ76" s="208">
        <v>0</v>
      </c>
      <c r="HA76" s="208">
        <v>0</v>
      </c>
      <c r="HB76" s="208">
        <v>-10958595</v>
      </c>
      <c r="HC76" s="208">
        <v>-12417</v>
      </c>
      <c r="HD76" s="208">
        <v>-10971012</v>
      </c>
      <c r="HE76" s="208">
        <v>65592600</v>
      </c>
      <c r="HF76" s="208">
        <v>244915</v>
      </c>
      <c r="HG76" s="208">
        <v>65837515</v>
      </c>
      <c r="HH76" s="187" t="s">
        <v>1054</v>
      </c>
    </row>
    <row r="77" spans="1:216" s="187" customFormat="1" x14ac:dyDescent="0.2">
      <c r="B77" s="429" t="s">
        <v>233</v>
      </c>
      <c r="C77" s="429" t="s">
        <v>232</v>
      </c>
      <c r="D77" s="208">
        <v>-496645</v>
      </c>
      <c r="E77" s="208">
        <v>0</v>
      </c>
      <c r="F77" s="208">
        <v>-496645</v>
      </c>
      <c r="G77" s="208">
        <v>15544</v>
      </c>
      <c r="H77" s="208">
        <v>0</v>
      </c>
      <c r="I77" s="208">
        <v>15544</v>
      </c>
      <c r="J77" s="208">
        <v>2850525</v>
      </c>
      <c r="K77" s="208">
        <v>4164</v>
      </c>
      <c r="L77" s="208">
        <v>2854689</v>
      </c>
      <c r="M77" s="208">
        <v>33711</v>
      </c>
      <c r="N77" s="208">
        <v>0</v>
      </c>
      <c r="O77" s="208">
        <v>33711</v>
      </c>
      <c r="P77" s="208">
        <v>2403135</v>
      </c>
      <c r="Q77" s="208">
        <v>4164</v>
      </c>
      <c r="R77" s="208">
        <v>2407299</v>
      </c>
      <c r="S77" s="208">
        <v>-3982108</v>
      </c>
      <c r="T77" s="208">
        <v>-77261</v>
      </c>
      <c r="U77" s="208">
        <v>-4059369</v>
      </c>
      <c r="V77" s="208">
        <v>-19433</v>
      </c>
      <c r="W77" s="208">
        <v>-1368</v>
      </c>
      <c r="X77" s="208">
        <v>-20801</v>
      </c>
      <c r="Y77" s="208">
        <v>-125332</v>
      </c>
      <c r="Z77" s="208">
        <v>0</v>
      </c>
      <c r="AA77" s="208">
        <v>-125332</v>
      </c>
      <c r="AB77" s="208">
        <v>-14207</v>
      </c>
      <c r="AC77" s="208">
        <v>0</v>
      </c>
      <c r="AD77" s="208">
        <v>-14207</v>
      </c>
      <c r="AE77" s="208">
        <v>-111125</v>
      </c>
      <c r="AF77" s="208">
        <v>0</v>
      </c>
      <c r="AG77" s="208">
        <v>-111125</v>
      </c>
      <c r="AH77" s="208">
        <v>-619</v>
      </c>
      <c r="AI77" s="208">
        <v>0</v>
      </c>
      <c r="AJ77" s="208">
        <v>-619</v>
      </c>
      <c r="AK77" s="208">
        <v>969</v>
      </c>
      <c r="AL77" s="208">
        <v>0</v>
      </c>
      <c r="AM77" s="208">
        <v>969</v>
      </c>
      <c r="AN77" s="208">
        <v>741566</v>
      </c>
      <c r="AO77" s="208">
        <v>4653</v>
      </c>
      <c r="AP77" s="208">
        <v>746219</v>
      </c>
      <c r="AQ77" s="208">
        <v>14777</v>
      </c>
      <c r="AR77" s="208">
        <v>0</v>
      </c>
      <c r="AS77" s="208">
        <v>14777</v>
      </c>
      <c r="AT77" s="208">
        <v>-2855546</v>
      </c>
      <c r="AU77" s="208">
        <v>0</v>
      </c>
      <c r="AV77" s="208">
        <v>-2855546</v>
      </c>
      <c r="AW77" s="208">
        <v>-34552</v>
      </c>
      <c r="AX77" s="208">
        <v>0</v>
      </c>
      <c r="AY77" s="208">
        <v>-34552</v>
      </c>
      <c r="AZ77" s="208">
        <v>-52757</v>
      </c>
      <c r="BA77" s="208">
        <v>0</v>
      </c>
      <c r="BB77" s="208">
        <v>-52757</v>
      </c>
      <c r="BC77" s="208">
        <v>0</v>
      </c>
      <c r="BD77" s="208">
        <v>0</v>
      </c>
      <c r="BE77" s="208">
        <v>0</v>
      </c>
      <c r="BF77" s="208">
        <v>0</v>
      </c>
      <c r="BG77" s="208">
        <v>0</v>
      </c>
      <c r="BH77" s="208">
        <v>0</v>
      </c>
      <c r="BI77" s="208">
        <v>0</v>
      </c>
      <c r="BJ77" s="208">
        <v>0</v>
      </c>
      <c r="BK77" s="208">
        <v>0</v>
      </c>
      <c r="BL77" s="208">
        <v>-6293952</v>
      </c>
      <c r="BM77" s="208">
        <v>-72608</v>
      </c>
      <c r="BN77" s="208">
        <v>-6366560</v>
      </c>
      <c r="BO77" s="208">
        <v>-4247</v>
      </c>
      <c r="BP77" s="208">
        <v>0</v>
      </c>
      <c r="BQ77" s="208">
        <v>-4247</v>
      </c>
      <c r="BR77" s="208">
        <v>62524</v>
      </c>
      <c r="BS77" s="208">
        <v>0</v>
      </c>
      <c r="BT77" s="208">
        <v>62524</v>
      </c>
      <c r="BU77" s="208">
        <v>-1444969</v>
      </c>
      <c r="BV77" s="208">
        <v>-4309</v>
      </c>
      <c r="BW77" s="208">
        <v>-1449278</v>
      </c>
      <c r="BX77" s="208">
        <v>-38532</v>
      </c>
      <c r="BY77" s="208">
        <v>0</v>
      </c>
      <c r="BZ77" s="208">
        <v>-38532</v>
      </c>
      <c r="CA77" s="208">
        <v>-1425224</v>
      </c>
      <c r="CB77" s="208">
        <v>-4309</v>
      </c>
      <c r="CC77" s="208">
        <v>-1429533</v>
      </c>
      <c r="CD77" s="208">
        <v>0</v>
      </c>
      <c r="CE77" s="208">
        <v>0</v>
      </c>
      <c r="CF77" s="208">
        <v>0</v>
      </c>
      <c r="CG77" s="208">
        <v>0</v>
      </c>
      <c r="CH77" s="208">
        <v>0</v>
      </c>
      <c r="CI77" s="208">
        <v>0</v>
      </c>
      <c r="CJ77" s="208">
        <v>0</v>
      </c>
      <c r="CK77" s="208">
        <v>0</v>
      </c>
      <c r="CL77" s="208">
        <v>0</v>
      </c>
      <c r="CM77" s="208">
        <v>0</v>
      </c>
      <c r="CN77" s="208">
        <v>0</v>
      </c>
      <c r="CO77" s="208">
        <v>0</v>
      </c>
      <c r="CP77" s="208">
        <v>0</v>
      </c>
      <c r="CQ77" s="208">
        <v>0</v>
      </c>
      <c r="CR77" s="208">
        <v>0</v>
      </c>
      <c r="CS77" s="208">
        <v>0</v>
      </c>
      <c r="CT77" s="208">
        <v>0</v>
      </c>
      <c r="CU77" s="208">
        <v>0</v>
      </c>
      <c r="CV77" s="208">
        <v>0</v>
      </c>
      <c r="CW77" s="208">
        <v>0</v>
      </c>
      <c r="CX77" s="208">
        <v>0</v>
      </c>
      <c r="CY77" s="208">
        <v>0</v>
      </c>
      <c r="CZ77" s="208">
        <v>0</v>
      </c>
      <c r="DA77" s="208">
        <v>0</v>
      </c>
      <c r="DB77" s="208">
        <v>0</v>
      </c>
      <c r="DC77" s="208">
        <v>0</v>
      </c>
      <c r="DD77" s="208">
        <v>0</v>
      </c>
      <c r="DE77" s="208">
        <v>0</v>
      </c>
      <c r="DF77" s="208">
        <v>0</v>
      </c>
      <c r="DG77" s="208">
        <v>0</v>
      </c>
      <c r="DH77" s="208">
        <v>0</v>
      </c>
      <c r="DI77" s="208">
        <v>-27574</v>
      </c>
      <c r="DJ77" s="208">
        <v>-27574</v>
      </c>
      <c r="DK77" s="208">
        <v>0</v>
      </c>
      <c r="DL77" s="208">
        <v>0</v>
      </c>
      <c r="DM77" s="208">
        <v>0</v>
      </c>
      <c r="DN77" s="208">
        <v>-27574</v>
      </c>
      <c r="DO77" s="208">
        <v>0</v>
      </c>
      <c r="DP77" s="208">
        <v>0</v>
      </c>
      <c r="DQ77" s="208">
        <v>-27574</v>
      </c>
      <c r="DR77" s="208">
        <v>-27574</v>
      </c>
      <c r="DS77" s="208">
        <v>0</v>
      </c>
      <c r="DT77" s="208">
        <v>0</v>
      </c>
      <c r="DU77" s="208">
        <v>0</v>
      </c>
      <c r="DV77" s="208">
        <v>30</v>
      </c>
      <c r="DW77" s="208">
        <v>0</v>
      </c>
      <c r="DX77" s="208">
        <v>30</v>
      </c>
      <c r="DY77" s="208">
        <v>0</v>
      </c>
      <c r="DZ77" s="208">
        <v>0</v>
      </c>
      <c r="EA77" s="208">
        <v>0</v>
      </c>
      <c r="EB77" s="208">
        <v>0</v>
      </c>
      <c r="EC77" s="208">
        <v>0</v>
      </c>
      <c r="ED77" s="208">
        <v>0</v>
      </c>
      <c r="EE77" s="208">
        <v>0</v>
      </c>
      <c r="EF77" s="208">
        <v>0</v>
      </c>
      <c r="EG77" s="208">
        <v>0</v>
      </c>
      <c r="EH77" s="208">
        <v>0</v>
      </c>
      <c r="EI77" s="208">
        <v>0</v>
      </c>
      <c r="EJ77" s="208">
        <v>0</v>
      </c>
      <c r="EK77" s="208">
        <v>0</v>
      </c>
      <c r="EL77" s="208">
        <v>0</v>
      </c>
      <c r="EM77" s="208">
        <v>0</v>
      </c>
      <c r="EN77" s="208">
        <v>0</v>
      </c>
      <c r="EO77" s="208">
        <v>0</v>
      </c>
      <c r="EP77" s="208">
        <v>0</v>
      </c>
      <c r="EQ77" s="208">
        <v>-1500</v>
      </c>
      <c r="ER77" s="208">
        <v>0</v>
      </c>
      <c r="ES77" s="208">
        <v>-1500</v>
      </c>
      <c r="ET77" s="208">
        <v>0</v>
      </c>
      <c r="EU77" s="208">
        <v>0</v>
      </c>
      <c r="EV77" s="208">
        <v>0</v>
      </c>
      <c r="EW77" s="208">
        <v>-18684</v>
      </c>
      <c r="EX77" s="208">
        <v>0</v>
      </c>
      <c r="EY77" s="208">
        <v>-18684</v>
      </c>
      <c r="EZ77" s="208">
        <v>0</v>
      </c>
      <c r="FA77" s="208">
        <v>0</v>
      </c>
      <c r="FB77" s="208">
        <v>0</v>
      </c>
      <c r="FC77" s="208">
        <v>-171081</v>
      </c>
      <c r="FD77" s="208">
        <v>0</v>
      </c>
      <c r="FE77" s="208">
        <v>-171081</v>
      </c>
      <c r="FF77" s="208">
        <v>8941</v>
      </c>
      <c r="FG77" s="208">
        <v>0</v>
      </c>
      <c r="FH77" s="208">
        <v>8941</v>
      </c>
      <c r="FI77" s="208">
        <v>-39553</v>
      </c>
      <c r="FJ77" s="208">
        <v>0</v>
      </c>
      <c r="FK77" s="208">
        <v>-39553</v>
      </c>
      <c r="FL77" s="208">
        <v>76</v>
      </c>
      <c r="FM77" s="208">
        <v>0</v>
      </c>
      <c r="FN77" s="208">
        <v>76</v>
      </c>
      <c r="FO77" s="208">
        <v>0</v>
      </c>
      <c r="FP77" s="208">
        <v>0</v>
      </c>
      <c r="FQ77" s="208">
        <v>0</v>
      </c>
      <c r="FR77" s="208">
        <v>0</v>
      </c>
      <c r="FS77" s="208">
        <v>0</v>
      </c>
      <c r="FT77" s="208">
        <v>0</v>
      </c>
      <c r="FU77" s="208">
        <v>-221771</v>
      </c>
      <c r="FV77" s="208">
        <v>0</v>
      </c>
      <c r="FW77" s="208">
        <v>-221771</v>
      </c>
      <c r="FX77" s="208">
        <v>-775</v>
      </c>
      <c r="FY77" s="208">
        <v>0</v>
      </c>
      <c r="FZ77" s="208">
        <v>-775</v>
      </c>
      <c r="GA77" s="208">
        <v>0</v>
      </c>
      <c r="GB77" s="208">
        <v>0</v>
      </c>
      <c r="GC77" s="208">
        <v>0</v>
      </c>
      <c r="GD77" s="208">
        <v>-775</v>
      </c>
      <c r="GE77" s="208">
        <v>0</v>
      </c>
      <c r="GF77" s="208">
        <v>-775</v>
      </c>
      <c r="GG77" s="208">
        <v>39506153</v>
      </c>
      <c r="GH77" s="208">
        <v>342010</v>
      </c>
      <c r="GI77" s="208">
        <v>39848163</v>
      </c>
      <c r="GJ77" s="208">
        <v>2403135</v>
      </c>
      <c r="GK77" s="208">
        <v>4164</v>
      </c>
      <c r="GL77" s="208">
        <v>2407299</v>
      </c>
      <c r="GM77" s="208">
        <v>-6293952</v>
      </c>
      <c r="GN77" s="208">
        <v>-72608</v>
      </c>
      <c r="GO77" s="208">
        <v>-6366560</v>
      </c>
      <c r="GP77" s="208">
        <v>-1425224</v>
      </c>
      <c r="GQ77" s="208">
        <v>-4309</v>
      </c>
      <c r="GR77" s="208">
        <v>-1429533</v>
      </c>
      <c r="GS77" s="208">
        <v>0</v>
      </c>
      <c r="GT77" s="208">
        <v>-27574</v>
      </c>
      <c r="GU77" s="208">
        <v>-27574</v>
      </c>
      <c r="GV77" s="208">
        <v>-221771</v>
      </c>
      <c r="GW77" s="208">
        <v>0</v>
      </c>
      <c r="GX77" s="208">
        <v>-221771</v>
      </c>
      <c r="GY77" s="208">
        <v>-775</v>
      </c>
      <c r="GZ77" s="208">
        <v>0</v>
      </c>
      <c r="HA77" s="208">
        <v>-775</v>
      </c>
      <c r="HB77" s="208">
        <v>-5538587</v>
      </c>
      <c r="HC77" s="208">
        <v>-100327</v>
      </c>
      <c r="HD77" s="208">
        <v>-5638914</v>
      </c>
      <c r="HE77" s="208">
        <v>33967566</v>
      </c>
      <c r="HF77" s="208">
        <v>241683</v>
      </c>
      <c r="HG77" s="208">
        <v>34209249</v>
      </c>
      <c r="HH77" s="187" t="s">
        <v>742</v>
      </c>
    </row>
    <row r="78" spans="1:216" s="187" customFormat="1" x14ac:dyDescent="0.2">
      <c r="B78" s="429" t="s">
        <v>235</v>
      </c>
      <c r="C78" s="429" t="s">
        <v>234</v>
      </c>
      <c r="D78" s="208">
        <v>-780182</v>
      </c>
      <c r="E78" s="208">
        <v>0</v>
      </c>
      <c r="F78" s="208">
        <v>-780182</v>
      </c>
      <c r="G78" s="208">
        <v>95211</v>
      </c>
      <c r="H78" s="208">
        <v>0</v>
      </c>
      <c r="I78" s="208">
        <v>95211</v>
      </c>
      <c r="J78" s="208">
        <v>4824049</v>
      </c>
      <c r="K78" s="208">
        <v>0</v>
      </c>
      <c r="L78" s="208">
        <v>4824049</v>
      </c>
      <c r="M78" s="208">
        <v>119754</v>
      </c>
      <c r="N78" s="208">
        <v>0</v>
      </c>
      <c r="O78" s="208">
        <v>119754</v>
      </c>
      <c r="P78" s="208">
        <v>4258832</v>
      </c>
      <c r="Q78" s="208">
        <v>0</v>
      </c>
      <c r="R78" s="208">
        <v>4258832</v>
      </c>
      <c r="S78" s="208">
        <v>-2383618</v>
      </c>
      <c r="T78" s="208">
        <v>0</v>
      </c>
      <c r="U78" s="208">
        <v>-2383618</v>
      </c>
      <c r="V78" s="208">
        <v>-616</v>
      </c>
      <c r="W78" s="208">
        <v>0</v>
      </c>
      <c r="X78" s="208">
        <v>-616</v>
      </c>
      <c r="Y78" s="208">
        <v>24859</v>
      </c>
      <c r="Z78" s="208">
        <v>0</v>
      </c>
      <c r="AA78" s="208">
        <v>24859</v>
      </c>
      <c r="AB78" s="208">
        <v>16648</v>
      </c>
      <c r="AC78" s="208">
        <v>0</v>
      </c>
      <c r="AD78" s="208">
        <v>16648</v>
      </c>
      <c r="AE78" s="208">
        <v>2603</v>
      </c>
      <c r="AF78" s="208">
        <v>0</v>
      </c>
      <c r="AG78" s="208">
        <v>2603</v>
      </c>
      <c r="AH78" s="208">
        <v>0</v>
      </c>
      <c r="AI78" s="208">
        <v>0</v>
      </c>
      <c r="AJ78" s="208">
        <v>0</v>
      </c>
      <c r="AK78" s="208">
        <v>0</v>
      </c>
      <c r="AL78" s="208">
        <v>0</v>
      </c>
      <c r="AM78" s="208">
        <v>0</v>
      </c>
      <c r="AN78" s="208">
        <v>2264926</v>
      </c>
      <c r="AO78" s="208">
        <v>0</v>
      </c>
      <c r="AP78" s="208">
        <v>2264926</v>
      </c>
      <c r="AQ78" s="208">
        <v>-10012</v>
      </c>
      <c r="AR78" s="208">
        <v>0</v>
      </c>
      <c r="AS78" s="208">
        <v>-10012</v>
      </c>
      <c r="AT78" s="208">
        <v>-3181814</v>
      </c>
      <c r="AU78" s="208">
        <v>0</v>
      </c>
      <c r="AV78" s="208">
        <v>-3181814</v>
      </c>
      <c r="AW78" s="208">
        <v>-19963</v>
      </c>
      <c r="AX78" s="208">
        <v>0</v>
      </c>
      <c r="AY78" s="208">
        <v>-19963</v>
      </c>
      <c r="AZ78" s="208">
        <v>-57792</v>
      </c>
      <c r="BA78" s="208">
        <v>0</v>
      </c>
      <c r="BB78" s="208">
        <v>-57792</v>
      </c>
      <c r="BC78" s="208">
        <v>0</v>
      </c>
      <c r="BD78" s="208">
        <v>0</v>
      </c>
      <c r="BE78" s="208">
        <v>0</v>
      </c>
      <c r="BF78" s="208">
        <v>0</v>
      </c>
      <c r="BG78" s="208">
        <v>0</v>
      </c>
      <c r="BH78" s="208">
        <v>0</v>
      </c>
      <c r="BI78" s="208">
        <v>0</v>
      </c>
      <c r="BJ78" s="208">
        <v>0</v>
      </c>
      <c r="BK78" s="208">
        <v>0</v>
      </c>
      <c r="BL78" s="208">
        <v>-3363414</v>
      </c>
      <c r="BM78" s="208">
        <v>0</v>
      </c>
      <c r="BN78" s="208">
        <v>-3363414</v>
      </c>
      <c r="BO78" s="208">
        <v>-6603</v>
      </c>
      <c r="BP78" s="208">
        <v>0</v>
      </c>
      <c r="BQ78" s="208">
        <v>-6603</v>
      </c>
      <c r="BR78" s="208">
        <v>2151</v>
      </c>
      <c r="BS78" s="208">
        <v>0</v>
      </c>
      <c r="BT78" s="208">
        <v>2151</v>
      </c>
      <c r="BU78" s="208">
        <v>-2165416</v>
      </c>
      <c r="BV78" s="208">
        <v>0</v>
      </c>
      <c r="BW78" s="208">
        <v>-2165416</v>
      </c>
      <c r="BX78" s="208">
        <v>-66895</v>
      </c>
      <c r="BY78" s="208">
        <v>0</v>
      </c>
      <c r="BZ78" s="208">
        <v>-66895</v>
      </c>
      <c r="CA78" s="208">
        <v>-2236763</v>
      </c>
      <c r="CB78" s="208">
        <v>0</v>
      </c>
      <c r="CC78" s="208">
        <v>-2236763</v>
      </c>
      <c r="CD78" s="208">
        <v>-34852</v>
      </c>
      <c r="CE78" s="208">
        <v>0</v>
      </c>
      <c r="CF78" s="208">
        <v>-34852</v>
      </c>
      <c r="CG78" s="208">
        <v>144</v>
      </c>
      <c r="CH78" s="208">
        <v>0</v>
      </c>
      <c r="CI78" s="208">
        <v>144</v>
      </c>
      <c r="CJ78" s="208">
        <v>-138254</v>
      </c>
      <c r="CK78" s="208">
        <v>0</v>
      </c>
      <c r="CL78" s="208">
        <v>-138254</v>
      </c>
      <c r="CM78" s="208">
        <v>-1698</v>
      </c>
      <c r="CN78" s="208">
        <v>0</v>
      </c>
      <c r="CO78" s="208">
        <v>-1698</v>
      </c>
      <c r="CP78" s="208">
        <v>-7987</v>
      </c>
      <c r="CQ78" s="208">
        <v>0</v>
      </c>
      <c r="CR78" s="208">
        <v>-7987</v>
      </c>
      <c r="CS78" s="208">
        <v>0</v>
      </c>
      <c r="CT78" s="208">
        <v>0</v>
      </c>
      <c r="CU78" s="208">
        <v>0</v>
      </c>
      <c r="CV78" s="208">
        <v>0</v>
      </c>
      <c r="CW78" s="208">
        <v>0</v>
      </c>
      <c r="CX78" s="208">
        <v>0</v>
      </c>
      <c r="CY78" s="208">
        <v>0</v>
      </c>
      <c r="CZ78" s="208">
        <v>0</v>
      </c>
      <c r="DA78" s="208">
        <v>0</v>
      </c>
      <c r="DB78" s="208">
        <v>-2057</v>
      </c>
      <c r="DC78" s="208">
        <v>0</v>
      </c>
      <c r="DD78" s="208">
        <v>-2057</v>
      </c>
      <c r="DE78" s="208">
        <v>2117</v>
      </c>
      <c r="DF78" s="208">
        <v>0</v>
      </c>
      <c r="DG78" s="208">
        <v>2117</v>
      </c>
      <c r="DH78" s="208">
        <v>0</v>
      </c>
      <c r="DI78" s="208">
        <v>0</v>
      </c>
      <c r="DJ78" s="208">
        <v>0</v>
      </c>
      <c r="DK78" s="208">
        <v>0</v>
      </c>
      <c r="DL78" s="208">
        <v>0</v>
      </c>
      <c r="DM78" s="208">
        <v>0</v>
      </c>
      <c r="DN78" s="208">
        <v>0</v>
      </c>
      <c r="DO78" s="208">
        <v>0</v>
      </c>
      <c r="DP78" s="208">
        <v>-182587</v>
      </c>
      <c r="DQ78" s="208">
        <v>0</v>
      </c>
      <c r="DR78" s="208">
        <v>-182587</v>
      </c>
      <c r="DS78" s="208">
        <v>0</v>
      </c>
      <c r="DT78" s="208">
        <v>0</v>
      </c>
      <c r="DU78" s="208">
        <v>0</v>
      </c>
      <c r="DV78" s="208">
        <v>0</v>
      </c>
      <c r="DW78" s="208">
        <v>0</v>
      </c>
      <c r="DX78" s="208">
        <v>0</v>
      </c>
      <c r="DY78" s="208">
        <v>1401</v>
      </c>
      <c r="DZ78" s="208">
        <v>0</v>
      </c>
      <c r="EA78" s="208">
        <v>1401</v>
      </c>
      <c r="EB78" s="208">
        <v>0</v>
      </c>
      <c r="EC78" s="208">
        <v>0</v>
      </c>
      <c r="ED78" s="208">
        <v>0</v>
      </c>
      <c r="EE78" s="208">
        <v>0</v>
      </c>
      <c r="EF78" s="208">
        <v>0</v>
      </c>
      <c r="EG78" s="208">
        <v>0</v>
      </c>
      <c r="EH78" s="208">
        <v>11</v>
      </c>
      <c r="EI78" s="208">
        <v>0</v>
      </c>
      <c r="EJ78" s="208">
        <v>11</v>
      </c>
      <c r="EK78" s="208">
        <v>0</v>
      </c>
      <c r="EL78" s="208">
        <v>0</v>
      </c>
      <c r="EM78" s="208">
        <v>0</v>
      </c>
      <c r="EN78" s="208">
        <v>0</v>
      </c>
      <c r="EO78" s="208">
        <v>0</v>
      </c>
      <c r="EP78" s="208">
        <v>0</v>
      </c>
      <c r="EQ78" s="208">
        <v>0</v>
      </c>
      <c r="ER78" s="208">
        <v>0</v>
      </c>
      <c r="ES78" s="208">
        <v>0</v>
      </c>
      <c r="ET78" s="208">
        <v>0</v>
      </c>
      <c r="EU78" s="208">
        <v>0</v>
      </c>
      <c r="EV78" s="208">
        <v>0</v>
      </c>
      <c r="EW78" s="208">
        <v>-9091</v>
      </c>
      <c r="EX78" s="208">
        <v>0</v>
      </c>
      <c r="EY78" s="208">
        <v>-9091</v>
      </c>
      <c r="EZ78" s="208">
        <v>-3431</v>
      </c>
      <c r="FA78" s="208">
        <v>0</v>
      </c>
      <c r="FB78" s="208">
        <v>-3431</v>
      </c>
      <c r="FC78" s="208">
        <v>-108640</v>
      </c>
      <c r="FD78" s="208">
        <v>0</v>
      </c>
      <c r="FE78" s="208">
        <v>-108640</v>
      </c>
      <c r="FF78" s="208">
        <v>2154</v>
      </c>
      <c r="FG78" s="208">
        <v>0</v>
      </c>
      <c r="FH78" s="208">
        <v>2154</v>
      </c>
      <c r="FI78" s="208">
        <v>-31044</v>
      </c>
      <c r="FJ78" s="208">
        <v>0</v>
      </c>
      <c r="FK78" s="208">
        <v>-31044</v>
      </c>
      <c r="FL78" s="208">
        <v>0</v>
      </c>
      <c r="FM78" s="208">
        <v>0</v>
      </c>
      <c r="FN78" s="208">
        <v>0</v>
      </c>
      <c r="FO78" s="208">
        <v>0</v>
      </c>
      <c r="FP78" s="208">
        <v>0</v>
      </c>
      <c r="FQ78" s="208">
        <v>0</v>
      </c>
      <c r="FR78" s="208">
        <v>0</v>
      </c>
      <c r="FS78" s="208">
        <v>0</v>
      </c>
      <c r="FT78" s="208">
        <v>0</v>
      </c>
      <c r="FU78" s="208">
        <v>-148640</v>
      </c>
      <c r="FV78" s="208">
        <v>0</v>
      </c>
      <c r="FW78" s="208">
        <v>-148640</v>
      </c>
      <c r="FX78" s="208">
        <v>0</v>
      </c>
      <c r="FY78" s="208">
        <v>0</v>
      </c>
      <c r="FZ78" s="208">
        <v>0</v>
      </c>
      <c r="GA78" s="208">
        <v>0</v>
      </c>
      <c r="GB78" s="208">
        <v>0</v>
      </c>
      <c r="GC78" s="208">
        <v>0</v>
      </c>
      <c r="GD78" s="208">
        <v>0</v>
      </c>
      <c r="GE78" s="208">
        <v>0</v>
      </c>
      <c r="GF78" s="208">
        <v>0</v>
      </c>
      <c r="GG78" s="208">
        <v>95384643</v>
      </c>
      <c r="GH78" s="208">
        <v>0</v>
      </c>
      <c r="GI78" s="208">
        <v>95384643</v>
      </c>
      <c r="GJ78" s="208">
        <v>4258832</v>
      </c>
      <c r="GK78" s="208">
        <v>0</v>
      </c>
      <c r="GL78" s="208">
        <v>4258832</v>
      </c>
      <c r="GM78" s="208">
        <v>-3363414</v>
      </c>
      <c r="GN78" s="208">
        <v>0</v>
      </c>
      <c r="GO78" s="208">
        <v>-3363414</v>
      </c>
      <c r="GP78" s="208">
        <v>-2236763</v>
      </c>
      <c r="GQ78" s="208">
        <v>0</v>
      </c>
      <c r="GR78" s="208">
        <v>-2236763</v>
      </c>
      <c r="GS78" s="208">
        <v>-182587</v>
      </c>
      <c r="GT78" s="208">
        <v>0</v>
      </c>
      <c r="GU78" s="208">
        <v>-182587</v>
      </c>
      <c r="GV78" s="208">
        <v>-148640</v>
      </c>
      <c r="GW78" s="208">
        <v>0</v>
      </c>
      <c r="GX78" s="208">
        <v>-148640</v>
      </c>
      <c r="GY78" s="208">
        <v>0</v>
      </c>
      <c r="GZ78" s="208">
        <v>0</v>
      </c>
      <c r="HA78" s="208">
        <v>0</v>
      </c>
      <c r="HB78" s="208">
        <v>-1672572</v>
      </c>
      <c r="HC78" s="208">
        <v>0</v>
      </c>
      <c r="HD78" s="208">
        <v>-1672572</v>
      </c>
      <c r="HE78" s="208">
        <v>93712071</v>
      </c>
      <c r="HF78" s="208">
        <v>0</v>
      </c>
      <c r="HG78" s="208">
        <v>93712071</v>
      </c>
      <c r="HH78" s="187" t="s">
        <v>1054</v>
      </c>
    </row>
    <row r="79" spans="1:216" s="187" customFormat="1" x14ac:dyDescent="0.2">
      <c r="B79" s="429" t="s">
        <v>237</v>
      </c>
      <c r="C79" s="429" t="s">
        <v>236</v>
      </c>
      <c r="D79" s="208">
        <v>-370183</v>
      </c>
      <c r="E79" s="208">
        <v>0</v>
      </c>
      <c r="F79" s="208">
        <v>-370183</v>
      </c>
      <c r="G79" s="208">
        <v>-9406</v>
      </c>
      <c r="H79" s="208">
        <v>0</v>
      </c>
      <c r="I79" s="208">
        <v>-9406</v>
      </c>
      <c r="J79" s="208">
        <v>631922</v>
      </c>
      <c r="K79" s="208">
        <v>0</v>
      </c>
      <c r="L79" s="208">
        <v>631922</v>
      </c>
      <c r="M79" s="208">
        <v>190035</v>
      </c>
      <c r="N79" s="208">
        <v>0</v>
      </c>
      <c r="O79" s="208">
        <v>190035</v>
      </c>
      <c r="P79" s="208">
        <v>442368</v>
      </c>
      <c r="Q79" s="208">
        <v>0</v>
      </c>
      <c r="R79" s="208">
        <v>442368</v>
      </c>
      <c r="S79" s="208">
        <v>-2659982</v>
      </c>
      <c r="T79" s="208">
        <v>0</v>
      </c>
      <c r="U79" s="208">
        <v>-2659982</v>
      </c>
      <c r="V79" s="208">
        <v>0</v>
      </c>
      <c r="W79" s="208">
        <v>0</v>
      </c>
      <c r="X79" s="208">
        <v>0</v>
      </c>
      <c r="Y79" s="208">
        <v>-78710</v>
      </c>
      <c r="Z79" s="208">
        <v>0</v>
      </c>
      <c r="AA79" s="208">
        <v>-78710</v>
      </c>
      <c r="AB79" s="208">
        <v>-19205</v>
      </c>
      <c r="AC79" s="208">
        <v>0</v>
      </c>
      <c r="AD79" s="208">
        <v>-19205</v>
      </c>
      <c r="AE79" s="208">
        <v>-59505</v>
      </c>
      <c r="AF79" s="208">
        <v>0</v>
      </c>
      <c r="AG79" s="208">
        <v>-59505</v>
      </c>
      <c r="AH79" s="208">
        <v>0</v>
      </c>
      <c r="AI79" s="208">
        <v>0</v>
      </c>
      <c r="AJ79" s="208">
        <v>0</v>
      </c>
      <c r="AK79" s="208">
        <v>0</v>
      </c>
      <c r="AL79" s="208">
        <v>0</v>
      </c>
      <c r="AM79" s="208">
        <v>0</v>
      </c>
      <c r="AN79" s="208">
        <v>1162854</v>
      </c>
      <c r="AO79" s="208">
        <v>0</v>
      </c>
      <c r="AP79" s="208">
        <v>1162854</v>
      </c>
      <c r="AQ79" s="208">
        <v>-7420</v>
      </c>
      <c r="AR79" s="208">
        <v>0</v>
      </c>
      <c r="AS79" s="208">
        <v>-7420</v>
      </c>
      <c r="AT79" s="208">
        <v>-2538054</v>
      </c>
      <c r="AU79" s="208">
        <v>0</v>
      </c>
      <c r="AV79" s="208">
        <v>-2538054</v>
      </c>
      <c r="AW79" s="208">
        <v>-8742</v>
      </c>
      <c r="AX79" s="208">
        <v>0</v>
      </c>
      <c r="AY79" s="208">
        <v>-8742</v>
      </c>
      <c r="AZ79" s="208">
        <v>-39036</v>
      </c>
      <c r="BA79" s="208">
        <v>0</v>
      </c>
      <c r="BB79" s="208">
        <v>-39036</v>
      </c>
      <c r="BC79" s="208">
        <v>0</v>
      </c>
      <c r="BD79" s="208">
        <v>0</v>
      </c>
      <c r="BE79" s="208">
        <v>0</v>
      </c>
      <c r="BF79" s="208">
        <v>-43062</v>
      </c>
      <c r="BG79" s="208">
        <v>0</v>
      </c>
      <c r="BH79" s="208">
        <v>-43062</v>
      </c>
      <c r="BI79" s="208">
        <v>333</v>
      </c>
      <c r="BJ79" s="208">
        <v>0</v>
      </c>
      <c r="BK79" s="208">
        <v>333</v>
      </c>
      <c r="BL79" s="208">
        <v>-4211819</v>
      </c>
      <c r="BM79" s="208">
        <v>0</v>
      </c>
      <c r="BN79" s="208">
        <v>-4211819</v>
      </c>
      <c r="BO79" s="208">
        <v>-377355</v>
      </c>
      <c r="BP79" s="208">
        <v>0</v>
      </c>
      <c r="BQ79" s="208">
        <v>-377355</v>
      </c>
      <c r="BR79" s="208">
        <v>19399</v>
      </c>
      <c r="BS79" s="208">
        <v>0</v>
      </c>
      <c r="BT79" s="208">
        <v>19399</v>
      </c>
      <c r="BU79" s="208">
        <v>-1079091</v>
      </c>
      <c r="BV79" s="208">
        <v>0</v>
      </c>
      <c r="BW79" s="208">
        <v>-1079091</v>
      </c>
      <c r="BX79" s="208">
        <v>-1990</v>
      </c>
      <c r="BY79" s="208">
        <v>0</v>
      </c>
      <c r="BZ79" s="208">
        <v>-1990</v>
      </c>
      <c r="CA79" s="208">
        <v>-1439037</v>
      </c>
      <c r="CB79" s="208">
        <v>0</v>
      </c>
      <c r="CC79" s="208">
        <v>-1439037</v>
      </c>
      <c r="CD79" s="208">
        <v>-44270</v>
      </c>
      <c r="CE79" s="208">
        <v>0</v>
      </c>
      <c r="CF79" s="208">
        <v>-44270</v>
      </c>
      <c r="CG79" s="208">
        <v>-6</v>
      </c>
      <c r="CH79" s="208">
        <v>0</v>
      </c>
      <c r="CI79" s="208">
        <v>-6</v>
      </c>
      <c r="CJ79" s="208">
        <v>-12901</v>
      </c>
      <c r="CK79" s="208">
        <v>0</v>
      </c>
      <c r="CL79" s="208">
        <v>-12901</v>
      </c>
      <c r="CM79" s="208">
        <v>0</v>
      </c>
      <c r="CN79" s="208">
        <v>0</v>
      </c>
      <c r="CO79" s="208">
        <v>0</v>
      </c>
      <c r="CP79" s="208">
        <v>-722</v>
      </c>
      <c r="CQ79" s="208">
        <v>0</v>
      </c>
      <c r="CR79" s="208">
        <v>-722</v>
      </c>
      <c r="CS79" s="208">
        <v>-379</v>
      </c>
      <c r="CT79" s="208">
        <v>0</v>
      </c>
      <c r="CU79" s="208">
        <v>-379</v>
      </c>
      <c r="CV79" s="208">
        <v>0</v>
      </c>
      <c r="CW79" s="208">
        <v>0</v>
      </c>
      <c r="CX79" s="208">
        <v>0</v>
      </c>
      <c r="CY79" s="208">
        <v>0</v>
      </c>
      <c r="CZ79" s="208">
        <v>0</v>
      </c>
      <c r="DA79" s="208">
        <v>0</v>
      </c>
      <c r="DB79" s="208">
        <v>0</v>
      </c>
      <c r="DC79" s="208">
        <v>0</v>
      </c>
      <c r="DD79" s="208">
        <v>0</v>
      </c>
      <c r="DE79" s="208">
        <v>0</v>
      </c>
      <c r="DF79" s="208">
        <v>0</v>
      </c>
      <c r="DG79" s="208">
        <v>0</v>
      </c>
      <c r="DH79" s="208">
        <v>0</v>
      </c>
      <c r="DI79" s="208">
        <v>0</v>
      </c>
      <c r="DJ79" s="208">
        <v>0</v>
      </c>
      <c r="DK79" s="208">
        <v>0</v>
      </c>
      <c r="DL79" s="208">
        <v>0</v>
      </c>
      <c r="DM79" s="208">
        <v>0</v>
      </c>
      <c r="DN79" s="208">
        <v>0</v>
      </c>
      <c r="DO79" s="208">
        <v>0</v>
      </c>
      <c r="DP79" s="208">
        <v>-58278</v>
      </c>
      <c r="DQ79" s="208">
        <v>0</v>
      </c>
      <c r="DR79" s="208">
        <v>-58278</v>
      </c>
      <c r="DS79" s="208">
        <v>0</v>
      </c>
      <c r="DT79" s="208">
        <v>0</v>
      </c>
      <c r="DU79" s="208">
        <v>0</v>
      </c>
      <c r="DV79" s="208">
        <v>0</v>
      </c>
      <c r="DW79" s="208">
        <v>0</v>
      </c>
      <c r="DX79" s="208">
        <v>0</v>
      </c>
      <c r="DY79" s="208">
        <v>0</v>
      </c>
      <c r="DZ79" s="208">
        <v>0</v>
      </c>
      <c r="EA79" s="208">
        <v>0</v>
      </c>
      <c r="EB79" s="208">
        <v>0</v>
      </c>
      <c r="EC79" s="208">
        <v>0</v>
      </c>
      <c r="ED79" s="208">
        <v>0</v>
      </c>
      <c r="EE79" s="208">
        <v>0</v>
      </c>
      <c r="EF79" s="208">
        <v>0</v>
      </c>
      <c r="EG79" s="208">
        <v>0</v>
      </c>
      <c r="EH79" s="208">
        <v>0</v>
      </c>
      <c r="EI79" s="208">
        <v>0</v>
      </c>
      <c r="EJ79" s="208">
        <v>0</v>
      </c>
      <c r="EK79" s="208">
        <v>-43105</v>
      </c>
      <c r="EL79" s="208">
        <v>0</v>
      </c>
      <c r="EM79" s="208">
        <v>-43105</v>
      </c>
      <c r="EN79" s="208">
        <v>333</v>
      </c>
      <c r="EO79" s="208">
        <v>0</v>
      </c>
      <c r="EP79" s="208">
        <v>333</v>
      </c>
      <c r="EQ79" s="208">
        <v>0</v>
      </c>
      <c r="ER79" s="208">
        <v>0</v>
      </c>
      <c r="ES79" s="208">
        <v>0</v>
      </c>
      <c r="ET79" s="208">
        <v>0</v>
      </c>
      <c r="EU79" s="208">
        <v>0</v>
      </c>
      <c r="EV79" s="208">
        <v>0</v>
      </c>
      <c r="EW79" s="208">
        <v>-19134</v>
      </c>
      <c r="EX79" s="208">
        <v>0</v>
      </c>
      <c r="EY79" s="208">
        <v>-19134</v>
      </c>
      <c r="EZ79" s="208">
        <v>0</v>
      </c>
      <c r="FA79" s="208">
        <v>0</v>
      </c>
      <c r="FB79" s="208">
        <v>0</v>
      </c>
      <c r="FC79" s="208">
        <v>-47826</v>
      </c>
      <c r="FD79" s="208">
        <v>0</v>
      </c>
      <c r="FE79" s="208">
        <v>-47826</v>
      </c>
      <c r="FF79" s="208">
        <v>2838</v>
      </c>
      <c r="FG79" s="208">
        <v>0</v>
      </c>
      <c r="FH79" s="208">
        <v>2838</v>
      </c>
      <c r="FI79" s="208">
        <v>-35006</v>
      </c>
      <c r="FJ79" s="208">
        <v>0</v>
      </c>
      <c r="FK79" s="208">
        <v>-35006</v>
      </c>
      <c r="FL79" s="208">
        <v>1000</v>
      </c>
      <c r="FM79" s="208">
        <v>0</v>
      </c>
      <c r="FN79" s="208">
        <v>1000</v>
      </c>
      <c r="FO79" s="208">
        <v>0</v>
      </c>
      <c r="FP79" s="208">
        <v>0</v>
      </c>
      <c r="FQ79" s="208">
        <v>0</v>
      </c>
      <c r="FR79" s="208">
        <v>0</v>
      </c>
      <c r="FS79" s="208">
        <v>0</v>
      </c>
      <c r="FT79" s="208">
        <v>0</v>
      </c>
      <c r="FU79" s="208">
        <v>-140900</v>
      </c>
      <c r="FV79" s="208">
        <v>0</v>
      </c>
      <c r="FW79" s="208">
        <v>-140900</v>
      </c>
      <c r="FX79" s="208">
        <v>-9517</v>
      </c>
      <c r="FY79" s="208">
        <v>0</v>
      </c>
      <c r="FZ79" s="208">
        <v>-9517</v>
      </c>
      <c r="GA79" s="208">
        <v>-21</v>
      </c>
      <c r="GB79" s="208">
        <v>0</v>
      </c>
      <c r="GC79" s="208">
        <v>-21</v>
      </c>
      <c r="GD79" s="208">
        <v>-9538</v>
      </c>
      <c r="GE79" s="208">
        <v>0</v>
      </c>
      <c r="GF79" s="208">
        <v>-9538</v>
      </c>
      <c r="GG79" s="208">
        <v>53084104</v>
      </c>
      <c r="GH79" s="208">
        <v>0</v>
      </c>
      <c r="GI79" s="208">
        <v>53084104</v>
      </c>
      <c r="GJ79" s="208">
        <v>442368</v>
      </c>
      <c r="GK79" s="208">
        <v>0</v>
      </c>
      <c r="GL79" s="208">
        <v>442368</v>
      </c>
      <c r="GM79" s="208">
        <v>-4211819</v>
      </c>
      <c r="GN79" s="208">
        <v>0</v>
      </c>
      <c r="GO79" s="208">
        <v>-4211819</v>
      </c>
      <c r="GP79" s="208">
        <v>-1439037</v>
      </c>
      <c r="GQ79" s="208">
        <v>0</v>
      </c>
      <c r="GR79" s="208">
        <v>-1439037</v>
      </c>
      <c r="GS79" s="208">
        <v>-58278</v>
      </c>
      <c r="GT79" s="208">
        <v>0</v>
      </c>
      <c r="GU79" s="208">
        <v>-58278</v>
      </c>
      <c r="GV79" s="208">
        <v>-140900</v>
      </c>
      <c r="GW79" s="208">
        <v>0</v>
      </c>
      <c r="GX79" s="208">
        <v>-140900</v>
      </c>
      <c r="GY79" s="208">
        <v>-9538</v>
      </c>
      <c r="GZ79" s="208">
        <v>0</v>
      </c>
      <c r="HA79" s="208">
        <v>-9538</v>
      </c>
      <c r="HB79" s="208">
        <v>-5417204</v>
      </c>
      <c r="HC79" s="208">
        <v>0</v>
      </c>
      <c r="HD79" s="208">
        <v>-5417204</v>
      </c>
      <c r="HE79" s="208">
        <v>47666900</v>
      </c>
      <c r="HF79" s="208">
        <v>0</v>
      </c>
      <c r="HG79" s="208">
        <v>47666900</v>
      </c>
      <c r="HH79" s="187" t="s">
        <v>1054</v>
      </c>
    </row>
    <row r="80" spans="1:216" s="187" customFormat="1" x14ac:dyDescent="0.2">
      <c r="B80" s="429" t="s">
        <v>239</v>
      </c>
      <c r="C80" s="429" t="s">
        <v>238</v>
      </c>
      <c r="D80" s="208">
        <v>-2501279</v>
      </c>
      <c r="E80" s="208">
        <v>0</v>
      </c>
      <c r="F80" s="208">
        <v>-2501279</v>
      </c>
      <c r="G80" s="208">
        <v>-9685</v>
      </c>
      <c r="H80" s="208">
        <v>0</v>
      </c>
      <c r="I80" s="208">
        <v>-9685</v>
      </c>
      <c r="J80" s="208">
        <v>889634</v>
      </c>
      <c r="K80" s="208">
        <v>0</v>
      </c>
      <c r="L80" s="208">
        <v>889634</v>
      </c>
      <c r="M80" s="208">
        <v>14738</v>
      </c>
      <c r="N80" s="208">
        <v>0</v>
      </c>
      <c r="O80" s="208">
        <v>14738</v>
      </c>
      <c r="P80" s="208">
        <v>-1606592</v>
      </c>
      <c r="Q80" s="208">
        <v>0</v>
      </c>
      <c r="R80" s="208">
        <v>-1606592</v>
      </c>
      <c r="S80" s="208">
        <v>-6459228</v>
      </c>
      <c r="T80" s="208">
        <v>-14507</v>
      </c>
      <c r="U80" s="208">
        <v>-6473735</v>
      </c>
      <c r="V80" s="208">
        <v>0</v>
      </c>
      <c r="W80" s="208">
        <v>0</v>
      </c>
      <c r="X80" s="208">
        <v>0</v>
      </c>
      <c r="Y80" s="208">
        <v>-200906</v>
      </c>
      <c r="Z80" s="208">
        <v>-230</v>
      </c>
      <c r="AA80" s="208">
        <v>-201136</v>
      </c>
      <c r="AB80" s="208">
        <v>-29610</v>
      </c>
      <c r="AC80" s="208">
        <v>0</v>
      </c>
      <c r="AD80" s="208">
        <v>-29610</v>
      </c>
      <c r="AE80" s="208">
        <v>-169458</v>
      </c>
      <c r="AF80" s="208">
        <v>0</v>
      </c>
      <c r="AG80" s="208">
        <v>-169458</v>
      </c>
      <c r="AH80" s="208">
        <v>0</v>
      </c>
      <c r="AI80" s="208">
        <v>0</v>
      </c>
      <c r="AJ80" s="208">
        <v>0</v>
      </c>
      <c r="AK80" s="208">
        <v>0</v>
      </c>
      <c r="AL80" s="208">
        <v>0</v>
      </c>
      <c r="AM80" s="208">
        <v>0</v>
      </c>
      <c r="AN80" s="208">
        <v>2169768</v>
      </c>
      <c r="AO80" s="208">
        <v>1750</v>
      </c>
      <c r="AP80" s="208">
        <v>2171518</v>
      </c>
      <c r="AQ80" s="208">
        <v>-38774</v>
      </c>
      <c r="AR80" s="208">
        <v>-6</v>
      </c>
      <c r="AS80" s="208">
        <v>-38780</v>
      </c>
      <c r="AT80" s="208">
        <v>-6805033</v>
      </c>
      <c r="AU80" s="208">
        <v>0</v>
      </c>
      <c r="AV80" s="208">
        <v>-6805033</v>
      </c>
      <c r="AW80" s="208">
        <v>-47614</v>
      </c>
      <c r="AX80" s="208">
        <v>0</v>
      </c>
      <c r="AY80" s="208">
        <v>-47614</v>
      </c>
      <c r="AZ80" s="208">
        <v>-31591</v>
      </c>
      <c r="BA80" s="208">
        <v>0</v>
      </c>
      <c r="BB80" s="208">
        <v>-31591</v>
      </c>
      <c r="BC80" s="208">
        <v>0</v>
      </c>
      <c r="BD80" s="208">
        <v>0</v>
      </c>
      <c r="BE80" s="208">
        <v>0</v>
      </c>
      <c r="BF80" s="208">
        <v>0</v>
      </c>
      <c r="BG80" s="208">
        <v>0</v>
      </c>
      <c r="BH80" s="208">
        <v>0</v>
      </c>
      <c r="BI80" s="208">
        <v>0</v>
      </c>
      <c r="BJ80" s="208">
        <v>0</v>
      </c>
      <c r="BK80" s="208">
        <v>0</v>
      </c>
      <c r="BL80" s="208">
        <v>-11413378</v>
      </c>
      <c r="BM80" s="208">
        <v>-12993</v>
      </c>
      <c r="BN80" s="208">
        <v>-11426371</v>
      </c>
      <c r="BO80" s="208">
        <v>-213179</v>
      </c>
      <c r="BP80" s="208">
        <v>0</v>
      </c>
      <c r="BQ80" s="208">
        <v>-213179</v>
      </c>
      <c r="BR80" s="208">
        <v>9194</v>
      </c>
      <c r="BS80" s="208">
        <v>0</v>
      </c>
      <c r="BT80" s="208">
        <v>9194</v>
      </c>
      <c r="BU80" s="208">
        <v>-3354638</v>
      </c>
      <c r="BV80" s="208">
        <v>-3117</v>
      </c>
      <c r="BW80" s="208">
        <v>-3357755</v>
      </c>
      <c r="BX80" s="208">
        <v>295363</v>
      </c>
      <c r="BY80" s="208">
        <v>0</v>
      </c>
      <c r="BZ80" s="208">
        <v>295363</v>
      </c>
      <c r="CA80" s="208">
        <v>-3263260</v>
      </c>
      <c r="CB80" s="208">
        <v>-3117</v>
      </c>
      <c r="CC80" s="208">
        <v>-3266377</v>
      </c>
      <c r="CD80" s="208">
        <v>-137087</v>
      </c>
      <c r="CE80" s="208">
        <v>0</v>
      </c>
      <c r="CF80" s="208">
        <v>-137087</v>
      </c>
      <c r="CG80" s="208">
        <v>-2398</v>
      </c>
      <c r="CH80" s="208">
        <v>0</v>
      </c>
      <c r="CI80" s="208">
        <v>-2398</v>
      </c>
      <c r="CJ80" s="208">
        <v>-140982</v>
      </c>
      <c r="CK80" s="208">
        <v>0</v>
      </c>
      <c r="CL80" s="208">
        <v>-140982</v>
      </c>
      <c r="CM80" s="208">
        <v>0</v>
      </c>
      <c r="CN80" s="208">
        <v>0</v>
      </c>
      <c r="CO80" s="208">
        <v>0</v>
      </c>
      <c r="CP80" s="208">
        <v>-7326</v>
      </c>
      <c r="CQ80" s="208">
        <v>0</v>
      </c>
      <c r="CR80" s="208">
        <v>-7326</v>
      </c>
      <c r="CS80" s="208">
        <v>0</v>
      </c>
      <c r="CT80" s="208">
        <v>0</v>
      </c>
      <c r="CU80" s="208">
        <v>0</v>
      </c>
      <c r="CV80" s="208">
        <v>0</v>
      </c>
      <c r="CW80" s="208">
        <v>0</v>
      </c>
      <c r="CX80" s="208">
        <v>0</v>
      </c>
      <c r="CY80" s="208">
        <v>0</v>
      </c>
      <c r="CZ80" s="208">
        <v>0</v>
      </c>
      <c r="DA80" s="208">
        <v>0</v>
      </c>
      <c r="DB80" s="208">
        <v>0</v>
      </c>
      <c r="DC80" s="208">
        <v>0</v>
      </c>
      <c r="DD80" s="208">
        <v>0</v>
      </c>
      <c r="DE80" s="208">
        <v>0</v>
      </c>
      <c r="DF80" s="208">
        <v>0</v>
      </c>
      <c r="DG80" s="208">
        <v>0</v>
      </c>
      <c r="DH80" s="208">
        <v>0</v>
      </c>
      <c r="DI80" s="208">
        <v>-31396</v>
      </c>
      <c r="DJ80" s="208">
        <v>-31396</v>
      </c>
      <c r="DK80" s="208">
        <v>0</v>
      </c>
      <c r="DL80" s="208">
        <v>0</v>
      </c>
      <c r="DM80" s="208">
        <v>0</v>
      </c>
      <c r="DN80" s="208">
        <v>-31396</v>
      </c>
      <c r="DO80" s="208">
        <v>0</v>
      </c>
      <c r="DP80" s="208">
        <v>-287793</v>
      </c>
      <c r="DQ80" s="208">
        <v>-31396</v>
      </c>
      <c r="DR80" s="208">
        <v>-319189</v>
      </c>
      <c r="DS80" s="208">
        <v>0</v>
      </c>
      <c r="DT80" s="208">
        <v>0</v>
      </c>
      <c r="DU80" s="208">
        <v>0</v>
      </c>
      <c r="DV80" s="208">
        <v>0</v>
      </c>
      <c r="DW80" s="208">
        <v>0</v>
      </c>
      <c r="DX80" s="208">
        <v>0</v>
      </c>
      <c r="DY80" s="208">
        <v>4909</v>
      </c>
      <c r="DZ80" s="208">
        <v>0</v>
      </c>
      <c r="EA80" s="208">
        <v>4909</v>
      </c>
      <c r="EB80" s="208">
        <v>0</v>
      </c>
      <c r="EC80" s="208">
        <v>0</v>
      </c>
      <c r="ED80" s="208">
        <v>0</v>
      </c>
      <c r="EE80" s="208">
        <v>0</v>
      </c>
      <c r="EF80" s="208">
        <v>0</v>
      </c>
      <c r="EG80" s="208">
        <v>0</v>
      </c>
      <c r="EH80" s="208">
        <v>0</v>
      </c>
      <c r="EI80" s="208">
        <v>0</v>
      </c>
      <c r="EJ80" s="208">
        <v>0</v>
      </c>
      <c r="EK80" s="208">
        <v>0</v>
      </c>
      <c r="EL80" s="208">
        <v>0</v>
      </c>
      <c r="EM80" s="208">
        <v>0</v>
      </c>
      <c r="EN80" s="208">
        <v>0</v>
      </c>
      <c r="EO80" s="208">
        <v>0</v>
      </c>
      <c r="EP80" s="208">
        <v>0</v>
      </c>
      <c r="EQ80" s="208">
        <v>-1500</v>
      </c>
      <c r="ER80" s="208">
        <v>0</v>
      </c>
      <c r="ES80" s="208">
        <v>-1500</v>
      </c>
      <c r="ET80" s="208">
        <v>0</v>
      </c>
      <c r="EU80" s="208">
        <v>0</v>
      </c>
      <c r="EV80" s="208">
        <v>0</v>
      </c>
      <c r="EW80" s="208">
        <v>-82421</v>
      </c>
      <c r="EX80" s="208">
        <v>0</v>
      </c>
      <c r="EY80" s="208">
        <v>-82421</v>
      </c>
      <c r="EZ80" s="208">
        <v>5148</v>
      </c>
      <c r="FA80" s="208">
        <v>0</v>
      </c>
      <c r="FB80" s="208">
        <v>5148</v>
      </c>
      <c r="FC80" s="208">
        <v>-162501</v>
      </c>
      <c r="FD80" s="208">
        <v>-117</v>
      </c>
      <c r="FE80" s="208">
        <v>-162618</v>
      </c>
      <c r="FF80" s="208">
        <v>15180</v>
      </c>
      <c r="FG80" s="208">
        <v>0</v>
      </c>
      <c r="FH80" s="208">
        <v>15180</v>
      </c>
      <c r="FI80" s="208">
        <v>-79073</v>
      </c>
      <c r="FJ80" s="208">
        <v>0</v>
      </c>
      <c r="FK80" s="208">
        <v>-79073</v>
      </c>
      <c r="FL80" s="208">
        <v>2592</v>
      </c>
      <c r="FM80" s="208">
        <v>0</v>
      </c>
      <c r="FN80" s="208">
        <v>2592</v>
      </c>
      <c r="FO80" s="208">
        <v>0</v>
      </c>
      <c r="FP80" s="208">
        <v>0</v>
      </c>
      <c r="FQ80" s="208">
        <v>0</v>
      </c>
      <c r="FR80" s="208">
        <v>0</v>
      </c>
      <c r="FS80" s="208">
        <v>0</v>
      </c>
      <c r="FT80" s="208">
        <v>0</v>
      </c>
      <c r="FU80" s="208">
        <v>-297666</v>
      </c>
      <c r="FV80" s="208">
        <v>-117</v>
      </c>
      <c r="FW80" s="208">
        <v>-297783</v>
      </c>
      <c r="FX80" s="208">
        <v>0</v>
      </c>
      <c r="FY80" s="208">
        <v>0</v>
      </c>
      <c r="FZ80" s="208">
        <v>0</v>
      </c>
      <c r="GA80" s="208">
        <v>0</v>
      </c>
      <c r="GB80" s="208">
        <v>0</v>
      </c>
      <c r="GC80" s="208">
        <v>0</v>
      </c>
      <c r="GD80" s="208">
        <v>0</v>
      </c>
      <c r="GE80" s="208">
        <v>0</v>
      </c>
      <c r="GF80" s="208">
        <v>0</v>
      </c>
      <c r="GG80" s="208">
        <v>108370146</v>
      </c>
      <c r="GH80" s="208">
        <v>167676</v>
      </c>
      <c r="GI80" s="208">
        <v>108537822</v>
      </c>
      <c r="GJ80" s="208">
        <v>-1606592</v>
      </c>
      <c r="GK80" s="208">
        <v>0</v>
      </c>
      <c r="GL80" s="208">
        <v>-1606592</v>
      </c>
      <c r="GM80" s="208">
        <v>-11413378</v>
      </c>
      <c r="GN80" s="208">
        <v>-12993</v>
      </c>
      <c r="GO80" s="208">
        <v>-11426371</v>
      </c>
      <c r="GP80" s="208">
        <v>-3263260</v>
      </c>
      <c r="GQ80" s="208">
        <v>-3117</v>
      </c>
      <c r="GR80" s="208">
        <v>-3266377</v>
      </c>
      <c r="GS80" s="208">
        <v>-287793</v>
      </c>
      <c r="GT80" s="208">
        <v>-31396</v>
      </c>
      <c r="GU80" s="208">
        <v>-319189</v>
      </c>
      <c r="GV80" s="208">
        <v>-297666</v>
      </c>
      <c r="GW80" s="208">
        <v>-117</v>
      </c>
      <c r="GX80" s="208">
        <v>-297783</v>
      </c>
      <c r="GY80" s="208">
        <v>0</v>
      </c>
      <c r="GZ80" s="208">
        <v>0</v>
      </c>
      <c r="HA80" s="208">
        <v>0</v>
      </c>
      <c r="HB80" s="208">
        <v>-16868689</v>
      </c>
      <c r="HC80" s="208">
        <v>-47623</v>
      </c>
      <c r="HD80" s="208">
        <v>-16916312</v>
      </c>
      <c r="HE80" s="208">
        <v>91501457</v>
      </c>
      <c r="HF80" s="208">
        <v>120053</v>
      </c>
      <c r="HG80" s="208">
        <v>91621510</v>
      </c>
      <c r="HH80" s="187" t="s">
        <v>742</v>
      </c>
    </row>
    <row r="81" spans="1:216" s="187" customFormat="1" x14ac:dyDescent="0.2">
      <c r="B81" s="429" t="s">
        <v>241</v>
      </c>
      <c r="C81" s="429" t="s">
        <v>240</v>
      </c>
      <c r="D81" s="208">
        <v>-1753698</v>
      </c>
      <c r="E81" s="208">
        <v>0</v>
      </c>
      <c r="F81" s="208">
        <v>-1753698</v>
      </c>
      <c r="G81" s="208">
        <v>77167</v>
      </c>
      <c r="H81" s="208">
        <v>0</v>
      </c>
      <c r="I81" s="208">
        <v>77167</v>
      </c>
      <c r="J81" s="208">
        <v>137798</v>
      </c>
      <c r="K81" s="208">
        <v>0</v>
      </c>
      <c r="L81" s="208">
        <v>137798</v>
      </c>
      <c r="M81" s="208">
        <v>-11561</v>
      </c>
      <c r="N81" s="208">
        <v>0</v>
      </c>
      <c r="O81" s="208">
        <v>-11561</v>
      </c>
      <c r="P81" s="208">
        <v>-1550294</v>
      </c>
      <c r="Q81" s="208">
        <v>0</v>
      </c>
      <c r="R81" s="208">
        <v>-1550294</v>
      </c>
      <c r="S81" s="208">
        <v>-4454134</v>
      </c>
      <c r="T81" s="208">
        <v>0</v>
      </c>
      <c r="U81" s="208">
        <v>-4454134</v>
      </c>
      <c r="V81" s="208">
        <v>0</v>
      </c>
      <c r="W81" s="208">
        <v>0</v>
      </c>
      <c r="X81" s="208">
        <v>0</v>
      </c>
      <c r="Y81" s="208">
        <v>-433423</v>
      </c>
      <c r="Z81" s="208">
        <v>0</v>
      </c>
      <c r="AA81" s="208">
        <v>-433423</v>
      </c>
      <c r="AB81" s="208">
        <v>-246477</v>
      </c>
      <c r="AC81" s="208">
        <v>0</v>
      </c>
      <c r="AD81" s="208">
        <v>-246477</v>
      </c>
      <c r="AE81" s="208">
        <v>-142416.29999999999</v>
      </c>
      <c r="AF81" s="208">
        <v>0</v>
      </c>
      <c r="AG81" s="208">
        <v>-142416.29999999999</v>
      </c>
      <c r="AH81" s="208">
        <v>0</v>
      </c>
      <c r="AI81" s="208">
        <v>0</v>
      </c>
      <c r="AJ81" s="208">
        <v>0</v>
      </c>
      <c r="AK81" s="208">
        <v>0</v>
      </c>
      <c r="AL81" s="208">
        <v>0</v>
      </c>
      <c r="AM81" s="208">
        <v>0</v>
      </c>
      <c r="AN81" s="208">
        <v>349347</v>
      </c>
      <c r="AO81" s="208">
        <v>0</v>
      </c>
      <c r="AP81" s="208">
        <v>349347</v>
      </c>
      <c r="AQ81" s="208">
        <v>-4192</v>
      </c>
      <c r="AR81" s="208">
        <v>0</v>
      </c>
      <c r="AS81" s="208">
        <v>-4192</v>
      </c>
      <c r="AT81" s="208">
        <v>-1395667</v>
      </c>
      <c r="AU81" s="208">
        <v>0</v>
      </c>
      <c r="AV81" s="208">
        <v>-1395667</v>
      </c>
      <c r="AW81" s="208">
        <v>-142</v>
      </c>
      <c r="AX81" s="208">
        <v>0</v>
      </c>
      <c r="AY81" s="208">
        <v>-142</v>
      </c>
      <c r="AZ81" s="208">
        <v>-21199</v>
      </c>
      <c r="BA81" s="208">
        <v>0</v>
      </c>
      <c r="BB81" s="208">
        <v>-21199</v>
      </c>
      <c r="BC81" s="208">
        <v>0</v>
      </c>
      <c r="BD81" s="208">
        <v>0</v>
      </c>
      <c r="BE81" s="208">
        <v>0</v>
      </c>
      <c r="BF81" s="208">
        <v>-46672</v>
      </c>
      <c r="BG81" s="208">
        <v>0</v>
      </c>
      <c r="BH81" s="208">
        <v>-46672</v>
      </c>
      <c r="BI81" s="208">
        <v>0</v>
      </c>
      <c r="BJ81" s="208">
        <v>0</v>
      </c>
      <c r="BK81" s="208">
        <v>0</v>
      </c>
      <c r="BL81" s="208">
        <v>-6006082</v>
      </c>
      <c r="BM81" s="208">
        <v>0</v>
      </c>
      <c r="BN81" s="208">
        <v>-6006082</v>
      </c>
      <c r="BO81" s="208">
        <v>0</v>
      </c>
      <c r="BP81" s="208">
        <v>0</v>
      </c>
      <c r="BQ81" s="208">
        <v>0</v>
      </c>
      <c r="BR81" s="208">
        <v>0</v>
      </c>
      <c r="BS81" s="208">
        <v>0</v>
      </c>
      <c r="BT81" s="208">
        <v>0</v>
      </c>
      <c r="BU81" s="208">
        <v>-442243</v>
      </c>
      <c r="BV81" s="208">
        <v>0</v>
      </c>
      <c r="BW81" s="208">
        <v>-442243</v>
      </c>
      <c r="BX81" s="208">
        <v>-5891</v>
      </c>
      <c r="BY81" s="208">
        <v>0</v>
      </c>
      <c r="BZ81" s="208">
        <v>-5891</v>
      </c>
      <c r="CA81" s="208">
        <v>-448134</v>
      </c>
      <c r="CB81" s="208">
        <v>0</v>
      </c>
      <c r="CC81" s="208">
        <v>-448134</v>
      </c>
      <c r="CD81" s="208">
        <v>-141579</v>
      </c>
      <c r="CE81" s="208">
        <v>0</v>
      </c>
      <c r="CF81" s="208">
        <v>-141579</v>
      </c>
      <c r="CG81" s="208">
        <v>0</v>
      </c>
      <c r="CH81" s="208">
        <v>0</v>
      </c>
      <c r="CI81" s="208">
        <v>0</v>
      </c>
      <c r="CJ81" s="208">
        <v>-90366</v>
      </c>
      <c r="CK81" s="208">
        <v>0</v>
      </c>
      <c r="CL81" s="208">
        <v>-90366</v>
      </c>
      <c r="CM81" s="208">
        <v>267537</v>
      </c>
      <c r="CN81" s="208">
        <v>0</v>
      </c>
      <c r="CO81" s="208">
        <v>267537</v>
      </c>
      <c r="CP81" s="208">
        <v>-3771</v>
      </c>
      <c r="CQ81" s="208">
        <v>0</v>
      </c>
      <c r="CR81" s="208">
        <v>-3771</v>
      </c>
      <c r="CS81" s="208">
        <v>0</v>
      </c>
      <c r="CT81" s="208">
        <v>0</v>
      </c>
      <c r="CU81" s="208">
        <v>0</v>
      </c>
      <c r="CV81" s="208">
        <v>-742</v>
      </c>
      <c r="CW81" s="208">
        <v>0</v>
      </c>
      <c r="CX81" s="208">
        <v>-742</v>
      </c>
      <c r="CY81" s="208">
        <v>0</v>
      </c>
      <c r="CZ81" s="208">
        <v>0</v>
      </c>
      <c r="DA81" s="208">
        <v>0</v>
      </c>
      <c r="DB81" s="208">
        <v>-5886</v>
      </c>
      <c r="DC81" s="208">
        <v>0</v>
      </c>
      <c r="DD81" s="208">
        <v>-5886</v>
      </c>
      <c r="DE81" s="208">
        <v>-1575</v>
      </c>
      <c r="DF81" s="208">
        <v>0</v>
      </c>
      <c r="DG81" s="208">
        <v>-1575</v>
      </c>
      <c r="DH81" s="208">
        <v>-286</v>
      </c>
      <c r="DI81" s="208">
        <v>0</v>
      </c>
      <c r="DJ81" s="208">
        <v>-286</v>
      </c>
      <c r="DK81" s="208">
        <v>0</v>
      </c>
      <c r="DL81" s="208">
        <v>0</v>
      </c>
      <c r="DM81" s="208">
        <v>0</v>
      </c>
      <c r="DN81" s="208">
        <v>0</v>
      </c>
      <c r="DO81" s="208">
        <v>0</v>
      </c>
      <c r="DP81" s="208">
        <v>23332</v>
      </c>
      <c r="DQ81" s="208">
        <v>0</v>
      </c>
      <c r="DR81" s="208">
        <v>23332</v>
      </c>
      <c r="DS81" s="208">
        <v>0</v>
      </c>
      <c r="DT81" s="208">
        <v>0</v>
      </c>
      <c r="DU81" s="208">
        <v>0</v>
      </c>
      <c r="DV81" s="208">
        <v>0</v>
      </c>
      <c r="DW81" s="208">
        <v>0</v>
      </c>
      <c r="DX81" s="208">
        <v>0</v>
      </c>
      <c r="DY81" s="208">
        <v>0</v>
      </c>
      <c r="DZ81" s="208">
        <v>0</v>
      </c>
      <c r="EA81" s="208">
        <v>0</v>
      </c>
      <c r="EB81" s="208">
        <v>0</v>
      </c>
      <c r="EC81" s="208">
        <v>0</v>
      </c>
      <c r="ED81" s="208">
        <v>0</v>
      </c>
      <c r="EE81" s="208">
        <v>0</v>
      </c>
      <c r="EF81" s="208">
        <v>0</v>
      </c>
      <c r="EG81" s="208">
        <v>0</v>
      </c>
      <c r="EH81" s="208">
        <v>0</v>
      </c>
      <c r="EI81" s="208">
        <v>0</v>
      </c>
      <c r="EJ81" s="208">
        <v>0</v>
      </c>
      <c r="EK81" s="208">
        <v>-45929</v>
      </c>
      <c r="EL81" s="208">
        <v>0</v>
      </c>
      <c r="EM81" s="208">
        <v>-45929</v>
      </c>
      <c r="EN81" s="208">
        <v>0</v>
      </c>
      <c r="EO81" s="208">
        <v>0</v>
      </c>
      <c r="EP81" s="208">
        <v>0</v>
      </c>
      <c r="EQ81" s="208">
        <v>0</v>
      </c>
      <c r="ER81" s="208">
        <v>0</v>
      </c>
      <c r="ES81" s="208">
        <v>0</v>
      </c>
      <c r="ET81" s="208">
        <v>0</v>
      </c>
      <c r="EU81" s="208">
        <v>0</v>
      </c>
      <c r="EV81" s="208">
        <v>0</v>
      </c>
      <c r="EW81" s="208">
        <v>-79403</v>
      </c>
      <c r="EX81" s="208">
        <v>0</v>
      </c>
      <c r="EY81" s="208">
        <v>-79403</v>
      </c>
      <c r="EZ81" s="208">
        <v>-2779</v>
      </c>
      <c r="FA81" s="208">
        <v>0</v>
      </c>
      <c r="FB81" s="208">
        <v>-2779</v>
      </c>
      <c r="FC81" s="208">
        <v>-174055</v>
      </c>
      <c r="FD81" s="208">
        <v>0</v>
      </c>
      <c r="FE81" s="208">
        <v>-174055</v>
      </c>
      <c r="FF81" s="208">
        <v>1078</v>
      </c>
      <c r="FG81" s="208">
        <v>0</v>
      </c>
      <c r="FH81" s="208">
        <v>1078</v>
      </c>
      <c r="FI81" s="208">
        <v>-76910</v>
      </c>
      <c r="FJ81" s="208">
        <v>0</v>
      </c>
      <c r="FK81" s="208">
        <v>-76910</v>
      </c>
      <c r="FL81" s="208">
        <v>-333</v>
      </c>
      <c r="FM81" s="208">
        <v>0</v>
      </c>
      <c r="FN81" s="208">
        <v>-333</v>
      </c>
      <c r="FO81" s="208">
        <v>0</v>
      </c>
      <c r="FP81" s="208">
        <v>0</v>
      </c>
      <c r="FQ81" s="208">
        <v>0</v>
      </c>
      <c r="FR81" s="208">
        <v>0</v>
      </c>
      <c r="FS81" s="208">
        <v>0</v>
      </c>
      <c r="FT81" s="208">
        <v>0</v>
      </c>
      <c r="FU81" s="208">
        <v>-378331</v>
      </c>
      <c r="FV81" s="208">
        <v>0</v>
      </c>
      <c r="FW81" s="208">
        <v>-378331</v>
      </c>
      <c r="FX81" s="208">
        <v>0</v>
      </c>
      <c r="FY81" s="208">
        <v>0</v>
      </c>
      <c r="FZ81" s="208">
        <v>0</v>
      </c>
      <c r="GA81" s="208">
        <v>0</v>
      </c>
      <c r="GB81" s="208">
        <v>0</v>
      </c>
      <c r="GC81" s="208">
        <v>0</v>
      </c>
      <c r="GD81" s="208">
        <v>0</v>
      </c>
      <c r="GE81" s="208">
        <v>0</v>
      </c>
      <c r="GF81" s="208">
        <v>0</v>
      </c>
      <c r="GG81" s="208">
        <v>26993394</v>
      </c>
      <c r="GH81" s="208">
        <v>0</v>
      </c>
      <c r="GI81" s="208">
        <v>26993394</v>
      </c>
      <c r="GJ81" s="208">
        <v>-1550294</v>
      </c>
      <c r="GK81" s="208">
        <v>0</v>
      </c>
      <c r="GL81" s="208">
        <v>-1550294</v>
      </c>
      <c r="GM81" s="208">
        <v>-6006082</v>
      </c>
      <c r="GN81" s="208">
        <v>0</v>
      </c>
      <c r="GO81" s="208">
        <v>-6006082</v>
      </c>
      <c r="GP81" s="208">
        <v>-448134</v>
      </c>
      <c r="GQ81" s="208">
        <v>0</v>
      </c>
      <c r="GR81" s="208">
        <v>-448134</v>
      </c>
      <c r="GS81" s="208">
        <v>23332</v>
      </c>
      <c r="GT81" s="208">
        <v>0</v>
      </c>
      <c r="GU81" s="208">
        <v>23332</v>
      </c>
      <c r="GV81" s="208">
        <v>-378331</v>
      </c>
      <c r="GW81" s="208">
        <v>0</v>
      </c>
      <c r="GX81" s="208">
        <v>-378331</v>
      </c>
      <c r="GY81" s="208">
        <v>0</v>
      </c>
      <c r="GZ81" s="208">
        <v>0</v>
      </c>
      <c r="HA81" s="208">
        <v>0</v>
      </c>
      <c r="HB81" s="208">
        <v>-8359509</v>
      </c>
      <c r="HC81" s="208">
        <v>0</v>
      </c>
      <c r="HD81" s="208">
        <v>-8359509</v>
      </c>
      <c r="HE81" s="208">
        <v>18633885</v>
      </c>
      <c r="HF81" s="208">
        <v>0</v>
      </c>
      <c r="HG81" s="208">
        <v>18633885</v>
      </c>
      <c r="HH81" s="187" t="s">
        <v>1054</v>
      </c>
    </row>
    <row r="82" spans="1:216" s="187" customFormat="1" x14ac:dyDescent="0.2">
      <c r="B82" s="429" t="s">
        <v>243</v>
      </c>
      <c r="C82" s="429" t="s">
        <v>242</v>
      </c>
      <c r="D82" s="208">
        <v>-1608965</v>
      </c>
      <c r="E82" s="208">
        <v>0</v>
      </c>
      <c r="F82" s="208">
        <v>-1608965</v>
      </c>
      <c r="G82" s="208">
        <v>-17663</v>
      </c>
      <c r="H82" s="208">
        <v>0</v>
      </c>
      <c r="I82" s="208">
        <v>-17663</v>
      </c>
      <c r="J82" s="208">
        <v>3347327</v>
      </c>
      <c r="K82" s="208">
        <v>0</v>
      </c>
      <c r="L82" s="208">
        <v>3347327</v>
      </c>
      <c r="M82" s="208">
        <v>-316378</v>
      </c>
      <c r="N82" s="208">
        <v>0</v>
      </c>
      <c r="O82" s="208">
        <v>-316378</v>
      </c>
      <c r="P82" s="208">
        <v>1404321</v>
      </c>
      <c r="Q82" s="208">
        <v>0</v>
      </c>
      <c r="R82" s="208">
        <v>1404321</v>
      </c>
      <c r="S82" s="208">
        <v>-9699480</v>
      </c>
      <c r="T82" s="208">
        <v>0</v>
      </c>
      <c r="U82" s="208">
        <v>-9699480</v>
      </c>
      <c r="V82" s="208">
        <v>-32899</v>
      </c>
      <c r="W82" s="208">
        <v>0</v>
      </c>
      <c r="X82" s="208">
        <v>-32899</v>
      </c>
      <c r="Y82" s="208">
        <v>-471595</v>
      </c>
      <c r="Z82" s="208">
        <v>0</v>
      </c>
      <c r="AA82" s="208">
        <v>-471595</v>
      </c>
      <c r="AB82" s="208">
        <v>-143049</v>
      </c>
      <c r="AC82" s="208">
        <v>0</v>
      </c>
      <c r="AD82" s="208">
        <v>-143049</v>
      </c>
      <c r="AE82" s="208">
        <v>-328546</v>
      </c>
      <c r="AF82" s="208">
        <v>0</v>
      </c>
      <c r="AG82" s="208">
        <v>-328546</v>
      </c>
      <c r="AH82" s="208">
        <v>-9965</v>
      </c>
      <c r="AI82" s="208">
        <v>0</v>
      </c>
      <c r="AJ82" s="208">
        <v>-9965</v>
      </c>
      <c r="AK82" s="208">
        <v>-183</v>
      </c>
      <c r="AL82" s="208">
        <v>0</v>
      </c>
      <c r="AM82" s="208">
        <v>-183</v>
      </c>
      <c r="AN82" s="208">
        <v>2324225</v>
      </c>
      <c r="AO82" s="208">
        <v>0</v>
      </c>
      <c r="AP82" s="208">
        <v>2324225</v>
      </c>
      <c r="AQ82" s="208">
        <v>35848</v>
      </c>
      <c r="AR82" s="208">
        <v>0</v>
      </c>
      <c r="AS82" s="208">
        <v>35848</v>
      </c>
      <c r="AT82" s="208">
        <v>-7077318</v>
      </c>
      <c r="AU82" s="208">
        <v>0</v>
      </c>
      <c r="AV82" s="208">
        <v>-7077318</v>
      </c>
      <c r="AW82" s="208">
        <v>-228949</v>
      </c>
      <c r="AX82" s="208">
        <v>0</v>
      </c>
      <c r="AY82" s="208">
        <v>-228949</v>
      </c>
      <c r="AZ82" s="208">
        <v>-51173</v>
      </c>
      <c r="BA82" s="208">
        <v>0</v>
      </c>
      <c r="BB82" s="208">
        <v>-51173</v>
      </c>
      <c r="BC82" s="208">
        <v>0</v>
      </c>
      <c r="BD82" s="208">
        <v>0</v>
      </c>
      <c r="BE82" s="208">
        <v>0</v>
      </c>
      <c r="BF82" s="208">
        <v>-3598</v>
      </c>
      <c r="BG82" s="208">
        <v>0</v>
      </c>
      <c r="BH82" s="208">
        <v>-3598</v>
      </c>
      <c r="BI82" s="208">
        <v>0</v>
      </c>
      <c r="BJ82" s="208">
        <v>0</v>
      </c>
      <c r="BK82" s="208">
        <v>0</v>
      </c>
      <c r="BL82" s="208">
        <v>-15172040</v>
      </c>
      <c r="BM82" s="208">
        <v>0</v>
      </c>
      <c r="BN82" s="208">
        <v>-15172040</v>
      </c>
      <c r="BO82" s="208">
        <v>-3894</v>
      </c>
      <c r="BP82" s="208">
        <v>0</v>
      </c>
      <c r="BQ82" s="208">
        <v>-3894</v>
      </c>
      <c r="BR82" s="208">
        <v>4136</v>
      </c>
      <c r="BS82" s="208">
        <v>0</v>
      </c>
      <c r="BT82" s="208">
        <v>4136</v>
      </c>
      <c r="BU82" s="208">
        <v>-3179894</v>
      </c>
      <c r="BV82" s="208">
        <v>0</v>
      </c>
      <c r="BW82" s="208">
        <v>-3179894</v>
      </c>
      <c r="BX82" s="208">
        <v>-237402</v>
      </c>
      <c r="BY82" s="208">
        <v>0</v>
      </c>
      <c r="BZ82" s="208">
        <v>-237402</v>
      </c>
      <c r="CA82" s="208">
        <v>-3417054</v>
      </c>
      <c r="CB82" s="208">
        <v>0</v>
      </c>
      <c r="CC82" s="208">
        <v>-3417054</v>
      </c>
      <c r="CD82" s="208">
        <v>-317578</v>
      </c>
      <c r="CE82" s="208">
        <v>0</v>
      </c>
      <c r="CF82" s="208">
        <v>-317578</v>
      </c>
      <c r="CG82" s="208">
        <v>-1068</v>
      </c>
      <c r="CH82" s="208">
        <v>0</v>
      </c>
      <c r="CI82" s="208">
        <v>-1068</v>
      </c>
      <c r="CJ82" s="208">
        <v>-160520</v>
      </c>
      <c r="CK82" s="208">
        <v>0</v>
      </c>
      <c r="CL82" s="208">
        <v>-160520</v>
      </c>
      <c r="CM82" s="208">
        <v>770</v>
      </c>
      <c r="CN82" s="208">
        <v>0</v>
      </c>
      <c r="CO82" s="208">
        <v>770</v>
      </c>
      <c r="CP82" s="208">
        <v>0</v>
      </c>
      <c r="CQ82" s="208">
        <v>0</v>
      </c>
      <c r="CR82" s="208">
        <v>0</v>
      </c>
      <c r="CS82" s="208">
        <v>0</v>
      </c>
      <c r="CT82" s="208">
        <v>0</v>
      </c>
      <c r="CU82" s="208">
        <v>0</v>
      </c>
      <c r="CV82" s="208">
        <v>0</v>
      </c>
      <c r="CW82" s="208">
        <v>0</v>
      </c>
      <c r="CX82" s="208">
        <v>0</v>
      </c>
      <c r="CY82" s="208">
        <v>0</v>
      </c>
      <c r="CZ82" s="208">
        <v>0</v>
      </c>
      <c r="DA82" s="208">
        <v>0</v>
      </c>
      <c r="DB82" s="208">
        <v>0</v>
      </c>
      <c r="DC82" s="208">
        <v>0</v>
      </c>
      <c r="DD82" s="208">
        <v>0</v>
      </c>
      <c r="DE82" s="208">
        <v>0</v>
      </c>
      <c r="DF82" s="208">
        <v>0</v>
      </c>
      <c r="DG82" s="208">
        <v>0</v>
      </c>
      <c r="DH82" s="208">
        <v>0</v>
      </c>
      <c r="DI82" s="208">
        <v>0</v>
      </c>
      <c r="DJ82" s="208">
        <v>0</v>
      </c>
      <c r="DK82" s="208">
        <v>0</v>
      </c>
      <c r="DL82" s="208">
        <v>0</v>
      </c>
      <c r="DM82" s="208">
        <v>0</v>
      </c>
      <c r="DN82" s="208">
        <v>0</v>
      </c>
      <c r="DO82" s="208">
        <v>0</v>
      </c>
      <c r="DP82" s="208">
        <v>-478396</v>
      </c>
      <c r="DQ82" s="208">
        <v>0</v>
      </c>
      <c r="DR82" s="208">
        <v>-478396</v>
      </c>
      <c r="DS82" s="208">
        <v>39104</v>
      </c>
      <c r="DT82" s="208">
        <v>0</v>
      </c>
      <c r="DU82" s="208">
        <v>39104</v>
      </c>
      <c r="DV82" s="208">
        <v>0</v>
      </c>
      <c r="DW82" s="208">
        <v>0</v>
      </c>
      <c r="DX82" s="208">
        <v>0</v>
      </c>
      <c r="DY82" s="208">
        <v>2500</v>
      </c>
      <c r="DZ82" s="208">
        <v>0</v>
      </c>
      <c r="EA82" s="208">
        <v>2500</v>
      </c>
      <c r="EB82" s="208">
        <v>0</v>
      </c>
      <c r="EC82" s="208">
        <v>0</v>
      </c>
      <c r="ED82" s="208">
        <v>0</v>
      </c>
      <c r="EE82" s="208">
        <v>0</v>
      </c>
      <c r="EF82" s="208">
        <v>0</v>
      </c>
      <c r="EG82" s="208">
        <v>0</v>
      </c>
      <c r="EH82" s="208">
        <v>0</v>
      </c>
      <c r="EI82" s="208">
        <v>0</v>
      </c>
      <c r="EJ82" s="208">
        <v>0</v>
      </c>
      <c r="EK82" s="208">
        <v>-3598</v>
      </c>
      <c r="EL82" s="208">
        <v>0</v>
      </c>
      <c r="EM82" s="208">
        <v>-3598</v>
      </c>
      <c r="EN82" s="208">
        <v>0</v>
      </c>
      <c r="EO82" s="208">
        <v>0</v>
      </c>
      <c r="EP82" s="208">
        <v>0</v>
      </c>
      <c r="EQ82" s="208">
        <v>0</v>
      </c>
      <c r="ER82" s="208">
        <v>0</v>
      </c>
      <c r="ES82" s="208">
        <v>0</v>
      </c>
      <c r="ET82" s="208">
        <v>0</v>
      </c>
      <c r="EU82" s="208">
        <v>0</v>
      </c>
      <c r="EV82" s="208">
        <v>0</v>
      </c>
      <c r="EW82" s="208">
        <v>-40142</v>
      </c>
      <c r="EX82" s="208">
        <v>0</v>
      </c>
      <c r="EY82" s="208">
        <v>-40142</v>
      </c>
      <c r="EZ82" s="208">
        <v>0</v>
      </c>
      <c r="FA82" s="208">
        <v>0</v>
      </c>
      <c r="FB82" s="208">
        <v>0</v>
      </c>
      <c r="FC82" s="208">
        <v>-224937</v>
      </c>
      <c r="FD82" s="208">
        <v>0</v>
      </c>
      <c r="FE82" s="208">
        <v>-224937</v>
      </c>
      <c r="FF82" s="208">
        <v>-3894</v>
      </c>
      <c r="FG82" s="208">
        <v>0</v>
      </c>
      <c r="FH82" s="208">
        <v>-3894</v>
      </c>
      <c r="FI82" s="208">
        <v>-85204</v>
      </c>
      <c r="FJ82" s="208">
        <v>0</v>
      </c>
      <c r="FK82" s="208">
        <v>-85204</v>
      </c>
      <c r="FL82" s="208">
        <v>381</v>
      </c>
      <c r="FM82" s="208">
        <v>0</v>
      </c>
      <c r="FN82" s="208">
        <v>381</v>
      </c>
      <c r="FO82" s="208">
        <v>0</v>
      </c>
      <c r="FP82" s="208">
        <v>0</v>
      </c>
      <c r="FQ82" s="208">
        <v>0</v>
      </c>
      <c r="FR82" s="208">
        <v>0</v>
      </c>
      <c r="FS82" s="208">
        <v>0</v>
      </c>
      <c r="FT82" s="208">
        <v>0</v>
      </c>
      <c r="FU82" s="208">
        <v>-315790</v>
      </c>
      <c r="FV82" s="208">
        <v>0</v>
      </c>
      <c r="FW82" s="208">
        <v>-315790</v>
      </c>
      <c r="FX82" s="208">
        <v>0</v>
      </c>
      <c r="FY82" s="208">
        <v>0</v>
      </c>
      <c r="FZ82" s="208">
        <v>0</v>
      </c>
      <c r="GA82" s="208">
        <v>0</v>
      </c>
      <c r="GB82" s="208">
        <v>0</v>
      </c>
      <c r="GC82" s="208">
        <v>0</v>
      </c>
      <c r="GD82" s="208">
        <v>0</v>
      </c>
      <c r="GE82" s="208">
        <v>0</v>
      </c>
      <c r="GF82" s="208">
        <v>0</v>
      </c>
      <c r="GG82" s="208">
        <v>116461779</v>
      </c>
      <c r="GH82" s="208">
        <v>0</v>
      </c>
      <c r="GI82" s="208">
        <v>116461779</v>
      </c>
      <c r="GJ82" s="208">
        <v>1404321</v>
      </c>
      <c r="GK82" s="208">
        <v>0</v>
      </c>
      <c r="GL82" s="208">
        <v>1404321</v>
      </c>
      <c r="GM82" s="208">
        <v>-15172040</v>
      </c>
      <c r="GN82" s="208">
        <v>0</v>
      </c>
      <c r="GO82" s="208">
        <v>-15172040</v>
      </c>
      <c r="GP82" s="208">
        <v>-3417054</v>
      </c>
      <c r="GQ82" s="208">
        <v>0</v>
      </c>
      <c r="GR82" s="208">
        <v>-3417054</v>
      </c>
      <c r="GS82" s="208">
        <v>-478396</v>
      </c>
      <c r="GT82" s="208">
        <v>0</v>
      </c>
      <c r="GU82" s="208">
        <v>-478396</v>
      </c>
      <c r="GV82" s="208">
        <v>-315790</v>
      </c>
      <c r="GW82" s="208">
        <v>0</v>
      </c>
      <c r="GX82" s="208">
        <v>-315790</v>
      </c>
      <c r="GY82" s="208">
        <v>0</v>
      </c>
      <c r="GZ82" s="208">
        <v>0</v>
      </c>
      <c r="HA82" s="208">
        <v>0</v>
      </c>
      <c r="HB82" s="208">
        <v>-17978959</v>
      </c>
      <c r="HC82" s="208">
        <v>0</v>
      </c>
      <c r="HD82" s="208">
        <v>-17978959</v>
      </c>
      <c r="HE82" s="208">
        <v>98482820</v>
      </c>
      <c r="HF82" s="208">
        <v>0</v>
      </c>
      <c r="HG82" s="208">
        <v>98482820</v>
      </c>
      <c r="HH82" s="187" t="s">
        <v>1056</v>
      </c>
    </row>
    <row r="83" spans="1:216" s="187" customFormat="1" x14ac:dyDescent="0.2">
      <c r="B83" s="429" t="s">
        <v>245</v>
      </c>
      <c r="C83" s="429" t="s">
        <v>244</v>
      </c>
      <c r="D83" s="208">
        <v>-864392</v>
      </c>
      <c r="E83" s="208">
        <v>0</v>
      </c>
      <c r="F83" s="208">
        <v>-864392</v>
      </c>
      <c r="G83" s="208">
        <v>6965</v>
      </c>
      <c r="H83" s="208">
        <v>0</v>
      </c>
      <c r="I83" s="208">
        <v>6965</v>
      </c>
      <c r="J83" s="208">
        <v>1579467</v>
      </c>
      <c r="K83" s="208">
        <v>0</v>
      </c>
      <c r="L83" s="208">
        <v>1579467</v>
      </c>
      <c r="M83" s="208">
        <v>-140604</v>
      </c>
      <c r="N83" s="208">
        <v>0</v>
      </c>
      <c r="O83" s="208">
        <v>-140604</v>
      </c>
      <c r="P83" s="208">
        <v>581436</v>
      </c>
      <c r="Q83" s="208">
        <v>0</v>
      </c>
      <c r="R83" s="208">
        <v>581436</v>
      </c>
      <c r="S83" s="208">
        <v>-3945163</v>
      </c>
      <c r="T83" s="208">
        <v>0</v>
      </c>
      <c r="U83" s="208">
        <v>-3945163</v>
      </c>
      <c r="V83" s="208">
        <v>-10754</v>
      </c>
      <c r="W83" s="208">
        <v>0</v>
      </c>
      <c r="X83" s="208">
        <v>-10754</v>
      </c>
      <c r="Y83" s="208">
        <v>-188232</v>
      </c>
      <c r="Z83" s="208">
        <v>0</v>
      </c>
      <c r="AA83" s="208">
        <v>-188232</v>
      </c>
      <c r="AB83" s="208">
        <v>-60843</v>
      </c>
      <c r="AC83" s="208">
        <v>0</v>
      </c>
      <c r="AD83" s="208">
        <v>-60843</v>
      </c>
      <c r="AE83" s="208">
        <v>-124871</v>
      </c>
      <c r="AF83" s="208">
        <v>0</v>
      </c>
      <c r="AG83" s="208">
        <v>-124871</v>
      </c>
      <c r="AH83" s="208">
        <v>0</v>
      </c>
      <c r="AI83" s="208">
        <v>0</v>
      </c>
      <c r="AJ83" s="208">
        <v>0</v>
      </c>
      <c r="AK83" s="208">
        <v>0</v>
      </c>
      <c r="AL83" s="208">
        <v>0</v>
      </c>
      <c r="AM83" s="208">
        <v>0</v>
      </c>
      <c r="AN83" s="208">
        <v>1033598</v>
      </c>
      <c r="AO83" s="208">
        <v>0</v>
      </c>
      <c r="AP83" s="208">
        <v>1033598</v>
      </c>
      <c r="AQ83" s="208">
        <v>-6671</v>
      </c>
      <c r="AR83" s="208">
        <v>0</v>
      </c>
      <c r="AS83" s="208">
        <v>-6671</v>
      </c>
      <c r="AT83" s="208">
        <v>-2758330</v>
      </c>
      <c r="AU83" s="208">
        <v>0</v>
      </c>
      <c r="AV83" s="208">
        <v>-2758330</v>
      </c>
      <c r="AW83" s="208">
        <v>392</v>
      </c>
      <c r="AX83" s="208">
        <v>0</v>
      </c>
      <c r="AY83" s="208">
        <v>392</v>
      </c>
      <c r="AZ83" s="208">
        <v>-37427.01</v>
      </c>
      <c r="BA83" s="208">
        <v>0</v>
      </c>
      <c r="BB83" s="208">
        <v>-37427.01</v>
      </c>
      <c r="BC83" s="208">
        <v>0</v>
      </c>
      <c r="BD83" s="208">
        <v>0</v>
      </c>
      <c r="BE83" s="208">
        <v>0</v>
      </c>
      <c r="BF83" s="208">
        <v>-14439</v>
      </c>
      <c r="BG83" s="208">
        <v>0</v>
      </c>
      <c r="BH83" s="208">
        <v>-14439</v>
      </c>
      <c r="BI83" s="208">
        <v>0</v>
      </c>
      <c r="BJ83" s="208">
        <v>0</v>
      </c>
      <c r="BK83" s="208">
        <v>0</v>
      </c>
      <c r="BL83" s="208">
        <v>-5916272</v>
      </c>
      <c r="BM83" s="208">
        <v>0</v>
      </c>
      <c r="BN83" s="208">
        <v>-5916272</v>
      </c>
      <c r="BO83" s="208">
        <v>0</v>
      </c>
      <c r="BP83" s="208">
        <v>0</v>
      </c>
      <c r="BQ83" s="208">
        <v>0</v>
      </c>
      <c r="BR83" s="208">
        <v>0</v>
      </c>
      <c r="BS83" s="208">
        <v>0</v>
      </c>
      <c r="BT83" s="208">
        <v>0</v>
      </c>
      <c r="BU83" s="208">
        <v>-1314275</v>
      </c>
      <c r="BV83" s="208">
        <v>0</v>
      </c>
      <c r="BW83" s="208">
        <v>-1314275</v>
      </c>
      <c r="BX83" s="208">
        <v>15472</v>
      </c>
      <c r="BY83" s="208">
        <v>0</v>
      </c>
      <c r="BZ83" s="208">
        <v>15472</v>
      </c>
      <c r="CA83" s="208">
        <v>-1298803</v>
      </c>
      <c r="CB83" s="208">
        <v>0</v>
      </c>
      <c r="CC83" s="208">
        <v>-1298803</v>
      </c>
      <c r="CD83" s="208">
        <v>-157088</v>
      </c>
      <c r="CE83" s="208">
        <v>0</v>
      </c>
      <c r="CF83" s="208">
        <v>-157088</v>
      </c>
      <c r="CG83" s="208">
        <v>2223</v>
      </c>
      <c r="CH83" s="208">
        <v>0</v>
      </c>
      <c r="CI83" s="208">
        <v>2223</v>
      </c>
      <c r="CJ83" s="208">
        <v>-11564</v>
      </c>
      <c r="CK83" s="208">
        <v>0</v>
      </c>
      <c r="CL83" s="208">
        <v>-11564</v>
      </c>
      <c r="CM83" s="208">
        <v>0</v>
      </c>
      <c r="CN83" s="208">
        <v>0</v>
      </c>
      <c r="CO83" s="208">
        <v>0</v>
      </c>
      <c r="CP83" s="208">
        <v>0</v>
      </c>
      <c r="CQ83" s="208">
        <v>0</v>
      </c>
      <c r="CR83" s="208">
        <v>0</v>
      </c>
      <c r="CS83" s="208">
        <v>0</v>
      </c>
      <c r="CT83" s="208">
        <v>0</v>
      </c>
      <c r="CU83" s="208">
        <v>0</v>
      </c>
      <c r="CV83" s="208">
        <v>0</v>
      </c>
      <c r="CW83" s="208">
        <v>0</v>
      </c>
      <c r="CX83" s="208">
        <v>0</v>
      </c>
      <c r="CY83" s="208">
        <v>0</v>
      </c>
      <c r="CZ83" s="208">
        <v>0</v>
      </c>
      <c r="DA83" s="208">
        <v>0</v>
      </c>
      <c r="DB83" s="208">
        <v>0</v>
      </c>
      <c r="DC83" s="208">
        <v>0</v>
      </c>
      <c r="DD83" s="208">
        <v>0</v>
      </c>
      <c r="DE83" s="208">
        <v>0</v>
      </c>
      <c r="DF83" s="208">
        <v>0</v>
      </c>
      <c r="DG83" s="208">
        <v>0</v>
      </c>
      <c r="DH83" s="208">
        <v>-2601831</v>
      </c>
      <c r="DI83" s="208">
        <v>0</v>
      </c>
      <c r="DJ83" s="208">
        <v>-2601831</v>
      </c>
      <c r="DK83" s="208">
        <v>-61229</v>
      </c>
      <c r="DL83" s="208">
        <v>0</v>
      </c>
      <c r="DM83" s="208">
        <v>-61229</v>
      </c>
      <c r="DN83" s="208">
        <v>0</v>
      </c>
      <c r="DO83" s="208">
        <v>-2663060</v>
      </c>
      <c r="DP83" s="208">
        <v>-2829489</v>
      </c>
      <c r="DQ83" s="208">
        <v>0</v>
      </c>
      <c r="DR83" s="208">
        <v>-2829489</v>
      </c>
      <c r="DS83" s="208">
        <v>0</v>
      </c>
      <c r="DT83" s="208">
        <v>0</v>
      </c>
      <c r="DU83" s="208">
        <v>0</v>
      </c>
      <c r="DV83" s="208">
        <v>0</v>
      </c>
      <c r="DW83" s="208">
        <v>0</v>
      </c>
      <c r="DX83" s="208">
        <v>0</v>
      </c>
      <c r="DY83" s="208">
        <v>2726</v>
      </c>
      <c r="DZ83" s="208">
        <v>0</v>
      </c>
      <c r="EA83" s="208">
        <v>2726</v>
      </c>
      <c r="EB83" s="208">
        <v>0</v>
      </c>
      <c r="EC83" s="208">
        <v>0</v>
      </c>
      <c r="ED83" s="208">
        <v>0</v>
      </c>
      <c r="EE83" s="208">
        <v>0</v>
      </c>
      <c r="EF83" s="208">
        <v>0</v>
      </c>
      <c r="EG83" s="208">
        <v>0</v>
      </c>
      <c r="EH83" s="208">
        <v>81</v>
      </c>
      <c r="EI83" s="208">
        <v>0</v>
      </c>
      <c r="EJ83" s="208">
        <v>81</v>
      </c>
      <c r="EK83" s="208">
        <v>-14439</v>
      </c>
      <c r="EL83" s="208">
        <v>0</v>
      </c>
      <c r="EM83" s="208">
        <v>-14439</v>
      </c>
      <c r="EN83" s="208">
        <v>0</v>
      </c>
      <c r="EO83" s="208">
        <v>0</v>
      </c>
      <c r="EP83" s="208">
        <v>0</v>
      </c>
      <c r="EQ83" s="208">
        <v>-1500</v>
      </c>
      <c r="ER83" s="208">
        <v>0</v>
      </c>
      <c r="ES83" s="208">
        <v>-1500</v>
      </c>
      <c r="ET83" s="208">
        <v>0</v>
      </c>
      <c r="EU83" s="208">
        <v>0</v>
      </c>
      <c r="EV83" s="208">
        <v>0</v>
      </c>
      <c r="EW83" s="208">
        <v>-33764</v>
      </c>
      <c r="EX83" s="208">
        <v>0</v>
      </c>
      <c r="EY83" s="208">
        <v>-33764</v>
      </c>
      <c r="EZ83" s="208">
        <v>-573</v>
      </c>
      <c r="FA83" s="208">
        <v>0</v>
      </c>
      <c r="FB83" s="208">
        <v>-573</v>
      </c>
      <c r="FC83" s="208">
        <v>-96206</v>
      </c>
      <c r="FD83" s="208">
        <v>0</v>
      </c>
      <c r="FE83" s="208">
        <v>-96206</v>
      </c>
      <c r="FF83" s="208">
        <v>1507</v>
      </c>
      <c r="FG83" s="208">
        <v>0</v>
      </c>
      <c r="FH83" s="208">
        <v>1507</v>
      </c>
      <c r="FI83" s="208">
        <v>-60612</v>
      </c>
      <c r="FJ83" s="208">
        <v>0</v>
      </c>
      <c r="FK83" s="208">
        <v>-60612</v>
      </c>
      <c r="FL83" s="208">
        <v>2596</v>
      </c>
      <c r="FM83" s="208">
        <v>0</v>
      </c>
      <c r="FN83" s="208">
        <v>2596</v>
      </c>
      <c r="FO83" s="208">
        <v>0</v>
      </c>
      <c r="FP83" s="208">
        <v>0</v>
      </c>
      <c r="FQ83" s="208">
        <v>0</v>
      </c>
      <c r="FR83" s="208">
        <v>0</v>
      </c>
      <c r="FS83" s="208">
        <v>0</v>
      </c>
      <c r="FT83" s="208">
        <v>0</v>
      </c>
      <c r="FU83" s="208">
        <v>-200184</v>
      </c>
      <c r="FV83" s="208">
        <v>0</v>
      </c>
      <c r="FW83" s="208">
        <v>-200184</v>
      </c>
      <c r="FX83" s="208">
        <v>0</v>
      </c>
      <c r="FY83" s="208">
        <v>0</v>
      </c>
      <c r="FZ83" s="208">
        <v>0</v>
      </c>
      <c r="GA83" s="208">
        <v>0</v>
      </c>
      <c r="GB83" s="208">
        <v>0</v>
      </c>
      <c r="GC83" s="208">
        <v>0</v>
      </c>
      <c r="GD83" s="208">
        <v>0</v>
      </c>
      <c r="GE83" s="208">
        <v>0</v>
      </c>
      <c r="GF83" s="208">
        <v>0</v>
      </c>
      <c r="GG83" s="208">
        <v>51845099</v>
      </c>
      <c r="GH83" s="208">
        <v>0</v>
      </c>
      <c r="GI83" s="208">
        <v>51845099</v>
      </c>
      <c r="GJ83" s="208">
        <v>581436</v>
      </c>
      <c r="GK83" s="208">
        <v>0</v>
      </c>
      <c r="GL83" s="208">
        <v>581436</v>
      </c>
      <c r="GM83" s="208">
        <v>-5916272</v>
      </c>
      <c r="GN83" s="208">
        <v>0</v>
      </c>
      <c r="GO83" s="208">
        <v>-5916272</v>
      </c>
      <c r="GP83" s="208">
        <v>-1298803</v>
      </c>
      <c r="GQ83" s="208">
        <v>0</v>
      </c>
      <c r="GR83" s="208">
        <v>-1298803</v>
      </c>
      <c r="GS83" s="208">
        <v>-2829489</v>
      </c>
      <c r="GT83" s="208">
        <v>0</v>
      </c>
      <c r="GU83" s="208">
        <v>-2829489</v>
      </c>
      <c r="GV83" s="208">
        <v>-200184</v>
      </c>
      <c r="GW83" s="208">
        <v>0</v>
      </c>
      <c r="GX83" s="208">
        <v>-200184</v>
      </c>
      <c r="GY83" s="208">
        <v>0</v>
      </c>
      <c r="GZ83" s="208">
        <v>0</v>
      </c>
      <c r="HA83" s="208">
        <v>0</v>
      </c>
      <c r="HB83" s="208">
        <v>-9663312</v>
      </c>
      <c r="HC83" s="208">
        <v>0</v>
      </c>
      <c r="HD83" s="208">
        <v>-9663312</v>
      </c>
      <c r="HE83" s="208">
        <v>42181787</v>
      </c>
      <c r="HF83" s="208">
        <v>0</v>
      </c>
      <c r="HG83" s="208">
        <v>42181787</v>
      </c>
      <c r="HH83" s="187" t="s">
        <v>1054</v>
      </c>
    </row>
    <row r="84" spans="1:216" s="187" customFormat="1" x14ac:dyDescent="0.2">
      <c r="B84" s="429" t="s">
        <v>247</v>
      </c>
      <c r="C84" s="429" t="s">
        <v>246</v>
      </c>
      <c r="D84" s="208">
        <v>-1176460</v>
      </c>
      <c r="E84" s="208">
        <v>0</v>
      </c>
      <c r="F84" s="208">
        <v>-1176460</v>
      </c>
      <c r="G84" s="208">
        <v>-48229</v>
      </c>
      <c r="H84" s="208">
        <v>-905</v>
      </c>
      <c r="I84" s="208">
        <v>-49134</v>
      </c>
      <c r="J84" s="208">
        <v>3246800</v>
      </c>
      <c r="K84" s="208">
        <v>0</v>
      </c>
      <c r="L84" s="208">
        <v>3246800</v>
      </c>
      <c r="M84" s="208">
        <v>-14672</v>
      </c>
      <c r="N84" s="208">
        <v>0</v>
      </c>
      <c r="O84" s="208">
        <v>-14672</v>
      </c>
      <c r="P84" s="208">
        <v>2007439</v>
      </c>
      <c r="Q84" s="208">
        <v>-905</v>
      </c>
      <c r="R84" s="208">
        <v>2006534</v>
      </c>
      <c r="S84" s="208">
        <v>-11429794</v>
      </c>
      <c r="T84" s="208">
        <v>-4656</v>
      </c>
      <c r="U84" s="208">
        <v>-11434450</v>
      </c>
      <c r="V84" s="208">
        <v>-46474</v>
      </c>
      <c r="W84" s="208">
        <v>0</v>
      </c>
      <c r="X84" s="208">
        <v>-46474</v>
      </c>
      <c r="Y84" s="208">
        <v>-396156</v>
      </c>
      <c r="Z84" s="208">
        <v>0</v>
      </c>
      <c r="AA84" s="208">
        <v>-396156</v>
      </c>
      <c r="AB84" s="208">
        <v>-61812</v>
      </c>
      <c r="AC84" s="208">
        <v>0</v>
      </c>
      <c r="AD84" s="208">
        <v>-61812</v>
      </c>
      <c r="AE84" s="208">
        <v>-334344</v>
      </c>
      <c r="AF84" s="208">
        <v>0</v>
      </c>
      <c r="AG84" s="208">
        <v>-334344</v>
      </c>
      <c r="AH84" s="208">
        <v>-53270</v>
      </c>
      <c r="AI84" s="208">
        <v>0</v>
      </c>
      <c r="AJ84" s="208">
        <v>-53270</v>
      </c>
      <c r="AK84" s="208">
        <v>6796</v>
      </c>
      <c r="AL84" s="208">
        <v>0</v>
      </c>
      <c r="AM84" s="208">
        <v>6796</v>
      </c>
      <c r="AN84" s="208">
        <v>1995734</v>
      </c>
      <c r="AO84" s="208">
        <v>0</v>
      </c>
      <c r="AP84" s="208">
        <v>1995734</v>
      </c>
      <c r="AQ84" s="208">
        <v>3853</v>
      </c>
      <c r="AR84" s="208">
        <v>0</v>
      </c>
      <c r="AS84" s="208">
        <v>3853</v>
      </c>
      <c r="AT84" s="208">
        <v>-6165895</v>
      </c>
      <c r="AU84" s="208">
        <v>0</v>
      </c>
      <c r="AV84" s="208">
        <v>-6165895</v>
      </c>
      <c r="AW84" s="208">
        <v>-303985</v>
      </c>
      <c r="AX84" s="208">
        <v>0</v>
      </c>
      <c r="AY84" s="208">
        <v>-303985</v>
      </c>
      <c r="AZ84" s="208">
        <v>-34155</v>
      </c>
      <c r="BA84" s="208">
        <v>0</v>
      </c>
      <c r="BB84" s="208">
        <v>-34155</v>
      </c>
      <c r="BC84" s="208">
        <v>0</v>
      </c>
      <c r="BD84" s="208">
        <v>0</v>
      </c>
      <c r="BE84" s="208">
        <v>0</v>
      </c>
      <c r="BF84" s="208">
        <v>0</v>
      </c>
      <c r="BG84" s="208">
        <v>0</v>
      </c>
      <c r="BH84" s="208">
        <v>0</v>
      </c>
      <c r="BI84" s="208">
        <v>0</v>
      </c>
      <c r="BJ84" s="208">
        <v>0</v>
      </c>
      <c r="BK84" s="208">
        <v>0</v>
      </c>
      <c r="BL84" s="208">
        <v>-16330398</v>
      </c>
      <c r="BM84" s="208">
        <v>-4656</v>
      </c>
      <c r="BN84" s="208">
        <v>-16335054</v>
      </c>
      <c r="BO84" s="208">
        <v>-37248</v>
      </c>
      <c r="BP84" s="208">
        <v>0</v>
      </c>
      <c r="BQ84" s="208">
        <v>-37248</v>
      </c>
      <c r="BR84" s="208">
        <v>969</v>
      </c>
      <c r="BS84" s="208">
        <v>0</v>
      </c>
      <c r="BT84" s="208">
        <v>969</v>
      </c>
      <c r="BU84" s="208">
        <v>-4082234</v>
      </c>
      <c r="BV84" s="208">
        <v>-1500</v>
      </c>
      <c r="BW84" s="208">
        <v>-4083734</v>
      </c>
      <c r="BX84" s="208">
        <v>266072</v>
      </c>
      <c r="BY84" s="208">
        <v>0</v>
      </c>
      <c r="BZ84" s="208">
        <v>266072</v>
      </c>
      <c r="CA84" s="208">
        <v>-3852441</v>
      </c>
      <c r="CB84" s="208">
        <v>-1500</v>
      </c>
      <c r="CC84" s="208">
        <v>-3853941</v>
      </c>
      <c r="CD84" s="208">
        <v>-586271</v>
      </c>
      <c r="CE84" s="208">
        <v>0</v>
      </c>
      <c r="CF84" s="208">
        <v>-586271</v>
      </c>
      <c r="CG84" s="208">
        <v>-33026</v>
      </c>
      <c r="CH84" s="208">
        <v>0</v>
      </c>
      <c r="CI84" s="208">
        <v>-33026</v>
      </c>
      <c r="CJ84" s="208">
        <v>-93321</v>
      </c>
      <c r="CK84" s="208">
        <v>0</v>
      </c>
      <c r="CL84" s="208">
        <v>-93321</v>
      </c>
      <c r="CM84" s="208">
        <v>17100</v>
      </c>
      <c r="CN84" s="208">
        <v>0</v>
      </c>
      <c r="CO84" s="208">
        <v>17100</v>
      </c>
      <c r="CP84" s="208">
        <v>-8538</v>
      </c>
      <c r="CQ84" s="208">
        <v>0</v>
      </c>
      <c r="CR84" s="208">
        <v>-8538</v>
      </c>
      <c r="CS84" s="208">
        <v>0</v>
      </c>
      <c r="CT84" s="208">
        <v>0</v>
      </c>
      <c r="CU84" s="208">
        <v>0</v>
      </c>
      <c r="CV84" s="208">
        <v>0</v>
      </c>
      <c r="CW84" s="208">
        <v>0</v>
      </c>
      <c r="CX84" s="208">
        <v>0</v>
      </c>
      <c r="CY84" s="208">
        <v>0</v>
      </c>
      <c r="CZ84" s="208">
        <v>0</v>
      </c>
      <c r="DA84" s="208">
        <v>0</v>
      </c>
      <c r="DB84" s="208">
        <v>0</v>
      </c>
      <c r="DC84" s="208">
        <v>0</v>
      </c>
      <c r="DD84" s="208">
        <v>0</v>
      </c>
      <c r="DE84" s="208">
        <v>0</v>
      </c>
      <c r="DF84" s="208">
        <v>0</v>
      </c>
      <c r="DG84" s="208">
        <v>0</v>
      </c>
      <c r="DH84" s="208">
        <v>-170228</v>
      </c>
      <c r="DI84" s="208">
        <v>-191606</v>
      </c>
      <c r="DJ84" s="208">
        <v>-361834</v>
      </c>
      <c r="DK84" s="208">
        <v>-17874</v>
      </c>
      <c r="DL84" s="208">
        <v>-14762</v>
      </c>
      <c r="DM84" s="208">
        <v>-32636</v>
      </c>
      <c r="DN84" s="208">
        <v>-206368</v>
      </c>
      <c r="DO84" s="208">
        <v>-180140</v>
      </c>
      <c r="DP84" s="208">
        <v>-892158</v>
      </c>
      <c r="DQ84" s="208">
        <v>-206368</v>
      </c>
      <c r="DR84" s="208">
        <v>-1098526</v>
      </c>
      <c r="DS84" s="208">
        <v>0</v>
      </c>
      <c r="DT84" s="208">
        <v>0</v>
      </c>
      <c r="DU84" s="208">
        <v>0</v>
      </c>
      <c r="DV84" s="208">
        <v>-377</v>
      </c>
      <c r="DW84" s="208">
        <v>0</v>
      </c>
      <c r="DX84" s="208">
        <v>-377</v>
      </c>
      <c r="DY84" s="208">
        <v>4212</v>
      </c>
      <c r="DZ84" s="208">
        <v>0</v>
      </c>
      <c r="EA84" s="208">
        <v>4212</v>
      </c>
      <c r="EB84" s="208">
        <v>0</v>
      </c>
      <c r="EC84" s="208">
        <v>0</v>
      </c>
      <c r="ED84" s="208">
        <v>0</v>
      </c>
      <c r="EE84" s="208">
        <v>0</v>
      </c>
      <c r="EF84" s="208">
        <v>0</v>
      </c>
      <c r="EG84" s="208">
        <v>0</v>
      </c>
      <c r="EH84" s="208">
        <v>0</v>
      </c>
      <c r="EI84" s="208">
        <v>0</v>
      </c>
      <c r="EJ84" s="208">
        <v>0</v>
      </c>
      <c r="EK84" s="208">
        <v>0</v>
      </c>
      <c r="EL84" s="208">
        <v>0</v>
      </c>
      <c r="EM84" s="208">
        <v>0</v>
      </c>
      <c r="EN84" s="208">
        <v>0</v>
      </c>
      <c r="EO84" s="208">
        <v>0</v>
      </c>
      <c r="EP84" s="208">
        <v>0</v>
      </c>
      <c r="EQ84" s="208">
        <v>-1766</v>
      </c>
      <c r="ER84" s="208">
        <v>0</v>
      </c>
      <c r="ES84" s="208">
        <v>-1766</v>
      </c>
      <c r="ET84" s="208">
        <v>0</v>
      </c>
      <c r="EU84" s="208">
        <v>0</v>
      </c>
      <c r="EV84" s="208">
        <v>0</v>
      </c>
      <c r="EW84" s="208">
        <v>-15088</v>
      </c>
      <c r="EX84" s="208">
        <v>0</v>
      </c>
      <c r="EY84" s="208">
        <v>-15088</v>
      </c>
      <c r="EZ84" s="208">
        <v>-581</v>
      </c>
      <c r="FA84" s="208">
        <v>0</v>
      </c>
      <c r="FB84" s="208">
        <v>-581</v>
      </c>
      <c r="FC84" s="208">
        <v>-162431</v>
      </c>
      <c r="FD84" s="208">
        <v>0</v>
      </c>
      <c r="FE84" s="208">
        <v>-162431</v>
      </c>
      <c r="FF84" s="208">
        <v>0</v>
      </c>
      <c r="FG84" s="208">
        <v>0</v>
      </c>
      <c r="FH84" s="208">
        <v>0</v>
      </c>
      <c r="FI84" s="208">
        <v>-65615</v>
      </c>
      <c r="FJ84" s="208">
        <v>0</v>
      </c>
      <c r="FK84" s="208">
        <v>-65615</v>
      </c>
      <c r="FL84" s="208">
        <v>-2652</v>
      </c>
      <c r="FM84" s="208">
        <v>0</v>
      </c>
      <c r="FN84" s="208">
        <v>-2652</v>
      </c>
      <c r="FO84" s="208">
        <v>0</v>
      </c>
      <c r="FP84" s="208">
        <v>0</v>
      </c>
      <c r="FQ84" s="208">
        <v>0</v>
      </c>
      <c r="FR84" s="208">
        <v>0</v>
      </c>
      <c r="FS84" s="208">
        <v>0</v>
      </c>
      <c r="FT84" s="208">
        <v>0</v>
      </c>
      <c r="FU84" s="208">
        <v>-244298</v>
      </c>
      <c r="FV84" s="208">
        <v>0</v>
      </c>
      <c r="FW84" s="208">
        <v>-244298</v>
      </c>
      <c r="FX84" s="208">
        <v>0</v>
      </c>
      <c r="FY84" s="208">
        <v>0</v>
      </c>
      <c r="FZ84" s="208">
        <v>0</v>
      </c>
      <c r="GA84" s="208">
        <v>0</v>
      </c>
      <c r="GB84" s="208">
        <v>0</v>
      </c>
      <c r="GC84" s="208">
        <v>0</v>
      </c>
      <c r="GD84" s="208">
        <v>0</v>
      </c>
      <c r="GE84" s="208">
        <v>0</v>
      </c>
      <c r="GF84" s="208">
        <v>0</v>
      </c>
      <c r="GG84" s="208">
        <v>108656546</v>
      </c>
      <c r="GH84" s="208">
        <v>321732</v>
      </c>
      <c r="GI84" s="208">
        <v>108978278</v>
      </c>
      <c r="GJ84" s="208">
        <v>2007439</v>
      </c>
      <c r="GK84" s="208">
        <v>-905</v>
      </c>
      <c r="GL84" s="208">
        <v>2006534</v>
      </c>
      <c r="GM84" s="208">
        <v>-16330398</v>
      </c>
      <c r="GN84" s="208">
        <v>-4656</v>
      </c>
      <c r="GO84" s="208">
        <v>-16335054</v>
      </c>
      <c r="GP84" s="208">
        <v>-3852441</v>
      </c>
      <c r="GQ84" s="208">
        <v>-1500</v>
      </c>
      <c r="GR84" s="208">
        <v>-3853941</v>
      </c>
      <c r="GS84" s="208">
        <v>-892158</v>
      </c>
      <c r="GT84" s="208">
        <v>-206368</v>
      </c>
      <c r="GU84" s="208">
        <v>-1098526</v>
      </c>
      <c r="GV84" s="208">
        <v>-244298</v>
      </c>
      <c r="GW84" s="208">
        <v>0</v>
      </c>
      <c r="GX84" s="208">
        <v>-244298</v>
      </c>
      <c r="GY84" s="208">
        <v>0</v>
      </c>
      <c r="GZ84" s="208">
        <v>0</v>
      </c>
      <c r="HA84" s="208">
        <v>0</v>
      </c>
      <c r="HB84" s="208">
        <v>-19311856</v>
      </c>
      <c r="HC84" s="208">
        <v>-213429</v>
      </c>
      <c r="HD84" s="208">
        <v>-19525285</v>
      </c>
      <c r="HE84" s="208">
        <v>89344690</v>
      </c>
      <c r="HF84" s="208">
        <v>108303</v>
      </c>
      <c r="HG84" s="208">
        <v>89452993</v>
      </c>
      <c r="HH84" s="187" t="s">
        <v>1056</v>
      </c>
    </row>
    <row r="85" spans="1:216" s="187" customFormat="1" x14ac:dyDescent="0.2">
      <c r="B85" s="429" t="s">
        <v>249</v>
      </c>
      <c r="C85" s="429" t="s">
        <v>248</v>
      </c>
      <c r="D85" s="208">
        <v>-2929734</v>
      </c>
      <c r="E85" s="208">
        <v>0</v>
      </c>
      <c r="F85" s="208">
        <v>-2929734</v>
      </c>
      <c r="G85" s="208">
        <v>-2521</v>
      </c>
      <c r="H85" s="208">
        <v>0</v>
      </c>
      <c r="I85" s="208">
        <v>-2521</v>
      </c>
      <c r="J85" s="208">
        <v>4950190</v>
      </c>
      <c r="K85" s="208">
        <v>0</v>
      </c>
      <c r="L85" s="208">
        <v>4950190</v>
      </c>
      <c r="M85" s="208">
        <v>-120363</v>
      </c>
      <c r="N85" s="208">
        <v>0</v>
      </c>
      <c r="O85" s="208">
        <v>-120363</v>
      </c>
      <c r="P85" s="208">
        <v>1897572</v>
      </c>
      <c r="Q85" s="208">
        <v>0</v>
      </c>
      <c r="R85" s="208">
        <v>1897572</v>
      </c>
      <c r="S85" s="208">
        <v>-14577291</v>
      </c>
      <c r="T85" s="208">
        <v>0</v>
      </c>
      <c r="U85" s="208">
        <v>-14577291</v>
      </c>
      <c r="V85" s="208">
        <v>-79360</v>
      </c>
      <c r="W85" s="208">
        <v>0</v>
      </c>
      <c r="X85" s="208">
        <v>-79360</v>
      </c>
      <c r="Y85" s="208">
        <v>-58287</v>
      </c>
      <c r="Z85" s="208">
        <v>0</v>
      </c>
      <c r="AA85" s="208">
        <v>-58287</v>
      </c>
      <c r="AB85" s="208">
        <v>12304</v>
      </c>
      <c r="AC85" s="208">
        <v>0</v>
      </c>
      <c r="AD85" s="208">
        <v>12304</v>
      </c>
      <c r="AE85" s="208">
        <v>-71099</v>
      </c>
      <c r="AF85" s="208">
        <v>0</v>
      </c>
      <c r="AG85" s="208">
        <v>-71099</v>
      </c>
      <c r="AH85" s="208">
        <v>-3221</v>
      </c>
      <c r="AI85" s="208">
        <v>0</v>
      </c>
      <c r="AJ85" s="208">
        <v>-3221</v>
      </c>
      <c r="AK85" s="208">
        <v>-19362.73</v>
      </c>
      <c r="AL85" s="208">
        <v>0</v>
      </c>
      <c r="AM85" s="208">
        <v>-19362.73</v>
      </c>
      <c r="AN85" s="208">
        <v>2735387</v>
      </c>
      <c r="AO85" s="208">
        <v>0</v>
      </c>
      <c r="AP85" s="208">
        <v>2735387</v>
      </c>
      <c r="AQ85" s="208">
        <v>-39078</v>
      </c>
      <c r="AR85" s="208">
        <v>0</v>
      </c>
      <c r="AS85" s="208">
        <v>-39078</v>
      </c>
      <c r="AT85" s="208">
        <v>-11951468</v>
      </c>
      <c r="AU85" s="208">
        <v>0</v>
      </c>
      <c r="AV85" s="208">
        <v>-11951468</v>
      </c>
      <c r="AW85" s="208">
        <v>-174049</v>
      </c>
      <c r="AX85" s="208">
        <v>0</v>
      </c>
      <c r="AY85" s="208">
        <v>-174049</v>
      </c>
      <c r="AZ85" s="208">
        <v>-287047</v>
      </c>
      <c r="BA85" s="208">
        <v>0</v>
      </c>
      <c r="BB85" s="208">
        <v>-287047</v>
      </c>
      <c r="BC85" s="208">
        <v>-3992</v>
      </c>
      <c r="BD85" s="208">
        <v>0</v>
      </c>
      <c r="BE85" s="208">
        <v>-3992</v>
      </c>
      <c r="BF85" s="208">
        <v>-82373</v>
      </c>
      <c r="BG85" s="208">
        <v>0</v>
      </c>
      <c r="BH85" s="208">
        <v>-82373</v>
      </c>
      <c r="BI85" s="208">
        <v>1611</v>
      </c>
      <c r="BJ85" s="208">
        <v>0</v>
      </c>
      <c r="BK85" s="208">
        <v>1611</v>
      </c>
      <c r="BL85" s="208">
        <v>-24436587</v>
      </c>
      <c r="BM85" s="208">
        <v>0</v>
      </c>
      <c r="BN85" s="208">
        <v>-24436587</v>
      </c>
      <c r="BO85" s="208">
        <v>-164230</v>
      </c>
      <c r="BP85" s="208">
        <v>0</v>
      </c>
      <c r="BQ85" s="208">
        <v>-164230</v>
      </c>
      <c r="BR85" s="208">
        <v>-9782</v>
      </c>
      <c r="BS85" s="208">
        <v>0</v>
      </c>
      <c r="BT85" s="208">
        <v>-9782</v>
      </c>
      <c r="BU85" s="208">
        <v>-5471224</v>
      </c>
      <c r="BV85" s="208">
        <v>0</v>
      </c>
      <c r="BW85" s="208">
        <v>-5471224</v>
      </c>
      <c r="BX85" s="208">
        <v>-92176</v>
      </c>
      <c r="BY85" s="208">
        <v>0</v>
      </c>
      <c r="BZ85" s="208">
        <v>-92176</v>
      </c>
      <c r="CA85" s="208">
        <v>-5737412</v>
      </c>
      <c r="CB85" s="208">
        <v>0</v>
      </c>
      <c r="CC85" s="208">
        <v>-5737412</v>
      </c>
      <c r="CD85" s="208">
        <v>-745627</v>
      </c>
      <c r="CE85" s="208">
        <v>0</v>
      </c>
      <c r="CF85" s="208">
        <v>-745627</v>
      </c>
      <c r="CG85" s="208">
        <v>-30560</v>
      </c>
      <c r="CH85" s="208">
        <v>0</v>
      </c>
      <c r="CI85" s="208">
        <v>-30560</v>
      </c>
      <c r="CJ85" s="208">
        <v>-212715</v>
      </c>
      <c r="CK85" s="208">
        <v>0</v>
      </c>
      <c r="CL85" s="208">
        <v>-212715</v>
      </c>
      <c r="CM85" s="208">
        <v>-1848</v>
      </c>
      <c r="CN85" s="208">
        <v>0</v>
      </c>
      <c r="CO85" s="208">
        <v>-1848</v>
      </c>
      <c r="CP85" s="208">
        <v>0</v>
      </c>
      <c r="CQ85" s="208">
        <v>0</v>
      </c>
      <c r="CR85" s="208">
        <v>0</v>
      </c>
      <c r="CS85" s="208">
        <v>0</v>
      </c>
      <c r="CT85" s="208">
        <v>0</v>
      </c>
      <c r="CU85" s="208">
        <v>0</v>
      </c>
      <c r="CV85" s="208">
        <v>0</v>
      </c>
      <c r="CW85" s="208">
        <v>0</v>
      </c>
      <c r="CX85" s="208">
        <v>0</v>
      </c>
      <c r="CY85" s="208">
        <v>0</v>
      </c>
      <c r="CZ85" s="208">
        <v>0</v>
      </c>
      <c r="DA85" s="208">
        <v>0</v>
      </c>
      <c r="DB85" s="208">
        <v>-2367</v>
      </c>
      <c r="DC85" s="208">
        <v>0</v>
      </c>
      <c r="DD85" s="208">
        <v>-2367</v>
      </c>
      <c r="DE85" s="208">
        <v>0</v>
      </c>
      <c r="DF85" s="208">
        <v>0</v>
      </c>
      <c r="DG85" s="208">
        <v>0</v>
      </c>
      <c r="DH85" s="208">
        <v>0</v>
      </c>
      <c r="DI85" s="208">
        <v>0</v>
      </c>
      <c r="DJ85" s="208">
        <v>0</v>
      </c>
      <c r="DK85" s="208">
        <v>0</v>
      </c>
      <c r="DL85" s="208">
        <v>0</v>
      </c>
      <c r="DM85" s="208">
        <v>0</v>
      </c>
      <c r="DN85" s="208">
        <v>0</v>
      </c>
      <c r="DO85" s="208">
        <v>0</v>
      </c>
      <c r="DP85" s="208">
        <v>-993117</v>
      </c>
      <c r="DQ85" s="208">
        <v>0</v>
      </c>
      <c r="DR85" s="208">
        <v>-993117</v>
      </c>
      <c r="DS85" s="208">
        <v>0</v>
      </c>
      <c r="DT85" s="208">
        <v>0</v>
      </c>
      <c r="DU85" s="208">
        <v>0</v>
      </c>
      <c r="DV85" s="208">
        <v>0</v>
      </c>
      <c r="DW85" s="208">
        <v>0</v>
      </c>
      <c r="DX85" s="208">
        <v>0</v>
      </c>
      <c r="DY85" s="208">
        <v>461</v>
      </c>
      <c r="DZ85" s="208">
        <v>0</v>
      </c>
      <c r="EA85" s="208">
        <v>461</v>
      </c>
      <c r="EB85" s="208">
        <v>0</v>
      </c>
      <c r="EC85" s="208">
        <v>0</v>
      </c>
      <c r="ED85" s="208">
        <v>0</v>
      </c>
      <c r="EE85" s="208">
        <v>0</v>
      </c>
      <c r="EF85" s="208">
        <v>0</v>
      </c>
      <c r="EG85" s="208">
        <v>0</v>
      </c>
      <c r="EH85" s="208">
        <v>32</v>
      </c>
      <c r="EI85" s="208">
        <v>0</v>
      </c>
      <c r="EJ85" s="208">
        <v>32</v>
      </c>
      <c r="EK85" s="208">
        <v>-80005</v>
      </c>
      <c r="EL85" s="208">
        <v>0</v>
      </c>
      <c r="EM85" s="208">
        <v>-80005</v>
      </c>
      <c r="EN85" s="208">
        <v>1611</v>
      </c>
      <c r="EO85" s="208">
        <v>0</v>
      </c>
      <c r="EP85" s="208">
        <v>1611</v>
      </c>
      <c r="EQ85" s="208">
        <v>-1500</v>
      </c>
      <c r="ER85" s="208">
        <v>0</v>
      </c>
      <c r="ES85" s="208">
        <v>-1500</v>
      </c>
      <c r="ET85" s="208">
        <v>0</v>
      </c>
      <c r="EU85" s="208">
        <v>0</v>
      </c>
      <c r="EV85" s="208">
        <v>0</v>
      </c>
      <c r="EW85" s="208">
        <v>-74125</v>
      </c>
      <c r="EX85" s="208">
        <v>0</v>
      </c>
      <c r="EY85" s="208">
        <v>-74125</v>
      </c>
      <c r="EZ85" s="208">
        <v>-4077</v>
      </c>
      <c r="FA85" s="208">
        <v>0</v>
      </c>
      <c r="FB85" s="208">
        <v>-4077</v>
      </c>
      <c r="FC85" s="208">
        <v>-334548</v>
      </c>
      <c r="FD85" s="208">
        <v>0</v>
      </c>
      <c r="FE85" s="208">
        <v>-334548</v>
      </c>
      <c r="FF85" s="208">
        <v>2861</v>
      </c>
      <c r="FG85" s="208">
        <v>0</v>
      </c>
      <c r="FH85" s="208">
        <v>2861</v>
      </c>
      <c r="FI85" s="208">
        <v>-166326</v>
      </c>
      <c r="FJ85" s="208">
        <v>0</v>
      </c>
      <c r="FK85" s="208">
        <v>-166326</v>
      </c>
      <c r="FL85" s="208">
        <v>5633</v>
      </c>
      <c r="FM85" s="208">
        <v>0</v>
      </c>
      <c r="FN85" s="208">
        <v>5633</v>
      </c>
      <c r="FO85" s="208">
        <v>0</v>
      </c>
      <c r="FP85" s="208">
        <v>0</v>
      </c>
      <c r="FQ85" s="208">
        <v>0</v>
      </c>
      <c r="FR85" s="208">
        <v>0</v>
      </c>
      <c r="FS85" s="208">
        <v>0</v>
      </c>
      <c r="FT85" s="208">
        <v>0</v>
      </c>
      <c r="FU85" s="208">
        <v>-649983</v>
      </c>
      <c r="FV85" s="208">
        <v>0</v>
      </c>
      <c r="FW85" s="208">
        <v>-649983</v>
      </c>
      <c r="FX85" s="208">
        <v>-63499</v>
      </c>
      <c r="FY85" s="208">
        <v>0</v>
      </c>
      <c r="FZ85" s="208">
        <v>-63499</v>
      </c>
      <c r="GA85" s="208">
        <v>0</v>
      </c>
      <c r="GB85" s="208">
        <v>0</v>
      </c>
      <c r="GC85" s="208">
        <v>0</v>
      </c>
      <c r="GD85" s="208">
        <v>-63499</v>
      </c>
      <c r="GE85" s="208">
        <v>0</v>
      </c>
      <c r="GF85" s="208">
        <v>-63499</v>
      </c>
      <c r="GG85" s="208">
        <v>149107209</v>
      </c>
      <c r="GH85" s="208">
        <v>0</v>
      </c>
      <c r="GI85" s="208">
        <v>149107209</v>
      </c>
      <c r="GJ85" s="208">
        <v>1897572</v>
      </c>
      <c r="GK85" s="208">
        <v>0</v>
      </c>
      <c r="GL85" s="208">
        <v>1897572</v>
      </c>
      <c r="GM85" s="208">
        <v>-24436587</v>
      </c>
      <c r="GN85" s="208">
        <v>0</v>
      </c>
      <c r="GO85" s="208">
        <v>-24436587</v>
      </c>
      <c r="GP85" s="208">
        <v>-5737412</v>
      </c>
      <c r="GQ85" s="208">
        <v>0</v>
      </c>
      <c r="GR85" s="208">
        <v>-5737412</v>
      </c>
      <c r="GS85" s="208">
        <v>-993117</v>
      </c>
      <c r="GT85" s="208">
        <v>0</v>
      </c>
      <c r="GU85" s="208">
        <v>-993117</v>
      </c>
      <c r="GV85" s="208">
        <v>-649983</v>
      </c>
      <c r="GW85" s="208">
        <v>0</v>
      </c>
      <c r="GX85" s="208">
        <v>-649983</v>
      </c>
      <c r="GY85" s="208">
        <v>-63499</v>
      </c>
      <c r="GZ85" s="208">
        <v>0</v>
      </c>
      <c r="HA85" s="208">
        <v>-63499</v>
      </c>
      <c r="HB85" s="208">
        <v>-29983026</v>
      </c>
      <c r="HC85" s="208">
        <v>0</v>
      </c>
      <c r="HD85" s="208">
        <v>-29983026</v>
      </c>
      <c r="HE85" s="208">
        <v>119124183</v>
      </c>
      <c r="HF85" s="208">
        <v>0</v>
      </c>
      <c r="HG85" s="208">
        <v>119124183</v>
      </c>
      <c r="HH85" s="187" t="s">
        <v>742</v>
      </c>
    </row>
    <row r="86" spans="1:216" s="187" customFormat="1" x14ac:dyDescent="0.2">
      <c r="B86" s="429" t="s">
        <v>251</v>
      </c>
      <c r="C86" s="429" t="s">
        <v>250</v>
      </c>
      <c r="D86" s="208">
        <v>-5665504</v>
      </c>
      <c r="E86" s="208">
        <v>0</v>
      </c>
      <c r="F86" s="208">
        <v>-5665504</v>
      </c>
      <c r="G86" s="208">
        <v>247814</v>
      </c>
      <c r="H86" s="208">
        <v>0</v>
      </c>
      <c r="I86" s="208">
        <v>247814</v>
      </c>
      <c r="J86" s="208">
        <v>2470756</v>
      </c>
      <c r="K86" s="208">
        <v>0</v>
      </c>
      <c r="L86" s="208">
        <v>2470756</v>
      </c>
      <c r="M86" s="208">
        <v>-16537</v>
      </c>
      <c r="N86" s="208">
        <v>0</v>
      </c>
      <c r="O86" s="208">
        <v>-16537</v>
      </c>
      <c r="P86" s="208">
        <v>-2963471</v>
      </c>
      <c r="Q86" s="208">
        <v>0</v>
      </c>
      <c r="R86" s="208">
        <v>-2963471</v>
      </c>
      <c r="S86" s="208">
        <v>-9188423</v>
      </c>
      <c r="T86" s="208">
        <v>0</v>
      </c>
      <c r="U86" s="208">
        <v>-9188423</v>
      </c>
      <c r="V86" s="208">
        <v>-32980</v>
      </c>
      <c r="W86" s="208">
        <v>0</v>
      </c>
      <c r="X86" s="208">
        <v>-32980</v>
      </c>
      <c r="Y86" s="208">
        <v>-777126</v>
      </c>
      <c r="Z86" s="208">
        <v>0</v>
      </c>
      <c r="AA86" s="208">
        <v>-777126</v>
      </c>
      <c r="AB86" s="208">
        <v>-294919</v>
      </c>
      <c r="AC86" s="208">
        <v>0</v>
      </c>
      <c r="AD86" s="208">
        <v>-294919</v>
      </c>
      <c r="AE86" s="208">
        <v>-482207</v>
      </c>
      <c r="AF86" s="208">
        <v>0</v>
      </c>
      <c r="AG86" s="208">
        <v>-482207</v>
      </c>
      <c r="AH86" s="208">
        <v>-1356</v>
      </c>
      <c r="AI86" s="208">
        <v>0</v>
      </c>
      <c r="AJ86" s="208">
        <v>-1356</v>
      </c>
      <c r="AK86" s="208">
        <v>-6947</v>
      </c>
      <c r="AL86" s="208">
        <v>0</v>
      </c>
      <c r="AM86" s="208">
        <v>-6947</v>
      </c>
      <c r="AN86" s="208">
        <v>3779394</v>
      </c>
      <c r="AO86" s="208">
        <v>0</v>
      </c>
      <c r="AP86" s="208">
        <v>3779394</v>
      </c>
      <c r="AQ86" s="208">
        <v>-83768</v>
      </c>
      <c r="AR86" s="208">
        <v>0</v>
      </c>
      <c r="AS86" s="208">
        <v>-83768</v>
      </c>
      <c r="AT86" s="208">
        <v>-9060436</v>
      </c>
      <c r="AU86" s="208">
        <v>0</v>
      </c>
      <c r="AV86" s="208">
        <v>-9060436</v>
      </c>
      <c r="AW86" s="208">
        <v>-681897</v>
      </c>
      <c r="AX86" s="208">
        <v>0</v>
      </c>
      <c r="AY86" s="208">
        <v>-681897</v>
      </c>
      <c r="AZ86" s="208">
        <v>-74966</v>
      </c>
      <c r="BA86" s="208">
        <v>0</v>
      </c>
      <c r="BB86" s="208">
        <v>-74966</v>
      </c>
      <c r="BC86" s="208">
        <v>0</v>
      </c>
      <c r="BD86" s="208">
        <v>0</v>
      </c>
      <c r="BE86" s="208">
        <v>0</v>
      </c>
      <c r="BF86" s="208">
        <v>0</v>
      </c>
      <c r="BG86" s="208">
        <v>0</v>
      </c>
      <c r="BH86" s="208">
        <v>0</v>
      </c>
      <c r="BI86" s="208">
        <v>0</v>
      </c>
      <c r="BJ86" s="208">
        <v>0</v>
      </c>
      <c r="BK86" s="208">
        <v>0</v>
      </c>
      <c r="BL86" s="208">
        <v>-16087222</v>
      </c>
      <c r="BM86" s="208">
        <v>0</v>
      </c>
      <c r="BN86" s="208">
        <v>-16087222</v>
      </c>
      <c r="BO86" s="208">
        <v>-132773</v>
      </c>
      <c r="BP86" s="208">
        <v>0</v>
      </c>
      <c r="BQ86" s="208">
        <v>-132773</v>
      </c>
      <c r="BR86" s="208">
        <v>9612</v>
      </c>
      <c r="BS86" s="208">
        <v>0</v>
      </c>
      <c r="BT86" s="208">
        <v>9612</v>
      </c>
      <c r="BU86" s="208">
        <v>-8849982</v>
      </c>
      <c r="BV86" s="208">
        <v>0</v>
      </c>
      <c r="BW86" s="208">
        <v>-8849982</v>
      </c>
      <c r="BX86" s="208">
        <v>-425188</v>
      </c>
      <c r="BY86" s="208">
        <v>0</v>
      </c>
      <c r="BZ86" s="208">
        <v>-425188</v>
      </c>
      <c r="CA86" s="208">
        <v>-9398331</v>
      </c>
      <c r="CB86" s="208">
        <v>0</v>
      </c>
      <c r="CC86" s="208">
        <v>-9398331</v>
      </c>
      <c r="CD86" s="208">
        <v>-180322</v>
      </c>
      <c r="CE86" s="208">
        <v>0</v>
      </c>
      <c r="CF86" s="208">
        <v>-180322</v>
      </c>
      <c r="CG86" s="208">
        <v>-8145</v>
      </c>
      <c r="CH86" s="208">
        <v>0</v>
      </c>
      <c r="CI86" s="208">
        <v>-8145</v>
      </c>
      <c r="CJ86" s="208">
        <v>-36861</v>
      </c>
      <c r="CK86" s="208">
        <v>0</v>
      </c>
      <c r="CL86" s="208">
        <v>-36861</v>
      </c>
      <c r="CM86" s="208">
        <v>9002</v>
      </c>
      <c r="CN86" s="208">
        <v>0</v>
      </c>
      <c r="CO86" s="208">
        <v>9002</v>
      </c>
      <c r="CP86" s="208">
        <v>0</v>
      </c>
      <c r="CQ86" s="208">
        <v>0</v>
      </c>
      <c r="CR86" s="208">
        <v>0</v>
      </c>
      <c r="CS86" s="208">
        <v>0</v>
      </c>
      <c r="CT86" s="208">
        <v>0</v>
      </c>
      <c r="CU86" s="208">
        <v>0</v>
      </c>
      <c r="CV86" s="208">
        <v>0</v>
      </c>
      <c r="CW86" s="208">
        <v>0</v>
      </c>
      <c r="CX86" s="208">
        <v>0</v>
      </c>
      <c r="CY86" s="208">
        <v>0</v>
      </c>
      <c r="CZ86" s="208">
        <v>0</v>
      </c>
      <c r="DA86" s="208">
        <v>0</v>
      </c>
      <c r="DB86" s="208">
        <v>0</v>
      </c>
      <c r="DC86" s="208">
        <v>0</v>
      </c>
      <c r="DD86" s="208">
        <v>0</v>
      </c>
      <c r="DE86" s="208">
        <v>0</v>
      </c>
      <c r="DF86" s="208">
        <v>0</v>
      </c>
      <c r="DG86" s="208">
        <v>0</v>
      </c>
      <c r="DH86" s="208">
        <v>0</v>
      </c>
      <c r="DI86" s="208">
        <v>0</v>
      </c>
      <c r="DJ86" s="208">
        <v>0</v>
      </c>
      <c r="DK86" s="208">
        <v>0</v>
      </c>
      <c r="DL86" s="208">
        <v>0</v>
      </c>
      <c r="DM86" s="208">
        <v>0</v>
      </c>
      <c r="DN86" s="208">
        <v>0</v>
      </c>
      <c r="DO86" s="208">
        <v>0</v>
      </c>
      <c r="DP86" s="208">
        <v>-216326</v>
      </c>
      <c r="DQ86" s="208">
        <v>0</v>
      </c>
      <c r="DR86" s="208">
        <v>-216326</v>
      </c>
      <c r="DS86" s="208">
        <v>0</v>
      </c>
      <c r="DT86" s="208">
        <v>0</v>
      </c>
      <c r="DU86" s="208">
        <v>0</v>
      </c>
      <c r="DV86" s="208">
        <v>0</v>
      </c>
      <c r="DW86" s="208">
        <v>0</v>
      </c>
      <c r="DX86" s="208">
        <v>0</v>
      </c>
      <c r="DY86" s="208">
        <v>11610</v>
      </c>
      <c r="DZ86" s="208">
        <v>0</v>
      </c>
      <c r="EA86" s="208">
        <v>11610</v>
      </c>
      <c r="EB86" s="208">
        <v>0</v>
      </c>
      <c r="EC86" s="208">
        <v>0</v>
      </c>
      <c r="ED86" s="208">
        <v>0</v>
      </c>
      <c r="EE86" s="208">
        <v>0</v>
      </c>
      <c r="EF86" s="208">
        <v>0</v>
      </c>
      <c r="EG86" s="208">
        <v>0</v>
      </c>
      <c r="EH86" s="208">
        <v>0</v>
      </c>
      <c r="EI86" s="208">
        <v>0</v>
      </c>
      <c r="EJ86" s="208">
        <v>0</v>
      </c>
      <c r="EK86" s="208">
        <v>0</v>
      </c>
      <c r="EL86" s="208">
        <v>0</v>
      </c>
      <c r="EM86" s="208">
        <v>0</v>
      </c>
      <c r="EN86" s="208">
        <v>0</v>
      </c>
      <c r="EO86" s="208">
        <v>0</v>
      </c>
      <c r="EP86" s="208">
        <v>0</v>
      </c>
      <c r="EQ86" s="208">
        <v>0</v>
      </c>
      <c r="ER86" s="208">
        <v>0</v>
      </c>
      <c r="ES86" s="208">
        <v>0</v>
      </c>
      <c r="ET86" s="208">
        <v>0</v>
      </c>
      <c r="EU86" s="208">
        <v>0</v>
      </c>
      <c r="EV86" s="208">
        <v>0</v>
      </c>
      <c r="EW86" s="208">
        <v>-164438</v>
      </c>
      <c r="EX86" s="208">
        <v>0</v>
      </c>
      <c r="EY86" s="208">
        <v>-164438</v>
      </c>
      <c r="EZ86" s="208">
        <v>-165</v>
      </c>
      <c r="FA86" s="208">
        <v>0</v>
      </c>
      <c r="FB86" s="208">
        <v>-165</v>
      </c>
      <c r="FC86" s="208">
        <v>-640049</v>
      </c>
      <c r="FD86" s="208">
        <v>0</v>
      </c>
      <c r="FE86" s="208">
        <v>-640049</v>
      </c>
      <c r="FF86" s="208">
        <v>31914</v>
      </c>
      <c r="FG86" s="208">
        <v>0</v>
      </c>
      <c r="FH86" s="208">
        <v>31914</v>
      </c>
      <c r="FI86" s="208">
        <v>-38587</v>
      </c>
      <c r="FJ86" s="208">
        <v>0</v>
      </c>
      <c r="FK86" s="208">
        <v>-38587</v>
      </c>
      <c r="FL86" s="208">
        <v>-9839</v>
      </c>
      <c r="FM86" s="208">
        <v>0</v>
      </c>
      <c r="FN86" s="208">
        <v>-9839</v>
      </c>
      <c r="FO86" s="208">
        <v>0</v>
      </c>
      <c r="FP86" s="208">
        <v>0</v>
      </c>
      <c r="FQ86" s="208">
        <v>0</v>
      </c>
      <c r="FR86" s="208">
        <v>0</v>
      </c>
      <c r="FS86" s="208">
        <v>0</v>
      </c>
      <c r="FT86" s="208">
        <v>0</v>
      </c>
      <c r="FU86" s="208">
        <v>-809554</v>
      </c>
      <c r="FV86" s="208">
        <v>0</v>
      </c>
      <c r="FW86" s="208">
        <v>-809554</v>
      </c>
      <c r="FX86" s="208">
        <v>0</v>
      </c>
      <c r="FY86" s="208">
        <v>0</v>
      </c>
      <c r="FZ86" s="208">
        <v>0</v>
      </c>
      <c r="GA86" s="208">
        <v>0</v>
      </c>
      <c r="GB86" s="208">
        <v>0</v>
      </c>
      <c r="GC86" s="208">
        <v>0</v>
      </c>
      <c r="GD86" s="208">
        <v>0</v>
      </c>
      <c r="GE86" s="208">
        <v>0</v>
      </c>
      <c r="GF86" s="208">
        <v>0</v>
      </c>
      <c r="GG86" s="208">
        <v>178365587</v>
      </c>
      <c r="GH86" s="208">
        <v>0</v>
      </c>
      <c r="GI86" s="208">
        <v>178365587</v>
      </c>
      <c r="GJ86" s="208">
        <v>-2963471</v>
      </c>
      <c r="GK86" s="208">
        <v>0</v>
      </c>
      <c r="GL86" s="208">
        <v>-2963471</v>
      </c>
      <c r="GM86" s="208">
        <v>-16087222</v>
      </c>
      <c r="GN86" s="208">
        <v>0</v>
      </c>
      <c r="GO86" s="208">
        <v>-16087222</v>
      </c>
      <c r="GP86" s="208">
        <v>-9398331</v>
      </c>
      <c r="GQ86" s="208">
        <v>0</v>
      </c>
      <c r="GR86" s="208">
        <v>-9398331</v>
      </c>
      <c r="GS86" s="208">
        <v>-216326</v>
      </c>
      <c r="GT86" s="208">
        <v>0</v>
      </c>
      <c r="GU86" s="208">
        <v>-216326</v>
      </c>
      <c r="GV86" s="208">
        <v>-809554</v>
      </c>
      <c r="GW86" s="208">
        <v>0</v>
      </c>
      <c r="GX86" s="208">
        <v>-809554</v>
      </c>
      <c r="GY86" s="208">
        <v>0</v>
      </c>
      <c r="GZ86" s="208">
        <v>0</v>
      </c>
      <c r="HA86" s="208">
        <v>0</v>
      </c>
      <c r="HB86" s="208">
        <v>-29474904</v>
      </c>
      <c r="HC86" s="208">
        <v>0</v>
      </c>
      <c r="HD86" s="208">
        <v>-29474904</v>
      </c>
      <c r="HE86" s="208">
        <v>148890683</v>
      </c>
      <c r="HF86" s="208">
        <v>0</v>
      </c>
      <c r="HG86" s="208">
        <v>148890683</v>
      </c>
      <c r="HH86" s="187" t="s">
        <v>1055</v>
      </c>
    </row>
    <row r="87" spans="1:216" s="187" customFormat="1" x14ac:dyDescent="0.2">
      <c r="B87" s="429" t="s">
        <v>253</v>
      </c>
      <c r="C87" s="429" t="s">
        <v>252</v>
      </c>
      <c r="D87" s="208">
        <v>-1066382</v>
      </c>
      <c r="E87" s="208">
        <v>0</v>
      </c>
      <c r="F87" s="208">
        <v>-1066382</v>
      </c>
      <c r="G87" s="208">
        <v>-208135</v>
      </c>
      <c r="H87" s="208">
        <v>0</v>
      </c>
      <c r="I87" s="208">
        <v>-208135</v>
      </c>
      <c r="J87" s="208">
        <v>141150</v>
      </c>
      <c r="K87" s="208">
        <v>0</v>
      </c>
      <c r="L87" s="208">
        <v>141150</v>
      </c>
      <c r="M87" s="208">
        <v>-12651</v>
      </c>
      <c r="N87" s="208">
        <v>0</v>
      </c>
      <c r="O87" s="208">
        <v>-12651</v>
      </c>
      <c r="P87" s="208">
        <v>-1146018</v>
      </c>
      <c r="Q87" s="208">
        <v>0</v>
      </c>
      <c r="R87" s="208">
        <v>-1146018</v>
      </c>
      <c r="S87" s="208">
        <v>-2553795</v>
      </c>
      <c r="T87" s="208">
        <v>0</v>
      </c>
      <c r="U87" s="208">
        <v>-2553795</v>
      </c>
      <c r="V87" s="208">
        <v>0</v>
      </c>
      <c r="W87" s="208">
        <v>0</v>
      </c>
      <c r="X87" s="208">
        <v>0</v>
      </c>
      <c r="Y87" s="208">
        <v>-61621</v>
      </c>
      <c r="Z87" s="208">
        <v>0</v>
      </c>
      <c r="AA87" s="208">
        <v>-61621</v>
      </c>
      <c r="AB87" s="208">
        <v>-17677</v>
      </c>
      <c r="AC87" s="208">
        <v>0</v>
      </c>
      <c r="AD87" s="208">
        <v>-17677</v>
      </c>
      <c r="AE87" s="208">
        <v>-46087</v>
      </c>
      <c r="AF87" s="208">
        <v>0</v>
      </c>
      <c r="AG87" s="208">
        <v>-46087</v>
      </c>
      <c r="AH87" s="208">
        <v>0</v>
      </c>
      <c r="AI87" s="208">
        <v>0</v>
      </c>
      <c r="AJ87" s="208">
        <v>0</v>
      </c>
      <c r="AK87" s="208">
        <v>0</v>
      </c>
      <c r="AL87" s="208">
        <v>0</v>
      </c>
      <c r="AM87" s="208">
        <v>0</v>
      </c>
      <c r="AN87" s="208">
        <v>446256</v>
      </c>
      <c r="AO87" s="208">
        <v>6097</v>
      </c>
      <c r="AP87" s="208">
        <v>452353</v>
      </c>
      <c r="AQ87" s="208">
        <v>110</v>
      </c>
      <c r="AR87" s="208">
        <v>0</v>
      </c>
      <c r="AS87" s="208">
        <v>110</v>
      </c>
      <c r="AT87" s="208">
        <v>-2076379</v>
      </c>
      <c r="AU87" s="208">
        <v>0</v>
      </c>
      <c r="AV87" s="208">
        <v>-2076379</v>
      </c>
      <c r="AW87" s="208">
        <v>-10044</v>
      </c>
      <c r="AX87" s="208">
        <v>0</v>
      </c>
      <c r="AY87" s="208">
        <v>-10044</v>
      </c>
      <c r="AZ87" s="208">
        <v>-26642</v>
      </c>
      <c r="BA87" s="208">
        <v>0</v>
      </c>
      <c r="BB87" s="208">
        <v>-26642</v>
      </c>
      <c r="BC87" s="208">
        <v>0</v>
      </c>
      <c r="BD87" s="208">
        <v>0</v>
      </c>
      <c r="BE87" s="208">
        <v>0</v>
      </c>
      <c r="BF87" s="208">
        <v>-28535</v>
      </c>
      <c r="BG87" s="208">
        <v>0</v>
      </c>
      <c r="BH87" s="208">
        <v>-28535</v>
      </c>
      <c r="BI87" s="208">
        <v>0</v>
      </c>
      <c r="BJ87" s="208">
        <v>0</v>
      </c>
      <c r="BK87" s="208">
        <v>0</v>
      </c>
      <c r="BL87" s="208">
        <v>-4310650</v>
      </c>
      <c r="BM87" s="208">
        <v>6097</v>
      </c>
      <c r="BN87" s="208">
        <v>-4304553</v>
      </c>
      <c r="BO87" s="208">
        <v>-1093</v>
      </c>
      <c r="BP87" s="208">
        <v>0</v>
      </c>
      <c r="BQ87" s="208">
        <v>-1093</v>
      </c>
      <c r="BR87" s="208">
        <v>-941</v>
      </c>
      <c r="BS87" s="208">
        <v>0</v>
      </c>
      <c r="BT87" s="208">
        <v>-941</v>
      </c>
      <c r="BU87" s="208">
        <v>-357520</v>
      </c>
      <c r="BV87" s="208">
        <v>0</v>
      </c>
      <c r="BW87" s="208">
        <v>-357520</v>
      </c>
      <c r="BX87" s="208">
        <v>67461</v>
      </c>
      <c r="BY87" s="208">
        <v>0</v>
      </c>
      <c r="BZ87" s="208">
        <v>67461</v>
      </c>
      <c r="CA87" s="208">
        <v>-292093</v>
      </c>
      <c r="CB87" s="208">
        <v>0</v>
      </c>
      <c r="CC87" s="208">
        <v>-292093</v>
      </c>
      <c r="CD87" s="208">
        <v>-34349</v>
      </c>
      <c r="CE87" s="208">
        <v>0</v>
      </c>
      <c r="CF87" s="208">
        <v>-34349</v>
      </c>
      <c r="CG87" s="208">
        <v>-898</v>
      </c>
      <c r="CH87" s="208">
        <v>0</v>
      </c>
      <c r="CI87" s="208">
        <v>-898</v>
      </c>
      <c r="CJ87" s="208">
        <v>-2000</v>
      </c>
      <c r="CK87" s="208">
        <v>0</v>
      </c>
      <c r="CL87" s="208">
        <v>-2000</v>
      </c>
      <c r="CM87" s="208">
        <v>0</v>
      </c>
      <c r="CN87" s="208">
        <v>0</v>
      </c>
      <c r="CO87" s="208">
        <v>0</v>
      </c>
      <c r="CP87" s="208">
        <v>-5628</v>
      </c>
      <c r="CQ87" s="208">
        <v>0</v>
      </c>
      <c r="CR87" s="208">
        <v>-5628</v>
      </c>
      <c r="CS87" s="208">
        <v>0</v>
      </c>
      <c r="CT87" s="208">
        <v>0</v>
      </c>
      <c r="CU87" s="208">
        <v>0</v>
      </c>
      <c r="CV87" s="208">
        <v>0</v>
      </c>
      <c r="CW87" s="208">
        <v>0</v>
      </c>
      <c r="CX87" s="208">
        <v>0</v>
      </c>
      <c r="CY87" s="208">
        <v>0</v>
      </c>
      <c r="CZ87" s="208">
        <v>0</v>
      </c>
      <c r="DA87" s="208">
        <v>0</v>
      </c>
      <c r="DB87" s="208">
        <v>0</v>
      </c>
      <c r="DC87" s="208">
        <v>0</v>
      </c>
      <c r="DD87" s="208">
        <v>0</v>
      </c>
      <c r="DE87" s="208">
        <v>0</v>
      </c>
      <c r="DF87" s="208">
        <v>0</v>
      </c>
      <c r="DG87" s="208">
        <v>0</v>
      </c>
      <c r="DH87" s="208">
        <v>-2388</v>
      </c>
      <c r="DI87" s="208">
        <v>-32812</v>
      </c>
      <c r="DJ87" s="208">
        <v>-35200</v>
      </c>
      <c r="DK87" s="208">
        <v>0</v>
      </c>
      <c r="DL87" s="208">
        <v>0</v>
      </c>
      <c r="DM87" s="208">
        <v>0</v>
      </c>
      <c r="DN87" s="208">
        <v>-32812</v>
      </c>
      <c r="DO87" s="208">
        <v>0</v>
      </c>
      <c r="DP87" s="208">
        <v>-45263</v>
      </c>
      <c r="DQ87" s="208">
        <v>-32812</v>
      </c>
      <c r="DR87" s="208">
        <v>-78075</v>
      </c>
      <c r="DS87" s="208">
        <v>0</v>
      </c>
      <c r="DT87" s="208">
        <v>0</v>
      </c>
      <c r="DU87" s="208">
        <v>0</v>
      </c>
      <c r="DV87" s="208">
        <v>0</v>
      </c>
      <c r="DW87" s="208">
        <v>0</v>
      </c>
      <c r="DX87" s="208">
        <v>0</v>
      </c>
      <c r="DY87" s="208">
        <v>0</v>
      </c>
      <c r="DZ87" s="208">
        <v>0</v>
      </c>
      <c r="EA87" s="208">
        <v>0</v>
      </c>
      <c r="EB87" s="208">
        <v>0</v>
      </c>
      <c r="EC87" s="208">
        <v>0</v>
      </c>
      <c r="ED87" s="208">
        <v>0</v>
      </c>
      <c r="EE87" s="208">
        <v>0</v>
      </c>
      <c r="EF87" s="208">
        <v>0</v>
      </c>
      <c r="EG87" s="208">
        <v>0</v>
      </c>
      <c r="EH87" s="208">
        <v>0</v>
      </c>
      <c r="EI87" s="208">
        <v>0</v>
      </c>
      <c r="EJ87" s="208">
        <v>0</v>
      </c>
      <c r="EK87" s="208">
        <v>-28535</v>
      </c>
      <c r="EL87" s="208">
        <v>0</v>
      </c>
      <c r="EM87" s="208">
        <v>-28535</v>
      </c>
      <c r="EN87" s="208">
        <v>-562</v>
      </c>
      <c r="EO87" s="208">
        <v>0</v>
      </c>
      <c r="EP87" s="208">
        <v>-562</v>
      </c>
      <c r="EQ87" s="208">
        <v>0</v>
      </c>
      <c r="ER87" s="208">
        <v>0</v>
      </c>
      <c r="ES87" s="208">
        <v>0</v>
      </c>
      <c r="ET87" s="208">
        <v>0</v>
      </c>
      <c r="EU87" s="208">
        <v>0</v>
      </c>
      <c r="EV87" s="208">
        <v>0</v>
      </c>
      <c r="EW87" s="208">
        <v>-34868</v>
      </c>
      <c r="EX87" s="208">
        <v>0</v>
      </c>
      <c r="EY87" s="208">
        <v>-34868</v>
      </c>
      <c r="EZ87" s="208">
        <v>2062</v>
      </c>
      <c r="FA87" s="208">
        <v>0</v>
      </c>
      <c r="FB87" s="208">
        <v>2062</v>
      </c>
      <c r="FC87" s="208">
        <v>-86515</v>
      </c>
      <c r="FD87" s="208">
        <v>0</v>
      </c>
      <c r="FE87" s="208">
        <v>-86515</v>
      </c>
      <c r="FF87" s="208">
        <v>-29816</v>
      </c>
      <c r="FG87" s="208">
        <v>0</v>
      </c>
      <c r="FH87" s="208">
        <v>-29816</v>
      </c>
      <c r="FI87" s="208">
        <v>-30523</v>
      </c>
      <c r="FJ87" s="208">
        <v>0</v>
      </c>
      <c r="FK87" s="208">
        <v>-30523</v>
      </c>
      <c r="FL87" s="208">
        <v>599</v>
      </c>
      <c r="FM87" s="208">
        <v>0</v>
      </c>
      <c r="FN87" s="208">
        <v>599</v>
      </c>
      <c r="FO87" s="208">
        <v>0</v>
      </c>
      <c r="FP87" s="208">
        <v>0</v>
      </c>
      <c r="FQ87" s="208">
        <v>0</v>
      </c>
      <c r="FR87" s="208">
        <v>0</v>
      </c>
      <c r="FS87" s="208">
        <v>0</v>
      </c>
      <c r="FT87" s="208">
        <v>0</v>
      </c>
      <c r="FU87" s="208">
        <v>-208158</v>
      </c>
      <c r="FV87" s="208">
        <v>0</v>
      </c>
      <c r="FW87" s="208">
        <v>-208158</v>
      </c>
      <c r="FX87" s="208">
        <v>-31748</v>
      </c>
      <c r="FY87" s="208">
        <v>0</v>
      </c>
      <c r="FZ87" s="208">
        <v>-31748</v>
      </c>
      <c r="GA87" s="208">
        <v>-989</v>
      </c>
      <c r="GB87" s="208">
        <v>0</v>
      </c>
      <c r="GC87" s="208">
        <v>-989</v>
      </c>
      <c r="GD87" s="208">
        <v>-32737</v>
      </c>
      <c r="GE87" s="208">
        <v>0</v>
      </c>
      <c r="GF87" s="208">
        <v>-32737</v>
      </c>
      <c r="GG87" s="208">
        <v>27270696</v>
      </c>
      <c r="GH87" s="208">
        <v>225120</v>
      </c>
      <c r="GI87" s="208">
        <v>27495816</v>
      </c>
      <c r="GJ87" s="208">
        <v>-1146018</v>
      </c>
      <c r="GK87" s="208">
        <v>0</v>
      </c>
      <c r="GL87" s="208">
        <v>-1146018</v>
      </c>
      <c r="GM87" s="208">
        <v>-4310650</v>
      </c>
      <c r="GN87" s="208">
        <v>6097</v>
      </c>
      <c r="GO87" s="208">
        <v>-4304553</v>
      </c>
      <c r="GP87" s="208">
        <v>-292093</v>
      </c>
      <c r="GQ87" s="208">
        <v>0</v>
      </c>
      <c r="GR87" s="208">
        <v>-292093</v>
      </c>
      <c r="GS87" s="208">
        <v>-45263</v>
      </c>
      <c r="GT87" s="208">
        <v>-32812</v>
      </c>
      <c r="GU87" s="208">
        <v>-78075</v>
      </c>
      <c r="GV87" s="208">
        <v>-208158</v>
      </c>
      <c r="GW87" s="208">
        <v>0</v>
      </c>
      <c r="GX87" s="208">
        <v>-208158</v>
      </c>
      <c r="GY87" s="208">
        <v>-32737</v>
      </c>
      <c r="GZ87" s="208">
        <v>0</v>
      </c>
      <c r="HA87" s="208">
        <v>-32737</v>
      </c>
      <c r="HB87" s="208">
        <v>-6034919</v>
      </c>
      <c r="HC87" s="208">
        <v>-26715</v>
      </c>
      <c r="HD87" s="208">
        <v>-6061634</v>
      </c>
      <c r="HE87" s="208">
        <v>21235777</v>
      </c>
      <c r="HF87" s="208">
        <v>198405</v>
      </c>
      <c r="HG87" s="208">
        <v>21434182</v>
      </c>
      <c r="HH87" s="187" t="s">
        <v>1054</v>
      </c>
    </row>
    <row r="88" spans="1:216" s="187" customFormat="1" x14ac:dyDescent="0.2">
      <c r="B88" s="429" t="s">
        <v>255</v>
      </c>
      <c r="C88" s="429" t="s">
        <v>254</v>
      </c>
      <c r="D88" s="208">
        <v>-1011763</v>
      </c>
      <c r="E88" s="208">
        <v>-3459</v>
      </c>
      <c r="F88" s="208">
        <v>-1015222</v>
      </c>
      <c r="G88" s="208">
        <v>7131</v>
      </c>
      <c r="H88" s="208">
        <v>0</v>
      </c>
      <c r="I88" s="208">
        <v>7131</v>
      </c>
      <c r="J88" s="208">
        <v>645683</v>
      </c>
      <c r="K88" s="208">
        <v>0</v>
      </c>
      <c r="L88" s="208">
        <v>645683</v>
      </c>
      <c r="M88" s="208">
        <v>-37923</v>
      </c>
      <c r="N88" s="208">
        <v>0</v>
      </c>
      <c r="O88" s="208">
        <v>-37923</v>
      </c>
      <c r="P88" s="208">
        <v>-396872</v>
      </c>
      <c r="Q88" s="208">
        <v>-3459</v>
      </c>
      <c r="R88" s="208">
        <v>-400331</v>
      </c>
      <c r="S88" s="208">
        <v>-7045466</v>
      </c>
      <c r="T88" s="208">
        <v>-52206</v>
      </c>
      <c r="U88" s="208">
        <v>-7097672</v>
      </c>
      <c r="V88" s="208">
        <v>-40029</v>
      </c>
      <c r="W88" s="208">
        <v>0</v>
      </c>
      <c r="X88" s="208">
        <v>-40029</v>
      </c>
      <c r="Y88" s="208">
        <v>-166544</v>
      </c>
      <c r="Z88" s="208">
        <v>-3229</v>
      </c>
      <c r="AA88" s="208">
        <v>-169773</v>
      </c>
      <c r="AB88" s="208">
        <v>-41459</v>
      </c>
      <c r="AC88" s="208">
        <v>0</v>
      </c>
      <c r="AD88" s="208">
        <v>-41459</v>
      </c>
      <c r="AE88" s="208">
        <v>-125085</v>
      </c>
      <c r="AF88" s="208">
        <v>-3229</v>
      </c>
      <c r="AG88" s="208">
        <v>-128314</v>
      </c>
      <c r="AH88" s="208">
        <v>0</v>
      </c>
      <c r="AI88" s="208">
        <v>0</v>
      </c>
      <c r="AJ88" s="208">
        <v>0</v>
      </c>
      <c r="AK88" s="208">
        <v>1140</v>
      </c>
      <c r="AL88" s="208">
        <v>0</v>
      </c>
      <c r="AM88" s="208">
        <v>1140</v>
      </c>
      <c r="AN88" s="208">
        <v>701844</v>
      </c>
      <c r="AO88" s="208">
        <v>29166</v>
      </c>
      <c r="AP88" s="208">
        <v>731010</v>
      </c>
      <c r="AQ88" s="208">
        <v>21835</v>
      </c>
      <c r="AR88" s="208">
        <v>296</v>
      </c>
      <c r="AS88" s="208">
        <v>22131</v>
      </c>
      <c r="AT88" s="208">
        <v>-2876408</v>
      </c>
      <c r="AU88" s="208">
        <v>-181321</v>
      </c>
      <c r="AV88" s="208">
        <v>-3057729</v>
      </c>
      <c r="AW88" s="208">
        <v>-34168</v>
      </c>
      <c r="AX88" s="208">
        <v>0</v>
      </c>
      <c r="AY88" s="208">
        <v>-34168</v>
      </c>
      <c r="AZ88" s="208">
        <v>-460821</v>
      </c>
      <c r="BA88" s="208">
        <v>0</v>
      </c>
      <c r="BB88" s="208">
        <v>-460821</v>
      </c>
      <c r="BC88" s="208">
        <v>0</v>
      </c>
      <c r="BD88" s="208">
        <v>0</v>
      </c>
      <c r="BE88" s="208">
        <v>0</v>
      </c>
      <c r="BF88" s="208">
        <v>-46135</v>
      </c>
      <c r="BG88" s="208">
        <v>0</v>
      </c>
      <c r="BH88" s="208">
        <v>-46135</v>
      </c>
      <c r="BI88" s="208">
        <v>0</v>
      </c>
      <c r="BJ88" s="208">
        <v>0</v>
      </c>
      <c r="BK88" s="208">
        <v>0</v>
      </c>
      <c r="BL88" s="208">
        <v>-9905863</v>
      </c>
      <c r="BM88" s="208">
        <v>-207294</v>
      </c>
      <c r="BN88" s="208">
        <v>-10113157</v>
      </c>
      <c r="BO88" s="208">
        <v>-9655</v>
      </c>
      <c r="BP88" s="208">
        <v>0</v>
      </c>
      <c r="BQ88" s="208">
        <v>-9655</v>
      </c>
      <c r="BR88" s="208">
        <v>0</v>
      </c>
      <c r="BS88" s="208">
        <v>0</v>
      </c>
      <c r="BT88" s="208">
        <v>0</v>
      </c>
      <c r="BU88" s="208">
        <v>-855215</v>
      </c>
      <c r="BV88" s="208">
        <v>-6275</v>
      </c>
      <c r="BW88" s="208">
        <v>-861490</v>
      </c>
      <c r="BX88" s="208">
        <v>-28717</v>
      </c>
      <c r="BY88" s="208">
        <v>460</v>
      </c>
      <c r="BZ88" s="208">
        <v>-28257</v>
      </c>
      <c r="CA88" s="208">
        <v>-893587</v>
      </c>
      <c r="CB88" s="208">
        <v>-5815</v>
      </c>
      <c r="CC88" s="208">
        <v>-899402</v>
      </c>
      <c r="CD88" s="208">
        <v>-138212</v>
      </c>
      <c r="CE88" s="208">
        <v>0</v>
      </c>
      <c r="CF88" s="208">
        <v>-138212</v>
      </c>
      <c r="CG88" s="208">
        <v>-743</v>
      </c>
      <c r="CH88" s="208">
        <v>0</v>
      </c>
      <c r="CI88" s="208">
        <v>-743</v>
      </c>
      <c r="CJ88" s="208">
        <v>-402</v>
      </c>
      <c r="CK88" s="208">
        <v>0</v>
      </c>
      <c r="CL88" s="208">
        <v>-402</v>
      </c>
      <c r="CM88" s="208">
        <v>0</v>
      </c>
      <c r="CN88" s="208">
        <v>0</v>
      </c>
      <c r="CO88" s="208">
        <v>0</v>
      </c>
      <c r="CP88" s="208">
        <v>-86037</v>
      </c>
      <c r="CQ88" s="208">
        <v>0</v>
      </c>
      <c r="CR88" s="208">
        <v>-86037</v>
      </c>
      <c r="CS88" s="208">
        <v>0</v>
      </c>
      <c r="CT88" s="208">
        <v>0</v>
      </c>
      <c r="CU88" s="208">
        <v>0</v>
      </c>
      <c r="CV88" s="208">
        <v>0</v>
      </c>
      <c r="CW88" s="208">
        <v>0</v>
      </c>
      <c r="CX88" s="208">
        <v>0</v>
      </c>
      <c r="CY88" s="208">
        <v>0</v>
      </c>
      <c r="CZ88" s="208">
        <v>0</v>
      </c>
      <c r="DA88" s="208">
        <v>0</v>
      </c>
      <c r="DB88" s="208">
        <v>0</v>
      </c>
      <c r="DC88" s="208">
        <v>0</v>
      </c>
      <c r="DD88" s="208">
        <v>0</v>
      </c>
      <c r="DE88" s="208">
        <v>0</v>
      </c>
      <c r="DF88" s="208">
        <v>0</v>
      </c>
      <c r="DG88" s="208">
        <v>0</v>
      </c>
      <c r="DH88" s="208">
        <v>-5312</v>
      </c>
      <c r="DI88" s="208">
        <v>-180313</v>
      </c>
      <c r="DJ88" s="208">
        <v>-185625</v>
      </c>
      <c r="DK88" s="208">
        <v>0</v>
      </c>
      <c r="DL88" s="208">
        <v>0</v>
      </c>
      <c r="DM88" s="208">
        <v>0</v>
      </c>
      <c r="DN88" s="208">
        <v>-180313</v>
      </c>
      <c r="DO88" s="208">
        <v>0</v>
      </c>
      <c r="DP88" s="208">
        <v>-230706</v>
      </c>
      <c r="DQ88" s="208">
        <v>-180313</v>
      </c>
      <c r="DR88" s="208">
        <v>-411019</v>
      </c>
      <c r="DS88" s="208">
        <v>0</v>
      </c>
      <c r="DT88" s="208">
        <v>0</v>
      </c>
      <c r="DU88" s="208">
        <v>0</v>
      </c>
      <c r="DV88" s="208">
        <v>0</v>
      </c>
      <c r="DW88" s="208">
        <v>0</v>
      </c>
      <c r="DX88" s="208">
        <v>0</v>
      </c>
      <c r="DY88" s="208">
        <v>2500</v>
      </c>
      <c r="DZ88" s="208">
        <v>0</v>
      </c>
      <c r="EA88" s="208">
        <v>2500</v>
      </c>
      <c r="EB88" s="208">
        <v>0</v>
      </c>
      <c r="EC88" s="208">
        <v>0</v>
      </c>
      <c r="ED88" s="208">
        <v>0</v>
      </c>
      <c r="EE88" s="208">
        <v>0</v>
      </c>
      <c r="EF88" s="208">
        <v>0</v>
      </c>
      <c r="EG88" s="208">
        <v>0</v>
      </c>
      <c r="EH88" s="208">
        <v>5414</v>
      </c>
      <c r="EI88" s="208">
        <v>0</v>
      </c>
      <c r="EJ88" s="208">
        <v>5414</v>
      </c>
      <c r="EK88" s="208">
        <v>-46134</v>
      </c>
      <c r="EL88" s="208">
        <v>0</v>
      </c>
      <c r="EM88" s="208">
        <v>-46134</v>
      </c>
      <c r="EN88" s="208">
        <v>0</v>
      </c>
      <c r="EO88" s="208">
        <v>0</v>
      </c>
      <c r="EP88" s="208">
        <v>0</v>
      </c>
      <c r="EQ88" s="208">
        <v>-1500</v>
      </c>
      <c r="ER88" s="208">
        <v>0</v>
      </c>
      <c r="ES88" s="208">
        <v>-1500</v>
      </c>
      <c r="ET88" s="208">
        <v>0</v>
      </c>
      <c r="EU88" s="208">
        <v>0</v>
      </c>
      <c r="EV88" s="208">
        <v>0</v>
      </c>
      <c r="EW88" s="208">
        <v>-17071</v>
      </c>
      <c r="EX88" s="208">
        <v>0</v>
      </c>
      <c r="EY88" s="208">
        <v>-17071</v>
      </c>
      <c r="EZ88" s="208">
        <v>94</v>
      </c>
      <c r="FA88" s="208">
        <v>0</v>
      </c>
      <c r="FB88" s="208">
        <v>94</v>
      </c>
      <c r="FC88" s="208">
        <v>-119329</v>
      </c>
      <c r="FD88" s="208">
        <v>0</v>
      </c>
      <c r="FE88" s="208">
        <v>-119329</v>
      </c>
      <c r="FF88" s="208">
        <v>11123</v>
      </c>
      <c r="FG88" s="208">
        <v>0</v>
      </c>
      <c r="FH88" s="208">
        <v>11123</v>
      </c>
      <c r="FI88" s="208">
        <v>-59422</v>
      </c>
      <c r="FJ88" s="208">
        <v>0</v>
      </c>
      <c r="FK88" s="208">
        <v>-59422</v>
      </c>
      <c r="FL88" s="208">
        <v>-1666</v>
      </c>
      <c r="FM88" s="208">
        <v>0</v>
      </c>
      <c r="FN88" s="208">
        <v>-1666</v>
      </c>
      <c r="FO88" s="208">
        <v>0</v>
      </c>
      <c r="FP88" s="208">
        <v>0</v>
      </c>
      <c r="FQ88" s="208">
        <v>0</v>
      </c>
      <c r="FR88" s="208">
        <v>0</v>
      </c>
      <c r="FS88" s="208">
        <v>0</v>
      </c>
      <c r="FT88" s="208">
        <v>0</v>
      </c>
      <c r="FU88" s="208">
        <v>-225991</v>
      </c>
      <c r="FV88" s="208">
        <v>0</v>
      </c>
      <c r="FW88" s="208">
        <v>-225991</v>
      </c>
      <c r="FX88" s="208">
        <v>0</v>
      </c>
      <c r="FY88" s="208">
        <v>0</v>
      </c>
      <c r="FZ88" s="208">
        <v>0</v>
      </c>
      <c r="GA88" s="208">
        <v>0</v>
      </c>
      <c r="GB88" s="208">
        <v>0</v>
      </c>
      <c r="GC88" s="208">
        <v>0</v>
      </c>
      <c r="GD88" s="208">
        <v>0</v>
      </c>
      <c r="GE88" s="208">
        <v>0</v>
      </c>
      <c r="GF88" s="208">
        <v>0</v>
      </c>
      <c r="GG88" s="208">
        <v>47720991</v>
      </c>
      <c r="GH88" s="208">
        <v>1286674</v>
      </c>
      <c r="GI88" s="208">
        <v>49007665</v>
      </c>
      <c r="GJ88" s="208">
        <v>-396872</v>
      </c>
      <c r="GK88" s="208">
        <v>-3459</v>
      </c>
      <c r="GL88" s="208">
        <v>-400331</v>
      </c>
      <c r="GM88" s="208">
        <v>-9905863</v>
      </c>
      <c r="GN88" s="208">
        <v>-207294</v>
      </c>
      <c r="GO88" s="208">
        <v>-10113157</v>
      </c>
      <c r="GP88" s="208">
        <v>-893587</v>
      </c>
      <c r="GQ88" s="208">
        <v>-5815</v>
      </c>
      <c r="GR88" s="208">
        <v>-899402</v>
      </c>
      <c r="GS88" s="208">
        <v>-230706</v>
      </c>
      <c r="GT88" s="208">
        <v>-180313</v>
      </c>
      <c r="GU88" s="208">
        <v>-411019</v>
      </c>
      <c r="GV88" s="208">
        <v>-225991</v>
      </c>
      <c r="GW88" s="208">
        <v>0</v>
      </c>
      <c r="GX88" s="208">
        <v>-225991</v>
      </c>
      <c r="GY88" s="208">
        <v>0</v>
      </c>
      <c r="GZ88" s="208">
        <v>0</v>
      </c>
      <c r="HA88" s="208">
        <v>0</v>
      </c>
      <c r="HB88" s="208">
        <v>-11653019</v>
      </c>
      <c r="HC88" s="208">
        <v>-396881</v>
      </c>
      <c r="HD88" s="208">
        <v>-12049900</v>
      </c>
      <c r="HE88" s="208">
        <v>36067972</v>
      </c>
      <c r="HF88" s="208">
        <v>889793</v>
      </c>
      <c r="HG88" s="208">
        <v>36957765</v>
      </c>
      <c r="HH88" s="187" t="s">
        <v>1054</v>
      </c>
    </row>
    <row r="89" spans="1:216" s="187" customFormat="1" x14ac:dyDescent="0.2">
      <c r="B89" s="429" t="s">
        <v>257</v>
      </c>
      <c r="C89" s="429" t="s">
        <v>256</v>
      </c>
      <c r="D89" s="208">
        <v>-717040</v>
      </c>
      <c r="E89" s="208">
        <v>0</v>
      </c>
      <c r="F89" s="208">
        <v>-717040</v>
      </c>
      <c r="G89" s="208">
        <v>3820</v>
      </c>
      <c r="H89" s="208">
        <v>0</v>
      </c>
      <c r="I89" s="208">
        <v>3820</v>
      </c>
      <c r="J89" s="208">
        <v>403793</v>
      </c>
      <c r="K89" s="208">
        <v>0</v>
      </c>
      <c r="L89" s="208">
        <v>403793</v>
      </c>
      <c r="M89" s="208">
        <v>-56332</v>
      </c>
      <c r="N89" s="208">
        <v>0</v>
      </c>
      <c r="O89" s="208">
        <v>-56332</v>
      </c>
      <c r="P89" s="208">
        <v>-365759</v>
      </c>
      <c r="Q89" s="208">
        <v>0</v>
      </c>
      <c r="R89" s="208">
        <v>-365759</v>
      </c>
      <c r="S89" s="208">
        <v>-3503702</v>
      </c>
      <c r="T89" s="208">
        <v>0</v>
      </c>
      <c r="U89" s="208">
        <v>-3503702</v>
      </c>
      <c r="V89" s="208">
        <v>-5173</v>
      </c>
      <c r="W89" s="208">
        <v>0</v>
      </c>
      <c r="X89" s="208">
        <v>-5173</v>
      </c>
      <c r="Y89" s="208">
        <v>-20371</v>
      </c>
      <c r="Z89" s="208">
        <v>0</v>
      </c>
      <c r="AA89" s="208">
        <v>-20371</v>
      </c>
      <c r="AB89" s="208">
        <v>5212</v>
      </c>
      <c r="AC89" s="208">
        <v>0</v>
      </c>
      <c r="AD89" s="208">
        <v>5212</v>
      </c>
      <c r="AE89" s="208">
        <v>-25583</v>
      </c>
      <c r="AF89" s="208">
        <v>0</v>
      </c>
      <c r="AG89" s="208">
        <v>-25583</v>
      </c>
      <c r="AH89" s="208">
        <v>0</v>
      </c>
      <c r="AI89" s="208">
        <v>0</v>
      </c>
      <c r="AJ89" s="208">
        <v>0</v>
      </c>
      <c r="AK89" s="208">
        <v>0</v>
      </c>
      <c r="AL89" s="208">
        <v>0</v>
      </c>
      <c r="AM89" s="208">
        <v>0</v>
      </c>
      <c r="AN89" s="208">
        <v>440678</v>
      </c>
      <c r="AO89" s="208">
        <v>0</v>
      </c>
      <c r="AP89" s="208">
        <v>440678</v>
      </c>
      <c r="AQ89" s="208">
        <v>-5235</v>
      </c>
      <c r="AR89" s="208">
        <v>0</v>
      </c>
      <c r="AS89" s="208">
        <v>-5235</v>
      </c>
      <c r="AT89" s="208">
        <v>-1516401</v>
      </c>
      <c r="AU89" s="208">
        <v>0</v>
      </c>
      <c r="AV89" s="208">
        <v>-1516401</v>
      </c>
      <c r="AW89" s="208">
        <v>-1071</v>
      </c>
      <c r="AX89" s="208">
        <v>0</v>
      </c>
      <c r="AY89" s="208">
        <v>-1071</v>
      </c>
      <c r="AZ89" s="208">
        <v>-39627</v>
      </c>
      <c r="BA89" s="208">
        <v>0</v>
      </c>
      <c r="BB89" s="208">
        <v>-39627</v>
      </c>
      <c r="BC89" s="208">
        <v>0</v>
      </c>
      <c r="BD89" s="208">
        <v>0</v>
      </c>
      <c r="BE89" s="208">
        <v>0</v>
      </c>
      <c r="BF89" s="208">
        <v>-10233</v>
      </c>
      <c r="BG89" s="208">
        <v>0</v>
      </c>
      <c r="BH89" s="208">
        <v>-10233</v>
      </c>
      <c r="BI89" s="208">
        <v>0</v>
      </c>
      <c r="BJ89" s="208">
        <v>0</v>
      </c>
      <c r="BK89" s="208">
        <v>0</v>
      </c>
      <c r="BL89" s="208">
        <v>-4655962</v>
      </c>
      <c r="BM89" s="208">
        <v>0</v>
      </c>
      <c r="BN89" s="208">
        <v>-4655962</v>
      </c>
      <c r="BO89" s="208">
        <v>-33832</v>
      </c>
      <c r="BP89" s="208">
        <v>0</v>
      </c>
      <c r="BQ89" s="208">
        <v>-33832</v>
      </c>
      <c r="BR89" s="208">
        <v>-669</v>
      </c>
      <c r="BS89" s="208">
        <v>0</v>
      </c>
      <c r="BT89" s="208">
        <v>-669</v>
      </c>
      <c r="BU89" s="208">
        <v>-607868</v>
      </c>
      <c r="BV89" s="208">
        <v>0</v>
      </c>
      <c r="BW89" s="208">
        <v>-607868</v>
      </c>
      <c r="BX89" s="208">
        <v>-28677</v>
      </c>
      <c r="BY89" s="208">
        <v>0</v>
      </c>
      <c r="BZ89" s="208">
        <v>-28677</v>
      </c>
      <c r="CA89" s="208">
        <v>-671046</v>
      </c>
      <c r="CB89" s="208">
        <v>0</v>
      </c>
      <c r="CC89" s="208">
        <v>-671046</v>
      </c>
      <c r="CD89" s="208">
        <v>-29461</v>
      </c>
      <c r="CE89" s="208">
        <v>0</v>
      </c>
      <c r="CF89" s="208">
        <v>-29461</v>
      </c>
      <c r="CG89" s="208">
        <v>-58</v>
      </c>
      <c r="CH89" s="208">
        <v>0</v>
      </c>
      <c r="CI89" s="208">
        <v>-58</v>
      </c>
      <c r="CJ89" s="208">
        <v>-8487</v>
      </c>
      <c r="CK89" s="208">
        <v>0</v>
      </c>
      <c r="CL89" s="208">
        <v>-8487</v>
      </c>
      <c r="CM89" s="208">
        <v>0</v>
      </c>
      <c r="CN89" s="208">
        <v>0</v>
      </c>
      <c r="CO89" s="208">
        <v>0</v>
      </c>
      <c r="CP89" s="208">
        <v>0</v>
      </c>
      <c r="CQ89" s="208">
        <v>0</v>
      </c>
      <c r="CR89" s="208">
        <v>0</v>
      </c>
      <c r="CS89" s="208">
        <v>0</v>
      </c>
      <c r="CT89" s="208">
        <v>0</v>
      </c>
      <c r="CU89" s="208">
        <v>0</v>
      </c>
      <c r="CV89" s="208">
        <v>0</v>
      </c>
      <c r="CW89" s="208">
        <v>0</v>
      </c>
      <c r="CX89" s="208">
        <v>0</v>
      </c>
      <c r="CY89" s="208">
        <v>0</v>
      </c>
      <c r="CZ89" s="208">
        <v>0</v>
      </c>
      <c r="DA89" s="208">
        <v>0</v>
      </c>
      <c r="DB89" s="208">
        <v>0</v>
      </c>
      <c r="DC89" s="208">
        <v>0</v>
      </c>
      <c r="DD89" s="208">
        <v>0</v>
      </c>
      <c r="DE89" s="208">
        <v>0</v>
      </c>
      <c r="DF89" s="208">
        <v>0</v>
      </c>
      <c r="DG89" s="208">
        <v>0</v>
      </c>
      <c r="DH89" s="208">
        <v>0</v>
      </c>
      <c r="DI89" s="208">
        <v>0</v>
      </c>
      <c r="DJ89" s="208">
        <v>0</v>
      </c>
      <c r="DK89" s="208">
        <v>0</v>
      </c>
      <c r="DL89" s="208">
        <v>0</v>
      </c>
      <c r="DM89" s="208">
        <v>0</v>
      </c>
      <c r="DN89" s="208">
        <v>0</v>
      </c>
      <c r="DO89" s="208">
        <v>0</v>
      </c>
      <c r="DP89" s="208">
        <v>-38006</v>
      </c>
      <c r="DQ89" s="208">
        <v>0</v>
      </c>
      <c r="DR89" s="208">
        <v>-38006</v>
      </c>
      <c r="DS89" s="208">
        <v>0</v>
      </c>
      <c r="DT89" s="208">
        <v>0</v>
      </c>
      <c r="DU89" s="208">
        <v>0</v>
      </c>
      <c r="DV89" s="208">
        <v>0</v>
      </c>
      <c r="DW89" s="208">
        <v>0</v>
      </c>
      <c r="DX89" s="208">
        <v>0</v>
      </c>
      <c r="DY89" s="208">
        <v>0</v>
      </c>
      <c r="DZ89" s="208">
        <v>0</v>
      </c>
      <c r="EA89" s="208">
        <v>0</v>
      </c>
      <c r="EB89" s="208">
        <v>0</v>
      </c>
      <c r="EC89" s="208">
        <v>0</v>
      </c>
      <c r="ED89" s="208">
        <v>0</v>
      </c>
      <c r="EE89" s="208">
        <v>0</v>
      </c>
      <c r="EF89" s="208">
        <v>0</v>
      </c>
      <c r="EG89" s="208">
        <v>0</v>
      </c>
      <c r="EH89" s="208">
        <v>0</v>
      </c>
      <c r="EI89" s="208">
        <v>0</v>
      </c>
      <c r="EJ89" s="208">
        <v>0</v>
      </c>
      <c r="EK89" s="208">
        <v>-10233</v>
      </c>
      <c r="EL89" s="208">
        <v>0</v>
      </c>
      <c r="EM89" s="208">
        <v>-10233</v>
      </c>
      <c r="EN89" s="208">
        <v>0</v>
      </c>
      <c r="EO89" s="208">
        <v>0</v>
      </c>
      <c r="EP89" s="208">
        <v>0</v>
      </c>
      <c r="EQ89" s="208">
        <v>0</v>
      </c>
      <c r="ER89" s="208">
        <v>0</v>
      </c>
      <c r="ES89" s="208">
        <v>0</v>
      </c>
      <c r="ET89" s="208">
        <v>0</v>
      </c>
      <c r="EU89" s="208">
        <v>0</v>
      </c>
      <c r="EV89" s="208">
        <v>0</v>
      </c>
      <c r="EW89" s="208">
        <v>-21607</v>
      </c>
      <c r="EX89" s="208">
        <v>0</v>
      </c>
      <c r="EY89" s="208">
        <v>-21607</v>
      </c>
      <c r="EZ89" s="208">
        <v>384</v>
      </c>
      <c r="FA89" s="208">
        <v>0</v>
      </c>
      <c r="FB89" s="208">
        <v>384</v>
      </c>
      <c r="FC89" s="208">
        <v>-98611</v>
      </c>
      <c r="FD89" s="208">
        <v>0</v>
      </c>
      <c r="FE89" s="208">
        <v>-98611</v>
      </c>
      <c r="FF89" s="208">
        <v>1233</v>
      </c>
      <c r="FG89" s="208">
        <v>0</v>
      </c>
      <c r="FH89" s="208">
        <v>1233</v>
      </c>
      <c r="FI89" s="208">
        <v>-35751</v>
      </c>
      <c r="FJ89" s="208">
        <v>0</v>
      </c>
      <c r="FK89" s="208">
        <v>-35751</v>
      </c>
      <c r="FL89" s="208">
        <v>1000</v>
      </c>
      <c r="FM89" s="208">
        <v>0</v>
      </c>
      <c r="FN89" s="208">
        <v>1000</v>
      </c>
      <c r="FO89" s="208">
        <v>0</v>
      </c>
      <c r="FP89" s="208">
        <v>0</v>
      </c>
      <c r="FQ89" s="208">
        <v>0</v>
      </c>
      <c r="FR89" s="208">
        <v>0</v>
      </c>
      <c r="FS89" s="208">
        <v>0</v>
      </c>
      <c r="FT89" s="208">
        <v>0</v>
      </c>
      <c r="FU89" s="208">
        <v>-163585</v>
      </c>
      <c r="FV89" s="208">
        <v>0</v>
      </c>
      <c r="FW89" s="208">
        <v>-163585</v>
      </c>
      <c r="FX89" s="208">
        <v>0</v>
      </c>
      <c r="FY89" s="208">
        <v>0</v>
      </c>
      <c r="FZ89" s="208">
        <v>0</v>
      </c>
      <c r="GA89" s="208">
        <v>0</v>
      </c>
      <c r="GB89" s="208">
        <v>0</v>
      </c>
      <c r="GC89" s="208">
        <v>0</v>
      </c>
      <c r="GD89" s="208">
        <v>0</v>
      </c>
      <c r="GE89" s="208">
        <v>0</v>
      </c>
      <c r="GF89" s="208">
        <v>0</v>
      </c>
      <c r="GG89" s="208">
        <v>28523672</v>
      </c>
      <c r="GH89" s="208">
        <v>0</v>
      </c>
      <c r="GI89" s="208">
        <v>28523672</v>
      </c>
      <c r="GJ89" s="208">
        <v>-365759</v>
      </c>
      <c r="GK89" s="208">
        <v>0</v>
      </c>
      <c r="GL89" s="208">
        <v>-365759</v>
      </c>
      <c r="GM89" s="208">
        <v>-4655962</v>
      </c>
      <c r="GN89" s="208">
        <v>0</v>
      </c>
      <c r="GO89" s="208">
        <v>-4655962</v>
      </c>
      <c r="GP89" s="208">
        <v>-671046</v>
      </c>
      <c r="GQ89" s="208">
        <v>0</v>
      </c>
      <c r="GR89" s="208">
        <v>-671046</v>
      </c>
      <c r="GS89" s="208">
        <v>-38006</v>
      </c>
      <c r="GT89" s="208">
        <v>0</v>
      </c>
      <c r="GU89" s="208">
        <v>-38006</v>
      </c>
      <c r="GV89" s="208">
        <v>-163585</v>
      </c>
      <c r="GW89" s="208">
        <v>0</v>
      </c>
      <c r="GX89" s="208">
        <v>-163585</v>
      </c>
      <c r="GY89" s="208">
        <v>0</v>
      </c>
      <c r="GZ89" s="208">
        <v>0</v>
      </c>
      <c r="HA89" s="208">
        <v>0</v>
      </c>
      <c r="HB89" s="208">
        <v>-5894358</v>
      </c>
      <c r="HC89" s="208">
        <v>0</v>
      </c>
      <c r="HD89" s="208">
        <v>-5894358</v>
      </c>
      <c r="HE89" s="208">
        <v>22629314</v>
      </c>
      <c r="HF89" s="208">
        <v>0</v>
      </c>
      <c r="HG89" s="208">
        <v>22629314</v>
      </c>
      <c r="HH89" s="187" t="s">
        <v>1054</v>
      </c>
    </row>
    <row r="90" spans="1:216" s="187" customFormat="1" x14ac:dyDescent="0.2">
      <c r="B90" s="429" t="s">
        <v>259</v>
      </c>
      <c r="C90" s="429" t="s">
        <v>258</v>
      </c>
      <c r="D90" s="208">
        <v>-1269414</v>
      </c>
      <c r="E90" s="208">
        <v>0</v>
      </c>
      <c r="F90" s="208">
        <v>-1269414</v>
      </c>
      <c r="G90" s="208">
        <v>20323</v>
      </c>
      <c r="H90" s="208">
        <v>0</v>
      </c>
      <c r="I90" s="208">
        <v>20323</v>
      </c>
      <c r="J90" s="208">
        <v>264954</v>
      </c>
      <c r="K90" s="208">
        <v>0</v>
      </c>
      <c r="L90" s="208">
        <v>264954</v>
      </c>
      <c r="M90" s="208">
        <v>26650</v>
      </c>
      <c r="N90" s="208">
        <v>0</v>
      </c>
      <c r="O90" s="208">
        <v>26650</v>
      </c>
      <c r="P90" s="208">
        <v>-957487</v>
      </c>
      <c r="Q90" s="208">
        <v>0</v>
      </c>
      <c r="R90" s="208">
        <v>-957487</v>
      </c>
      <c r="S90" s="208">
        <v>-4140413</v>
      </c>
      <c r="T90" s="208">
        <v>-4421</v>
      </c>
      <c r="U90" s="208">
        <v>-4144834</v>
      </c>
      <c r="V90" s="208">
        <v>-6643</v>
      </c>
      <c r="W90" s="208">
        <v>0</v>
      </c>
      <c r="X90" s="208">
        <v>-6643</v>
      </c>
      <c r="Y90" s="208">
        <v>-83301</v>
      </c>
      <c r="Z90" s="208">
        <v>-775</v>
      </c>
      <c r="AA90" s="208">
        <v>-84076</v>
      </c>
      <c r="AB90" s="208">
        <v>-26072</v>
      </c>
      <c r="AC90" s="208">
        <v>0</v>
      </c>
      <c r="AD90" s="208">
        <v>-26072</v>
      </c>
      <c r="AE90" s="208">
        <v>-57229</v>
      </c>
      <c r="AF90" s="208">
        <v>-775</v>
      </c>
      <c r="AG90" s="208">
        <v>-58004</v>
      </c>
      <c r="AH90" s="208">
        <v>0</v>
      </c>
      <c r="AI90" s="208">
        <v>0</v>
      </c>
      <c r="AJ90" s="208">
        <v>0</v>
      </c>
      <c r="AK90" s="208">
        <v>0</v>
      </c>
      <c r="AL90" s="208">
        <v>0</v>
      </c>
      <c r="AM90" s="208">
        <v>0</v>
      </c>
      <c r="AN90" s="208">
        <v>644019</v>
      </c>
      <c r="AO90" s="208">
        <v>1345</v>
      </c>
      <c r="AP90" s="208">
        <v>645364</v>
      </c>
      <c r="AQ90" s="208">
        <v>-21384</v>
      </c>
      <c r="AR90" s="208">
        <v>140</v>
      </c>
      <c r="AS90" s="208">
        <v>-21244</v>
      </c>
      <c r="AT90" s="208">
        <v>-2912828</v>
      </c>
      <c r="AU90" s="208">
        <v>-30013</v>
      </c>
      <c r="AV90" s="208">
        <v>-2942841</v>
      </c>
      <c r="AW90" s="208">
        <v>28962</v>
      </c>
      <c r="AX90" s="208">
        <v>0</v>
      </c>
      <c r="AY90" s="208">
        <v>28962</v>
      </c>
      <c r="AZ90" s="208">
        <v>-33120</v>
      </c>
      <c r="BA90" s="208">
        <v>0</v>
      </c>
      <c r="BB90" s="208">
        <v>-33120</v>
      </c>
      <c r="BC90" s="208">
        <v>0</v>
      </c>
      <c r="BD90" s="208">
        <v>0</v>
      </c>
      <c r="BE90" s="208">
        <v>0</v>
      </c>
      <c r="BF90" s="208">
        <v>-16582</v>
      </c>
      <c r="BG90" s="208">
        <v>0</v>
      </c>
      <c r="BH90" s="208">
        <v>-16582</v>
      </c>
      <c r="BI90" s="208">
        <v>0</v>
      </c>
      <c r="BJ90" s="208">
        <v>0</v>
      </c>
      <c r="BK90" s="208">
        <v>0</v>
      </c>
      <c r="BL90" s="208">
        <v>-6534647</v>
      </c>
      <c r="BM90" s="208">
        <v>-33724</v>
      </c>
      <c r="BN90" s="208">
        <v>-6568371</v>
      </c>
      <c r="BO90" s="208">
        <v>-11052</v>
      </c>
      <c r="BP90" s="208">
        <v>0</v>
      </c>
      <c r="BQ90" s="208">
        <v>-11052</v>
      </c>
      <c r="BR90" s="208">
        <v>343324</v>
      </c>
      <c r="BS90" s="208">
        <v>0</v>
      </c>
      <c r="BT90" s="208">
        <v>343324</v>
      </c>
      <c r="BU90" s="208">
        <v>-1408410</v>
      </c>
      <c r="BV90" s="208">
        <v>-6594</v>
      </c>
      <c r="BW90" s="208">
        <v>-1415004</v>
      </c>
      <c r="BX90" s="208">
        <v>-32607</v>
      </c>
      <c r="BY90" s="208">
        <v>0</v>
      </c>
      <c r="BZ90" s="208">
        <v>-32607</v>
      </c>
      <c r="CA90" s="208">
        <v>-1108745</v>
      </c>
      <c r="CB90" s="208">
        <v>-6594</v>
      </c>
      <c r="CC90" s="208">
        <v>-1115339</v>
      </c>
      <c r="CD90" s="208">
        <v>-127322</v>
      </c>
      <c r="CE90" s="208">
        <v>0</v>
      </c>
      <c r="CF90" s="208">
        <v>-127322</v>
      </c>
      <c r="CG90" s="208">
        <v>-58870</v>
      </c>
      <c r="CH90" s="208">
        <v>0</v>
      </c>
      <c r="CI90" s="208">
        <v>-58870</v>
      </c>
      <c r="CJ90" s="208">
        <v>-626</v>
      </c>
      <c r="CK90" s="208">
        <v>0</v>
      </c>
      <c r="CL90" s="208">
        <v>-626</v>
      </c>
      <c r="CM90" s="208">
        <v>0</v>
      </c>
      <c r="CN90" s="208">
        <v>0</v>
      </c>
      <c r="CO90" s="208">
        <v>0</v>
      </c>
      <c r="CP90" s="208">
        <v>-4139</v>
      </c>
      <c r="CQ90" s="208">
        <v>0</v>
      </c>
      <c r="CR90" s="208">
        <v>-4139</v>
      </c>
      <c r="CS90" s="208">
        <v>0</v>
      </c>
      <c r="CT90" s="208">
        <v>0</v>
      </c>
      <c r="CU90" s="208">
        <v>0</v>
      </c>
      <c r="CV90" s="208">
        <v>0</v>
      </c>
      <c r="CW90" s="208">
        <v>0</v>
      </c>
      <c r="CX90" s="208">
        <v>0</v>
      </c>
      <c r="CY90" s="208">
        <v>0</v>
      </c>
      <c r="CZ90" s="208">
        <v>0</v>
      </c>
      <c r="DA90" s="208">
        <v>0</v>
      </c>
      <c r="DB90" s="208">
        <v>0</v>
      </c>
      <c r="DC90" s="208">
        <v>0</v>
      </c>
      <c r="DD90" s="208">
        <v>0</v>
      </c>
      <c r="DE90" s="208">
        <v>0</v>
      </c>
      <c r="DF90" s="208">
        <v>0</v>
      </c>
      <c r="DG90" s="208">
        <v>0</v>
      </c>
      <c r="DH90" s="208">
        <v>0</v>
      </c>
      <c r="DI90" s="208">
        <v>-13308</v>
      </c>
      <c r="DJ90" s="208">
        <v>-13308</v>
      </c>
      <c r="DK90" s="208">
        <v>0</v>
      </c>
      <c r="DL90" s="208">
        <v>-2457</v>
      </c>
      <c r="DM90" s="208">
        <v>-2457</v>
      </c>
      <c r="DN90" s="208">
        <v>-15765</v>
      </c>
      <c r="DO90" s="208">
        <v>0</v>
      </c>
      <c r="DP90" s="208">
        <v>-190957</v>
      </c>
      <c r="DQ90" s="208">
        <v>-15765</v>
      </c>
      <c r="DR90" s="208">
        <v>-206722</v>
      </c>
      <c r="DS90" s="208">
        <v>0</v>
      </c>
      <c r="DT90" s="208">
        <v>0</v>
      </c>
      <c r="DU90" s="208">
        <v>0</v>
      </c>
      <c r="DV90" s="208">
        <v>0</v>
      </c>
      <c r="DW90" s="208">
        <v>0</v>
      </c>
      <c r="DX90" s="208">
        <v>0</v>
      </c>
      <c r="DY90" s="208">
        <v>2747</v>
      </c>
      <c r="DZ90" s="208">
        <v>0</v>
      </c>
      <c r="EA90" s="208">
        <v>2747</v>
      </c>
      <c r="EB90" s="208">
        <v>0</v>
      </c>
      <c r="EC90" s="208">
        <v>0</v>
      </c>
      <c r="ED90" s="208">
        <v>0</v>
      </c>
      <c r="EE90" s="208">
        <v>0</v>
      </c>
      <c r="EF90" s="208">
        <v>0</v>
      </c>
      <c r="EG90" s="208">
        <v>0</v>
      </c>
      <c r="EH90" s="208">
        <v>0</v>
      </c>
      <c r="EI90" s="208">
        <v>0</v>
      </c>
      <c r="EJ90" s="208">
        <v>0</v>
      </c>
      <c r="EK90" s="208">
        <v>-16582</v>
      </c>
      <c r="EL90" s="208">
        <v>0</v>
      </c>
      <c r="EM90" s="208">
        <v>-16582</v>
      </c>
      <c r="EN90" s="208">
        <v>0</v>
      </c>
      <c r="EO90" s="208">
        <v>0</v>
      </c>
      <c r="EP90" s="208">
        <v>0</v>
      </c>
      <c r="EQ90" s="208">
        <v>-4500</v>
      </c>
      <c r="ER90" s="208">
        <v>0</v>
      </c>
      <c r="ES90" s="208">
        <v>-4500</v>
      </c>
      <c r="ET90" s="208">
        <v>-3000</v>
      </c>
      <c r="EU90" s="208">
        <v>0</v>
      </c>
      <c r="EV90" s="208">
        <v>-3000</v>
      </c>
      <c r="EW90" s="208">
        <v>-43839</v>
      </c>
      <c r="EX90" s="208">
        <v>0</v>
      </c>
      <c r="EY90" s="208">
        <v>-43839</v>
      </c>
      <c r="EZ90" s="208">
        <v>1514</v>
      </c>
      <c r="FA90" s="208">
        <v>0</v>
      </c>
      <c r="FB90" s="208">
        <v>1514</v>
      </c>
      <c r="FC90" s="208">
        <v>-202157</v>
      </c>
      <c r="FD90" s="208">
        <v>0</v>
      </c>
      <c r="FE90" s="208">
        <v>-202157</v>
      </c>
      <c r="FF90" s="208">
        <v>5251</v>
      </c>
      <c r="FG90" s="208">
        <v>0</v>
      </c>
      <c r="FH90" s="208">
        <v>5251</v>
      </c>
      <c r="FI90" s="208">
        <v>-51564</v>
      </c>
      <c r="FJ90" s="208">
        <v>0</v>
      </c>
      <c r="FK90" s="208">
        <v>-51564</v>
      </c>
      <c r="FL90" s="208">
        <v>1510</v>
      </c>
      <c r="FM90" s="208">
        <v>0</v>
      </c>
      <c r="FN90" s="208">
        <v>1510</v>
      </c>
      <c r="FO90" s="208">
        <v>0</v>
      </c>
      <c r="FP90" s="208">
        <v>0</v>
      </c>
      <c r="FQ90" s="208">
        <v>0</v>
      </c>
      <c r="FR90" s="208">
        <v>0</v>
      </c>
      <c r="FS90" s="208">
        <v>0</v>
      </c>
      <c r="FT90" s="208">
        <v>0</v>
      </c>
      <c r="FU90" s="208">
        <v>-310620</v>
      </c>
      <c r="FV90" s="208">
        <v>0</v>
      </c>
      <c r="FW90" s="208">
        <v>-310620</v>
      </c>
      <c r="FX90" s="208">
        <v>-67792</v>
      </c>
      <c r="FY90" s="208">
        <v>0</v>
      </c>
      <c r="FZ90" s="208">
        <v>-67792</v>
      </c>
      <c r="GA90" s="208">
        <v>-8294</v>
      </c>
      <c r="GB90" s="208">
        <v>0</v>
      </c>
      <c r="GC90" s="208">
        <v>-8294</v>
      </c>
      <c r="GD90" s="208">
        <v>-76086</v>
      </c>
      <c r="GE90" s="208">
        <v>0</v>
      </c>
      <c r="GF90" s="208">
        <v>-76086</v>
      </c>
      <c r="GG90" s="208">
        <v>40442244</v>
      </c>
      <c r="GH90" s="208">
        <v>93740</v>
      </c>
      <c r="GI90" s="208">
        <v>40535984</v>
      </c>
      <c r="GJ90" s="208">
        <v>-957487</v>
      </c>
      <c r="GK90" s="208">
        <v>0</v>
      </c>
      <c r="GL90" s="208">
        <v>-957487</v>
      </c>
      <c r="GM90" s="208">
        <v>-6534647</v>
      </c>
      <c r="GN90" s="208">
        <v>-33724</v>
      </c>
      <c r="GO90" s="208">
        <v>-6568371</v>
      </c>
      <c r="GP90" s="208">
        <v>-1108745</v>
      </c>
      <c r="GQ90" s="208">
        <v>-6594</v>
      </c>
      <c r="GR90" s="208">
        <v>-1115339</v>
      </c>
      <c r="GS90" s="208">
        <v>-190957</v>
      </c>
      <c r="GT90" s="208">
        <v>-15765</v>
      </c>
      <c r="GU90" s="208">
        <v>-206722</v>
      </c>
      <c r="GV90" s="208">
        <v>-310620</v>
      </c>
      <c r="GW90" s="208">
        <v>0</v>
      </c>
      <c r="GX90" s="208">
        <v>-310620</v>
      </c>
      <c r="GY90" s="208">
        <v>-76086</v>
      </c>
      <c r="GZ90" s="208">
        <v>0</v>
      </c>
      <c r="HA90" s="208">
        <v>-76086</v>
      </c>
      <c r="HB90" s="208">
        <v>-9178542</v>
      </c>
      <c r="HC90" s="208">
        <v>-56083</v>
      </c>
      <c r="HD90" s="208">
        <v>-9234625</v>
      </c>
      <c r="HE90" s="208">
        <v>31263702</v>
      </c>
      <c r="HF90" s="208">
        <v>37657</v>
      </c>
      <c r="HG90" s="208">
        <v>31301359</v>
      </c>
      <c r="HH90" s="187" t="s">
        <v>1054</v>
      </c>
    </row>
    <row r="91" spans="1:216" s="187" customFormat="1" x14ac:dyDescent="0.2">
      <c r="B91" s="429" t="s">
        <v>261</v>
      </c>
      <c r="C91" s="429" t="s">
        <v>260</v>
      </c>
      <c r="D91" s="208">
        <v>-1421383</v>
      </c>
      <c r="E91" s="208">
        <v>0</v>
      </c>
      <c r="F91" s="208">
        <v>-1421383</v>
      </c>
      <c r="G91" s="208">
        <v>-36412</v>
      </c>
      <c r="H91" s="208">
        <v>0</v>
      </c>
      <c r="I91" s="208">
        <v>-36412</v>
      </c>
      <c r="J91" s="208">
        <v>898753</v>
      </c>
      <c r="K91" s="208">
        <v>0</v>
      </c>
      <c r="L91" s="208">
        <v>898753</v>
      </c>
      <c r="M91" s="208">
        <v>-48246</v>
      </c>
      <c r="N91" s="208">
        <v>0</v>
      </c>
      <c r="O91" s="208">
        <v>-48246</v>
      </c>
      <c r="P91" s="208">
        <v>-607288</v>
      </c>
      <c r="Q91" s="208">
        <v>0</v>
      </c>
      <c r="R91" s="208">
        <v>-607288</v>
      </c>
      <c r="S91" s="208">
        <v>-5246125</v>
      </c>
      <c r="T91" s="208">
        <v>0</v>
      </c>
      <c r="U91" s="208">
        <v>-5246125</v>
      </c>
      <c r="V91" s="208">
        <v>0</v>
      </c>
      <c r="W91" s="208">
        <v>0</v>
      </c>
      <c r="X91" s="208">
        <v>0</v>
      </c>
      <c r="Y91" s="208">
        <v>-223990</v>
      </c>
      <c r="Z91" s="208">
        <v>0</v>
      </c>
      <c r="AA91" s="208">
        <v>-223990</v>
      </c>
      <c r="AB91" s="208">
        <v>-42730</v>
      </c>
      <c r="AC91" s="208">
        <v>0</v>
      </c>
      <c r="AD91" s="208">
        <v>-42730</v>
      </c>
      <c r="AE91" s="208">
        <v>-181260.24</v>
      </c>
      <c r="AF91" s="208">
        <v>0</v>
      </c>
      <c r="AG91" s="208">
        <v>-181260.24</v>
      </c>
      <c r="AH91" s="208">
        <v>0</v>
      </c>
      <c r="AI91" s="208">
        <v>0</v>
      </c>
      <c r="AJ91" s="208">
        <v>0</v>
      </c>
      <c r="AK91" s="208">
        <v>0</v>
      </c>
      <c r="AL91" s="208">
        <v>0</v>
      </c>
      <c r="AM91" s="208">
        <v>0</v>
      </c>
      <c r="AN91" s="208">
        <v>964980</v>
      </c>
      <c r="AO91" s="208">
        <v>0</v>
      </c>
      <c r="AP91" s="208">
        <v>964980</v>
      </c>
      <c r="AQ91" s="208">
        <v>-31531</v>
      </c>
      <c r="AR91" s="208">
        <v>0</v>
      </c>
      <c r="AS91" s="208">
        <v>-31531</v>
      </c>
      <c r="AT91" s="208">
        <v>-4627910</v>
      </c>
      <c r="AU91" s="208">
        <v>0</v>
      </c>
      <c r="AV91" s="208">
        <v>-4627910</v>
      </c>
      <c r="AW91" s="208">
        <v>2813</v>
      </c>
      <c r="AX91" s="208">
        <v>0</v>
      </c>
      <c r="AY91" s="208">
        <v>2813</v>
      </c>
      <c r="AZ91" s="208">
        <v>-81249</v>
      </c>
      <c r="BA91" s="208">
        <v>0</v>
      </c>
      <c r="BB91" s="208">
        <v>-81249</v>
      </c>
      <c r="BC91" s="208">
        <v>-125</v>
      </c>
      <c r="BD91" s="208">
        <v>0</v>
      </c>
      <c r="BE91" s="208">
        <v>-125</v>
      </c>
      <c r="BF91" s="208">
        <v>-40316</v>
      </c>
      <c r="BG91" s="208">
        <v>0</v>
      </c>
      <c r="BH91" s="208">
        <v>-40316</v>
      </c>
      <c r="BI91" s="208">
        <v>-2524</v>
      </c>
      <c r="BJ91" s="208">
        <v>0</v>
      </c>
      <c r="BK91" s="208">
        <v>-2524</v>
      </c>
      <c r="BL91" s="208">
        <v>-9285977</v>
      </c>
      <c r="BM91" s="208">
        <v>0</v>
      </c>
      <c r="BN91" s="208">
        <v>-9285977</v>
      </c>
      <c r="BO91" s="208">
        <v>0</v>
      </c>
      <c r="BP91" s="208">
        <v>0</v>
      </c>
      <c r="BQ91" s="208">
        <v>0</v>
      </c>
      <c r="BR91" s="208">
        <v>13087</v>
      </c>
      <c r="BS91" s="208">
        <v>0</v>
      </c>
      <c r="BT91" s="208">
        <v>13087</v>
      </c>
      <c r="BU91" s="208">
        <v>-1460501</v>
      </c>
      <c r="BV91" s="208">
        <v>0</v>
      </c>
      <c r="BW91" s="208">
        <v>-1460501</v>
      </c>
      <c r="BX91" s="208">
        <v>-145606</v>
      </c>
      <c r="BY91" s="208">
        <v>0</v>
      </c>
      <c r="BZ91" s="208">
        <v>-145606</v>
      </c>
      <c r="CA91" s="208">
        <v>-1593020</v>
      </c>
      <c r="CB91" s="208">
        <v>0</v>
      </c>
      <c r="CC91" s="208">
        <v>-1593020</v>
      </c>
      <c r="CD91" s="208">
        <v>-185250</v>
      </c>
      <c r="CE91" s="208">
        <v>0</v>
      </c>
      <c r="CF91" s="208">
        <v>-185250</v>
      </c>
      <c r="CG91" s="208">
        <v>-587</v>
      </c>
      <c r="CH91" s="208">
        <v>0</v>
      </c>
      <c r="CI91" s="208">
        <v>-587</v>
      </c>
      <c r="CJ91" s="208">
        <v>-53781</v>
      </c>
      <c r="CK91" s="208">
        <v>0</v>
      </c>
      <c r="CL91" s="208">
        <v>-53781</v>
      </c>
      <c r="CM91" s="208">
        <v>0</v>
      </c>
      <c r="CN91" s="208">
        <v>0</v>
      </c>
      <c r="CO91" s="208">
        <v>0</v>
      </c>
      <c r="CP91" s="208">
        <v>0</v>
      </c>
      <c r="CQ91" s="208">
        <v>0</v>
      </c>
      <c r="CR91" s="208">
        <v>0</v>
      </c>
      <c r="CS91" s="208">
        <v>0</v>
      </c>
      <c r="CT91" s="208">
        <v>0</v>
      </c>
      <c r="CU91" s="208">
        <v>0</v>
      </c>
      <c r="CV91" s="208">
        <v>-363</v>
      </c>
      <c r="CW91" s="208">
        <v>0</v>
      </c>
      <c r="CX91" s="208">
        <v>-363</v>
      </c>
      <c r="CY91" s="208">
        <v>0</v>
      </c>
      <c r="CZ91" s="208">
        <v>0</v>
      </c>
      <c r="DA91" s="208">
        <v>0</v>
      </c>
      <c r="DB91" s="208">
        <v>0</v>
      </c>
      <c r="DC91" s="208">
        <v>0</v>
      </c>
      <c r="DD91" s="208">
        <v>0</v>
      </c>
      <c r="DE91" s="208">
        <v>0</v>
      </c>
      <c r="DF91" s="208">
        <v>0</v>
      </c>
      <c r="DG91" s="208">
        <v>0</v>
      </c>
      <c r="DH91" s="208">
        <v>0</v>
      </c>
      <c r="DI91" s="208">
        <v>0</v>
      </c>
      <c r="DJ91" s="208">
        <v>0</v>
      </c>
      <c r="DK91" s="208">
        <v>0</v>
      </c>
      <c r="DL91" s="208">
        <v>0</v>
      </c>
      <c r="DM91" s="208">
        <v>0</v>
      </c>
      <c r="DN91" s="208">
        <v>0</v>
      </c>
      <c r="DO91" s="208">
        <v>0</v>
      </c>
      <c r="DP91" s="208">
        <v>-239981</v>
      </c>
      <c r="DQ91" s="208">
        <v>0</v>
      </c>
      <c r="DR91" s="208">
        <v>-239981</v>
      </c>
      <c r="DS91" s="208">
        <v>0</v>
      </c>
      <c r="DT91" s="208">
        <v>0</v>
      </c>
      <c r="DU91" s="208">
        <v>0</v>
      </c>
      <c r="DV91" s="208">
        <v>0</v>
      </c>
      <c r="DW91" s="208">
        <v>0</v>
      </c>
      <c r="DX91" s="208">
        <v>0</v>
      </c>
      <c r="DY91" s="208">
        <v>0</v>
      </c>
      <c r="DZ91" s="208">
        <v>0</v>
      </c>
      <c r="EA91" s="208">
        <v>0</v>
      </c>
      <c r="EB91" s="208">
        <v>0</v>
      </c>
      <c r="EC91" s="208">
        <v>0</v>
      </c>
      <c r="ED91" s="208">
        <v>0</v>
      </c>
      <c r="EE91" s="208">
        <v>0</v>
      </c>
      <c r="EF91" s="208">
        <v>0</v>
      </c>
      <c r="EG91" s="208">
        <v>0</v>
      </c>
      <c r="EH91" s="208">
        <v>0</v>
      </c>
      <c r="EI91" s="208">
        <v>0</v>
      </c>
      <c r="EJ91" s="208">
        <v>0</v>
      </c>
      <c r="EK91" s="208">
        <v>-39091</v>
      </c>
      <c r="EL91" s="208">
        <v>0</v>
      </c>
      <c r="EM91" s="208">
        <v>-39091</v>
      </c>
      <c r="EN91" s="208">
        <v>-2524.13</v>
      </c>
      <c r="EO91" s="208">
        <v>0</v>
      </c>
      <c r="EP91" s="208">
        <v>-2524.13</v>
      </c>
      <c r="EQ91" s="208">
        <v>-1747</v>
      </c>
      <c r="ER91" s="208">
        <v>0</v>
      </c>
      <c r="ES91" s="208">
        <v>-1747</v>
      </c>
      <c r="ET91" s="208">
        <v>-814</v>
      </c>
      <c r="EU91" s="208">
        <v>0</v>
      </c>
      <c r="EV91" s="208">
        <v>-814</v>
      </c>
      <c r="EW91" s="208">
        <v>-31255</v>
      </c>
      <c r="EX91" s="208">
        <v>0</v>
      </c>
      <c r="EY91" s="208">
        <v>-31255</v>
      </c>
      <c r="EZ91" s="208">
        <v>-2745</v>
      </c>
      <c r="FA91" s="208">
        <v>0</v>
      </c>
      <c r="FB91" s="208">
        <v>-2745</v>
      </c>
      <c r="FC91" s="208">
        <v>-157908</v>
      </c>
      <c r="FD91" s="208">
        <v>0</v>
      </c>
      <c r="FE91" s="208">
        <v>-157908</v>
      </c>
      <c r="FF91" s="208">
        <v>-849</v>
      </c>
      <c r="FG91" s="208">
        <v>0</v>
      </c>
      <c r="FH91" s="208">
        <v>-849</v>
      </c>
      <c r="FI91" s="208">
        <v>-69413</v>
      </c>
      <c r="FJ91" s="208">
        <v>0</v>
      </c>
      <c r="FK91" s="208">
        <v>-69413</v>
      </c>
      <c r="FL91" s="208">
        <v>-7458</v>
      </c>
      <c r="FM91" s="208">
        <v>0</v>
      </c>
      <c r="FN91" s="208">
        <v>-7458</v>
      </c>
      <c r="FO91" s="208">
        <v>0</v>
      </c>
      <c r="FP91" s="208">
        <v>0</v>
      </c>
      <c r="FQ91" s="208">
        <v>0</v>
      </c>
      <c r="FR91" s="208">
        <v>0</v>
      </c>
      <c r="FS91" s="208">
        <v>0</v>
      </c>
      <c r="FT91" s="208">
        <v>0</v>
      </c>
      <c r="FU91" s="208">
        <v>-313804</v>
      </c>
      <c r="FV91" s="208">
        <v>0</v>
      </c>
      <c r="FW91" s="208">
        <v>-313804</v>
      </c>
      <c r="FX91" s="208">
        <v>0</v>
      </c>
      <c r="FY91" s="208">
        <v>0</v>
      </c>
      <c r="FZ91" s="208">
        <v>0</v>
      </c>
      <c r="GA91" s="208">
        <v>0</v>
      </c>
      <c r="GB91" s="208">
        <v>0</v>
      </c>
      <c r="GC91" s="208">
        <v>0</v>
      </c>
      <c r="GD91" s="208">
        <v>0</v>
      </c>
      <c r="GE91" s="208">
        <v>0</v>
      </c>
      <c r="GF91" s="208">
        <v>0</v>
      </c>
      <c r="GG91" s="208">
        <v>55948200</v>
      </c>
      <c r="GH91" s="208">
        <v>0</v>
      </c>
      <c r="GI91" s="208">
        <v>55948200</v>
      </c>
      <c r="GJ91" s="208">
        <v>-607288</v>
      </c>
      <c r="GK91" s="208">
        <v>0</v>
      </c>
      <c r="GL91" s="208">
        <v>-607288</v>
      </c>
      <c r="GM91" s="208">
        <v>-9285977</v>
      </c>
      <c r="GN91" s="208">
        <v>0</v>
      </c>
      <c r="GO91" s="208">
        <v>-9285977</v>
      </c>
      <c r="GP91" s="208">
        <v>-1593020</v>
      </c>
      <c r="GQ91" s="208">
        <v>0</v>
      </c>
      <c r="GR91" s="208">
        <v>-1593020</v>
      </c>
      <c r="GS91" s="208">
        <v>-239981</v>
      </c>
      <c r="GT91" s="208">
        <v>0</v>
      </c>
      <c r="GU91" s="208">
        <v>-239981</v>
      </c>
      <c r="GV91" s="208">
        <v>-313804</v>
      </c>
      <c r="GW91" s="208">
        <v>0</v>
      </c>
      <c r="GX91" s="208">
        <v>-313804</v>
      </c>
      <c r="GY91" s="208">
        <v>0</v>
      </c>
      <c r="GZ91" s="208">
        <v>0</v>
      </c>
      <c r="HA91" s="208">
        <v>0</v>
      </c>
      <c r="HB91" s="208">
        <v>-12040070</v>
      </c>
      <c r="HC91" s="208">
        <v>0</v>
      </c>
      <c r="HD91" s="208">
        <v>-12040070</v>
      </c>
      <c r="HE91" s="208">
        <v>43908130</v>
      </c>
      <c r="HF91" s="208">
        <v>0</v>
      </c>
      <c r="HG91" s="208">
        <v>43908130</v>
      </c>
      <c r="HH91" s="187" t="s">
        <v>1054</v>
      </c>
    </row>
    <row r="92" spans="1:216" s="187" customFormat="1" x14ac:dyDescent="0.2">
      <c r="B92" s="429" t="s">
        <v>263</v>
      </c>
      <c r="C92" s="429" t="s">
        <v>262</v>
      </c>
      <c r="D92" s="208">
        <v>-1583775</v>
      </c>
      <c r="E92" s="208">
        <v>0</v>
      </c>
      <c r="F92" s="208">
        <v>-1583775</v>
      </c>
      <c r="G92" s="208">
        <v>-8214</v>
      </c>
      <c r="H92" s="208">
        <v>0</v>
      </c>
      <c r="I92" s="208">
        <v>-8214</v>
      </c>
      <c r="J92" s="208">
        <v>608503</v>
      </c>
      <c r="K92" s="208">
        <v>0</v>
      </c>
      <c r="L92" s="208">
        <v>608503</v>
      </c>
      <c r="M92" s="208">
        <v>-111824</v>
      </c>
      <c r="N92" s="208">
        <v>0</v>
      </c>
      <c r="O92" s="208">
        <v>-111824</v>
      </c>
      <c r="P92" s="208">
        <v>-1095310</v>
      </c>
      <c r="Q92" s="208">
        <v>0</v>
      </c>
      <c r="R92" s="208">
        <v>-1095310</v>
      </c>
      <c r="S92" s="208">
        <v>-6806015</v>
      </c>
      <c r="T92" s="208">
        <v>0</v>
      </c>
      <c r="U92" s="208">
        <v>-6806015</v>
      </c>
      <c r="V92" s="208">
        <v>-6063</v>
      </c>
      <c r="W92" s="208">
        <v>0</v>
      </c>
      <c r="X92" s="208">
        <v>-6063</v>
      </c>
      <c r="Y92" s="208">
        <v>-198480</v>
      </c>
      <c r="Z92" s="208">
        <v>0</v>
      </c>
      <c r="AA92" s="208">
        <v>-198480</v>
      </c>
      <c r="AB92" s="208">
        <v>-45534</v>
      </c>
      <c r="AC92" s="208">
        <v>0</v>
      </c>
      <c r="AD92" s="208">
        <v>-45534</v>
      </c>
      <c r="AE92" s="208">
        <v>-152946</v>
      </c>
      <c r="AF92" s="208">
        <v>0</v>
      </c>
      <c r="AG92" s="208">
        <v>-152946</v>
      </c>
      <c r="AH92" s="208">
        <v>0</v>
      </c>
      <c r="AI92" s="208">
        <v>0</v>
      </c>
      <c r="AJ92" s="208">
        <v>0</v>
      </c>
      <c r="AK92" s="208">
        <v>-5916</v>
      </c>
      <c r="AL92" s="208">
        <v>0</v>
      </c>
      <c r="AM92" s="208">
        <v>-5916</v>
      </c>
      <c r="AN92" s="208">
        <v>703682</v>
      </c>
      <c r="AO92" s="208">
        <v>0</v>
      </c>
      <c r="AP92" s="208">
        <v>703682</v>
      </c>
      <c r="AQ92" s="208">
        <v>-17162</v>
      </c>
      <c r="AR92" s="208">
        <v>0</v>
      </c>
      <c r="AS92" s="208">
        <v>-17162</v>
      </c>
      <c r="AT92" s="208">
        <v>-2796961</v>
      </c>
      <c r="AU92" s="208">
        <v>0</v>
      </c>
      <c r="AV92" s="208">
        <v>-2796961</v>
      </c>
      <c r="AW92" s="208">
        <v>-48107</v>
      </c>
      <c r="AX92" s="208">
        <v>0</v>
      </c>
      <c r="AY92" s="208">
        <v>-48107</v>
      </c>
      <c r="AZ92" s="208">
        <v>-75631</v>
      </c>
      <c r="BA92" s="208">
        <v>0</v>
      </c>
      <c r="BB92" s="208">
        <v>-75631</v>
      </c>
      <c r="BC92" s="208">
        <v>-282</v>
      </c>
      <c r="BD92" s="208">
        <v>0</v>
      </c>
      <c r="BE92" s="208">
        <v>-282</v>
      </c>
      <c r="BF92" s="208">
        <v>-85488</v>
      </c>
      <c r="BG92" s="208">
        <v>0</v>
      </c>
      <c r="BH92" s="208">
        <v>-85488</v>
      </c>
      <c r="BI92" s="208">
        <v>-1976</v>
      </c>
      <c r="BJ92" s="208">
        <v>0</v>
      </c>
      <c r="BK92" s="208">
        <v>-1976</v>
      </c>
      <c r="BL92" s="208">
        <v>-9326420</v>
      </c>
      <c r="BM92" s="208">
        <v>0</v>
      </c>
      <c r="BN92" s="208">
        <v>-9326420</v>
      </c>
      <c r="BO92" s="208">
        <v>0</v>
      </c>
      <c r="BP92" s="208">
        <v>0</v>
      </c>
      <c r="BQ92" s="208">
        <v>0</v>
      </c>
      <c r="BR92" s="208">
        <v>0</v>
      </c>
      <c r="BS92" s="208">
        <v>0</v>
      </c>
      <c r="BT92" s="208">
        <v>0</v>
      </c>
      <c r="BU92" s="208">
        <v>-614928</v>
      </c>
      <c r="BV92" s="208">
        <v>0</v>
      </c>
      <c r="BW92" s="208">
        <v>-614928</v>
      </c>
      <c r="BX92" s="208">
        <v>-63759</v>
      </c>
      <c r="BY92" s="208">
        <v>0</v>
      </c>
      <c r="BZ92" s="208">
        <v>-63759</v>
      </c>
      <c r="CA92" s="208">
        <v>-678687</v>
      </c>
      <c r="CB92" s="208">
        <v>0</v>
      </c>
      <c r="CC92" s="208">
        <v>-678687</v>
      </c>
      <c r="CD92" s="208">
        <v>-79245</v>
      </c>
      <c r="CE92" s="208">
        <v>0</v>
      </c>
      <c r="CF92" s="208">
        <v>-79245</v>
      </c>
      <c r="CG92" s="208">
        <v>-9566</v>
      </c>
      <c r="CH92" s="208">
        <v>0</v>
      </c>
      <c r="CI92" s="208">
        <v>-9566</v>
      </c>
      <c r="CJ92" s="208">
        <v>-6432</v>
      </c>
      <c r="CK92" s="208">
        <v>0</v>
      </c>
      <c r="CL92" s="208">
        <v>-6432</v>
      </c>
      <c r="CM92" s="208">
        <v>-2796</v>
      </c>
      <c r="CN92" s="208">
        <v>0</v>
      </c>
      <c r="CO92" s="208">
        <v>-2796</v>
      </c>
      <c r="CP92" s="208">
        <v>-5924</v>
      </c>
      <c r="CQ92" s="208">
        <v>0</v>
      </c>
      <c r="CR92" s="208">
        <v>-5924</v>
      </c>
      <c r="CS92" s="208">
        <v>-46</v>
      </c>
      <c r="CT92" s="208">
        <v>0</v>
      </c>
      <c r="CU92" s="208">
        <v>-46</v>
      </c>
      <c r="CV92" s="208">
        <v>0</v>
      </c>
      <c r="CW92" s="208">
        <v>0</v>
      </c>
      <c r="CX92" s="208">
        <v>0</v>
      </c>
      <c r="CY92" s="208">
        <v>0</v>
      </c>
      <c r="CZ92" s="208">
        <v>0</v>
      </c>
      <c r="DA92" s="208">
        <v>0</v>
      </c>
      <c r="DB92" s="208">
        <v>0</v>
      </c>
      <c r="DC92" s="208">
        <v>0</v>
      </c>
      <c r="DD92" s="208">
        <v>0</v>
      </c>
      <c r="DE92" s="208">
        <v>0</v>
      </c>
      <c r="DF92" s="208">
        <v>0</v>
      </c>
      <c r="DG92" s="208">
        <v>0</v>
      </c>
      <c r="DH92" s="208">
        <v>0</v>
      </c>
      <c r="DI92" s="208">
        <v>0</v>
      </c>
      <c r="DJ92" s="208">
        <v>0</v>
      </c>
      <c r="DK92" s="208">
        <v>0</v>
      </c>
      <c r="DL92" s="208">
        <v>0</v>
      </c>
      <c r="DM92" s="208">
        <v>0</v>
      </c>
      <c r="DN92" s="208">
        <v>0</v>
      </c>
      <c r="DO92" s="208">
        <v>0</v>
      </c>
      <c r="DP92" s="208">
        <v>-104009</v>
      </c>
      <c r="DQ92" s="208">
        <v>0</v>
      </c>
      <c r="DR92" s="208">
        <v>-104009</v>
      </c>
      <c r="DS92" s="208">
        <v>0</v>
      </c>
      <c r="DT92" s="208">
        <v>0</v>
      </c>
      <c r="DU92" s="208">
        <v>0</v>
      </c>
      <c r="DV92" s="208">
        <v>0</v>
      </c>
      <c r="DW92" s="208">
        <v>0</v>
      </c>
      <c r="DX92" s="208">
        <v>0</v>
      </c>
      <c r="DY92" s="208">
        <v>3266</v>
      </c>
      <c r="DZ92" s="208">
        <v>0</v>
      </c>
      <c r="EA92" s="208">
        <v>3266</v>
      </c>
      <c r="EB92" s="208">
        <v>0</v>
      </c>
      <c r="EC92" s="208">
        <v>0</v>
      </c>
      <c r="ED92" s="208">
        <v>0</v>
      </c>
      <c r="EE92" s="208">
        <v>0</v>
      </c>
      <c r="EF92" s="208">
        <v>0</v>
      </c>
      <c r="EG92" s="208">
        <v>0</v>
      </c>
      <c r="EH92" s="208">
        <v>0</v>
      </c>
      <c r="EI92" s="208">
        <v>0</v>
      </c>
      <c r="EJ92" s="208">
        <v>0</v>
      </c>
      <c r="EK92" s="208">
        <v>-88375</v>
      </c>
      <c r="EL92" s="208">
        <v>0</v>
      </c>
      <c r="EM92" s="208">
        <v>-88375</v>
      </c>
      <c r="EN92" s="208">
        <v>-1672</v>
      </c>
      <c r="EO92" s="208">
        <v>0</v>
      </c>
      <c r="EP92" s="208">
        <v>-1672</v>
      </c>
      <c r="EQ92" s="208">
        <v>0</v>
      </c>
      <c r="ER92" s="208">
        <v>0</v>
      </c>
      <c r="ES92" s="208">
        <v>0</v>
      </c>
      <c r="ET92" s="208">
        <v>0</v>
      </c>
      <c r="EU92" s="208">
        <v>0</v>
      </c>
      <c r="EV92" s="208">
        <v>0</v>
      </c>
      <c r="EW92" s="208">
        <v>-65076</v>
      </c>
      <c r="EX92" s="208">
        <v>0</v>
      </c>
      <c r="EY92" s="208">
        <v>-65076</v>
      </c>
      <c r="EZ92" s="208">
        <v>2434</v>
      </c>
      <c r="FA92" s="208">
        <v>0</v>
      </c>
      <c r="FB92" s="208">
        <v>2434</v>
      </c>
      <c r="FC92" s="208">
        <v>-196718</v>
      </c>
      <c r="FD92" s="208">
        <v>0</v>
      </c>
      <c r="FE92" s="208">
        <v>-196718</v>
      </c>
      <c r="FF92" s="208">
        <v>-97739</v>
      </c>
      <c r="FG92" s="208">
        <v>0</v>
      </c>
      <c r="FH92" s="208">
        <v>-97739</v>
      </c>
      <c r="FI92" s="208">
        <v>-82737</v>
      </c>
      <c r="FJ92" s="208">
        <v>0</v>
      </c>
      <c r="FK92" s="208">
        <v>-82737</v>
      </c>
      <c r="FL92" s="208">
        <v>-625</v>
      </c>
      <c r="FM92" s="208">
        <v>0</v>
      </c>
      <c r="FN92" s="208">
        <v>-625</v>
      </c>
      <c r="FO92" s="208">
        <v>0</v>
      </c>
      <c r="FP92" s="208">
        <v>0</v>
      </c>
      <c r="FQ92" s="208">
        <v>0</v>
      </c>
      <c r="FR92" s="208">
        <v>0</v>
      </c>
      <c r="FS92" s="208">
        <v>0</v>
      </c>
      <c r="FT92" s="208">
        <v>0</v>
      </c>
      <c r="FU92" s="208">
        <v>-527242</v>
      </c>
      <c r="FV92" s="208">
        <v>0</v>
      </c>
      <c r="FW92" s="208">
        <v>-527242</v>
      </c>
      <c r="FX92" s="208">
        <v>0</v>
      </c>
      <c r="FY92" s="208">
        <v>0</v>
      </c>
      <c r="FZ92" s="208">
        <v>0</v>
      </c>
      <c r="GA92" s="208">
        <v>0</v>
      </c>
      <c r="GB92" s="208">
        <v>0</v>
      </c>
      <c r="GC92" s="208">
        <v>0</v>
      </c>
      <c r="GD92" s="208">
        <v>0</v>
      </c>
      <c r="GE92" s="208">
        <v>0</v>
      </c>
      <c r="GF92" s="208">
        <v>0</v>
      </c>
      <c r="GG92" s="208">
        <v>47292480</v>
      </c>
      <c r="GH92" s="208">
        <v>0</v>
      </c>
      <c r="GI92" s="208">
        <v>47292480</v>
      </c>
      <c r="GJ92" s="208">
        <v>-1095310</v>
      </c>
      <c r="GK92" s="208">
        <v>0</v>
      </c>
      <c r="GL92" s="208">
        <v>-1095310</v>
      </c>
      <c r="GM92" s="208">
        <v>-9326420</v>
      </c>
      <c r="GN92" s="208">
        <v>0</v>
      </c>
      <c r="GO92" s="208">
        <v>-9326420</v>
      </c>
      <c r="GP92" s="208">
        <v>-678687</v>
      </c>
      <c r="GQ92" s="208">
        <v>0</v>
      </c>
      <c r="GR92" s="208">
        <v>-678687</v>
      </c>
      <c r="GS92" s="208">
        <v>-104009</v>
      </c>
      <c r="GT92" s="208">
        <v>0</v>
      </c>
      <c r="GU92" s="208">
        <v>-104009</v>
      </c>
      <c r="GV92" s="208">
        <v>-527242</v>
      </c>
      <c r="GW92" s="208">
        <v>0</v>
      </c>
      <c r="GX92" s="208">
        <v>-527242</v>
      </c>
      <c r="GY92" s="208">
        <v>0</v>
      </c>
      <c r="GZ92" s="208">
        <v>0</v>
      </c>
      <c r="HA92" s="208">
        <v>0</v>
      </c>
      <c r="HB92" s="208">
        <v>-11731668</v>
      </c>
      <c r="HC92" s="208">
        <v>0</v>
      </c>
      <c r="HD92" s="208">
        <v>-11731668</v>
      </c>
      <c r="HE92" s="208">
        <v>35560812</v>
      </c>
      <c r="HF92" s="208">
        <v>0</v>
      </c>
      <c r="HG92" s="208">
        <v>35560812</v>
      </c>
      <c r="HH92" s="187" t="s">
        <v>1054</v>
      </c>
    </row>
    <row r="93" spans="1:216" s="187" customFormat="1" x14ac:dyDescent="0.2">
      <c r="A93" s="187" t="s">
        <v>1811</v>
      </c>
      <c r="B93" s="429" t="s">
        <v>265</v>
      </c>
      <c r="C93" s="429" t="s">
        <v>264</v>
      </c>
      <c r="D93" s="208">
        <v>-292865</v>
      </c>
      <c r="E93" s="208">
        <v>0</v>
      </c>
      <c r="F93" s="208">
        <v>-292865</v>
      </c>
      <c r="G93" s="208">
        <v>-11168</v>
      </c>
      <c r="H93" s="208">
        <v>0</v>
      </c>
      <c r="I93" s="208">
        <v>-11168</v>
      </c>
      <c r="J93" s="208">
        <v>550187</v>
      </c>
      <c r="K93" s="208">
        <v>0</v>
      </c>
      <c r="L93" s="208">
        <v>550187</v>
      </c>
      <c r="M93" s="208">
        <v>18178</v>
      </c>
      <c r="N93" s="208">
        <v>0</v>
      </c>
      <c r="O93" s="208">
        <v>18178</v>
      </c>
      <c r="P93" s="208">
        <v>264332</v>
      </c>
      <c r="Q93" s="208">
        <v>0</v>
      </c>
      <c r="R93" s="208">
        <v>264332</v>
      </c>
      <c r="S93" s="208">
        <v>-3023560</v>
      </c>
      <c r="T93" s="208">
        <v>0</v>
      </c>
      <c r="U93" s="208">
        <v>-3023560</v>
      </c>
      <c r="V93" s="208">
        <v>-7480</v>
      </c>
      <c r="W93" s="208">
        <v>0</v>
      </c>
      <c r="X93" s="208">
        <v>-7480</v>
      </c>
      <c r="Y93" s="208">
        <v>-78873</v>
      </c>
      <c r="Z93" s="208">
        <v>0</v>
      </c>
      <c r="AA93" s="208">
        <v>-78873</v>
      </c>
      <c r="AB93" s="208">
        <v>-15968</v>
      </c>
      <c r="AC93" s="208">
        <v>0</v>
      </c>
      <c r="AD93" s="208">
        <v>-15968</v>
      </c>
      <c r="AE93" s="208">
        <v>-62701</v>
      </c>
      <c r="AF93" s="208">
        <v>0</v>
      </c>
      <c r="AG93" s="208">
        <v>-62701</v>
      </c>
      <c r="AH93" s="208">
        <v>0</v>
      </c>
      <c r="AI93" s="208">
        <v>0</v>
      </c>
      <c r="AJ93" s="208">
        <v>0</v>
      </c>
      <c r="AK93" s="208">
        <v>-204</v>
      </c>
      <c r="AL93" s="208">
        <v>0</v>
      </c>
      <c r="AM93" s="208">
        <v>-204</v>
      </c>
      <c r="AN93" s="208">
        <v>786773</v>
      </c>
      <c r="AO93" s="208">
        <v>0</v>
      </c>
      <c r="AP93" s="208">
        <v>786773</v>
      </c>
      <c r="AQ93" s="208">
        <v>-3117</v>
      </c>
      <c r="AR93" s="208">
        <v>0</v>
      </c>
      <c r="AS93" s="208">
        <v>-3117</v>
      </c>
      <c r="AT93" s="208">
        <v>-1990591</v>
      </c>
      <c r="AU93" s="208">
        <v>0</v>
      </c>
      <c r="AV93" s="208">
        <v>-1990591</v>
      </c>
      <c r="AW93" s="208">
        <v>7828</v>
      </c>
      <c r="AX93" s="208">
        <v>0</v>
      </c>
      <c r="AY93" s="208">
        <v>7828</v>
      </c>
      <c r="AZ93" s="208">
        <v>-51099</v>
      </c>
      <c r="BA93" s="208">
        <v>0</v>
      </c>
      <c r="BB93" s="208">
        <v>-51099</v>
      </c>
      <c r="BC93" s="208">
        <v>0</v>
      </c>
      <c r="BD93" s="208">
        <v>0</v>
      </c>
      <c r="BE93" s="208">
        <v>0</v>
      </c>
      <c r="BF93" s="208">
        <v>-25144</v>
      </c>
      <c r="BG93" s="208">
        <v>0</v>
      </c>
      <c r="BH93" s="208">
        <v>-25144</v>
      </c>
      <c r="BI93" s="208">
        <v>75</v>
      </c>
      <c r="BJ93" s="208">
        <v>0</v>
      </c>
      <c r="BK93" s="208">
        <v>75</v>
      </c>
      <c r="BL93" s="208">
        <v>-4377708</v>
      </c>
      <c r="BM93" s="208">
        <v>0</v>
      </c>
      <c r="BN93" s="208">
        <v>-4377708</v>
      </c>
      <c r="BO93" s="208">
        <v>0</v>
      </c>
      <c r="BP93" s="208">
        <v>0</v>
      </c>
      <c r="BQ93" s="208">
        <v>0</v>
      </c>
      <c r="BR93" s="208">
        <v>0</v>
      </c>
      <c r="BS93" s="208">
        <v>0</v>
      </c>
      <c r="BT93" s="208">
        <v>0</v>
      </c>
      <c r="BU93" s="208">
        <v>-474597</v>
      </c>
      <c r="BV93" s="208">
        <v>0</v>
      </c>
      <c r="BW93" s="208">
        <v>-474597</v>
      </c>
      <c r="BX93" s="208">
        <v>-4286</v>
      </c>
      <c r="BY93" s="208">
        <v>0</v>
      </c>
      <c r="BZ93" s="208">
        <v>-4286</v>
      </c>
      <c r="CA93" s="208">
        <v>-478883</v>
      </c>
      <c r="CB93" s="208">
        <v>0</v>
      </c>
      <c r="CC93" s="208">
        <v>-478883</v>
      </c>
      <c r="CD93" s="208">
        <v>-81965</v>
      </c>
      <c r="CE93" s="208">
        <v>0</v>
      </c>
      <c r="CF93" s="208">
        <v>-81965</v>
      </c>
      <c r="CG93" s="208">
        <v>-73</v>
      </c>
      <c r="CH93" s="208">
        <v>0</v>
      </c>
      <c r="CI93" s="208">
        <v>-73</v>
      </c>
      <c r="CJ93" s="208">
        <v>-61383</v>
      </c>
      <c r="CK93" s="208">
        <v>0</v>
      </c>
      <c r="CL93" s="208">
        <v>-61383</v>
      </c>
      <c r="CM93" s="208">
        <v>0</v>
      </c>
      <c r="CN93" s="208">
        <v>0</v>
      </c>
      <c r="CO93" s="208">
        <v>0</v>
      </c>
      <c r="CP93" s="208">
        <v>-9472</v>
      </c>
      <c r="CQ93" s="208">
        <v>0</v>
      </c>
      <c r="CR93" s="208">
        <v>-9472</v>
      </c>
      <c r="CS93" s="208">
        <v>-1358</v>
      </c>
      <c r="CT93" s="208">
        <v>0</v>
      </c>
      <c r="CU93" s="208">
        <v>-1358</v>
      </c>
      <c r="CV93" s="208">
        <v>0</v>
      </c>
      <c r="CW93" s="208">
        <v>0</v>
      </c>
      <c r="CX93" s="208">
        <v>0</v>
      </c>
      <c r="CY93" s="208">
        <v>0</v>
      </c>
      <c r="CZ93" s="208">
        <v>0</v>
      </c>
      <c r="DA93" s="208">
        <v>0</v>
      </c>
      <c r="DB93" s="208">
        <v>-39773</v>
      </c>
      <c r="DC93" s="208">
        <v>0</v>
      </c>
      <c r="DD93" s="208">
        <v>-39773</v>
      </c>
      <c r="DE93" s="208">
        <v>0</v>
      </c>
      <c r="DF93" s="208">
        <v>0</v>
      </c>
      <c r="DG93" s="208">
        <v>0</v>
      </c>
      <c r="DH93" s="208">
        <v>0</v>
      </c>
      <c r="DI93" s="208">
        <v>0</v>
      </c>
      <c r="DJ93" s="208">
        <v>0</v>
      </c>
      <c r="DK93" s="208">
        <v>0</v>
      </c>
      <c r="DL93" s="208">
        <v>0</v>
      </c>
      <c r="DM93" s="208">
        <v>0</v>
      </c>
      <c r="DN93" s="208">
        <v>0</v>
      </c>
      <c r="DO93" s="208">
        <v>0</v>
      </c>
      <c r="DP93" s="208">
        <v>-194024</v>
      </c>
      <c r="DQ93" s="208">
        <v>0</v>
      </c>
      <c r="DR93" s="208">
        <v>-194024</v>
      </c>
      <c r="DS93" s="208">
        <v>0</v>
      </c>
      <c r="DT93" s="208">
        <v>0</v>
      </c>
      <c r="DU93" s="208">
        <v>0</v>
      </c>
      <c r="DV93" s="208">
        <v>0</v>
      </c>
      <c r="DW93" s="208">
        <v>0</v>
      </c>
      <c r="DX93" s="208">
        <v>0</v>
      </c>
      <c r="DY93" s="208">
        <v>0</v>
      </c>
      <c r="DZ93" s="208">
        <v>0</v>
      </c>
      <c r="EA93" s="208">
        <v>0</v>
      </c>
      <c r="EB93" s="208">
        <v>0</v>
      </c>
      <c r="EC93" s="208">
        <v>0</v>
      </c>
      <c r="ED93" s="208">
        <v>0</v>
      </c>
      <c r="EE93" s="208">
        <v>0</v>
      </c>
      <c r="EF93" s="208">
        <v>0</v>
      </c>
      <c r="EG93" s="208">
        <v>0</v>
      </c>
      <c r="EH93" s="208">
        <v>0</v>
      </c>
      <c r="EI93" s="208">
        <v>0</v>
      </c>
      <c r="EJ93" s="208">
        <v>0</v>
      </c>
      <c r="EK93" s="208">
        <v>-25144</v>
      </c>
      <c r="EL93" s="208">
        <v>0</v>
      </c>
      <c r="EM93" s="208">
        <v>-25144</v>
      </c>
      <c r="EN93" s="208">
        <v>75</v>
      </c>
      <c r="EO93" s="208">
        <v>0</v>
      </c>
      <c r="EP93" s="208">
        <v>75</v>
      </c>
      <c r="EQ93" s="208">
        <v>0</v>
      </c>
      <c r="ER93" s="208">
        <v>0</v>
      </c>
      <c r="ES93" s="208">
        <v>0</v>
      </c>
      <c r="ET93" s="208">
        <v>0</v>
      </c>
      <c r="EU93" s="208">
        <v>0</v>
      </c>
      <c r="EV93" s="208">
        <v>0</v>
      </c>
      <c r="EW93" s="208">
        <v>-6841</v>
      </c>
      <c r="EX93" s="208">
        <v>0</v>
      </c>
      <c r="EY93" s="208">
        <v>-6841</v>
      </c>
      <c r="EZ93" s="208">
        <v>-970</v>
      </c>
      <c r="FA93" s="208">
        <v>0</v>
      </c>
      <c r="FB93" s="208">
        <v>-970</v>
      </c>
      <c r="FC93" s="208">
        <v>-36325</v>
      </c>
      <c r="FD93" s="208">
        <v>0</v>
      </c>
      <c r="FE93" s="208">
        <v>-36325</v>
      </c>
      <c r="FF93" s="208">
        <v>0</v>
      </c>
      <c r="FG93" s="208">
        <v>0</v>
      </c>
      <c r="FH93" s="208">
        <v>0</v>
      </c>
      <c r="FI93" s="208">
        <v>-40321</v>
      </c>
      <c r="FJ93" s="208">
        <v>0</v>
      </c>
      <c r="FK93" s="208">
        <v>-40321</v>
      </c>
      <c r="FL93" s="208">
        <v>452</v>
      </c>
      <c r="FM93" s="208">
        <v>0</v>
      </c>
      <c r="FN93" s="208">
        <v>452</v>
      </c>
      <c r="FO93" s="208">
        <v>0</v>
      </c>
      <c r="FP93" s="208">
        <v>0</v>
      </c>
      <c r="FQ93" s="208">
        <v>0</v>
      </c>
      <c r="FR93" s="208">
        <v>0</v>
      </c>
      <c r="FS93" s="208">
        <v>0</v>
      </c>
      <c r="FT93" s="208">
        <v>0</v>
      </c>
      <c r="FU93" s="208">
        <v>-109074</v>
      </c>
      <c r="FV93" s="208">
        <v>0</v>
      </c>
      <c r="FW93" s="208">
        <v>-109074</v>
      </c>
      <c r="FX93" s="208">
        <v>0</v>
      </c>
      <c r="FY93" s="208">
        <v>0</v>
      </c>
      <c r="FZ93" s="208">
        <v>0</v>
      </c>
      <c r="GA93" s="208">
        <v>0</v>
      </c>
      <c r="GB93" s="208">
        <v>0</v>
      </c>
      <c r="GC93" s="208">
        <v>0</v>
      </c>
      <c r="GD93" s="208">
        <v>0</v>
      </c>
      <c r="GE93" s="208">
        <v>0</v>
      </c>
      <c r="GF93" s="208">
        <v>0</v>
      </c>
      <c r="GG93" s="208">
        <v>37887189</v>
      </c>
      <c r="GH93" s="208">
        <v>0</v>
      </c>
      <c r="GI93" s="208">
        <v>37887189</v>
      </c>
      <c r="GJ93" s="208">
        <v>264332</v>
      </c>
      <c r="GK93" s="208">
        <v>0</v>
      </c>
      <c r="GL93" s="208">
        <v>264332</v>
      </c>
      <c r="GM93" s="208">
        <v>-4377708</v>
      </c>
      <c r="GN93" s="208">
        <v>0</v>
      </c>
      <c r="GO93" s="208">
        <v>-4377708</v>
      </c>
      <c r="GP93" s="208">
        <v>-478883</v>
      </c>
      <c r="GQ93" s="208">
        <v>0</v>
      </c>
      <c r="GR93" s="208">
        <v>-478883</v>
      </c>
      <c r="GS93" s="208">
        <v>-194024</v>
      </c>
      <c r="GT93" s="208">
        <v>0</v>
      </c>
      <c r="GU93" s="208">
        <v>-194024</v>
      </c>
      <c r="GV93" s="208">
        <v>-109074</v>
      </c>
      <c r="GW93" s="208">
        <v>0</v>
      </c>
      <c r="GX93" s="208">
        <v>-109074</v>
      </c>
      <c r="GY93" s="208">
        <v>0</v>
      </c>
      <c r="GZ93" s="208">
        <v>0</v>
      </c>
      <c r="HA93" s="208">
        <v>0</v>
      </c>
      <c r="HB93" s="208">
        <v>-4895357</v>
      </c>
      <c r="HC93" s="208">
        <v>0</v>
      </c>
      <c r="HD93" s="208">
        <v>-4895357</v>
      </c>
      <c r="HE93" s="208">
        <v>32991832</v>
      </c>
      <c r="HF93" s="208">
        <v>0</v>
      </c>
      <c r="HG93" s="208">
        <v>32991832</v>
      </c>
      <c r="HH93" s="187" t="s">
        <v>1054</v>
      </c>
    </row>
    <row r="94" spans="1:216" s="187" customFormat="1" x14ac:dyDescent="0.2">
      <c r="B94" s="429" t="s">
        <v>267</v>
      </c>
      <c r="C94" s="429" t="s">
        <v>266</v>
      </c>
      <c r="D94" s="208">
        <v>-2217544</v>
      </c>
      <c r="E94" s="208">
        <v>0</v>
      </c>
      <c r="F94" s="208">
        <v>-2217544</v>
      </c>
      <c r="G94" s="208">
        <v>19860</v>
      </c>
      <c r="H94" s="208">
        <v>0</v>
      </c>
      <c r="I94" s="208">
        <v>19860</v>
      </c>
      <c r="J94" s="208">
        <v>9847635</v>
      </c>
      <c r="K94" s="208">
        <v>0</v>
      </c>
      <c r="L94" s="208">
        <v>9847635</v>
      </c>
      <c r="M94" s="208">
        <v>-64921</v>
      </c>
      <c r="N94" s="208">
        <v>0</v>
      </c>
      <c r="O94" s="208">
        <v>-64921</v>
      </c>
      <c r="P94" s="208">
        <v>7585030</v>
      </c>
      <c r="Q94" s="208">
        <v>0</v>
      </c>
      <c r="R94" s="208">
        <v>7585030</v>
      </c>
      <c r="S94" s="208">
        <v>-12675185</v>
      </c>
      <c r="T94" s="208">
        <v>0</v>
      </c>
      <c r="U94" s="208">
        <v>-12675185</v>
      </c>
      <c r="V94" s="208">
        <v>-20864</v>
      </c>
      <c r="W94" s="208">
        <v>0</v>
      </c>
      <c r="X94" s="208">
        <v>-20864</v>
      </c>
      <c r="Y94" s="208">
        <v>-314950</v>
      </c>
      <c r="Z94" s="208">
        <v>0</v>
      </c>
      <c r="AA94" s="208">
        <v>-314950</v>
      </c>
      <c r="AB94" s="208">
        <v>-102487</v>
      </c>
      <c r="AC94" s="208">
        <v>0</v>
      </c>
      <c r="AD94" s="208">
        <v>-102487</v>
      </c>
      <c r="AE94" s="208">
        <v>-212463</v>
      </c>
      <c r="AF94" s="208">
        <v>0</v>
      </c>
      <c r="AG94" s="208">
        <v>-212463</v>
      </c>
      <c r="AH94" s="208">
        <v>2162</v>
      </c>
      <c r="AI94" s="208">
        <v>0</v>
      </c>
      <c r="AJ94" s="208">
        <v>2162</v>
      </c>
      <c r="AK94" s="208">
        <v>963</v>
      </c>
      <c r="AL94" s="208">
        <v>0</v>
      </c>
      <c r="AM94" s="208">
        <v>963</v>
      </c>
      <c r="AN94" s="208">
        <v>2209677</v>
      </c>
      <c r="AO94" s="208">
        <v>2821</v>
      </c>
      <c r="AP94" s="208">
        <v>2212498</v>
      </c>
      <c r="AQ94" s="208">
        <v>19763</v>
      </c>
      <c r="AR94" s="208">
        <v>0</v>
      </c>
      <c r="AS94" s="208">
        <v>19763</v>
      </c>
      <c r="AT94" s="208">
        <v>-4389997</v>
      </c>
      <c r="AU94" s="208">
        <v>0</v>
      </c>
      <c r="AV94" s="208">
        <v>-4389997</v>
      </c>
      <c r="AW94" s="208">
        <v>68519</v>
      </c>
      <c r="AX94" s="208">
        <v>0</v>
      </c>
      <c r="AY94" s="208">
        <v>68519</v>
      </c>
      <c r="AZ94" s="208">
        <v>-88545</v>
      </c>
      <c r="BA94" s="208">
        <v>0</v>
      </c>
      <c r="BB94" s="208">
        <v>-88545</v>
      </c>
      <c r="BC94" s="208">
        <v>-34541</v>
      </c>
      <c r="BD94" s="208">
        <v>0</v>
      </c>
      <c r="BE94" s="208">
        <v>-34541</v>
      </c>
      <c r="BF94" s="208">
        <v>-59065</v>
      </c>
      <c r="BG94" s="208">
        <v>0</v>
      </c>
      <c r="BH94" s="208">
        <v>-59065</v>
      </c>
      <c r="BI94" s="208">
        <v>366</v>
      </c>
      <c r="BJ94" s="208">
        <v>0</v>
      </c>
      <c r="BK94" s="208">
        <v>366</v>
      </c>
      <c r="BL94" s="208">
        <v>-15263958</v>
      </c>
      <c r="BM94" s="208">
        <v>2821</v>
      </c>
      <c r="BN94" s="208">
        <v>-15261137</v>
      </c>
      <c r="BO94" s="208">
        <v>0</v>
      </c>
      <c r="BP94" s="208">
        <v>0</v>
      </c>
      <c r="BQ94" s="208">
        <v>0</v>
      </c>
      <c r="BR94" s="208">
        <v>0</v>
      </c>
      <c r="BS94" s="208">
        <v>0</v>
      </c>
      <c r="BT94" s="208">
        <v>0</v>
      </c>
      <c r="BU94" s="208">
        <v>-2182864</v>
      </c>
      <c r="BV94" s="208">
        <v>0</v>
      </c>
      <c r="BW94" s="208">
        <v>-2182864</v>
      </c>
      <c r="BX94" s="208">
        <v>-187652</v>
      </c>
      <c r="BY94" s="208">
        <v>0</v>
      </c>
      <c r="BZ94" s="208">
        <v>-187652</v>
      </c>
      <c r="CA94" s="208">
        <v>-2370516</v>
      </c>
      <c r="CB94" s="208">
        <v>0</v>
      </c>
      <c r="CC94" s="208">
        <v>-2370516</v>
      </c>
      <c r="CD94" s="208">
        <v>-121215</v>
      </c>
      <c r="CE94" s="208">
        <v>0</v>
      </c>
      <c r="CF94" s="208">
        <v>-121215</v>
      </c>
      <c r="CG94" s="208">
        <v>100</v>
      </c>
      <c r="CH94" s="208">
        <v>0</v>
      </c>
      <c r="CI94" s="208">
        <v>100</v>
      </c>
      <c r="CJ94" s="208">
        <v>-434233</v>
      </c>
      <c r="CK94" s="208">
        <v>0</v>
      </c>
      <c r="CL94" s="208">
        <v>-434233</v>
      </c>
      <c r="CM94" s="208">
        <v>-19072</v>
      </c>
      <c r="CN94" s="208">
        <v>0</v>
      </c>
      <c r="CO94" s="208">
        <v>-19072</v>
      </c>
      <c r="CP94" s="208">
        <v>-20893</v>
      </c>
      <c r="CQ94" s="208">
        <v>0</v>
      </c>
      <c r="CR94" s="208">
        <v>-20893</v>
      </c>
      <c r="CS94" s="208">
        <v>-2762</v>
      </c>
      <c r="CT94" s="208">
        <v>0</v>
      </c>
      <c r="CU94" s="208">
        <v>-2762</v>
      </c>
      <c r="CV94" s="208">
        <v>0</v>
      </c>
      <c r="CW94" s="208">
        <v>0</v>
      </c>
      <c r="CX94" s="208">
        <v>0</v>
      </c>
      <c r="CY94" s="208">
        <v>0</v>
      </c>
      <c r="CZ94" s="208">
        <v>0</v>
      </c>
      <c r="DA94" s="208">
        <v>0</v>
      </c>
      <c r="DB94" s="208">
        <v>-27035</v>
      </c>
      <c r="DC94" s="208">
        <v>0</v>
      </c>
      <c r="DD94" s="208">
        <v>-27035</v>
      </c>
      <c r="DE94" s="208">
        <v>731</v>
      </c>
      <c r="DF94" s="208">
        <v>0</v>
      </c>
      <c r="DG94" s="208">
        <v>731</v>
      </c>
      <c r="DH94" s="208">
        <v>-92215</v>
      </c>
      <c r="DI94" s="208">
        <v>0</v>
      </c>
      <c r="DJ94" s="208">
        <v>-92215</v>
      </c>
      <c r="DK94" s="208">
        <v>-48917</v>
      </c>
      <c r="DL94" s="208">
        <v>0</v>
      </c>
      <c r="DM94" s="208">
        <v>-48917</v>
      </c>
      <c r="DN94" s="208">
        <v>0</v>
      </c>
      <c r="DO94" s="208">
        <v>-141132</v>
      </c>
      <c r="DP94" s="208">
        <v>-765511</v>
      </c>
      <c r="DQ94" s="208">
        <v>0</v>
      </c>
      <c r="DR94" s="208">
        <v>-765511</v>
      </c>
      <c r="DS94" s="208">
        <v>0</v>
      </c>
      <c r="DT94" s="208">
        <v>0</v>
      </c>
      <c r="DU94" s="208">
        <v>0</v>
      </c>
      <c r="DV94" s="208">
        <v>0</v>
      </c>
      <c r="DW94" s="208">
        <v>0</v>
      </c>
      <c r="DX94" s="208">
        <v>0</v>
      </c>
      <c r="DY94" s="208">
        <v>3058</v>
      </c>
      <c r="DZ94" s="208">
        <v>0</v>
      </c>
      <c r="EA94" s="208">
        <v>3058</v>
      </c>
      <c r="EB94" s="208">
        <v>0</v>
      </c>
      <c r="EC94" s="208">
        <v>0</v>
      </c>
      <c r="ED94" s="208">
        <v>0</v>
      </c>
      <c r="EE94" s="208">
        <v>0</v>
      </c>
      <c r="EF94" s="208">
        <v>0</v>
      </c>
      <c r="EG94" s="208">
        <v>0</v>
      </c>
      <c r="EH94" s="208">
        <v>0</v>
      </c>
      <c r="EI94" s="208">
        <v>0</v>
      </c>
      <c r="EJ94" s="208">
        <v>0</v>
      </c>
      <c r="EK94" s="208">
        <v>-59065</v>
      </c>
      <c r="EL94" s="208">
        <v>0</v>
      </c>
      <c r="EM94" s="208">
        <v>-59065</v>
      </c>
      <c r="EN94" s="208">
        <v>366</v>
      </c>
      <c r="EO94" s="208">
        <v>0</v>
      </c>
      <c r="EP94" s="208">
        <v>366</v>
      </c>
      <c r="EQ94" s="208">
        <v>-3000</v>
      </c>
      <c r="ER94" s="208">
        <v>0</v>
      </c>
      <c r="ES94" s="208">
        <v>-3000</v>
      </c>
      <c r="ET94" s="208">
        <v>-1500</v>
      </c>
      <c r="EU94" s="208">
        <v>0</v>
      </c>
      <c r="EV94" s="208">
        <v>-1500</v>
      </c>
      <c r="EW94" s="208">
        <v>-152745</v>
      </c>
      <c r="EX94" s="208">
        <v>0</v>
      </c>
      <c r="EY94" s="208">
        <v>-152745</v>
      </c>
      <c r="EZ94" s="208">
        <v>-2905</v>
      </c>
      <c r="FA94" s="208">
        <v>0</v>
      </c>
      <c r="FB94" s="208">
        <v>-2905</v>
      </c>
      <c r="FC94" s="208">
        <v>-267589</v>
      </c>
      <c r="FD94" s="208">
        <v>0</v>
      </c>
      <c r="FE94" s="208">
        <v>-267589</v>
      </c>
      <c r="FF94" s="208">
        <v>0</v>
      </c>
      <c r="FG94" s="208">
        <v>0</v>
      </c>
      <c r="FH94" s="208">
        <v>0</v>
      </c>
      <c r="FI94" s="208">
        <v>-165513</v>
      </c>
      <c r="FJ94" s="208">
        <v>0</v>
      </c>
      <c r="FK94" s="208">
        <v>-165513</v>
      </c>
      <c r="FL94" s="208">
        <v>-11175</v>
      </c>
      <c r="FM94" s="208">
        <v>0</v>
      </c>
      <c r="FN94" s="208">
        <v>-11175</v>
      </c>
      <c r="FO94" s="208">
        <v>0</v>
      </c>
      <c r="FP94" s="208">
        <v>0</v>
      </c>
      <c r="FQ94" s="208">
        <v>0</v>
      </c>
      <c r="FR94" s="208">
        <v>0</v>
      </c>
      <c r="FS94" s="208">
        <v>0</v>
      </c>
      <c r="FT94" s="208">
        <v>0</v>
      </c>
      <c r="FU94" s="208">
        <v>-660068</v>
      </c>
      <c r="FV94" s="208">
        <v>0</v>
      </c>
      <c r="FW94" s="208">
        <v>-660068</v>
      </c>
      <c r="FX94" s="208">
        <v>0</v>
      </c>
      <c r="FY94" s="208">
        <v>0</v>
      </c>
      <c r="FZ94" s="208">
        <v>0</v>
      </c>
      <c r="GA94" s="208">
        <v>0</v>
      </c>
      <c r="GB94" s="208">
        <v>0</v>
      </c>
      <c r="GC94" s="208">
        <v>0</v>
      </c>
      <c r="GD94" s="208">
        <v>0</v>
      </c>
      <c r="GE94" s="208">
        <v>0</v>
      </c>
      <c r="GF94" s="208">
        <v>0</v>
      </c>
      <c r="GG94" s="208">
        <v>121051615</v>
      </c>
      <c r="GH94" s="208">
        <v>104160</v>
      </c>
      <c r="GI94" s="208">
        <v>121155775</v>
      </c>
      <c r="GJ94" s="208">
        <v>7585030</v>
      </c>
      <c r="GK94" s="208">
        <v>0</v>
      </c>
      <c r="GL94" s="208">
        <v>7585030</v>
      </c>
      <c r="GM94" s="208">
        <v>-15263958</v>
      </c>
      <c r="GN94" s="208">
        <v>2821</v>
      </c>
      <c r="GO94" s="208">
        <v>-15261137</v>
      </c>
      <c r="GP94" s="208">
        <v>-2370516</v>
      </c>
      <c r="GQ94" s="208">
        <v>0</v>
      </c>
      <c r="GR94" s="208">
        <v>-2370516</v>
      </c>
      <c r="GS94" s="208">
        <v>-765511</v>
      </c>
      <c r="GT94" s="208">
        <v>0</v>
      </c>
      <c r="GU94" s="208">
        <v>-765511</v>
      </c>
      <c r="GV94" s="208">
        <v>-660068</v>
      </c>
      <c r="GW94" s="208">
        <v>0</v>
      </c>
      <c r="GX94" s="208">
        <v>-660068</v>
      </c>
      <c r="GY94" s="208">
        <v>0</v>
      </c>
      <c r="GZ94" s="208">
        <v>0</v>
      </c>
      <c r="HA94" s="208">
        <v>0</v>
      </c>
      <c r="HB94" s="208">
        <v>-11475023</v>
      </c>
      <c r="HC94" s="208">
        <v>2821</v>
      </c>
      <c r="HD94" s="208">
        <v>-11472202</v>
      </c>
      <c r="HE94" s="208">
        <v>109576592</v>
      </c>
      <c r="HF94" s="208">
        <v>106981</v>
      </c>
      <c r="HG94" s="208">
        <v>109683573</v>
      </c>
      <c r="HH94" s="187" t="s">
        <v>742</v>
      </c>
    </row>
    <row r="95" spans="1:216" s="187" customFormat="1" x14ac:dyDescent="0.2">
      <c r="B95" s="429" t="s">
        <v>269</v>
      </c>
      <c r="C95" s="429" t="s">
        <v>268</v>
      </c>
      <c r="D95" s="208">
        <v>-1269842</v>
      </c>
      <c r="E95" s="208">
        <v>0</v>
      </c>
      <c r="F95" s="208">
        <v>-1269842</v>
      </c>
      <c r="G95" s="208">
        <v>79209</v>
      </c>
      <c r="H95" s="208">
        <v>0</v>
      </c>
      <c r="I95" s="208">
        <v>79209</v>
      </c>
      <c r="J95" s="208">
        <v>1885107</v>
      </c>
      <c r="K95" s="208">
        <v>0</v>
      </c>
      <c r="L95" s="208">
        <v>1885107</v>
      </c>
      <c r="M95" s="208">
        <v>180661</v>
      </c>
      <c r="N95" s="208">
        <v>0</v>
      </c>
      <c r="O95" s="208">
        <v>180661</v>
      </c>
      <c r="P95" s="208">
        <v>875135</v>
      </c>
      <c r="Q95" s="208">
        <v>0</v>
      </c>
      <c r="R95" s="208">
        <v>875135</v>
      </c>
      <c r="S95" s="208">
        <v>-4251652</v>
      </c>
      <c r="T95" s="208">
        <v>0</v>
      </c>
      <c r="U95" s="208">
        <v>-4251652</v>
      </c>
      <c r="V95" s="208">
        <v>0</v>
      </c>
      <c r="W95" s="208">
        <v>0</v>
      </c>
      <c r="X95" s="208">
        <v>0</v>
      </c>
      <c r="Y95" s="208">
        <v>-94691</v>
      </c>
      <c r="Z95" s="208">
        <v>0</v>
      </c>
      <c r="AA95" s="208">
        <v>-94691</v>
      </c>
      <c r="AB95" s="208">
        <v>-2422</v>
      </c>
      <c r="AC95" s="208">
        <v>0</v>
      </c>
      <c r="AD95" s="208">
        <v>-2422</v>
      </c>
      <c r="AE95" s="208">
        <v>-91802</v>
      </c>
      <c r="AF95" s="208">
        <v>0</v>
      </c>
      <c r="AG95" s="208">
        <v>-91802</v>
      </c>
      <c r="AH95" s="208">
        <v>0</v>
      </c>
      <c r="AI95" s="208">
        <v>0</v>
      </c>
      <c r="AJ95" s="208">
        <v>0</v>
      </c>
      <c r="AK95" s="208">
        <v>0</v>
      </c>
      <c r="AL95" s="208">
        <v>0</v>
      </c>
      <c r="AM95" s="208">
        <v>0</v>
      </c>
      <c r="AN95" s="208">
        <v>1348347</v>
      </c>
      <c r="AO95" s="208">
        <v>0</v>
      </c>
      <c r="AP95" s="208">
        <v>1348347</v>
      </c>
      <c r="AQ95" s="208">
        <v>-55018</v>
      </c>
      <c r="AR95" s="208">
        <v>0</v>
      </c>
      <c r="AS95" s="208">
        <v>-55018</v>
      </c>
      <c r="AT95" s="208">
        <v>-2707002</v>
      </c>
      <c r="AU95" s="208">
        <v>0</v>
      </c>
      <c r="AV95" s="208">
        <v>-2707002</v>
      </c>
      <c r="AW95" s="208">
        <v>-8875</v>
      </c>
      <c r="AX95" s="208">
        <v>0</v>
      </c>
      <c r="AY95" s="208">
        <v>-8875</v>
      </c>
      <c r="AZ95" s="208">
        <v>-41015</v>
      </c>
      <c r="BA95" s="208">
        <v>0</v>
      </c>
      <c r="BB95" s="208">
        <v>-41015</v>
      </c>
      <c r="BC95" s="208">
        <v>0</v>
      </c>
      <c r="BD95" s="208">
        <v>0</v>
      </c>
      <c r="BE95" s="208">
        <v>0</v>
      </c>
      <c r="BF95" s="208">
        <v>-2664</v>
      </c>
      <c r="BG95" s="208">
        <v>0</v>
      </c>
      <c r="BH95" s="208">
        <v>-2664</v>
      </c>
      <c r="BI95" s="208">
        <v>0</v>
      </c>
      <c r="BJ95" s="208">
        <v>0</v>
      </c>
      <c r="BK95" s="208">
        <v>0</v>
      </c>
      <c r="BL95" s="208">
        <v>-5812570</v>
      </c>
      <c r="BM95" s="208">
        <v>0</v>
      </c>
      <c r="BN95" s="208">
        <v>-5812570</v>
      </c>
      <c r="BO95" s="208">
        <v>-169536</v>
      </c>
      <c r="BP95" s="208">
        <v>0</v>
      </c>
      <c r="BQ95" s="208">
        <v>-169536</v>
      </c>
      <c r="BR95" s="208">
        <v>-243593</v>
      </c>
      <c r="BS95" s="208">
        <v>0</v>
      </c>
      <c r="BT95" s="208">
        <v>-243593</v>
      </c>
      <c r="BU95" s="208">
        <v>-1918556</v>
      </c>
      <c r="BV95" s="208">
        <v>0</v>
      </c>
      <c r="BW95" s="208">
        <v>-1918556</v>
      </c>
      <c r="BX95" s="208">
        <v>-334340</v>
      </c>
      <c r="BY95" s="208">
        <v>0</v>
      </c>
      <c r="BZ95" s="208">
        <v>-334340</v>
      </c>
      <c r="CA95" s="208">
        <v>-2666025</v>
      </c>
      <c r="CB95" s="208">
        <v>0</v>
      </c>
      <c r="CC95" s="208">
        <v>-2666025</v>
      </c>
      <c r="CD95" s="208">
        <v>0</v>
      </c>
      <c r="CE95" s="208">
        <v>0</v>
      </c>
      <c r="CF95" s="208">
        <v>0</v>
      </c>
      <c r="CG95" s="208">
        <v>-29779</v>
      </c>
      <c r="CH95" s="208">
        <v>0</v>
      </c>
      <c r="CI95" s="208">
        <v>-29779</v>
      </c>
      <c r="CJ95" s="208">
        <v>0</v>
      </c>
      <c r="CK95" s="208">
        <v>0</v>
      </c>
      <c r="CL95" s="208">
        <v>0</v>
      </c>
      <c r="CM95" s="208">
        <v>-12209</v>
      </c>
      <c r="CN95" s="208">
        <v>0</v>
      </c>
      <c r="CO95" s="208">
        <v>-12209</v>
      </c>
      <c r="CP95" s="208">
        <v>0</v>
      </c>
      <c r="CQ95" s="208">
        <v>0</v>
      </c>
      <c r="CR95" s="208">
        <v>0</v>
      </c>
      <c r="CS95" s="208">
        <v>-1054</v>
      </c>
      <c r="CT95" s="208">
        <v>0</v>
      </c>
      <c r="CU95" s="208">
        <v>-1054</v>
      </c>
      <c r="CV95" s="208">
        <v>0</v>
      </c>
      <c r="CW95" s="208">
        <v>0</v>
      </c>
      <c r="CX95" s="208">
        <v>0</v>
      </c>
      <c r="CY95" s="208">
        <v>0</v>
      </c>
      <c r="CZ95" s="208">
        <v>0</v>
      </c>
      <c r="DA95" s="208">
        <v>0</v>
      </c>
      <c r="DB95" s="208">
        <v>0</v>
      </c>
      <c r="DC95" s="208">
        <v>0</v>
      </c>
      <c r="DD95" s="208">
        <v>0</v>
      </c>
      <c r="DE95" s="208">
        <v>0</v>
      </c>
      <c r="DF95" s="208">
        <v>0</v>
      </c>
      <c r="DG95" s="208">
        <v>0</v>
      </c>
      <c r="DH95" s="208">
        <v>0</v>
      </c>
      <c r="DI95" s="208">
        <v>0</v>
      </c>
      <c r="DJ95" s="208">
        <v>0</v>
      </c>
      <c r="DK95" s="208">
        <v>0</v>
      </c>
      <c r="DL95" s="208">
        <v>0</v>
      </c>
      <c r="DM95" s="208">
        <v>0</v>
      </c>
      <c r="DN95" s="208">
        <v>0</v>
      </c>
      <c r="DO95" s="208">
        <v>0</v>
      </c>
      <c r="DP95" s="208">
        <v>-43042</v>
      </c>
      <c r="DQ95" s="208">
        <v>0</v>
      </c>
      <c r="DR95" s="208">
        <v>-43042</v>
      </c>
      <c r="DS95" s="208">
        <v>0</v>
      </c>
      <c r="DT95" s="208">
        <v>0</v>
      </c>
      <c r="DU95" s="208">
        <v>0</v>
      </c>
      <c r="DV95" s="208">
        <v>0</v>
      </c>
      <c r="DW95" s="208">
        <v>0</v>
      </c>
      <c r="DX95" s="208">
        <v>0</v>
      </c>
      <c r="DY95" s="208">
        <v>0</v>
      </c>
      <c r="DZ95" s="208">
        <v>0</v>
      </c>
      <c r="EA95" s="208">
        <v>0</v>
      </c>
      <c r="EB95" s="208">
        <v>0</v>
      </c>
      <c r="EC95" s="208">
        <v>0</v>
      </c>
      <c r="ED95" s="208">
        <v>0</v>
      </c>
      <c r="EE95" s="208">
        <v>0</v>
      </c>
      <c r="EF95" s="208">
        <v>0</v>
      </c>
      <c r="EG95" s="208">
        <v>0</v>
      </c>
      <c r="EH95" s="208">
        <v>0</v>
      </c>
      <c r="EI95" s="208">
        <v>0</v>
      </c>
      <c r="EJ95" s="208">
        <v>0</v>
      </c>
      <c r="EK95" s="208">
        <v>0</v>
      </c>
      <c r="EL95" s="208">
        <v>0</v>
      </c>
      <c r="EM95" s="208">
        <v>0</v>
      </c>
      <c r="EN95" s="208">
        <v>0</v>
      </c>
      <c r="EO95" s="208">
        <v>0</v>
      </c>
      <c r="EP95" s="208">
        <v>0</v>
      </c>
      <c r="EQ95" s="208">
        <v>-1500</v>
      </c>
      <c r="ER95" s="208">
        <v>0</v>
      </c>
      <c r="ES95" s="208">
        <v>-1500</v>
      </c>
      <c r="ET95" s="208">
        <v>-1500</v>
      </c>
      <c r="EU95" s="208">
        <v>0</v>
      </c>
      <c r="EV95" s="208">
        <v>-1500</v>
      </c>
      <c r="EW95" s="208">
        <v>-26281</v>
      </c>
      <c r="EX95" s="208">
        <v>0</v>
      </c>
      <c r="EY95" s="208">
        <v>-26281</v>
      </c>
      <c r="EZ95" s="208">
        <v>1065</v>
      </c>
      <c r="FA95" s="208">
        <v>0</v>
      </c>
      <c r="FB95" s="208">
        <v>1065</v>
      </c>
      <c r="FC95" s="208">
        <v>-179072</v>
      </c>
      <c r="FD95" s="208">
        <v>0</v>
      </c>
      <c r="FE95" s="208">
        <v>-179072</v>
      </c>
      <c r="FF95" s="208">
        <v>37219</v>
      </c>
      <c r="FG95" s="208">
        <v>0</v>
      </c>
      <c r="FH95" s="208">
        <v>37219</v>
      </c>
      <c r="FI95" s="208">
        <v>-20659</v>
      </c>
      <c r="FJ95" s="208">
        <v>0</v>
      </c>
      <c r="FK95" s="208">
        <v>-20659</v>
      </c>
      <c r="FL95" s="208">
        <v>-1000</v>
      </c>
      <c r="FM95" s="208">
        <v>0</v>
      </c>
      <c r="FN95" s="208">
        <v>-1000</v>
      </c>
      <c r="FO95" s="208">
        <v>0</v>
      </c>
      <c r="FP95" s="208">
        <v>0</v>
      </c>
      <c r="FQ95" s="208">
        <v>0</v>
      </c>
      <c r="FR95" s="208">
        <v>0</v>
      </c>
      <c r="FS95" s="208">
        <v>0</v>
      </c>
      <c r="FT95" s="208">
        <v>0</v>
      </c>
      <c r="FU95" s="208">
        <v>-191728</v>
      </c>
      <c r="FV95" s="208">
        <v>0</v>
      </c>
      <c r="FW95" s="208">
        <v>-191728</v>
      </c>
      <c r="FX95" s="208">
        <v>0</v>
      </c>
      <c r="FY95" s="208">
        <v>0</v>
      </c>
      <c r="FZ95" s="208">
        <v>0</v>
      </c>
      <c r="GA95" s="208">
        <v>0</v>
      </c>
      <c r="GB95" s="208">
        <v>0</v>
      </c>
      <c r="GC95" s="208">
        <v>0</v>
      </c>
      <c r="GD95" s="208">
        <v>0</v>
      </c>
      <c r="GE95" s="208">
        <v>0</v>
      </c>
      <c r="GF95" s="208">
        <v>0</v>
      </c>
      <c r="GG95" s="208">
        <v>63586224</v>
      </c>
      <c r="GH95" s="208">
        <v>0</v>
      </c>
      <c r="GI95" s="208">
        <v>63586224</v>
      </c>
      <c r="GJ95" s="208">
        <v>875135</v>
      </c>
      <c r="GK95" s="208">
        <v>0</v>
      </c>
      <c r="GL95" s="208">
        <v>875135</v>
      </c>
      <c r="GM95" s="208">
        <v>-5812570</v>
      </c>
      <c r="GN95" s="208">
        <v>0</v>
      </c>
      <c r="GO95" s="208">
        <v>-5812570</v>
      </c>
      <c r="GP95" s="208">
        <v>-2666025</v>
      </c>
      <c r="GQ95" s="208">
        <v>0</v>
      </c>
      <c r="GR95" s="208">
        <v>-2666025</v>
      </c>
      <c r="GS95" s="208">
        <v>-43042</v>
      </c>
      <c r="GT95" s="208">
        <v>0</v>
      </c>
      <c r="GU95" s="208">
        <v>-43042</v>
      </c>
      <c r="GV95" s="208">
        <v>-191728</v>
      </c>
      <c r="GW95" s="208">
        <v>0</v>
      </c>
      <c r="GX95" s="208">
        <v>-191728</v>
      </c>
      <c r="GY95" s="208">
        <v>0</v>
      </c>
      <c r="GZ95" s="208">
        <v>0</v>
      </c>
      <c r="HA95" s="208">
        <v>0</v>
      </c>
      <c r="HB95" s="208">
        <v>-7838230</v>
      </c>
      <c r="HC95" s="208">
        <v>0</v>
      </c>
      <c r="HD95" s="208">
        <v>-7838230</v>
      </c>
      <c r="HE95" s="208">
        <v>55747994</v>
      </c>
      <c r="HF95" s="208">
        <v>0</v>
      </c>
      <c r="HG95" s="208">
        <v>55747994</v>
      </c>
      <c r="HH95" s="187" t="s">
        <v>1054</v>
      </c>
    </row>
    <row r="96" spans="1:216" s="187" customFormat="1" x14ac:dyDescent="0.2">
      <c r="A96" s="187" t="s">
        <v>1811</v>
      </c>
      <c r="B96" s="429" t="s">
        <v>271</v>
      </c>
      <c r="C96" s="429" t="s">
        <v>270</v>
      </c>
      <c r="D96" s="208">
        <v>-893345</v>
      </c>
      <c r="E96" s="208">
        <v>0</v>
      </c>
      <c r="F96" s="208">
        <v>-893345</v>
      </c>
      <c r="G96" s="208">
        <v>67965</v>
      </c>
      <c r="H96" s="208">
        <v>0</v>
      </c>
      <c r="I96" s="208">
        <v>67965</v>
      </c>
      <c r="J96" s="208">
        <v>257766</v>
      </c>
      <c r="K96" s="208">
        <v>0</v>
      </c>
      <c r="L96" s="208">
        <v>257766</v>
      </c>
      <c r="M96" s="208">
        <v>-6899</v>
      </c>
      <c r="N96" s="208">
        <v>0</v>
      </c>
      <c r="O96" s="208">
        <v>-6899</v>
      </c>
      <c r="P96" s="208">
        <v>-574513</v>
      </c>
      <c r="Q96" s="208">
        <v>0</v>
      </c>
      <c r="R96" s="208">
        <v>-574513</v>
      </c>
      <c r="S96" s="208">
        <v>-3420333</v>
      </c>
      <c r="T96" s="208">
        <v>0</v>
      </c>
      <c r="U96" s="208">
        <v>-3420333</v>
      </c>
      <c r="V96" s="208">
        <v>0</v>
      </c>
      <c r="W96" s="208">
        <v>0</v>
      </c>
      <c r="X96" s="208">
        <v>0</v>
      </c>
      <c r="Y96" s="208">
        <v>-193080</v>
      </c>
      <c r="Z96" s="208">
        <v>0</v>
      </c>
      <c r="AA96" s="208">
        <v>-193080</v>
      </c>
      <c r="AB96" s="208">
        <v>-43300</v>
      </c>
      <c r="AC96" s="208">
        <v>0</v>
      </c>
      <c r="AD96" s="208">
        <v>-43300</v>
      </c>
      <c r="AE96" s="208">
        <v>-139181</v>
      </c>
      <c r="AF96" s="208">
        <v>0</v>
      </c>
      <c r="AG96" s="208">
        <v>-139181</v>
      </c>
      <c r="AH96" s="208">
        <v>0</v>
      </c>
      <c r="AI96" s="208">
        <v>0</v>
      </c>
      <c r="AJ96" s="208">
        <v>0</v>
      </c>
      <c r="AK96" s="208">
        <v>0</v>
      </c>
      <c r="AL96" s="208">
        <v>0</v>
      </c>
      <c r="AM96" s="208">
        <v>0</v>
      </c>
      <c r="AN96" s="208">
        <v>849295</v>
      </c>
      <c r="AO96" s="208">
        <v>0</v>
      </c>
      <c r="AP96" s="208">
        <v>849295</v>
      </c>
      <c r="AQ96" s="208">
        <v>-14243</v>
      </c>
      <c r="AR96" s="208">
        <v>0</v>
      </c>
      <c r="AS96" s="208">
        <v>-14243</v>
      </c>
      <c r="AT96" s="208">
        <v>-3852193</v>
      </c>
      <c r="AU96" s="208">
        <v>0</v>
      </c>
      <c r="AV96" s="208">
        <v>-3852193</v>
      </c>
      <c r="AW96" s="208">
        <v>8702</v>
      </c>
      <c r="AX96" s="208">
        <v>0</v>
      </c>
      <c r="AY96" s="208">
        <v>8702</v>
      </c>
      <c r="AZ96" s="208">
        <v>-120709</v>
      </c>
      <c r="BA96" s="208">
        <v>0</v>
      </c>
      <c r="BB96" s="208">
        <v>-120709</v>
      </c>
      <c r="BC96" s="208">
        <v>0</v>
      </c>
      <c r="BD96" s="208">
        <v>0</v>
      </c>
      <c r="BE96" s="208">
        <v>0</v>
      </c>
      <c r="BF96" s="208">
        <v>0</v>
      </c>
      <c r="BG96" s="208">
        <v>0</v>
      </c>
      <c r="BH96" s="208">
        <v>0</v>
      </c>
      <c r="BI96" s="208">
        <v>0</v>
      </c>
      <c r="BJ96" s="208">
        <v>0</v>
      </c>
      <c r="BK96" s="208">
        <v>0</v>
      </c>
      <c r="BL96" s="208">
        <v>-6742561</v>
      </c>
      <c r="BM96" s="208">
        <v>0</v>
      </c>
      <c r="BN96" s="208">
        <v>-6742561</v>
      </c>
      <c r="BO96" s="208">
        <v>-6119</v>
      </c>
      <c r="BP96" s="208">
        <v>0</v>
      </c>
      <c r="BQ96" s="208">
        <v>-6119</v>
      </c>
      <c r="BR96" s="208">
        <v>-3998</v>
      </c>
      <c r="BS96" s="208">
        <v>0</v>
      </c>
      <c r="BT96" s="208">
        <v>-3998</v>
      </c>
      <c r="BU96" s="208">
        <v>-657233</v>
      </c>
      <c r="BV96" s="208">
        <v>0</v>
      </c>
      <c r="BW96" s="208">
        <v>-657233</v>
      </c>
      <c r="BX96" s="208">
        <v>-62445</v>
      </c>
      <c r="BY96" s="208">
        <v>0</v>
      </c>
      <c r="BZ96" s="208">
        <v>-62445</v>
      </c>
      <c r="CA96" s="208">
        <v>-729795</v>
      </c>
      <c r="CB96" s="208">
        <v>0</v>
      </c>
      <c r="CC96" s="208">
        <v>-729795</v>
      </c>
      <c r="CD96" s="208">
        <v>-64911</v>
      </c>
      <c r="CE96" s="208">
        <v>0</v>
      </c>
      <c r="CF96" s="208">
        <v>-64911</v>
      </c>
      <c r="CG96" s="208">
        <v>2686</v>
      </c>
      <c r="CH96" s="208">
        <v>0</v>
      </c>
      <c r="CI96" s="208">
        <v>2686</v>
      </c>
      <c r="CJ96" s="208">
        <v>-45040</v>
      </c>
      <c r="CK96" s="208">
        <v>0</v>
      </c>
      <c r="CL96" s="208">
        <v>-45040</v>
      </c>
      <c r="CM96" s="208">
        <v>0</v>
      </c>
      <c r="CN96" s="208">
        <v>0</v>
      </c>
      <c r="CO96" s="208">
        <v>0</v>
      </c>
      <c r="CP96" s="208">
        <v>0</v>
      </c>
      <c r="CQ96" s="208">
        <v>0</v>
      </c>
      <c r="CR96" s="208">
        <v>0</v>
      </c>
      <c r="CS96" s="208">
        <v>0</v>
      </c>
      <c r="CT96" s="208">
        <v>0</v>
      </c>
      <c r="CU96" s="208">
        <v>0</v>
      </c>
      <c r="CV96" s="208">
        <v>0</v>
      </c>
      <c r="CW96" s="208">
        <v>0</v>
      </c>
      <c r="CX96" s="208">
        <v>0</v>
      </c>
      <c r="CY96" s="208">
        <v>0</v>
      </c>
      <c r="CZ96" s="208">
        <v>0</v>
      </c>
      <c r="DA96" s="208">
        <v>0</v>
      </c>
      <c r="DB96" s="208">
        <v>0</v>
      </c>
      <c r="DC96" s="208">
        <v>0</v>
      </c>
      <c r="DD96" s="208">
        <v>0</v>
      </c>
      <c r="DE96" s="208">
        <v>0</v>
      </c>
      <c r="DF96" s="208">
        <v>0</v>
      </c>
      <c r="DG96" s="208">
        <v>0</v>
      </c>
      <c r="DH96" s="208">
        <v>0</v>
      </c>
      <c r="DI96" s="208">
        <v>0</v>
      </c>
      <c r="DJ96" s="208">
        <v>0</v>
      </c>
      <c r="DK96" s="208">
        <v>0</v>
      </c>
      <c r="DL96" s="208">
        <v>0</v>
      </c>
      <c r="DM96" s="208">
        <v>0</v>
      </c>
      <c r="DN96" s="208">
        <v>0</v>
      </c>
      <c r="DO96" s="208">
        <v>0</v>
      </c>
      <c r="DP96" s="208">
        <v>-107265</v>
      </c>
      <c r="DQ96" s="208">
        <v>0</v>
      </c>
      <c r="DR96" s="208">
        <v>-107265</v>
      </c>
      <c r="DS96" s="208">
        <v>0</v>
      </c>
      <c r="DT96" s="208">
        <v>0</v>
      </c>
      <c r="DU96" s="208">
        <v>0</v>
      </c>
      <c r="DV96" s="208">
        <v>146</v>
      </c>
      <c r="DW96" s="208">
        <v>0</v>
      </c>
      <c r="DX96" s="208">
        <v>146</v>
      </c>
      <c r="DY96" s="208">
        <v>4112</v>
      </c>
      <c r="DZ96" s="208">
        <v>0</v>
      </c>
      <c r="EA96" s="208">
        <v>4112</v>
      </c>
      <c r="EB96" s="208">
        <v>0</v>
      </c>
      <c r="EC96" s="208">
        <v>0</v>
      </c>
      <c r="ED96" s="208">
        <v>0</v>
      </c>
      <c r="EE96" s="208">
        <v>0</v>
      </c>
      <c r="EF96" s="208">
        <v>0</v>
      </c>
      <c r="EG96" s="208">
        <v>0</v>
      </c>
      <c r="EH96" s="208">
        <v>25</v>
      </c>
      <c r="EI96" s="208">
        <v>0</v>
      </c>
      <c r="EJ96" s="208">
        <v>25</v>
      </c>
      <c r="EK96" s="208">
        <v>0</v>
      </c>
      <c r="EL96" s="208">
        <v>0</v>
      </c>
      <c r="EM96" s="208">
        <v>0</v>
      </c>
      <c r="EN96" s="208">
        <v>0</v>
      </c>
      <c r="EO96" s="208">
        <v>0</v>
      </c>
      <c r="EP96" s="208">
        <v>0</v>
      </c>
      <c r="EQ96" s="208">
        <v>0</v>
      </c>
      <c r="ER96" s="208">
        <v>0</v>
      </c>
      <c r="ES96" s="208">
        <v>0</v>
      </c>
      <c r="ET96" s="208">
        <v>0</v>
      </c>
      <c r="EU96" s="208">
        <v>0</v>
      </c>
      <c r="EV96" s="208">
        <v>0</v>
      </c>
      <c r="EW96" s="208">
        <v>-45210</v>
      </c>
      <c r="EX96" s="208">
        <v>0</v>
      </c>
      <c r="EY96" s="208">
        <v>-45210</v>
      </c>
      <c r="EZ96" s="208">
        <v>5098</v>
      </c>
      <c r="FA96" s="208">
        <v>0</v>
      </c>
      <c r="FB96" s="208">
        <v>5098</v>
      </c>
      <c r="FC96" s="208">
        <v>-119016</v>
      </c>
      <c r="FD96" s="208">
        <v>0</v>
      </c>
      <c r="FE96" s="208">
        <v>-119016</v>
      </c>
      <c r="FF96" s="208">
        <v>6834</v>
      </c>
      <c r="FG96" s="208">
        <v>0</v>
      </c>
      <c r="FH96" s="208">
        <v>6834</v>
      </c>
      <c r="FI96" s="208">
        <v>-26293</v>
      </c>
      <c r="FJ96" s="208">
        <v>0</v>
      </c>
      <c r="FK96" s="208">
        <v>-26293</v>
      </c>
      <c r="FL96" s="208">
        <v>-362</v>
      </c>
      <c r="FM96" s="208">
        <v>0</v>
      </c>
      <c r="FN96" s="208">
        <v>-362</v>
      </c>
      <c r="FO96" s="208">
        <v>0</v>
      </c>
      <c r="FP96" s="208">
        <v>0</v>
      </c>
      <c r="FQ96" s="208">
        <v>0</v>
      </c>
      <c r="FR96" s="208">
        <v>0</v>
      </c>
      <c r="FS96" s="208">
        <v>0</v>
      </c>
      <c r="FT96" s="208">
        <v>0</v>
      </c>
      <c r="FU96" s="208">
        <v>-174666</v>
      </c>
      <c r="FV96" s="208">
        <v>0</v>
      </c>
      <c r="FW96" s="208">
        <v>-174666</v>
      </c>
      <c r="FX96" s="208">
        <v>-13968</v>
      </c>
      <c r="FY96" s="208">
        <v>0</v>
      </c>
      <c r="FZ96" s="208">
        <v>-13968</v>
      </c>
      <c r="GA96" s="208">
        <v>0</v>
      </c>
      <c r="GB96" s="208">
        <v>0</v>
      </c>
      <c r="GC96" s="208">
        <v>0</v>
      </c>
      <c r="GD96" s="208">
        <v>-13968</v>
      </c>
      <c r="GE96" s="208">
        <v>0</v>
      </c>
      <c r="GF96" s="208">
        <v>-13968</v>
      </c>
      <c r="GG96" s="208">
        <v>42869321</v>
      </c>
      <c r="GH96" s="208">
        <v>0</v>
      </c>
      <c r="GI96" s="208">
        <v>42869321</v>
      </c>
      <c r="GJ96" s="208">
        <v>-574513</v>
      </c>
      <c r="GK96" s="208">
        <v>0</v>
      </c>
      <c r="GL96" s="208">
        <v>-574513</v>
      </c>
      <c r="GM96" s="208">
        <v>-6742561</v>
      </c>
      <c r="GN96" s="208">
        <v>0</v>
      </c>
      <c r="GO96" s="208">
        <v>-6742561</v>
      </c>
      <c r="GP96" s="208">
        <v>-729795</v>
      </c>
      <c r="GQ96" s="208">
        <v>0</v>
      </c>
      <c r="GR96" s="208">
        <v>-729795</v>
      </c>
      <c r="GS96" s="208">
        <v>-107265</v>
      </c>
      <c r="GT96" s="208">
        <v>0</v>
      </c>
      <c r="GU96" s="208">
        <v>-107265</v>
      </c>
      <c r="GV96" s="208">
        <v>-174666</v>
      </c>
      <c r="GW96" s="208">
        <v>0</v>
      </c>
      <c r="GX96" s="208">
        <v>-174666</v>
      </c>
      <c r="GY96" s="208">
        <v>-13968</v>
      </c>
      <c r="GZ96" s="208">
        <v>0</v>
      </c>
      <c r="HA96" s="208">
        <v>-13968</v>
      </c>
      <c r="HB96" s="208">
        <v>-8342768</v>
      </c>
      <c r="HC96" s="208">
        <v>0</v>
      </c>
      <c r="HD96" s="208">
        <v>-8342768</v>
      </c>
      <c r="HE96" s="208">
        <v>34526553</v>
      </c>
      <c r="HF96" s="208">
        <v>0</v>
      </c>
      <c r="HG96" s="208">
        <v>34526553</v>
      </c>
      <c r="HH96" s="187" t="s">
        <v>1054</v>
      </c>
    </row>
    <row r="97" spans="1:216" s="187" customFormat="1" x14ac:dyDescent="0.2">
      <c r="B97" s="429" t="s">
        <v>273</v>
      </c>
      <c r="C97" s="429" t="s">
        <v>272</v>
      </c>
      <c r="D97" s="208">
        <v>-546689</v>
      </c>
      <c r="E97" s="208">
        <v>0</v>
      </c>
      <c r="F97" s="208">
        <v>-546689</v>
      </c>
      <c r="G97" s="208">
        <v>-8971</v>
      </c>
      <c r="H97" s="208">
        <v>0</v>
      </c>
      <c r="I97" s="208">
        <v>-8971</v>
      </c>
      <c r="J97" s="208">
        <v>1658291</v>
      </c>
      <c r="K97" s="208">
        <v>0</v>
      </c>
      <c r="L97" s="208">
        <v>1658291</v>
      </c>
      <c r="M97" s="208">
        <v>-3926</v>
      </c>
      <c r="N97" s="208">
        <v>0</v>
      </c>
      <c r="O97" s="208">
        <v>-3926</v>
      </c>
      <c r="P97" s="208">
        <v>1098705</v>
      </c>
      <c r="Q97" s="208">
        <v>0</v>
      </c>
      <c r="R97" s="208">
        <v>1098705</v>
      </c>
      <c r="S97" s="208">
        <v>-2932659</v>
      </c>
      <c r="T97" s="208">
        <v>0</v>
      </c>
      <c r="U97" s="208">
        <v>-2932659</v>
      </c>
      <c r="V97" s="208">
        <v>-12203</v>
      </c>
      <c r="W97" s="208">
        <v>0</v>
      </c>
      <c r="X97" s="208">
        <v>-12203</v>
      </c>
      <c r="Y97" s="208">
        <v>-20245</v>
      </c>
      <c r="Z97" s="208">
        <v>0</v>
      </c>
      <c r="AA97" s="208">
        <v>-20245</v>
      </c>
      <c r="AB97" s="208">
        <v>3880</v>
      </c>
      <c r="AC97" s="208">
        <v>0</v>
      </c>
      <c r="AD97" s="208">
        <v>3880</v>
      </c>
      <c r="AE97" s="208">
        <v>-23256</v>
      </c>
      <c r="AF97" s="208">
        <v>0</v>
      </c>
      <c r="AG97" s="208">
        <v>-23256</v>
      </c>
      <c r="AH97" s="208">
        <v>0</v>
      </c>
      <c r="AI97" s="208">
        <v>0</v>
      </c>
      <c r="AJ97" s="208">
        <v>0</v>
      </c>
      <c r="AK97" s="208">
        <v>0</v>
      </c>
      <c r="AL97" s="208">
        <v>0</v>
      </c>
      <c r="AM97" s="208">
        <v>0</v>
      </c>
      <c r="AN97" s="208">
        <v>1347309</v>
      </c>
      <c r="AO97" s="208">
        <v>0</v>
      </c>
      <c r="AP97" s="208">
        <v>1347309</v>
      </c>
      <c r="AQ97" s="208">
        <v>-6789</v>
      </c>
      <c r="AR97" s="208">
        <v>0</v>
      </c>
      <c r="AS97" s="208">
        <v>-6789</v>
      </c>
      <c r="AT97" s="208">
        <v>-2313430</v>
      </c>
      <c r="AU97" s="208">
        <v>0</v>
      </c>
      <c r="AV97" s="208">
        <v>-2313430</v>
      </c>
      <c r="AW97" s="208">
        <v>-2107</v>
      </c>
      <c r="AX97" s="208">
        <v>0</v>
      </c>
      <c r="AY97" s="208">
        <v>-2107</v>
      </c>
      <c r="AZ97" s="208">
        <v>0</v>
      </c>
      <c r="BA97" s="208">
        <v>0</v>
      </c>
      <c r="BB97" s="208">
        <v>0</v>
      </c>
      <c r="BC97" s="208">
        <v>0</v>
      </c>
      <c r="BD97" s="208">
        <v>0</v>
      </c>
      <c r="BE97" s="208">
        <v>0</v>
      </c>
      <c r="BF97" s="208">
        <v>0</v>
      </c>
      <c r="BG97" s="208">
        <v>0</v>
      </c>
      <c r="BH97" s="208">
        <v>0</v>
      </c>
      <c r="BI97" s="208">
        <v>0</v>
      </c>
      <c r="BJ97" s="208">
        <v>0</v>
      </c>
      <c r="BK97" s="208">
        <v>0</v>
      </c>
      <c r="BL97" s="208">
        <v>-3927921</v>
      </c>
      <c r="BM97" s="208">
        <v>0</v>
      </c>
      <c r="BN97" s="208">
        <v>-3927921</v>
      </c>
      <c r="BO97" s="208">
        <v>-6058</v>
      </c>
      <c r="BP97" s="208">
        <v>0</v>
      </c>
      <c r="BQ97" s="208">
        <v>-6058</v>
      </c>
      <c r="BR97" s="208">
        <v>0</v>
      </c>
      <c r="BS97" s="208">
        <v>0</v>
      </c>
      <c r="BT97" s="208">
        <v>0</v>
      </c>
      <c r="BU97" s="208">
        <v>-1158264</v>
      </c>
      <c r="BV97" s="208">
        <v>0</v>
      </c>
      <c r="BW97" s="208">
        <v>-1158264</v>
      </c>
      <c r="BX97" s="208">
        <v>112818</v>
      </c>
      <c r="BY97" s="208">
        <v>0</v>
      </c>
      <c r="BZ97" s="208">
        <v>112818</v>
      </c>
      <c r="CA97" s="208">
        <v>-1051504</v>
      </c>
      <c r="CB97" s="208">
        <v>0</v>
      </c>
      <c r="CC97" s="208">
        <v>-1051504</v>
      </c>
      <c r="CD97" s="208">
        <v>-47239</v>
      </c>
      <c r="CE97" s="208">
        <v>0</v>
      </c>
      <c r="CF97" s="208">
        <v>-47239</v>
      </c>
      <c r="CG97" s="208">
        <v>0</v>
      </c>
      <c r="CH97" s="208">
        <v>0</v>
      </c>
      <c r="CI97" s="208">
        <v>0</v>
      </c>
      <c r="CJ97" s="208">
        <v>-428540</v>
      </c>
      <c r="CK97" s="208">
        <v>0</v>
      </c>
      <c r="CL97" s="208">
        <v>-428540</v>
      </c>
      <c r="CM97" s="208">
        <v>0</v>
      </c>
      <c r="CN97" s="208">
        <v>0</v>
      </c>
      <c r="CO97" s="208">
        <v>0</v>
      </c>
      <c r="CP97" s="208">
        <v>0</v>
      </c>
      <c r="CQ97" s="208">
        <v>0</v>
      </c>
      <c r="CR97" s="208">
        <v>0</v>
      </c>
      <c r="CS97" s="208">
        <v>0</v>
      </c>
      <c r="CT97" s="208">
        <v>0</v>
      </c>
      <c r="CU97" s="208">
        <v>0</v>
      </c>
      <c r="CV97" s="208">
        <v>0</v>
      </c>
      <c r="CW97" s="208">
        <v>0</v>
      </c>
      <c r="CX97" s="208">
        <v>0</v>
      </c>
      <c r="CY97" s="208">
        <v>0</v>
      </c>
      <c r="CZ97" s="208">
        <v>0</v>
      </c>
      <c r="DA97" s="208">
        <v>0</v>
      </c>
      <c r="DB97" s="208">
        <v>0</v>
      </c>
      <c r="DC97" s="208">
        <v>0</v>
      </c>
      <c r="DD97" s="208">
        <v>0</v>
      </c>
      <c r="DE97" s="208">
        <v>0</v>
      </c>
      <c r="DF97" s="208">
        <v>0</v>
      </c>
      <c r="DG97" s="208">
        <v>0</v>
      </c>
      <c r="DH97" s="208">
        <v>0</v>
      </c>
      <c r="DI97" s="208">
        <v>0</v>
      </c>
      <c r="DJ97" s="208">
        <v>0</v>
      </c>
      <c r="DK97" s="208">
        <v>0</v>
      </c>
      <c r="DL97" s="208">
        <v>0</v>
      </c>
      <c r="DM97" s="208">
        <v>0</v>
      </c>
      <c r="DN97" s="208">
        <v>0</v>
      </c>
      <c r="DO97" s="208">
        <v>0</v>
      </c>
      <c r="DP97" s="208">
        <v>-475779</v>
      </c>
      <c r="DQ97" s="208">
        <v>0</v>
      </c>
      <c r="DR97" s="208">
        <v>-475779</v>
      </c>
      <c r="DS97" s="208">
        <v>0</v>
      </c>
      <c r="DT97" s="208">
        <v>0</v>
      </c>
      <c r="DU97" s="208">
        <v>0</v>
      </c>
      <c r="DV97" s="208">
        <v>5.97</v>
      </c>
      <c r="DW97" s="208">
        <v>0</v>
      </c>
      <c r="DX97" s="208">
        <v>5.97</v>
      </c>
      <c r="DY97" s="208">
        <v>0</v>
      </c>
      <c r="DZ97" s="208">
        <v>0</v>
      </c>
      <c r="EA97" s="208">
        <v>0</v>
      </c>
      <c r="EB97" s="208">
        <v>0</v>
      </c>
      <c r="EC97" s="208">
        <v>0</v>
      </c>
      <c r="ED97" s="208">
        <v>0</v>
      </c>
      <c r="EE97" s="208">
        <v>0</v>
      </c>
      <c r="EF97" s="208">
        <v>0</v>
      </c>
      <c r="EG97" s="208">
        <v>0</v>
      </c>
      <c r="EH97" s="208">
        <v>0</v>
      </c>
      <c r="EI97" s="208">
        <v>0</v>
      </c>
      <c r="EJ97" s="208">
        <v>0</v>
      </c>
      <c r="EK97" s="208">
        <v>0</v>
      </c>
      <c r="EL97" s="208">
        <v>0</v>
      </c>
      <c r="EM97" s="208">
        <v>0</v>
      </c>
      <c r="EN97" s="208">
        <v>0</v>
      </c>
      <c r="EO97" s="208">
        <v>0</v>
      </c>
      <c r="EP97" s="208">
        <v>0</v>
      </c>
      <c r="EQ97" s="208">
        <v>0</v>
      </c>
      <c r="ER97" s="208">
        <v>0</v>
      </c>
      <c r="ES97" s="208">
        <v>0</v>
      </c>
      <c r="ET97" s="208">
        <v>0</v>
      </c>
      <c r="EU97" s="208">
        <v>0</v>
      </c>
      <c r="EV97" s="208">
        <v>0</v>
      </c>
      <c r="EW97" s="208">
        <v>-6663</v>
      </c>
      <c r="EX97" s="208">
        <v>0</v>
      </c>
      <c r="EY97" s="208">
        <v>-6663</v>
      </c>
      <c r="EZ97" s="208">
        <v>665</v>
      </c>
      <c r="FA97" s="208">
        <v>0</v>
      </c>
      <c r="FB97" s="208">
        <v>665</v>
      </c>
      <c r="FC97" s="208">
        <v>-51158</v>
      </c>
      <c r="FD97" s="208">
        <v>0</v>
      </c>
      <c r="FE97" s="208">
        <v>-51158</v>
      </c>
      <c r="FF97" s="208">
        <v>-21847</v>
      </c>
      <c r="FG97" s="208">
        <v>0</v>
      </c>
      <c r="FH97" s="208">
        <v>-21847</v>
      </c>
      <c r="FI97" s="208">
        <v>-15277</v>
      </c>
      <c r="FJ97" s="208">
        <v>0</v>
      </c>
      <c r="FK97" s="208">
        <v>-15277</v>
      </c>
      <c r="FL97" s="208">
        <v>-1334</v>
      </c>
      <c r="FM97" s="208">
        <v>0</v>
      </c>
      <c r="FN97" s="208">
        <v>-1334</v>
      </c>
      <c r="FO97" s="208">
        <v>0</v>
      </c>
      <c r="FP97" s="208">
        <v>0</v>
      </c>
      <c r="FQ97" s="208">
        <v>0</v>
      </c>
      <c r="FR97" s="208">
        <v>0</v>
      </c>
      <c r="FS97" s="208">
        <v>0</v>
      </c>
      <c r="FT97" s="208">
        <v>0</v>
      </c>
      <c r="FU97" s="208">
        <v>-95608</v>
      </c>
      <c r="FV97" s="208">
        <v>0</v>
      </c>
      <c r="FW97" s="208">
        <v>-95608</v>
      </c>
      <c r="FX97" s="208">
        <v>0</v>
      </c>
      <c r="FY97" s="208">
        <v>0</v>
      </c>
      <c r="FZ97" s="208">
        <v>0</v>
      </c>
      <c r="GA97" s="208">
        <v>0</v>
      </c>
      <c r="GB97" s="208">
        <v>0</v>
      </c>
      <c r="GC97" s="208">
        <v>0</v>
      </c>
      <c r="GD97" s="208">
        <v>0</v>
      </c>
      <c r="GE97" s="208">
        <v>0</v>
      </c>
      <c r="GF97" s="208">
        <v>0</v>
      </c>
      <c r="GG97" s="208">
        <v>64819746</v>
      </c>
      <c r="GH97" s="208">
        <v>0</v>
      </c>
      <c r="GI97" s="208">
        <v>64819746</v>
      </c>
      <c r="GJ97" s="208">
        <v>1098705</v>
      </c>
      <c r="GK97" s="208">
        <v>0</v>
      </c>
      <c r="GL97" s="208">
        <v>1098705</v>
      </c>
      <c r="GM97" s="208">
        <v>-3927921</v>
      </c>
      <c r="GN97" s="208">
        <v>0</v>
      </c>
      <c r="GO97" s="208">
        <v>-3927921</v>
      </c>
      <c r="GP97" s="208">
        <v>-1051504</v>
      </c>
      <c r="GQ97" s="208">
        <v>0</v>
      </c>
      <c r="GR97" s="208">
        <v>-1051504</v>
      </c>
      <c r="GS97" s="208">
        <v>-475779</v>
      </c>
      <c r="GT97" s="208">
        <v>0</v>
      </c>
      <c r="GU97" s="208">
        <v>-475779</v>
      </c>
      <c r="GV97" s="208">
        <v>-95608</v>
      </c>
      <c r="GW97" s="208">
        <v>0</v>
      </c>
      <c r="GX97" s="208">
        <v>-95608</v>
      </c>
      <c r="GY97" s="208">
        <v>0</v>
      </c>
      <c r="GZ97" s="208">
        <v>0</v>
      </c>
      <c r="HA97" s="208">
        <v>0</v>
      </c>
      <c r="HB97" s="208">
        <v>-4452107</v>
      </c>
      <c r="HC97" s="208">
        <v>0</v>
      </c>
      <c r="HD97" s="208">
        <v>-4452107</v>
      </c>
      <c r="HE97" s="208">
        <v>60367639</v>
      </c>
      <c r="HF97" s="208">
        <v>0</v>
      </c>
      <c r="HG97" s="208">
        <v>60367639</v>
      </c>
      <c r="HH97" s="187" t="s">
        <v>1054</v>
      </c>
    </row>
    <row r="98" spans="1:216" s="187" customFormat="1" x14ac:dyDescent="0.2">
      <c r="A98" s="185"/>
      <c r="B98" s="429" t="s">
        <v>275</v>
      </c>
      <c r="C98" s="429" t="s">
        <v>274</v>
      </c>
      <c r="D98" s="208">
        <v>-615896</v>
      </c>
      <c r="E98" s="208">
        <v>0</v>
      </c>
      <c r="F98" s="208">
        <v>-615896</v>
      </c>
      <c r="G98" s="208">
        <v>30751</v>
      </c>
      <c r="H98" s="208">
        <v>0</v>
      </c>
      <c r="I98" s="208">
        <v>30751</v>
      </c>
      <c r="J98" s="208">
        <v>185430</v>
      </c>
      <c r="K98" s="208">
        <v>0</v>
      </c>
      <c r="L98" s="208">
        <v>185430</v>
      </c>
      <c r="M98" s="208">
        <v>-40639</v>
      </c>
      <c r="N98" s="208">
        <v>0</v>
      </c>
      <c r="O98" s="208">
        <v>-40639</v>
      </c>
      <c r="P98" s="208">
        <v>-440354</v>
      </c>
      <c r="Q98" s="208">
        <v>0</v>
      </c>
      <c r="R98" s="208">
        <v>-440354</v>
      </c>
      <c r="S98" s="208">
        <v>-3570060</v>
      </c>
      <c r="T98" s="208">
        <v>0</v>
      </c>
      <c r="U98" s="208">
        <v>-3570060</v>
      </c>
      <c r="V98" s="208">
        <v>0</v>
      </c>
      <c r="W98" s="208">
        <v>0</v>
      </c>
      <c r="X98" s="208">
        <v>0</v>
      </c>
      <c r="Y98" s="208">
        <v>-326377</v>
      </c>
      <c r="Z98" s="208">
        <v>0</v>
      </c>
      <c r="AA98" s="208">
        <v>-326377</v>
      </c>
      <c r="AB98" s="208">
        <v>-123030</v>
      </c>
      <c r="AC98" s="208">
        <v>0</v>
      </c>
      <c r="AD98" s="208">
        <v>-123030</v>
      </c>
      <c r="AE98" s="208">
        <v>-203347</v>
      </c>
      <c r="AF98" s="208">
        <v>0</v>
      </c>
      <c r="AG98" s="208">
        <v>-203347</v>
      </c>
      <c r="AH98" s="208">
        <v>-442</v>
      </c>
      <c r="AI98" s="208">
        <v>0</v>
      </c>
      <c r="AJ98" s="208">
        <v>-442</v>
      </c>
      <c r="AK98" s="208">
        <v>-2651</v>
      </c>
      <c r="AL98" s="208">
        <v>0</v>
      </c>
      <c r="AM98" s="208">
        <v>-2651</v>
      </c>
      <c r="AN98" s="208">
        <v>466571</v>
      </c>
      <c r="AO98" s="208">
        <v>0</v>
      </c>
      <c r="AP98" s="208">
        <v>466571</v>
      </c>
      <c r="AQ98" s="208">
        <v>-23869</v>
      </c>
      <c r="AR98" s="208">
        <v>0</v>
      </c>
      <c r="AS98" s="208">
        <v>-23869</v>
      </c>
      <c r="AT98" s="208">
        <v>-1424834</v>
      </c>
      <c r="AU98" s="208">
        <v>0</v>
      </c>
      <c r="AV98" s="208">
        <v>-1424834</v>
      </c>
      <c r="AW98" s="208">
        <v>-78448</v>
      </c>
      <c r="AX98" s="208">
        <v>0</v>
      </c>
      <c r="AY98" s="208">
        <v>-78448</v>
      </c>
      <c r="AZ98" s="208">
        <v>-81907</v>
      </c>
      <c r="BA98" s="208">
        <v>0</v>
      </c>
      <c r="BB98" s="208">
        <v>-81907</v>
      </c>
      <c r="BC98" s="208">
        <v>0</v>
      </c>
      <c r="BD98" s="208">
        <v>0</v>
      </c>
      <c r="BE98" s="208">
        <v>0</v>
      </c>
      <c r="BF98" s="208">
        <v>-61265</v>
      </c>
      <c r="BG98" s="208">
        <v>0</v>
      </c>
      <c r="BH98" s="208">
        <v>-61265</v>
      </c>
      <c r="BI98" s="208">
        <v>-214</v>
      </c>
      <c r="BJ98" s="208">
        <v>0</v>
      </c>
      <c r="BK98" s="208">
        <v>-214</v>
      </c>
      <c r="BL98" s="208">
        <v>-5100403</v>
      </c>
      <c r="BM98" s="208">
        <v>0</v>
      </c>
      <c r="BN98" s="208">
        <v>-5100403</v>
      </c>
      <c r="BO98" s="208">
        <v>0</v>
      </c>
      <c r="BP98" s="208">
        <v>0</v>
      </c>
      <c r="BQ98" s="208">
        <v>0</v>
      </c>
      <c r="BR98" s="208">
        <v>-6680</v>
      </c>
      <c r="BS98" s="208">
        <v>0</v>
      </c>
      <c r="BT98" s="208">
        <v>-6680</v>
      </c>
      <c r="BU98" s="208">
        <v>-483973</v>
      </c>
      <c r="BV98" s="208">
        <v>0</v>
      </c>
      <c r="BW98" s="208">
        <v>-483973</v>
      </c>
      <c r="BX98" s="208">
        <v>-118874</v>
      </c>
      <c r="BY98" s="208">
        <v>0</v>
      </c>
      <c r="BZ98" s="208">
        <v>-118874</v>
      </c>
      <c r="CA98" s="208">
        <v>-609527</v>
      </c>
      <c r="CB98" s="208">
        <v>0</v>
      </c>
      <c r="CC98" s="208">
        <v>-609527</v>
      </c>
      <c r="CD98" s="208">
        <v>-59875</v>
      </c>
      <c r="CE98" s="208">
        <v>0</v>
      </c>
      <c r="CF98" s="208">
        <v>-59875</v>
      </c>
      <c r="CG98" s="208">
        <v>-8208</v>
      </c>
      <c r="CH98" s="208">
        <v>0</v>
      </c>
      <c r="CI98" s="208">
        <v>-8208</v>
      </c>
      <c r="CJ98" s="208">
        <v>-27341</v>
      </c>
      <c r="CK98" s="208">
        <v>0</v>
      </c>
      <c r="CL98" s="208">
        <v>-27341</v>
      </c>
      <c r="CM98" s="208">
        <v>-9553</v>
      </c>
      <c r="CN98" s="208">
        <v>0</v>
      </c>
      <c r="CO98" s="208">
        <v>-9553</v>
      </c>
      <c r="CP98" s="208">
        <v>-3331</v>
      </c>
      <c r="CQ98" s="208">
        <v>0</v>
      </c>
      <c r="CR98" s="208">
        <v>-3331</v>
      </c>
      <c r="CS98" s="208">
        <v>-1466</v>
      </c>
      <c r="CT98" s="208">
        <v>0</v>
      </c>
      <c r="CU98" s="208">
        <v>-1466</v>
      </c>
      <c r="CV98" s="208">
        <v>0</v>
      </c>
      <c r="CW98" s="208">
        <v>0</v>
      </c>
      <c r="CX98" s="208">
        <v>0</v>
      </c>
      <c r="CY98" s="208">
        <v>58930</v>
      </c>
      <c r="CZ98" s="208">
        <v>0</v>
      </c>
      <c r="DA98" s="208">
        <v>58930</v>
      </c>
      <c r="DB98" s="208">
        <v>-3223</v>
      </c>
      <c r="DC98" s="208">
        <v>0</v>
      </c>
      <c r="DD98" s="208">
        <v>-3223</v>
      </c>
      <c r="DE98" s="208">
        <v>0</v>
      </c>
      <c r="DF98" s="208">
        <v>0</v>
      </c>
      <c r="DG98" s="208">
        <v>0</v>
      </c>
      <c r="DH98" s="208">
        <v>0</v>
      </c>
      <c r="DI98" s="208">
        <v>0</v>
      </c>
      <c r="DJ98" s="208">
        <v>0</v>
      </c>
      <c r="DK98" s="208">
        <v>0</v>
      </c>
      <c r="DL98" s="208">
        <v>0</v>
      </c>
      <c r="DM98" s="208">
        <v>0</v>
      </c>
      <c r="DN98" s="208">
        <v>0</v>
      </c>
      <c r="DO98" s="208">
        <v>0</v>
      </c>
      <c r="DP98" s="208">
        <v>-54067</v>
      </c>
      <c r="DQ98" s="208">
        <v>0</v>
      </c>
      <c r="DR98" s="208">
        <v>-54067</v>
      </c>
      <c r="DS98" s="208">
        <v>0</v>
      </c>
      <c r="DT98" s="208">
        <v>0</v>
      </c>
      <c r="DU98" s="208">
        <v>0</v>
      </c>
      <c r="DV98" s="208">
        <v>0</v>
      </c>
      <c r="DW98" s="208">
        <v>0</v>
      </c>
      <c r="DX98" s="208">
        <v>0</v>
      </c>
      <c r="DY98" s="208">
        <v>0</v>
      </c>
      <c r="DZ98" s="208">
        <v>0</v>
      </c>
      <c r="EA98" s="208">
        <v>0</v>
      </c>
      <c r="EB98" s="208">
        <v>0</v>
      </c>
      <c r="EC98" s="208">
        <v>0</v>
      </c>
      <c r="ED98" s="208">
        <v>0</v>
      </c>
      <c r="EE98" s="208">
        <v>0</v>
      </c>
      <c r="EF98" s="208">
        <v>0</v>
      </c>
      <c r="EG98" s="208">
        <v>0</v>
      </c>
      <c r="EH98" s="208">
        <v>0</v>
      </c>
      <c r="EI98" s="208">
        <v>0</v>
      </c>
      <c r="EJ98" s="208">
        <v>0</v>
      </c>
      <c r="EK98" s="208">
        <v>-61265</v>
      </c>
      <c r="EL98" s="208">
        <v>0</v>
      </c>
      <c r="EM98" s="208">
        <v>-61265</v>
      </c>
      <c r="EN98" s="208">
        <v>-214</v>
      </c>
      <c r="EO98" s="208">
        <v>0</v>
      </c>
      <c r="EP98" s="208">
        <v>-214</v>
      </c>
      <c r="EQ98" s="208">
        <v>-1500</v>
      </c>
      <c r="ER98" s="208">
        <v>0</v>
      </c>
      <c r="ES98" s="208">
        <v>-1500</v>
      </c>
      <c r="ET98" s="208">
        <v>0</v>
      </c>
      <c r="EU98" s="208">
        <v>0</v>
      </c>
      <c r="EV98" s="208">
        <v>0</v>
      </c>
      <c r="EW98" s="208">
        <v>-12875</v>
      </c>
      <c r="EX98" s="208">
        <v>0</v>
      </c>
      <c r="EY98" s="208">
        <v>-12875</v>
      </c>
      <c r="EZ98" s="208">
        <v>-13909</v>
      </c>
      <c r="FA98" s="208">
        <v>0</v>
      </c>
      <c r="FB98" s="208">
        <v>-13909</v>
      </c>
      <c r="FC98" s="208">
        <v>-40445</v>
      </c>
      <c r="FD98" s="208">
        <v>0</v>
      </c>
      <c r="FE98" s="208">
        <v>-40445</v>
      </c>
      <c r="FF98" s="208">
        <v>10403</v>
      </c>
      <c r="FG98" s="208">
        <v>0</v>
      </c>
      <c r="FH98" s="208">
        <v>10403</v>
      </c>
      <c r="FI98" s="208">
        <v>-58545</v>
      </c>
      <c r="FJ98" s="208">
        <v>0</v>
      </c>
      <c r="FK98" s="208">
        <v>-58545</v>
      </c>
      <c r="FL98" s="208">
        <v>-177</v>
      </c>
      <c r="FM98" s="208">
        <v>0</v>
      </c>
      <c r="FN98" s="208">
        <v>-177</v>
      </c>
      <c r="FO98" s="208">
        <v>0</v>
      </c>
      <c r="FP98" s="208">
        <v>0</v>
      </c>
      <c r="FQ98" s="208">
        <v>0</v>
      </c>
      <c r="FR98" s="208">
        <v>0</v>
      </c>
      <c r="FS98" s="208">
        <v>0</v>
      </c>
      <c r="FT98" s="208">
        <v>0</v>
      </c>
      <c r="FU98" s="208">
        <v>-178527</v>
      </c>
      <c r="FV98" s="208">
        <v>0</v>
      </c>
      <c r="FW98" s="208">
        <v>-178527</v>
      </c>
      <c r="FX98" s="208">
        <v>0</v>
      </c>
      <c r="FY98" s="208">
        <v>0</v>
      </c>
      <c r="FZ98" s="208">
        <v>0</v>
      </c>
      <c r="GA98" s="208">
        <v>0</v>
      </c>
      <c r="GB98" s="208">
        <v>0</v>
      </c>
      <c r="GC98" s="208">
        <v>0</v>
      </c>
      <c r="GD98" s="208">
        <v>0</v>
      </c>
      <c r="GE98" s="208">
        <v>0</v>
      </c>
      <c r="GF98" s="208">
        <v>0</v>
      </c>
      <c r="GG98" s="208">
        <v>26905156</v>
      </c>
      <c r="GH98" s="208">
        <v>0</v>
      </c>
      <c r="GI98" s="208">
        <v>26905156</v>
      </c>
      <c r="GJ98" s="208">
        <v>-440354</v>
      </c>
      <c r="GK98" s="208">
        <v>0</v>
      </c>
      <c r="GL98" s="208">
        <v>-440354</v>
      </c>
      <c r="GM98" s="208">
        <v>-5100403</v>
      </c>
      <c r="GN98" s="208">
        <v>0</v>
      </c>
      <c r="GO98" s="208">
        <v>-5100403</v>
      </c>
      <c r="GP98" s="208">
        <v>-609527</v>
      </c>
      <c r="GQ98" s="208">
        <v>0</v>
      </c>
      <c r="GR98" s="208">
        <v>-609527</v>
      </c>
      <c r="GS98" s="208">
        <v>-54067</v>
      </c>
      <c r="GT98" s="208">
        <v>0</v>
      </c>
      <c r="GU98" s="208">
        <v>-54067</v>
      </c>
      <c r="GV98" s="208">
        <v>-178527</v>
      </c>
      <c r="GW98" s="208">
        <v>0</v>
      </c>
      <c r="GX98" s="208">
        <v>-178527</v>
      </c>
      <c r="GY98" s="208">
        <v>0</v>
      </c>
      <c r="GZ98" s="208">
        <v>0</v>
      </c>
      <c r="HA98" s="208">
        <v>0</v>
      </c>
      <c r="HB98" s="208">
        <v>-6382878</v>
      </c>
      <c r="HC98" s="208">
        <v>0</v>
      </c>
      <c r="HD98" s="208">
        <v>-6382878</v>
      </c>
      <c r="HE98" s="208">
        <v>20522278</v>
      </c>
      <c r="HF98" s="208">
        <v>0</v>
      </c>
      <c r="HG98" s="208">
        <v>20522278</v>
      </c>
      <c r="HH98" s="187" t="s">
        <v>1054</v>
      </c>
    </row>
    <row r="99" spans="1:216" s="187" customFormat="1" x14ac:dyDescent="0.2">
      <c r="B99" s="429" t="s">
        <v>277</v>
      </c>
      <c r="C99" s="429" t="s">
        <v>276</v>
      </c>
      <c r="D99" s="208">
        <v>-3017246</v>
      </c>
      <c r="E99" s="208">
        <v>0</v>
      </c>
      <c r="F99" s="208">
        <v>-3017246</v>
      </c>
      <c r="G99" s="208">
        <v>224804</v>
      </c>
      <c r="H99" s="208">
        <v>0</v>
      </c>
      <c r="I99" s="208">
        <v>224804</v>
      </c>
      <c r="J99" s="208">
        <v>671787</v>
      </c>
      <c r="K99" s="208">
        <v>0</v>
      </c>
      <c r="L99" s="208">
        <v>671787</v>
      </c>
      <c r="M99" s="208">
        <v>40329</v>
      </c>
      <c r="N99" s="208">
        <v>0</v>
      </c>
      <c r="O99" s="208">
        <v>40329</v>
      </c>
      <c r="P99" s="208">
        <v>-2080326</v>
      </c>
      <c r="Q99" s="208">
        <v>0</v>
      </c>
      <c r="R99" s="208">
        <v>-2080326</v>
      </c>
      <c r="S99" s="208">
        <v>-3033020</v>
      </c>
      <c r="T99" s="208">
        <v>0</v>
      </c>
      <c r="U99" s="208">
        <v>-3033020</v>
      </c>
      <c r="V99" s="208">
        <v>0</v>
      </c>
      <c r="W99" s="208">
        <v>0</v>
      </c>
      <c r="X99" s="208">
        <v>0</v>
      </c>
      <c r="Y99" s="208">
        <v>-125625</v>
      </c>
      <c r="Z99" s="208">
        <v>0</v>
      </c>
      <c r="AA99" s="208">
        <v>-125625</v>
      </c>
      <c r="AB99" s="208">
        <v>-56182</v>
      </c>
      <c r="AC99" s="208">
        <v>0</v>
      </c>
      <c r="AD99" s="208">
        <v>-56182</v>
      </c>
      <c r="AE99" s="208">
        <v>-67808</v>
      </c>
      <c r="AF99" s="208">
        <v>0</v>
      </c>
      <c r="AG99" s="208">
        <v>-67808</v>
      </c>
      <c r="AH99" s="208">
        <v>0</v>
      </c>
      <c r="AI99" s="208">
        <v>0</v>
      </c>
      <c r="AJ99" s="208">
        <v>0</v>
      </c>
      <c r="AK99" s="208">
        <v>-1788</v>
      </c>
      <c r="AL99" s="208">
        <v>0</v>
      </c>
      <c r="AM99" s="208">
        <v>-1788</v>
      </c>
      <c r="AN99" s="208">
        <v>1596862</v>
      </c>
      <c r="AO99" s="208">
        <v>0</v>
      </c>
      <c r="AP99" s="208">
        <v>1596862</v>
      </c>
      <c r="AQ99" s="208">
        <v>-14461</v>
      </c>
      <c r="AR99" s="208">
        <v>0</v>
      </c>
      <c r="AS99" s="208">
        <v>-14461</v>
      </c>
      <c r="AT99" s="208">
        <v>-5390638</v>
      </c>
      <c r="AU99" s="208">
        <v>0</v>
      </c>
      <c r="AV99" s="208">
        <v>-5390638</v>
      </c>
      <c r="AW99" s="208">
        <v>-344501</v>
      </c>
      <c r="AX99" s="208">
        <v>0</v>
      </c>
      <c r="AY99" s="208">
        <v>-344501</v>
      </c>
      <c r="AZ99" s="208">
        <v>-51449</v>
      </c>
      <c r="BA99" s="208">
        <v>0</v>
      </c>
      <c r="BB99" s="208">
        <v>-51449</v>
      </c>
      <c r="BC99" s="208">
        <v>-165</v>
      </c>
      <c r="BD99" s="208">
        <v>0</v>
      </c>
      <c r="BE99" s="208">
        <v>-165</v>
      </c>
      <c r="BF99" s="208">
        <v>0</v>
      </c>
      <c r="BG99" s="208">
        <v>0</v>
      </c>
      <c r="BH99" s="208">
        <v>0</v>
      </c>
      <c r="BI99" s="208">
        <v>0</v>
      </c>
      <c r="BJ99" s="208">
        <v>0</v>
      </c>
      <c r="BK99" s="208">
        <v>0</v>
      </c>
      <c r="BL99" s="208">
        <v>-7362997</v>
      </c>
      <c r="BM99" s="208">
        <v>0</v>
      </c>
      <c r="BN99" s="208">
        <v>-7362997</v>
      </c>
      <c r="BO99" s="208">
        <v>-137216</v>
      </c>
      <c r="BP99" s="208">
        <v>0</v>
      </c>
      <c r="BQ99" s="208">
        <v>-137216</v>
      </c>
      <c r="BR99" s="208">
        <v>4955</v>
      </c>
      <c r="BS99" s="208">
        <v>0</v>
      </c>
      <c r="BT99" s="208">
        <v>4955</v>
      </c>
      <c r="BU99" s="208">
        <v>-2567620</v>
      </c>
      <c r="BV99" s="208">
        <v>0</v>
      </c>
      <c r="BW99" s="208">
        <v>-2567620</v>
      </c>
      <c r="BX99" s="208">
        <v>-19937</v>
      </c>
      <c r="BY99" s="208">
        <v>0</v>
      </c>
      <c r="BZ99" s="208">
        <v>-19937</v>
      </c>
      <c r="CA99" s="208">
        <v>-2719818</v>
      </c>
      <c r="CB99" s="208">
        <v>0</v>
      </c>
      <c r="CC99" s="208">
        <v>-2719818</v>
      </c>
      <c r="CD99" s="208">
        <v>-138091</v>
      </c>
      <c r="CE99" s="208">
        <v>0</v>
      </c>
      <c r="CF99" s="208">
        <v>-138091</v>
      </c>
      <c r="CG99" s="208">
        <v>2893</v>
      </c>
      <c r="CH99" s="208">
        <v>0</v>
      </c>
      <c r="CI99" s="208">
        <v>2893</v>
      </c>
      <c r="CJ99" s="208">
        <v>-474943</v>
      </c>
      <c r="CK99" s="208">
        <v>0</v>
      </c>
      <c r="CL99" s="208">
        <v>-474943</v>
      </c>
      <c r="CM99" s="208">
        <v>0</v>
      </c>
      <c r="CN99" s="208">
        <v>0</v>
      </c>
      <c r="CO99" s="208">
        <v>0</v>
      </c>
      <c r="CP99" s="208">
        <v>0</v>
      </c>
      <c r="CQ99" s="208">
        <v>0</v>
      </c>
      <c r="CR99" s="208">
        <v>0</v>
      </c>
      <c r="CS99" s="208">
        <v>0</v>
      </c>
      <c r="CT99" s="208">
        <v>0</v>
      </c>
      <c r="CU99" s="208">
        <v>0</v>
      </c>
      <c r="CV99" s="208">
        <v>0</v>
      </c>
      <c r="CW99" s="208">
        <v>0</v>
      </c>
      <c r="CX99" s="208">
        <v>0</v>
      </c>
      <c r="CY99" s="208">
        <v>0</v>
      </c>
      <c r="CZ99" s="208">
        <v>0</v>
      </c>
      <c r="DA99" s="208">
        <v>0</v>
      </c>
      <c r="DB99" s="208">
        <v>0</v>
      </c>
      <c r="DC99" s="208">
        <v>0</v>
      </c>
      <c r="DD99" s="208">
        <v>0</v>
      </c>
      <c r="DE99" s="208">
        <v>0</v>
      </c>
      <c r="DF99" s="208">
        <v>0</v>
      </c>
      <c r="DG99" s="208">
        <v>0</v>
      </c>
      <c r="DH99" s="208">
        <v>0</v>
      </c>
      <c r="DI99" s="208">
        <v>0</v>
      </c>
      <c r="DJ99" s="208">
        <v>0</v>
      </c>
      <c r="DK99" s="208">
        <v>0</v>
      </c>
      <c r="DL99" s="208">
        <v>0</v>
      </c>
      <c r="DM99" s="208">
        <v>0</v>
      </c>
      <c r="DN99" s="208">
        <v>0</v>
      </c>
      <c r="DO99" s="208">
        <v>0</v>
      </c>
      <c r="DP99" s="208">
        <v>-610141</v>
      </c>
      <c r="DQ99" s="208">
        <v>0</v>
      </c>
      <c r="DR99" s="208">
        <v>-610141</v>
      </c>
      <c r="DS99" s="208">
        <v>0</v>
      </c>
      <c r="DT99" s="208">
        <v>0</v>
      </c>
      <c r="DU99" s="208">
        <v>0</v>
      </c>
      <c r="DV99" s="208">
        <v>0</v>
      </c>
      <c r="DW99" s="208">
        <v>0</v>
      </c>
      <c r="DX99" s="208">
        <v>0</v>
      </c>
      <c r="DY99" s="208">
        <v>2200</v>
      </c>
      <c r="DZ99" s="208">
        <v>0</v>
      </c>
      <c r="EA99" s="208">
        <v>2200</v>
      </c>
      <c r="EB99" s="208">
        <v>0</v>
      </c>
      <c r="EC99" s="208">
        <v>0</v>
      </c>
      <c r="ED99" s="208">
        <v>0</v>
      </c>
      <c r="EE99" s="208">
        <v>0</v>
      </c>
      <c r="EF99" s="208">
        <v>0</v>
      </c>
      <c r="EG99" s="208">
        <v>0</v>
      </c>
      <c r="EH99" s="208">
        <v>0</v>
      </c>
      <c r="EI99" s="208">
        <v>0</v>
      </c>
      <c r="EJ99" s="208">
        <v>0</v>
      </c>
      <c r="EK99" s="208">
        <v>0</v>
      </c>
      <c r="EL99" s="208">
        <v>0</v>
      </c>
      <c r="EM99" s="208">
        <v>0</v>
      </c>
      <c r="EN99" s="208">
        <v>0</v>
      </c>
      <c r="EO99" s="208">
        <v>0</v>
      </c>
      <c r="EP99" s="208">
        <v>0</v>
      </c>
      <c r="EQ99" s="208">
        <v>0</v>
      </c>
      <c r="ER99" s="208">
        <v>0</v>
      </c>
      <c r="ES99" s="208">
        <v>0</v>
      </c>
      <c r="ET99" s="208">
        <v>0</v>
      </c>
      <c r="EU99" s="208">
        <v>0</v>
      </c>
      <c r="EV99" s="208">
        <v>0</v>
      </c>
      <c r="EW99" s="208">
        <v>-89604</v>
      </c>
      <c r="EX99" s="208">
        <v>0</v>
      </c>
      <c r="EY99" s="208">
        <v>-89604</v>
      </c>
      <c r="EZ99" s="208">
        <v>-1789</v>
      </c>
      <c r="FA99" s="208">
        <v>0</v>
      </c>
      <c r="FB99" s="208">
        <v>-1789</v>
      </c>
      <c r="FC99" s="208">
        <v>-399857</v>
      </c>
      <c r="FD99" s="208">
        <v>0</v>
      </c>
      <c r="FE99" s="208">
        <v>-399857</v>
      </c>
      <c r="FF99" s="208">
        <v>3398</v>
      </c>
      <c r="FG99" s="208">
        <v>0</v>
      </c>
      <c r="FH99" s="208">
        <v>3398</v>
      </c>
      <c r="FI99" s="208">
        <v>-23704</v>
      </c>
      <c r="FJ99" s="208">
        <v>0</v>
      </c>
      <c r="FK99" s="208">
        <v>-23704</v>
      </c>
      <c r="FL99" s="208">
        <v>995</v>
      </c>
      <c r="FM99" s="208">
        <v>0</v>
      </c>
      <c r="FN99" s="208">
        <v>995</v>
      </c>
      <c r="FO99" s="208">
        <v>0</v>
      </c>
      <c r="FP99" s="208">
        <v>0</v>
      </c>
      <c r="FQ99" s="208">
        <v>0</v>
      </c>
      <c r="FR99" s="208">
        <v>0</v>
      </c>
      <c r="FS99" s="208">
        <v>0</v>
      </c>
      <c r="FT99" s="208">
        <v>0</v>
      </c>
      <c r="FU99" s="208">
        <v>-508361</v>
      </c>
      <c r="FV99" s="208">
        <v>0</v>
      </c>
      <c r="FW99" s="208">
        <v>-508361</v>
      </c>
      <c r="FX99" s="208">
        <v>0</v>
      </c>
      <c r="FY99" s="208">
        <v>0</v>
      </c>
      <c r="FZ99" s="208">
        <v>0</v>
      </c>
      <c r="GA99" s="208">
        <v>0</v>
      </c>
      <c r="GB99" s="208">
        <v>0</v>
      </c>
      <c r="GC99" s="208">
        <v>0</v>
      </c>
      <c r="GD99" s="208">
        <v>0</v>
      </c>
      <c r="GE99" s="208">
        <v>0</v>
      </c>
      <c r="GF99" s="208">
        <v>0</v>
      </c>
      <c r="GG99" s="208">
        <v>76864774</v>
      </c>
      <c r="GH99" s="208">
        <v>0</v>
      </c>
      <c r="GI99" s="208">
        <v>76864774</v>
      </c>
      <c r="GJ99" s="208">
        <v>-2080326</v>
      </c>
      <c r="GK99" s="208">
        <v>0</v>
      </c>
      <c r="GL99" s="208">
        <v>-2080326</v>
      </c>
      <c r="GM99" s="208">
        <v>-7362997</v>
      </c>
      <c r="GN99" s="208">
        <v>0</v>
      </c>
      <c r="GO99" s="208">
        <v>-7362997</v>
      </c>
      <c r="GP99" s="208">
        <v>-2719818</v>
      </c>
      <c r="GQ99" s="208">
        <v>0</v>
      </c>
      <c r="GR99" s="208">
        <v>-2719818</v>
      </c>
      <c r="GS99" s="208">
        <v>-610141</v>
      </c>
      <c r="GT99" s="208">
        <v>0</v>
      </c>
      <c r="GU99" s="208">
        <v>-610141</v>
      </c>
      <c r="GV99" s="208">
        <v>-508361</v>
      </c>
      <c r="GW99" s="208">
        <v>0</v>
      </c>
      <c r="GX99" s="208">
        <v>-508361</v>
      </c>
      <c r="GY99" s="208">
        <v>0</v>
      </c>
      <c r="GZ99" s="208">
        <v>0</v>
      </c>
      <c r="HA99" s="208">
        <v>0</v>
      </c>
      <c r="HB99" s="208">
        <v>-13281643</v>
      </c>
      <c r="HC99" s="208">
        <v>0</v>
      </c>
      <c r="HD99" s="208">
        <v>-13281643</v>
      </c>
      <c r="HE99" s="208">
        <v>63583131</v>
      </c>
      <c r="HF99" s="208">
        <v>0</v>
      </c>
      <c r="HG99" s="208">
        <v>63583131</v>
      </c>
      <c r="HH99" s="187" t="s">
        <v>1054</v>
      </c>
    </row>
    <row r="100" spans="1:216" s="187" customFormat="1" x14ac:dyDescent="0.2">
      <c r="B100" s="429" t="s">
        <v>279</v>
      </c>
      <c r="C100" s="429" t="s">
        <v>278</v>
      </c>
      <c r="D100" s="208">
        <v>-1800987</v>
      </c>
      <c r="E100" s="208">
        <v>0</v>
      </c>
      <c r="F100" s="208">
        <v>-1800987</v>
      </c>
      <c r="G100" s="208">
        <v>-96908</v>
      </c>
      <c r="H100" s="208">
        <v>0</v>
      </c>
      <c r="I100" s="208">
        <v>-96908</v>
      </c>
      <c r="J100" s="208">
        <v>2306910</v>
      </c>
      <c r="K100" s="208">
        <v>0</v>
      </c>
      <c r="L100" s="208">
        <v>2306910</v>
      </c>
      <c r="M100" s="208">
        <v>41091</v>
      </c>
      <c r="N100" s="208">
        <v>0</v>
      </c>
      <c r="O100" s="208">
        <v>41091</v>
      </c>
      <c r="P100" s="208">
        <v>450106</v>
      </c>
      <c r="Q100" s="208">
        <v>0</v>
      </c>
      <c r="R100" s="208">
        <v>450106</v>
      </c>
      <c r="S100" s="208">
        <v>-6985772</v>
      </c>
      <c r="T100" s="208">
        <v>0</v>
      </c>
      <c r="U100" s="208">
        <v>-6985772</v>
      </c>
      <c r="V100" s="208">
        <v>0</v>
      </c>
      <c r="W100" s="208">
        <v>0</v>
      </c>
      <c r="X100" s="208">
        <v>0</v>
      </c>
      <c r="Y100" s="208">
        <v>-137761</v>
      </c>
      <c r="Z100" s="208">
        <v>0</v>
      </c>
      <c r="AA100" s="208">
        <v>-137761</v>
      </c>
      <c r="AB100" s="208">
        <v>-51320</v>
      </c>
      <c r="AC100" s="208">
        <v>0</v>
      </c>
      <c r="AD100" s="208">
        <v>-51320</v>
      </c>
      <c r="AE100" s="208">
        <v>-86441</v>
      </c>
      <c r="AF100" s="208">
        <v>0</v>
      </c>
      <c r="AG100" s="208">
        <v>-86441</v>
      </c>
      <c r="AH100" s="208">
        <v>0</v>
      </c>
      <c r="AI100" s="208">
        <v>0</v>
      </c>
      <c r="AJ100" s="208">
        <v>0</v>
      </c>
      <c r="AK100" s="208">
        <v>0</v>
      </c>
      <c r="AL100" s="208">
        <v>0</v>
      </c>
      <c r="AM100" s="208">
        <v>0</v>
      </c>
      <c r="AN100" s="208">
        <v>2701311</v>
      </c>
      <c r="AO100" s="208">
        <v>0</v>
      </c>
      <c r="AP100" s="208">
        <v>2701311</v>
      </c>
      <c r="AQ100" s="208">
        <v>-73909</v>
      </c>
      <c r="AR100" s="208">
        <v>0</v>
      </c>
      <c r="AS100" s="208">
        <v>-73909</v>
      </c>
      <c r="AT100" s="208">
        <v>-7033389</v>
      </c>
      <c r="AU100" s="208">
        <v>0</v>
      </c>
      <c r="AV100" s="208">
        <v>-7033389</v>
      </c>
      <c r="AW100" s="208">
        <v>-36093</v>
      </c>
      <c r="AX100" s="208">
        <v>0</v>
      </c>
      <c r="AY100" s="208">
        <v>-36093</v>
      </c>
      <c r="AZ100" s="208">
        <v>-127590</v>
      </c>
      <c r="BA100" s="208">
        <v>0</v>
      </c>
      <c r="BB100" s="208">
        <v>-127590</v>
      </c>
      <c r="BC100" s="208">
        <v>0</v>
      </c>
      <c r="BD100" s="208">
        <v>0</v>
      </c>
      <c r="BE100" s="208">
        <v>0</v>
      </c>
      <c r="BF100" s="208">
        <v>0</v>
      </c>
      <c r="BG100" s="208">
        <v>0</v>
      </c>
      <c r="BH100" s="208">
        <v>0</v>
      </c>
      <c r="BI100" s="208">
        <v>0</v>
      </c>
      <c r="BJ100" s="208">
        <v>0</v>
      </c>
      <c r="BK100" s="208">
        <v>0</v>
      </c>
      <c r="BL100" s="208">
        <v>-11693203</v>
      </c>
      <c r="BM100" s="208">
        <v>0</v>
      </c>
      <c r="BN100" s="208">
        <v>-11693203</v>
      </c>
      <c r="BO100" s="208">
        <v>0</v>
      </c>
      <c r="BP100" s="208">
        <v>0</v>
      </c>
      <c r="BQ100" s="208">
        <v>0</v>
      </c>
      <c r="BR100" s="208">
        <v>3524</v>
      </c>
      <c r="BS100" s="208">
        <v>0</v>
      </c>
      <c r="BT100" s="208">
        <v>3524</v>
      </c>
      <c r="BU100" s="208">
        <v>-3589710</v>
      </c>
      <c r="BV100" s="208">
        <v>0</v>
      </c>
      <c r="BW100" s="208">
        <v>-3589710</v>
      </c>
      <c r="BX100" s="208">
        <v>270327</v>
      </c>
      <c r="BY100" s="208">
        <v>0</v>
      </c>
      <c r="BZ100" s="208">
        <v>270327</v>
      </c>
      <c r="CA100" s="208">
        <v>-3315859</v>
      </c>
      <c r="CB100" s="208">
        <v>0</v>
      </c>
      <c r="CC100" s="208">
        <v>-3315859</v>
      </c>
      <c r="CD100" s="208">
        <v>-224628</v>
      </c>
      <c r="CE100" s="208">
        <v>0</v>
      </c>
      <c r="CF100" s="208">
        <v>-224628</v>
      </c>
      <c r="CG100" s="208">
        <v>2445</v>
      </c>
      <c r="CH100" s="208">
        <v>0</v>
      </c>
      <c r="CI100" s="208">
        <v>2445</v>
      </c>
      <c r="CJ100" s="208">
        <v>-204350</v>
      </c>
      <c r="CK100" s="208">
        <v>0</v>
      </c>
      <c r="CL100" s="208">
        <v>-204350</v>
      </c>
      <c r="CM100" s="208">
        <v>3554</v>
      </c>
      <c r="CN100" s="208">
        <v>0</v>
      </c>
      <c r="CO100" s="208">
        <v>3554</v>
      </c>
      <c r="CP100" s="208">
        <v>0</v>
      </c>
      <c r="CQ100" s="208">
        <v>0</v>
      </c>
      <c r="CR100" s="208">
        <v>0</v>
      </c>
      <c r="CS100" s="208">
        <v>0</v>
      </c>
      <c r="CT100" s="208">
        <v>0</v>
      </c>
      <c r="CU100" s="208">
        <v>0</v>
      </c>
      <c r="CV100" s="208">
        <v>0</v>
      </c>
      <c r="CW100" s="208">
        <v>0</v>
      </c>
      <c r="CX100" s="208">
        <v>0</v>
      </c>
      <c r="CY100" s="208">
        <v>0</v>
      </c>
      <c r="CZ100" s="208">
        <v>0</v>
      </c>
      <c r="DA100" s="208">
        <v>0</v>
      </c>
      <c r="DB100" s="208">
        <v>0</v>
      </c>
      <c r="DC100" s="208">
        <v>0</v>
      </c>
      <c r="DD100" s="208">
        <v>0</v>
      </c>
      <c r="DE100" s="208">
        <v>0</v>
      </c>
      <c r="DF100" s="208">
        <v>0</v>
      </c>
      <c r="DG100" s="208">
        <v>0</v>
      </c>
      <c r="DH100" s="208">
        <v>0</v>
      </c>
      <c r="DI100" s="208">
        <v>0</v>
      </c>
      <c r="DJ100" s="208">
        <v>0</v>
      </c>
      <c r="DK100" s="208">
        <v>0</v>
      </c>
      <c r="DL100" s="208">
        <v>0</v>
      </c>
      <c r="DM100" s="208">
        <v>0</v>
      </c>
      <c r="DN100" s="208">
        <v>0</v>
      </c>
      <c r="DO100" s="208">
        <v>0</v>
      </c>
      <c r="DP100" s="208">
        <v>-422979</v>
      </c>
      <c r="DQ100" s="208">
        <v>0</v>
      </c>
      <c r="DR100" s="208">
        <v>-422979</v>
      </c>
      <c r="DS100" s="208">
        <v>0</v>
      </c>
      <c r="DT100" s="208">
        <v>0</v>
      </c>
      <c r="DU100" s="208">
        <v>0</v>
      </c>
      <c r="DV100" s="208">
        <v>0</v>
      </c>
      <c r="DW100" s="208">
        <v>0</v>
      </c>
      <c r="DX100" s="208">
        <v>0</v>
      </c>
      <c r="DY100" s="208">
        <v>1599</v>
      </c>
      <c r="DZ100" s="208">
        <v>0</v>
      </c>
      <c r="EA100" s="208">
        <v>1599</v>
      </c>
      <c r="EB100" s="208">
        <v>0</v>
      </c>
      <c r="EC100" s="208">
        <v>0</v>
      </c>
      <c r="ED100" s="208">
        <v>0</v>
      </c>
      <c r="EE100" s="208">
        <v>0</v>
      </c>
      <c r="EF100" s="208">
        <v>0</v>
      </c>
      <c r="EG100" s="208">
        <v>0</v>
      </c>
      <c r="EH100" s="208">
        <v>3796</v>
      </c>
      <c r="EI100" s="208">
        <v>0</v>
      </c>
      <c r="EJ100" s="208">
        <v>3796</v>
      </c>
      <c r="EK100" s="208">
        <v>0</v>
      </c>
      <c r="EL100" s="208">
        <v>0</v>
      </c>
      <c r="EM100" s="208">
        <v>0</v>
      </c>
      <c r="EN100" s="208">
        <v>0</v>
      </c>
      <c r="EO100" s="208">
        <v>0</v>
      </c>
      <c r="EP100" s="208">
        <v>0</v>
      </c>
      <c r="EQ100" s="208">
        <v>-1500</v>
      </c>
      <c r="ER100" s="208">
        <v>0</v>
      </c>
      <c r="ES100" s="208">
        <v>-1500</v>
      </c>
      <c r="ET100" s="208">
        <v>0</v>
      </c>
      <c r="EU100" s="208">
        <v>0</v>
      </c>
      <c r="EV100" s="208">
        <v>0</v>
      </c>
      <c r="EW100" s="208">
        <v>-37877</v>
      </c>
      <c r="EX100" s="208">
        <v>0</v>
      </c>
      <c r="EY100" s="208">
        <v>-37877</v>
      </c>
      <c r="EZ100" s="208">
        <v>567</v>
      </c>
      <c r="FA100" s="208">
        <v>0</v>
      </c>
      <c r="FB100" s="208">
        <v>567</v>
      </c>
      <c r="FC100" s="208">
        <v>-387271</v>
      </c>
      <c r="FD100" s="208">
        <v>0</v>
      </c>
      <c r="FE100" s="208">
        <v>-387271</v>
      </c>
      <c r="FF100" s="208">
        <v>28869</v>
      </c>
      <c r="FG100" s="208">
        <v>0</v>
      </c>
      <c r="FH100" s="208">
        <v>28869</v>
      </c>
      <c r="FI100" s="208">
        <v>-39204</v>
      </c>
      <c r="FJ100" s="208">
        <v>0</v>
      </c>
      <c r="FK100" s="208">
        <v>-39204</v>
      </c>
      <c r="FL100" s="208">
        <v>126</v>
      </c>
      <c r="FM100" s="208">
        <v>0</v>
      </c>
      <c r="FN100" s="208">
        <v>126</v>
      </c>
      <c r="FO100" s="208">
        <v>0</v>
      </c>
      <c r="FP100" s="208">
        <v>0</v>
      </c>
      <c r="FQ100" s="208">
        <v>0</v>
      </c>
      <c r="FR100" s="208">
        <v>0</v>
      </c>
      <c r="FS100" s="208">
        <v>0</v>
      </c>
      <c r="FT100" s="208">
        <v>0</v>
      </c>
      <c r="FU100" s="208">
        <v>-430895</v>
      </c>
      <c r="FV100" s="208">
        <v>0</v>
      </c>
      <c r="FW100" s="208">
        <v>-430895</v>
      </c>
      <c r="FX100" s="208">
        <v>0</v>
      </c>
      <c r="FY100" s="208">
        <v>0</v>
      </c>
      <c r="FZ100" s="208">
        <v>0</v>
      </c>
      <c r="GA100" s="208">
        <v>0</v>
      </c>
      <c r="GB100" s="208">
        <v>0</v>
      </c>
      <c r="GC100" s="208">
        <v>0</v>
      </c>
      <c r="GD100" s="208">
        <v>0</v>
      </c>
      <c r="GE100" s="208">
        <v>0</v>
      </c>
      <c r="GF100" s="208">
        <v>0</v>
      </c>
      <c r="GG100" s="208">
        <v>130791483</v>
      </c>
      <c r="GH100" s="208">
        <v>0</v>
      </c>
      <c r="GI100" s="208">
        <v>130791483</v>
      </c>
      <c r="GJ100" s="208">
        <v>450106</v>
      </c>
      <c r="GK100" s="208">
        <v>0</v>
      </c>
      <c r="GL100" s="208">
        <v>450106</v>
      </c>
      <c r="GM100" s="208">
        <v>-11693203</v>
      </c>
      <c r="GN100" s="208">
        <v>0</v>
      </c>
      <c r="GO100" s="208">
        <v>-11693203</v>
      </c>
      <c r="GP100" s="208">
        <v>-3315859</v>
      </c>
      <c r="GQ100" s="208">
        <v>0</v>
      </c>
      <c r="GR100" s="208">
        <v>-3315859</v>
      </c>
      <c r="GS100" s="208">
        <v>-422979</v>
      </c>
      <c r="GT100" s="208">
        <v>0</v>
      </c>
      <c r="GU100" s="208">
        <v>-422979</v>
      </c>
      <c r="GV100" s="208">
        <v>-430895</v>
      </c>
      <c r="GW100" s="208">
        <v>0</v>
      </c>
      <c r="GX100" s="208">
        <v>-430895</v>
      </c>
      <c r="GY100" s="208">
        <v>0</v>
      </c>
      <c r="GZ100" s="208">
        <v>0</v>
      </c>
      <c r="HA100" s="208">
        <v>0</v>
      </c>
      <c r="HB100" s="208">
        <v>-15412830</v>
      </c>
      <c r="HC100" s="208">
        <v>0</v>
      </c>
      <c r="HD100" s="208">
        <v>-15412830</v>
      </c>
      <c r="HE100" s="208">
        <v>115378653</v>
      </c>
      <c r="HF100" s="208">
        <v>0</v>
      </c>
      <c r="HG100" s="208">
        <v>115378653</v>
      </c>
      <c r="HH100" s="187" t="s">
        <v>1055</v>
      </c>
    </row>
    <row r="101" spans="1:216" s="187" customFormat="1" x14ac:dyDescent="0.2">
      <c r="B101" s="429" t="s">
        <v>281</v>
      </c>
      <c r="C101" s="429" t="s">
        <v>280</v>
      </c>
      <c r="D101" s="208">
        <v>-978129</v>
      </c>
      <c r="E101" s="208">
        <v>0</v>
      </c>
      <c r="F101" s="208">
        <v>-978129</v>
      </c>
      <c r="G101" s="208">
        <v>97257</v>
      </c>
      <c r="H101" s="208">
        <v>0</v>
      </c>
      <c r="I101" s="208">
        <v>97257</v>
      </c>
      <c r="J101" s="208">
        <v>352650</v>
      </c>
      <c r="K101" s="208">
        <v>0</v>
      </c>
      <c r="L101" s="208">
        <v>352650</v>
      </c>
      <c r="M101" s="208">
        <v>-1969</v>
      </c>
      <c r="N101" s="208">
        <v>0</v>
      </c>
      <c r="O101" s="208">
        <v>-1969</v>
      </c>
      <c r="P101" s="208">
        <v>-530191</v>
      </c>
      <c r="Q101" s="208">
        <v>0</v>
      </c>
      <c r="R101" s="208">
        <v>-530191</v>
      </c>
      <c r="S101" s="208">
        <v>-4897004</v>
      </c>
      <c r="T101" s="208">
        <v>0</v>
      </c>
      <c r="U101" s="208">
        <v>-4897004</v>
      </c>
      <c r="V101" s="208">
        <v>-1742</v>
      </c>
      <c r="W101" s="208">
        <v>0</v>
      </c>
      <c r="X101" s="208">
        <v>-1742</v>
      </c>
      <c r="Y101" s="208">
        <v>-116116</v>
      </c>
      <c r="Z101" s="208">
        <v>0</v>
      </c>
      <c r="AA101" s="208">
        <v>-116116</v>
      </c>
      <c r="AB101" s="208">
        <v>-15371</v>
      </c>
      <c r="AC101" s="208">
        <v>0</v>
      </c>
      <c r="AD101" s="208">
        <v>-15371</v>
      </c>
      <c r="AE101" s="208">
        <v>-100745</v>
      </c>
      <c r="AF101" s="208">
        <v>0</v>
      </c>
      <c r="AG101" s="208">
        <v>-100745</v>
      </c>
      <c r="AH101" s="208">
        <v>0</v>
      </c>
      <c r="AI101" s="208">
        <v>0</v>
      </c>
      <c r="AJ101" s="208">
        <v>0</v>
      </c>
      <c r="AK101" s="208">
        <v>0</v>
      </c>
      <c r="AL101" s="208">
        <v>0</v>
      </c>
      <c r="AM101" s="208">
        <v>0</v>
      </c>
      <c r="AN101" s="208">
        <v>705086</v>
      </c>
      <c r="AO101" s="208">
        <v>0</v>
      </c>
      <c r="AP101" s="208">
        <v>705086</v>
      </c>
      <c r="AQ101" s="208">
        <v>-11391</v>
      </c>
      <c r="AR101" s="208">
        <v>0</v>
      </c>
      <c r="AS101" s="208">
        <v>-11391</v>
      </c>
      <c r="AT101" s="208">
        <v>-3199420</v>
      </c>
      <c r="AU101" s="208">
        <v>0</v>
      </c>
      <c r="AV101" s="208">
        <v>-3199420</v>
      </c>
      <c r="AW101" s="208">
        <v>11337</v>
      </c>
      <c r="AX101" s="208">
        <v>0</v>
      </c>
      <c r="AY101" s="208">
        <v>11337</v>
      </c>
      <c r="AZ101" s="208">
        <v>-33642</v>
      </c>
      <c r="BA101" s="208">
        <v>0</v>
      </c>
      <c r="BB101" s="208">
        <v>-33642</v>
      </c>
      <c r="BC101" s="208">
        <v>0</v>
      </c>
      <c r="BD101" s="208">
        <v>0</v>
      </c>
      <c r="BE101" s="208">
        <v>0</v>
      </c>
      <c r="BF101" s="208">
        <v>-5817</v>
      </c>
      <c r="BG101" s="208">
        <v>0</v>
      </c>
      <c r="BH101" s="208">
        <v>-5817</v>
      </c>
      <c r="BI101" s="208">
        <v>0</v>
      </c>
      <c r="BJ101" s="208">
        <v>0</v>
      </c>
      <c r="BK101" s="208">
        <v>0</v>
      </c>
      <c r="BL101" s="208">
        <v>-7546967</v>
      </c>
      <c r="BM101" s="208">
        <v>0</v>
      </c>
      <c r="BN101" s="208">
        <v>-7546967</v>
      </c>
      <c r="BO101" s="208">
        <v>-916</v>
      </c>
      <c r="BP101" s="208">
        <v>0</v>
      </c>
      <c r="BQ101" s="208">
        <v>-916</v>
      </c>
      <c r="BR101" s="208">
        <v>0</v>
      </c>
      <c r="BS101" s="208">
        <v>0</v>
      </c>
      <c r="BT101" s="208">
        <v>0</v>
      </c>
      <c r="BU101" s="208">
        <v>-796369</v>
      </c>
      <c r="BV101" s="208">
        <v>0</v>
      </c>
      <c r="BW101" s="208">
        <v>-796369</v>
      </c>
      <c r="BX101" s="208">
        <v>20193</v>
      </c>
      <c r="BY101" s="208">
        <v>0</v>
      </c>
      <c r="BZ101" s="208">
        <v>20193</v>
      </c>
      <c r="CA101" s="208">
        <v>-777092</v>
      </c>
      <c r="CB101" s="208">
        <v>0</v>
      </c>
      <c r="CC101" s="208">
        <v>-777092</v>
      </c>
      <c r="CD101" s="208">
        <v>-21517</v>
      </c>
      <c r="CE101" s="208">
        <v>0</v>
      </c>
      <c r="CF101" s="208">
        <v>-21517</v>
      </c>
      <c r="CG101" s="208">
        <v>0</v>
      </c>
      <c r="CH101" s="208">
        <v>0</v>
      </c>
      <c r="CI101" s="208">
        <v>0</v>
      </c>
      <c r="CJ101" s="208">
        <v>-46254</v>
      </c>
      <c r="CK101" s="208">
        <v>0</v>
      </c>
      <c r="CL101" s="208">
        <v>-46254</v>
      </c>
      <c r="CM101" s="208">
        <v>0</v>
      </c>
      <c r="CN101" s="208">
        <v>0</v>
      </c>
      <c r="CO101" s="208">
        <v>0</v>
      </c>
      <c r="CP101" s="208">
        <v>0</v>
      </c>
      <c r="CQ101" s="208">
        <v>0</v>
      </c>
      <c r="CR101" s="208">
        <v>0</v>
      </c>
      <c r="CS101" s="208">
        <v>0</v>
      </c>
      <c r="CT101" s="208">
        <v>0</v>
      </c>
      <c r="CU101" s="208">
        <v>0</v>
      </c>
      <c r="CV101" s="208">
        <v>-5817</v>
      </c>
      <c r="CW101" s="208">
        <v>0</v>
      </c>
      <c r="CX101" s="208">
        <v>-5817</v>
      </c>
      <c r="CY101" s="208">
        <v>0</v>
      </c>
      <c r="CZ101" s="208">
        <v>0</v>
      </c>
      <c r="DA101" s="208">
        <v>0</v>
      </c>
      <c r="DB101" s="208">
        <v>-5914</v>
      </c>
      <c r="DC101" s="208">
        <v>0</v>
      </c>
      <c r="DD101" s="208">
        <v>-5914</v>
      </c>
      <c r="DE101" s="208">
        <v>6502</v>
      </c>
      <c r="DF101" s="208">
        <v>0</v>
      </c>
      <c r="DG101" s="208">
        <v>6502</v>
      </c>
      <c r="DH101" s="208">
        <v>0</v>
      </c>
      <c r="DI101" s="208">
        <v>0</v>
      </c>
      <c r="DJ101" s="208">
        <v>0</v>
      </c>
      <c r="DK101" s="208">
        <v>0</v>
      </c>
      <c r="DL101" s="208">
        <v>0</v>
      </c>
      <c r="DM101" s="208">
        <v>0</v>
      </c>
      <c r="DN101" s="208">
        <v>0</v>
      </c>
      <c r="DO101" s="208">
        <v>0</v>
      </c>
      <c r="DP101" s="208">
        <v>-73000</v>
      </c>
      <c r="DQ101" s="208">
        <v>0</v>
      </c>
      <c r="DR101" s="208">
        <v>-73000</v>
      </c>
      <c r="DS101" s="208">
        <v>0</v>
      </c>
      <c r="DT101" s="208">
        <v>0</v>
      </c>
      <c r="DU101" s="208">
        <v>0</v>
      </c>
      <c r="DV101" s="208">
        <v>0</v>
      </c>
      <c r="DW101" s="208">
        <v>0</v>
      </c>
      <c r="DX101" s="208">
        <v>0</v>
      </c>
      <c r="DY101" s="208">
        <v>0</v>
      </c>
      <c r="DZ101" s="208">
        <v>0</v>
      </c>
      <c r="EA101" s="208">
        <v>0</v>
      </c>
      <c r="EB101" s="208">
        <v>0</v>
      </c>
      <c r="EC101" s="208">
        <v>0</v>
      </c>
      <c r="ED101" s="208">
        <v>0</v>
      </c>
      <c r="EE101" s="208">
        <v>0</v>
      </c>
      <c r="EF101" s="208">
        <v>0</v>
      </c>
      <c r="EG101" s="208">
        <v>0</v>
      </c>
      <c r="EH101" s="208">
        <v>0</v>
      </c>
      <c r="EI101" s="208">
        <v>0</v>
      </c>
      <c r="EJ101" s="208">
        <v>0</v>
      </c>
      <c r="EK101" s="208">
        <v>0</v>
      </c>
      <c r="EL101" s="208">
        <v>0</v>
      </c>
      <c r="EM101" s="208">
        <v>0</v>
      </c>
      <c r="EN101" s="208">
        <v>0</v>
      </c>
      <c r="EO101" s="208">
        <v>0</v>
      </c>
      <c r="EP101" s="208">
        <v>0</v>
      </c>
      <c r="EQ101" s="208">
        <v>0</v>
      </c>
      <c r="ER101" s="208">
        <v>0</v>
      </c>
      <c r="ES101" s="208">
        <v>0</v>
      </c>
      <c r="ET101" s="208">
        <v>0</v>
      </c>
      <c r="EU101" s="208">
        <v>0</v>
      </c>
      <c r="EV101" s="208">
        <v>0</v>
      </c>
      <c r="EW101" s="208">
        <v>-28319</v>
      </c>
      <c r="EX101" s="208">
        <v>0</v>
      </c>
      <c r="EY101" s="208">
        <v>-28319</v>
      </c>
      <c r="EZ101" s="208">
        <v>-413</v>
      </c>
      <c r="FA101" s="208">
        <v>0</v>
      </c>
      <c r="FB101" s="208">
        <v>-413</v>
      </c>
      <c r="FC101" s="208">
        <v>-120245</v>
      </c>
      <c r="FD101" s="208">
        <v>0</v>
      </c>
      <c r="FE101" s="208">
        <v>-120245</v>
      </c>
      <c r="FF101" s="208">
        <v>2113</v>
      </c>
      <c r="FG101" s="208">
        <v>0</v>
      </c>
      <c r="FH101" s="208">
        <v>2113</v>
      </c>
      <c r="FI101" s="208">
        <v>-40082</v>
      </c>
      <c r="FJ101" s="208">
        <v>0</v>
      </c>
      <c r="FK101" s="208">
        <v>-40082</v>
      </c>
      <c r="FL101" s="208">
        <v>-211</v>
      </c>
      <c r="FM101" s="208">
        <v>0</v>
      </c>
      <c r="FN101" s="208">
        <v>-211</v>
      </c>
      <c r="FO101" s="208">
        <v>0</v>
      </c>
      <c r="FP101" s="208">
        <v>0</v>
      </c>
      <c r="FQ101" s="208">
        <v>0</v>
      </c>
      <c r="FR101" s="208">
        <v>0</v>
      </c>
      <c r="FS101" s="208">
        <v>0</v>
      </c>
      <c r="FT101" s="208">
        <v>0</v>
      </c>
      <c r="FU101" s="208">
        <v>-187157</v>
      </c>
      <c r="FV101" s="208">
        <v>0</v>
      </c>
      <c r="FW101" s="208">
        <v>-187157</v>
      </c>
      <c r="FX101" s="208">
        <v>0</v>
      </c>
      <c r="FY101" s="208">
        <v>0</v>
      </c>
      <c r="FZ101" s="208">
        <v>0</v>
      </c>
      <c r="GA101" s="208">
        <v>0</v>
      </c>
      <c r="GB101" s="208">
        <v>0</v>
      </c>
      <c r="GC101" s="208">
        <v>0</v>
      </c>
      <c r="GD101" s="208">
        <v>0</v>
      </c>
      <c r="GE101" s="208">
        <v>0</v>
      </c>
      <c r="GF101" s="208">
        <v>0</v>
      </c>
      <c r="GG101" s="208">
        <v>45895557</v>
      </c>
      <c r="GH101" s="208">
        <v>0</v>
      </c>
      <c r="GI101" s="208">
        <v>45895557</v>
      </c>
      <c r="GJ101" s="208">
        <v>-530191</v>
      </c>
      <c r="GK101" s="208">
        <v>0</v>
      </c>
      <c r="GL101" s="208">
        <v>-530191</v>
      </c>
      <c r="GM101" s="208">
        <v>-7546967</v>
      </c>
      <c r="GN101" s="208">
        <v>0</v>
      </c>
      <c r="GO101" s="208">
        <v>-7546967</v>
      </c>
      <c r="GP101" s="208">
        <v>-777092</v>
      </c>
      <c r="GQ101" s="208">
        <v>0</v>
      </c>
      <c r="GR101" s="208">
        <v>-777092</v>
      </c>
      <c r="GS101" s="208">
        <v>-73000</v>
      </c>
      <c r="GT101" s="208">
        <v>0</v>
      </c>
      <c r="GU101" s="208">
        <v>-73000</v>
      </c>
      <c r="GV101" s="208">
        <v>-187157</v>
      </c>
      <c r="GW101" s="208">
        <v>0</v>
      </c>
      <c r="GX101" s="208">
        <v>-187157</v>
      </c>
      <c r="GY101" s="208">
        <v>0</v>
      </c>
      <c r="GZ101" s="208">
        <v>0</v>
      </c>
      <c r="HA101" s="208">
        <v>0</v>
      </c>
      <c r="HB101" s="208">
        <v>-9114407</v>
      </c>
      <c r="HC101" s="208">
        <v>0</v>
      </c>
      <c r="HD101" s="208">
        <v>-9114407</v>
      </c>
      <c r="HE101" s="208">
        <v>36781150</v>
      </c>
      <c r="HF101" s="208">
        <v>0</v>
      </c>
      <c r="HG101" s="208">
        <v>36781150</v>
      </c>
      <c r="HH101" s="187" t="s">
        <v>1054</v>
      </c>
    </row>
    <row r="102" spans="1:216" s="187" customFormat="1" x14ac:dyDescent="0.2">
      <c r="B102" s="429" t="s">
        <v>283</v>
      </c>
      <c r="C102" s="429" t="s">
        <v>282</v>
      </c>
      <c r="D102" s="208">
        <v>-732535</v>
      </c>
      <c r="E102" s="208">
        <v>0</v>
      </c>
      <c r="F102" s="208">
        <v>-732535</v>
      </c>
      <c r="G102" s="208">
        <v>116</v>
      </c>
      <c r="H102" s="208">
        <v>0</v>
      </c>
      <c r="I102" s="208">
        <v>116</v>
      </c>
      <c r="J102" s="208">
        <v>571240</v>
      </c>
      <c r="K102" s="208">
        <v>0</v>
      </c>
      <c r="L102" s="208">
        <v>571240</v>
      </c>
      <c r="M102" s="208">
        <v>-245158</v>
      </c>
      <c r="N102" s="208">
        <v>0</v>
      </c>
      <c r="O102" s="208">
        <v>-245158</v>
      </c>
      <c r="P102" s="208">
        <v>-406337</v>
      </c>
      <c r="Q102" s="208">
        <v>0</v>
      </c>
      <c r="R102" s="208">
        <v>-406337</v>
      </c>
      <c r="S102" s="208">
        <v>-1706324</v>
      </c>
      <c r="T102" s="208">
        <v>0</v>
      </c>
      <c r="U102" s="208">
        <v>-1706324</v>
      </c>
      <c r="V102" s="208">
        <v>0</v>
      </c>
      <c r="W102" s="208">
        <v>0</v>
      </c>
      <c r="X102" s="208">
        <v>0</v>
      </c>
      <c r="Y102" s="208">
        <v>-50814.74</v>
      </c>
      <c r="Z102" s="208">
        <v>0</v>
      </c>
      <c r="AA102" s="208">
        <v>-50814.74</v>
      </c>
      <c r="AB102" s="208">
        <v>-16730</v>
      </c>
      <c r="AC102" s="208">
        <v>0</v>
      </c>
      <c r="AD102" s="208">
        <v>-16730</v>
      </c>
      <c r="AE102" s="208">
        <v>-26573</v>
      </c>
      <c r="AF102" s="208">
        <v>0</v>
      </c>
      <c r="AG102" s="208">
        <v>-26573</v>
      </c>
      <c r="AH102" s="208">
        <v>0</v>
      </c>
      <c r="AI102" s="208">
        <v>0</v>
      </c>
      <c r="AJ102" s="208">
        <v>0</v>
      </c>
      <c r="AK102" s="208">
        <v>0</v>
      </c>
      <c r="AL102" s="208">
        <v>0</v>
      </c>
      <c r="AM102" s="208">
        <v>0</v>
      </c>
      <c r="AN102" s="208">
        <v>631688</v>
      </c>
      <c r="AO102" s="208">
        <v>0</v>
      </c>
      <c r="AP102" s="208">
        <v>631688</v>
      </c>
      <c r="AQ102" s="208">
        <v>-9540</v>
      </c>
      <c r="AR102" s="208">
        <v>0</v>
      </c>
      <c r="AS102" s="208">
        <v>-9540</v>
      </c>
      <c r="AT102" s="208">
        <v>-3276334</v>
      </c>
      <c r="AU102" s="208">
        <v>0</v>
      </c>
      <c r="AV102" s="208">
        <v>-3276334</v>
      </c>
      <c r="AW102" s="208">
        <v>-31823</v>
      </c>
      <c r="AX102" s="208">
        <v>0</v>
      </c>
      <c r="AY102" s="208">
        <v>-31823</v>
      </c>
      <c r="AZ102" s="208">
        <v>-46653</v>
      </c>
      <c r="BA102" s="208">
        <v>0</v>
      </c>
      <c r="BB102" s="208">
        <v>-46653</v>
      </c>
      <c r="BC102" s="208">
        <v>0</v>
      </c>
      <c r="BD102" s="208">
        <v>0</v>
      </c>
      <c r="BE102" s="208">
        <v>0</v>
      </c>
      <c r="BF102" s="208">
        <v>0</v>
      </c>
      <c r="BG102" s="208">
        <v>0</v>
      </c>
      <c r="BH102" s="208">
        <v>0</v>
      </c>
      <c r="BI102" s="208">
        <v>0</v>
      </c>
      <c r="BJ102" s="208">
        <v>0</v>
      </c>
      <c r="BK102" s="208">
        <v>0</v>
      </c>
      <c r="BL102" s="208">
        <v>-4489801</v>
      </c>
      <c r="BM102" s="208">
        <v>0</v>
      </c>
      <c r="BN102" s="208">
        <v>-4489801</v>
      </c>
      <c r="BO102" s="208">
        <v>-44914</v>
      </c>
      <c r="BP102" s="208">
        <v>0</v>
      </c>
      <c r="BQ102" s="208">
        <v>-44914</v>
      </c>
      <c r="BR102" s="208">
        <v>0</v>
      </c>
      <c r="BS102" s="208">
        <v>0</v>
      </c>
      <c r="BT102" s="208">
        <v>0</v>
      </c>
      <c r="BU102" s="208">
        <v>-1019121</v>
      </c>
      <c r="BV102" s="208">
        <v>0</v>
      </c>
      <c r="BW102" s="208">
        <v>-1019121</v>
      </c>
      <c r="BX102" s="208">
        <v>47146</v>
      </c>
      <c r="BY102" s="208">
        <v>0</v>
      </c>
      <c r="BZ102" s="208">
        <v>47146</v>
      </c>
      <c r="CA102" s="208">
        <v>-1016889</v>
      </c>
      <c r="CB102" s="208">
        <v>0</v>
      </c>
      <c r="CC102" s="208">
        <v>-1016889</v>
      </c>
      <c r="CD102" s="208">
        <v>-70730</v>
      </c>
      <c r="CE102" s="208">
        <v>0</v>
      </c>
      <c r="CF102" s="208">
        <v>-70730</v>
      </c>
      <c r="CG102" s="208">
        <v>12.7</v>
      </c>
      <c r="CH102" s="208">
        <v>0</v>
      </c>
      <c r="CI102" s="208">
        <v>12.7</v>
      </c>
      <c r="CJ102" s="208">
        <v>-585</v>
      </c>
      <c r="CK102" s="208">
        <v>0</v>
      </c>
      <c r="CL102" s="208">
        <v>-585</v>
      </c>
      <c r="CM102" s="208">
        <v>0</v>
      </c>
      <c r="CN102" s="208">
        <v>0</v>
      </c>
      <c r="CO102" s="208">
        <v>0</v>
      </c>
      <c r="CP102" s="208">
        <v>-8218</v>
      </c>
      <c r="CQ102" s="208">
        <v>0</v>
      </c>
      <c r="CR102" s="208">
        <v>-8218</v>
      </c>
      <c r="CS102" s="208">
        <v>0</v>
      </c>
      <c r="CT102" s="208">
        <v>0</v>
      </c>
      <c r="CU102" s="208">
        <v>0</v>
      </c>
      <c r="CV102" s="208">
        <v>0</v>
      </c>
      <c r="CW102" s="208">
        <v>0</v>
      </c>
      <c r="CX102" s="208">
        <v>0</v>
      </c>
      <c r="CY102" s="208">
        <v>0</v>
      </c>
      <c r="CZ102" s="208">
        <v>0</v>
      </c>
      <c r="DA102" s="208">
        <v>0</v>
      </c>
      <c r="DB102" s="208">
        <v>0</v>
      </c>
      <c r="DC102" s="208">
        <v>0</v>
      </c>
      <c r="DD102" s="208">
        <v>0</v>
      </c>
      <c r="DE102" s="208">
        <v>0</v>
      </c>
      <c r="DF102" s="208">
        <v>0</v>
      </c>
      <c r="DG102" s="208">
        <v>0</v>
      </c>
      <c r="DH102" s="208">
        <v>0</v>
      </c>
      <c r="DI102" s="208">
        <v>0</v>
      </c>
      <c r="DJ102" s="208">
        <v>0</v>
      </c>
      <c r="DK102" s="208">
        <v>0</v>
      </c>
      <c r="DL102" s="208">
        <v>0</v>
      </c>
      <c r="DM102" s="208">
        <v>0</v>
      </c>
      <c r="DN102" s="208">
        <v>0</v>
      </c>
      <c r="DO102" s="208">
        <v>0</v>
      </c>
      <c r="DP102" s="208">
        <v>-79520</v>
      </c>
      <c r="DQ102" s="208">
        <v>0</v>
      </c>
      <c r="DR102" s="208">
        <v>-79520</v>
      </c>
      <c r="DS102" s="208">
        <v>0</v>
      </c>
      <c r="DT102" s="208">
        <v>0</v>
      </c>
      <c r="DU102" s="208">
        <v>0</v>
      </c>
      <c r="DV102" s="208">
        <v>0</v>
      </c>
      <c r="DW102" s="208">
        <v>0</v>
      </c>
      <c r="DX102" s="208">
        <v>0</v>
      </c>
      <c r="DY102" s="208">
        <v>0</v>
      </c>
      <c r="DZ102" s="208">
        <v>0</v>
      </c>
      <c r="EA102" s="208">
        <v>0</v>
      </c>
      <c r="EB102" s="208">
        <v>0</v>
      </c>
      <c r="EC102" s="208">
        <v>0</v>
      </c>
      <c r="ED102" s="208">
        <v>0</v>
      </c>
      <c r="EE102" s="208">
        <v>0</v>
      </c>
      <c r="EF102" s="208">
        <v>0</v>
      </c>
      <c r="EG102" s="208">
        <v>0</v>
      </c>
      <c r="EH102" s="208">
        <v>0</v>
      </c>
      <c r="EI102" s="208">
        <v>0</v>
      </c>
      <c r="EJ102" s="208">
        <v>0</v>
      </c>
      <c r="EK102" s="208">
        <v>0</v>
      </c>
      <c r="EL102" s="208">
        <v>0</v>
      </c>
      <c r="EM102" s="208">
        <v>0</v>
      </c>
      <c r="EN102" s="208">
        <v>0</v>
      </c>
      <c r="EO102" s="208">
        <v>0</v>
      </c>
      <c r="EP102" s="208">
        <v>0</v>
      </c>
      <c r="EQ102" s="208">
        <v>0</v>
      </c>
      <c r="ER102" s="208">
        <v>0</v>
      </c>
      <c r="ES102" s="208">
        <v>0</v>
      </c>
      <c r="ET102" s="208">
        <v>0</v>
      </c>
      <c r="EU102" s="208">
        <v>0</v>
      </c>
      <c r="EV102" s="208">
        <v>0</v>
      </c>
      <c r="EW102" s="208">
        <v>-15939</v>
      </c>
      <c r="EX102" s="208">
        <v>0</v>
      </c>
      <c r="EY102" s="208">
        <v>-15939</v>
      </c>
      <c r="EZ102" s="208">
        <v>405.73</v>
      </c>
      <c r="FA102" s="208">
        <v>0</v>
      </c>
      <c r="FB102" s="208">
        <v>405.73</v>
      </c>
      <c r="FC102" s="208">
        <v>-123997</v>
      </c>
      <c r="FD102" s="208">
        <v>0</v>
      </c>
      <c r="FE102" s="208">
        <v>-123997</v>
      </c>
      <c r="FF102" s="208">
        <v>0</v>
      </c>
      <c r="FG102" s="208">
        <v>0</v>
      </c>
      <c r="FH102" s="208">
        <v>0</v>
      </c>
      <c r="FI102" s="208">
        <v>-12247</v>
      </c>
      <c r="FJ102" s="208">
        <v>0</v>
      </c>
      <c r="FK102" s="208">
        <v>-12247</v>
      </c>
      <c r="FL102" s="208">
        <v>69</v>
      </c>
      <c r="FM102" s="208">
        <v>0</v>
      </c>
      <c r="FN102" s="208">
        <v>69</v>
      </c>
      <c r="FO102" s="208">
        <v>0</v>
      </c>
      <c r="FP102" s="208">
        <v>0</v>
      </c>
      <c r="FQ102" s="208">
        <v>0</v>
      </c>
      <c r="FR102" s="208">
        <v>0</v>
      </c>
      <c r="FS102" s="208">
        <v>0</v>
      </c>
      <c r="FT102" s="208">
        <v>0</v>
      </c>
      <c r="FU102" s="208">
        <v>-151708</v>
      </c>
      <c r="FV102" s="208">
        <v>0</v>
      </c>
      <c r="FW102" s="208">
        <v>-151708</v>
      </c>
      <c r="FX102" s="208">
        <v>0</v>
      </c>
      <c r="FY102" s="208">
        <v>0</v>
      </c>
      <c r="FZ102" s="208">
        <v>0</v>
      </c>
      <c r="GA102" s="208">
        <v>0</v>
      </c>
      <c r="GB102" s="208">
        <v>0</v>
      </c>
      <c r="GC102" s="208">
        <v>0</v>
      </c>
      <c r="GD102" s="208">
        <v>0</v>
      </c>
      <c r="GE102" s="208">
        <v>0</v>
      </c>
      <c r="GF102" s="208">
        <v>0</v>
      </c>
      <c r="GG102" s="208">
        <v>30733311</v>
      </c>
      <c r="GH102" s="208">
        <v>0</v>
      </c>
      <c r="GI102" s="208">
        <v>30733311</v>
      </c>
      <c r="GJ102" s="208">
        <v>-406337</v>
      </c>
      <c r="GK102" s="208">
        <v>0</v>
      </c>
      <c r="GL102" s="208">
        <v>-406337</v>
      </c>
      <c r="GM102" s="208">
        <v>-4489801</v>
      </c>
      <c r="GN102" s="208">
        <v>0</v>
      </c>
      <c r="GO102" s="208">
        <v>-4489801</v>
      </c>
      <c r="GP102" s="208">
        <v>-1016889</v>
      </c>
      <c r="GQ102" s="208">
        <v>0</v>
      </c>
      <c r="GR102" s="208">
        <v>-1016889</v>
      </c>
      <c r="GS102" s="208">
        <v>-79520</v>
      </c>
      <c r="GT102" s="208">
        <v>0</v>
      </c>
      <c r="GU102" s="208">
        <v>-79520</v>
      </c>
      <c r="GV102" s="208">
        <v>-151708</v>
      </c>
      <c r="GW102" s="208">
        <v>0</v>
      </c>
      <c r="GX102" s="208">
        <v>-151708</v>
      </c>
      <c r="GY102" s="208">
        <v>0</v>
      </c>
      <c r="GZ102" s="208">
        <v>0</v>
      </c>
      <c r="HA102" s="208">
        <v>0</v>
      </c>
      <c r="HB102" s="208">
        <v>-6144255</v>
      </c>
      <c r="HC102" s="208">
        <v>0</v>
      </c>
      <c r="HD102" s="208">
        <v>-6144255</v>
      </c>
      <c r="HE102" s="208">
        <v>24589056</v>
      </c>
      <c r="HF102" s="208">
        <v>0</v>
      </c>
      <c r="HG102" s="208">
        <v>24589056</v>
      </c>
      <c r="HH102" s="187" t="s">
        <v>1054</v>
      </c>
    </row>
    <row r="103" spans="1:216" s="187" customFormat="1" x14ac:dyDescent="0.2">
      <c r="B103" s="429" t="s">
        <v>285</v>
      </c>
      <c r="C103" s="429" t="s">
        <v>284</v>
      </c>
      <c r="D103" s="208">
        <v>-507680</v>
      </c>
      <c r="E103" s="208">
        <v>0</v>
      </c>
      <c r="F103" s="208">
        <v>-507680</v>
      </c>
      <c r="G103" s="208">
        <v>93307</v>
      </c>
      <c r="H103" s="208">
        <v>0</v>
      </c>
      <c r="I103" s="208">
        <v>93307</v>
      </c>
      <c r="J103" s="208">
        <v>453773</v>
      </c>
      <c r="K103" s="208">
        <v>0</v>
      </c>
      <c r="L103" s="208">
        <v>453773</v>
      </c>
      <c r="M103" s="208">
        <v>13607</v>
      </c>
      <c r="N103" s="208">
        <v>0</v>
      </c>
      <c r="O103" s="208">
        <v>13607</v>
      </c>
      <c r="P103" s="208">
        <v>53007</v>
      </c>
      <c r="Q103" s="208">
        <v>0</v>
      </c>
      <c r="R103" s="208">
        <v>53007</v>
      </c>
      <c r="S103" s="208">
        <v>-3983294</v>
      </c>
      <c r="T103" s="208">
        <v>0</v>
      </c>
      <c r="U103" s="208">
        <v>-3983294</v>
      </c>
      <c r="V103" s="208">
        <v>-13896</v>
      </c>
      <c r="W103" s="208">
        <v>0</v>
      </c>
      <c r="X103" s="208">
        <v>-13896</v>
      </c>
      <c r="Y103" s="208">
        <v>-45614</v>
      </c>
      <c r="Z103" s="208">
        <v>0</v>
      </c>
      <c r="AA103" s="208">
        <v>-45614</v>
      </c>
      <c r="AB103" s="208">
        <v>-8636</v>
      </c>
      <c r="AC103" s="208">
        <v>0</v>
      </c>
      <c r="AD103" s="208">
        <v>-8636</v>
      </c>
      <c r="AE103" s="208">
        <v>-37358</v>
      </c>
      <c r="AF103" s="208">
        <v>0</v>
      </c>
      <c r="AG103" s="208">
        <v>-37358</v>
      </c>
      <c r="AH103" s="208">
        <v>0</v>
      </c>
      <c r="AI103" s="208">
        <v>0</v>
      </c>
      <c r="AJ103" s="208">
        <v>0</v>
      </c>
      <c r="AK103" s="208">
        <v>-391</v>
      </c>
      <c r="AL103" s="208">
        <v>0</v>
      </c>
      <c r="AM103" s="208">
        <v>-391</v>
      </c>
      <c r="AN103" s="208">
        <v>504192</v>
      </c>
      <c r="AO103" s="208">
        <v>0</v>
      </c>
      <c r="AP103" s="208">
        <v>504192</v>
      </c>
      <c r="AQ103" s="208">
        <v>-3759</v>
      </c>
      <c r="AR103" s="208">
        <v>0</v>
      </c>
      <c r="AS103" s="208">
        <v>-3759</v>
      </c>
      <c r="AT103" s="208">
        <v>-1989341</v>
      </c>
      <c r="AU103" s="208">
        <v>0</v>
      </c>
      <c r="AV103" s="208">
        <v>-1989341</v>
      </c>
      <c r="AW103" s="208">
        <v>27693</v>
      </c>
      <c r="AX103" s="208">
        <v>0</v>
      </c>
      <c r="AY103" s="208">
        <v>27693</v>
      </c>
      <c r="AZ103" s="208">
        <v>-51261</v>
      </c>
      <c r="BA103" s="208">
        <v>0</v>
      </c>
      <c r="BB103" s="208">
        <v>-51261</v>
      </c>
      <c r="BC103" s="208">
        <v>0</v>
      </c>
      <c r="BD103" s="208">
        <v>0</v>
      </c>
      <c r="BE103" s="208">
        <v>0</v>
      </c>
      <c r="BF103" s="208">
        <v>0</v>
      </c>
      <c r="BG103" s="208">
        <v>0</v>
      </c>
      <c r="BH103" s="208">
        <v>0</v>
      </c>
      <c r="BI103" s="208">
        <v>1320</v>
      </c>
      <c r="BJ103" s="208">
        <v>0</v>
      </c>
      <c r="BK103" s="208">
        <v>1320</v>
      </c>
      <c r="BL103" s="208">
        <v>-5540064</v>
      </c>
      <c r="BM103" s="208">
        <v>0</v>
      </c>
      <c r="BN103" s="208">
        <v>-5540064</v>
      </c>
      <c r="BO103" s="208">
        <v>0</v>
      </c>
      <c r="BP103" s="208">
        <v>0</v>
      </c>
      <c r="BQ103" s="208">
        <v>0</v>
      </c>
      <c r="BR103" s="208">
        <v>0</v>
      </c>
      <c r="BS103" s="208">
        <v>0</v>
      </c>
      <c r="BT103" s="208">
        <v>0</v>
      </c>
      <c r="BU103" s="208">
        <v>-413298</v>
      </c>
      <c r="BV103" s="208">
        <v>0</v>
      </c>
      <c r="BW103" s="208">
        <v>-413298</v>
      </c>
      <c r="BX103" s="208">
        <v>13482</v>
      </c>
      <c r="BY103" s="208">
        <v>0</v>
      </c>
      <c r="BZ103" s="208">
        <v>13482</v>
      </c>
      <c r="CA103" s="208">
        <v>-399816</v>
      </c>
      <c r="CB103" s="208">
        <v>0</v>
      </c>
      <c r="CC103" s="208">
        <v>-399816</v>
      </c>
      <c r="CD103" s="208">
        <v>-18525</v>
      </c>
      <c r="CE103" s="208">
        <v>0</v>
      </c>
      <c r="CF103" s="208">
        <v>-18525</v>
      </c>
      <c r="CG103" s="208">
        <v>-617</v>
      </c>
      <c r="CH103" s="208">
        <v>0</v>
      </c>
      <c r="CI103" s="208">
        <v>-617</v>
      </c>
      <c r="CJ103" s="208">
        <v>-26150</v>
      </c>
      <c r="CK103" s="208">
        <v>0</v>
      </c>
      <c r="CL103" s="208">
        <v>-26150</v>
      </c>
      <c r="CM103" s="208">
        <v>1369</v>
      </c>
      <c r="CN103" s="208">
        <v>0</v>
      </c>
      <c r="CO103" s="208">
        <v>1369</v>
      </c>
      <c r="CP103" s="208">
        <v>0</v>
      </c>
      <c r="CQ103" s="208">
        <v>0</v>
      </c>
      <c r="CR103" s="208">
        <v>0</v>
      </c>
      <c r="CS103" s="208">
        <v>0</v>
      </c>
      <c r="CT103" s="208">
        <v>0</v>
      </c>
      <c r="CU103" s="208">
        <v>0</v>
      </c>
      <c r="CV103" s="208">
        <v>0</v>
      </c>
      <c r="CW103" s="208">
        <v>0</v>
      </c>
      <c r="CX103" s="208">
        <v>0</v>
      </c>
      <c r="CY103" s="208">
        <v>0</v>
      </c>
      <c r="CZ103" s="208">
        <v>0</v>
      </c>
      <c r="DA103" s="208">
        <v>0</v>
      </c>
      <c r="DB103" s="208">
        <v>0</v>
      </c>
      <c r="DC103" s="208">
        <v>0</v>
      </c>
      <c r="DD103" s="208">
        <v>0</v>
      </c>
      <c r="DE103" s="208">
        <v>0</v>
      </c>
      <c r="DF103" s="208">
        <v>0</v>
      </c>
      <c r="DG103" s="208">
        <v>0</v>
      </c>
      <c r="DH103" s="208">
        <v>0</v>
      </c>
      <c r="DI103" s="208">
        <v>0</v>
      </c>
      <c r="DJ103" s="208">
        <v>0</v>
      </c>
      <c r="DK103" s="208">
        <v>0</v>
      </c>
      <c r="DL103" s="208">
        <v>0</v>
      </c>
      <c r="DM103" s="208">
        <v>0</v>
      </c>
      <c r="DN103" s="208">
        <v>0</v>
      </c>
      <c r="DO103" s="208">
        <v>0</v>
      </c>
      <c r="DP103" s="208">
        <v>-43923</v>
      </c>
      <c r="DQ103" s="208">
        <v>0</v>
      </c>
      <c r="DR103" s="208">
        <v>-43923</v>
      </c>
      <c r="DS103" s="208">
        <v>0</v>
      </c>
      <c r="DT103" s="208">
        <v>0</v>
      </c>
      <c r="DU103" s="208">
        <v>0</v>
      </c>
      <c r="DV103" s="208">
        <v>0</v>
      </c>
      <c r="DW103" s="208">
        <v>0</v>
      </c>
      <c r="DX103" s="208">
        <v>0</v>
      </c>
      <c r="DY103" s="208">
        <v>0</v>
      </c>
      <c r="DZ103" s="208">
        <v>0</v>
      </c>
      <c r="EA103" s="208">
        <v>0</v>
      </c>
      <c r="EB103" s="208">
        <v>0</v>
      </c>
      <c r="EC103" s="208">
        <v>0</v>
      </c>
      <c r="ED103" s="208">
        <v>0</v>
      </c>
      <c r="EE103" s="208">
        <v>0</v>
      </c>
      <c r="EF103" s="208">
        <v>0</v>
      </c>
      <c r="EG103" s="208">
        <v>0</v>
      </c>
      <c r="EH103" s="208">
        <v>0</v>
      </c>
      <c r="EI103" s="208">
        <v>0</v>
      </c>
      <c r="EJ103" s="208">
        <v>0</v>
      </c>
      <c r="EK103" s="208">
        <v>-4448</v>
      </c>
      <c r="EL103" s="208">
        <v>0</v>
      </c>
      <c r="EM103" s="208">
        <v>-4448</v>
      </c>
      <c r="EN103" s="208">
        <v>-1246</v>
      </c>
      <c r="EO103" s="208">
        <v>0</v>
      </c>
      <c r="EP103" s="208">
        <v>-1246</v>
      </c>
      <c r="EQ103" s="208">
        <v>0</v>
      </c>
      <c r="ER103" s="208">
        <v>0</v>
      </c>
      <c r="ES103" s="208">
        <v>0</v>
      </c>
      <c r="ET103" s="208">
        <v>0</v>
      </c>
      <c r="EU103" s="208">
        <v>0</v>
      </c>
      <c r="EV103" s="208">
        <v>0</v>
      </c>
      <c r="EW103" s="208">
        <v>-20576</v>
      </c>
      <c r="EX103" s="208">
        <v>0</v>
      </c>
      <c r="EY103" s="208">
        <v>-20576</v>
      </c>
      <c r="EZ103" s="208">
        <v>0</v>
      </c>
      <c r="FA103" s="208">
        <v>0</v>
      </c>
      <c r="FB103" s="208">
        <v>0</v>
      </c>
      <c r="FC103" s="208">
        <v>-62370</v>
      </c>
      <c r="FD103" s="208">
        <v>0</v>
      </c>
      <c r="FE103" s="208">
        <v>-62370</v>
      </c>
      <c r="FF103" s="208">
        <v>1284</v>
      </c>
      <c r="FG103" s="208">
        <v>0</v>
      </c>
      <c r="FH103" s="208">
        <v>1284</v>
      </c>
      <c r="FI103" s="208">
        <v>-47019</v>
      </c>
      <c r="FJ103" s="208">
        <v>0</v>
      </c>
      <c r="FK103" s="208">
        <v>-47019</v>
      </c>
      <c r="FL103" s="208">
        <v>-1707</v>
      </c>
      <c r="FM103" s="208">
        <v>0</v>
      </c>
      <c r="FN103" s="208">
        <v>-1707</v>
      </c>
      <c r="FO103" s="208">
        <v>0</v>
      </c>
      <c r="FP103" s="208">
        <v>0</v>
      </c>
      <c r="FQ103" s="208">
        <v>0</v>
      </c>
      <c r="FR103" s="208">
        <v>0</v>
      </c>
      <c r="FS103" s="208">
        <v>0</v>
      </c>
      <c r="FT103" s="208">
        <v>0</v>
      </c>
      <c r="FU103" s="208">
        <v>-136082</v>
      </c>
      <c r="FV103" s="208">
        <v>0</v>
      </c>
      <c r="FW103" s="208">
        <v>-136082</v>
      </c>
      <c r="FX103" s="208">
        <v>0</v>
      </c>
      <c r="FY103" s="208">
        <v>0</v>
      </c>
      <c r="FZ103" s="208">
        <v>0</v>
      </c>
      <c r="GA103" s="208">
        <v>0</v>
      </c>
      <c r="GB103" s="208">
        <v>0</v>
      </c>
      <c r="GC103" s="208">
        <v>0</v>
      </c>
      <c r="GD103" s="208">
        <v>0</v>
      </c>
      <c r="GE103" s="208">
        <v>0</v>
      </c>
      <c r="GF103" s="208">
        <v>0</v>
      </c>
      <c r="GG103" s="208">
        <v>31934017</v>
      </c>
      <c r="GH103" s="208">
        <v>0</v>
      </c>
      <c r="GI103" s="208">
        <v>31934017</v>
      </c>
      <c r="GJ103" s="208">
        <v>53007</v>
      </c>
      <c r="GK103" s="208">
        <v>0</v>
      </c>
      <c r="GL103" s="208">
        <v>53007</v>
      </c>
      <c r="GM103" s="208">
        <v>-5540064</v>
      </c>
      <c r="GN103" s="208">
        <v>0</v>
      </c>
      <c r="GO103" s="208">
        <v>-5540064</v>
      </c>
      <c r="GP103" s="208">
        <v>-399816</v>
      </c>
      <c r="GQ103" s="208">
        <v>0</v>
      </c>
      <c r="GR103" s="208">
        <v>-399816</v>
      </c>
      <c r="GS103" s="208">
        <v>-43923</v>
      </c>
      <c r="GT103" s="208">
        <v>0</v>
      </c>
      <c r="GU103" s="208">
        <v>-43923</v>
      </c>
      <c r="GV103" s="208">
        <v>-136082</v>
      </c>
      <c r="GW103" s="208">
        <v>0</v>
      </c>
      <c r="GX103" s="208">
        <v>-136082</v>
      </c>
      <c r="GY103" s="208">
        <v>0</v>
      </c>
      <c r="GZ103" s="208">
        <v>0</v>
      </c>
      <c r="HA103" s="208">
        <v>0</v>
      </c>
      <c r="HB103" s="208">
        <v>-6066878</v>
      </c>
      <c r="HC103" s="208">
        <v>0</v>
      </c>
      <c r="HD103" s="208">
        <v>-6066878</v>
      </c>
      <c r="HE103" s="208">
        <v>25867139</v>
      </c>
      <c r="HF103" s="208">
        <v>0</v>
      </c>
      <c r="HG103" s="208">
        <v>25867139</v>
      </c>
      <c r="HH103" s="187" t="s">
        <v>1054</v>
      </c>
    </row>
    <row r="104" spans="1:216" s="187" customFormat="1" x14ac:dyDescent="0.2">
      <c r="B104" s="429" t="s">
        <v>287</v>
      </c>
      <c r="C104" s="429" t="s">
        <v>286</v>
      </c>
      <c r="D104" s="208">
        <v>-2145736</v>
      </c>
      <c r="E104" s="208">
        <v>0</v>
      </c>
      <c r="F104" s="208">
        <v>-2145736</v>
      </c>
      <c r="G104" s="208">
        <v>-490120</v>
      </c>
      <c r="H104" s="208">
        <v>0</v>
      </c>
      <c r="I104" s="208">
        <v>-490120</v>
      </c>
      <c r="J104" s="208">
        <v>4661087</v>
      </c>
      <c r="K104" s="208">
        <v>0</v>
      </c>
      <c r="L104" s="208">
        <v>4661087</v>
      </c>
      <c r="M104" s="208">
        <v>-72542</v>
      </c>
      <c r="N104" s="208">
        <v>0</v>
      </c>
      <c r="O104" s="208">
        <v>-72542</v>
      </c>
      <c r="P104" s="208">
        <v>1952689</v>
      </c>
      <c r="Q104" s="208">
        <v>0</v>
      </c>
      <c r="R104" s="208">
        <v>1952689</v>
      </c>
      <c r="S104" s="208">
        <v>-3721941</v>
      </c>
      <c r="T104" s="208">
        <v>0</v>
      </c>
      <c r="U104" s="208">
        <v>-3721941</v>
      </c>
      <c r="V104" s="208">
        <v>-485</v>
      </c>
      <c r="W104" s="208">
        <v>0</v>
      </c>
      <c r="X104" s="208">
        <v>-485</v>
      </c>
      <c r="Y104" s="208">
        <v>-200520</v>
      </c>
      <c r="Z104" s="208">
        <v>0</v>
      </c>
      <c r="AA104" s="208">
        <v>-200520</v>
      </c>
      <c r="AB104" s="208">
        <v>-56163</v>
      </c>
      <c r="AC104" s="208">
        <v>0</v>
      </c>
      <c r="AD104" s="208">
        <v>-56163</v>
      </c>
      <c r="AE104" s="208">
        <v>-136548</v>
      </c>
      <c r="AF104" s="208">
        <v>0</v>
      </c>
      <c r="AG104" s="208">
        <v>-136548</v>
      </c>
      <c r="AH104" s="208">
        <v>0</v>
      </c>
      <c r="AI104" s="208">
        <v>0</v>
      </c>
      <c r="AJ104" s="208">
        <v>0</v>
      </c>
      <c r="AK104" s="208">
        <v>399</v>
      </c>
      <c r="AL104" s="208">
        <v>0</v>
      </c>
      <c r="AM104" s="208">
        <v>399</v>
      </c>
      <c r="AN104" s="208">
        <v>1923523</v>
      </c>
      <c r="AO104" s="208">
        <v>0</v>
      </c>
      <c r="AP104" s="208">
        <v>1923523</v>
      </c>
      <c r="AQ104" s="208">
        <v>-17906</v>
      </c>
      <c r="AR104" s="208">
        <v>0</v>
      </c>
      <c r="AS104" s="208">
        <v>-17906</v>
      </c>
      <c r="AT104" s="208">
        <v>-7108230</v>
      </c>
      <c r="AU104" s="208">
        <v>0</v>
      </c>
      <c r="AV104" s="208">
        <v>-7108230</v>
      </c>
      <c r="AW104" s="208">
        <v>-12714</v>
      </c>
      <c r="AX104" s="208">
        <v>0</v>
      </c>
      <c r="AY104" s="208">
        <v>-12714</v>
      </c>
      <c r="AZ104" s="208">
        <v>-37393</v>
      </c>
      <c r="BA104" s="208">
        <v>0</v>
      </c>
      <c r="BB104" s="208">
        <v>-37393</v>
      </c>
      <c r="BC104" s="208">
        <v>0</v>
      </c>
      <c r="BD104" s="208">
        <v>0</v>
      </c>
      <c r="BE104" s="208">
        <v>0</v>
      </c>
      <c r="BF104" s="208">
        <v>0</v>
      </c>
      <c r="BG104" s="208">
        <v>0</v>
      </c>
      <c r="BH104" s="208">
        <v>0</v>
      </c>
      <c r="BI104" s="208">
        <v>0</v>
      </c>
      <c r="BJ104" s="208">
        <v>0</v>
      </c>
      <c r="BK104" s="208">
        <v>0</v>
      </c>
      <c r="BL104" s="208">
        <v>-9175181</v>
      </c>
      <c r="BM104" s="208">
        <v>0</v>
      </c>
      <c r="BN104" s="208">
        <v>-9175181</v>
      </c>
      <c r="BO104" s="208">
        <v>-8006</v>
      </c>
      <c r="BP104" s="208">
        <v>0</v>
      </c>
      <c r="BQ104" s="208">
        <v>-8006</v>
      </c>
      <c r="BR104" s="208">
        <v>0</v>
      </c>
      <c r="BS104" s="208">
        <v>0</v>
      </c>
      <c r="BT104" s="208">
        <v>0</v>
      </c>
      <c r="BU104" s="208">
        <v>-1712939</v>
      </c>
      <c r="BV104" s="208">
        <v>0</v>
      </c>
      <c r="BW104" s="208">
        <v>-1712939</v>
      </c>
      <c r="BX104" s="208">
        <v>-83354</v>
      </c>
      <c r="BY104" s="208">
        <v>0</v>
      </c>
      <c r="BZ104" s="208">
        <v>-83354</v>
      </c>
      <c r="CA104" s="208">
        <v>-1804299</v>
      </c>
      <c r="CB104" s="208">
        <v>0</v>
      </c>
      <c r="CC104" s="208">
        <v>-1804299</v>
      </c>
      <c r="CD104" s="208">
        <v>-226136</v>
      </c>
      <c r="CE104" s="208">
        <v>0</v>
      </c>
      <c r="CF104" s="208">
        <v>-226136</v>
      </c>
      <c r="CG104" s="208">
        <v>-532</v>
      </c>
      <c r="CH104" s="208">
        <v>0</v>
      </c>
      <c r="CI104" s="208">
        <v>-532</v>
      </c>
      <c r="CJ104" s="208">
        <v>-56476</v>
      </c>
      <c r="CK104" s="208">
        <v>0</v>
      </c>
      <c r="CL104" s="208">
        <v>-56476</v>
      </c>
      <c r="CM104" s="208">
        <v>0</v>
      </c>
      <c r="CN104" s="208">
        <v>0</v>
      </c>
      <c r="CO104" s="208">
        <v>0</v>
      </c>
      <c r="CP104" s="208">
        <v>-3853</v>
      </c>
      <c r="CQ104" s="208">
        <v>0</v>
      </c>
      <c r="CR104" s="208">
        <v>-3853</v>
      </c>
      <c r="CS104" s="208">
        <v>0</v>
      </c>
      <c r="CT104" s="208">
        <v>0</v>
      </c>
      <c r="CU104" s="208">
        <v>0</v>
      </c>
      <c r="CV104" s="208">
        <v>0</v>
      </c>
      <c r="CW104" s="208">
        <v>0</v>
      </c>
      <c r="CX104" s="208">
        <v>0</v>
      </c>
      <c r="CY104" s="208">
        <v>0</v>
      </c>
      <c r="CZ104" s="208">
        <v>0</v>
      </c>
      <c r="DA104" s="208">
        <v>0</v>
      </c>
      <c r="DB104" s="208">
        <v>0</v>
      </c>
      <c r="DC104" s="208">
        <v>0</v>
      </c>
      <c r="DD104" s="208">
        <v>0</v>
      </c>
      <c r="DE104" s="208">
        <v>0</v>
      </c>
      <c r="DF104" s="208">
        <v>0</v>
      </c>
      <c r="DG104" s="208">
        <v>0</v>
      </c>
      <c r="DH104" s="208">
        <v>0</v>
      </c>
      <c r="DI104" s="208">
        <v>0</v>
      </c>
      <c r="DJ104" s="208">
        <v>0</v>
      </c>
      <c r="DK104" s="208">
        <v>0</v>
      </c>
      <c r="DL104" s="208">
        <v>0</v>
      </c>
      <c r="DM104" s="208">
        <v>0</v>
      </c>
      <c r="DN104" s="208">
        <v>0</v>
      </c>
      <c r="DO104" s="208">
        <v>0</v>
      </c>
      <c r="DP104" s="208">
        <v>-286997</v>
      </c>
      <c r="DQ104" s="208">
        <v>0</v>
      </c>
      <c r="DR104" s="208">
        <v>-286997</v>
      </c>
      <c r="DS104" s="208">
        <v>0</v>
      </c>
      <c r="DT104" s="208">
        <v>0</v>
      </c>
      <c r="DU104" s="208">
        <v>0</v>
      </c>
      <c r="DV104" s="208">
        <v>0</v>
      </c>
      <c r="DW104" s="208">
        <v>0</v>
      </c>
      <c r="DX104" s="208">
        <v>0</v>
      </c>
      <c r="DY104" s="208">
        <v>3117</v>
      </c>
      <c r="DZ104" s="208">
        <v>0</v>
      </c>
      <c r="EA104" s="208">
        <v>3117</v>
      </c>
      <c r="EB104" s="208">
        <v>0</v>
      </c>
      <c r="EC104" s="208">
        <v>0</v>
      </c>
      <c r="ED104" s="208">
        <v>0</v>
      </c>
      <c r="EE104" s="208">
        <v>0</v>
      </c>
      <c r="EF104" s="208">
        <v>0</v>
      </c>
      <c r="EG104" s="208">
        <v>0</v>
      </c>
      <c r="EH104" s="208">
        <v>0</v>
      </c>
      <c r="EI104" s="208">
        <v>0</v>
      </c>
      <c r="EJ104" s="208">
        <v>0</v>
      </c>
      <c r="EK104" s="208">
        <v>0</v>
      </c>
      <c r="EL104" s="208">
        <v>0</v>
      </c>
      <c r="EM104" s="208">
        <v>0</v>
      </c>
      <c r="EN104" s="208">
        <v>0</v>
      </c>
      <c r="EO104" s="208">
        <v>0</v>
      </c>
      <c r="EP104" s="208">
        <v>0</v>
      </c>
      <c r="EQ104" s="208">
        <v>-1500</v>
      </c>
      <c r="ER104" s="208">
        <v>0</v>
      </c>
      <c r="ES104" s="208">
        <v>-1500</v>
      </c>
      <c r="ET104" s="208">
        <v>0</v>
      </c>
      <c r="EU104" s="208">
        <v>0</v>
      </c>
      <c r="EV104" s="208">
        <v>0</v>
      </c>
      <c r="EW104" s="208">
        <v>-24263</v>
      </c>
      <c r="EX104" s="208">
        <v>0</v>
      </c>
      <c r="EY104" s="208">
        <v>-24263</v>
      </c>
      <c r="EZ104" s="208">
        <v>-2497</v>
      </c>
      <c r="FA104" s="208">
        <v>0</v>
      </c>
      <c r="FB104" s="208">
        <v>-2497</v>
      </c>
      <c r="FC104" s="208">
        <v>-168032</v>
      </c>
      <c r="FD104" s="208">
        <v>0</v>
      </c>
      <c r="FE104" s="208">
        <v>-168032</v>
      </c>
      <c r="FF104" s="208">
        <v>-3203</v>
      </c>
      <c r="FG104" s="208">
        <v>0</v>
      </c>
      <c r="FH104" s="208">
        <v>-3203</v>
      </c>
      <c r="FI104" s="208">
        <v>-39247</v>
      </c>
      <c r="FJ104" s="208">
        <v>0</v>
      </c>
      <c r="FK104" s="208">
        <v>-39247</v>
      </c>
      <c r="FL104" s="208">
        <v>-3531</v>
      </c>
      <c r="FM104" s="208">
        <v>0</v>
      </c>
      <c r="FN104" s="208">
        <v>-3531</v>
      </c>
      <c r="FO104" s="208">
        <v>0</v>
      </c>
      <c r="FP104" s="208">
        <v>0</v>
      </c>
      <c r="FQ104" s="208">
        <v>0</v>
      </c>
      <c r="FR104" s="208">
        <v>0</v>
      </c>
      <c r="FS104" s="208">
        <v>0</v>
      </c>
      <c r="FT104" s="208">
        <v>0</v>
      </c>
      <c r="FU104" s="208">
        <v>-239156</v>
      </c>
      <c r="FV104" s="208">
        <v>0</v>
      </c>
      <c r="FW104" s="208">
        <v>-239156</v>
      </c>
      <c r="FX104" s="208">
        <v>-1947</v>
      </c>
      <c r="FY104" s="208">
        <v>0</v>
      </c>
      <c r="FZ104" s="208">
        <v>-1947</v>
      </c>
      <c r="GA104" s="208">
        <v>0</v>
      </c>
      <c r="GB104" s="208">
        <v>0</v>
      </c>
      <c r="GC104" s="208">
        <v>0</v>
      </c>
      <c r="GD104" s="208">
        <v>-1947</v>
      </c>
      <c r="GE104" s="208">
        <v>0</v>
      </c>
      <c r="GF104" s="208">
        <v>-1947</v>
      </c>
      <c r="GG104" s="208">
        <v>91085868</v>
      </c>
      <c r="GH104" s="208">
        <v>0</v>
      </c>
      <c r="GI104" s="208">
        <v>91085868</v>
      </c>
      <c r="GJ104" s="208">
        <v>1952689</v>
      </c>
      <c r="GK104" s="208">
        <v>0</v>
      </c>
      <c r="GL104" s="208">
        <v>1952689</v>
      </c>
      <c r="GM104" s="208">
        <v>-9175181</v>
      </c>
      <c r="GN104" s="208">
        <v>0</v>
      </c>
      <c r="GO104" s="208">
        <v>-9175181</v>
      </c>
      <c r="GP104" s="208">
        <v>-1804299</v>
      </c>
      <c r="GQ104" s="208">
        <v>0</v>
      </c>
      <c r="GR104" s="208">
        <v>-1804299</v>
      </c>
      <c r="GS104" s="208">
        <v>-286997</v>
      </c>
      <c r="GT104" s="208">
        <v>0</v>
      </c>
      <c r="GU104" s="208">
        <v>-286997</v>
      </c>
      <c r="GV104" s="208">
        <v>-239156</v>
      </c>
      <c r="GW104" s="208">
        <v>0</v>
      </c>
      <c r="GX104" s="208">
        <v>-239156</v>
      </c>
      <c r="GY104" s="208">
        <v>-1947</v>
      </c>
      <c r="GZ104" s="208">
        <v>0</v>
      </c>
      <c r="HA104" s="208">
        <v>-1947</v>
      </c>
      <c r="HB104" s="208">
        <v>-9554891</v>
      </c>
      <c r="HC104" s="208">
        <v>0</v>
      </c>
      <c r="HD104" s="208">
        <v>-9554891</v>
      </c>
      <c r="HE104" s="208">
        <v>81530977</v>
      </c>
      <c r="HF104" s="208">
        <v>0</v>
      </c>
      <c r="HG104" s="208">
        <v>81530977</v>
      </c>
      <c r="HH104" s="187" t="s">
        <v>1054</v>
      </c>
    </row>
    <row r="105" spans="1:216" s="187" customFormat="1" x14ac:dyDescent="0.2">
      <c r="B105" s="429" t="s">
        <v>289</v>
      </c>
      <c r="C105" s="429" t="s">
        <v>288</v>
      </c>
      <c r="D105" s="208">
        <v>-590172</v>
      </c>
      <c r="E105" s="208">
        <v>0</v>
      </c>
      <c r="F105" s="208">
        <v>-590172</v>
      </c>
      <c r="G105" s="208">
        <v>-22373</v>
      </c>
      <c r="H105" s="208">
        <v>0</v>
      </c>
      <c r="I105" s="208">
        <v>-22373</v>
      </c>
      <c r="J105" s="208">
        <v>1619582</v>
      </c>
      <c r="K105" s="208">
        <v>0</v>
      </c>
      <c r="L105" s="208">
        <v>1619582</v>
      </c>
      <c r="M105" s="208">
        <v>-9453</v>
      </c>
      <c r="N105" s="208">
        <v>0</v>
      </c>
      <c r="O105" s="208">
        <v>-9453</v>
      </c>
      <c r="P105" s="208">
        <v>997584</v>
      </c>
      <c r="Q105" s="208">
        <v>0</v>
      </c>
      <c r="R105" s="208">
        <v>997584</v>
      </c>
      <c r="S105" s="208">
        <v>-3155502</v>
      </c>
      <c r="T105" s="208">
        <v>-32855</v>
      </c>
      <c r="U105" s="208">
        <v>-3188357</v>
      </c>
      <c r="V105" s="208">
        <v>-13123</v>
      </c>
      <c r="W105" s="208">
        <v>0</v>
      </c>
      <c r="X105" s="208">
        <v>-13123</v>
      </c>
      <c r="Y105" s="208">
        <v>-29815</v>
      </c>
      <c r="Z105" s="208">
        <v>0</v>
      </c>
      <c r="AA105" s="208">
        <v>-29815</v>
      </c>
      <c r="AB105" s="208">
        <v>8981</v>
      </c>
      <c r="AC105" s="208">
        <v>0</v>
      </c>
      <c r="AD105" s="208">
        <v>8981</v>
      </c>
      <c r="AE105" s="208">
        <v>-38796</v>
      </c>
      <c r="AF105" s="208">
        <v>0</v>
      </c>
      <c r="AG105" s="208">
        <v>-38796</v>
      </c>
      <c r="AH105" s="208">
        <v>0</v>
      </c>
      <c r="AI105" s="208">
        <v>0</v>
      </c>
      <c r="AJ105" s="208">
        <v>0</v>
      </c>
      <c r="AK105" s="208">
        <v>-3574</v>
      </c>
      <c r="AL105" s="208">
        <v>0</v>
      </c>
      <c r="AM105" s="208">
        <v>-3574</v>
      </c>
      <c r="AN105" s="208">
        <v>918352</v>
      </c>
      <c r="AO105" s="208">
        <v>12581</v>
      </c>
      <c r="AP105" s="208">
        <v>930933</v>
      </c>
      <c r="AQ105" s="208">
        <v>-280</v>
      </c>
      <c r="AR105" s="208">
        <v>1</v>
      </c>
      <c r="AS105" s="208">
        <v>-279</v>
      </c>
      <c r="AT105" s="208">
        <v>-2759769</v>
      </c>
      <c r="AU105" s="208">
        <v>-109056</v>
      </c>
      <c r="AV105" s="208">
        <v>-2868825</v>
      </c>
      <c r="AW105" s="208">
        <v>36658</v>
      </c>
      <c r="AX105" s="208">
        <v>0</v>
      </c>
      <c r="AY105" s="208">
        <v>36658</v>
      </c>
      <c r="AZ105" s="208">
        <v>0</v>
      </c>
      <c r="BA105" s="208">
        <v>0</v>
      </c>
      <c r="BB105" s="208">
        <v>0</v>
      </c>
      <c r="BC105" s="208">
        <v>0</v>
      </c>
      <c r="BD105" s="208">
        <v>0</v>
      </c>
      <c r="BE105" s="208">
        <v>0</v>
      </c>
      <c r="BF105" s="208">
        <v>0</v>
      </c>
      <c r="BG105" s="208">
        <v>0</v>
      </c>
      <c r="BH105" s="208">
        <v>0</v>
      </c>
      <c r="BI105" s="208">
        <v>0</v>
      </c>
      <c r="BJ105" s="208">
        <v>0</v>
      </c>
      <c r="BK105" s="208">
        <v>0</v>
      </c>
      <c r="BL105" s="208">
        <v>-4990356</v>
      </c>
      <c r="BM105" s="208">
        <v>-129329</v>
      </c>
      <c r="BN105" s="208">
        <v>-5119685</v>
      </c>
      <c r="BO105" s="208">
        <v>-13644</v>
      </c>
      <c r="BP105" s="208">
        <v>0</v>
      </c>
      <c r="BQ105" s="208">
        <v>-13644</v>
      </c>
      <c r="BR105" s="208">
        <v>-21509</v>
      </c>
      <c r="BS105" s="208">
        <v>0</v>
      </c>
      <c r="BT105" s="208">
        <v>-21509</v>
      </c>
      <c r="BU105" s="208">
        <v>-1323753</v>
      </c>
      <c r="BV105" s="208">
        <v>-84054</v>
      </c>
      <c r="BW105" s="208">
        <v>-1407807</v>
      </c>
      <c r="BX105" s="208">
        <v>-3771</v>
      </c>
      <c r="BY105" s="208">
        <v>0</v>
      </c>
      <c r="BZ105" s="208">
        <v>-3771</v>
      </c>
      <c r="CA105" s="208">
        <v>-1362677</v>
      </c>
      <c r="CB105" s="208">
        <v>-84054</v>
      </c>
      <c r="CC105" s="208">
        <v>-1446731</v>
      </c>
      <c r="CD105" s="208">
        <v>-129747</v>
      </c>
      <c r="CE105" s="208">
        <v>-4021</v>
      </c>
      <c r="CF105" s="208">
        <v>-133768</v>
      </c>
      <c r="CG105" s="208">
        <v>0</v>
      </c>
      <c r="CH105" s="208">
        <v>0</v>
      </c>
      <c r="CI105" s="208">
        <v>0</v>
      </c>
      <c r="CJ105" s="208">
        <v>-532360</v>
      </c>
      <c r="CK105" s="208">
        <v>-15533</v>
      </c>
      <c r="CL105" s="208">
        <v>-547893</v>
      </c>
      <c r="CM105" s="208">
        <v>0</v>
      </c>
      <c r="CN105" s="208">
        <v>0</v>
      </c>
      <c r="CO105" s="208">
        <v>0</v>
      </c>
      <c r="CP105" s="208">
        <v>0</v>
      </c>
      <c r="CQ105" s="208">
        <v>0</v>
      </c>
      <c r="CR105" s="208">
        <v>0</v>
      </c>
      <c r="CS105" s="208">
        <v>0</v>
      </c>
      <c r="CT105" s="208">
        <v>0</v>
      </c>
      <c r="CU105" s="208">
        <v>0</v>
      </c>
      <c r="CV105" s="208">
        <v>0</v>
      </c>
      <c r="CW105" s="208">
        <v>0</v>
      </c>
      <c r="CX105" s="208">
        <v>0</v>
      </c>
      <c r="CY105" s="208">
        <v>0</v>
      </c>
      <c r="CZ105" s="208">
        <v>0</v>
      </c>
      <c r="DA105" s="208">
        <v>0</v>
      </c>
      <c r="DB105" s="208">
        <v>0</v>
      </c>
      <c r="DC105" s="208">
        <v>0</v>
      </c>
      <c r="DD105" s="208">
        <v>0</v>
      </c>
      <c r="DE105" s="208">
        <v>0</v>
      </c>
      <c r="DF105" s="208">
        <v>0</v>
      </c>
      <c r="DG105" s="208">
        <v>0</v>
      </c>
      <c r="DH105" s="208">
        <v>0</v>
      </c>
      <c r="DI105" s="208">
        <v>-265502</v>
      </c>
      <c r="DJ105" s="208">
        <v>-265502</v>
      </c>
      <c r="DK105" s="208">
        <v>0</v>
      </c>
      <c r="DL105" s="208">
        <v>-58632</v>
      </c>
      <c r="DM105" s="208">
        <v>-58632</v>
      </c>
      <c r="DN105" s="208">
        <v>-324134</v>
      </c>
      <c r="DO105" s="208">
        <v>0</v>
      </c>
      <c r="DP105" s="208">
        <v>-662107</v>
      </c>
      <c r="DQ105" s="208">
        <v>-343688</v>
      </c>
      <c r="DR105" s="208">
        <v>-1005795</v>
      </c>
      <c r="DS105" s="208">
        <v>0</v>
      </c>
      <c r="DT105" s="208">
        <v>0</v>
      </c>
      <c r="DU105" s="208">
        <v>0</v>
      </c>
      <c r="DV105" s="208">
        <v>0</v>
      </c>
      <c r="DW105" s="208">
        <v>0</v>
      </c>
      <c r="DX105" s="208">
        <v>0</v>
      </c>
      <c r="DY105" s="208">
        <v>0</v>
      </c>
      <c r="DZ105" s="208">
        <v>0</v>
      </c>
      <c r="EA105" s="208">
        <v>0</v>
      </c>
      <c r="EB105" s="208">
        <v>0</v>
      </c>
      <c r="EC105" s="208">
        <v>0</v>
      </c>
      <c r="ED105" s="208">
        <v>0</v>
      </c>
      <c r="EE105" s="208">
        <v>0</v>
      </c>
      <c r="EF105" s="208">
        <v>0</v>
      </c>
      <c r="EG105" s="208">
        <v>0</v>
      </c>
      <c r="EH105" s="208">
        <v>0</v>
      </c>
      <c r="EI105" s="208">
        <v>0</v>
      </c>
      <c r="EJ105" s="208">
        <v>0</v>
      </c>
      <c r="EK105" s="208">
        <v>0</v>
      </c>
      <c r="EL105" s="208">
        <v>0</v>
      </c>
      <c r="EM105" s="208">
        <v>0</v>
      </c>
      <c r="EN105" s="208">
        <v>0</v>
      </c>
      <c r="EO105" s="208">
        <v>0</v>
      </c>
      <c r="EP105" s="208">
        <v>0</v>
      </c>
      <c r="EQ105" s="208">
        <v>0</v>
      </c>
      <c r="ER105" s="208">
        <v>0</v>
      </c>
      <c r="ES105" s="208">
        <v>0</v>
      </c>
      <c r="ET105" s="208">
        <v>0</v>
      </c>
      <c r="EU105" s="208">
        <v>0</v>
      </c>
      <c r="EV105" s="208">
        <v>0</v>
      </c>
      <c r="EW105" s="208">
        <v>-9399</v>
      </c>
      <c r="EX105" s="208">
        <v>0</v>
      </c>
      <c r="EY105" s="208">
        <v>-9399</v>
      </c>
      <c r="EZ105" s="208">
        <v>22.04</v>
      </c>
      <c r="FA105" s="208">
        <v>0</v>
      </c>
      <c r="FB105" s="208">
        <v>22.04</v>
      </c>
      <c r="FC105" s="208">
        <v>-81839</v>
      </c>
      <c r="FD105" s="208">
        <v>0</v>
      </c>
      <c r="FE105" s="208">
        <v>-81839</v>
      </c>
      <c r="FF105" s="208">
        <v>-492</v>
      </c>
      <c r="FG105" s="208">
        <v>0</v>
      </c>
      <c r="FH105" s="208">
        <v>-492</v>
      </c>
      <c r="FI105" s="208">
        <v>-14476</v>
      </c>
      <c r="FJ105" s="208">
        <v>0</v>
      </c>
      <c r="FK105" s="208">
        <v>-14476</v>
      </c>
      <c r="FL105" s="208">
        <v>0</v>
      </c>
      <c r="FM105" s="208">
        <v>0</v>
      </c>
      <c r="FN105" s="208">
        <v>0</v>
      </c>
      <c r="FO105" s="208">
        <v>0</v>
      </c>
      <c r="FP105" s="208">
        <v>0</v>
      </c>
      <c r="FQ105" s="208">
        <v>0</v>
      </c>
      <c r="FR105" s="208">
        <v>0</v>
      </c>
      <c r="FS105" s="208">
        <v>0</v>
      </c>
      <c r="FT105" s="208">
        <v>0</v>
      </c>
      <c r="FU105" s="208">
        <v>-106184</v>
      </c>
      <c r="FV105" s="208">
        <v>0</v>
      </c>
      <c r="FW105" s="208">
        <v>-106184</v>
      </c>
      <c r="FX105" s="208">
        <v>0</v>
      </c>
      <c r="FY105" s="208">
        <v>0</v>
      </c>
      <c r="FZ105" s="208">
        <v>0</v>
      </c>
      <c r="GA105" s="208">
        <v>0</v>
      </c>
      <c r="GB105" s="208">
        <v>0</v>
      </c>
      <c r="GC105" s="208">
        <v>0</v>
      </c>
      <c r="GD105" s="208">
        <v>0</v>
      </c>
      <c r="GE105" s="208">
        <v>0</v>
      </c>
      <c r="GF105" s="208">
        <v>0</v>
      </c>
      <c r="GG105" s="208">
        <v>48374330</v>
      </c>
      <c r="GH105" s="208">
        <v>773011</v>
      </c>
      <c r="GI105" s="208">
        <v>49147341</v>
      </c>
      <c r="GJ105" s="208">
        <v>997584</v>
      </c>
      <c r="GK105" s="208">
        <v>0</v>
      </c>
      <c r="GL105" s="208">
        <v>997584</v>
      </c>
      <c r="GM105" s="208">
        <v>-4990356</v>
      </c>
      <c r="GN105" s="208">
        <v>-129329</v>
      </c>
      <c r="GO105" s="208">
        <v>-5119685</v>
      </c>
      <c r="GP105" s="208">
        <v>-1362677</v>
      </c>
      <c r="GQ105" s="208">
        <v>-84054</v>
      </c>
      <c r="GR105" s="208">
        <v>-1446731</v>
      </c>
      <c r="GS105" s="208">
        <v>-662107</v>
      </c>
      <c r="GT105" s="208">
        <v>-343688</v>
      </c>
      <c r="GU105" s="208">
        <v>-1005795</v>
      </c>
      <c r="GV105" s="208">
        <v>-106184</v>
      </c>
      <c r="GW105" s="208">
        <v>0</v>
      </c>
      <c r="GX105" s="208">
        <v>-106184</v>
      </c>
      <c r="GY105" s="208">
        <v>0</v>
      </c>
      <c r="GZ105" s="208">
        <v>0</v>
      </c>
      <c r="HA105" s="208">
        <v>0</v>
      </c>
      <c r="HB105" s="208">
        <v>-6123740</v>
      </c>
      <c r="HC105" s="208">
        <v>-557071</v>
      </c>
      <c r="HD105" s="208">
        <v>-6680811</v>
      </c>
      <c r="HE105" s="208">
        <v>42250590</v>
      </c>
      <c r="HF105" s="208">
        <v>215940</v>
      </c>
      <c r="HG105" s="208">
        <v>42466530</v>
      </c>
      <c r="HH105" s="187" t="s">
        <v>1054</v>
      </c>
    </row>
    <row r="106" spans="1:216" s="187" customFormat="1" x14ac:dyDescent="0.2">
      <c r="B106" s="429" t="s">
        <v>291</v>
      </c>
      <c r="C106" s="429" t="s">
        <v>290</v>
      </c>
      <c r="D106" s="208">
        <v>-570026</v>
      </c>
      <c r="E106" s="208">
        <v>0</v>
      </c>
      <c r="F106" s="208">
        <v>-570026</v>
      </c>
      <c r="G106" s="208">
        <v>-2439</v>
      </c>
      <c r="H106" s="208">
        <v>0</v>
      </c>
      <c r="I106" s="208">
        <v>-2439</v>
      </c>
      <c r="J106" s="208">
        <v>549640</v>
      </c>
      <c r="K106" s="208">
        <v>0</v>
      </c>
      <c r="L106" s="208">
        <v>549640</v>
      </c>
      <c r="M106" s="208">
        <v>-132621</v>
      </c>
      <c r="N106" s="208">
        <v>0</v>
      </c>
      <c r="O106" s="208">
        <v>-132621</v>
      </c>
      <c r="P106" s="208">
        <v>-155446</v>
      </c>
      <c r="Q106" s="208">
        <v>0</v>
      </c>
      <c r="R106" s="208">
        <v>-155446</v>
      </c>
      <c r="S106" s="208">
        <v>-3669463</v>
      </c>
      <c r="T106" s="208">
        <v>0</v>
      </c>
      <c r="U106" s="208">
        <v>-3669463</v>
      </c>
      <c r="V106" s="208">
        <v>0</v>
      </c>
      <c r="W106" s="208">
        <v>0</v>
      </c>
      <c r="X106" s="208">
        <v>0</v>
      </c>
      <c r="Y106" s="208">
        <v>-74712</v>
      </c>
      <c r="Z106" s="208">
        <v>0</v>
      </c>
      <c r="AA106" s="208">
        <v>-74712</v>
      </c>
      <c r="AB106" s="208">
        <v>1494</v>
      </c>
      <c r="AC106" s="208">
        <v>0</v>
      </c>
      <c r="AD106" s="208">
        <v>1494</v>
      </c>
      <c r="AE106" s="208">
        <v>-74835</v>
      </c>
      <c r="AF106" s="208">
        <v>0</v>
      </c>
      <c r="AG106" s="208">
        <v>-74835</v>
      </c>
      <c r="AH106" s="208">
        <v>0</v>
      </c>
      <c r="AI106" s="208">
        <v>0</v>
      </c>
      <c r="AJ106" s="208">
        <v>0</v>
      </c>
      <c r="AK106" s="208">
        <v>0</v>
      </c>
      <c r="AL106" s="208">
        <v>0</v>
      </c>
      <c r="AM106" s="208">
        <v>0</v>
      </c>
      <c r="AN106" s="208">
        <v>566778</v>
      </c>
      <c r="AO106" s="208">
        <v>0</v>
      </c>
      <c r="AP106" s="208">
        <v>566778</v>
      </c>
      <c r="AQ106" s="208">
        <v>-29692</v>
      </c>
      <c r="AR106" s="208">
        <v>0</v>
      </c>
      <c r="AS106" s="208">
        <v>-29692</v>
      </c>
      <c r="AT106" s="208">
        <v>-2359538</v>
      </c>
      <c r="AU106" s="208">
        <v>0</v>
      </c>
      <c r="AV106" s="208">
        <v>-2359538</v>
      </c>
      <c r="AW106" s="208">
        <v>-97839</v>
      </c>
      <c r="AX106" s="208">
        <v>0</v>
      </c>
      <c r="AY106" s="208">
        <v>-97839</v>
      </c>
      <c r="AZ106" s="208">
        <v>-37478</v>
      </c>
      <c r="BA106" s="208">
        <v>0</v>
      </c>
      <c r="BB106" s="208">
        <v>-37478</v>
      </c>
      <c r="BC106" s="208">
        <v>0</v>
      </c>
      <c r="BD106" s="208">
        <v>0</v>
      </c>
      <c r="BE106" s="208">
        <v>0</v>
      </c>
      <c r="BF106" s="208">
        <v>-25730</v>
      </c>
      <c r="BG106" s="208">
        <v>0</v>
      </c>
      <c r="BH106" s="208">
        <v>-25730</v>
      </c>
      <c r="BI106" s="208">
        <v>54</v>
      </c>
      <c r="BJ106" s="208">
        <v>0</v>
      </c>
      <c r="BK106" s="208">
        <v>54</v>
      </c>
      <c r="BL106" s="208">
        <v>-5727620</v>
      </c>
      <c r="BM106" s="208">
        <v>0</v>
      </c>
      <c r="BN106" s="208">
        <v>-5727620</v>
      </c>
      <c r="BO106" s="208">
        <v>0</v>
      </c>
      <c r="BP106" s="208">
        <v>0</v>
      </c>
      <c r="BQ106" s="208">
        <v>0</v>
      </c>
      <c r="BR106" s="208">
        <v>-6461</v>
      </c>
      <c r="BS106" s="208">
        <v>0</v>
      </c>
      <c r="BT106" s="208">
        <v>-6461</v>
      </c>
      <c r="BU106" s="208">
        <v>-436828</v>
      </c>
      <c r="BV106" s="208">
        <v>0</v>
      </c>
      <c r="BW106" s="208">
        <v>-436828</v>
      </c>
      <c r="BX106" s="208">
        <v>98322</v>
      </c>
      <c r="BY106" s="208">
        <v>0</v>
      </c>
      <c r="BZ106" s="208">
        <v>98322</v>
      </c>
      <c r="CA106" s="208">
        <v>-344967</v>
      </c>
      <c r="CB106" s="208">
        <v>0</v>
      </c>
      <c r="CC106" s="208">
        <v>-344967</v>
      </c>
      <c r="CD106" s="208">
        <v>-26967</v>
      </c>
      <c r="CE106" s="208">
        <v>0</v>
      </c>
      <c r="CF106" s="208">
        <v>-26967</v>
      </c>
      <c r="CG106" s="208">
        <v>-41</v>
      </c>
      <c r="CH106" s="208">
        <v>0</v>
      </c>
      <c r="CI106" s="208">
        <v>-41</v>
      </c>
      <c r="CJ106" s="208">
        <v>-53408</v>
      </c>
      <c r="CK106" s="208">
        <v>0</v>
      </c>
      <c r="CL106" s="208">
        <v>-53408</v>
      </c>
      <c r="CM106" s="208">
        <v>3878</v>
      </c>
      <c r="CN106" s="208">
        <v>0</v>
      </c>
      <c r="CO106" s="208">
        <v>3878</v>
      </c>
      <c r="CP106" s="208">
        <v>-1060</v>
      </c>
      <c r="CQ106" s="208">
        <v>0</v>
      </c>
      <c r="CR106" s="208">
        <v>-1060</v>
      </c>
      <c r="CS106" s="208">
        <v>0</v>
      </c>
      <c r="CT106" s="208">
        <v>0</v>
      </c>
      <c r="CU106" s="208">
        <v>0</v>
      </c>
      <c r="CV106" s="208">
        <v>0</v>
      </c>
      <c r="CW106" s="208">
        <v>0</v>
      </c>
      <c r="CX106" s="208">
        <v>0</v>
      </c>
      <c r="CY106" s="208">
        <v>832</v>
      </c>
      <c r="CZ106" s="208">
        <v>0</v>
      </c>
      <c r="DA106" s="208">
        <v>832</v>
      </c>
      <c r="DB106" s="208">
        <v>-4595</v>
      </c>
      <c r="DC106" s="208">
        <v>0</v>
      </c>
      <c r="DD106" s="208">
        <v>-4595</v>
      </c>
      <c r="DE106" s="208">
        <v>0</v>
      </c>
      <c r="DF106" s="208">
        <v>0</v>
      </c>
      <c r="DG106" s="208">
        <v>0</v>
      </c>
      <c r="DH106" s="208">
        <v>0</v>
      </c>
      <c r="DI106" s="208">
        <v>0</v>
      </c>
      <c r="DJ106" s="208">
        <v>0</v>
      </c>
      <c r="DK106" s="208">
        <v>0</v>
      </c>
      <c r="DL106" s="208">
        <v>0</v>
      </c>
      <c r="DM106" s="208">
        <v>0</v>
      </c>
      <c r="DN106" s="208">
        <v>0</v>
      </c>
      <c r="DO106" s="208">
        <v>0</v>
      </c>
      <c r="DP106" s="208">
        <v>-81361</v>
      </c>
      <c r="DQ106" s="208">
        <v>0</v>
      </c>
      <c r="DR106" s="208">
        <v>-81361</v>
      </c>
      <c r="DS106" s="208">
        <v>0</v>
      </c>
      <c r="DT106" s="208">
        <v>0</v>
      </c>
      <c r="DU106" s="208">
        <v>0</v>
      </c>
      <c r="DV106" s="208">
        <v>0</v>
      </c>
      <c r="DW106" s="208">
        <v>0</v>
      </c>
      <c r="DX106" s="208">
        <v>0</v>
      </c>
      <c r="DY106" s="208">
        <v>0</v>
      </c>
      <c r="DZ106" s="208">
        <v>0</v>
      </c>
      <c r="EA106" s="208">
        <v>0</v>
      </c>
      <c r="EB106" s="208">
        <v>0</v>
      </c>
      <c r="EC106" s="208">
        <v>0</v>
      </c>
      <c r="ED106" s="208">
        <v>0</v>
      </c>
      <c r="EE106" s="208">
        <v>0</v>
      </c>
      <c r="EF106" s="208">
        <v>0</v>
      </c>
      <c r="EG106" s="208">
        <v>0</v>
      </c>
      <c r="EH106" s="208">
        <v>0</v>
      </c>
      <c r="EI106" s="208">
        <v>0</v>
      </c>
      <c r="EJ106" s="208">
        <v>0</v>
      </c>
      <c r="EK106" s="208">
        <v>-25730</v>
      </c>
      <c r="EL106" s="208">
        <v>0</v>
      </c>
      <c r="EM106" s="208">
        <v>-25730</v>
      </c>
      <c r="EN106" s="208">
        <v>-778</v>
      </c>
      <c r="EO106" s="208">
        <v>0</v>
      </c>
      <c r="EP106" s="208">
        <v>-778</v>
      </c>
      <c r="EQ106" s="208">
        <v>0</v>
      </c>
      <c r="ER106" s="208">
        <v>0</v>
      </c>
      <c r="ES106" s="208">
        <v>0</v>
      </c>
      <c r="ET106" s="208">
        <v>0</v>
      </c>
      <c r="EU106" s="208">
        <v>0</v>
      </c>
      <c r="EV106" s="208">
        <v>0</v>
      </c>
      <c r="EW106" s="208">
        <v>-21025</v>
      </c>
      <c r="EX106" s="208">
        <v>0</v>
      </c>
      <c r="EY106" s="208">
        <v>-21025</v>
      </c>
      <c r="EZ106" s="208">
        <v>3965</v>
      </c>
      <c r="FA106" s="208">
        <v>0</v>
      </c>
      <c r="FB106" s="208">
        <v>3965</v>
      </c>
      <c r="FC106" s="208">
        <v>-72316</v>
      </c>
      <c r="FD106" s="208">
        <v>0</v>
      </c>
      <c r="FE106" s="208">
        <v>-72316</v>
      </c>
      <c r="FF106" s="208">
        <v>53</v>
      </c>
      <c r="FG106" s="208">
        <v>0</v>
      </c>
      <c r="FH106" s="208">
        <v>53</v>
      </c>
      <c r="FI106" s="208">
        <v>-16085</v>
      </c>
      <c r="FJ106" s="208">
        <v>0</v>
      </c>
      <c r="FK106" s="208">
        <v>-16085</v>
      </c>
      <c r="FL106" s="208">
        <v>0</v>
      </c>
      <c r="FM106" s="208">
        <v>0</v>
      </c>
      <c r="FN106" s="208">
        <v>0</v>
      </c>
      <c r="FO106" s="208">
        <v>0</v>
      </c>
      <c r="FP106" s="208">
        <v>0</v>
      </c>
      <c r="FQ106" s="208">
        <v>0</v>
      </c>
      <c r="FR106" s="208">
        <v>0</v>
      </c>
      <c r="FS106" s="208">
        <v>0</v>
      </c>
      <c r="FT106" s="208">
        <v>0</v>
      </c>
      <c r="FU106" s="208">
        <v>-131916</v>
      </c>
      <c r="FV106" s="208">
        <v>0</v>
      </c>
      <c r="FW106" s="208">
        <v>-131916</v>
      </c>
      <c r="FX106" s="208">
        <v>0</v>
      </c>
      <c r="FY106" s="208">
        <v>0</v>
      </c>
      <c r="FZ106" s="208">
        <v>0</v>
      </c>
      <c r="GA106" s="208">
        <v>0</v>
      </c>
      <c r="GB106" s="208">
        <v>0</v>
      </c>
      <c r="GC106" s="208">
        <v>0</v>
      </c>
      <c r="GD106" s="208">
        <v>0</v>
      </c>
      <c r="GE106" s="208">
        <v>0</v>
      </c>
      <c r="GF106" s="208">
        <v>0</v>
      </c>
      <c r="GG106" s="208">
        <v>30958077</v>
      </c>
      <c r="GH106" s="208">
        <v>0</v>
      </c>
      <c r="GI106" s="208">
        <v>30958077</v>
      </c>
      <c r="GJ106" s="208">
        <v>-155446</v>
      </c>
      <c r="GK106" s="208">
        <v>0</v>
      </c>
      <c r="GL106" s="208">
        <v>-155446</v>
      </c>
      <c r="GM106" s="208">
        <v>-5727620</v>
      </c>
      <c r="GN106" s="208">
        <v>0</v>
      </c>
      <c r="GO106" s="208">
        <v>-5727620</v>
      </c>
      <c r="GP106" s="208">
        <v>-344967</v>
      </c>
      <c r="GQ106" s="208">
        <v>0</v>
      </c>
      <c r="GR106" s="208">
        <v>-344967</v>
      </c>
      <c r="GS106" s="208">
        <v>-81361</v>
      </c>
      <c r="GT106" s="208">
        <v>0</v>
      </c>
      <c r="GU106" s="208">
        <v>-81361</v>
      </c>
      <c r="GV106" s="208">
        <v>-131916</v>
      </c>
      <c r="GW106" s="208">
        <v>0</v>
      </c>
      <c r="GX106" s="208">
        <v>-131916</v>
      </c>
      <c r="GY106" s="208">
        <v>0</v>
      </c>
      <c r="GZ106" s="208">
        <v>0</v>
      </c>
      <c r="HA106" s="208">
        <v>0</v>
      </c>
      <c r="HB106" s="208">
        <v>-6441310</v>
      </c>
      <c r="HC106" s="208">
        <v>0</v>
      </c>
      <c r="HD106" s="208">
        <v>-6441310</v>
      </c>
      <c r="HE106" s="208">
        <v>24516767</v>
      </c>
      <c r="HF106" s="208">
        <v>0</v>
      </c>
      <c r="HG106" s="208">
        <v>24516767</v>
      </c>
      <c r="HH106" s="187" t="s">
        <v>1054</v>
      </c>
    </row>
    <row r="107" spans="1:216" s="187" customFormat="1" x14ac:dyDescent="0.2">
      <c r="B107" s="429" t="s">
        <v>550</v>
      </c>
      <c r="C107" s="429" t="s">
        <v>1533</v>
      </c>
      <c r="D107" s="208">
        <v>-832756</v>
      </c>
      <c r="E107" s="208">
        <v>0</v>
      </c>
      <c r="F107" s="208">
        <v>-832756</v>
      </c>
      <c r="G107" s="208">
        <v>-1323</v>
      </c>
      <c r="H107" s="208">
        <v>0</v>
      </c>
      <c r="I107" s="208">
        <v>-1323</v>
      </c>
      <c r="J107" s="208">
        <v>1271685</v>
      </c>
      <c r="K107" s="208">
        <v>0</v>
      </c>
      <c r="L107" s="208">
        <v>1271685</v>
      </c>
      <c r="M107" s="208">
        <v>-28992</v>
      </c>
      <c r="N107" s="208">
        <v>0</v>
      </c>
      <c r="O107" s="208">
        <v>-28992</v>
      </c>
      <c r="P107" s="208">
        <v>408614</v>
      </c>
      <c r="Q107" s="208">
        <v>0</v>
      </c>
      <c r="R107" s="208">
        <v>408614</v>
      </c>
      <c r="S107" s="208">
        <v>-4113451</v>
      </c>
      <c r="T107" s="208">
        <v>0</v>
      </c>
      <c r="U107" s="208">
        <v>-4113451</v>
      </c>
      <c r="V107" s="208">
        <v>-25617</v>
      </c>
      <c r="W107" s="208">
        <v>0</v>
      </c>
      <c r="X107" s="208">
        <v>-25617</v>
      </c>
      <c r="Y107" s="208">
        <v>41564</v>
      </c>
      <c r="Z107" s="208">
        <v>0</v>
      </c>
      <c r="AA107" s="208">
        <v>41564</v>
      </c>
      <c r="AB107" s="208">
        <v>31441</v>
      </c>
      <c r="AC107" s="208">
        <v>0</v>
      </c>
      <c r="AD107" s="208">
        <v>31441</v>
      </c>
      <c r="AE107" s="208">
        <v>10123</v>
      </c>
      <c r="AF107" s="208">
        <v>0</v>
      </c>
      <c r="AG107" s="208">
        <v>10123</v>
      </c>
      <c r="AH107" s="208">
        <v>-13334</v>
      </c>
      <c r="AI107" s="208">
        <v>0</v>
      </c>
      <c r="AJ107" s="208">
        <v>-13334</v>
      </c>
      <c r="AK107" s="208">
        <v>-423</v>
      </c>
      <c r="AL107" s="208">
        <v>0</v>
      </c>
      <c r="AM107" s="208">
        <v>-423</v>
      </c>
      <c r="AN107" s="208">
        <v>660570</v>
      </c>
      <c r="AO107" s="208">
        <v>0</v>
      </c>
      <c r="AP107" s="208">
        <v>660570</v>
      </c>
      <c r="AQ107" s="208">
        <v>1856</v>
      </c>
      <c r="AR107" s="208">
        <v>0</v>
      </c>
      <c r="AS107" s="208">
        <v>1856</v>
      </c>
      <c r="AT107" s="208">
        <v>-2762492</v>
      </c>
      <c r="AU107" s="208">
        <v>0</v>
      </c>
      <c r="AV107" s="208">
        <v>-2762492</v>
      </c>
      <c r="AW107" s="208">
        <v>-10731</v>
      </c>
      <c r="AX107" s="208">
        <v>0</v>
      </c>
      <c r="AY107" s="208">
        <v>-10731</v>
      </c>
      <c r="AZ107" s="208">
        <v>-86180</v>
      </c>
      <c r="BA107" s="208">
        <v>0</v>
      </c>
      <c r="BB107" s="208">
        <v>-86180</v>
      </c>
      <c r="BC107" s="208">
        <v>0</v>
      </c>
      <c r="BD107" s="208">
        <v>0</v>
      </c>
      <c r="BE107" s="208">
        <v>0</v>
      </c>
      <c r="BF107" s="208">
        <v>-20156</v>
      </c>
      <c r="BG107" s="208">
        <v>0</v>
      </c>
      <c r="BH107" s="208">
        <v>-20156</v>
      </c>
      <c r="BI107" s="208">
        <v>0</v>
      </c>
      <c r="BJ107" s="208">
        <v>0</v>
      </c>
      <c r="BK107" s="208">
        <v>0</v>
      </c>
      <c r="BL107" s="208">
        <v>-6289020</v>
      </c>
      <c r="BM107" s="208">
        <v>0</v>
      </c>
      <c r="BN107" s="208">
        <v>-6289020</v>
      </c>
      <c r="BO107" s="208">
        <v>-4390</v>
      </c>
      <c r="BP107" s="208">
        <v>0</v>
      </c>
      <c r="BQ107" s="208">
        <v>-4390</v>
      </c>
      <c r="BR107" s="208">
        <v>-2096</v>
      </c>
      <c r="BS107" s="208">
        <v>0</v>
      </c>
      <c r="BT107" s="208">
        <v>-2096</v>
      </c>
      <c r="BU107" s="208">
        <v>-1139912</v>
      </c>
      <c r="BV107" s="208">
        <v>0</v>
      </c>
      <c r="BW107" s="208">
        <v>-1139912</v>
      </c>
      <c r="BX107" s="208">
        <v>20439</v>
      </c>
      <c r="BY107" s="208">
        <v>0</v>
      </c>
      <c r="BZ107" s="208">
        <v>20439</v>
      </c>
      <c r="CA107" s="208">
        <v>-1125959</v>
      </c>
      <c r="CB107" s="208">
        <v>0</v>
      </c>
      <c r="CC107" s="208">
        <v>-1125959</v>
      </c>
      <c r="CD107" s="208">
        <v>-76444</v>
      </c>
      <c r="CE107" s="208">
        <v>0</v>
      </c>
      <c r="CF107" s="208">
        <v>-76444</v>
      </c>
      <c r="CG107" s="208">
        <v>443</v>
      </c>
      <c r="CH107" s="208">
        <v>0</v>
      </c>
      <c r="CI107" s="208">
        <v>443</v>
      </c>
      <c r="CJ107" s="208">
        <v>-4957</v>
      </c>
      <c r="CK107" s="208">
        <v>0</v>
      </c>
      <c r="CL107" s="208">
        <v>-4957</v>
      </c>
      <c r="CM107" s="208">
        <v>0</v>
      </c>
      <c r="CN107" s="208">
        <v>0</v>
      </c>
      <c r="CO107" s="208">
        <v>0</v>
      </c>
      <c r="CP107" s="208">
        <v>-1402</v>
      </c>
      <c r="CQ107" s="208">
        <v>0</v>
      </c>
      <c r="CR107" s="208">
        <v>-1402</v>
      </c>
      <c r="CS107" s="208">
        <v>0</v>
      </c>
      <c r="CT107" s="208">
        <v>0</v>
      </c>
      <c r="CU107" s="208">
        <v>0</v>
      </c>
      <c r="CV107" s="208">
        <v>0</v>
      </c>
      <c r="CW107" s="208">
        <v>0</v>
      </c>
      <c r="CX107" s="208">
        <v>0</v>
      </c>
      <c r="CY107" s="208">
        <v>0</v>
      </c>
      <c r="CZ107" s="208">
        <v>0</v>
      </c>
      <c r="DA107" s="208">
        <v>0</v>
      </c>
      <c r="DB107" s="208">
        <v>0</v>
      </c>
      <c r="DC107" s="208">
        <v>0</v>
      </c>
      <c r="DD107" s="208">
        <v>0</v>
      </c>
      <c r="DE107" s="208">
        <v>0</v>
      </c>
      <c r="DF107" s="208">
        <v>0</v>
      </c>
      <c r="DG107" s="208">
        <v>0</v>
      </c>
      <c r="DH107" s="208">
        <v>-5916</v>
      </c>
      <c r="DI107" s="208">
        <v>0</v>
      </c>
      <c r="DJ107" s="208">
        <v>-5916</v>
      </c>
      <c r="DK107" s="208">
        <v>0</v>
      </c>
      <c r="DL107" s="208">
        <v>0</v>
      </c>
      <c r="DM107" s="208">
        <v>0</v>
      </c>
      <c r="DN107" s="208">
        <v>0</v>
      </c>
      <c r="DO107" s="208">
        <v>0</v>
      </c>
      <c r="DP107" s="208">
        <v>-88276</v>
      </c>
      <c r="DQ107" s="208">
        <v>0</v>
      </c>
      <c r="DR107" s="208">
        <v>-88276</v>
      </c>
      <c r="DS107" s="208">
        <v>0</v>
      </c>
      <c r="DT107" s="208">
        <v>0</v>
      </c>
      <c r="DU107" s="208">
        <v>0</v>
      </c>
      <c r="DV107" s="208">
        <v>0</v>
      </c>
      <c r="DW107" s="208">
        <v>0</v>
      </c>
      <c r="DX107" s="208">
        <v>0</v>
      </c>
      <c r="DY107" s="208">
        <v>-1385</v>
      </c>
      <c r="DZ107" s="208">
        <v>0</v>
      </c>
      <c r="EA107" s="208">
        <v>-1385</v>
      </c>
      <c r="EB107" s="208">
        <v>0</v>
      </c>
      <c r="EC107" s="208">
        <v>0</v>
      </c>
      <c r="ED107" s="208">
        <v>0</v>
      </c>
      <c r="EE107" s="208">
        <v>0</v>
      </c>
      <c r="EF107" s="208">
        <v>0</v>
      </c>
      <c r="EG107" s="208">
        <v>0</v>
      </c>
      <c r="EH107" s="208">
        <v>0</v>
      </c>
      <c r="EI107" s="208">
        <v>0</v>
      </c>
      <c r="EJ107" s="208">
        <v>0</v>
      </c>
      <c r="EK107" s="208">
        <v>-20156</v>
      </c>
      <c r="EL107" s="208">
        <v>0</v>
      </c>
      <c r="EM107" s="208">
        <v>-20156</v>
      </c>
      <c r="EN107" s="208">
        <v>0</v>
      </c>
      <c r="EO107" s="208">
        <v>0</v>
      </c>
      <c r="EP107" s="208">
        <v>0</v>
      </c>
      <c r="EQ107" s="208">
        <v>-251</v>
      </c>
      <c r="ER107" s="208">
        <v>0</v>
      </c>
      <c r="ES107" s="208">
        <v>-251</v>
      </c>
      <c r="ET107" s="208">
        <v>0</v>
      </c>
      <c r="EU107" s="208">
        <v>0</v>
      </c>
      <c r="EV107" s="208">
        <v>0</v>
      </c>
      <c r="EW107" s="208">
        <v>-31958</v>
      </c>
      <c r="EX107" s="208">
        <v>0</v>
      </c>
      <c r="EY107" s="208">
        <v>-31958</v>
      </c>
      <c r="EZ107" s="208">
        <v>0</v>
      </c>
      <c r="FA107" s="208">
        <v>0</v>
      </c>
      <c r="FB107" s="208">
        <v>0</v>
      </c>
      <c r="FC107" s="208">
        <v>-66000</v>
      </c>
      <c r="FD107" s="208">
        <v>0</v>
      </c>
      <c r="FE107" s="208">
        <v>-66000</v>
      </c>
      <c r="FF107" s="208">
        <v>1597</v>
      </c>
      <c r="FG107" s="208">
        <v>0</v>
      </c>
      <c r="FH107" s="208">
        <v>1597</v>
      </c>
      <c r="FI107" s="208">
        <v>-48732</v>
      </c>
      <c r="FJ107" s="208">
        <v>0</v>
      </c>
      <c r="FK107" s="208">
        <v>-48732</v>
      </c>
      <c r="FL107" s="208">
        <v>-871</v>
      </c>
      <c r="FM107" s="208">
        <v>0</v>
      </c>
      <c r="FN107" s="208">
        <v>-871</v>
      </c>
      <c r="FO107" s="208">
        <v>0</v>
      </c>
      <c r="FP107" s="208">
        <v>0</v>
      </c>
      <c r="FQ107" s="208">
        <v>0</v>
      </c>
      <c r="FR107" s="208">
        <v>0</v>
      </c>
      <c r="FS107" s="208">
        <v>0</v>
      </c>
      <c r="FT107" s="208">
        <v>0</v>
      </c>
      <c r="FU107" s="208">
        <v>-167756</v>
      </c>
      <c r="FV107" s="208">
        <v>0</v>
      </c>
      <c r="FW107" s="208">
        <v>-167756</v>
      </c>
      <c r="FX107" s="208">
        <v>-30923</v>
      </c>
      <c r="FY107" s="208">
        <v>0</v>
      </c>
      <c r="FZ107" s="208">
        <v>-30923</v>
      </c>
      <c r="GA107" s="208">
        <v>0</v>
      </c>
      <c r="GB107" s="208">
        <v>0</v>
      </c>
      <c r="GC107" s="208">
        <v>0</v>
      </c>
      <c r="GD107" s="208">
        <v>-30923</v>
      </c>
      <c r="GE107" s="208">
        <v>0</v>
      </c>
      <c r="GF107" s="208">
        <v>-30923</v>
      </c>
      <c r="GG107" s="208">
        <v>36402456</v>
      </c>
      <c r="GH107" s="208">
        <v>0</v>
      </c>
      <c r="GI107" s="208">
        <v>36402456</v>
      </c>
      <c r="GJ107" s="208">
        <v>408614</v>
      </c>
      <c r="GK107" s="208">
        <v>0</v>
      </c>
      <c r="GL107" s="208">
        <v>408614</v>
      </c>
      <c r="GM107" s="208">
        <v>-6289020</v>
      </c>
      <c r="GN107" s="208">
        <v>0</v>
      </c>
      <c r="GO107" s="208">
        <v>-6289020</v>
      </c>
      <c r="GP107" s="208">
        <v>-1125959</v>
      </c>
      <c r="GQ107" s="208">
        <v>0</v>
      </c>
      <c r="GR107" s="208">
        <v>-1125959</v>
      </c>
      <c r="GS107" s="208">
        <v>-88276</v>
      </c>
      <c r="GT107" s="208">
        <v>0</v>
      </c>
      <c r="GU107" s="208">
        <v>-88276</v>
      </c>
      <c r="GV107" s="208">
        <v>-167756</v>
      </c>
      <c r="GW107" s="208">
        <v>0</v>
      </c>
      <c r="GX107" s="208">
        <v>-167756</v>
      </c>
      <c r="GY107" s="208">
        <v>-30923</v>
      </c>
      <c r="GZ107" s="208">
        <v>0</v>
      </c>
      <c r="HA107" s="208">
        <v>-30923</v>
      </c>
      <c r="HB107" s="208">
        <v>-7293320</v>
      </c>
      <c r="HC107" s="208">
        <v>0</v>
      </c>
      <c r="HD107" s="208">
        <v>-7293320</v>
      </c>
      <c r="HE107" s="208">
        <v>29109136</v>
      </c>
      <c r="HF107" s="208">
        <v>0</v>
      </c>
      <c r="HG107" s="208">
        <v>29109136</v>
      </c>
      <c r="HH107" s="188" t="s">
        <v>1054</v>
      </c>
    </row>
    <row r="108" spans="1:216" s="187" customFormat="1" x14ac:dyDescent="0.2">
      <c r="B108" s="429" t="s">
        <v>293</v>
      </c>
      <c r="C108" s="429" t="s">
        <v>292</v>
      </c>
      <c r="D108" s="208">
        <v>-778098</v>
      </c>
      <c r="E108" s="208">
        <v>0</v>
      </c>
      <c r="F108" s="208">
        <v>-778098</v>
      </c>
      <c r="G108" s="208">
        <v>-202909</v>
      </c>
      <c r="H108" s="208">
        <v>0</v>
      </c>
      <c r="I108" s="208">
        <v>-202909</v>
      </c>
      <c r="J108" s="208">
        <v>261708</v>
      </c>
      <c r="K108" s="208">
        <v>0</v>
      </c>
      <c r="L108" s="208">
        <v>261708</v>
      </c>
      <c r="M108" s="208">
        <v>-5675</v>
      </c>
      <c r="N108" s="208">
        <v>0</v>
      </c>
      <c r="O108" s="208">
        <v>-5675</v>
      </c>
      <c r="P108" s="208">
        <v>-724974</v>
      </c>
      <c r="Q108" s="208">
        <v>0</v>
      </c>
      <c r="R108" s="208">
        <v>-724974</v>
      </c>
      <c r="S108" s="208">
        <v>-2161216</v>
      </c>
      <c r="T108" s="208">
        <v>0</v>
      </c>
      <c r="U108" s="208">
        <v>-2161216</v>
      </c>
      <c r="V108" s="208">
        <v>0</v>
      </c>
      <c r="W108" s="208">
        <v>0</v>
      </c>
      <c r="X108" s="208">
        <v>0</v>
      </c>
      <c r="Y108" s="208">
        <v>-20874</v>
      </c>
      <c r="Z108" s="208">
        <v>0</v>
      </c>
      <c r="AA108" s="208">
        <v>-20874</v>
      </c>
      <c r="AB108" s="208">
        <v>816</v>
      </c>
      <c r="AC108" s="208">
        <v>0</v>
      </c>
      <c r="AD108" s="208">
        <v>816</v>
      </c>
      <c r="AE108" s="208">
        <v>-21564</v>
      </c>
      <c r="AF108" s="208">
        <v>0</v>
      </c>
      <c r="AG108" s="208">
        <v>-21564</v>
      </c>
      <c r="AH108" s="208">
        <v>0</v>
      </c>
      <c r="AI108" s="208">
        <v>0</v>
      </c>
      <c r="AJ108" s="208">
        <v>0</v>
      </c>
      <c r="AK108" s="208">
        <v>0</v>
      </c>
      <c r="AL108" s="208">
        <v>0</v>
      </c>
      <c r="AM108" s="208">
        <v>0</v>
      </c>
      <c r="AN108" s="208">
        <v>536219</v>
      </c>
      <c r="AO108" s="208">
        <v>0</v>
      </c>
      <c r="AP108" s="208">
        <v>536219</v>
      </c>
      <c r="AQ108" s="208">
        <v>-8006</v>
      </c>
      <c r="AR108" s="208">
        <v>0</v>
      </c>
      <c r="AS108" s="208">
        <v>-8006</v>
      </c>
      <c r="AT108" s="208">
        <v>-1385647</v>
      </c>
      <c r="AU108" s="208">
        <v>0</v>
      </c>
      <c r="AV108" s="208">
        <v>-1385647</v>
      </c>
      <c r="AW108" s="208">
        <v>5648</v>
      </c>
      <c r="AX108" s="208">
        <v>0</v>
      </c>
      <c r="AY108" s="208">
        <v>5648</v>
      </c>
      <c r="AZ108" s="208">
        <v>-20522</v>
      </c>
      <c r="BA108" s="208">
        <v>0</v>
      </c>
      <c r="BB108" s="208">
        <v>-20522</v>
      </c>
      <c r="BC108" s="208">
        <v>0</v>
      </c>
      <c r="BD108" s="208">
        <v>0</v>
      </c>
      <c r="BE108" s="208">
        <v>0</v>
      </c>
      <c r="BF108" s="208">
        <v>-5435</v>
      </c>
      <c r="BG108" s="208">
        <v>0</v>
      </c>
      <c r="BH108" s="208">
        <v>-5435</v>
      </c>
      <c r="BI108" s="208">
        <v>0</v>
      </c>
      <c r="BJ108" s="208">
        <v>0</v>
      </c>
      <c r="BK108" s="208">
        <v>0</v>
      </c>
      <c r="BL108" s="208">
        <v>-3059833</v>
      </c>
      <c r="BM108" s="208">
        <v>0</v>
      </c>
      <c r="BN108" s="208">
        <v>-3059833</v>
      </c>
      <c r="BO108" s="208">
        <v>-44873</v>
      </c>
      <c r="BP108" s="208">
        <v>0</v>
      </c>
      <c r="BQ108" s="208">
        <v>-44873</v>
      </c>
      <c r="BR108" s="208">
        <v>1350</v>
      </c>
      <c r="BS108" s="208">
        <v>0</v>
      </c>
      <c r="BT108" s="208">
        <v>1350</v>
      </c>
      <c r="BU108" s="208">
        <v>-443089</v>
      </c>
      <c r="BV108" s="208">
        <v>0</v>
      </c>
      <c r="BW108" s="208">
        <v>-443089</v>
      </c>
      <c r="BX108" s="208">
        <v>-81346</v>
      </c>
      <c r="BY108" s="208">
        <v>0</v>
      </c>
      <c r="BZ108" s="208">
        <v>-81346</v>
      </c>
      <c r="CA108" s="208">
        <v>-567958</v>
      </c>
      <c r="CB108" s="208">
        <v>0</v>
      </c>
      <c r="CC108" s="208">
        <v>-567958</v>
      </c>
      <c r="CD108" s="208">
        <v>-12613</v>
      </c>
      <c r="CE108" s="208">
        <v>0</v>
      </c>
      <c r="CF108" s="208">
        <v>-12613</v>
      </c>
      <c r="CG108" s="208">
        <v>0</v>
      </c>
      <c r="CH108" s="208">
        <v>0</v>
      </c>
      <c r="CI108" s="208">
        <v>0</v>
      </c>
      <c r="CJ108" s="208">
        <v>-1274</v>
      </c>
      <c r="CK108" s="208">
        <v>0</v>
      </c>
      <c r="CL108" s="208">
        <v>-1274</v>
      </c>
      <c r="CM108" s="208">
        <v>0</v>
      </c>
      <c r="CN108" s="208">
        <v>0</v>
      </c>
      <c r="CO108" s="208">
        <v>0</v>
      </c>
      <c r="CP108" s="208">
        <v>-1000</v>
      </c>
      <c r="CQ108" s="208">
        <v>0</v>
      </c>
      <c r="CR108" s="208">
        <v>-1000</v>
      </c>
      <c r="CS108" s="208">
        <v>0</v>
      </c>
      <c r="CT108" s="208">
        <v>0</v>
      </c>
      <c r="CU108" s="208">
        <v>0</v>
      </c>
      <c r="CV108" s="208">
        <v>0</v>
      </c>
      <c r="CW108" s="208">
        <v>0</v>
      </c>
      <c r="CX108" s="208">
        <v>0</v>
      </c>
      <c r="CY108" s="208">
        <v>0</v>
      </c>
      <c r="CZ108" s="208">
        <v>0</v>
      </c>
      <c r="DA108" s="208">
        <v>0</v>
      </c>
      <c r="DB108" s="208">
        <v>0</v>
      </c>
      <c r="DC108" s="208">
        <v>0</v>
      </c>
      <c r="DD108" s="208">
        <v>0</v>
      </c>
      <c r="DE108" s="208">
        <v>0</v>
      </c>
      <c r="DF108" s="208">
        <v>0</v>
      </c>
      <c r="DG108" s="208">
        <v>0</v>
      </c>
      <c r="DH108" s="208">
        <v>0</v>
      </c>
      <c r="DI108" s="208">
        <v>0</v>
      </c>
      <c r="DJ108" s="208">
        <v>0</v>
      </c>
      <c r="DK108" s="208">
        <v>0</v>
      </c>
      <c r="DL108" s="208">
        <v>0</v>
      </c>
      <c r="DM108" s="208">
        <v>0</v>
      </c>
      <c r="DN108" s="208">
        <v>0</v>
      </c>
      <c r="DO108" s="208">
        <v>0</v>
      </c>
      <c r="DP108" s="208">
        <v>-14887</v>
      </c>
      <c r="DQ108" s="208">
        <v>0</v>
      </c>
      <c r="DR108" s="208">
        <v>-14887</v>
      </c>
      <c r="DS108" s="208">
        <v>0</v>
      </c>
      <c r="DT108" s="208">
        <v>0</v>
      </c>
      <c r="DU108" s="208">
        <v>0</v>
      </c>
      <c r="DV108" s="208">
        <v>0</v>
      </c>
      <c r="DW108" s="208">
        <v>0</v>
      </c>
      <c r="DX108" s="208">
        <v>0</v>
      </c>
      <c r="DY108" s="208">
        <v>0</v>
      </c>
      <c r="DZ108" s="208">
        <v>0</v>
      </c>
      <c r="EA108" s="208">
        <v>0</v>
      </c>
      <c r="EB108" s="208">
        <v>0</v>
      </c>
      <c r="EC108" s="208">
        <v>0</v>
      </c>
      <c r="ED108" s="208">
        <v>0</v>
      </c>
      <c r="EE108" s="208">
        <v>0</v>
      </c>
      <c r="EF108" s="208">
        <v>0</v>
      </c>
      <c r="EG108" s="208">
        <v>0</v>
      </c>
      <c r="EH108" s="208">
        <v>0</v>
      </c>
      <c r="EI108" s="208">
        <v>0</v>
      </c>
      <c r="EJ108" s="208">
        <v>0</v>
      </c>
      <c r="EK108" s="208">
        <v>-5435</v>
      </c>
      <c r="EL108" s="208">
        <v>0</v>
      </c>
      <c r="EM108" s="208">
        <v>-5435</v>
      </c>
      <c r="EN108" s="208">
        <v>0</v>
      </c>
      <c r="EO108" s="208">
        <v>0</v>
      </c>
      <c r="EP108" s="208">
        <v>0</v>
      </c>
      <c r="EQ108" s="208">
        <v>-1296</v>
      </c>
      <c r="ER108" s="208">
        <v>0</v>
      </c>
      <c r="ES108" s="208">
        <v>-1296</v>
      </c>
      <c r="ET108" s="208">
        <v>-1258</v>
      </c>
      <c r="EU108" s="208">
        <v>0</v>
      </c>
      <c r="EV108" s="208">
        <v>-1258</v>
      </c>
      <c r="EW108" s="208">
        <v>-16130</v>
      </c>
      <c r="EX108" s="208">
        <v>0</v>
      </c>
      <c r="EY108" s="208">
        <v>-16130</v>
      </c>
      <c r="EZ108" s="208">
        <v>3163</v>
      </c>
      <c r="FA108" s="208">
        <v>0</v>
      </c>
      <c r="FB108" s="208">
        <v>3163</v>
      </c>
      <c r="FC108" s="208">
        <v>-99668</v>
      </c>
      <c r="FD108" s="208">
        <v>0</v>
      </c>
      <c r="FE108" s="208">
        <v>-99668</v>
      </c>
      <c r="FF108" s="208">
        <v>-33447</v>
      </c>
      <c r="FG108" s="208">
        <v>0</v>
      </c>
      <c r="FH108" s="208">
        <v>-33447</v>
      </c>
      <c r="FI108" s="208">
        <v>-19367</v>
      </c>
      <c r="FJ108" s="208">
        <v>0</v>
      </c>
      <c r="FK108" s="208">
        <v>-19367</v>
      </c>
      <c r="FL108" s="208">
        <v>-1000</v>
      </c>
      <c r="FM108" s="208">
        <v>0</v>
      </c>
      <c r="FN108" s="208">
        <v>-1000</v>
      </c>
      <c r="FO108" s="208">
        <v>0</v>
      </c>
      <c r="FP108" s="208">
        <v>0</v>
      </c>
      <c r="FQ108" s="208">
        <v>0</v>
      </c>
      <c r="FR108" s="208">
        <v>0</v>
      </c>
      <c r="FS108" s="208">
        <v>0</v>
      </c>
      <c r="FT108" s="208">
        <v>0</v>
      </c>
      <c r="FU108" s="208">
        <v>-174438</v>
      </c>
      <c r="FV108" s="208">
        <v>0</v>
      </c>
      <c r="FW108" s="208">
        <v>-174438</v>
      </c>
      <c r="FX108" s="208">
        <v>0</v>
      </c>
      <c r="FY108" s="208">
        <v>0</v>
      </c>
      <c r="FZ108" s="208">
        <v>0</v>
      </c>
      <c r="GA108" s="208">
        <v>0</v>
      </c>
      <c r="GB108" s="208">
        <v>0</v>
      </c>
      <c r="GC108" s="208">
        <v>0</v>
      </c>
      <c r="GD108" s="208">
        <v>0</v>
      </c>
      <c r="GE108" s="208">
        <v>0</v>
      </c>
      <c r="GF108" s="208">
        <v>0</v>
      </c>
      <c r="GG108" s="208">
        <v>29383486</v>
      </c>
      <c r="GH108" s="208">
        <v>0</v>
      </c>
      <c r="GI108" s="208">
        <v>29383486</v>
      </c>
      <c r="GJ108" s="208">
        <v>-724974</v>
      </c>
      <c r="GK108" s="208">
        <v>0</v>
      </c>
      <c r="GL108" s="208">
        <v>-724974</v>
      </c>
      <c r="GM108" s="208">
        <v>-3059833</v>
      </c>
      <c r="GN108" s="208">
        <v>0</v>
      </c>
      <c r="GO108" s="208">
        <v>-3059833</v>
      </c>
      <c r="GP108" s="208">
        <v>-567958</v>
      </c>
      <c r="GQ108" s="208">
        <v>0</v>
      </c>
      <c r="GR108" s="208">
        <v>-567958</v>
      </c>
      <c r="GS108" s="208">
        <v>-14887</v>
      </c>
      <c r="GT108" s="208">
        <v>0</v>
      </c>
      <c r="GU108" s="208">
        <v>-14887</v>
      </c>
      <c r="GV108" s="208">
        <v>-174438</v>
      </c>
      <c r="GW108" s="208">
        <v>0</v>
      </c>
      <c r="GX108" s="208">
        <v>-174438</v>
      </c>
      <c r="GY108" s="208">
        <v>0</v>
      </c>
      <c r="GZ108" s="208">
        <v>0</v>
      </c>
      <c r="HA108" s="208">
        <v>0</v>
      </c>
      <c r="HB108" s="208">
        <v>-4542090</v>
      </c>
      <c r="HC108" s="208">
        <v>0</v>
      </c>
      <c r="HD108" s="208">
        <v>-4542090</v>
      </c>
      <c r="HE108" s="208">
        <v>24841396</v>
      </c>
      <c r="HF108" s="208">
        <v>0</v>
      </c>
      <c r="HG108" s="208">
        <v>24841396</v>
      </c>
      <c r="HH108" s="187" t="s">
        <v>1054</v>
      </c>
    </row>
    <row r="109" spans="1:216" s="187" customFormat="1" x14ac:dyDescent="0.2">
      <c r="B109" s="429" t="s">
        <v>295</v>
      </c>
      <c r="C109" s="429" t="s">
        <v>294</v>
      </c>
      <c r="D109" s="208">
        <v>-792219</v>
      </c>
      <c r="E109" s="208">
        <v>0</v>
      </c>
      <c r="F109" s="208">
        <v>-792219</v>
      </c>
      <c r="G109" s="208">
        <v>22795</v>
      </c>
      <c r="H109" s="208">
        <v>0</v>
      </c>
      <c r="I109" s="208">
        <v>22795</v>
      </c>
      <c r="J109" s="208">
        <v>135010</v>
      </c>
      <c r="K109" s="208">
        <v>0</v>
      </c>
      <c r="L109" s="208">
        <v>135010</v>
      </c>
      <c r="M109" s="208">
        <v>56449</v>
      </c>
      <c r="N109" s="208">
        <v>0</v>
      </c>
      <c r="O109" s="208">
        <v>56449</v>
      </c>
      <c r="P109" s="208">
        <v>-577965</v>
      </c>
      <c r="Q109" s="208">
        <v>0</v>
      </c>
      <c r="R109" s="208">
        <v>-577965</v>
      </c>
      <c r="S109" s="208">
        <v>-3388711</v>
      </c>
      <c r="T109" s="208">
        <v>0</v>
      </c>
      <c r="U109" s="208">
        <v>-3388711</v>
      </c>
      <c r="V109" s="208">
        <v>0</v>
      </c>
      <c r="W109" s="208">
        <v>0</v>
      </c>
      <c r="X109" s="208">
        <v>0</v>
      </c>
      <c r="Y109" s="208">
        <v>-68733</v>
      </c>
      <c r="Z109" s="208">
        <v>0</v>
      </c>
      <c r="AA109" s="208">
        <v>-68733</v>
      </c>
      <c r="AB109" s="208">
        <v>22863</v>
      </c>
      <c r="AC109" s="208">
        <v>0</v>
      </c>
      <c r="AD109" s="208">
        <v>22863</v>
      </c>
      <c r="AE109" s="208">
        <v>36751</v>
      </c>
      <c r="AF109" s="208">
        <v>0</v>
      </c>
      <c r="AG109" s="208">
        <v>36751</v>
      </c>
      <c r="AH109" s="208">
        <v>0</v>
      </c>
      <c r="AI109" s="208">
        <v>0</v>
      </c>
      <c r="AJ109" s="208">
        <v>0</v>
      </c>
      <c r="AK109" s="208">
        <v>0</v>
      </c>
      <c r="AL109" s="208">
        <v>0</v>
      </c>
      <c r="AM109" s="208">
        <v>0</v>
      </c>
      <c r="AN109" s="208">
        <v>282458</v>
      </c>
      <c r="AO109" s="208">
        <v>0</v>
      </c>
      <c r="AP109" s="208">
        <v>282458</v>
      </c>
      <c r="AQ109" s="208">
        <v>-2940</v>
      </c>
      <c r="AR109" s="208">
        <v>0</v>
      </c>
      <c r="AS109" s="208">
        <v>-2940</v>
      </c>
      <c r="AT109" s="208">
        <v>-1906164</v>
      </c>
      <c r="AU109" s="208">
        <v>0</v>
      </c>
      <c r="AV109" s="208">
        <v>-1906164</v>
      </c>
      <c r="AW109" s="208">
        <v>1204</v>
      </c>
      <c r="AX109" s="208">
        <v>0</v>
      </c>
      <c r="AY109" s="208">
        <v>1204</v>
      </c>
      <c r="AZ109" s="208">
        <v>-6935</v>
      </c>
      <c r="BA109" s="208">
        <v>0</v>
      </c>
      <c r="BB109" s="208">
        <v>-6935</v>
      </c>
      <c r="BC109" s="208">
        <v>0</v>
      </c>
      <c r="BD109" s="208">
        <v>0</v>
      </c>
      <c r="BE109" s="208">
        <v>0</v>
      </c>
      <c r="BF109" s="208">
        <v>-40145</v>
      </c>
      <c r="BG109" s="208">
        <v>0</v>
      </c>
      <c r="BH109" s="208">
        <v>-40145</v>
      </c>
      <c r="BI109" s="208">
        <v>0</v>
      </c>
      <c r="BJ109" s="208">
        <v>0</v>
      </c>
      <c r="BK109" s="208">
        <v>0</v>
      </c>
      <c r="BL109" s="208">
        <v>-5129966</v>
      </c>
      <c r="BM109" s="208">
        <v>0</v>
      </c>
      <c r="BN109" s="208">
        <v>-5129966</v>
      </c>
      <c r="BO109" s="208">
        <v>0</v>
      </c>
      <c r="BP109" s="208">
        <v>0</v>
      </c>
      <c r="BQ109" s="208">
        <v>0</v>
      </c>
      <c r="BR109" s="208">
        <v>-358</v>
      </c>
      <c r="BS109" s="208">
        <v>0</v>
      </c>
      <c r="BT109" s="208">
        <v>-358</v>
      </c>
      <c r="BU109" s="208">
        <v>-531253</v>
      </c>
      <c r="BV109" s="208">
        <v>0</v>
      </c>
      <c r="BW109" s="208">
        <v>-531253</v>
      </c>
      <c r="BX109" s="208">
        <v>-93446</v>
      </c>
      <c r="BY109" s="208">
        <v>0</v>
      </c>
      <c r="BZ109" s="208">
        <v>-93446</v>
      </c>
      <c r="CA109" s="208">
        <v>-625057</v>
      </c>
      <c r="CB109" s="208">
        <v>0</v>
      </c>
      <c r="CC109" s="208">
        <v>-625057</v>
      </c>
      <c r="CD109" s="208">
        <v>-34846</v>
      </c>
      <c r="CE109" s="208">
        <v>0</v>
      </c>
      <c r="CF109" s="208">
        <v>-34846</v>
      </c>
      <c r="CG109" s="208">
        <v>114</v>
      </c>
      <c r="CH109" s="208">
        <v>0</v>
      </c>
      <c r="CI109" s="208">
        <v>114</v>
      </c>
      <c r="CJ109" s="208">
        <v>-6968</v>
      </c>
      <c r="CK109" s="208">
        <v>0</v>
      </c>
      <c r="CL109" s="208">
        <v>-6968</v>
      </c>
      <c r="CM109" s="208">
        <v>0</v>
      </c>
      <c r="CN109" s="208">
        <v>0</v>
      </c>
      <c r="CO109" s="208">
        <v>0</v>
      </c>
      <c r="CP109" s="208">
        <v>0</v>
      </c>
      <c r="CQ109" s="208">
        <v>0</v>
      </c>
      <c r="CR109" s="208">
        <v>0</v>
      </c>
      <c r="CS109" s="208">
        <v>0</v>
      </c>
      <c r="CT109" s="208">
        <v>0</v>
      </c>
      <c r="CU109" s="208">
        <v>0</v>
      </c>
      <c r="CV109" s="208">
        <v>0</v>
      </c>
      <c r="CW109" s="208">
        <v>0</v>
      </c>
      <c r="CX109" s="208">
        <v>0</v>
      </c>
      <c r="CY109" s="208">
        <v>0</v>
      </c>
      <c r="CZ109" s="208">
        <v>0</v>
      </c>
      <c r="DA109" s="208">
        <v>0</v>
      </c>
      <c r="DB109" s="208">
        <v>0</v>
      </c>
      <c r="DC109" s="208">
        <v>0</v>
      </c>
      <c r="DD109" s="208">
        <v>0</v>
      </c>
      <c r="DE109" s="208">
        <v>0</v>
      </c>
      <c r="DF109" s="208">
        <v>0</v>
      </c>
      <c r="DG109" s="208">
        <v>0</v>
      </c>
      <c r="DH109" s="208">
        <v>0</v>
      </c>
      <c r="DI109" s="208">
        <v>0</v>
      </c>
      <c r="DJ109" s="208">
        <v>0</v>
      </c>
      <c r="DK109" s="208">
        <v>0</v>
      </c>
      <c r="DL109" s="208">
        <v>0</v>
      </c>
      <c r="DM109" s="208">
        <v>0</v>
      </c>
      <c r="DN109" s="208">
        <v>0</v>
      </c>
      <c r="DO109" s="208">
        <v>0</v>
      </c>
      <c r="DP109" s="208">
        <v>-41700</v>
      </c>
      <c r="DQ109" s="208">
        <v>0</v>
      </c>
      <c r="DR109" s="208">
        <v>-41700</v>
      </c>
      <c r="DS109" s="208">
        <v>0</v>
      </c>
      <c r="DT109" s="208">
        <v>0</v>
      </c>
      <c r="DU109" s="208">
        <v>0</v>
      </c>
      <c r="DV109" s="208">
        <v>0</v>
      </c>
      <c r="DW109" s="208">
        <v>0</v>
      </c>
      <c r="DX109" s="208">
        <v>0</v>
      </c>
      <c r="DY109" s="208">
        <v>0</v>
      </c>
      <c r="DZ109" s="208">
        <v>0</v>
      </c>
      <c r="EA109" s="208">
        <v>0</v>
      </c>
      <c r="EB109" s="208">
        <v>0</v>
      </c>
      <c r="EC109" s="208">
        <v>0</v>
      </c>
      <c r="ED109" s="208">
        <v>0</v>
      </c>
      <c r="EE109" s="208">
        <v>0</v>
      </c>
      <c r="EF109" s="208">
        <v>0</v>
      </c>
      <c r="EG109" s="208">
        <v>0</v>
      </c>
      <c r="EH109" s="208">
        <v>0</v>
      </c>
      <c r="EI109" s="208">
        <v>0</v>
      </c>
      <c r="EJ109" s="208">
        <v>0</v>
      </c>
      <c r="EK109" s="208">
        <v>-39646</v>
      </c>
      <c r="EL109" s="208">
        <v>0</v>
      </c>
      <c r="EM109" s="208">
        <v>-39646</v>
      </c>
      <c r="EN109" s="208">
        <v>0</v>
      </c>
      <c r="EO109" s="208">
        <v>0</v>
      </c>
      <c r="EP109" s="208">
        <v>0</v>
      </c>
      <c r="EQ109" s="208">
        <v>-781</v>
      </c>
      <c r="ER109" s="208">
        <v>0</v>
      </c>
      <c r="ES109" s="208">
        <v>-781</v>
      </c>
      <c r="ET109" s="208">
        <v>0</v>
      </c>
      <c r="EU109" s="208">
        <v>0</v>
      </c>
      <c r="EV109" s="208">
        <v>0</v>
      </c>
      <c r="EW109" s="208">
        <v>-17615</v>
      </c>
      <c r="EX109" s="208">
        <v>0</v>
      </c>
      <c r="EY109" s="208">
        <v>-17615</v>
      </c>
      <c r="EZ109" s="208">
        <v>1483</v>
      </c>
      <c r="FA109" s="208">
        <v>0</v>
      </c>
      <c r="FB109" s="208">
        <v>1483</v>
      </c>
      <c r="FC109" s="208">
        <v>-80865</v>
      </c>
      <c r="FD109" s="208">
        <v>0</v>
      </c>
      <c r="FE109" s="208">
        <v>-80865</v>
      </c>
      <c r="FF109" s="208">
        <v>13582</v>
      </c>
      <c r="FG109" s="208">
        <v>0</v>
      </c>
      <c r="FH109" s="208">
        <v>13582</v>
      </c>
      <c r="FI109" s="208">
        <v>-32775</v>
      </c>
      <c r="FJ109" s="208">
        <v>0</v>
      </c>
      <c r="FK109" s="208">
        <v>-32775</v>
      </c>
      <c r="FL109" s="208">
        <v>425</v>
      </c>
      <c r="FM109" s="208">
        <v>0</v>
      </c>
      <c r="FN109" s="208">
        <v>425</v>
      </c>
      <c r="FO109" s="208">
        <v>0</v>
      </c>
      <c r="FP109" s="208">
        <v>0</v>
      </c>
      <c r="FQ109" s="208">
        <v>0</v>
      </c>
      <c r="FR109" s="208">
        <v>0</v>
      </c>
      <c r="FS109" s="208">
        <v>0</v>
      </c>
      <c r="FT109" s="208">
        <v>0</v>
      </c>
      <c r="FU109" s="208">
        <v>-156192</v>
      </c>
      <c r="FV109" s="208">
        <v>0</v>
      </c>
      <c r="FW109" s="208">
        <v>-156192</v>
      </c>
      <c r="FX109" s="208">
        <v>0</v>
      </c>
      <c r="FY109" s="208">
        <v>0</v>
      </c>
      <c r="FZ109" s="208">
        <v>0</v>
      </c>
      <c r="GA109" s="208">
        <v>0</v>
      </c>
      <c r="GB109" s="208">
        <v>0</v>
      </c>
      <c r="GC109" s="208">
        <v>0</v>
      </c>
      <c r="GD109" s="208">
        <v>0</v>
      </c>
      <c r="GE109" s="208">
        <v>0</v>
      </c>
      <c r="GF109" s="208">
        <v>0</v>
      </c>
      <c r="GG109" s="208">
        <v>19043108</v>
      </c>
      <c r="GH109" s="208">
        <v>0</v>
      </c>
      <c r="GI109" s="208">
        <v>19043108</v>
      </c>
      <c r="GJ109" s="208">
        <v>-577965</v>
      </c>
      <c r="GK109" s="208">
        <v>0</v>
      </c>
      <c r="GL109" s="208">
        <v>-577965</v>
      </c>
      <c r="GM109" s="208">
        <v>-5129966</v>
      </c>
      <c r="GN109" s="208">
        <v>0</v>
      </c>
      <c r="GO109" s="208">
        <v>-5129966</v>
      </c>
      <c r="GP109" s="208">
        <v>-625057</v>
      </c>
      <c r="GQ109" s="208">
        <v>0</v>
      </c>
      <c r="GR109" s="208">
        <v>-625057</v>
      </c>
      <c r="GS109" s="208">
        <v>-41700</v>
      </c>
      <c r="GT109" s="208">
        <v>0</v>
      </c>
      <c r="GU109" s="208">
        <v>-41700</v>
      </c>
      <c r="GV109" s="208">
        <v>-156192</v>
      </c>
      <c r="GW109" s="208">
        <v>0</v>
      </c>
      <c r="GX109" s="208">
        <v>-156192</v>
      </c>
      <c r="GY109" s="208">
        <v>0</v>
      </c>
      <c r="GZ109" s="208">
        <v>0</v>
      </c>
      <c r="HA109" s="208">
        <v>0</v>
      </c>
      <c r="HB109" s="208">
        <v>-6530880</v>
      </c>
      <c r="HC109" s="208">
        <v>0</v>
      </c>
      <c r="HD109" s="208">
        <v>-6530880</v>
      </c>
      <c r="HE109" s="208">
        <v>12512228</v>
      </c>
      <c r="HF109" s="208">
        <v>0</v>
      </c>
      <c r="HG109" s="208">
        <v>12512228</v>
      </c>
      <c r="HH109" s="187" t="s">
        <v>1054</v>
      </c>
    </row>
    <row r="110" spans="1:216" s="187" customFormat="1" x14ac:dyDescent="0.2">
      <c r="B110" s="429" t="s">
        <v>297</v>
      </c>
      <c r="C110" s="429" t="s">
        <v>296</v>
      </c>
      <c r="D110" s="208">
        <v>-403156</v>
      </c>
      <c r="E110" s="208">
        <v>-767</v>
      </c>
      <c r="F110" s="208">
        <v>-403923</v>
      </c>
      <c r="G110" s="208">
        <v>128962</v>
      </c>
      <c r="H110" s="208">
        <v>0</v>
      </c>
      <c r="I110" s="208">
        <v>128962</v>
      </c>
      <c r="J110" s="208">
        <v>602714</v>
      </c>
      <c r="K110" s="208">
        <v>61870</v>
      </c>
      <c r="L110" s="208">
        <v>664584</v>
      </c>
      <c r="M110" s="208">
        <v>20189</v>
      </c>
      <c r="N110" s="208">
        <v>8907</v>
      </c>
      <c r="O110" s="208">
        <v>29096</v>
      </c>
      <c r="P110" s="208">
        <v>348709</v>
      </c>
      <c r="Q110" s="208">
        <v>70010</v>
      </c>
      <c r="R110" s="208">
        <v>418719</v>
      </c>
      <c r="S110" s="208">
        <v>-3476679</v>
      </c>
      <c r="T110" s="208">
        <v>-34951</v>
      </c>
      <c r="U110" s="208">
        <v>-3511630</v>
      </c>
      <c r="V110" s="208">
        <v>-3504</v>
      </c>
      <c r="W110" s="208">
        <v>0</v>
      </c>
      <c r="X110" s="208">
        <v>-3504</v>
      </c>
      <c r="Y110" s="208">
        <v>-19236</v>
      </c>
      <c r="Z110" s="208">
        <v>-1529</v>
      </c>
      <c r="AA110" s="208">
        <v>-20765</v>
      </c>
      <c r="AB110" s="208">
        <v>-6362</v>
      </c>
      <c r="AC110" s="208">
        <v>-506</v>
      </c>
      <c r="AD110" s="208">
        <v>-6868</v>
      </c>
      <c r="AE110" s="208">
        <v>-12290</v>
      </c>
      <c r="AF110" s="208">
        <v>-977</v>
      </c>
      <c r="AG110" s="208">
        <v>-13267</v>
      </c>
      <c r="AH110" s="208">
        <v>0</v>
      </c>
      <c r="AI110" s="208">
        <v>0</v>
      </c>
      <c r="AJ110" s="208">
        <v>0</v>
      </c>
      <c r="AK110" s="208">
        <v>0</v>
      </c>
      <c r="AL110" s="208">
        <v>0</v>
      </c>
      <c r="AM110" s="208">
        <v>0</v>
      </c>
      <c r="AN110" s="208">
        <v>513677</v>
      </c>
      <c r="AO110" s="208">
        <v>72316</v>
      </c>
      <c r="AP110" s="208">
        <v>585993</v>
      </c>
      <c r="AQ110" s="208">
        <v>-7356</v>
      </c>
      <c r="AR110" s="208">
        <v>-2691</v>
      </c>
      <c r="AS110" s="208">
        <v>-10047</v>
      </c>
      <c r="AT110" s="208">
        <v>-1309724</v>
      </c>
      <c r="AU110" s="208">
        <v>-46421</v>
      </c>
      <c r="AV110" s="208">
        <v>-1356145</v>
      </c>
      <c r="AW110" s="208">
        <v>-74</v>
      </c>
      <c r="AX110" s="208">
        <v>1353</v>
      </c>
      <c r="AY110" s="208">
        <v>1279</v>
      </c>
      <c r="AZ110" s="208">
        <v>-7760</v>
      </c>
      <c r="BA110" s="208">
        <v>0</v>
      </c>
      <c r="BB110" s="208">
        <v>-7760</v>
      </c>
      <c r="BC110" s="208">
        <v>0</v>
      </c>
      <c r="BD110" s="208">
        <v>0</v>
      </c>
      <c r="BE110" s="208">
        <v>0</v>
      </c>
      <c r="BF110" s="208">
        <v>-6591</v>
      </c>
      <c r="BG110" s="208">
        <v>0</v>
      </c>
      <c r="BH110" s="208">
        <v>-6591</v>
      </c>
      <c r="BI110" s="208">
        <v>-2330</v>
      </c>
      <c r="BJ110" s="208">
        <v>0</v>
      </c>
      <c r="BK110" s="208">
        <v>-2330</v>
      </c>
      <c r="BL110" s="208">
        <v>-4316073</v>
      </c>
      <c r="BM110" s="208">
        <v>-11923</v>
      </c>
      <c r="BN110" s="208">
        <v>-4327996</v>
      </c>
      <c r="BO110" s="208">
        <v>0</v>
      </c>
      <c r="BP110" s="208">
        <v>0</v>
      </c>
      <c r="BQ110" s="208">
        <v>0</v>
      </c>
      <c r="BR110" s="208">
        <v>0</v>
      </c>
      <c r="BS110" s="208">
        <v>0</v>
      </c>
      <c r="BT110" s="208">
        <v>0</v>
      </c>
      <c r="BU110" s="208">
        <v>-622197</v>
      </c>
      <c r="BV110" s="208">
        <v>-16820</v>
      </c>
      <c r="BW110" s="208">
        <v>-639017</v>
      </c>
      <c r="BX110" s="208">
        <v>-9079</v>
      </c>
      <c r="BY110" s="208">
        <v>3595</v>
      </c>
      <c r="BZ110" s="208">
        <v>-5484</v>
      </c>
      <c r="CA110" s="208">
        <v>-631276</v>
      </c>
      <c r="CB110" s="208">
        <v>-13225</v>
      </c>
      <c r="CC110" s="208">
        <v>-644501</v>
      </c>
      <c r="CD110" s="208">
        <v>-54289</v>
      </c>
      <c r="CE110" s="208">
        <v>-266</v>
      </c>
      <c r="CF110" s="208">
        <v>-54555</v>
      </c>
      <c r="CG110" s="208">
        <v>0</v>
      </c>
      <c r="CH110" s="208">
        <v>338</v>
      </c>
      <c r="CI110" s="208">
        <v>338</v>
      </c>
      <c r="CJ110" s="208">
        <v>-18461</v>
      </c>
      <c r="CK110" s="208">
        <v>0</v>
      </c>
      <c r="CL110" s="208">
        <v>-18461</v>
      </c>
      <c r="CM110" s="208">
        <v>1282</v>
      </c>
      <c r="CN110" s="208">
        <v>0</v>
      </c>
      <c r="CO110" s="208">
        <v>1282</v>
      </c>
      <c r="CP110" s="208">
        <v>-1071</v>
      </c>
      <c r="CQ110" s="208">
        <v>0</v>
      </c>
      <c r="CR110" s="208">
        <v>-1071</v>
      </c>
      <c r="CS110" s="208">
        <v>0</v>
      </c>
      <c r="CT110" s="208">
        <v>0</v>
      </c>
      <c r="CU110" s="208">
        <v>0</v>
      </c>
      <c r="CV110" s="208">
        <v>-2571</v>
      </c>
      <c r="CW110" s="208">
        <v>0</v>
      </c>
      <c r="CX110" s="208">
        <v>-2571</v>
      </c>
      <c r="CY110" s="208">
        <v>-2330</v>
      </c>
      <c r="CZ110" s="208">
        <v>0</v>
      </c>
      <c r="DA110" s="208">
        <v>-2330</v>
      </c>
      <c r="DB110" s="208">
        <v>0</v>
      </c>
      <c r="DC110" s="208">
        <v>0</v>
      </c>
      <c r="DD110" s="208">
        <v>0</v>
      </c>
      <c r="DE110" s="208">
        <v>4510</v>
      </c>
      <c r="DF110" s="208">
        <v>0</v>
      </c>
      <c r="DG110" s="208">
        <v>4510</v>
      </c>
      <c r="DH110" s="208">
        <v>0</v>
      </c>
      <c r="DI110" s="208">
        <v>-259202</v>
      </c>
      <c r="DJ110" s="208">
        <v>-259202</v>
      </c>
      <c r="DK110" s="208">
        <v>0</v>
      </c>
      <c r="DL110" s="208">
        <v>-15744</v>
      </c>
      <c r="DM110" s="208">
        <v>-15744</v>
      </c>
      <c r="DN110" s="208">
        <v>-274946</v>
      </c>
      <c r="DO110" s="208">
        <v>0</v>
      </c>
      <c r="DP110" s="208">
        <v>-72930</v>
      </c>
      <c r="DQ110" s="208">
        <v>-274874</v>
      </c>
      <c r="DR110" s="208">
        <v>-347804</v>
      </c>
      <c r="DS110" s="208">
        <v>1087</v>
      </c>
      <c r="DT110" s="208">
        <v>0</v>
      </c>
      <c r="DU110" s="208">
        <v>1087</v>
      </c>
      <c r="DV110" s="208">
        <v>0</v>
      </c>
      <c r="DW110" s="208">
        <v>0</v>
      </c>
      <c r="DX110" s="208">
        <v>0</v>
      </c>
      <c r="DY110" s="208">
        <v>-1500</v>
      </c>
      <c r="DZ110" s="208">
        <v>0</v>
      </c>
      <c r="EA110" s="208">
        <v>-1500</v>
      </c>
      <c r="EB110" s="208">
        <v>0</v>
      </c>
      <c r="EC110" s="208">
        <v>0</v>
      </c>
      <c r="ED110" s="208">
        <v>0</v>
      </c>
      <c r="EE110" s="208">
        <v>0</v>
      </c>
      <c r="EF110" s="208">
        <v>0</v>
      </c>
      <c r="EG110" s="208">
        <v>0</v>
      </c>
      <c r="EH110" s="208">
        <v>0</v>
      </c>
      <c r="EI110" s="208">
        <v>0</v>
      </c>
      <c r="EJ110" s="208">
        <v>0</v>
      </c>
      <c r="EK110" s="208">
        <v>-4019</v>
      </c>
      <c r="EL110" s="208">
        <v>0</v>
      </c>
      <c r="EM110" s="208">
        <v>-4019</v>
      </c>
      <c r="EN110" s="208">
        <v>0</v>
      </c>
      <c r="EO110" s="208">
        <v>0</v>
      </c>
      <c r="EP110" s="208">
        <v>0</v>
      </c>
      <c r="EQ110" s="208">
        <v>0</v>
      </c>
      <c r="ER110" s="208">
        <v>-945</v>
      </c>
      <c r="ES110" s="208">
        <v>-945</v>
      </c>
      <c r="ET110" s="208">
        <v>0</v>
      </c>
      <c r="EU110" s="208">
        <v>0</v>
      </c>
      <c r="EV110" s="208">
        <v>0</v>
      </c>
      <c r="EW110" s="208">
        <v>-17364</v>
      </c>
      <c r="EX110" s="208">
        <v>0</v>
      </c>
      <c r="EY110" s="208">
        <v>-17364</v>
      </c>
      <c r="EZ110" s="208">
        <v>959</v>
      </c>
      <c r="FA110" s="208">
        <v>0</v>
      </c>
      <c r="FB110" s="208">
        <v>959</v>
      </c>
      <c r="FC110" s="208">
        <v>-47874</v>
      </c>
      <c r="FD110" s="208">
        <v>0</v>
      </c>
      <c r="FE110" s="208">
        <v>-47874</v>
      </c>
      <c r="FF110" s="208">
        <v>395</v>
      </c>
      <c r="FG110" s="208">
        <v>0</v>
      </c>
      <c r="FH110" s="208">
        <v>395</v>
      </c>
      <c r="FI110" s="208">
        <v>-12310</v>
      </c>
      <c r="FJ110" s="208">
        <v>0</v>
      </c>
      <c r="FK110" s="208">
        <v>-12310</v>
      </c>
      <c r="FL110" s="208">
        <v>-468</v>
      </c>
      <c r="FM110" s="208">
        <v>0</v>
      </c>
      <c r="FN110" s="208">
        <v>-468</v>
      </c>
      <c r="FO110" s="208">
        <v>0</v>
      </c>
      <c r="FP110" s="208">
        <v>0</v>
      </c>
      <c r="FQ110" s="208">
        <v>0</v>
      </c>
      <c r="FR110" s="208">
        <v>0</v>
      </c>
      <c r="FS110" s="208">
        <v>0</v>
      </c>
      <c r="FT110" s="208">
        <v>0</v>
      </c>
      <c r="FU110" s="208">
        <v>-81094</v>
      </c>
      <c r="FV110" s="208">
        <v>-945</v>
      </c>
      <c r="FW110" s="208">
        <v>-82039</v>
      </c>
      <c r="FX110" s="208">
        <v>0</v>
      </c>
      <c r="FY110" s="208">
        <v>0</v>
      </c>
      <c r="FZ110" s="208">
        <v>0</v>
      </c>
      <c r="GA110" s="208">
        <v>0</v>
      </c>
      <c r="GB110" s="208">
        <v>0</v>
      </c>
      <c r="GC110" s="208">
        <v>0</v>
      </c>
      <c r="GD110" s="208">
        <v>0</v>
      </c>
      <c r="GE110" s="208">
        <v>0</v>
      </c>
      <c r="GF110" s="208">
        <v>0</v>
      </c>
      <c r="GG110" s="208">
        <v>28766681</v>
      </c>
      <c r="GH110" s="208">
        <v>2988461</v>
      </c>
      <c r="GI110" s="208">
        <v>31755142</v>
      </c>
      <c r="GJ110" s="208">
        <v>348709</v>
      </c>
      <c r="GK110" s="208">
        <v>70010</v>
      </c>
      <c r="GL110" s="208">
        <v>418719</v>
      </c>
      <c r="GM110" s="208">
        <v>-4316073</v>
      </c>
      <c r="GN110" s="208">
        <v>-11923</v>
      </c>
      <c r="GO110" s="208">
        <v>-4327996</v>
      </c>
      <c r="GP110" s="208">
        <v>-631276</v>
      </c>
      <c r="GQ110" s="208">
        <v>-13225</v>
      </c>
      <c r="GR110" s="208">
        <v>-644501</v>
      </c>
      <c r="GS110" s="208">
        <v>-72930</v>
      </c>
      <c r="GT110" s="208">
        <v>-274874</v>
      </c>
      <c r="GU110" s="208">
        <v>-347804</v>
      </c>
      <c r="GV110" s="208">
        <v>-81094</v>
      </c>
      <c r="GW110" s="208">
        <v>-945</v>
      </c>
      <c r="GX110" s="208">
        <v>-82039</v>
      </c>
      <c r="GY110" s="208">
        <v>0</v>
      </c>
      <c r="GZ110" s="208">
        <v>0</v>
      </c>
      <c r="HA110" s="208">
        <v>0</v>
      </c>
      <c r="HB110" s="208">
        <v>-4752664</v>
      </c>
      <c r="HC110" s="208">
        <v>-230957</v>
      </c>
      <c r="HD110" s="208">
        <v>-4983621</v>
      </c>
      <c r="HE110" s="208">
        <v>24014017</v>
      </c>
      <c r="HF110" s="208">
        <v>2757504</v>
      </c>
      <c r="HG110" s="208">
        <v>26771521</v>
      </c>
      <c r="HH110" s="187" t="s">
        <v>1054</v>
      </c>
    </row>
    <row r="111" spans="1:216" s="187" customFormat="1" x14ac:dyDescent="0.2">
      <c r="B111" s="429" t="s">
        <v>299</v>
      </c>
      <c r="C111" s="429" t="s">
        <v>298</v>
      </c>
      <c r="D111" s="208">
        <v>-2644538</v>
      </c>
      <c r="E111" s="208">
        <v>-24838</v>
      </c>
      <c r="F111" s="208">
        <v>-2669376</v>
      </c>
      <c r="G111" s="208">
        <v>-136281</v>
      </c>
      <c r="H111" s="208">
        <v>2841</v>
      </c>
      <c r="I111" s="208">
        <v>-133440</v>
      </c>
      <c r="J111" s="208">
        <v>4601468</v>
      </c>
      <c r="K111" s="208">
        <v>65250</v>
      </c>
      <c r="L111" s="208">
        <v>4666718</v>
      </c>
      <c r="M111" s="208">
        <v>-33413</v>
      </c>
      <c r="N111" s="208">
        <v>-880</v>
      </c>
      <c r="O111" s="208">
        <v>-34293</v>
      </c>
      <c r="P111" s="208">
        <v>1787236</v>
      </c>
      <c r="Q111" s="208">
        <v>42373</v>
      </c>
      <c r="R111" s="208">
        <v>1829609</v>
      </c>
      <c r="S111" s="208">
        <v>-6073954</v>
      </c>
      <c r="T111" s="208">
        <v>-119741</v>
      </c>
      <c r="U111" s="208">
        <v>-6193695</v>
      </c>
      <c r="V111" s="208">
        <v>-7225</v>
      </c>
      <c r="W111" s="208">
        <v>0</v>
      </c>
      <c r="X111" s="208">
        <v>-7225</v>
      </c>
      <c r="Y111" s="208">
        <v>-62849</v>
      </c>
      <c r="Z111" s="208">
        <v>-8101</v>
      </c>
      <c r="AA111" s="208">
        <v>-70950</v>
      </c>
      <c r="AB111" s="208">
        <v>-10212</v>
      </c>
      <c r="AC111" s="208">
        <v>-513</v>
      </c>
      <c r="AD111" s="208">
        <v>-10725</v>
      </c>
      <c r="AE111" s="208">
        <v>-52445</v>
      </c>
      <c r="AF111" s="208">
        <v>-7587</v>
      </c>
      <c r="AG111" s="208">
        <v>-60032</v>
      </c>
      <c r="AH111" s="208">
        <v>0</v>
      </c>
      <c r="AI111" s="208">
        <v>0</v>
      </c>
      <c r="AJ111" s="208">
        <v>0</v>
      </c>
      <c r="AK111" s="208">
        <v>0</v>
      </c>
      <c r="AL111" s="208">
        <v>0</v>
      </c>
      <c r="AM111" s="208">
        <v>0</v>
      </c>
      <c r="AN111" s="208">
        <v>2119131</v>
      </c>
      <c r="AO111" s="208">
        <v>70212</v>
      </c>
      <c r="AP111" s="208">
        <v>2189343</v>
      </c>
      <c r="AQ111" s="208">
        <v>-43245</v>
      </c>
      <c r="AR111" s="208">
        <v>-1133</v>
      </c>
      <c r="AS111" s="208">
        <v>-44378</v>
      </c>
      <c r="AT111" s="208">
        <v>-3617644</v>
      </c>
      <c r="AU111" s="208">
        <v>-977773</v>
      </c>
      <c r="AV111" s="208">
        <v>-4595417</v>
      </c>
      <c r="AW111" s="208">
        <v>37458</v>
      </c>
      <c r="AX111" s="208">
        <v>0</v>
      </c>
      <c r="AY111" s="208">
        <v>37458</v>
      </c>
      <c r="AZ111" s="208">
        <v>-87363</v>
      </c>
      <c r="BA111" s="208">
        <v>0</v>
      </c>
      <c r="BB111" s="208">
        <v>-87363</v>
      </c>
      <c r="BC111" s="208">
        <v>0</v>
      </c>
      <c r="BD111" s="208">
        <v>0</v>
      </c>
      <c r="BE111" s="208">
        <v>0</v>
      </c>
      <c r="BF111" s="208">
        <v>-6594</v>
      </c>
      <c r="BG111" s="208">
        <v>0</v>
      </c>
      <c r="BH111" s="208">
        <v>-6594</v>
      </c>
      <c r="BI111" s="208">
        <v>0</v>
      </c>
      <c r="BJ111" s="208">
        <v>0</v>
      </c>
      <c r="BK111" s="208">
        <v>0</v>
      </c>
      <c r="BL111" s="208">
        <v>-7735060</v>
      </c>
      <c r="BM111" s="208">
        <v>-1036536</v>
      </c>
      <c r="BN111" s="208">
        <v>-8771596</v>
      </c>
      <c r="BO111" s="208">
        <v>-11327</v>
      </c>
      <c r="BP111" s="208">
        <v>-960</v>
      </c>
      <c r="BQ111" s="208">
        <v>-12287</v>
      </c>
      <c r="BR111" s="208">
        <v>-26040</v>
      </c>
      <c r="BS111" s="208">
        <v>-218</v>
      </c>
      <c r="BT111" s="208">
        <v>-26258</v>
      </c>
      <c r="BU111" s="208">
        <v>-3998748</v>
      </c>
      <c r="BV111" s="208">
        <v>-47764</v>
      </c>
      <c r="BW111" s="208">
        <v>-4046512</v>
      </c>
      <c r="BX111" s="208">
        <v>-123037</v>
      </c>
      <c r="BY111" s="208">
        <v>4476</v>
      </c>
      <c r="BZ111" s="208">
        <v>-118561</v>
      </c>
      <c r="CA111" s="208">
        <v>-4159152</v>
      </c>
      <c r="CB111" s="208">
        <v>-44466</v>
      </c>
      <c r="CC111" s="208">
        <v>-4203618</v>
      </c>
      <c r="CD111" s="208">
        <v>-73284</v>
      </c>
      <c r="CE111" s="208">
        <v>-651</v>
      </c>
      <c r="CF111" s="208">
        <v>-73935</v>
      </c>
      <c r="CG111" s="208">
        <v>-923</v>
      </c>
      <c r="CH111" s="208">
        <v>0</v>
      </c>
      <c r="CI111" s="208">
        <v>-923</v>
      </c>
      <c r="CJ111" s="208">
        <v>0</v>
      </c>
      <c r="CK111" s="208">
        <v>0</v>
      </c>
      <c r="CL111" s="208">
        <v>0</v>
      </c>
      <c r="CM111" s="208">
        <v>736</v>
      </c>
      <c r="CN111" s="208">
        <v>0</v>
      </c>
      <c r="CO111" s="208">
        <v>736</v>
      </c>
      <c r="CP111" s="208">
        <v>-759</v>
      </c>
      <c r="CQ111" s="208">
        <v>0</v>
      </c>
      <c r="CR111" s="208">
        <v>-759</v>
      </c>
      <c r="CS111" s="208">
        <v>0</v>
      </c>
      <c r="CT111" s="208">
        <v>0</v>
      </c>
      <c r="CU111" s="208">
        <v>0</v>
      </c>
      <c r="CV111" s="208">
        <v>0</v>
      </c>
      <c r="CW111" s="208">
        <v>0</v>
      </c>
      <c r="CX111" s="208">
        <v>0</v>
      </c>
      <c r="CY111" s="208">
        <v>0</v>
      </c>
      <c r="CZ111" s="208">
        <v>0</v>
      </c>
      <c r="DA111" s="208">
        <v>0</v>
      </c>
      <c r="DB111" s="208">
        <v>0</v>
      </c>
      <c r="DC111" s="208">
        <v>0</v>
      </c>
      <c r="DD111" s="208">
        <v>0</v>
      </c>
      <c r="DE111" s="208">
        <v>0</v>
      </c>
      <c r="DF111" s="208">
        <v>0</v>
      </c>
      <c r="DG111" s="208">
        <v>0</v>
      </c>
      <c r="DH111" s="208">
        <v>-41451</v>
      </c>
      <c r="DI111" s="208">
        <v>0</v>
      </c>
      <c r="DJ111" s="208">
        <v>-41451</v>
      </c>
      <c r="DK111" s="208">
        <v>0</v>
      </c>
      <c r="DL111" s="208">
        <v>0</v>
      </c>
      <c r="DM111" s="208">
        <v>0</v>
      </c>
      <c r="DN111" s="208">
        <v>0</v>
      </c>
      <c r="DO111" s="208">
        <v>0</v>
      </c>
      <c r="DP111" s="208">
        <v>-115681</v>
      </c>
      <c r="DQ111" s="208">
        <v>-651</v>
      </c>
      <c r="DR111" s="208">
        <v>-116332</v>
      </c>
      <c r="DS111" s="208">
        <v>0</v>
      </c>
      <c r="DT111" s="208">
        <v>0</v>
      </c>
      <c r="DU111" s="208">
        <v>0</v>
      </c>
      <c r="DV111" s="208">
        <v>0</v>
      </c>
      <c r="DW111" s="208">
        <v>0</v>
      </c>
      <c r="DX111" s="208">
        <v>0</v>
      </c>
      <c r="DY111" s="208">
        <v>0</v>
      </c>
      <c r="DZ111" s="208">
        <v>0</v>
      </c>
      <c r="EA111" s="208">
        <v>0</v>
      </c>
      <c r="EB111" s="208">
        <v>0</v>
      </c>
      <c r="EC111" s="208">
        <v>0</v>
      </c>
      <c r="ED111" s="208">
        <v>0</v>
      </c>
      <c r="EE111" s="208">
        <v>0</v>
      </c>
      <c r="EF111" s="208">
        <v>0</v>
      </c>
      <c r="EG111" s="208">
        <v>0</v>
      </c>
      <c r="EH111" s="208">
        <v>0</v>
      </c>
      <c r="EI111" s="208">
        <v>0</v>
      </c>
      <c r="EJ111" s="208">
        <v>0</v>
      </c>
      <c r="EK111" s="208">
        <v>-6594</v>
      </c>
      <c r="EL111" s="208">
        <v>0</v>
      </c>
      <c r="EM111" s="208">
        <v>-6594</v>
      </c>
      <c r="EN111" s="208">
        <v>0</v>
      </c>
      <c r="EO111" s="208">
        <v>0</v>
      </c>
      <c r="EP111" s="208">
        <v>0</v>
      </c>
      <c r="EQ111" s="208">
        <v>0</v>
      </c>
      <c r="ER111" s="208">
        <v>0</v>
      </c>
      <c r="ES111" s="208">
        <v>0</v>
      </c>
      <c r="ET111" s="208">
        <v>0</v>
      </c>
      <c r="EU111" s="208">
        <v>0</v>
      </c>
      <c r="EV111" s="208">
        <v>0</v>
      </c>
      <c r="EW111" s="208">
        <v>-42581</v>
      </c>
      <c r="EX111" s="208">
        <v>0</v>
      </c>
      <c r="EY111" s="208">
        <v>-42581</v>
      </c>
      <c r="EZ111" s="208">
        <v>3447</v>
      </c>
      <c r="FA111" s="208">
        <v>0</v>
      </c>
      <c r="FB111" s="208">
        <v>3447</v>
      </c>
      <c r="FC111" s="208">
        <v>-174716</v>
      </c>
      <c r="FD111" s="208">
        <v>-7335</v>
      </c>
      <c r="FE111" s="208">
        <v>-182051</v>
      </c>
      <c r="FF111" s="208">
        <v>5284</v>
      </c>
      <c r="FG111" s="208">
        <v>1819</v>
      </c>
      <c r="FH111" s="208">
        <v>7103</v>
      </c>
      <c r="FI111" s="208">
        <v>-63399</v>
      </c>
      <c r="FJ111" s="208">
        <v>0</v>
      </c>
      <c r="FK111" s="208">
        <v>-63399</v>
      </c>
      <c r="FL111" s="208">
        <v>186</v>
      </c>
      <c r="FM111" s="208">
        <v>0</v>
      </c>
      <c r="FN111" s="208">
        <v>186</v>
      </c>
      <c r="FO111" s="208">
        <v>0</v>
      </c>
      <c r="FP111" s="208">
        <v>0</v>
      </c>
      <c r="FQ111" s="208">
        <v>0</v>
      </c>
      <c r="FR111" s="208">
        <v>0</v>
      </c>
      <c r="FS111" s="208">
        <v>0</v>
      </c>
      <c r="FT111" s="208">
        <v>0</v>
      </c>
      <c r="FU111" s="208">
        <v>-278373</v>
      </c>
      <c r="FV111" s="208">
        <v>-5516</v>
      </c>
      <c r="FW111" s="208">
        <v>-283889</v>
      </c>
      <c r="FX111" s="208">
        <v>0</v>
      </c>
      <c r="FY111" s="208">
        <v>0</v>
      </c>
      <c r="FZ111" s="208">
        <v>0</v>
      </c>
      <c r="GA111" s="208">
        <v>0</v>
      </c>
      <c r="GB111" s="208">
        <v>0</v>
      </c>
      <c r="GC111" s="208">
        <v>0</v>
      </c>
      <c r="GD111" s="208">
        <v>0</v>
      </c>
      <c r="GE111" s="208">
        <v>0</v>
      </c>
      <c r="GF111" s="208">
        <v>0</v>
      </c>
      <c r="GG111" s="208">
        <v>100364802</v>
      </c>
      <c r="GH111" s="208">
        <v>3065857</v>
      </c>
      <c r="GI111" s="208">
        <v>103430659</v>
      </c>
      <c r="GJ111" s="208">
        <v>1787236</v>
      </c>
      <c r="GK111" s="208">
        <v>42373</v>
      </c>
      <c r="GL111" s="208">
        <v>1829609</v>
      </c>
      <c r="GM111" s="208">
        <v>-7735060</v>
      </c>
      <c r="GN111" s="208">
        <v>-1036536</v>
      </c>
      <c r="GO111" s="208">
        <v>-8771596</v>
      </c>
      <c r="GP111" s="208">
        <v>-4159152</v>
      </c>
      <c r="GQ111" s="208">
        <v>-44466</v>
      </c>
      <c r="GR111" s="208">
        <v>-4203618</v>
      </c>
      <c r="GS111" s="208">
        <v>-115681</v>
      </c>
      <c r="GT111" s="208">
        <v>-651</v>
      </c>
      <c r="GU111" s="208">
        <v>-116332</v>
      </c>
      <c r="GV111" s="208">
        <v>-278373</v>
      </c>
      <c r="GW111" s="208">
        <v>-5516</v>
      </c>
      <c r="GX111" s="208">
        <v>-283889</v>
      </c>
      <c r="GY111" s="208">
        <v>0</v>
      </c>
      <c r="GZ111" s="208">
        <v>0</v>
      </c>
      <c r="HA111" s="208">
        <v>0</v>
      </c>
      <c r="HB111" s="208">
        <v>-10501030</v>
      </c>
      <c r="HC111" s="208">
        <v>-1044796</v>
      </c>
      <c r="HD111" s="208">
        <v>-11545826</v>
      </c>
      <c r="HE111" s="208">
        <v>89863772</v>
      </c>
      <c r="HF111" s="208">
        <v>2021061</v>
      </c>
      <c r="HG111" s="208">
        <v>91884833</v>
      </c>
      <c r="HH111" s="187" t="s">
        <v>1056</v>
      </c>
    </row>
    <row r="112" spans="1:216" s="187" customFormat="1" x14ac:dyDescent="0.2">
      <c r="B112" s="429" t="s">
        <v>301</v>
      </c>
      <c r="C112" s="429" t="s">
        <v>300</v>
      </c>
      <c r="D112" s="208">
        <v>-785770.76</v>
      </c>
      <c r="E112" s="208">
        <v>0</v>
      </c>
      <c r="F112" s="208">
        <v>-785770.76</v>
      </c>
      <c r="G112" s="208">
        <v>2054.19</v>
      </c>
      <c r="H112" s="208">
        <v>0</v>
      </c>
      <c r="I112" s="208">
        <v>2054.19</v>
      </c>
      <c r="J112" s="208">
        <v>266920.87</v>
      </c>
      <c r="K112" s="208">
        <v>0</v>
      </c>
      <c r="L112" s="208">
        <v>266920.87</v>
      </c>
      <c r="M112" s="208">
        <v>-28308.959999999999</v>
      </c>
      <c r="N112" s="208">
        <v>0</v>
      </c>
      <c r="O112" s="208">
        <v>-28308.959999999999</v>
      </c>
      <c r="P112" s="208">
        <v>-545105</v>
      </c>
      <c r="Q112" s="208">
        <v>0</v>
      </c>
      <c r="R112" s="208">
        <v>-545105</v>
      </c>
      <c r="S112" s="208">
        <v>-2624877.6</v>
      </c>
      <c r="T112" s="208">
        <v>0</v>
      </c>
      <c r="U112" s="208">
        <v>-2624877.6</v>
      </c>
      <c r="V112" s="208">
        <v>0</v>
      </c>
      <c r="W112" s="208">
        <v>0</v>
      </c>
      <c r="X112" s="208">
        <v>0</v>
      </c>
      <c r="Y112" s="208">
        <v>-46271.07</v>
      </c>
      <c r="Z112" s="208">
        <v>0</v>
      </c>
      <c r="AA112" s="208">
        <v>-46271.07</v>
      </c>
      <c r="AB112" s="208">
        <v>-2538.21</v>
      </c>
      <c r="AC112" s="208">
        <v>0</v>
      </c>
      <c r="AD112" s="208">
        <v>-2538.21</v>
      </c>
      <c r="AE112" s="208">
        <v>-43732.86</v>
      </c>
      <c r="AF112" s="208">
        <v>0</v>
      </c>
      <c r="AG112" s="208">
        <v>-43732.86</v>
      </c>
      <c r="AH112" s="208">
        <v>0</v>
      </c>
      <c r="AI112" s="208">
        <v>0</v>
      </c>
      <c r="AJ112" s="208">
        <v>0</v>
      </c>
      <c r="AK112" s="208">
        <v>0</v>
      </c>
      <c r="AL112" s="208">
        <v>0</v>
      </c>
      <c r="AM112" s="208">
        <v>0</v>
      </c>
      <c r="AN112" s="208">
        <v>495075.85</v>
      </c>
      <c r="AO112" s="208">
        <v>0</v>
      </c>
      <c r="AP112" s="208">
        <v>495075.85</v>
      </c>
      <c r="AQ112" s="208">
        <v>-3640.74</v>
      </c>
      <c r="AR112" s="208">
        <v>0</v>
      </c>
      <c r="AS112" s="208">
        <v>-3640.74</v>
      </c>
      <c r="AT112" s="208">
        <v>-1720062.76</v>
      </c>
      <c r="AU112" s="208">
        <v>0</v>
      </c>
      <c r="AV112" s="208">
        <v>-1720062.76</v>
      </c>
      <c r="AW112" s="208">
        <v>-15616.9</v>
      </c>
      <c r="AX112" s="208">
        <v>0</v>
      </c>
      <c r="AY112" s="208">
        <v>-15616.9</v>
      </c>
      <c r="AZ112" s="208">
        <v>-47130.8</v>
      </c>
      <c r="BA112" s="208">
        <v>0</v>
      </c>
      <c r="BB112" s="208">
        <v>-47130.8</v>
      </c>
      <c r="BC112" s="208">
        <v>0</v>
      </c>
      <c r="BD112" s="208">
        <v>0</v>
      </c>
      <c r="BE112" s="208">
        <v>0</v>
      </c>
      <c r="BF112" s="208">
        <v>0</v>
      </c>
      <c r="BG112" s="208">
        <v>0</v>
      </c>
      <c r="BH112" s="208">
        <v>0</v>
      </c>
      <c r="BI112" s="208">
        <v>0</v>
      </c>
      <c r="BJ112" s="208">
        <v>0</v>
      </c>
      <c r="BK112" s="208">
        <v>0</v>
      </c>
      <c r="BL112" s="208">
        <v>-3962524</v>
      </c>
      <c r="BM112" s="208">
        <v>0</v>
      </c>
      <c r="BN112" s="208">
        <v>-3962524</v>
      </c>
      <c r="BO112" s="208">
        <v>0</v>
      </c>
      <c r="BP112" s="208">
        <v>0</v>
      </c>
      <c r="BQ112" s="208">
        <v>0</v>
      </c>
      <c r="BR112" s="208">
        <v>15.74</v>
      </c>
      <c r="BS112" s="208">
        <v>0</v>
      </c>
      <c r="BT112" s="208">
        <v>15.74</v>
      </c>
      <c r="BU112" s="208">
        <v>-412558</v>
      </c>
      <c r="BV112" s="208">
        <v>0</v>
      </c>
      <c r="BW112" s="208">
        <v>-412558</v>
      </c>
      <c r="BX112" s="208">
        <v>12630.78</v>
      </c>
      <c r="BY112" s="208">
        <v>0</v>
      </c>
      <c r="BZ112" s="208">
        <v>12630.78</v>
      </c>
      <c r="CA112" s="208">
        <v>-399911</v>
      </c>
      <c r="CB112" s="208">
        <v>0</v>
      </c>
      <c r="CC112" s="208">
        <v>-399911</v>
      </c>
      <c r="CD112" s="208">
        <v>-87664.36</v>
      </c>
      <c r="CE112" s="208">
        <v>0</v>
      </c>
      <c r="CF112" s="208">
        <v>-87664.36</v>
      </c>
      <c r="CG112" s="208">
        <v>-1699.53</v>
      </c>
      <c r="CH112" s="208">
        <v>0</v>
      </c>
      <c r="CI112" s="208">
        <v>-1699.53</v>
      </c>
      <c r="CJ112" s="208">
        <v>-56055.22</v>
      </c>
      <c r="CK112" s="208">
        <v>0</v>
      </c>
      <c r="CL112" s="208">
        <v>-56055.22</v>
      </c>
      <c r="CM112" s="208">
        <v>-1072.44</v>
      </c>
      <c r="CN112" s="208">
        <v>0</v>
      </c>
      <c r="CO112" s="208">
        <v>-1072.44</v>
      </c>
      <c r="CP112" s="208">
        <v>-5792.75</v>
      </c>
      <c r="CQ112" s="208">
        <v>0</v>
      </c>
      <c r="CR112" s="208">
        <v>-5792.75</v>
      </c>
      <c r="CS112" s="208">
        <v>0</v>
      </c>
      <c r="CT112" s="208">
        <v>0</v>
      </c>
      <c r="CU112" s="208">
        <v>0</v>
      </c>
      <c r="CV112" s="208">
        <v>0</v>
      </c>
      <c r="CW112" s="208">
        <v>0</v>
      </c>
      <c r="CX112" s="208">
        <v>0</v>
      </c>
      <c r="CY112" s="208">
        <v>0</v>
      </c>
      <c r="CZ112" s="208">
        <v>0</v>
      </c>
      <c r="DA112" s="208">
        <v>0</v>
      </c>
      <c r="DB112" s="208">
        <v>0</v>
      </c>
      <c r="DC112" s="208">
        <v>0</v>
      </c>
      <c r="DD112" s="208">
        <v>0</v>
      </c>
      <c r="DE112" s="208">
        <v>0</v>
      </c>
      <c r="DF112" s="208">
        <v>0</v>
      </c>
      <c r="DG112" s="208">
        <v>0</v>
      </c>
      <c r="DH112" s="208">
        <v>0</v>
      </c>
      <c r="DI112" s="208">
        <v>0</v>
      </c>
      <c r="DJ112" s="208">
        <v>0</v>
      </c>
      <c r="DK112" s="208">
        <v>0</v>
      </c>
      <c r="DL112" s="208">
        <v>0</v>
      </c>
      <c r="DM112" s="208">
        <v>0</v>
      </c>
      <c r="DN112" s="208">
        <v>0</v>
      </c>
      <c r="DO112" s="208">
        <v>0</v>
      </c>
      <c r="DP112" s="208">
        <v>-152284</v>
      </c>
      <c r="DQ112" s="208">
        <v>0</v>
      </c>
      <c r="DR112" s="208">
        <v>-152284</v>
      </c>
      <c r="DS112" s="208">
        <v>0</v>
      </c>
      <c r="DT112" s="208">
        <v>0</v>
      </c>
      <c r="DU112" s="208">
        <v>0</v>
      </c>
      <c r="DV112" s="208">
        <v>0</v>
      </c>
      <c r="DW112" s="208">
        <v>0</v>
      </c>
      <c r="DX112" s="208">
        <v>0</v>
      </c>
      <c r="DY112" s="208">
        <v>0</v>
      </c>
      <c r="DZ112" s="208">
        <v>0</v>
      </c>
      <c r="EA112" s="208">
        <v>0</v>
      </c>
      <c r="EB112" s="208">
        <v>0</v>
      </c>
      <c r="EC112" s="208">
        <v>0</v>
      </c>
      <c r="ED112" s="208">
        <v>0</v>
      </c>
      <c r="EE112" s="208">
        <v>0</v>
      </c>
      <c r="EF112" s="208">
        <v>0</v>
      </c>
      <c r="EG112" s="208">
        <v>0</v>
      </c>
      <c r="EH112" s="208">
        <v>88.95</v>
      </c>
      <c r="EI112" s="208">
        <v>0</v>
      </c>
      <c r="EJ112" s="208">
        <v>88.95</v>
      </c>
      <c r="EK112" s="208">
        <v>0</v>
      </c>
      <c r="EL112" s="208">
        <v>0</v>
      </c>
      <c r="EM112" s="208">
        <v>0</v>
      </c>
      <c r="EN112" s="208">
        <v>0</v>
      </c>
      <c r="EO112" s="208">
        <v>0</v>
      </c>
      <c r="EP112" s="208">
        <v>0</v>
      </c>
      <c r="EQ112" s="208">
        <v>0</v>
      </c>
      <c r="ER112" s="208">
        <v>0</v>
      </c>
      <c r="ES112" s="208">
        <v>0</v>
      </c>
      <c r="ET112" s="208">
        <v>0</v>
      </c>
      <c r="EU112" s="208">
        <v>0</v>
      </c>
      <c r="EV112" s="208">
        <v>0</v>
      </c>
      <c r="EW112" s="208">
        <v>-16928.759999999998</v>
      </c>
      <c r="EX112" s="208">
        <v>0</v>
      </c>
      <c r="EY112" s="208">
        <v>-16928.759999999998</v>
      </c>
      <c r="EZ112" s="208">
        <v>362.85</v>
      </c>
      <c r="FA112" s="208">
        <v>0</v>
      </c>
      <c r="FB112" s="208">
        <v>362.85</v>
      </c>
      <c r="FC112" s="208">
        <v>-94554.02</v>
      </c>
      <c r="FD112" s="208">
        <v>0</v>
      </c>
      <c r="FE112" s="208">
        <v>-94554.02</v>
      </c>
      <c r="FF112" s="208">
        <v>3054</v>
      </c>
      <c r="FG112" s="208">
        <v>0</v>
      </c>
      <c r="FH112" s="208">
        <v>3054</v>
      </c>
      <c r="FI112" s="208">
        <v>-32120.959999999999</v>
      </c>
      <c r="FJ112" s="208">
        <v>0</v>
      </c>
      <c r="FK112" s="208">
        <v>-32120.959999999999</v>
      </c>
      <c r="FL112" s="208">
        <v>0</v>
      </c>
      <c r="FM112" s="208">
        <v>0</v>
      </c>
      <c r="FN112" s="208">
        <v>0</v>
      </c>
      <c r="FO112" s="208">
        <v>0</v>
      </c>
      <c r="FP112" s="208">
        <v>0</v>
      </c>
      <c r="FQ112" s="208">
        <v>0</v>
      </c>
      <c r="FR112" s="208">
        <v>0</v>
      </c>
      <c r="FS112" s="208">
        <v>0</v>
      </c>
      <c r="FT112" s="208">
        <v>0</v>
      </c>
      <c r="FU112" s="208">
        <v>-140098</v>
      </c>
      <c r="FV112" s="208">
        <v>0</v>
      </c>
      <c r="FW112" s="208">
        <v>-140098</v>
      </c>
      <c r="FX112" s="208">
        <v>0</v>
      </c>
      <c r="FY112" s="208">
        <v>0</v>
      </c>
      <c r="FZ112" s="208">
        <v>0</v>
      </c>
      <c r="GA112" s="208">
        <v>0</v>
      </c>
      <c r="GB112" s="208">
        <v>0</v>
      </c>
      <c r="GC112" s="208">
        <v>0</v>
      </c>
      <c r="GD112" s="208">
        <v>0</v>
      </c>
      <c r="GE112" s="208">
        <v>0</v>
      </c>
      <c r="GF112" s="208">
        <v>0</v>
      </c>
      <c r="GG112" s="208">
        <v>27925785.27</v>
      </c>
      <c r="GH112" s="208">
        <v>0</v>
      </c>
      <c r="GI112" s="208">
        <v>27925785.27</v>
      </c>
      <c r="GJ112" s="208">
        <v>-545105</v>
      </c>
      <c r="GK112" s="208">
        <v>0</v>
      </c>
      <c r="GL112" s="208">
        <v>-545105</v>
      </c>
      <c r="GM112" s="208">
        <v>-3962524</v>
      </c>
      <c r="GN112" s="208">
        <v>0</v>
      </c>
      <c r="GO112" s="208">
        <v>-3962524</v>
      </c>
      <c r="GP112" s="208">
        <v>-399911</v>
      </c>
      <c r="GQ112" s="208">
        <v>0</v>
      </c>
      <c r="GR112" s="208">
        <v>-399911</v>
      </c>
      <c r="GS112" s="208">
        <v>-152284</v>
      </c>
      <c r="GT112" s="208">
        <v>0</v>
      </c>
      <c r="GU112" s="208">
        <v>-152284</v>
      </c>
      <c r="GV112" s="208">
        <v>-140098</v>
      </c>
      <c r="GW112" s="208">
        <v>0</v>
      </c>
      <c r="GX112" s="208">
        <v>-140098</v>
      </c>
      <c r="GY112" s="208">
        <v>0</v>
      </c>
      <c r="GZ112" s="208">
        <v>0</v>
      </c>
      <c r="HA112" s="208">
        <v>0</v>
      </c>
      <c r="HB112" s="208">
        <v>-5199922</v>
      </c>
      <c r="HC112" s="208">
        <v>0</v>
      </c>
      <c r="HD112" s="208">
        <v>-5199922</v>
      </c>
      <c r="HE112" s="208">
        <v>22725863.27</v>
      </c>
      <c r="HF112" s="208">
        <v>0</v>
      </c>
      <c r="HG112" s="208">
        <v>22725863.27</v>
      </c>
      <c r="HH112" s="187" t="s">
        <v>1054</v>
      </c>
    </row>
    <row r="113" spans="2:216" s="187" customFormat="1" x14ac:dyDescent="0.2">
      <c r="B113" s="429" t="s">
        <v>303</v>
      </c>
      <c r="C113" s="429" t="s">
        <v>302</v>
      </c>
      <c r="D113" s="208">
        <v>-446035</v>
      </c>
      <c r="E113" s="208">
        <v>0</v>
      </c>
      <c r="F113" s="208">
        <v>-446035</v>
      </c>
      <c r="G113" s="208">
        <v>10228</v>
      </c>
      <c r="H113" s="208">
        <v>0</v>
      </c>
      <c r="I113" s="208">
        <v>10228</v>
      </c>
      <c r="J113" s="208">
        <v>2056078</v>
      </c>
      <c r="K113" s="208">
        <v>0</v>
      </c>
      <c r="L113" s="208">
        <v>2056078</v>
      </c>
      <c r="M113" s="208">
        <v>13964.19</v>
      </c>
      <c r="N113" s="208">
        <v>0</v>
      </c>
      <c r="O113" s="208">
        <v>13964.19</v>
      </c>
      <c r="P113" s="208">
        <v>1634235</v>
      </c>
      <c r="Q113" s="208">
        <v>0</v>
      </c>
      <c r="R113" s="208">
        <v>1634235</v>
      </c>
      <c r="S113" s="208">
        <v>-3107031</v>
      </c>
      <c r="T113" s="208">
        <v>0</v>
      </c>
      <c r="U113" s="208">
        <v>-3107031</v>
      </c>
      <c r="V113" s="208">
        <v>0</v>
      </c>
      <c r="W113" s="208">
        <v>0</v>
      </c>
      <c r="X113" s="208">
        <v>0</v>
      </c>
      <c r="Y113" s="208">
        <v>-40825</v>
      </c>
      <c r="Z113" s="208">
        <v>0</v>
      </c>
      <c r="AA113" s="208">
        <v>-40825</v>
      </c>
      <c r="AB113" s="208">
        <v>-5293</v>
      </c>
      <c r="AC113" s="208">
        <v>0</v>
      </c>
      <c r="AD113" s="208">
        <v>-5293</v>
      </c>
      <c r="AE113" s="208">
        <v>-32879</v>
      </c>
      <c r="AF113" s="208">
        <v>0</v>
      </c>
      <c r="AG113" s="208">
        <v>-32879</v>
      </c>
      <c r="AH113" s="208">
        <v>0</v>
      </c>
      <c r="AI113" s="208">
        <v>0</v>
      </c>
      <c r="AJ113" s="208">
        <v>0</v>
      </c>
      <c r="AK113" s="208">
        <v>0</v>
      </c>
      <c r="AL113" s="208">
        <v>0</v>
      </c>
      <c r="AM113" s="208">
        <v>0</v>
      </c>
      <c r="AN113" s="208">
        <v>1261512</v>
      </c>
      <c r="AO113" s="208">
        <v>0</v>
      </c>
      <c r="AP113" s="208">
        <v>1261512</v>
      </c>
      <c r="AQ113" s="208">
        <v>-26522</v>
      </c>
      <c r="AR113" s="208">
        <v>0</v>
      </c>
      <c r="AS113" s="208">
        <v>-26522</v>
      </c>
      <c r="AT113" s="208">
        <v>-3746931</v>
      </c>
      <c r="AU113" s="208">
        <v>0</v>
      </c>
      <c r="AV113" s="208">
        <v>-3746931</v>
      </c>
      <c r="AW113" s="208">
        <v>12905</v>
      </c>
      <c r="AX113" s="208">
        <v>0</v>
      </c>
      <c r="AY113" s="208">
        <v>12905</v>
      </c>
      <c r="AZ113" s="208">
        <v>-39737</v>
      </c>
      <c r="BA113" s="208">
        <v>0</v>
      </c>
      <c r="BB113" s="208">
        <v>-39737</v>
      </c>
      <c r="BC113" s="208">
        <v>0</v>
      </c>
      <c r="BD113" s="208">
        <v>0</v>
      </c>
      <c r="BE113" s="208">
        <v>0</v>
      </c>
      <c r="BF113" s="208">
        <v>0</v>
      </c>
      <c r="BG113" s="208">
        <v>0</v>
      </c>
      <c r="BH113" s="208">
        <v>0</v>
      </c>
      <c r="BI113" s="208">
        <v>0</v>
      </c>
      <c r="BJ113" s="208">
        <v>0</v>
      </c>
      <c r="BK113" s="208">
        <v>0</v>
      </c>
      <c r="BL113" s="208">
        <v>-5686629</v>
      </c>
      <c r="BM113" s="208">
        <v>0</v>
      </c>
      <c r="BN113" s="208">
        <v>-5686629</v>
      </c>
      <c r="BO113" s="208">
        <v>-39454</v>
      </c>
      <c r="BP113" s="208">
        <v>0</v>
      </c>
      <c r="BQ113" s="208">
        <v>-39454</v>
      </c>
      <c r="BR113" s="208">
        <v>7553</v>
      </c>
      <c r="BS113" s="208">
        <v>0</v>
      </c>
      <c r="BT113" s="208">
        <v>7553</v>
      </c>
      <c r="BU113" s="208">
        <v>-2017461</v>
      </c>
      <c r="BV113" s="208">
        <v>0</v>
      </c>
      <c r="BW113" s="208">
        <v>-2017461</v>
      </c>
      <c r="BX113" s="208">
        <v>-57588</v>
      </c>
      <c r="BY113" s="208">
        <v>0</v>
      </c>
      <c r="BZ113" s="208">
        <v>-57588</v>
      </c>
      <c r="CA113" s="208">
        <v>-2106950</v>
      </c>
      <c r="CB113" s="208">
        <v>0</v>
      </c>
      <c r="CC113" s="208">
        <v>-2106950</v>
      </c>
      <c r="CD113" s="208">
        <v>0</v>
      </c>
      <c r="CE113" s="208">
        <v>0</v>
      </c>
      <c r="CF113" s="208">
        <v>0</v>
      </c>
      <c r="CG113" s="208">
        <v>0</v>
      </c>
      <c r="CH113" s="208">
        <v>0</v>
      </c>
      <c r="CI113" s="208">
        <v>0</v>
      </c>
      <c r="CJ113" s="208">
        <v>-114574</v>
      </c>
      <c r="CK113" s="208">
        <v>0</v>
      </c>
      <c r="CL113" s="208">
        <v>-114574</v>
      </c>
      <c r="CM113" s="208">
        <v>-13986</v>
      </c>
      <c r="CN113" s="208">
        <v>0</v>
      </c>
      <c r="CO113" s="208">
        <v>-13986</v>
      </c>
      <c r="CP113" s="208">
        <v>0</v>
      </c>
      <c r="CQ113" s="208">
        <v>0</v>
      </c>
      <c r="CR113" s="208">
        <v>0</v>
      </c>
      <c r="CS113" s="208">
        <v>0</v>
      </c>
      <c r="CT113" s="208">
        <v>0</v>
      </c>
      <c r="CU113" s="208">
        <v>0</v>
      </c>
      <c r="CV113" s="208">
        <v>0</v>
      </c>
      <c r="CW113" s="208">
        <v>0</v>
      </c>
      <c r="CX113" s="208">
        <v>0</v>
      </c>
      <c r="CY113" s="208">
        <v>0</v>
      </c>
      <c r="CZ113" s="208">
        <v>0</v>
      </c>
      <c r="DA113" s="208">
        <v>0</v>
      </c>
      <c r="DB113" s="208">
        <v>0</v>
      </c>
      <c r="DC113" s="208">
        <v>0</v>
      </c>
      <c r="DD113" s="208">
        <v>0</v>
      </c>
      <c r="DE113" s="208">
        <v>0</v>
      </c>
      <c r="DF113" s="208">
        <v>0</v>
      </c>
      <c r="DG113" s="208">
        <v>0</v>
      </c>
      <c r="DH113" s="208">
        <v>0</v>
      </c>
      <c r="DI113" s="208">
        <v>0</v>
      </c>
      <c r="DJ113" s="208">
        <v>0</v>
      </c>
      <c r="DK113" s="208">
        <v>0</v>
      </c>
      <c r="DL113" s="208">
        <v>0</v>
      </c>
      <c r="DM113" s="208">
        <v>0</v>
      </c>
      <c r="DN113" s="208">
        <v>0</v>
      </c>
      <c r="DO113" s="208">
        <v>0</v>
      </c>
      <c r="DP113" s="208">
        <v>-128560</v>
      </c>
      <c r="DQ113" s="208">
        <v>0</v>
      </c>
      <c r="DR113" s="208">
        <v>-128560</v>
      </c>
      <c r="DS113" s="208">
        <v>0</v>
      </c>
      <c r="DT113" s="208">
        <v>0</v>
      </c>
      <c r="DU113" s="208">
        <v>0</v>
      </c>
      <c r="DV113" s="208">
        <v>0</v>
      </c>
      <c r="DW113" s="208">
        <v>0</v>
      </c>
      <c r="DX113" s="208">
        <v>0</v>
      </c>
      <c r="DY113" s="208">
        <v>0</v>
      </c>
      <c r="DZ113" s="208">
        <v>0</v>
      </c>
      <c r="EA113" s="208">
        <v>0</v>
      </c>
      <c r="EB113" s="208">
        <v>0</v>
      </c>
      <c r="EC113" s="208">
        <v>0</v>
      </c>
      <c r="ED113" s="208">
        <v>0</v>
      </c>
      <c r="EE113" s="208">
        <v>0</v>
      </c>
      <c r="EF113" s="208">
        <v>0</v>
      </c>
      <c r="EG113" s="208">
        <v>0</v>
      </c>
      <c r="EH113" s="208">
        <v>0</v>
      </c>
      <c r="EI113" s="208">
        <v>0</v>
      </c>
      <c r="EJ113" s="208">
        <v>0</v>
      </c>
      <c r="EK113" s="208">
        <v>0</v>
      </c>
      <c r="EL113" s="208">
        <v>0</v>
      </c>
      <c r="EM113" s="208">
        <v>0</v>
      </c>
      <c r="EN113" s="208">
        <v>0</v>
      </c>
      <c r="EO113" s="208">
        <v>0</v>
      </c>
      <c r="EP113" s="208">
        <v>0</v>
      </c>
      <c r="EQ113" s="208">
        <v>0</v>
      </c>
      <c r="ER113" s="208">
        <v>0</v>
      </c>
      <c r="ES113" s="208">
        <v>0</v>
      </c>
      <c r="ET113" s="208">
        <v>0</v>
      </c>
      <c r="EU113" s="208">
        <v>0</v>
      </c>
      <c r="EV113" s="208">
        <v>0</v>
      </c>
      <c r="EW113" s="208">
        <v>-3522</v>
      </c>
      <c r="EX113" s="208">
        <v>0</v>
      </c>
      <c r="EY113" s="208">
        <v>-3522</v>
      </c>
      <c r="EZ113" s="208">
        <v>2014</v>
      </c>
      <c r="FA113" s="208">
        <v>0</v>
      </c>
      <c r="FB113" s="208">
        <v>2014</v>
      </c>
      <c r="FC113" s="208">
        <v>-45052</v>
      </c>
      <c r="FD113" s="208">
        <v>0</v>
      </c>
      <c r="FE113" s="208">
        <v>-45052</v>
      </c>
      <c r="FF113" s="208">
        <v>1016</v>
      </c>
      <c r="FG113" s="208">
        <v>0</v>
      </c>
      <c r="FH113" s="208">
        <v>1016</v>
      </c>
      <c r="FI113" s="208">
        <v>-36737</v>
      </c>
      <c r="FJ113" s="208">
        <v>0</v>
      </c>
      <c r="FK113" s="208">
        <v>-36737</v>
      </c>
      <c r="FL113" s="208">
        <v>1052</v>
      </c>
      <c r="FM113" s="208">
        <v>0</v>
      </c>
      <c r="FN113" s="208">
        <v>1052</v>
      </c>
      <c r="FO113" s="208">
        <v>0</v>
      </c>
      <c r="FP113" s="208">
        <v>0</v>
      </c>
      <c r="FQ113" s="208">
        <v>0</v>
      </c>
      <c r="FR113" s="208">
        <v>0</v>
      </c>
      <c r="FS113" s="208">
        <v>0</v>
      </c>
      <c r="FT113" s="208">
        <v>0</v>
      </c>
      <c r="FU113" s="208">
        <v>-81229</v>
      </c>
      <c r="FV113" s="208">
        <v>0</v>
      </c>
      <c r="FW113" s="208">
        <v>-81229</v>
      </c>
      <c r="FX113" s="208">
        <v>0</v>
      </c>
      <c r="FY113" s="208">
        <v>0</v>
      </c>
      <c r="FZ113" s="208">
        <v>0</v>
      </c>
      <c r="GA113" s="208">
        <v>0</v>
      </c>
      <c r="GB113" s="208">
        <v>0</v>
      </c>
      <c r="GC113" s="208">
        <v>0</v>
      </c>
      <c r="GD113" s="208">
        <v>0</v>
      </c>
      <c r="GE113" s="208">
        <v>0</v>
      </c>
      <c r="GF113" s="208">
        <v>0</v>
      </c>
      <c r="GG113" s="208">
        <v>60481434</v>
      </c>
      <c r="GH113" s="208">
        <v>0</v>
      </c>
      <c r="GI113" s="208">
        <v>60481434</v>
      </c>
      <c r="GJ113" s="208">
        <v>1634235</v>
      </c>
      <c r="GK113" s="208">
        <v>0</v>
      </c>
      <c r="GL113" s="208">
        <v>1634235</v>
      </c>
      <c r="GM113" s="208">
        <v>-5686629</v>
      </c>
      <c r="GN113" s="208">
        <v>0</v>
      </c>
      <c r="GO113" s="208">
        <v>-5686629</v>
      </c>
      <c r="GP113" s="208">
        <v>-2106950</v>
      </c>
      <c r="GQ113" s="208">
        <v>0</v>
      </c>
      <c r="GR113" s="208">
        <v>-2106950</v>
      </c>
      <c r="GS113" s="208">
        <v>-128560</v>
      </c>
      <c r="GT113" s="208">
        <v>0</v>
      </c>
      <c r="GU113" s="208">
        <v>-128560</v>
      </c>
      <c r="GV113" s="208">
        <v>-81229</v>
      </c>
      <c r="GW113" s="208">
        <v>0</v>
      </c>
      <c r="GX113" s="208">
        <v>-81229</v>
      </c>
      <c r="GY113" s="208">
        <v>0</v>
      </c>
      <c r="GZ113" s="208">
        <v>0</v>
      </c>
      <c r="HA113" s="208">
        <v>0</v>
      </c>
      <c r="HB113" s="208">
        <v>-6369133</v>
      </c>
      <c r="HC113" s="208">
        <v>0</v>
      </c>
      <c r="HD113" s="208">
        <v>-6369133</v>
      </c>
      <c r="HE113" s="208">
        <v>54112301</v>
      </c>
      <c r="HF113" s="208">
        <v>0</v>
      </c>
      <c r="HG113" s="208">
        <v>54112301</v>
      </c>
      <c r="HH113" s="187" t="s">
        <v>1054</v>
      </c>
    </row>
    <row r="114" spans="2:216" s="187" customFormat="1" x14ac:dyDescent="0.2">
      <c r="B114" s="429" t="s">
        <v>305</v>
      </c>
      <c r="C114" s="429" t="s">
        <v>304</v>
      </c>
      <c r="D114" s="208">
        <v>-343536</v>
      </c>
      <c r="E114" s="208">
        <v>0</v>
      </c>
      <c r="F114" s="208">
        <v>-343536</v>
      </c>
      <c r="G114" s="208">
        <v>-1519</v>
      </c>
      <c r="H114" s="208">
        <v>333</v>
      </c>
      <c r="I114" s="208">
        <v>-1186</v>
      </c>
      <c r="J114" s="208">
        <v>444717</v>
      </c>
      <c r="K114" s="208">
        <v>33446</v>
      </c>
      <c r="L114" s="208">
        <v>478163</v>
      </c>
      <c r="M114" s="208">
        <v>11623</v>
      </c>
      <c r="N114" s="208">
        <v>0</v>
      </c>
      <c r="O114" s="208">
        <v>11623</v>
      </c>
      <c r="P114" s="208">
        <v>111285</v>
      </c>
      <c r="Q114" s="208">
        <v>33779</v>
      </c>
      <c r="R114" s="208">
        <v>145064</v>
      </c>
      <c r="S114" s="208">
        <v>-2147122</v>
      </c>
      <c r="T114" s="208">
        <v>-21064</v>
      </c>
      <c r="U114" s="208">
        <v>-2168186</v>
      </c>
      <c r="V114" s="208">
        <v>0</v>
      </c>
      <c r="W114" s="208">
        <v>0</v>
      </c>
      <c r="X114" s="208">
        <v>0</v>
      </c>
      <c r="Y114" s="208">
        <v>-76207</v>
      </c>
      <c r="Z114" s="208">
        <v>0</v>
      </c>
      <c r="AA114" s="208">
        <v>-76207</v>
      </c>
      <c r="AB114" s="208">
        <v>-23953</v>
      </c>
      <c r="AC114" s="208">
        <v>0</v>
      </c>
      <c r="AD114" s="208">
        <v>-23953</v>
      </c>
      <c r="AE114" s="208">
        <v>-52254</v>
      </c>
      <c r="AF114" s="208">
        <v>0</v>
      </c>
      <c r="AG114" s="208">
        <v>-52254</v>
      </c>
      <c r="AH114" s="208">
        <v>0</v>
      </c>
      <c r="AI114" s="208">
        <v>0</v>
      </c>
      <c r="AJ114" s="208">
        <v>0</v>
      </c>
      <c r="AK114" s="208">
        <v>0</v>
      </c>
      <c r="AL114" s="208">
        <v>0</v>
      </c>
      <c r="AM114" s="208">
        <v>0</v>
      </c>
      <c r="AN114" s="208">
        <v>349130</v>
      </c>
      <c r="AO114" s="208">
        <v>10135</v>
      </c>
      <c r="AP114" s="208">
        <v>359265</v>
      </c>
      <c r="AQ114" s="208">
        <v>-510</v>
      </c>
      <c r="AR114" s="208">
        <v>-134</v>
      </c>
      <c r="AS114" s="208">
        <v>-644</v>
      </c>
      <c r="AT114" s="208">
        <v>-1364550</v>
      </c>
      <c r="AU114" s="208">
        <v>-20371</v>
      </c>
      <c r="AV114" s="208">
        <v>-1384921</v>
      </c>
      <c r="AW114" s="208">
        <v>-102171</v>
      </c>
      <c r="AX114" s="208">
        <v>0</v>
      </c>
      <c r="AY114" s="208">
        <v>-102171</v>
      </c>
      <c r="AZ114" s="208">
        <v>-21871</v>
      </c>
      <c r="BA114" s="208">
        <v>0</v>
      </c>
      <c r="BB114" s="208">
        <v>-21871</v>
      </c>
      <c r="BC114" s="208">
        <v>0</v>
      </c>
      <c r="BD114" s="208">
        <v>0</v>
      </c>
      <c r="BE114" s="208">
        <v>0</v>
      </c>
      <c r="BF114" s="208">
        <v>0</v>
      </c>
      <c r="BG114" s="208">
        <v>0</v>
      </c>
      <c r="BH114" s="208">
        <v>0</v>
      </c>
      <c r="BI114" s="208">
        <v>0</v>
      </c>
      <c r="BJ114" s="208">
        <v>0</v>
      </c>
      <c r="BK114" s="208">
        <v>0</v>
      </c>
      <c r="BL114" s="208">
        <v>-3363301</v>
      </c>
      <c r="BM114" s="208">
        <v>-31434</v>
      </c>
      <c r="BN114" s="208">
        <v>-3394735</v>
      </c>
      <c r="BO114" s="208">
        <v>-6613</v>
      </c>
      <c r="BP114" s="208">
        <v>0</v>
      </c>
      <c r="BQ114" s="208">
        <v>-6613</v>
      </c>
      <c r="BR114" s="208">
        <v>0</v>
      </c>
      <c r="BS114" s="208">
        <v>0</v>
      </c>
      <c r="BT114" s="208">
        <v>0</v>
      </c>
      <c r="BU114" s="208">
        <v>-266217</v>
      </c>
      <c r="BV114" s="208">
        <v>-70183</v>
      </c>
      <c r="BW114" s="208">
        <v>-336400</v>
      </c>
      <c r="BX114" s="208">
        <v>4751</v>
      </c>
      <c r="BY114" s="208">
        <v>-3180</v>
      </c>
      <c r="BZ114" s="208">
        <v>1571</v>
      </c>
      <c r="CA114" s="208">
        <v>-268079</v>
      </c>
      <c r="CB114" s="208">
        <v>-73363</v>
      </c>
      <c r="CC114" s="208">
        <v>-341442</v>
      </c>
      <c r="CD114" s="208">
        <v>-131631</v>
      </c>
      <c r="CE114" s="208">
        <v>-5093</v>
      </c>
      <c r="CF114" s="208">
        <v>-136724</v>
      </c>
      <c r="CG114" s="208">
        <v>-5270</v>
      </c>
      <c r="CH114" s="208">
        <v>0</v>
      </c>
      <c r="CI114" s="208">
        <v>-5270</v>
      </c>
      <c r="CJ114" s="208">
        <v>-74198</v>
      </c>
      <c r="CK114" s="208">
        <v>0</v>
      </c>
      <c r="CL114" s="208">
        <v>-74198</v>
      </c>
      <c r="CM114" s="208">
        <v>0</v>
      </c>
      <c r="CN114" s="208">
        <v>0</v>
      </c>
      <c r="CO114" s="208">
        <v>0</v>
      </c>
      <c r="CP114" s="208">
        <v>-739</v>
      </c>
      <c r="CQ114" s="208">
        <v>0</v>
      </c>
      <c r="CR114" s="208">
        <v>-739</v>
      </c>
      <c r="CS114" s="208">
        <v>0</v>
      </c>
      <c r="CT114" s="208">
        <v>0</v>
      </c>
      <c r="CU114" s="208">
        <v>0</v>
      </c>
      <c r="CV114" s="208">
        <v>0</v>
      </c>
      <c r="CW114" s="208">
        <v>0</v>
      </c>
      <c r="CX114" s="208">
        <v>0</v>
      </c>
      <c r="CY114" s="208">
        <v>0</v>
      </c>
      <c r="CZ114" s="208">
        <v>0</v>
      </c>
      <c r="DA114" s="208">
        <v>0</v>
      </c>
      <c r="DB114" s="208">
        <v>0</v>
      </c>
      <c r="DC114" s="208">
        <v>0</v>
      </c>
      <c r="DD114" s="208">
        <v>0</v>
      </c>
      <c r="DE114" s="208">
        <v>0</v>
      </c>
      <c r="DF114" s="208">
        <v>0</v>
      </c>
      <c r="DG114" s="208">
        <v>0</v>
      </c>
      <c r="DH114" s="208">
        <v>0</v>
      </c>
      <c r="DI114" s="208">
        <v>-392333</v>
      </c>
      <c r="DJ114" s="208">
        <v>-392333</v>
      </c>
      <c r="DK114" s="208">
        <v>0</v>
      </c>
      <c r="DL114" s="208">
        <v>-11831</v>
      </c>
      <c r="DM114" s="208">
        <v>-11831</v>
      </c>
      <c r="DN114" s="208">
        <v>-404164</v>
      </c>
      <c r="DO114" s="208">
        <v>0</v>
      </c>
      <c r="DP114" s="208">
        <v>-211838</v>
      </c>
      <c r="DQ114" s="208">
        <v>-409257</v>
      </c>
      <c r="DR114" s="208">
        <v>-621095</v>
      </c>
      <c r="DS114" s="208">
        <v>0</v>
      </c>
      <c r="DT114" s="208">
        <v>0</v>
      </c>
      <c r="DU114" s="208">
        <v>0</v>
      </c>
      <c r="DV114" s="208">
        <v>0</v>
      </c>
      <c r="DW114" s="208">
        <v>0</v>
      </c>
      <c r="DX114" s="208">
        <v>0</v>
      </c>
      <c r="DY114" s="208">
        <v>0</v>
      </c>
      <c r="DZ114" s="208">
        <v>0</v>
      </c>
      <c r="EA114" s="208">
        <v>0</v>
      </c>
      <c r="EB114" s="208">
        <v>0</v>
      </c>
      <c r="EC114" s="208">
        <v>0</v>
      </c>
      <c r="ED114" s="208">
        <v>0</v>
      </c>
      <c r="EE114" s="208">
        <v>0</v>
      </c>
      <c r="EF114" s="208">
        <v>0</v>
      </c>
      <c r="EG114" s="208">
        <v>0</v>
      </c>
      <c r="EH114" s="208">
        <v>0</v>
      </c>
      <c r="EI114" s="208">
        <v>0</v>
      </c>
      <c r="EJ114" s="208">
        <v>0</v>
      </c>
      <c r="EK114" s="208">
        <v>0</v>
      </c>
      <c r="EL114" s="208">
        <v>0</v>
      </c>
      <c r="EM114" s="208">
        <v>0</v>
      </c>
      <c r="EN114" s="208">
        <v>0</v>
      </c>
      <c r="EO114" s="208">
        <v>0</v>
      </c>
      <c r="EP114" s="208">
        <v>0</v>
      </c>
      <c r="EQ114" s="208">
        <v>0</v>
      </c>
      <c r="ER114" s="208">
        <v>0</v>
      </c>
      <c r="ES114" s="208">
        <v>0</v>
      </c>
      <c r="ET114" s="208">
        <v>0</v>
      </c>
      <c r="EU114" s="208">
        <v>0</v>
      </c>
      <c r="EV114" s="208">
        <v>0</v>
      </c>
      <c r="EW114" s="208">
        <v>-2962</v>
      </c>
      <c r="EX114" s="208">
        <v>0</v>
      </c>
      <c r="EY114" s="208">
        <v>-2962</v>
      </c>
      <c r="EZ114" s="208">
        <v>230</v>
      </c>
      <c r="FA114" s="208">
        <v>0</v>
      </c>
      <c r="FB114" s="208">
        <v>230</v>
      </c>
      <c r="FC114" s="208">
        <v>-52373</v>
      </c>
      <c r="FD114" s="208">
        <v>-695</v>
      </c>
      <c r="FE114" s="208">
        <v>-53068</v>
      </c>
      <c r="FF114" s="208">
        <v>1399</v>
      </c>
      <c r="FG114" s="208">
        <v>0</v>
      </c>
      <c r="FH114" s="208">
        <v>1399</v>
      </c>
      <c r="FI114" s="208">
        <v>-21312</v>
      </c>
      <c r="FJ114" s="208">
        <v>0</v>
      </c>
      <c r="FK114" s="208">
        <v>-21312</v>
      </c>
      <c r="FL114" s="208">
        <v>2036</v>
      </c>
      <c r="FM114" s="208">
        <v>0</v>
      </c>
      <c r="FN114" s="208">
        <v>2036</v>
      </c>
      <c r="FO114" s="208">
        <v>0</v>
      </c>
      <c r="FP114" s="208">
        <v>0</v>
      </c>
      <c r="FQ114" s="208">
        <v>0</v>
      </c>
      <c r="FR114" s="208">
        <v>0</v>
      </c>
      <c r="FS114" s="208">
        <v>0</v>
      </c>
      <c r="FT114" s="208">
        <v>0</v>
      </c>
      <c r="FU114" s="208">
        <v>-72982</v>
      </c>
      <c r="FV114" s="208">
        <v>-695</v>
      </c>
      <c r="FW114" s="208">
        <v>-73677</v>
      </c>
      <c r="FX114" s="208">
        <v>0</v>
      </c>
      <c r="FY114" s="208">
        <v>0</v>
      </c>
      <c r="FZ114" s="208">
        <v>0</v>
      </c>
      <c r="GA114" s="208">
        <v>0</v>
      </c>
      <c r="GB114" s="208">
        <v>0</v>
      </c>
      <c r="GC114" s="208">
        <v>0</v>
      </c>
      <c r="GD114" s="208">
        <v>0</v>
      </c>
      <c r="GE114" s="208">
        <v>0</v>
      </c>
      <c r="GF114" s="208">
        <v>0</v>
      </c>
      <c r="GG114" s="208">
        <v>19654716</v>
      </c>
      <c r="GH114" s="208">
        <v>736313</v>
      </c>
      <c r="GI114" s="208">
        <v>20391029</v>
      </c>
      <c r="GJ114" s="208">
        <v>111285</v>
      </c>
      <c r="GK114" s="208">
        <v>33779</v>
      </c>
      <c r="GL114" s="208">
        <v>145064</v>
      </c>
      <c r="GM114" s="208">
        <v>-3363301</v>
      </c>
      <c r="GN114" s="208">
        <v>-31434</v>
      </c>
      <c r="GO114" s="208">
        <v>-3394735</v>
      </c>
      <c r="GP114" s="208">
        <v>-268079</v>
      </c>
      <c r="GQ114" s="208">
        <v>-73363</v>
      </c>
      <c r="GR114" s="208">
        <v>-341442</v>
      </c>
      <c r="GS114" s="208">
        <v>-211838</v>
      </c>
      <c r="GT114" s="208">
        <v>-409257</v>
      </c>
      <c r="GU114" s="208">
        <v>-621095</v>
      </c>
      <c r="GV114" s="208">
        <v>-72982</v>
      </c>
      <c r="GW114" s="208">
        <v>-695</v>
      </c>
      <c r="GX114" s="208">
        <v>-73677</v>
      </c>
      <c r="GY114" s="208">
        <v>0</v>
      </c>
      <c r="GZ114" s="208">
        <v>0</v>
      </c>
      <c r="HA114" s="208">
        <v>0</v>
      </c>
      <c r="HB114" s="208">
        <v>-3804915</v>
      </c>
      <c r="HC114" s="208">
        <v>-480970</v>
      </c>
      <c r="HD114" s="208">
        <v>-4285885</v>
      </c>
      <c r="HE114" s="208">
        <v>15849801</v>
      </c>
      <c r="HF114" s="208">
        <v>255343</v>
      </c>
      <c r="HG114" s="208">
        <v>16105144</v>
      </c>
      <c r="HH114" s="187" t="s">
        <v>1054</v>
      </c>
    </row>
    <row r="115" spans="2:216" s="187" customFormat="1" x14ac:dyDescent="0.2">
      <c r="B115" s="429" t="s">
        <v>307</v>
      </c>
      <c r="C115" s="429" t="s">
        <v>306</v>
      </c>
      <c r="D115" s="208">
        <v>-776546</v>
      </c>
      <c r="E115" s="208">
        <v>0</v>
      </c>
      <c r="F115" s="208">
        <v>-776546</v>
      </c>
      <c r="G115" s="208">
        <v>46046</v>
      </c>
      <c r="H115" s="208">
        <v>0</v>
      </c>
      <c r="I115" s="208">
        <v>46046</v>
      </c>
      <c r="J115" s="208">
        <v>757754</v>
      </c>
      <c r="K115" s="208">
        <v>0</v>
      </c>
      <c r="L115" s="208">
        <v>757754</v>
      </c>
      <c r="M115" s="208">
        <v>118389</v>
      </c>
      <c r="N115" s="208">
        <v>0</v>
      </c>
      <c r="O115" s="208">
        <v>118389</v>
      </c>
      <c r="P115" s="208">
        <v>145643</v>
      </c>
      <c r="Q115" s="208">
        <v>0</v>
      </c>
      <c r="R115" s="208">
        <v>145643</v>
      </c>
      <c r="S115" s="208">
        <v>-2728570</v>
      </c>
      <c r="T115" s="208">
        <v>0</v>
      </c>
      <c r="U115" s="208">
        <v>-2728570</v>
      </c>
      <c r="V115" s="208">
        <v>0</v>
      </c>
      <c r="W115" s="208">
        <v>0</v>
      </c>
      <c r="X115" s="208">
        <v>0</v>
      </c>
      <c r="Y115" s="208">
        <v>-138277</v>
      </c>
      <c r="Z115" s="208">
        <v>0</v>
      </c>
      <c r="AA115" s="208">
        <v>-138277</v>
      </c>
      <c r="AB115" s="208">
        <v>-47498</v>
      </c>
      <c r="AC115" s="208">
        <v>0</v>
      </c>
      <c r="AD115" s="208">
        <v>-47498</v>
      </c>
      <c r="AE115" s="208">
        <v>-90779</v>
      </c>
      <c r="AF115" s="208">
        <v>0</v>
      </c>
      <c r="AG115" s="208">
        <v>-90779</v>
      </c>
      <c r="AH115" s="208">
        <v>0</v>
      </c>
      <c r="AI115" s="208">
        <v>0</v>
      </c>
      <c r="AJ115" s="208">
        <v>0</v>
      </c>
      <c r="AK115" s="208">
        <v>0</v>
      </c>
      <c r="AL115" s="208">
        <v>0</v>
      </c>
      <c r="AM115" s="208">
        <v>0</v>
      </c>
      <c r="AN115" s="208">
        <v>583207</v>
      </c>
      <c r="AO115" s="208">
        <v>0</v>
      </c>
      <c r="AP115" s="208">
        <v>583207</v>
      </c>
      <c r="AQ115" s="208">
        <v>3936</v>
      </c>
      <c r="AR115" s="208">
        <v>0</v>
      </c>
      <c r="AS115" s="208">
        <v>3936</v>
      </c>
      <c r="AT115" s="208">
        <v>-2701848</v>
      </c>
      <c r="AU115" s="208">
        <v>0</v>
      </c>
      <c r="AV115" s="208">
        <v>-2701848</v>
      </c>
      <c r="AW115" s="208">
        <v>-13543</v>
      </c>
      <c r="AX115" s="208">
        <v>0</v>
      </c>
      <c r="AY115" s="208">
        <v>-13543</v>
      </c>
      <c r="AZ115" s="208">
        <v>-42035</v>
      </c>
      <c r="BA115" s="208">
        <v>0</v>
      </c>
      <c r="BB115" s="208">
        <v>-42035</v>
      </c>
      <c r="BC115" s="208">
        <v>0</v>
      </c>
      <c r="BD115" s="208">
        <v>0</v>
      </c>
      <c r="BE115" s="208">
        <v>0</v>
      </c>
      <c r="BF115" s="208">
        <v>-5999</v>
      </c>
      <c r="BG115" s="208">
        <v>0</v>
      </c>
      <c r="BH115" s="208">
        <v>-5999</v>
      </c>
      <c r="BI115" s="208">
        <v>0</v>
      </c>
      <c r="BJ115" s="208">
        <v>0</v>
      </c>
      <c r="BK115" s="208">
        <v>0</v>
      </c>
      <c r="BL115" s="208">
        <v>-5043129</v>
      </c>
      <c r="BM115" s="208">
        <v>0</v>
      </c>
      <c r="BN115" s="208">
        <v>-5043129</v>
      </c>
      <c r="BO115" s="208">
        <v>0</v>
      </c>
      <c r="BP115" s="208">
        <v>0</v>
      </c>
      <c r="BQ115" s="208">
        <v>0</v>
      </c>
      <c r="BR115" s="208">
        <v>0</v>
      </c>
      <c r="BS115" s="208">
        <v>0</v>
      </c>
      <c r="BT115" s="208">
        <v>0</v>
      </c>
      <c r="BU115" s="208">
        <v>-1070578</v>
      </c>
      <c r="BV115" s="208">
        <v>0</v>
      </c>
      <c r="BW115" s="208">
        <v>-1070578</v>
      </c>
      <c r="BX115" s="208">
        <v>59744</v>
      </c>
      <c r="BY115" s="208">
        <v>0</v>
      </c>
      <c r="BZ115" s="208">
        <v>59744</v>
      </c>
      <c r="CA115" s="208">
        <v>-1010834</v>
      </c>
      <c r="CB115" s="208">
        <v>0</v>
      </c>
      <c r="CC115" s="208">
        <v>-1010834</v>
      </c>
      <c r="CD115" s="208">
        <v>-125205</v>
      </c>
      <c r="CE115" s="208">
        <v>0</v>
      </c>
      <c r="CF115" s="208">
        <v>-125205</v>
      </c>
      <c r="CG115" s="208">
        <v>945</v>
      </c>
      <c r="CH115" s="208">
        <v>0</v>
      </c>
      <c r="CI115" s="208">
        <v>945</v>
      </c>
      <c r="CJ115" s="208">
        <v>-21032</v>
      </c>
      <c r="CK115" s="208">
        <v>0</v>
      </c>
      <c r="CL115" s="208">
        <v>-21032</v>
      </c>
      <c r="CM115" s="208">
        <v>401</v>
      </c>
      <c r="CN115" s="208">
        <v>0</v>
      </c>
      <c r="CO115" s="208">
        <v>401</v>
      </c>
      <c r="CP115" s="208">
        <v>-261</v>
      </c>
      <c r="CQ115" s="208">
        <v>0</v>
      </c>
      <c r="CR115" s="208">
        <v>-261</v>
      </c>
      <c r="CS115" s="208">
        <v>0</v>
      </c>
      <c r="CT115" s="208">
        <v>0</v>
      </c>
      <c r="CU115" s="208">
        <v>0</v>
      </c>
      <c r="CV115" s="208">
        <v>-459</v>
      </c>
      <c r="CW115" s="208">
        <v>0</v>
      </c>
      <c r="CX115" s="208">
        <v>-459</v>
      </c>
      <c r="CY115" s="208">
        <v>0</v>
      </c>
      <c r="CZ115" s="208">
        <v>0</v>
      </c>
      <c r="DA115" s="208">
        <v>0</v>
      </c>
      <c r="DB115" s="208">
        <v>0</v>
      </c>
      <c r="DC115" s="208">
        <v>0</v>
      </c>
      <c r="DD115" s="208">
        <v>0</v>
      </c>
      <c r="DE115" s="208">
        <v>0</v>
      </c>
      <c r="DF115" s="208">
        <v>0</v>
      </c>
      <c r="DG115" s="208">
        <v>0</v>
      </c>
      <c r="DH115" s="208">
        <v>0</v>
      </c>
      <c r="DI115" s="208">
        <v>0</v>
      </c>
      <c r="DJ115" s="208">
        <v>0</v>
      </c>
      <c r="DK115" s="208">
        <v>0</v>
      </c>
      <c r="DL115" s="208">
        <v>0</v>
      </c>
      <c r="DM115" s="208">
        <v>0</v>
      </c>
      <c r="DN115" s="208">
        <v>0</v>
      </c>
      <c r="DO115" s="208">
        <v>0</v>
      </c>
      <c r="DP115" s="208">
        <v>-145611</v>
      </c>
      <c r="DQ115" s="208">
        <v>0</v>
      </c>
      <c r="DR115" s="208">
        <v>-145611</v>
      </c>
      <c r="DS115" s="208">
        <v>0</v>
      </c>
      <c r="DT115" s="208">
        <v>0</v>
      </c>
      <c r="DU115" s="208">
        <v>0</v>
      </c>
      <c r="DV115" s="208">
        <v>0</v>
      </c>
      <c r="DW115" s="208">
        <v>0</v>
      </c>
      <c r="DX115" s="208">
        <v>0</v>
      </c>
      <c r="DY115" s="208">
        <v>10000</v>
      </c>
      <c r="DZ115" s="208">
        <v>0</v>
      </c>
      <c r="EA115" s="208">
        <v>10000</v>
      </c>
      <c r="EB115" s="208">
        <v>0</v>
      </c>
      <c r="EC115" s="208">
        <v>0</v>
      </c>
      <c r="ED115" s="208">
        <v>0</v>
      </c>
      <c r="EE115" s="208">
        <v>0</v>
      </c>
      <c r="EF115" s="208">
        <v>0</v>
      </c>
      <c r="EG115" s="208">
        <v>0</v>
      </c>
      <c r="EH115" s="208">
        <v>0</v>
      </c>
      <c r="EI115" s="208">
        <v>0</v>
      </c>
      <c r="EJ115" s="208">
        <v>0</v>
      </c>
      <c r="EK115" s="208">
        <v>-5999</v>
      </c>
      <c r="EL115" s="208">
        <v>0</v>
      </c>
      <c r="EM115" s="208">
        <v>-5999</v>
      </c>
      <c r="EN115" s="208">
        <v>0</v>
      </c>
      <c r="EO115" s="208">
        <v>0</v>
      </c>
      <c r="EP115" s="208">
        <v>0</v>
      </c>
      <c r="EQ115" s="208">
        <v>-1500</v>
      </c>
      <c r="ER115" s="208">
        <v>0</v>
      </c>
      <c r="ES115" s="208">
        <v>-1500</v>
      </c>
      <c r="ET115" s="208">
        <v>0</v>
      </c>
      <c r="EU115" s="208">
        <v>0</v>
      </c>
      <c r="EV115" s="208">
        <v>0</v>
      </c>
      <c r="EW115" s="208">
        <v>-25726</v>
      </c>
      <c r="EX115" s="208">
        <v>0</v>
      </c>
      <c r="EY115" s="208">
        <v>-25726</v>
      </c>
      <c r="EZ115" s="208">
        <v>954</v>
      </c>
      <c r="FA115" s="208">
        <v>0</v>
      </c>
      <c r="FB115" s="208">
        <v>954</v>
      </c>
      <c r="FC115" s="208">
        <v>-57684</v>
      </c>
      <c r="FD115" s="208">
        <v>0</v>
      </c>
      <c r="FE115" s="208">
        <v>-57684</v>
      </c>
      <c r="FF115" s="208">
        <v>0</v>
      </c>
      <c r="FG115" s="208">
        <v>0</v>
      </c>
      <c r="FH115" s="208">
        <v>0</v>
      </c>
      <c r="FI115" s="208">
        <v>-33507</v>
      </c>
      <c r="FJ115" s="208">
        <v>0</v>
      </c>
      <c r="FK115" s="208">
        <v>-33507</v>
      </c>
      <c r="FL115" s="208">
        <v>0</v>
      </c>
      <c r="FM115" s="208">
        <v>0</v>
      </c>
      <c r="FN115" s="208">
        <v>0</v>
      </c>
      <c r="FO115" s="208">
        <v>0</v>
      </c>
      <c r="FP115" s="208">
        <v>0</v>
      </c>
      <c r="FQ115" s="208">
        <v>0</v>
      </c>
      <c r="FR115" s="208">
        <v>0</v>
      </c>
      <c r="FS115" s="208">
        <v>0</v>
      </c>
      <c r="FT115" s="208">
        <v>0</v>
      </c>
      <c r="FU115" s="208">
        <v>-113462</v>
      </c>
      <c r="FV115" s="208">
        <v>0</v>
      </c>
      <c r="FW115" s="208">
        <v>-113462</v>
      </c>
      <c r="FX115" s="208">
        <v>0</v>
      </c>
      <c r="FY115" s="208">
        <v>0</v>
      </c>
      <c r="FZ115" s="208">
        <v>0</v>
      </c>
      <c r="GA115" s="208">
        <v>0</v>
      </c>
      <c r="GB115" s="208">
        <v>0</v>
      </c>
      <c r="GC115" s="208">
        <v>0</v>
      </c>
      <c r="GD115" s="208">
        <v>0</v>
      </c>
      <c r="GE115" s="208">
        <v>0</v>
      </c>
      <c r="GF115" s="208">
        <v>0</v>
      </c>
      <c r="GG115" s="208">
        <v>30784977</v>
      </c>
      <c r="GH115" s="208">
        <v>0</v>
      </c>
      <c r="GI115" s="208">
        <v>30784977</v>
      </c>
      <c r="GJ115" s="208">
        <v>145643</v>
      </c>
      <c r="GK115" s="208">
        <v>0</v>
      </c>
      <c r="GL115" s="208">
        <v>145643</v>
      </c>
      <c r="GM115" s="208">
        <v>-5043129</v>
      </c>
      <c r="GN115" s="208">
        <v>0</v>
      </c>
      <c r="GO115" s="208">
        <v>-5043129</v>
      </c>
      <c r="GP115" s="208">
        <v>-1010834</v>
      </c>
      <c r="GQ115" s="208">
        <v>0</v>
      </c>
      <c r="GR115" s="208">
        <v>-1010834</v>
      </c>
      <c r="GS115" s="208">
        <v>-145611</v>
      </c>
      <c r="GT115" s="208">
        <v>0</v>
      </c>
      <c r="GU115" s="208">
        <v>-145611</v>
      </c>
      <c r="GV115" s="208">
        <v>-113462</v>
      </c>
      <c r="GW115" s="208">
        <v>0</v>
      </c>
      <c r="GX115" s="208">
        <v>-113462</v>
      </c>
      <c r="GY115" s="208">
        <v>0</v>
      </c>
      <c r="GZ115" s="208">
        <v>0</v>
      </c>
      <c r="HA115" s="208">
        <v>0</v>
      </c>
      <c r="HB115" s="208">
        <v>-6167393</v>
      </c>
      <c r="HC115" s="208">
        <v>0</v>
      </c>
      <c r="HD115" s="208">
        <v>-6167393</v>
      </c>
      <c r="HE115" s="208">
        <v>24617584</v>
      </c>
      <c r="HF115" s="208">
        <v>0</v>
      </c>
      <c r="HG115" s="208">
        <v>24617584</v>
      </c>
      <c r="HH115" s="187" t="s">
        <v>1054</v>
      </c>
    </row>
    <row r="116" spans="2:216" s="187" customFormat="1" x14ac:dyDescent="0.2">
      <c r="B116" s="429" t="s">
        <v>309</v>
      </c>
      <c r="C116" s="429" t="s">
        <v>308</v>
      </c>
      <c r="D116" s="208">
        <v>-714087</v>
      </c>
      <c r="E116" s="208">
        <v>-32348</v>
      </c>
      <c r="F116" s="208">
        <v>-746435</v>
      </c>
      <c r="G116" s="208">
        <v>3877</v>
      </c>
      <c r="H116" s="208">
        <v>71870</v>
      </c>
      <c r="I116" s="208">
        <v>75747</v>
      </c>
      <c r="J116" s="208">
        <v>1663825</v>
      </c>
      <c r="K116" s="208">
        <v>7240</v>
      </c>
      <c r="L116" s="208">
        <v>1671065</v>
      </c>
      <c r="M116" s="208">
        <v>24292</v>
      </c>
      <c r="N116" s="208">
        <v>0</v>
      </c>
      <c r="O116" s="208">
        <v>24292</v>
      </c>
      <c r="P116" s="208">
        <v>977907</v>
      </c>
      <c r="Q116" s="208">
        <v>46762</v>
      </c>
      <c r="R116" s="208">
        <v>1024669</v>
      </c>
      <c r="S116" s="208">
        <v>-3917509</v>
      </c>
      <c r="T116" s="208">
        <v>-960</v>
      </c>
      <c r="U116" s="208">
        <v>-3918469</v>
      </c>
      <c r="V116" s="208">
        <v>-17309</v>
      </c>
      <c r="W116" s="208">
        <v>0</v>
      </c>
      <c r="X116" s="208">
        <v>-17309</v>
      </c>
      <c r="Y116" s="208">
        <v>-170301</v>
      </c>
      <c r="Z116" s="208">
        <v>39</v>
      </c>
      <c r="AA116" s="208">
        <v>-170262</v>
      </c>
      <c r="AB116" s="208">
        <v>-50465</v>
      </c>
      <c r="AC116" s="208">
        <v>39</v>
      </c>
      <c r="AD116" s="208">
        <v>-50426</v>
      </c>
      <c r="AE116" s="208">
        <v>-111672</v>
      </c>
      <c r="AF116" s="208">
        <v>0</v>
      </c>
      <c r="AG116" s="208">
        <v>-111672</v>
      </c>
      <c r="AH116" s="208">
        <v>0</v>
      </c>
      <c r="AI116" s="208">
        <v>0</v>
      </c>
      <c r="AJ116" s="208">
        <v>0</v>
      </c>
      <c r="AK116" s="208">
        <v>-2449</v>
      </c>
      <c r="AL116" s="208">
        <v>0</v>
      </c>
      <c r="AM116" s="208">
        <v>-2449</v>
      </c>
      <c r="AN116" s="208">
        <v>638962</v>
      </c>
      <c r="AO116" s="208">
        <v>36843</v>
      </c>
      <c r="AP116" s="208">
        <v>675805</v>
      </c>
      <c r="AQ116" s="208">
        <v>9525</v>
      </c>
      <c r="AR116" s="208">
        <v>1103</v>
      </c>
      <c r="AS116" s="208">
        <v>10628</v>
      </c>
      <c r="AT116" s="208">
        <v>-2135294</v>
      </c>
      <c r="AU116" s="208">
        <v>-19917</v>
      </c>
      <c r="AV116" s="208">
        <v>-2155211</v>
      </c>
      <c r="AW116" s="208">
        <v>-28218</v>
      </c>
      <c r="AX116" s="208">
        <v>-8658</v>
      </c>
      <c r="AY116" s="208">
        <v>-36876</v>
      </c>
      <c r="AZ116" s="208">
        <v>-18438</v>
      </c>
      <c r="BA116" s="208">
        <v>0</v>
      </c>
      <c r="BB116" s="208">
        <v>-18438</v>
      </c>
      <c r="BC116" s="208">
        <v>0</v>
      </c>
      <c r="BD116" s="208">
        <v>0</v>
      </c>
      <c r="BE116" s="208">
        <v>0</v>
      </c>
      <c r="BF116" s="208">
        <v>-673</v>
      </c>
      <c r="BG116" s="208">
        <v>0</v>
      </c>
      <c r="BH116" s="208">
        <v>-673</v>
      </c>
      <c r="BI116" s="208">
        <v>0</v>
      </c>
      <c r="BJ116" s="208">
        <v>0</v>
      </c>
      <c r="BK116" s="208">
        <v>0</v>
      </c>
      <c r="BL116" s="208">
        <v>-5621946</v>
      </c>
      <c r="BM116" s="208">
        <v>8450</v>
      </c>
      <c r="BN116" s="208">
        <v>-5613496</v>
      </c>
      <c r="BO116" s="208">
        <v>0</v>
      </c>
      <c r="BP116" s="208">
        <v>0</v>
      </c>
      <c r="BQ116" s="208">
        <v>0</v>
      </c>
      <c r="BR116" s="208">
        <v>0</v>
      </c>
      <c r="BS116" s="208">
        <v>0</v>
      </c>
      <c r="BT116" s="208">
        <v>0</v>
      </c>
      <c r="BU116" s="208">
        <v>-1132994</v>
      </c>
      <c r="BV116" s="208">
        <v>-299524</v>
      </c>
      <c r="BW116" s="208">
        <v>-1432518</v>
      </c>
      <c r="BX116" s="208">
        <v>36446</v>
      </c>
      <c r="BY116" s="208">
        <v>-112088</v>
      </c>
      <c r="BZ116" s="208">
        <v>-75642</v>
      </c>
      <c r="CA116" s="208">
        <v>-1096548</v>
      </c>
      <c r="CB116" s="208">
        <v>-411612</v>
      </c>
      <c r="CC116" s="208">
        <v>-1508160</v>
      </c>
      <c r="CD116" s="208">
        <v>-125622</v>
      </c>
      <c r="CE116" s="208">
        <v>-4979</v>
      </c>
      <c r="CF116" s="208">
        <v>-130601</v>
      </c>
      <c r="CG116" s="208">
        <v>-192</v>
      </c>
      <c r="CH116" s="208">
        <v>-2164</v>
      </c>
      <c r="CI116" s="208">
        <v>-2356</v>
      </c>
      <c r="CJ116" s="208">
        <v>-14669</v>
      </c>
      <c r="CK116" s="208">
        <v>0</v>
      </c>
      <c r="CL116" s="208">
        <v>-14669</v>
      </c>
      <c r="CM116" s="208">
        <v>0</v>
      </c>
      <c r="CN116" s="208">
        <v>0</v>
      </c>
      <c r="CO116" s="208">
        <v>0</v>
      </c>
      <c r="CP116" s="208">
        <v>0</v>
      </c>
      <c r="CQ116" s="208">
        <v>0</v>
      </c>
      <c r="CR116" s="208">
        <v>0</v>
      </c>
      <c r="CS116" s="208">
        <v>0</v>
      </c>
      <c r="CT116" s="208">
        <v>0</v>
      </c>
      <c r="CU116" s="208">
        <v>0</v>
      </c>
      <c r="CV116" s="208">
        <v>0</v>
      </c>
      <c r="CW116" s="208">
        <v>0</v>
      </c>
      <c r="CX116" s="208">
        <v>0</v>
      </c>
      <c r="CY116" s="208">
        <v>0</v>
      </c>
      <c r="CZ116" s="208">
        <v>0</v>
      </c>
      <c r="DA116" s="208">
        <v>0</v>
      </c>
      <c r="DB116" s="208">
        <v>0</v>
      </c>
      <c r="DC116" s="208">
        <v>0</v>
      </c>
      <c r="DD116" s="208">
        <v>0</v>
      </c>
      <c r="DE116" s="208">
        <v>0</v>
      </c>
      <c r="DF116" s="208">
        <v>0</v>
      </c>
      <c r="DG116" s="208">
        <v>0</v>
      </c>
      <c r="DH116" s="208">
        <v>0</v>
      </c>
      <c r="DI116" s="208">
        <v>-560590</v>
      </c>
      <c r="DJ116" s="208">
        <v>-560590</v>
      </c>
      <c r="DK116" s="208">
        <v>0</v>
      </c>
      <c r="DL116" s="208">
        <v>0</v>
      </c>
      <c r="DM116" s="208">
        <v>0</v>
      </c>
      <c r="DN116" s="208">
        <v>-560590</v>
      </c>
      <c r="DO116" s="208">
        <v>0</v>
      </c>
      <c r="DP116" s="208">
        <v>-140483</v>
      </c>
      <c r="DQ116" s="208">
        <v>-567733</v>
      </c>
      <c r="DR116" s="208">
        <v>-708216</v>
      </c>
      <c r="DS116" s="208">
        <v>0</v>
      </c>
      <c r="DT116" s="208">
        <v>0</v>
      </c>
      <c r="DU116" s="208">
        <v>0</v>
      </c>
      <c r="DV116" s="208">
        <v>0</v>
      </c>
      <c r="DW116" s="208">
        <v>0</v>
      </c>
      <c r="DX116" s="208">
        <v>0</v>
      </c>
      <c r="DY116" s="208">
        <v>-270</v>
      </c>
      <c r="DZ116" s="208">
        <v>0</v>
      </c>
      <c r="EA116" s="208">
        <v>-270</v>
      </c>
      <c r="EB116" s="208">
        <v>0</v>
      </c>
      <c r="EC116" s="208">
        <v>0</v>
      </c>
      <c r="ED116" s="208">
        <v>0</v>
      </c>
      <c r="EE116" s="208">
        <v>0</v>
      </c>
      <c r="EF116" s="208">
        <v>0</v>
      </c>
      <c r="EG116" s="208">
        <v>0</v>
      </c>
      <c r="EH116" s="208">
        <v>0</v>
      </c>
      <c r="EI116" s="208">
        <v>0</v>
      </c>
      <c r="EJ116" s="208">
        <v>0</v>
      </c>
      <c r="EK116" s="208">
        <v>-673</v>
      </c>
      <c r="EL116" s="208">
        <v>0</v>
      </c>
      <c r="EM116" s="208">
        <v>-673</v>
      </c>
      <c r="EN116" s="208">
        <v>0</v>
      </c>
      <c r="EO116" s="208">
        <v>0</v>
      </c>
      <c r="EP116" s="208">
        <v>0</v>
      </c>
      <c r="EQ116" s="208">
        <v>0</v>
      </c>
      <c r="ER116" s="208">
        <v>0</v>
      </c>
      <c r="ES116" s="208">
        <v>0</v>
      </c>
      <c r="ET116" s="208">
        <v>242</v>
      </c>
      <c r="EU116" s="208">
        <v>0</v>
      </c>
      <c r="EV116" s="208">
        <v>242</v>
      </c>
      <c r="EW116" s="208">
        <v>-18788</v>
      </c>
      <c r="EX116" s="208">
        <v>0</v>
      </c>
      <c r="EY116" s="208">
        <v>-18788</v>
      </c>
      <c r="EZ116" s="208">
        <v>4433</v>
      </c>
      <c r="FA116" s="208">
        <v>0</v>
      </c>
      <c r="FB116" s="208">
        <v>4433</v>
      </c>
      <c r="FC116" s="208">
        <v>-147548</v>
      </c>
      <c r="FD116" s="208">
        <v>0</v>
      </c>
      <c r="FE116" s="208">
        <v>-147548</v>
      </c>
      <c r="FF116" s="208">
        <v>-3820</v>
      </c>
      <c r="FG116" s="208">
        <v>0</v>
      </c>
      <c r="FH116" s="208">
        <v>-3820</v>
      </c>
      <c r="FI116" s="208">
        <v>-41925</v>
      </c>
      <c r="FJ116" s="208">
        <v>0</v>
      </c>
      <c r="FK116" s="208">
        <v>-41925</v>
      </c>
      <c r="FL116" s="208">
        <v>2000</v>
      </c>
      <c r="FM116" s="208">
        <v>0</v>
      </c>
      <c r="FN116" s="208">
        <v>2000</v>
      </c>
      <c r="FO116" s="208">
        <v>0</v>
      </c>
      <c r="FP116" s="208">
        <v>0</v>
      </c>
      <c r="FQ116" s="208">
        <v>0</v>
      </c>
      <c r="FR116" s="208">
        <v>0</v>
      </c>
      <c r="FS116" s="208">
        <v>0</v>
      </c>
      <c r="FT116" s="208">
        <v>0</v>
      </c>
      <c r="FU116" s="208">
        <v>-206349</v>
      </c>
      <c r="FV116" s="208">
        <v>0</v>
      </c>
      <c r="FW116" s="208">
        <v>-206349</v>
      </c>
      <c r="FX116" s="208">
        <v>0</v>
      </c>
      <c r="FY116" s="208">
        <v>0</v>
      </c>
      <c r="FZ116" s="208">
        <v>0</v>
      </c>
      <c r="GA116" s="208">
        <v>0</v>
      </c>
      <c r="GB116" s="208">
        <v>0</v>
      </c>
      <c r="GC116" s="208">
        <v>0</v>
      </c>
      <c r="GD116" s="208">
        <v>0</v>
      </c>
      <c r="GE116" s="208">
        <v>0</v>
      </c>
      <c r="GF116" s="208">
        <v>0</v>
      </c>
      <c r="GG116" s="208">
        <v>37002856</v>
      </c>
      <c r="GH116" s="208">
        <v>1611807</v>
      </c>
      <c r="GI116" s="208">
        <v>38614663</v>
      </c>
      <c r="GJ116" s="208">
        <v>977907</v>
      </c>
      <c r="GK116" s="208">
        <v>46762</v>
      </c>
      <c r="GL116" s="208">
        <v>1024669</v>
      </c>
      <c r="GM116" s="208">
        <v>-5621946</v>
      </c>
      <c r="GN116" s="208">
        <v>8450</v>
      </c>
      <c r="GO116" s="208">
        <v>-5613496</v>
      </c>
      <c r="GP116" s="208">
        <v>-1096548</v>
      </c>
      <c r="GQ116" s="208">
        <v>-411612</v>
      </c>
      <c r="GR116" s="208">
        <v>-1508160</v>
      </c>
      <c r="GS116" s="208">
        <v>-140483</v>
      </c>
      <c r="GT116" s="208">
        <v>-567733</v>
      </c>
      <c r="GU116" s="208">
        <v>-708216</v>
      </c>
      <c r="GV116" s="208">
        <v>-206349</v>
      </c>
      <c r="GW116" s="208">
        <v>0</v>
      </c>
      <c r="GX116" s="208">
        <v>-206349</v>
      </c>
      <c r="GY116" s="208">
        <v>0</v>
      </c>
      <c r="GZ116" s="208">
        <v>0</v>
      </c>
      <c r="HA116" s="208">
        <v>0</v>
      </c>
      <c r="HB116" s="208">
        <v>-6087419</v>
      </c>
      <c r="HC116" s="208">
        <v>-924133</v>
      </c>
      <c r="HD116" s="208">
        <v>-7011552</v>
      </c>
      <c r="HE116" s="208">
        <v>30915437</v>
      </c>
      <c r="HF116" s="208">
        <v>687674</v>
      </c>
      <c r="HG116" s="208">
        <v>31603111</v>
      </c>
      <c r="HH116" s="187" t="s">
        <v>1054</v>
      </c>
    </row>
    <row r="117" spans="2:216" s="187" customFormat="1" x14ac:dyDescent="0.2">
      <c r="B117" s="429" t="s">
        <v>311</v>
      </c>
      <c r="C117" s="429" t="s">
        <v>310</v>
      </c>
      <c r="D117" s="208">
        <v>-3529089</v>
      </c>
      <c r="E117" s="208">
        <v>0</v>
      </c>
      <c r="F117" s="208">
        <v>-3529089</v>
      </c>
      <c r="G117" s="208">
        <v>-207840</v>
      </c>
      <c r="H117" s="208">
        <v>0</v>
      </c>
      <c r="I117" s="208">
        <v>-207840</v>
      </c>
      <c r="J117" s="208">
        <v>1113920</v>
      </c>
      <c r="K117" s="208">
        <v>0</v>
      </c>
      <c r="L117" s="208">
        <v>1113920</v>
      </c>
      <c r="M117" s="208">
        <v>-70170</v>
      </c>
      <c r="N117" s="208">
        <v>0</v>
      </c>
      <c r="O117" s="208">
        <v>-70170</v>
      </c>
      <c r="P117" s="208">
        <v>-2693179</v>
      </c>
      <c r="Q117" s="208">
        <v>0</v>
      </c>
      <c r="R117" s="208">
        <v>-2693179</v>
      </c>
      <c r="S117" s="208">
        <v>-5307519</v>
      </c>
      <c r="T117" s="208">
        <v>0</v>
      </c>
      <c r="U117" s="208">
        <v>-5307519</v>
      </c>
      <c r="V117" s="208">
        <v>0</v>
      </c>
      <c r="W117" s="208">
        <v>0</v>
      </c>
      <c r="X117" s="208">
        <v>0</v>
      </c>
      <c r="Y117" s="208">
        <v>30326</v>
      </c>
      <c r="Z117" s="208">
        <v>0</v>
      </c>
      <c r="AA117" s="208">
        <v>30326</v>
      </c>
      <c r="AB117" s="208">
        <v>97418</v>
      </c>
      <c r="AC117" s="208">
        <v>0</v>
      </c>
      <c r="AD117" s="208">
        <v>97418</v>
      </c>
      <c r="AE117" s="208">
        <v>-93639</v>
      </c>
      <c r="AF117" s="208">
        <v>0</v>
      </c>
      <c r="AG117" s="208">
        <v>-93639</v>
      </c>
      <c r="AH117" s="208">
        <v>0</v>
      </c>
      <c r="AI117" s="208">
        <v>0</v>
      </c>
      <c r="AJ117" s="208">
        <v>0</v>
      </c>
      <c r="AK117" s="208">
        <v>0</v>
      </c>
      <c r="AL117" s="208">
        <v>0</v>
      </c>
      <c r="AM117" s="208">
        <v>0</v>
      </c>
      <c r="AN117" s="208">
        <v>2418584</v>
      </c>
      <c r="AO117" s="208">
        <v>0</v>
      </c>
      <c r="AP117" s="208">
        <v>2418584</v>
      </c>
      <c r="AQ117" s="208">
        <v>-43050</v>
      </c>
      <c r="AR117" s="208">
        <v>0</v>
      </c>
      <c r="AS117" s="208">
        <v>-43050</v>
      </c>
      <c r="AT117" s="208">
        <v>-11052785</v>
      </c>
      <c r="AU117" s="208">
        <v>0</v>
      </c>
      <c r="AV117" s="208">
        <v>-11052785</v>
      </c>
      <c r="AW117" s="208">
        <v>-83758</v>
      </c>
      <c r="AX117" s="208">
        <v>0</v>
      </c>
      <c r="AY117" s="208">
        <v>-83758</v>
      </c>
      <c r="AZ117" s="208">
        <v>-121269</v>
      </c>
      <c r="BA117" s="208">
        <v>0</v>
      </c>
      <c r="BB117" s="208">
        <v>-121269</v>
      </c>
      <c r="BC117" s="208">
        <v>0</v>
      </c>
      <c r="BD117" s="208">
        <v>0</v>
      </c>
      <c r="BE117" s="208">
        <v>0</v>
      </c>
      <c r="BF117" s="208">
        <v>0</v>
      </c>
      <c r="BG117" s="208">
        <v>0</v>
      </c>
      <c r="BH117" s="208">
        <v>0</v>
      </c>
      <c r="BI117" s="208">
        <v>0</v>
      </c>
      <c r="BJ117" s="208">
        <v>0</v>
      </c>
      <c r="BK117" s="208">
        <v>0</v>
      </c>
      <c r="BL117" s="208">
        <v>-14159471</v>
      </c>
      <c r="BM117" s="208">
        <v>0</v>
      </c>
      <c r="BN117" s="208">
        <v>-14159471</v>
      </c>
      <c r="BO117" s="208">
        <v>-2479</v>
      </c>
      <c r="BP117" s="208">
        <v>0</v>
      </c>
      <c r="BQ117" s="208">
        <v>-2479</v>
      </c>
      <c r="BR117" s="208">
        <v>-619</v>
      </c>
      <c r="BS117" s="208">
        <v>0</v>
      </c>
      <c r="BT117" s="208">
        <v>-619</v>
      </c>
      <c r="BU117" s="208">
        <v>-2358202</v>
      </c>
      <c r="BV117" s="208">
        <v>0</v>
      </c>
      <c r="BW117" s="208">
        <v>-2358202</v>
      </c>
      <c r="BX117" s="208">
        <v>-71268</v>
      </c>
      <c r="BY117" s="208">
        <v>0</v>
      </c>
      <c r="BZ117" s="208">
        <v>-71268</v>
      </c>
      <c r="CA117" s="208">
        <v>-2432568</v>
      </c>
      <c r="CB117" s="208">
        <v>0</v>
      </c>
      <c r="CC117" s="208">
        <v>-2432568</v>
      </c>
      <c r="CD117" s="208">
        <v>-671915</v>
      </c>
      <c r="CE117" s="208">
        <v>0</v>
      </c>
      <c r="CF117" s="208">
        <v>-671915</v>
      </c>
      <c r="CG117" s="208">
        <v>-4273</v>
      </c>
      <c r="CH117" s="208">
        <v>0</v>
      </c>
      <c r="CI117" s="208">
        <v>-4273</v>
      </c>
      <c r="CJ117" s="208">
        <v>-34075</v>
      </c>
      <c r="CK117" s="208">
        <v>0</v>
      </c>
      <c r="CL117" s="208">
        <v>-34075</v>
      </c>
      <c r="CM117" s="208">
        <v>0</v>
      </c>
      <c r="CN117" s="208">
        <v>0</v>
      </c>
      <c r="CO117" s="208">
        <v>0</v>
      </c>
      <c r="CP117" s="208">
        <v>0</v>
      </c>
      <c r="CQ117" s="208">
        <v>0</v>
      </c>
      <c r="CR117" s="208">
        <v>0</v>
      </c>
      <c r="CS117" s="208">
        <v>0</v>
      </c>
      <c r="CT117" s="208">
        <v>0</v>
      </c>
      <c r="CU117" s="208">
        <v>0</v>
      </c>
      <c r="CV117" s="208">
        <v>0</v>
      </c>
      <c r="CW117" s="208">
        <v>0</v>
      </c>
      <c r="CX117" s="208">
        <v>0</v>
      </c>
      <c r="CY117" s="208">
        <v>0</v>
      </c>
      <c r="CZ117" s="208">
        <v>0</v>
      </c>
      <c r="DA117" s="208">
        <v>0</v>
      </c>
      <c r="DB117" s="208">
        <v>0</v>
      </c>
      <c r="DC117" s="208">
        <v>0</v>
      </c>
      <c r="DD117" s="208">
        <v>0</v>
      </c>
      <c r="DE117" s="208">
        <v>0</v>
      </c>
      <c r="DF117" s="208">
        <v>0</v>
      </c>
      <c r="DG117" s="208">
        <v>0</v>
      </c>
      <c r="DH117" s="208">
        <v>0</v>
      </c>
      <c r="DI117" s="208">
        <v>0</v>
      </c>
      <c r="DJ117" s="208">
        <v>0</v>
      </c>
      <c r="DK117" s="208">
        <v>0</v>
      </c>
      <c r="DL117" s="208">
        <v>0</v>
      </c>
      <c r="DM117" s="208">
        <v>0</v>
      </c>
      <c r="DN117" s="208">
        <v>0</v>
      </c>
      <c r="DO117" s="208">
        <v>0</v>
      </c>
      <c r="DP117" s="208">
        <v>-710263</v>
      </c>
      <c r="DQ117" s="208">
        <v>0</v>
      </c>
      <c r="DR117" s="208">
        <v>-710263</v>
      </c>
      <c r="DS117" s="208">
        <v>-8539</v>
      </c>
      <c r="DT117" s="208">
        <v>0</v>
      </c>
      <c r="DU117" s="208">
        <v>-8539</v>
      </c>
      <c r="DV117" s="208">
        <v>-30467</v>
      </c>
      <c r="DW117" s="208">
        <v>0</v>
      </c>
      <c r="DX117" s="208">
        <v>-30467</v>
      </c>
      <c r="DY117" s="208">
        <v>-3904</v>
      </c>
      <c r="DZ117" s="208">
        <v>0</v>
      </c>
      <c r="EA117" s="208">
        <v>-3904</v>
      </c>
      <c r="EB117" s="208">
        <v>0</v>
      </c>
      <c r="EC117" s="208">
        <v>0</v>
      </c>
      <c r="ED117" s="208">
        <v>0</v>
      </c>
      <c r="EE117" s="208">
        <v>0</v>
      </c>
      <c r="EF117" s="208">
        <v>0</v>
      </c>
      <c r="EG117" s="208">
        <v>0</v>
      </c>
      <c r="EH117" s="208">
        <v>0</v>
      </c>
      <c r="EI117" s="208">
        <v>0</v>
      </c>
      <c r="EJ117" s="208">
        <v>0</v>
      </c>
      <c r="EK117" s="208">
        <v>0</v>
      </c>
      <c r="EL117" s="208">
        <v>0</v>
      </c>
      <c r="EM117" s="208">
        <v>0</v>
      </c>
      <c r="EN117" s="208">
        <v>0</v>
      </c>
      <c r="EO117" s="208">
        <v>0</v>
      </c>
      <c r="EP117" s="208">
        <v>0</v>
      </c>
      <c r="EQ117" s="208">
        <v>0</v>
      </c>
      <c r="ER117" s="208">
        <v>0</v>
      </c>
      <c r="ES117" s="208">
        <v>0</v>
      </c>
      <c r="ET117" s="208">
        <v>0</v>
      </c>
      <c r="EU117" s="208">
        <v>0</v>
      </c>
      <c r="EV117" s="208">
        <v>0</v>
      </c>
      <c r="EW117" s="208">
        <v>-97303</v>
      </c>
      <c r="EX117" s="208">
        <v>0</v>
      </c>
      <c r="EY117" s="208">
        <v>-97303</v>
      </c>
      <c r="EZ117" s="208">
        <v>-10546</v>
      </c>
      <c r="FA117" s="208">
        <v>0</v>
      </c>
      <c r="FB117" s="208">
        <v>-10546</v>
      </c>
      <c r="FC117" s="208">
        <v>-450396</v>
      </c>
      <c r="FD117" s="208">
        <v>0</v>
      </c>
      <c r="FE117" s="208">
        <v>-450396</v>
      </c>
      <c r="FF117" s="208">
        <v>17578</v>
      </c>
      <c r="FG117" s="208">
        <v>0</v>
      </c>
      <c r="FH117" s="208">
        <v>17578</v>
      </c>
      <c r="FI117" s="208">
        <v>-64110</v>
      </c>
      <c r="FJ117" s="208">
        <v>0</v>
      </c>
      <c r="FK117" s="208">
        <v>-64110</v>
      </c>
      <c r="FL117" s="208">
        <v>545</v>
      </c>
      <c r="FM117" s="208">
        <v>0</v>
      </c>
      <c r="FN117" s="208">
        <v>545</v>
      </c>
      <c r="FO117" s="208">
        <v>0</v>
      </c>
      <c r="FP117" s="208">
        <v>0</v>
      </c>
      <c r="FQ117" s="208">
        <v>0</v>
      </c>
      <c r="FR117" s="208">
        <v>0</v>
      </c>
      <c r="FS117" s="208">
        <v>0</v>
      </c>
      <c r="FT117" s="208">
        <v>0</v>
      </c>
      <c r="FU117" s="208">
        <v>-647142</v>
      </c>
      <c r="FV117" s="208">
        <v>0</v>
      </c>
      <c r="FW117" s="208">
        <v>-647142</v>
      </c>
      <c r="FX117" s="208">
        <v>0</v>
      </c>
      <c r="FY117" s="208">
        <v>0</v>
      </c>
      <c r="FZ117" s="208">
        <v>0</v>
      </c>
      <c r="GA117" s="208">
        <v>0</v>
      </c>
      <c r="GB117" s="208">
        <v>0</v>
      </c>
      <c r="GC117" s="208">
        <v>0</v>
      </c>
      <c r="GD117" s="208">
        <v>0</v>
      </c>
      <c r="GE117" s="208">
        <v>0</v>
      </c>
      <c r="GF117" s="208">
        <v>0</v>
      </c>
      <c r="GG117" s="208">
        <v>111150712</v>
      </c>
      <c r="GH117" s="208">
        <v>0</v>
      </c>
      <c r="GI117" s="208">
        <v>111150712</v>
      </c>
      <c r="GJ117" s="208">
        <v>-2693179</v>
      </c>
      <c r="GK117" s="208">
        <v>0</v>
      </c>
      <c r="GL117" s="208">
        <v>-2693179</v>
      </c>
      <c r="GM117" s="208">
        <v>-14159471</v>
      </c>
      <c r="GN117" s="208">
        <v>0</v>
      </c>
      <c r="GO117" s="208">
        <v>-14159471</v>
      </c>
      <c r="GP117" s="208">
        <v>-2432568</v>
      </c>
      <c r="GQ117" s="208">
        <v>0</v>
      </c>
      <c r="GR117" s="208">
        <v>-2432568</v>
      </c>
      <c r="GS117" s="208">
        <v>-710263</v>
      </c>
      <c r="GT117" s="208">
        <v>0</v>
      </c>
      <c r="GU117" s="208">
        <v>-710263</v>
      </c>
      <c r="GV117" s="208">
        <v>-647142</v>
      </c>
      <c r="GW117" s="208">
        <v>0</v>
      </c>
      <c r="GX117" s="208">
        <v>-647142</v>
      </c>
      <c r="GY117" s="208">
        <v>0</v>
      </c>
      <c r="GZ117" s="208">
        <v>0</v>
      </c>
      <c r="HA117" s="208">
        <v>0</v>
      </c>
      <c r="HB117" s="208">
        <v>-20642623</v>
      </c>
      <c r="HC117" s="208">
        <v>0</v>
      </c>
      <c r="HD117" s="208">
        <v>-20642623</v>
      </c>
      <c r="HE117" s="208">
        <v>90508089</v>
      </c>
      <c r="HF117" s="208">
        <v>0</v>
      </c>
      <c r="HG117" s="208">
        <v>90508089</v>
      </c>
      <c r="HH117" s="187" t="s">
        <v>1057</v>
      </c>
    </row>
    <row r="118" spans="2:216" s="187" customFormat="1" x14ac:dyDescent="0.2">
      <c r="B118" s="429" t="s">
        <v>313</v>
      </c>
      <c r="C118" s="429" t="s">
        <v>312</v>
      </c>
      <c r="D118" s="208">
        <v>-2294738</v>
      </c>
      <c r="E118" s="208">
        <v>0</v>
      </c>
      <c r="F118" s="208">
        <v>-2294738</v>
      </c>
      <c r="G118" s="208">
        <v>-162635</v>
      </c>
      <c r="H118" s="208">
        <v>0</v>
      </c>
      <c r="I118" s="208">
        <v>-162635</v>
      </c>
      <c r="J118" s="208">
        <v>985698</v>
      </c>
      <c r="K118" s="208">
        <v>0</v>
      </c>
      <c r="L118" s="208">
        <v>985698</v>
      </c>
      <c r="M118" s="208">
        <v>-49704</v>
      </c>
      <c r="N118" s="208">
        <v>0</v>
      </c>
      <c r="O118" s="208">
        <v>-49704</v>
      </c>
      <c r="P118" s="208">
        <v>-1521379</v>
      </c>
      <c r="Q118" s="208">
        <v>0</v>
      </c>
      <c r="R118" s="208">
        <v>-1521379</v>
      </c>
      <c r="S118" s="208">
        <v>-3182622</v>
      </c>
      <c r="T118" s="208">
        <v>0</v>
      </c>
      <c r="U118" s="208">
        <v>-3182622</v>
      </c>
      <c r="V118" s="208">
        <v>0</v>
      </c>
      <c r="W118" s="208">
        <v>0</v>
      </c>
      <c r="X118" s="208">
        <v>0</v>
      </c>
      <c r="Y118" s="208">
        <v>-145195</v>
      </c>
      <c r="Z118" s="208">
        <v>0</v>
      </c>
      <c r="AA118" s="208">
        <v>-145195</v>
      </c>
      <c r="AB118" s="208">
        <v>-39505</v>
      </c>
      <c r="AC118" s="208">
        <v>0</v>
      </c>
      <c r="AD118" s="208">
        <v>-39505</v>
      </c>
      <c r="AE118" s="208">
        <v>-103502</v>
      </c>
      <c r="AF118" s="208">
        <v>0</v>
      </c>
      <c r="AG118" s="208">
        <v>-103502</v>
      </c>
      <c r="AH118" s="208">
        <v>0</v>
      </c>
      <c r="AI118" s="208">
        <v>0</v>
      </c>
      <c r="AJ118" s="208">
        <v>0</v>
      </c>
      <c r="AK118" s="208">
        <v>0</v>
      </c>
      <c r="AL118" s="208">
        <v>0</v>
      </c>
      <c r="AM118" s="208">
        <v>0</v>
      </c>
      <c r="AN118" s="208">
        <v>2397934</v>
      </c>
      <c r="AO118" s="208">
        <v>0</v>
      </c>
      <c r="AP118" s="208">
        <v>2397934</v>
      </c>
      <c r="AQ118" s="208">
        <v>-56983</v>
      </c>
      <c r="AR118" s="208">
        <v>0</v>
      </c>
      <c r="AS118" s="208">
        <v>-56983</v>
      </c>
      <c r="AT118" s="208">
        <v>-10958642</v>
      </c>
      <c r="AU118" s="208">
        <v>0</v>
      </c>
      <c r="AV118" s="208">
        <v>-10958642</v>
      </c>
      <c r="AW118" s="208">
        <v>-73060</v>
      </c>
      <c r="AX118" s="208">
        <v>0</v>
      </c>
      <c r="AY118" s="208">
        <v>-73060</v>
      </c>
      <c r="AZ118" s="208">
        <v>-36117</v>
      </c>
      <c r="BA118" s="208">
        <v>0</v>
      </c>
      <c r="BB118" s="208">
        <v>-36117</v>
      </c>
      <c r="BC118" s="208">
        <v>0</v>
      </c>
      <c r="BD118" s="208">
        <v>0</v>
      </c>
      <c r="BE118" s="208">
        <v>0</v>
      </c>
      <c r="BF118" s="208">
        <v>-13046</v>
      </c>
      <c r="BG118" s="208">
        <v>0</v>
      </c>
      <c r="BH118" s="208">
        <v>-13046</v>
      </c>
      <c r="BI118" s="208">
        <v>0</v>
      </c>
      <c r="BJ118" s="208">
        <v>0</v>
      </c>
      <c r="BK118" s="208">
        <v>0</v>
      </c>
      <c r="BL118" s="208">
        <v>-12067731</v>
      </c>
      <c r="BM118" s="208">
        <v>0</v>
      </c>
      <c r="BN118" s="208">
        <v>-12067731</v>
      </c>
      <c r="BO118" s="208">
        <v>-233676</v>
      </c>
      <c r="BP118" s="208">
        <v>0</v>
      </c>
      <c r="BQ118" s="208">
        <v>-233676</v>
      </c>
      <c r="BR118" s="208">
        <v>2580</v>
      </c>
      <c r="BS118" s="208">
        <v>0</v>
      </c>
      <c r="BT118" s="208">
        <v>2580</v>
      </c>
      <c r="BU118" s="208">
        <v>-3441593</v>
      </c>
      <c r="BV118" s="208">
        <v>0</v>
      </c>
      <c r="BW118" s="208">
        <v>-3441593</v>
      </c>
      <c r="BX118" s="208">
        <v>132174</v>
      </c>
      <c r="BY118" s="208">
        <v>0</v>
      </c>
      <c r="BZ118" s="208">
        <v>132174</v>
      </c>
      <c r="CA118" s="208">
        <v>-3540515</v>
      </c>
      <c r="CB118" s="208">
        <v>0</v>
      </c>
      <c r="CC118" s="208">
        <v>-3540515</v>
      </c>
      <c r="CD118" s="208">
        <v>-171212</v>
      </c>
      <c r="CE118" s="208">
        <v>0</v>
      </c>
      <c r="CF118" s="208">
        <v>-171212</v>
      </c>
      <c r="CG118" s="208">
        <v>-13119</v>
      </c>
      <c r="CH118" s="208">
        <v>0</v>
      </c>
      <c r="CI118" s="208">
        <v>-13119</v>
      </c>
      <c r="CJ118" s="208">
        <v>-5377</v>
      </c>
      <c r="CK118" s="208">
        <v>0</v>
      </c>
      <c r="CL118" s="208">
        <v>-5377</v>
      </c>
      <c r="CM118" s="208">
        <v>0</v>
      </c>
      <c r="CN118" s="208">
        <v>0</v>
      </c>
      <c r="CO118" s="208">
        <v>0</v>
      </c>
      <c r="CP118" s="208">
        <v>0</v>
      </c>
      <c r="CQ118" s="208">
        <v>0</v>
      </c>
      <c r="CR118" s="208">
        <v>0</v>
      </c>
      <c r="CS118" s="208">
        <v>0</v>
      </c>
      <c r="CT118" s="208">
        <v>0</v>
      </c>
      <c r="CU118" s="208">
        <v>0</v>
      </c>
      <c r="CV118" s="208">
        <v>0</v>
      </c>
      <c r="CW118" s="208">
        <v>0</v>
      </c>
      <c r="CX118" s="208">
        <v>0</v>
      </c>
      <c r="CY118" s="208">
        <v>0</v>
      </c>
      <c r="CZ118" s="208">
        <v>0</v>
      </c>
      <c r="DA118" s="208">
        <v>0</v>
      </c>
      <c r="DB118" s="208">
        <v>-18995</v>
      </c>
      <c r="DC118" s="208">
        <v>0</v>
      </c>
      <c r="DD118" s="208">
        <v>-18995</v>
      </c>
      <c r="DE118" s="208">
        <v>0</v>
      </c>
      <c r="DF118" s="208">
        <v>0</v>
      </c>
      <c r="DG118" s="208">
        <v>0</v>
      </c>
      <c r="DH118" s="208">
        <v>0</v>
      </c>
      <c r="DI118" s="208">
        <v>0</v>
      </c>
      <c r="DJ118" s="208">
        <v>0</v>
      </c>
      <c r="DK118" s="208">
        <v>0</v>
      </c>
      <c r="DL118" s="208">
        <v>0</v>
      </c>
      <c r="DM118" s="208">
        <v>0</v>
      </c>
      <c r="DN118" s="208">
        <v>0</v>
      </c>
      <c r="DO118" s="208">
        <v>0</v>
      </c>
      <c r="DP118" s="208">
        <v>-208703</v>
      </c>
      <c r="DQ118" s="208">
        <v>0</v>
      </c>
      <c r="DR118" s="208">
        <v>-208703</v>
      </c>
      <c r="DS118" s="208">
        <v>0</v>
      </c>
      <c r="DT118" s="208">
        <v>0</v>
      </c>
      <c r="DU118" s="208">
        <v>0</v>
      </c>
      <c r="DV118" s="208">
        <v>0</v>
      </c>
      <c r="DW118" s="208">
        <v>0</v>
      </c>
      <c r="DX118" s="208">
        <v>0</v>
      </c>
      <c r="DY118" s="208">
        <v>1500</v>
      </c>
      <c r="DZ118" s="208">
        <v>0</v>
      </c>
      <c r="EA118" s="208">
        <v>1500</v>
      </c>
      <c r="EB118" s="208">
        <v>0</v>
      </c>
      <c r="EC118" s="208">
        <v>0</v>
      </c>
      <c r="ED118" s="208">
        <v>0</v>
      </c>
      <c r="EE118" s="208">
        <v>0</v>
      </c>
      <c r="EF118" s="208">
        <v>0</v>
      </c>
      <c r="EG118" s="208">
        <v>0</v>
      </c>
      <c r="EH118" s="208">
        <v>0</v>
      </c>
      <c r="EI118" s="208">
        <v>0</v>
      </c>
      <c r="EJ118" s="208">
        <v>0</v>
      </c>
      <c r="EK118" s="208">
        <v>-13046</v>
      </c>
      <c r="EL118" s="208">
        <v>0</v>
      </c>
      <c r="EM118" s="208">
        <v>-13046</v>
      </c>
      <c r="EN118" s="208">
        <v>0</v>
      </c>
      <c r="EO118" s="208">
        <v>0</v>
      </c>
      <c r="EP118" s="208">
        <v>0</v>
      </c>
      <c r="EQ118" s="208">
        <v>-1500</v>
      </c>
      <c r="ER118" s="208">
        <v>0</v>
      </c>
      <c r="ES118" s="208">
        <v>-1500</v>
      </c>
      <c r="ET118" s="208">
        <v>0</v>
      </c>
      <c r="EU118" s="208">
        <v>0</v>
      </c>
      <c r="EV118" s="208">
        <v>0</v>
      </c>
      <c r="EW118" s="208">
        <v>-26688</v>
      </c>
      <c r="EX118" s="208">
        <v>0</v>
      </c>
      <c r="EY118" s="208">
        <v>-26688</v>
      </c>
      <c r="EZ118" s="208">
        <v>0</v>
      </c>
      <c r="FA118" s="208">
        <v>0</v>
      </c>
      <c r="FB118" s="208">
        <v>0</v>
      </c>
      <c r="FC118" s="208">
        <v>-242932</v>
      </c>
      <c r="FD118" s="208">
        <v>0</v>
      </c>
      <c r="FE118" s="208">
        <v>-242932</v>
      </c>
      <c r="FF118" s="208">
        <v>46869</v>
      </c>
      <c r="FG118" s="208">
        <v>0</v>
      </c>
      <c r="FH118" s="208">
        <v>46869</v>
      </c>
      <c r="FI118" s="208">
        <v>-49696</v>
      </c>
      <c r="FJ118" s="208">
        <v>0</v>
      </c>
      <c r="FK118" s="208">
        <v>-49696</v>
      </c>
      <c r="FL118" s="208">
        <v>1584</v>
      </c>
      <c r="FM118" s="208">
        <v>0</v>
      </c>
      <c r="FN118" s="208">
        <v>1584</v>
      </c>
      <c r="FO118" s="208">
        <v>0</v>
      </c>
      <c r="FP118" s="208">
        <v>0</v>
      </c>
      <c r="FQ118" s="208">
        <v>0</v>
      </c>
      <c r="FR118" s="208">
        <v>0</v>
      </c>
      <c r="FS118" s="208">
        <v>0</v>
      </c>
      <c r="FT118" s="208">
        <v>0</v>
      </c>
      <c r="FU118" s="208">
        <v>-283909</v>
      </c>
      <c r="FV118" s="208">
        <v>0</v>
      </c>
      <c r="FW118" s="208">
        <v>-283909</v>
      </c>
      <c r="FX118" s="208">
        <v>0</v>
      </c>
      <c r="FY118" s="208">
        <v>0</v>
      </c>
      <c r="FZ118" s="208">
        <v>0</v>
      </c>
      <c r="GA118" s="208">
        <v>0</v>
      </c>
      <c r="GB118" s="208">
        <v>0</v>
      </c>
      <c r="GC118" s="208">
        <v>0</v>
      </c>
      <c r="GD118" s="208">
        <v>0</v>
      </c>
      <c r="GE118" s="208">
        <v>0</v>
      </c>
      <c r="GF118" s="208">
        <v>0</v>
      </c>
      <c r="GG118" s="208">
        <v>105258222</v>
      </c>
      <c r="GH118" s="208">
        <v>0</v>
      </c>
      <c r="GI118" s="208">
        <v>105258222</v>
      </c>
      <c r="GJ118" s="208">
        <v>-1521379</v>
      </c>
      <c r="GK118" s="208">
        <v>0</v>
      </c>
      <c r="GL118" s="208">
        <v>-1521379</v>
      </c>
      <c r="GM118" s="208">
        <v>-12067731</v>
      </c>
      <c r="GN118" s="208">
        <v>0</v>
      </c>
      <c r="GO118" s="208">
        <v>-12067731</v>
      </c>
      <c r="GP118" s="208">
        <v>-3540515</v>
      </c>
      <c r="GQ118" s="208">
        <v>0</v>
      </c>
      <c r="GR118" s="208">
        <v>-3540515</v>
      </c>
      <c r="GS118" s="208">
        <v>-208703</v>
      </c>
      <c r="GT118" s="208">
        <v>0</v>
      </c>
      <c r="GU118" s="208">
        <v>-208703</v>
      </c>
      <c r="GV118" s="208">
        <v>-283909</v>
      </c>
      <c r="GW118" s="208">
        <v>0</v>
      </c>
      <c r="GX118" s="208">
        <v>-283909</v>
      </c>
      <c r="GY118" s="208">
        <v>0</v>
      </c>
      <c r="GZ118" s="208">
        <v>0</v>
      </c>
      <c r="HA118" s="208">
        <v>0</v>
      </c>
      <c r="HB118" s="208">
        <v>-17622237</v>
      </c>
      <c r="HC118" s="208">
        <v>0</v>
      </c>
      <c r="HD118" s="208">
        <v>-17622237</v>
      </c>
      <c r="HE118" s="208">
        <v>87635985</v>
      </c>
      <c r="HF118" s="208">
        <v>0</v>
      </c>
      <c r="HG118" s="208">
        <v>87635985</v>
      </c>
      <c r="HH118" s="187" t="s">
        <v>1054</v>
      </c>
    </row>
    <row r="119" spans="2:216" s="187" customFormat="1" x14ac:dyDescent="0.2">
      <c r="B119" s="429" t="s">
        <v>315</v>
      </c>
      <c r="C119" s="429" t="s">
        <v>314</v>
      </c>
      <c r="D119" s="208">
        <v>-18045312</v>
      </c>
      <c r="E119" s="208">
        <v>0</v>
      </c>
      <c r="F119" s="208">
        <v>-18045312</v>
      </c>
      <c r="G119" s="208">
        <v>-53898</v>
      </c>
      <c r="H119" s="208">
        <v>0</v>
      </c>
      <c r="I119" s="208">
        <v>-53898</v>
      </c>
      <c r="J119" s="208">
        <v>823301</v>
      </c>
      <c r="K119" s="208">
        <v>0</v>
      </c>
      <c r="L119" s="208">
        <v>823301</v>
      </c>
      <c r="M119" s="208">
        <v>-85121</v>
      </c>
      <c r="N119" s="208">
        <v>0</v>
      </c>
      <c r="O119" s="208">
        <v>-85121</v>
      </c>
      <c r="P119" s="208">
        <v>-17361030</v>
      </c>
      <c r="Q119" s="208">
        <v>0</v>
      </c>
      <c r="R119" s="208">
        <v>-17361030</v>
      </c>
      <c r="S119" s="208">
        <v>-8100930</v>
      </c>
      <c r="T119" s="208">
        <v>0</v>
      </c>
      <c r="U119" s="208">
        <v>-8100930</v>
      </c>
      <c r="V119" s="208">
        <v>0</v>
      </c>
      <c r="W119" s="208">
        <v>0</v>
      </c>
      <c r="X119" s="208">
        <v>0</v>
      </c>
      <c r="Y119" s="208">
        <v>-396368</v>
      </c>
      <c r="Z119" s="208">
        <v>0</v>
      </c>
      <c r="AA119" s="208">
        <v>-396368</v>
      </c>
      <c r="AB119" s="208">
        <v>-119387</v>
      </c>
      <c r="AC119" s="208">
        <v>0</v>
      </c>
      <c r="AD119" s="208">
        <v>-119387</v>
      </c>
      <c r="AE119" s="208">
        <v>-261720</v>
      </c>
      <c r="AF119" s="208">
        <v>0</v>
      </c>
      <c r="AG119" s="208">
        <v>-261720</v>
      </c>
      <c r="AH119" s="208">
        <v>0</v>
      </c>
      <c r="AI119" s="208">
        <v>0</v>
      </c>
      <c r="AJ119" s="208">
        <v>0</v>
      </c>
      <c r="AK119" s="208">
        <v>0</v>
      </c>
      <c r="AL119" s="208">
        <v>0</v>
      </c>
      <c r="AM119" s="208">
        <v>0</v>
      </c>
      <c r="AN119" s="208">
        <v>3418267</v>
      </c>
      <c r="AO119" s="208">
        <v>0</v>
      </c>
      <c r="AP119" s="208">
        <v>3418267</v>
      </c>
      <c r="AQ119" s="208">
        <v>37351</v>
      </c>
      <c r="AR119" s="208">
        <v>0</v>
      </c>
      <c r="AS119" s="208">
        <v>37351</v>
      </c>
      <c r="AT119" s="208">
        <v>-14444505</v>
      </c>
      <c r="AU119" s="208">
        <v>0</v>
      </c>
      <c r="AV119" s="208">
        <v>-14444505</v>
      </c>
      <c r="AW119" s="208">
        <v>587813</v>
      </c>
      <c r="AX119" s="208">
        <v>0</v>
      </c>
      <c r="AY119" s="208">
        <v>587813</v>
      </c>
      <c r="AZ119" s="208">
        <v>0</v>
      </c>
      <c r="BA119" s="208">
        <v>0</v>
      </c>
      <c r="BB119" s="208">
        <v>0</v>
      </c>
      <c r="BC119" s="208">
        <v>0</v>
      </c>
      <c r="BD119" s="208">
        <v>0</v>
      </c>
      <c r="BE119" s="208">
        <v>0</v>
      </c>
      <c r="BF119" s="208">
        <v>0</v>
      </c>
      <c r="BG119" s="208">
        <v>0</v>
      </c>
      <c r="BH119" s="208">
        <v>0</v>
      </c>
      <c r="BI119" s="208">
        <v>0</v>
      </c>
      <c r="BJ119" s="208">
        <v>0</v>
      </c>
      <c r="BK119" s="208">
        <v>0</v>
      </c>
      <c r="BL119" s="208">
        <v>-18898372</v>
      </c>
      <c r="BM119" s="208">
        <v>0</v>
      </c>
      <c r="BN119" s="208">
        <v>-18898372</v>
      </c>
      <c r="BO119" s="208">
        <v>-1324</v>
      </c>
      <c r="BP119" s="208">
        <v>0</v>
      </c>
      <c r="BQ119" s="208">
        <v>-1324</v>
      </c>
      <c r="BR119" s="208">
        <v>-99</v>
      </c>
      <c r="BS119" s="208">
        <v>0</v>
      </c>
      <c r="BT119" s="208">
        <v>-99</v>
      </c>
      <c r="BU119" s="208">
        <v>-4279504</v>
      </c>
      <c r="BV119" s="208">
        <v>0</v>
      </c>
      <c r="BW119" s="208">
        <v>-4279504</v>
      </c>
      <c r="BX119" s="208">
        <v>-686346</v>
      </c>
      <c r="BY119" s="208">
        <v>0</v>
      </c>
      <c r="BZ119" s="208">
        <v>-686346</v>
      </c>
      <c r="CA119" s="208">
        <v>-4967273</v>
      </c>
      <c r="CB119" s="208">
        <v>0</v>
      </c>
      <c r="CC119" s="208">
        <v>-4967273</v>
      </c>
      <c r="CD119" s="208">
        <v>-448645</v>
      </c>
      <c r="CE119" s="208">
        <v>0</v>
      </c>
      <c r="CF119" s="208">
        <v>-448645</v>
      </c>
      <c r="CG119" s="208">
        <v>-6195</v>
      </c>
      <c r="CH119" s="208">
        <v>0</v>
      </c>
      <c r="CI119" s="208">
        <v>-6195</v>
      </c>
      <c r="CJ119" s="208">
        <v>-23152</v>
      </c>
      <c r="CK119" s="208">
        <v>0</v>
      </c>
      <c r="CL119" s="208">
        <v>-23152</v>
      </c>
      <c r="CM119" s="208">
        <v>781</v>
      </c>
      <c r="CN119" s="208">
        <v>0</v>
      </c>
      <c r="CO119" s="208">
        <v>781</v>
      </c>
      <c r="CP119" s="208">
        <v>0</v>
      </c>
      <c r="CQ119" s="208">
        <v>0</v>
      </c>
      <c r="CR119" s="208">
        <v>0</v>
      </c>
      <c r="CS119" s="208">
        <v>0</v>
      </c>
      <c r="CT119" s="208">
        <v>0</v>
      </c>
      <c r="CU119" s="208">
        <v>0</v>
      </c>
      <c r="CV119" s="208">
        <v>0</v>
      </c>
      <c r="CW119" s="208">
        <v>0</v>
      </c>
      <c r="CX119" s="208">
        <v>0</v>
      </c>
      <c r="CY119" s="208">
        <v>0</v>
      </c>
      <c r="CZ119" s="208">
        <v>0</v>
      </c>
      <c r="DA119" s="208">
        <v>0</v>
      </c>
      <c r="DB119" s="208">
        <v>0</v>
      </c>
      <c r="DC119" s="208">
        <v>0</v>
      </c>
      <c r="DD119" s="208">
        <v>0</v>
      </c>
      <c r="DE119" s="208">
        <v>0</v>
      </c>
      <c r="DF119" s="208">
        <v>0</v>
      </c>
      <c r="DG119" s="208">
        <v>0</v>
      </c>
      <c r="DH119" s="208">
        <v>0</v>
      </c>
      <c r="DI119" s="208">
        <v>0</v>
      </c>
      <c r="DJ119" s="208">
        <v>0</v>
      </c>
      <c r="DK119" s="208">
        <v>0</v>
      </c>
      <c r="DL119" s="208">
        <v>0</v>
      </c>
      <c r="DM119" s="208">
        <v>0</v>
      </c>
      <c r="DN119" s="208">
        <v>0</v>
      </c>
      <c r="DO119" s="208">
        <v>0</v>
      </c>
      <c r="DP119" s="208">
        <v>-477211</v>
      </c>
      <c r="DQ119" s="208">
        <v>0</v>
      </c>
      <c r="DR119" s="208">
        <v>-477211</v>
      </c>
      <c r="DS119" s="208">
        <v>0</v>
      </c>
      <c r="DT119" s="208">
        <v>0</v>
      </c>
      <c r="DU119" s="208">
        <v>0</v>
      </c>
      <c r="DV119" s="208">
        <v>0</v>
      </c>
      <c r="DW119" s="208">
        <v>0</v>
      </c>
      <c r="DX119" s="208">
        <v>0</v>
      </c>
      <c r="DY119" s="208">
        <v>0</v>
      </c>
      <c r="DZ119" s="208">
        <v>0</v>
      </c>
      <c r="EA119" s="208">
        <v>0</v>
      </c>
      <c r="EB119" s="208">
        <v>0</v>
      </c>
      <c r="EC119" s="208">
        <v>0</v>
      </c>
      <c r="ED119" s="208">
        <v>0</v>
      </c>
      <c r="EE119" s="208">
        <v>0</v>
      </c>
      <c r="EF119" s="208">
        <v>0</v>
      </c>
      <c r="EG119" s="208">
        <v>0</v>
      </c>
      <c r="EH119" s="208">
        <v>0</v>
      </c>
      <c r="EI119" s="208">
        <v>0</v>
      </c>
      <c r="EJ119" s="208">
        <v>0</v>
      </c>
      <c r="EK119" s="208">
        <v>0</v>
      </c>
      <c r="EL119" s="208">
        <v>0</v>
      </c>
      <c r="EM119" s="208">
        <v>0</v>
      </c>
      <c r="EN119" s="208">
        <v>0</v>
      </c>
      <c r="EO119" s="208">
        <v>0</v>
      </c>
      <c r="EP119" s="208">
        <v>0</v>
      </c>
      <c r="EQ119" s="208">
        <v>-43</v>
      </c>
      <c r="ER119" s="208">
        <v>0</v>
      </c>
      <c r="ES119" s="208">
        <v>-43</v>
      </c>
      <c r="ET119" s="208">
        <v>0</v>
      </c>
      <c r="EU119" s="208">
        <v>0</v>
      </c>
      <c r="EV119" s="208">
        <v>0</v>
      </c>
      <c r="EW119" s="208">
        <v>-624746</v>
      </c>
      <c r="EX119" s="208">
        <v>0</v>
      </c>
      <c r="EY119" s="208">
        <v>-624746</v>
      </c>
      <c r="EZ119" s="208">
        <v>77030</v>
      </c>
      <c r="FA119" s="208">
        <v>0</v>
      </c>
      <c r="FB119" s="208">
        <v>77030</v>
      </c>
      <c r="FC119" s="208">
        <v>-1809024</v>
      </c>
      <c r="FD119" s="208">
        <v>0</v>
      </c>
      <c r="FE119" s="208">
        <v>-1809024</v>
      </c>
      <c r="FF119" s="208">
        <v>0</v>
      </c>
      <c r="FG119" s="208">
        <v>0</v>
      </c>
      <c r="FH119" s="208">
        <v>0</v>
      </c>
      <c r="FI119" s="208">
        <v>-43093</v>
      </c>
      <c r="FJ119" s="208">
        <v>0</v>
      </c>
      <c r="FK119" s="208">
        <v>-43093</v>
      </c>
      <c r="FL119" s="208">
        <v>-13837</v>
      </c>
      <c r="FM119" s="208">
        <v>0</v>
      </c>
      <c r="FN119" s="208">
        <v>-13837</v>
      </c>
      <c r="FO119" s="208">
        <v>0</v>
      </c>
      <c r="FP119" s="208">
        <v>0</v>
      </c>
      <c r="FQ119" s="208">
        <v>0</v>
      </c>
      <c r="FR119" s="208">
        <v>0</v>
      </c>
      <c r="FS119" s="208">
        <v>0</v>
      </c>
      <c r="FT119" s="208">
        <v>0</v>
      </c>
      <c r="FU119" s="208">
        <v>-2413713</v>
      </c>
      <c r="FV119" s="208">
        <v>0</v>
      </c>
      <c r="FW119" s="208">
        <v>-2413713</v>
      </c>
      <c r="FX119" s="208">
        <v>0</v>
      </c>
      <c r="FY119" s="208">
        <v>0</v>
      </c>
      <c r="FZ119" s="208">
        <v>0</v>
      </c>
      <c r="GA119" s="208">
        <v>0</v>
      </c>
      <c r="GB119" s="208">
        <v>0</v>
      </c>
      <c r="GC119" s="208">
        <v>0</v>
      </c>
      <c r="GD119" s="208">
        <v>0</v>
      </c>
      <c r="GE119" s="208">
        <v>0</v>
      </c>
      <c r="GF119" s="208">
        <v>0</v>
      </c>
      <c r="GG119" s="208">
        <v>183395806</v>
      </c>
      <c r="GH119" s="208">
        <v>0</v>
      </c>
      <c r="GI119" s="208">
        <v>183395806</v>
      </c>
      <c r="GJ119" s="208">
        <v>-17361030</v>
      </c>
      <c r="GK119" s="208">
        <v>0</v>
      </c>
      <c r="GL119" s="208">
        <v>-17361030</v>
      </c>
      <c r="GM119" s="208">
        <v>-18898372</v>
      </c>
      <c r="GN119" s="208">
        <v>0</v>
      </c>
      <c r="GO119" s="208">
        <v>-18898372</v>
      </c>
      <c r="GP119" s="208">
        <v>-4967273</v>
      </c>
      <c r="GQ119" s="208">
        <v>0</v>
      </c>
      <c r="GR119" s="208">
        <v>-4967273</v>
      </c>
      <c r="GS119" s="208">
        <v>-477211</v>
      </c>
      <c r="GT119" s="208">
        <v>0</v>
      </c>
      <c r="GU119" s="208">
        <v>-477211</v>
      </c>
      <c r="GV119" s="208">
        <v>-2413713</v>
      </c>
      <c r="GW119" s="208">
        <v>0</v>
      </c>
      <c r="GX119" s="208">
        <v>-2413713</v>
      </c>
      <c r="GY119" s="208">
        <v>0</v>
      </c>
      <c r="GZ119" s="208">
        <v>0</v>
      </c>
      <c r="HA119" s="208">
        <v>0</v>
      </c>
      <c r="HB119" s="208">
        <v>-44117599</v>
      </c>
      <c r="HC119" s="208">
        <v>0</v>
      </c>
      <c r="HD119" s="208">
        <v>-44117599</v>
      </c>
      <c r="HE119" s="208">
        <v>139278207</v>
      </c>
      <c r="HF119" s="208">
        <v>0</v>
      </c>
      <c r="HG119" s="208">
        <v>139278207</v>
      </c>
      <c r="HH119" s="187" t="s">
        <v>1057</v>
      </c>
    </row>
    <row r="120" spans="2:216" s="187" customFormat="1" x14ac:dyDescent="0.2">
      <c r="B120" s="429" t="s">
        <v>317</v>
      </c>
      <c r="C120" s="429" t="s">
        <v>316</v>
      </c>
      <c r="D120" s="208">
        <v>-484689</v>
      </c>
      <c r="E120" s="208">
        <v>0</v>
      </c>
      <c r="F120" s="208">
        <v>-484689</v>
      </c>
      <c r="G120" s="208">
        <v>32178</v>
      </c>
      <c r="H120" s="208">
        <v>0</v>
      </c>
      <c r="I120" s="208">
        <v>32178</v>
      </c>
      <c r="J120" s="208">
        <v>3573982</v>
      </c>
      <c r="K120" s="208">
        <v>0</v>
      </c>
      <c r="L120" s="208">
        <v>3573982</v>
      </c>
      <c r="M120" s="208">
        <v>-70951</v>
      </c>
      <c r="N120" s="208">
        <v>0</v>
      </c>
      <c r="O120" s="208">
        <v>-70951</v>
      </c>
      <c r="P120" s="208">
        <v>3050520</v>
      </c>
      <c r="Q120" s="208">
        <v>0</v>
      </c>
      <c r="R120" s="208">
        <v>3050520</v>
      </c>
      <c r="S120" s="208">
        <v>-3115810</v>
      </c>
      <c r="T120" s="208">
        <v>0</v>
      </c>
      <c r="U120" s="208">
        <v>-3115810</v>
      </c>
      <c r="V120" s="208">
        <v>-28253</v>
      </c>
      <c r="W120" s="208">
        <v>0</v>
      </c>
      <c r="X120" s="208">
        <v>-28253</v>
      </c>
      <c r="Y120" s="208">
        <v>-21862</v>
      </c>
      <c r="Z120" s="208">
        <v>0</v>
      </c>
      <c r="AA120" s="208">
        <v>-21862</v>
      </c>
      <c r="AB120" s="208">
        <v>0</v>
      </c>
      <c r="AC120" s="208">
        <v>0</v>
      </c>
      <c r="AD120" s="208">
        <v>0</v>
      </c>
      <c r="AE120" s="208">
        <v>0</v>
      </c>
      <c r="AF120" s="208">
        <v>0</v>
      </c>
      <c r="AG120" s="208">
        <v>0</v>
      </c>
      <c r="AH120" s="208">
        <v>0</v>
      </c>
      <c r="AI120" s="208">
        <v>0</v>
      </c>
      <c r="AJ120" s="208">
        <v>0</v>
      </c>
      <c r="AK120" s="208">
        <v>0</v>
      </c>
      <c r="AL120" s="208">
        <v>0</v>
      </c>
      <c r="AM120" s="208">
        <v>0</v>
      </c>
      <c r="AN120" s="208">
        <v>1242759</v>
      </c>
      <c r="AO120" s="208">
        <v>0</v>
      </c>
      <c r="AP120" s="208">
        <v>1242759</v>
      </c>
      <c r="AQ120" s="208">
        <v>10050</v>
      </c>
      <c r="AR120" s="208">
        <v>0</v>
      </c>
      <c r="AS120" s="208">
        <v>10050</v>
      </c>
      <c r="AT120" s="208">
        <v>-2271526</v>
      </c>
      <c r="AU120" s="208">
        <v>0</v>
      </c>
      <c r="AV120" s="208">
        <v>-2271526</v>
      </c>
      <c r="AW120" s="208">
        <v>-55482</v>
      </c>
      <c r="AX120" s="208">
        <v>0</v>
      </c>
      <c r="AY120" s="208">
        <v>-55482</v>
      </c>
      <c r="AZ120" s="208">
        <v>-95839</v>
      </c>
      <c r="BA120" s="208">
        <v>0</v>
      </c>
      <c r="BB120" s="208">
        <v>-95839</v>
      </c>
      <c r="BC120" s="208">
        <v>0</v>
      </c>
      <c r="BD120" s="208">
        <v>0</v>
      </c>
      <c r="BE120" s="208">
        <v>0</v>
      </c>
      <c r="BF120" s="208">
        <v>0</v>
      </c>
      <c r="BG120" s="208">
        <v>0</v>
      </c>
      <c r="BH120" s="208">
        <v>0</v>
      </c>
      <c r="BI120" s="208">
        <v>0</v>
      </c>
      <c r="BJ120" s="208">
        <v>0</v>
      </c>
      <c r="BK120" s="208">
        <v>0</v>
      </c>
      <c r="BL120" s="208">
        <v>-4307710</v>
      </c>
      <c r="BM120" s="208">
        <v>0</v>
      </c>
      <c r="BN120" s="208">
        <v>-4307710</v>
      </c>
      <c r="BO120" s="208">
        <v>0</v>
      </c>
      <c r="BP120" s="208">
        <v>0</v>
      </c>
      <c r="BQ120" s="208">
        <v>0</v>
      </c>
      <c r="BR120" s="208">
        <v>0</v>
      </c>
      <c r="BS120" s="208">
        <v>0</v>
      </c>
      <c r="BT120" s="208">
        <v>0</v>
      </c>
      <c r="BU120" s="208">
        <v>-2124335</v>
      </c>
      <c r="BV120" s="208">
        <v>0</v>
      </c>
      <c r="BW120" s="208">
        <v>-2124335</v>
      </c>
      <c r="BX120" s="208">
        <v>-306558</v>
      </c>
      <c r="BY120" s="208">
        <v>0</v>
      </c>
      <c r="BZ120" s="208">
        <v>-306558</v>
      </c>
      <c r="CA120" s="208">
        <v>-2430893</v>
      </c>
      <c r="CB120" s="208">
        <v>0</v>
      </c>
      <c r="CC120" s="208">
        <v>-2430893</v>
      </c>
      <c r="CD120" s="208">
        <v>-60421</v>
      </c>
      <c r="CE120" s="208">
        <v>0</v>
      </c>
      <c r="CF120" s="208">
        <v>-60421</v>
      </c>
      <c r="CG120" s="208">
        <v>-6.35</v>
      </c>
      <c r="CH120" s="208">
        <v>0</v>
      </c>
      <c r="CI120" s="208">
        <v>-6.35</v>
      </c>
      <c r="CJ120" s="208">
        <v>-64660</v>
      </c>
      <c r="CK120" s="208">
        <v>0</v>
      </c>
      <c r="CL120" s="208">
        <v>-64660</v>
      </c>
      <c r="CM120" s="208">
        <v>-3169</v>
      </c>
      <c r="CN120" s="208">
        <v>0</v>
      </c>
      <c r="CO120" s="208">
        <v>-3169</v>
      </c>
      <c r="CP120" s="208">
        <v>-13089</v>
      </c>
      <c r="CQ120" s="208">
        <v>0</v>
      </c>
      <c r="CR120" s="208">
        <v>-13089</v>
      </c>
      <c r="CS120" s="208">
        <v>0</v>
      </c>
      <c r="CT120" s="208">
        <v>0</v>
      </c>
      <c r="CU120" s="208">
        <v>0</v>
      </c>
      <c r="CV120" s="208">
        <v>0</v>
      </c>
      <c r="CW120" s="208">
        <v>0</v>
      </c>
      <c r="CX120" s="208">
        <v>0</v>
      </c>
      <c r="CY120" s="208">
        <v>0</v>
      </c>
      <c r="CZ120" s="208">
        <v>0</v>
      </c>
      <c r="DA120" s="208">
        <v>0</v>
      </c>
      <c r="DB120" s="208">
        <v>0</v>
      </c>
      <c r="DC120" s="208">
        <v>0</v>
      </c>
      <c r="DD120" s="208">
        <v>0</v>
      </c>
      <c r="DE120" s="208">
        <v>0</v>
      </c>
      <c r="DF120" s="208">
        <v>0</v>
      </c>
      <c r="DG120" s="208">
        <v>0</v>
      </c>
      <c r="DH120" s="208">
        <v>-24240</v>
      </c>
      <c r="DI120" s="208">
        <v>-293134</v>
      </c>
      <c r="DJ120" s="208">
        <v>-317374</v>
      </c>
      <c r="DK120" s="208">
        <v>0</v>
      </c>
      <c r="DL120" s="208">
        <v>-11076</v>
      </c>
      <c r="DM120" s="208">
        <v>-11076</v>
      </c>
      <c r="DN120" s="208">
        <v>-304210</v>
      </c>
      <c r="DO120" s="208">
        <v>-24240</v>
      </c>
      <c r="DP120" s="208">
        <v>-165585</v>
      </c>
      <c r="DQ120" s="208">
        <v>-304210</v>
      </c>
      <c r="DR120" s="208">
        <v>-469795</v>
      </c>
      <c r="DS120" s="208">
        <v>0</v>
      </c>
      <c r="DT120" s="208">
        <v>0</v>
      </c>
      <c r="DU120" s="208">
        <v>0</v>
      </c>
      <c r="DV120" s="208">
        <v>0</v>
      </c>
      <c r="DW120" s="208">
        <v>0</v>
      </c>
      <c r="DX120" s="208">
        <v>0</v>
      </c>
      <c r="DY120" s="208">
        <v>0</v>
      </c>
      <c r="DZ120" s="208">
        <v>0</v>
      </c>
      <c r="EA120" s="208">
        <v>0</v>
      </c>
      <c r="EB120" s="208">
        <v>0</v>
      </c>
      <c r="EC120" s="208">
        <v>0</v>
      </c>
      <c r="ED120" s="208">
        <v>0</v>
      </c>
      <c r="EE120" s="208">
        <v>0</v>
      </c>
      <c r="EF120" s="208">
        <v>0</v>
      </c>
      <c r="EG120" s="208">
        <v>0</v>
      </c>
      <c r="EH120" s="208">
        <v>0</v>
      </c>
      <c r="EI120" s="208">
        <v>0</v>
      </c>
      <c r="EJ120" s="208">
        <v>0</v>
      </c>
      <c r="EK120" s="208">
        <v>0</v>
      </c>
      <c r="EL120" s="208">
        <v>0</v>
      </c>
      <c r="EM120" s="208">
        <v>0</v>
      </c>
      <c r="EN120" s="208">
        <v>0</v>
      </c>
      <c r="EO120" s="208">
        <v>0</v>
      </c>
      <c r="EP120" s="208">
        <v>0</v>
      </c>
      <c r="EQ120" s="208">
        <v>0</v>
      </c>
      <c r="ER120" s="208">
        <v>0</v>
      </c>
      <c r="ES120" s="208">
        <v>0</v>
      </c>
      <c r="ET120" s="208">
        <v>0</v>
      </c>
      <c r="EU120" s="208">
        <v>0</v>
      </c>
      <c r="EV120" s="208">
        <v>0</v>
      </c>
      <c r="EW120" s="208">
        <v>-14035</v>
      </c>
      <c r="EX120" s="208">
        <v>0</v>
      </c>
      <c r="EY120" s="208">
        <v>-14035</v>
      </c>
      <c r="EZ120" s="208">
        <v>0</v>
      </c>
      <c r="FA120" s="208">
        <v>0</v>
      </c>
      <c r="FB120" s="208">
        <v>0</v>
      </c>
      <c r="FC120" s="208">
        <v>-75852</v>
      </c>
      <c r="FD120" s="208">
        <v>0</v>
      </c>
      <c r="FE120" s="208">
        <v>-75852</v>
      </c>
      <c r="FF120" s="208">
        <v>0</v>
      </c>
      <c r="FG120" s="208">
        <v>0</v>
      </c>
      <c r="FH120" s="208">
        <v>0</v>
      </c>
      <c r="FI120" s="208">
        <v>-12025</v>
      </c>
      <c r="FJ120" s="208">
        <v>0</v>
      </c>
      <c r="FK120" s="208">
        <v>-12025</v>
      </c>
      <c r="FL120" s="208">
        <v>0</v>
      </c>
      <c r="FM120" s="208">
        <v>0</v>
      </c>
      <c r="FN120" s="208">
        <v>0</v>
      </c>
      <c r="FO120" s="208">
        <v>0</v>
      </c>
      <c r="FP120" s="208">
        <v>0</v>
      </c>
      <c r="FQ120" s="208">
        <v>0</v>
      </c>
      <c r="FR120" s="208">
        <v>0</v>
      </c>
      <c r="FS120" s="208">
        <v>0</v>
      </c>
      <c r="FT120" s="208">
        <v>0</v>
      </c>
      <c r="FU120" s="208">
        <v>-101912</v>
      </c>
      <c r="FV120" s="208">
        <v>0</v>
      </c>
      <c r="FW120" s="208">
        <v>-101912</v>
      </c>
      <c r="FX120" s="208">
        <v>0</v>
      </c>
      <c r="FY120" s="208">
        <v>0</v>
      </c>
      <c r="FZ120" s="208">
        <v>0</v>
      </c>
      <c r="GA120" s="208">
        <v>0</v>
      </c>
      <c r="GB120" s="208">
        <v>0</v>
      </c>
      <c r="GC120" s="208">
        <v>0</v>
      </c>
      <c r="GD120" s="208">
        <v>0</v>
      </c>
      <c r="GE120" s="208">
        <v>0</v>
      </c>
      <c r="GF120" s="208">
        <v>0</v>
      </c>
      <c r="GG120" s="208">
        <v>59954755</v>
      </c>
      <c r="GH120" s="208">
        <v>330341</v>
      </c>
      <c r="GI120" s="208">
        <v>60285096</v>
      </c>
      <c r="GJ120" s="208">
        <v>3050520</v>
      </c>
      <c r="GK120" s="208">
        <v>0</v>
      </c>
      <c r="GL120" s="208">
        <v>3050520</v>
      </c>
      <c r="GM120" s="208">
        <v>-4307710</v>
      </c>
      <c r="GN120" s="208">
        <v>0</v>
      </c>
      <c r="GO120" s="208">
        <v>-4307710</v>
      </c>
      <c r="GP120" s="208">
        <v>-2430893</v>
      </c>
      <c r="GQ120" s="208">
        <v>0</v>
      </c>
      <c r="GR120" s="208">
        <v>-2430893</v>
      </c>
      <c r="GS120" s="208">
        <v>-165585</v>
      </c>
      <c r="GT120" s="208">
        <v>-304210</v>
      </c>
      <c r="GU120" s="208">
        <v>-469795</v>
      </c>
      <c r="GV120" s="208">
        <v>-101912</v>
      </c>
      <c r="GW120" s="208">
        <v>0</v>
      </c>
      <c r="GX120" s="208">
        <v>-101912</v>
      </c>
      <c r="GY120" s="208">
        <v>0</v>
      </c>
      <c r="GZ120" s="208">
        <v>0</v>
      </c>
      <c r="HA120" s="208">
        <v>0</v>
      </c>
      <c r="HB120" s="208">
        <v>-3955580</v>
      </c>
      <c r="HC120" s="208">
        <v>-304210</v>
      </c>
      <c r="HD120" s="208">
        <v>-4259790</v>
      </c>
      <c r="HE120" s="208">
        <v>55999175</v>
      </c>
      <c r="HF120" s="208">
        <v>26131</v>
      </c>
      <c r="HG120" s="208">
        <v>56025306</v>
      </c>
      <c r="HH120" s="187" t="s">
        <v>742</v>
      </c>
    </row>
    <row r="121" spans="2:216" s="187" customFormat="1" x14ac:dyDescent="0.2">
      <c r="B121" s="429" t="s">
        <v>319</v>
      </c>
      <c r="C121" s="429" t="s">
        <v>318</v>
      </c>
      <c r="D121" s="208">
        <v>-838850</v>
      </c>
      <c r="E121" s="208">
        <v>0</v>
      </c>
      <c r="F121" s="208">
        <v>-838850</v>
      </c>
      <c r="G121" s="208">
        <v>-2861</v>
      </c>
      <c r="H121" s="208">
        <v>0</v>
      </c>
      <c r="I121" s="208">
        <v>-2861</v>
      </c>
      <c r="J121" s="208">
        <v>506248</v>
      </c>
      <c r="K121" s="208">
        <v>0</v>
      </c>
      <c r="L121" s="208">
        <v>506248</v>
      </c>
      <c r="M121" s="208">
        <v>-27546</v>
      </c>
      <c r="N121" s="208">
        <v>0</v>
      </c>
      <c r="O121" s="208">
        <v>-27546</v>
      </c>
      <c r="P121" s="208">
        <v>-363009</v>
      </c>
      <c r="Q121" s="208">
        <v>0</v>
      </c>
      <c r="R121" s="208">
        <v>-363009</v>
      </c>
      <c r="S121" s="208">
        <v>-4638374</v>
      </c>
      <c r="T121" s="208">
        <v>0</v>
      </c>
      <c r="U121" s="208">
        <v>-4638374</v>
      </c>
      <c r="V121" s="208">
        <v>-29859</v>
      </c>
      <c r="W121" s="208">
        <v>0</v>
      </c>
      <c r="X121" s="208">
        <v>-29859</v>
      </c>
      <c r="Y121" s="208">
        <v>-200355</v>
      </c>
      <c r="Z121" s="208">
        <v>0</v>
      </c>
      <c r="AA121" s="208">
        <v>-200355</v>
      </c>
      <c r="AB121" s="208">
        <v>-51938</v>
      </c>
      <c r="AC121" s="208">
        <v>0</v>
      </c>
      <c r="AD121" s="208">
        <v>-51938</v>
      </c>
      <c r="AE121" s="208">
        <v>-135121</v>
      </c>
      <c r="AF121" s="208">
        <v>0</v>
      </c>
      <c r="AG121" s="208">
        <v>-135121</v>
      </c>
      <c r="AH121" s="208">
        <v>-1063</v>
      </c>
      <c r="AI121" s="208">
        <v>0</v>
      </c>
      <c r="AJ121" s="208">
        <v>-1063</v>
      </c>
      <c r="AK121" s="208">
        <v>-6104</v>
      </c>
      <c r="AL121" s="208">
        <v>0</v>
      </c>
      <c r="AM121" s="208">
        <v>-6104</v>
      </c>
      <c r="AN121" s="208">
        <v>543275</v>
      </c>
      <c r="AO121" s="208">
        <v>0</v>
      </c>
      <c r="AP121" s="208">
        <v>543275</v>
      </c>
      <c r="AQ121" s="208">
        <v>-15785</v>
      </c>
      <c r="AR121" s="208">
        <v>0</v>
      </c>
      <c r="AS121" s="208">
        <v>-15785</v>
      </c>
      <c r="AT121" s="208">
        <v>-1209975</v>
      </c>
      <c r="AU121" s="208">
        <v>0</v>
      </c>
      <c r="AV121" s="208">
        <v>-1209975</v>
      </c>
      <c r="AW121" s="208">
        <v>-1153</v>
      </c>
      <c r="AX121" s="208">
        <v>0</v>
      </c>
      <c r="AY121" s="208">
        <v>-1153</v>
      </c>
      <c r="AZ121" s="208">
        <v>-101966</v>
      </c>
      <c r="BA121" s="208">
        <v>0</v>
      </c>
      <c r="BB121" s="208">
        <v>-101966</v>
      </c>
      <c r="BC121" s="208">
        <v>43</v>
      </c>
      <c r="BD121" s="208">
        <v>0</v>
      </c>
      <c r="BE121" s="208">
        <v>43</v>
      </c>
      <c r="BF121" s="208">
        <v>-57401</v>
      </c>
      <c r="BG121" s="208">
        <v>0</v>
      </c>
      <c r="BH121" s="208">
        <v>-57401</v>
      </c>
      <c r="BI121" s="208">
        <v>0</v>
      </c>
      <c r="BJ121" s="208">
        <v>0</v>
      </c>
      <c r="BK121" s="208">
        <v>0</v>
      </c>
      <c r="BL121" s="208">
        <v>-5681691</v>
      </c>
      <c r="BM121" s="208">
        <v>0</v>
      </c>
      <c r="BN121" s="208">
        <v>-5681691</v>
      </c>
      <c r="BO121" s="208">
        <v>0</v>
      </c>
      <c r="BP121" s="208">
        <v>0</v>
      </c>
      <c r="BQ121" s="208">
        <v>0</v>
      </c>
      <c r="BR121" s="208">
        <v>0</v>
      </c>
      <c r="BS121" s="208">
        <v>0</v>
      </c>
      <c r="BT121" s="208">
        <v>0</v>
      </c>
      <c r="BU121" s="208">
        <v>-678027</v>
      </c>
      <c r="BV121" s="208">
        <v>0</v>
      </c>
      <c r="BW121" s="208">
        <v>-678027</v>
      </c>
      <c r="BX121" s="208">
        <v>-40109</v>
      </c>
      <c r="BY121" s="208">
        <v>0</v>
      </c>
      <c r="BZ121" s="208">
        <v>-40109</v>
      </c>
      <c r="CA121" s="208">
        <v>-718136</v>
      </c>
      <c r="CB121" s="208">
        <v>0</v>
      </c>
      <c r="CC121" s="208">
        <v>-718136</v>
      </c>
      <c r="CD121" s="208">
        <v>-66497</v>
      </c>
      <c r="CE121" s="208">
        <v>0</v>
      </c>
      <c r="CF121" s="208">
        <v>-66497</v>
      </c>
      <c r="CG121" s="208">
        <v>-267</v>
      </c>
      <c r="CH121" s="208">
        <v>0</v>
      </c>
      <c r="CI121" s="208">
        <v>-267</v>
      </c>
      <c r="CJ121" s="208">
        <v>-13241</v>
      </c>
      <c r="CK121" s="208">
        <v>0</v>
      </c>
      <c r="CL121" s="208">
        <v>-13241</v>
      </c>
      <c r="CM121" s="208">
        <v>0</v>
      </c>
      <c r="CN121" s="208">
        <v>0</v>
      </c>
      <c r="CO121" s="208">
        <v>0</v>
      </c>
      <c r="CP121" s="208">
        <v>-1003</v>
      </c>
      <c r="CQ121" s="208">
        <v>0</v>
      </c>
      <c r="CR121" s="208">
        <v>-1003</v>
      </c>
      <c r="CS121" s="208">
        <v>3</v>
      </c>
      <c r="CT121" s="208">
        <v>0</v>
      </c>
      <c r="CU121" s="208">
        <v>3</v>
      </c>
      <c r="CV121" s="208">
        <v>0</v>
      </c>
      <c r="CW121" s="208">
        <v>0</v>
      </c>
      <c r="CX121" s="208">
        <v>0</v>
      </c>
      <c r="CY121" s="208">
        <v>0</v>
      </c>
      <c r="CZ121" s="208">
        <v>0</v>
      </c>
      <c r="DA121" s="208">
        <v>0</v>
      </c>
      <c r="DB121" s="208">
        <v>0</v>
      </c>
      <c r="DC121" s="208">
        <v>0</v>
      </c>
      <c r="DD121" s="208">
        <v>0</v>
      </c>
      <c r="DE121" s="208">
        <v>0</v>
      </c>
      <c r="DF121" s="208">
        <v>0</v>
      </c>
      <c r="DG121" s="208">
        <v>0</v>
      </c>
      <c r="DH121" s="208">
        <v>0</v>
      </c>
      <c r="DI121" s="208">
        <v>0</v>
      </c>
      <c r="DJ121" s="208">
        <v>0</v>
      </c>
      <c r="DK121" s="208">
        <v>0</v>
      </c>
      <c r="DL121" s="208">
        <v>0</v>
      </c>
      <c r="DM121" s="208">
        <v>0</v>
      </c>
      <c r="DN121" s="208">
        <v>0</v>
      </c>
      <c r="DO121" s="208">
        <v>0</v>
      </c>
      <c r="DP121" s="208">
        <v>-81005</v>
      </c>
      <c r="DQ121" s="208">
        <v>0</v>
      </c>
      <c r="DR121" s="208">
        <v>-81005</v>
      </c>
      <c r="DS121" s="208">
        <v>0</v>
      </c>
      <c r="DT121" s="208">
        <v>0</v>
      </c>
      <c r="DU121" s="208">
        <v>0</v>
      </c>
      <c r="DV121" s="208">
        <v>0</v>
      </c>
      <c r="DW121" s="208">
        <v>0</v>
      </c>
      <c r="DX121" s="208">
        <v>0</v>
      </c>
      <c r="DY121" s="208">
        <v>0</v>
      </c>
      <c r="DZ121" s="208">
        <v>0</v>
      </c>
      <c r="EA121" s="208">
        <v>0</v>
      </c>
      <c r="EB121" s="208">
        <v>0</v>
      </c>
      <c r="EC121" s="208">
        <v>0</v>
      </c>
      <c r="ED121" s="208">
        <v>0</v>
      </c>
      <c r="EE121" s="208">
        <v>0</v>
      </c>
      <c r="EF121" s="208">
        <v>0</v>
      </c>
      <c r="EG121" s="208">
        <v>0</v>
      </c>
      <c r="EH121" s="208">
        <v>0</v>
      </c>
      <c r="EI121" s="208">
        <v>0</v>
      </c>
      <c r="EJ121" s="208">
        <v>0</v>
      </c>
      <c r="EK121" s="208">
        <v>-57400</v>
      </c>
      <c r="EL121" s="208">
        <v>0</v>
      </c>
      <c r="EM121" s="208">
        <v>-57400</v>
      </c>
      <c r="EN121" s="208">
        <v>-42</v>
      </c>
      <c r="EO121" s="208">
        <v>0</v>
      </c>
      <c r="EP121" s="208">
        <v>-42</v>
      </c>
      <c r="EQ121" s="208">
        <v>0</v>
      </c>
      <c r="ER121" s="208">
        <v>0</v>
      </c>
      <c r="ES121" s="208">
        <v>0</v>
      </c>
      <c r="ET121" s="208">
        <v>0</v>
      </c>
      <c r="EU121" s="208">
        <v>0</v>
      </c>
      <c r="EV121" s="208">
        <v>0</v>
      </c>
      <c r="EW121" s="208">
        <v>-31388</v>
      </c>
      <c r="EX121" s="208">
        <v>0</v>
      </c>
      <c r="EY121" s="208">
        <v>-31388</v>
      </c>
      <c r="EZ121" s="208">
        <v>5</v>
      </c>
      <c r="FA121" s="208">
        <v>0</v>
      </c>
      <c r="FB121" s="208">
        <v>5</v>
      </c>
      <c r="FC121" s="208">
        <v>-81235</v>
      </c>
      <c r="FD121" s="208">
        <v>0</v>
      </c>
      <c r="FE121" s="208">
        <v>-81235</v>
      </c>
      <c r="FF121" s="208">
        <v>25199</v>
      </c>
      <c r="FG121" s="208">
        <v>0</v>
      </c>
      <c r="FH121" s="208">
        <v>25199</v>
      </c>
      <c r="FI121" s="208">
        <v>-74210</v>
      </c>
      <c r="FJ121" s="208">
        <v>0</v>
      </c>
      <c r="FK121" s="208">
        <v>-74210</v>
      </c>
      <c r="FL121" s="208">
        <v>956</v>
      </c>
      <c r="FM121" s="208">
        <v>0</v>
      </c>
      <c r="FN121" s="208">
        <v>956</v>
      </c>
      <c r="FO121" s="208">
        <v>0</v>
      </c>
      <c r="FP121" s="208">
        <v>0</v>
      </c>
      <c r="FQ121" s="208">
        <v>0</v>
      </c>
      <c r="FR121" s="208">
        <v>0</v>
      </c>
      <c r="FS121" s="208">
        <v>0</v>
      </c>
      <c r="FT121" s="208">
        <v>0</v>
      </c>
      <c r="FU121" s="208">
        <v>-218115</v>
      </c>
      <c r="FV121" s="208">
        <v>0</v>
      </c>
      <c r="FW121" s="208">
        <v>-218115</v>
      </c>
      <c r="FX121" s="208">
        <v>0</v>
      </c>
      <c r="FY121" s="208">
        <v>0</v>
      </c>
      <c r="FZ121" s="208">
        <v>0</v>
      </c>
      <c r="GA121" s="208">
        <v>0</v>
      </c>
      <c r="GB121" s="208">
        <v>0</v>
      </c>
      <c r="GC121" s="208">
        <v>0</v>
      </c>
      <c r="GD121" s="208">
        <v>0</v>
      </c>
      <c r="GE121" s="208">
        <v>0</v>
      </c>
      <c r="GF121" s="208">
        <v>0</v>
      </c>
      <c r="GG121" s="208">
        <v>34613777</v>
      </c>
      <c r="GH121" s="208">
        <v>0</v>
      </c>
      <c r="GI121" s="208">
        <v>34613777</v>
      </c>
      <c r="GJ121" s="208">
        <v>-363009</v>
      </c>
      <c r="GK121" s="208">
        <v>0</v>
      </c>
      <c r="GL121" s="208">
        <v>-363009</v>
      </c>
      <c r="GM121" s="208">
        <v>-5681691</v>
      </c>
      <c r="GN121" s="208">
        <v>0</v>
      </c>
      <c r="GO121" s="208">
        <v>-5681691</v>
      </c>
      <c r="GP121" s="208">
        <v>-718136</v>
      </c>
      <c r="GQ121" s="208">
        <v>0</v>
      </c>
      <c r="GR121" s="208">
        <v>-718136</v>
      </c>
      <c r="GS121" s="208">
        <v>-81005</v>
      </c>
      <c r="GT121" s="208">
        <v>0</v>
      </c>
      <c r="GU121" s="208">
        <v>-81005</v>
      </c>
      <c r="GV121" s="208">
        <v>-218115</v>
      </c>
      <c r="GW121" s="208">
        <v>0</v>
      </c>
      <c r="GX121" s="208">
        <v>-218115</v>
      </c>
      <c r="GY121" s="208">
        <v>0</v>
      </c>
      <c r="GZ121" s="208">
        <v>0</v>
      </c>
      <c r="HA121" s="208">
        <v>0</v>
      </c>
      <c r="HB121" s="208">
        <v>-7061956</v>
      </c>
      <c r="HC121" s="208">
        <v>0</v>
      </c>
      <c r="HD121" s="208">
        <v>-7061956</v>
      </c>
      <c r="HE121" s="208">
        <v>27551821</v>
      </c>
      <c r="HF121" s="208">
        <v>0</v>
      </c>
      <c r="HG121" s="208">
        <v>27551821</v>
      </c>
      <c r="HH121" s="187" t="s">
        <v>1054</v>
      </c>
    </row>
    <row r="122" spans="2:216" s="187" customFormat="1" x14ac:dyDescent="0.2">
      <c r="B122" s="429" t="s">
        <v>321</v>
      </c>
      <c r="C122" s="429" t="s">
        <v>320</v>
      </c>
      <c r="D122" s="208">
        <v>-10120919</v>
      </c>
      <c r="E122" s="208">
        <v>0</v>
      </c>
      <c r="F122" s="208">
        <v>-10120919</v>
      </c>
      <c r="G122" s="208">
        <v>-158739</v>
      </c>
      <c r="H122" s="208">
        <v>0</v>
      </c>
      <c r="I122" s="208">
        <v>-158739</v>
      </c>
      <c r="J122" s="208">
        <v>870209</v>
      </c>
      <c r="K122" s="208">
        <v>0</v>
      </c>
      <c r="L122" s="208">
        <v>870209</v>
      </c>
      <c r="M122" s="208">
        <v>-110496</v>
      </c>
      <c r="N122" s="208">
        <v>0</v>
      </c>
      <c r="O122" s="208">
        <v>-110496</v>
      </c>
      <c r="P122" s="208">
        <v>-9519945</v>
      </c>
      <c r="Q122" s="208">
        <v>0</v>
      </c>
      <c r="R122" s="208">
        <v>-9519945</v>
      </c>
      <c r="S122" s="208">
        <v>-4972692</v>
      </c>
      <c r="T122" s="208">
        <v>0</v>
      </c>
      <c r="U122" s="208">
        <v>-4972692</v>
      </c>
      <c r="V122" s="208">
        <v>-7923</v>
      </c>
      <c r="W122" s="208">
        <v>0</v>
      </c>
      <c r="X122" s="208">
        <v>-7923</v>
      </c>
      <c r="Y122" s="208">
        <v>-198198</v>
      </c>
      <c r="Z122" s="208">
        <v>0</v>
      </c>
      <c r="AA122" s="208">
        <v>-198198</v>
      </c>
      <c r="AB122" s="208">
        <v>-47003</v>
      </c>
      <c r="AC122" s="208">
        <v>0</v>
      </c>
      <c r="AD122" s="208">
        <v>-47003</v>
      </c>
      <c r="AE122" s="208">
        <v>-141989</v>
      </c>
      <c r="AF122" s="208">
        <v>0</v>
      </c>
      <c r="AG122" s="208">
        <v>-141989</v>
      </c>
      <c r="AH122" s="208">
        <v>0</v>
      </c>
      <c r="AI122" s="208">
        <v>0</v>
      </c>
      <c r="AJ122" s="208">
        <v>0</v>
      </c>
      <c r="AK122" s="208">
        <v>0</v>
      </c>
      <c r="AL122" s="208">
        <v>0</v>
      </c>
      <c r="AM122" s="208">
        <v>0</v>
      </c>
      <c r="AN122" s="208">
        <v>6419514</v>
      </c>
      <c r="AO122" s="208">
        <v>0</v>
      </c>
      <c r="AP122" s="208">
        <v>6419514</v>
      </c>
      <c r="AQ122" s="208">
        <v>-68682</v>
      </c>
      <c r="AR122" s="208">
        <v>0</v>
      </c>
      <c r="AS122" s="208">
        <v>-68682</v>
      </c>
      <c r="AT122" s="208">
        <v>-12137615</v>
      </c>
      <c r="AU122" s="208">
        <v>0</v>
      </c>
      <c r="AV122" s="208">
        <v>-12137615</v>
      </c>
      <c r="AW122" s="208">
        <v>423876.96</v>
      </c>
      <c r="AX122" s="208">
        <v>0</v>
      </c>
      <c r="AY122" s="208">
        <v>423876.96</v>
      </c>
      <c r="AZ122" s="208">
        <v>0</v>
      </c>
      <c r="BA122" s="208">
        <v>0</v>
      </c>
      <c r="BB122" s="208">
        <v>0</v>
      </c>
      <c r="BC122" s="208">
        <v>0</v>
      </c>
      <c r="BD122" s="208">
        <v>0</v>
      </c>
      <c r="BE122" s="208">
        <v>0</v>
      </c>
      <c r="BF122" s="208">
        <v>0</v>
      </c>
      <c r="BG122" s="208">
        <v>0</v>
      </c>
      <c r="BH122" s="208">
        <v>0</v>
      </c>
      <c r="BI122" s="208">
        <v>0</v>
      </c>
      <c r="BJ122" s="208">
        <v>0</v>
      </c>
      <c r="BK122" s="208">
        <v>0</v>
      </c>
      <c r="BL122" s="208">
        <v>-10533796</v>
      </c>
      <c r="BM122" s="208">
        <v>0</v>
      </c>
      <c r="BN122" s="208">
        <v>-10533796</v>
      </c>
      <c r="BO122" s="208">
        <v>-180371</v>
      </c>
      <c r="BP122" s="208">
        <v>0</v>
      </c>
      <c r="BQ122" s="208">
        <v>-180371</v>
      </c>
      <c r="BR122" s="208">
        <v>-83179</v>
      </c>
      <c r="BS122" s="208">
        <v>0</v>
      </c>
      <c r="BT122" s="208">
        <v>-83179</v>
      </c>
      <c r="BU122" s="208">
        <v>-9587403</v>
      </c>
      <c r="BV122" s="208">
        <v>0</v>
      </c>
      <c r="BW122" s="208">
        <v>-9587403</v>
      </c>
      <c r="BX122" s="208">
        <v>-1148497</v>
      </c>
      <c r="BY122" s="208">
        <v>0</v>
      </c>
      <c r="BZ122" s="208">
        <v>-1148497</v>
      </c>
      <c r="CA122" s="208">
        <v>-10999450</v>
      </c>
      <c r="CB122" s="208">
        <v>0</v>
      </c>
      <c r="CC122" s="208">
        <v>-10999450</v>
      </c>
      <c r="CD122" s="208">
        <v>-80834</v>
      </c>
      <c r="CE122" s="208">
        <v>0</v>
      </c>
      <c r="CF122" s="208">
        <v>-80834</v>
      </c>
      <c r="CG122" s="208">
        <v>0</v>
      </c>
      <c r="CH122" s="208">
        <v>0</v>
      </c>
      <c r="CI122" s="208">
        <v>0</v>
      </c>
      <c r="CJ122" s="208">
        <v>-83717</v>
      </c>
      <c r="CK122" s="208">
        <v>0</v>
      </c>
      <c r="CL122" s="208">
        <v>-83717</v>
      </c>
      <c r="CM122" s="208">
        <v>0</v>
      </c>
      <c r="CN122" s="208">
        <v>0</v>
      </c>
      <c r="CO122" s="208">
        <v>0</v>
      </c>
      <c r="CP122" s="208">
        <v>0</v>
      </c>
      <c r="CQ122" s="208">
        <v>0</v>
      </c>
      <c r="CR122" s="208">
        <v>0</v>
      </c>
      <c r="CS122" s="208">
        <v>0</v>
      </c>
      <c r="CT122" s="208">
        <v>0</v>
      </c>
      <c r="CU122" s="208">
        <v>0</v>
      </c>
      <c r="CV122" s="208">
        <v>0</v>
      </c>
      <c r="CW122" s="208">
        <v>0</v>
      </c>
      <c r="CX122" s="208">
        <v>0</v>
      </c>
      <c r="CY122" s="208">
        <v>0</v>
      </c>
      <c r="CZ122" s="208">
        <v>0</v>
      </c>
      <c r="DA122" s="208">
        <v>0</v>
      </c>
      <c r="DB122" s="208">
        <v>0</v>
      </c>
      <c r="DC122" s="208">
        <v>0</v>
      </c>
      <c r="DD122" s="208">
        <v>0</v>
      </c>
      <c r="DE122" s="208">
        <v>0</v>
      </c>
      <c r="DF122" s="208">
        <v>0</v>
      </c>
      <c r="DG122" s="208">
        <v>0</v>
      </c>
      <c r="DH122" s="208">
        <v>0</v>
      </c>
      <c r="DI122" s="208">
        <v>0</v>
      </c>
      <c r="DJ122" s="208">
        <v>0</v>
      </c>
      <c r="DK122" s="208">
        <v>0</v>
      </c>
      <c r="DL122" s="208">
        <v>0</v>
      </c>
      <c r="DM122" s="208">
        <v>0</v>
      </c>
      <c r="DN122" s="208">
        <v>0</v>
      </c>
      <c r="DO122" s="208">
        <v>0</v>
      </c>
      <c r="DP122" s="208">
        <v>-164551</v>
      </c>
      <c r="DQ122" s="208">
        <v>0</v>
      </c>
      <c r="DR122" s="208">
        <v>-164551</v>
      </c>
      <c r="DS122" s="208">
        <v>0</v>
      </c>
      <c r="DT122" s="208">
        <v>0</v>
      </c>
      <c r="DU122" s="208">
        <v>0</v>
      </c>
      <c r="DV122" s="208">
        <v>42884</v>
      </c>
      <c r="DW122" s="208">
        <v>0</v>
      </c>
      <c r="DX122" s="208">
        <v>42884</v>
      </c>
      <c r="DY122" s="208">
        <v>0</v>
      </c>
      <c r="DZ122" s="208">
        <v>0</v>
      </c>
      <c r="EA122" s="208">
        <v>0</v>
      </c>
      <c r="EB122" s="208">
        <v>0</v>
      </c>
      <c r="EC122" s="208">
        <v>0</v>
      </c>
      <c r="ED122" s="208">
        <v>0</v>
      </c>
      <c r="EE122" s="208">
        <v>0</v>
      </c>
      <c r="EF122" s="208">
        <v>0</v>
      </c>
      <c r="EG122" s="208">
        <v>0</v>
      </c>
      <c r="EH122" s="208">
        <v>0</v>
      </c>
      <c r="EI122" s="208">
        <v>0</v>
      </c>
      <c r="EJ122" s="208">
        <v>0</v>
      </c>
      <c r="EK122" s="208">
        <v>0</v>
      </c>
      <c r="EL122" s="208">
        <v>0</v>
      </c>
      <c r="EM122" s="208">
        <v>0</v>
      </c>
      <c r="EN122" s="208">
        <v>0</v>
      </c>
      <c r="EO122" s="208">
        <v>0</v>
      </c>
      <c r="EP122" s="208">
        <v>0</v>
      </c>
      <c r="EQ122" s="208">
        <v>0</v>
      </c>
      <c r="ER122" s="208">
        <v>0</v>
      </c>
      <c r="ES122" s="208">
        <v>0</v>
      </c>
      <c r="ET122" s="208">
        <v>0</v>
      </c>
      <c r="EU122" s="208">
        <v>0</v>
      </c>
      <c r="EV122" s="208">
        <v>0</v>
      </c>
      <c r="EW122" s="208">
        <v>-48006</v>
      </c>
      <c r="EX122" s="208">
        <v>0</v>
      </c>
      <c r="EY122" s="208">
        <v>-48006</v>
      </c>
      <c r="EZ122" s="208">
        <v>-62668</v>
      </c>
      <c r="FA122" s="208">
        <v>0</v>
      </c>
      <c r="FB122" s="208">
        <v>-62668</v>
      </c>
      <c r="FC122" s="208">
        <v>-1065481</v>
      </c>
      <c r="FD122" s="208">
        <v>0</v>
      </c>
      <c r="FE122" s="208">
        <v>-1065481</v>
      </c>
      <c r="FF122" s="208">
        <v>-195570</v>
      </c>
      <c r="FG122" s="208">
        <v>0</v>
      </c>
      <c r="FH122" s="208">
        <v>-195570</v>
      </c>
      <c r="FI122" s="208">
        <v>-23754</v>
      </c>
      <c r="FJ122" s="208">
        <v>0</v>
      </c>
      <c r="FK122" s="208">
        <v>-23754</v>
      </c>
      <c r="FL122" s="208">
        <v>-1000</v>
      </c>
      <c r="FM122" s="208">
        <v>0</v>
      </c>
      <c r="FN122" s="208">
        <v>-1000</v>
      </c>
      <c r="FO122" s="208">
        <v>0</v>
      </c>
      <c r="FP122" s="208">
        <v>0</v>
      </c>
      <c r="FQ122" s="208">
        <v>0</v>
      </c>
      <c r="FR122" s="208">
        <v>0</v>
      </c>
      <c r="FS122" s="208">
        <v>0</v>
      </c>
      <c r="FT122" s="208">
        <v>0</v>
      </c>
      <c r="FU122" s="208">
        <v>-1353595</v>
      </c>
      <c r="FV122" s="208">
        <v>0</v>
      </c>
      <c r="FW122" s="208">
        <v>-1353595</v>
      </c>
      <c r="FX122" s="208">
        <v>0</v>
      </c>
      <c r="FY122" s="208">
        <v>0</v>
      </c>
      <c r="FZ122" s="208">
        <v>0</v>
      </c>
      <c r="GA122" s="208">
        <v>0</v>
      </c>
      <c r="GB122" s="208">
        <v>0</v>
      </c>
      <c r="GC122" s="208">
        <v>0</v>
      </c>
      <c r="GD122" s="208">
        <v>0</v>
      </c>
      <c r="GE122" s="208">
        <v>0</v>
      </c>
      <c r="GF122" s="208">
        <v>0</v>
      </c>
      <c r="GG122" s="208">
        <v>274874956</v>
      </c>
      <c r="GH122" s="208">
        <v>0</v>
      </c>
      <c r="GI122" s="208">
        <v>274874956</v>
      </c>
      <c r="GJ122" s="208">
        <v>-9519945</v>
      </c>
      <c r="GK122" s="208">
        <v>0</v>
      </c>
      <c r="GL122" s="208">
        <v>-9519945</v>
      </c>
      <c r="GM122" s="208">
        <v>-10533796</v>
      </c>
      <c r="GN122" s="208">
        <v>0</v>
      </c>
      <c r="GO122" s="208">
        <v>-10533796</v>
      </c>
      <c r="GP122" s="208">
        <v>-10999450</v>
      </c>
      <c r="GQ122" s="208">
        <v>0</v>
      </c>
      <c r="GR122" s="208">
        <v>-10999450</v>
      </c>
      <c r="GS122" s="208">
        <v>-164551</v>
      </c>
      <c r="GT122" s="208">
        <v>0</v>
      </c>
      <c r="GU122" s="208">
        <v>-164551</v>
      </c>
      <c r="GV122" s="208">
        <v>-1353595</v>
      </c>
      <c r="GW122" s="208">
        <v>0</v>
      </c>
      <c r="GX122" s="208">
        <v>-1353595</v>
      </c>
      <c r="GY122" s="208">
        <v>0</v>
      </c>
      <c r="GZ122" s="208">
        <v>0</v>
      </c>
      <c r="HA122" s="208">
        <v>0</v>
      </c>
      <c r="HB122" s="208">
        <v>-32571337</v>
      </c>
      <c r="HC122" s="208">
        <v>0</v>
      </c>
      <c r="HD122" s="208">
        <v>-32571337</v>
      </c>
      <c r="HE122" s="208">
        <v>242303619</v>
      </c>
      <c r="HF122" s="208">
        <v>0</v>
      </c>
      <c r="HG122" s="208">
        <v>242303619</v>
      </c>
      <c r="HH122" s="187" t="s">
        <v>1057</v>
      </c>
    </row>
    <row r="123" spans="2:216" s="187" customFormat="1" x14ac:dyDescent="0.2">
      <c r="B123" s="429" t="s">
        <v>323</v>
      </c>
      <c r="C123" s="429" t="s">
        <v>322</v>
      </c>
      <c r="D123" s="208">
        <v>-1443922</v>
      </c>
      <c r="E123" s="208">
        <v>0</v>
      </c>
      <c r="F123" s="208">
        <v>-1443922</v>
      </c>
      <c r="G123" s="208">
        <v>2544</v>
      </c>
      <c r="H123" s="208">
        <v>0</v>
      </c>
      <c r="I123" s="208">
        <v>2544</v>
      </c>
      <c r="J123" s="208">
        <v>129491</v>
      </c>
      <c r="K123" s="208">
        <v>0</v>
      </c>
      <c r="L123" s="208">
        <v>129491</v>
      </c>
      <c r="M123" s="208">
        <v>139577</v>
      </c>
      <c r="N123" s="208">
        <v>0</v>
      </c>
      <c r="O123" s="208">
        <v>139577</v>
      </c>
      <c r="P123" s="208">
        <v>-1172310</v>
      </c>
      <c r="Q123" s="208">
        <v>0</v>
      </c>
      <c r="R123" s="208">
        <v>-1172310</v>
      </c>
      <c r="S123" s="208">
        <v>-2933645</v>
      </c>
      <c r="T123" s="208">
        <v>0</v>
      </c>
      <c r="U123" s="208">
        <v>-2933645</v>
      </c>
      <c r="V123" s="208">
        <v>-4602</v>
      </c>
      <c r="W123" s="208">
        <v>0</v>
      </c>
      <c r="X123" s="208">
        <v>-4602</v>
      </c>
      <c r="Y123" s="208">
        <v>-172123</v>
      </c>
      <c r="Z123" s="208">
        <v>0</v>
      </c>
      <c r="AA123" s="208">
        <v>-172123</v>
      </c>
      <c r="AB123" s="208">
        <v>-79386</v>
      </c>
      <c r="AC123" s="208">
        <v>0</v>
      </c>
      <c r="AD123" s="208">
        <v>-79386</v>
      </c>
      <c r="AE123" s="208">
        <v>-77847</v>
      </c>
      <c r="AF123" s="208">
        <v>0</v>
      </c>
      <c r="AG123" s="208">
        <v>-77847</v>
      </c>
      <c r="AH123" s="208">
        <v>-1876</v>
      </c>
      <c r="AI123" s="208">
        <v>0</v>
      </c>
      <c r="AJ123" s="208">
        <v>-1876</v>
      </c>
      <c r="AK123" s="208">
        <v>-2309</v>
      </c>
      <c r="AL123" s="208">
        <v>0</v>
      </c>
      <c r="AM123" s="208">
        <v>-2309</v>
      </c>
      <c r="AN123" s="208">
        <v>1019386</v>
      </c>
      <c r="AO123" s="208">
        <v>0</v>
      </c>
      <c r="AP123" s="208">
        <v>1019386</v>
      </c>
      <c r="AQ123" s="208">
        <v>-12248</v>
      </c>
      <c r="AR123" s="208">
        <v>0</v>
      </c>
      <c r="AS123" s="208">
        <v>-12248</v>
      </c>
      <c r="AT123" s="208">
        <v>-2113335</v>
      </c>
      <c r="AU123" s="208">
        <v>0</v>
      </c>
      <c r="AV123" s="208">
        <v>-2113335</v>
      </c>
      <c r="AW123" s="208">
        <v>-2763</v>
      </c>
      <c r="AX123" s="208">
        <v>0</v>
      </c>
      <c r="AY123" s="208">
        <v>-2763</v>
      </c>
      <c r="AZ123" s="208">
        <v>-43202</v>
      </c>
      <c r="BA123" s="208">
        <v>0</v>
      </c>
      <c r="BB123" s="208">
        <v>-43202</v>
      </c>
      <c r="BC123" s="208">
        <v>0</v>
      </c>
      <c r="BD123" s="208">
        <v>0</v>
      </c>
      <c r="BE123" s="208">
        <v>0</v>
      </c>
      <c r="BF123" s="208">
        <v>-19697</v>
      </c>
      <c r="BG123" s="208">
        <v>0</v>
      </c>
      <c r="BH123" s="208">
        <v>-19697</v>
      </c>
      <c r="BI123" s="208">
        <v>0</v>
      </c>
      <c r="BJ123" s="208">
        <v>0</v>
      </c>
      <c r="BK123" s="208">
        <v>0</v>
      </c>
      <c r="BL123" s="208">
        <v>-4277627</v>
      </c>
      <c r="BM123" s="208">
        <v>0</v>
      </c>
      <c r="BN123" s="208">
        <v>-4277627</v>
      </c>
      <c r="BO123" s="208">
        <v>0</v>
      </c>
      <c r="BP123" s="208">
        <v>0</v>
      </c>
      <c r="BQ123" s="208">
        <v>0</v>
      </c>
      <c r="BR123" s="208">
        <v>-2260</v>
      </c>
      <c r="BS123" s="208">
        <v>0</v>
      </c>
      <c r="BT123" s="208">
        <v>-2260</v>
      </c>
      <c r="BU123" s="208">
        <v>-969270</v>
      </c>
      <c r="BV123" s="208">
        <v>0</v>
      </c>
      <c r="BW123" s="208">
        <v>-969270</v>
      </c>
      <c r="BX123" s="208">
        <v>-22078</v>
      </c>
      <c r="BY123" s="208">
        <v>0</v>
      </c>
      <c r="BZ123" s="208">
        <v>-22078</v>
      </c>
      <c r="CA123" s="208">
        <v>-993608</v>
      </c>
      <c r="CB123" s="208">
        <v>0</v>
      </c>
      <c r="CC123" s="208">
        <v>-993608</v>
      </c>
      <c r="CD123" s="208">
        <v>-28802</v>
      </c>
      <c r="CE123" s="208">
        <v>0</v>
      </c>
      <c r="CF123" s="208">
        <v>-28802</v>
      </c>
      <c r="CG123" s="208">
        <v>0</v>
      </c>
      <c r="CH123" s="208">
        <v>0</v>
      </c>
      <c r="CI123" s="208">
        <v>0</v>
      </c>
      <c r="CJ123" s="208">
        <v>-34283</v>
      </c>
      <c r="CK123" s="208">
        <v>0</v>
      </c>
      <c r="CL123" s="208">
        <v>-34283</v>
      </c>
      <c r="CM123" s="208">
        <v>0</v>
      </c>
      <c r="CN123" s="208">
        <v>0</v>
      </c>
      <c r="CO123" s="208">
        <v>0</v>
      </c>
      <c r="CP123" s="208">
        <v>-10800</v>
      </c>
      <c r="CQ123" s="208">
        <v>0</v>
      </c>
      <c r="CR123" s="208">
        <v>-10800</v>
      </c>
      <c r="CS123" s="208">
        <v>0</v>
      </c>
      <c r="CT123" s="208">
        <v>0</v>
      </c>
      <c r="CU123" s="208">
        <v>0</v>
      </c>
      <c r="CV123" s="208">
        <v>0</v>
      </c>
      <c r="CW123" s="208">
        <v>0</v>
      </c>
      <c r="CX123" s="208">
        <v>0</v>
      </c>
      <c r="CY123" s="208">
        <v>0</v>
      </c>
      <c r="CZ123" s="208">
        <v>0</v>
      </c>
      <c r="DA123" s="208">
        <v>0</v>
      </c>
      <c r="DB123" s="208">
        <v>-3240</v>
      </c>
      <c r="DC123" s="208">
        <v>0</v>
      </c>
      <c r="DD123" s="208">
        <v>-3240</v>
      </c>
      <c r="DE123" s="208">
        <v>0</v>
      </c>
      <c r="DF123" s="208">
        <v>0</v>
      </c>
      <c r="DG123" s="208">
        <v>0</v>
      </c>
      <c r="DH123" s="208">
        <v>0</v>
      </c>
      <c r="DI123" s="208">
        <v>0</v>
      </c>
      <c r="DJ123" s="208">
        <v>0</v>
      </c>
      <c r="DK123" s="208">
        <v>0</v>
      </c>
      <c r="DL123" s="208">
        <v>0</v>
      </c>
      <c r="DM123" s="208">
        <v>0</v>
      </c>
      <c r="DN123" s="208">
        <v>0</v>
      </c>
      <c r="DO123" s="208">
        <v>0</v>
      </c>
      <c r="DP123" s="208">
        <v>-77125</v>
      </c>
      <c r="DQ123" s="208">
        <v>0</v>
      </c>
      <c r="DR123" s="208">
        <v>-77125</v>
      </c>
      <c r="DS123" s="208">
        <v>0</v>
      </c>
      <c r="DT123" s="208">
        <v>0</v>
      </c>
      <c r="DU123" s="208">
        <v>0</v>
      </c>
      <c r="DV123" s="208">
        <v>0</v>
      </c>
      <c r="DW123" s="208">
        <v>0</v>
      </c>
      <c r="DX123" s="208">
        <v>0</v>
      </c>
      <c r="DY123" s="208">
        <v>4999</v>
      </c>
      <c r="DZ123" s="208">
        <v>0</v>
      </c>
      <c r="EA123" s="208">
        <v>4999</v>
      </c>
      <c r="EB123" s="208">
        <v>0</v>
      </c>
      <c r="EC123" s="208">
        <v>0</v>
      </c>
      <c r="ED123" s="208">
        <v>0</v>
      </c>
      <c r="EE123" s="208">
        <v>0</v>
      </c>
      <c r="EF123" s="208">
        <v>0</v>
      </c>
      <c r="EG123" s="208">
        <v>0</v>
      </c>
      <c r="EH123" s="208">
        <v>0</v>
      </c>
      <c r="EI123" s="208">
        <v>0</v>
      </c>
      <c r="EJ123" s="208">
        <v>0</v>
      </c>
      <c r="EK123" s="208">
        <v>-19697</v>
      </c>
      <c r="EL123" s="208">
        <v>0</v>
      </c>
      <c r="EM123" s="208">
        <v>-19697</v>
      </c>
      <c r="EN123" s="208">
        <v>0</v>
      </c>
      <c r="EO123" s="208">
        <v>0</v>
      </c>
      <c r="EP123" s="208">
        <v>0</v>
      </c>
      <c r="EQ123" s="208">
        <v>0</v>
      </c>
      <c r="ER123" s="208">
        <v>0</v>
      </c>
      <c r="ES123" s="208">
        <v>0</v>
      </c>
      <c r="ET123" s="208">
        <v>0</v>
      </c>
      <c r="EU123" s="208">
        <v>0</v>
      </c>
      <c r="EV123" s="208">
        <v>0</v>
      </c>
      <c r="EW123" s="208">
        <v>-48411</v>
      </c>
      <c r="EX123" s="208">
        <v>0</v>
      </c>
      <c r="EY123" s="208">
        <v>-48411</v>
      </c>
      <c r="EZ123" s="208">
        <v>0</v>
      </c>
      <c r="FA123" s="208">
        <v>0</v>
      </c>
      <c r="FB123" s="208">
        <v>0</v>
      </c>
      <c r="FC123" s="208">
        <v>-168843</v>
      </c>
      <c r="FD123" s="208">
        <v>0</v>
      </c>
      <c r="FE123" s="208">
        <v>-168843</v>
      </c>
      <c r="FF123" s="208">
        <v>1970</v>
      </c>
      <c r="FG123" s="208">
        <v>0</v>
      </c>
      <c r="FH123" s="208">
        <v>1970</v>
      </c>
      <c r="FI123" s="208">
        <v>-38827</v>
      </c>
      <c r="FJ123" s="208">
        <v>0</v>
      </c>
      <c r="FK123" s="208">
        <v>-38827</v>
      </c>
      <c r="FL123" s="208">
        <v>-1208</v>
      </c>
      <c r="FM123" s="208">
        <v>0</v>
      </c>
      <c r="FN123" s="208">
        <v>-1208</v>
      </c>
      <c r="FO123" s="208">
        <v>0</v>
      </c>
      <c r="FP123" s="208">
        <v>0</v>
      </c>
      <c r="FQ123" s="208">
        <v>0</v>
      </c>
      <c r="FR123" s="208">
        <v>0</v>
      </c>
      <c r="FS123" s="208">
        <v>0</v>
      </c>
      <c r="FT123" s="208">
        <v>0</v>
      </c>
      <c r="FU123" s="208">
        <v>-270017</v>
      </c>
      <c r="FV123" s="208">
        <v>0</v>
      </c>
      <c r="FW123" s="208">
        <v>-270017</v>
      </c>
      <c r="FX123" s="208">
        <v>0</v>
      </c>
      <c r="FY123" s="208">
        <v>0</v>
      </c>
      <c r="FZ123" s="208">
        <v>0</v>
      </c>
      <c r="GA123" s="208">
        <v>0</v>
      </c>
      <c r="GB123" s="208">
        <v>0</v>
      </c>
      <c r="GC123" s="208">
        <v>0</v>
      </c>
      <c r="GD123" s="208">
        <v>0</v>
      </c>
      <c r="GE123" s="208">
        <v>0</v>
      </c>
      <c r="GF123" s="208">
        <v>0</v>
      </c>
      <c r="GG123" s="208">
        <v>50454216</v>
      </c>
      <c r="GH123" s="208">
        <v>0</v>
      </c>
      <c r="GI123" s="208">
        <v>50454216</v>
      </c>
      <c r="GJ123" s="208">
        <v>-1172310</v>
      </c>
      <c r="GK123" s="208">
        <v>0</v>
      </c>
      <c r="GL123" s="208">
        <v>-1172310</v>
      </c>
      <c r="GM123" s="208">
        <v>-4277627</v>
      </c>
      <c r="GN123" s="208">
        <v>0</v>
      </c>
      <c r="GO123" s="208">
        <v>-4277627</v>
      </c>
      <c r="GP123" s="208">
        <v>-993608</v>
      </c>
      <c r="GQ123" s="208">
        <v>0</v>
      </c>
      <c r="GR123" s="208">
        <v>-993608</v>
      </c>
      <c r="GS123" s="208">
        <v>-77125</v>
      </c>
      <c r="GT123" s="208">
        <v>0</v>
      </c>
      <c r="GU123" s="208">
        <v>-77125</v>
      </c>
      <c r="GV123" s="208">
        <v>-270017</v>
      </c>
      <c r="GW123" s="208">
        <v>0</v>
      </c>
      <c r="GX123" s="208">
        <v>-270017</v>
      </c>
      <c r="GY123" s="208">
        <v>0</v>
      </c>
      <c r="GZ123" s="208">
        <v>0</v>
      </c>
      <c r="HA123" s="208">
        <v>0</v>
      </c>
      <c r="HB123" s="208">
        <v>-6790687</v>
      </c>
      <c r="HC123" s="208">
        <v>0</v>
      </c>
      <c r="HD123" s="208">
        <v>-6790687</v>
      </c>
      <c r="HE123" s="208">
        <v>43663529</v>
      </c>
      <c r="HF123" s="208">
        <v>0</v>
      </c>
      <c r="HG123" s="208">
        <v>43663529</v>
      </c>
      <c r="HH123" s="187" t="s">
        <v>1054</v>
      </c>
    </row>
    <row r="124" spans="2:216" s="187" customFormat="1" x14ac:dyDescent="0.2">
      <c r="B124" s="429" t="s">
        <v>325</v>
      </c>
      <c r="C124" s="429" t="s">
        <v>324</v>
      </c>
      <c r="D124" s="208">
        <v>-4961971</v>
      </c>
      <c r="E124" s="208">
        <v>0</v>
      </c>
      <c r="F124" s="208">
        <v>-4961971</v>
      </c>
      <c r="G124" s="208">
        <v>73043</v>
      </c>
      <c r="H124" s="208">
        <v>0</v>
      </c>
      <c r="I124" s="208">
        <v>73043</v>
      </c>
      <c r="J124" s="208">
        <v>758578</v>
      </c>
      <c r="K124" s="208">
        <v>0</v>
      </c>
      <c r="L124" s="208">
        <v>758578</v>
      </c>
      <c r="M124" s="208">
        <v>-90680</v>
      </c>
      <c r="N124" s="208">
        <v>0</v>
      </c>
      <c r="O124" s="208">
        <v>-90680</v>
      </c>
      <c r="P124" s="208">
        <v>-4221030</v>
      </c>
      <c r="Q124" s="208">
        <v>0</v>
      </c>
      <c r="R124" s="208">
        <v>-4221030</v>
      </c>
      <c r="S124" s="208">
        <v>-8218926</v>
      </c>
      <c r="T124" s="208">
        <v>0</v>
      </c>
      <c r="U124" s="208">
        <v>-8218926</v>
      </c>
      <c r="V124" s="208">
        <v>-10979</v>
      </c>
      <c r="W124" s="208">
        <v>0</v>
      </c>
      <c r="X124" s="208">
        <v>-10979</v>
      </c>
      <c r="Y124" s="208">
        <v>-99948</v>
      </c>
      <c r="Z124" s="208">
        <v>0</v>
      </c>
      <c r="AA124" s="208">
        <v>-99948</v>
      </c>
      <c r="AB124" s="208">
        <v>-18376.12</v>
      </c>
      <c r="AC124" s="208">
        <v>0</v>
      </c>
      <c r="AD124" s="208">
        <v>-18376.12</v>
      </c>
      <c r="AE124" s="208">
        <v>-74538</v>
      </c>
      <c r="AF124" s="208">
        <v>0</v>
      </c>
      <c r="AG124" s="208">
        <v>-74538</v>
      </c>
      <c r="AH124" s="208">
        <v>-1325.45</v>
      </c>
      <c r="AI124" s="208">
        <v>0</v>
      </c>
      <c r="AJ124" s="208">
        <v>-1325.45</v>
      </c>
      <c r="AK124" s="208">
        <v>-5708.71</v>
      </c>
      <c r="AL124" s="208">
        <v>0</v>
      </c>
      <c r="AM124" s="208">
        <v>-5708.71</v>
      </c>
      <c r="AN124" s="208">
        <v>1568536</v>
      </c>
      <c r="AO124" s="208">
        <v>0</v>
      </c>
      <c r="AP124" s="208">
        <v>1568536</v>
      </c>
      <c r="AQ124" s="208">
        <v>145078</v>
      </c>
      <c r="AR124" s="208">
        <v>0</v>
      </c>
      <c r="AS124" s="208">
        <v>145078</v>
      </c>
      <c r="AT124" s="208">
        <v>-7019963</v>
      </c>
      <c r="AU124" s="208">
        <v>0</v>
      </c>
      <c r="AV124" s="208">
        <v>-7019963</v>
      </c>
      <c r="AW124" s="208">
        <v>-2159772</v>
      </c>
      <c r="AX124" s="208">
        <v>0</v>
      </c>
      <c r="AY124" s="208">
        <v>-2159772</v>
      </c>
      <c r="AZ124" s="208">
        <v>-34099</v>
      </c>
      <c r="BA124" s="208">
        <v>0</v>
      </c>
      <c r="BB124" s="208">
        <v>-34099</v>
      </c>
      <c r="BC124" s="208">
        <v>0</v>
      </c>
      <c r="BD124" s="208">
        <v>0</v>
      </c>
      <c r="BE124" s="208">
        <v>0</v>
      </c>
      <c r="BF124" s="208">
        <v>0</v>
      </c>
      <c r="BG124" s="208">
        <v>0</v>
      </c>
      <c r="BH124" s="208">
        <v>0</v>
      </c>
      <c r="BI124" s="208">
        <v>0</v>
      </c>
      <c r="BJ124" s="208">
        <v>0</v>
      </c>
      <c r="BK124" s="208">
        <v>0</v>
      </c>
      <c r="BL124" s="208">
        <v>-15819094</v>
      </c>
      <c r="BM124" s="208">
        <v>0</v>
      </c>
      <c r="BN124" s="208">
        <v>-15819094</v>
      </c>
      <c r="BO124" s="208">
        <v>-154231</v>
      </c>
      <c r="BP124" s="208">
        <v>0</v>
      </c>
      <c r="BQ124" s="208">
        <v>-154231</v>
      </c>
      <c r="BR124" s="208">
        <v>15969</v>
      </c>
      <c r="BS124" s="208">
        <v>0</v>
      </c>
      <c r="BT124" s="208">
        <v>15969</v>
      </c>
      <c r="BU124" s="208">
        <v>-1635651</v>
      </c>
      <c r="BV124" s="208">
        <v>0</v>
      </c>
      <c r="BW124" s="208">
        <v>-1635651</v>
      </c>
      <c r="BX124" s="208">
        <v>-226173</v>
      </c>
      <c r="BY124" s="208">
        <v>0</v>
      </c>
      <c r="BZ124" s="208">
        <v>-226173</v>
      </c>
      <c r="CA124" s="208">
        <v>-2000086</v>
      </c>
      <c r="CB124" s="208">
        <v>0</v>
      </c>
      <c r="CC124" s="208">
        <v>-2000086</v>
      </c>
      <c r="CD124" s="208">
        <v>-380891</v>
      </c>
      <c r="CE124" s="208">
        <v>0</v>
      </c>
      <c r="CF124" s="208">
        <v>-380891</v>
      </c>
      <c r="CG124" s="208">
        <v>-10554</v>
      </c>
      <c r="CH124" s="208">
        <v>0</v>
      </c>
      <c r="CI124" s="208">
        <v>-10554</v>
      </c>
      <c r="CJ124" s="208">
        <v>-314357</v>
      </c>
      <c r="CK124" s="208">
        <v>0</v>
      </c>
      <c r="CL124" s="208">
        <v>-314357</v>
      </c>
      <c r="CM124" s="208">
        <v>-27891</v>
      </c>
      <c r="CN124" s="208">
        <v>0</v>
      </c>
      <c r="CO124" s="208">
        <v>-27891</v>
      </c>
      <c r="CP124" s="208">
        <v>0</v>
      </c>
      <c r="CQ124" s="208">
        <v>0</v>
      </c>
      <c r="CR124" s="208">
        <v>0</v>
      </c>
      <c r="CS124" s="208">
        <v>0</v>
      </c>
      <c r="CT124" s="208">
        <v>0</v>
      </c>
      <c r="CU124" s="208">
        <v>0</v>
      </c>
      <c r="CV124" s="208">
        <v>0</v>
      </c>
      <c r="CW124" s="208">
        <v>0</v>
      </c>
      <c r="CX124" s="208">
        <v>0</v>
      </c>
      <c r="CY124" s="208">
        <v>0</v>
      </c>
      <c r="CZ124" s="208">
        <v>0</v>
      </c>
      <c r="DA124" s="208">
        <v>0</v>
      </c>
      <c r="DB124" s="208">
        <v>0</v>
      </c>
      <c r="DC124" s="208">
        <v>0</v>
      </c>
      <c r="DD124" s="208">
        <v>0</v>
      </c>
      <c r="DE124" s="208">
        <v>0</v>
      </c>
      <c r="DF124" s="208">
        <v>0</v>
      </c>
      <c r="DG124" s="208">
        <v>0</v>
      </c>
      <c r="DH124" s="208">
        <v>0</v>
      </c>
      <c r="DI124" s="208">
        <v>0</v>
      </c>
      <c r="DJ124" s="208">
        <v>0</v>
      </c>
      <c r="DK124" s="208">
        <v>0</v>
      </c>
      <c r="DL124" s="208">
        <v>0</v>
      </c>
      <c r="DM124" s="208">
        <v>0</v>
      </c>
      <c r="DN124" s="208">
        <v>0</v>
      </c>
      <c r="DO124" s="208">
        <v>0</v>
      </c>
      <c r="DP124" s="208">
        <v>-733693</v>
      </c>
      <c r="DQ124" s="208">
        <v>0</v>
      </c>
      <c r="DR124" s="208">
        <v>-733693</v>
      </c>
      <c r="DS124" s="208">
        <v>-13480</v>
      </c>
      <c r="DT124" s="208">
        <v>0</v>
      </c>
      <c r="DU124" s="208">
        <v>-13480</v>
      </c>
      <c r="DV124" s="208">
        <v>0</v>
      </c>
      <c r="DW124" s="208">
        <v>0</v>
      </c>
      <c r="DX124" s="208">
        <v>0</v>
      </c>
      <c r="DY124" s="208">
        <v>9243</v>
      </c>
      <c r="DZ124" s="208">
        <v>0</v>
      </c>
      <c r="EA124" s="208">
        <v>9243</v>
      </c>
      <c r="EB124" s="208">
        <v>0</v>
      </c>
      <c r="EC124" s="208">
        <v>0</v>
      </c>
      <c r="ED124" s="208">
        <v>0</v>
      </c>
      <c r="EE124" s="208">
        <v>0</v>
      </c>
      <c r="EF124" s="208">
        <v>0</v>
      </c>
      <c r="EG124" s="208">
        <v>0</v>
      </c>
      <c r="EH124" s="208">
        <v>0</v>
      </c>
      <c r="EI124" s="208">
        <v>0</v>
      </c>
      <c r="EJ124" s="208">
        <v>0</v>
      </c>
      <c r="EK124" s="208">
        <v>0</v>
      </c>
      <c r="EL124" s="208">
        <v>0</v>
      </c>
      <c r="EM124" s="208">
        <v>0</v>
      </c>
      <c r="EN124" s="208">
        <v>0</v>
      </c>
      <c r="EO124" s="208">
        <v>0</v>
      </c>
      <c r="EP124" s="208">
        <v>0</v>
      </c>
      <c r="EQ124" s="208">
        <v>0</v>
      </c>
      <c r="ER124" s="208">
        <v>0</v>
      </c>
      <c r="ES124" s="208">
        <v>0</v>
      </c>
      <c r="ET124" s="208">
        <v>0</v>
      </c>
      <c r="EU124" s="208">
        <v>0</v>
      </c>
      <c r="EV124" s="208">
        <v>0</v>
      </c>
      <c r="EW124" s="208">
        <v>-67564</v>
      </c>
      <c r="EX124" s="208">
        <v>0</v>
      </c>
      <c r="EY124" s="208">
        <v>-67564</v>
      </c>
      <c r="EZ124" s="208">
        <v>5498</v>
      </c>
      <c r="FA124" s="208">
        <v>0</v>
      </c>
      <c r="FB124" s="208">
        <v>5498</v>
      </c>
      <c r="FC124" s="208">
        <v>-567597</v>
      </c>
      <c r="FD124" s="208">
        <v>0</v>
      </c>
      <c r="FE124" s="208">
        <v>-567597</v>
      </c>
      <c r="FF124" s="208">
        <v>12297</v>
      </c>
      <c r="FG124" s="208">
        <v>0</v>
      </c>
      <c r="FH124" s="208">
        <v>12297</v>
      </c>
      <c r="FI124" s="208">
        <v>-31000</v>
      </c>
      <c r="FJ124" s="208">
        <v>0</v>
      </c>
      <c r="FK124" s="208">
        <v>-31000</v>
      </c>
      <c r="FL124" s="208">
        <v>4000</v>
      </c>
      <c r="FM124" s="208">
        <v>0</v>
      </c>
      <c r="FN124" s="208">
        <v>4000</v>
      </c>
      <c r="FO124" s="208">
        <v>0</v>
      </c>
      <c r="FP124" s="208">
        <v>0</v>
      </c>
      <c r="FQ124" s="208">
        <v>0</v>
      </c>
      <c r="FR124" s="208">
        <v>0</v>
      </c>
      <c r="FS124" s="208">
        <v>0</v>
      </c>
      <c r="FT124" s="208">
        <v>0</v>
      </c>
      <c r="FU124" s="208">
        <v>-648603</v>
      </c>
      <c r="FV124" s="208">
        <v>0</v>
      </c>
      <c r="FW124" s="208">
        <v>-648603</v>
      </c>
      <c r="FX124" s="208">
        <v>0</v>
      </c>
      <c r="FY124" s="208">
        <v>0</v>
      </c>
      <c r="FZ124" s="208">
        <v>0</v>
      </c>
      <c r="GA124" s="208">
        <v>-1628</v>
      </c>
      <c r="GB124" s="208">
        <v>0</v>
      </c>
      <c r="GC124" s="208">
        <v>-1628</v>
      </c>
      <c r="GD124" s="208">
        <v>-1628</v>
      </c>
      <c r="GE124" s="208">
        <v>0</v>
      </c>
      <c r="GF124" s="208">
        <v>-1628</v>
      </c>
      <c r="GG124" s="208">
        <v>93679956</v>
      </c>
      <c r="GH124" s="208">
        <v>0</v>
      </c>
      <c r="GI124" s="208">
        <v>93679956</v>
      </c>
      <c r="GJ124" s="208">
        <v>-4221030</v>
      </c>
      <c r="GK124" s="208">
        <v>0</v>
      </c>
      <c r="GL124" s="208">
        <v>-4221030</v>
      </c>
      <c r="GM124" s="208">
        <v>-15819094</v>
      </c>
      <c r="GN124" s="208">
        <v>0</v>
      </c>
      <c r="GO124" s="208">
        <v>-15819094</v>
      </c>
      <c r="GP124" s="208">
        <v>-2000086</v>
      </c>
      <c r="GQ124" s="208">
        <v>0</v>
      </c>
      <c r="GR124" s="208">
        <v>-2000086</v>
      </c>
      <c r="GS124" s="208">
        <v>-733693</v>
      </c>
      <c r="GT124" s="208">
        <v>0</v>
      </c>
      <c r="GU124" s="208">
        <v>-733693</v>
      </c>
      <c r="GV124" s="208">
        <v>-648603</v>
      </c>
      <c r="GW124" s="208">
        <v>0</v>
      </c>
      <c r="GX124" s="208">
        <v>-648603</v>
      </c>
      <c r="GY124" s="208">
        <v>-1628</v>
      </c>
      <c r="GZ124" s="208">
        <v>0</v>
      </c>
      <c r="HA124" s="208">
        <v>-1628</v>
      </c>
      <c r="HB124" s="208">
        <v>-23424134</v>
      </c>
      <c r="HC124" s="208">
        <v>0</v>
      </c>
      <c r="HD124" s="208">
        <v>-23424134</v>
      </c>
      <c r="HE124" s="208">
        <v>70255822</v>
      </c>
      <c r="HF124" s="208">
        <v>0</v>
      </c>
      <c r="HG124" s="208">
        <v>70255822</v>
      </c>
      <c r="HH124" s="187" t="s">
        <v>1055</v>
      </c>
    </row>
    <row r="125" spans="2:216" s="187" customFormat="1" x14ac:dyDescent="0.2">
      <c r="B125" s="429" t="s">
        <v>327</v>
      </c>
      <c r="C125" s="429" t="s">
        <v>326</v>
      </c>
      <c r="D125" s="208">
        <v>-345606</v>
      </c>
      <c r="E125" s="208">
        <v>-1993</v>
      </c>
      <c r="F125" s="208">
        <v>-347599</v>
      </c>
      <c r="G125" s="208">
        <v>9409</v>
      </c>
      <c r="H125" s="208">
        <v>0</v>
      </c>
      <c r="I125" s="208">
        <v>9409</v>
      </c>
      <c r="J125" s="208">
        <v>926968</v>
      </c>
      <c r="K125" s="208">
        <v>0</v>
      </c>
      <c r="L125" s="208">
        <v>926968</v>
      </c>
      <c r="M125" s="208">
        <v>52246</v>
      </c>
      <c r="N125" s="208">
        <v>-3906</v>
      </c>
      <c r="O125" s="208">
        <v>48340</v>
      </c>
      <c r="P125" s="208">
        <v>643017</v>
      </c>
      <c r="Q125" s="208">
        <v>-5899</v>
      </c>
      <c r="R125" s="208">
        <v>637118</v>
      </c>
      <c r="S125" s="208">
        <v>-1757114</v>
      </c>
      <c r="T125" s="208">
        <v>-102048</v>
      </c>
      <c r="U125" s="208">
        <v>-1859162</v>
      </c>
      <c r="V125" s="208">
        <v>0</v>
      </c>
      <c r="W125" s="208">
        <v>0</v>
      </c>
      <c r="X125" s="208">
        <v>0</v>
      </c>
      <c r="Y125" s="208">
        <v>-60440</v>
      </c>
      <c r="Z125" s="208">
        <v>-2669</v>
      </c>
      <c r="AA125" s="208">
        <v>-63109</v>
      </c>
      <c r="AB125" s="208">
        <v>-2258</v>
      </c>
      <c r="AC125" s="208">
        <v>0</v>
      </c>
      <c r="AD125" s="208">
        <v>-2258</v>
      </c>
      <c r="AE125" s="208">
        <v>-57964</v>
      </c>
      <c r="AF125" s="208">
        <v>-2699</v>
      </c>
      <c r="AG125" s="208">
        <v>-60663</v>
      </c>
      <c r="AH125" s="208">
        <v>0</v>
      </c>
      <c r="AI125" s="208">
        <v>0</v>
      </c>
      <c r="AJ125" s="208">
        <v>0</v>
      </c>
      <c r="AK125" s="208">
        <v>0</v>
      </c>
      <c r="AL125" s="208">
        <v>0</v>
      </c>
      <c r="AM125" s="208">
        <v>0</v>
      </c>
      <c r="AN125" s="208">
        <v>1040976</v>
      </c>
      <c r="AO125" s="208">
        <v>104772</v>
      </c>
      <c r="AP125" s="208">
        <v>1145748</v>
      </c>
      <c r="AQ125" s="208">
        <v>-15511</v>
      </c>
      <c r="AR125" s="208">
        <v>-974</v>
      </c>
      <c r="AS125" s="208">
        <v>-16485</v>
      </c>
      <c r="AT125" s="208">
        <v>-2867286</v>
      </c>
      <c r="AU125" s="208">
        <v>0</v>
      </c>
      <c r="AV125" s="208">
        <v>-2867286</v>
      </c>
      <c r="AW125" s="208">
        <v>-2282</v>
      </c>
      <c r="AX125" s="208">
        <v>0</v>
      </c>
      <c r="AY125" s="208">
        <v>-2282</v>
      </c>
      <c r="AZ125" s="208">
        <v>-68921</v>
      </c>
      <c r="BA125" s="208">
        <v>0</v>
      </c>
      <c r="BB125" s="208">
        <v>-68921</v>
      </c>
      <c r="BC125" s="208">
        <v>-12415</v>
      </c>
      <c r="BD125" s="208">
        <v>0</v>
      </c>
      <c r="BE125" s="208">
        <v>-12415</v>
      </c>
      <c r="BF125" s="208">
        <v>0</v>
      </c>
      <c r="BG125" s="208">
        <v>0</v>
      </c>
      <c r="BH125" s="208">
        <v>0</v>
      </c>
      <c r="BI125" s="208">
        <v>0</v>
      </c>
      <c r="BJ125" s="208">
        <v>0</v>
      </c>
      <c r="BK125" s="208">
        <v>0</v>
      </c>
      <c r="BL125" s="208">
        <v>-3742993</v>
      </c>
      <c r="BM125" s="208">
        <v>-919</v>
      </c>
      <c r="BN125" s="208">
        <v>-3743912</v>
      </c>
      <c r="BO125" s="208">
        <v>-6819</v>
      </c>
      <c r="BP125" s="208">
        <v>-44512</v>
      </c>
      <c r="BQ125" s="208">
        <v>-51331</v>
      </c>
      <c r="BR125" s="208">
        <v>-591</v>
      </c>
      <c r="BS125" s="208">
        <v>-34060</v>
      </c>
      <c r="BT125" s="208">
        <v>-34651</v>
      </c>
      <c r="BU125" s="208">
        <v>-1229973</v>
      </c>
      <c r="BV125" s="208">
        <v>-126038</v>
      </c>
      <c r="BW125" s="208">
        <v>-1356011</v>
      </c>
      <c r="BX125" s="208">
        <v>-168634</v>
      </c>
      <c r="BY125" s="208">
        <v>-142480</v>
      </c>
      <c r="BZ125" s="208">
        <v>-311114</v>
      </c>
      <c r="CA125" s="208">
        <v>-1406017</v>
      </c>
      <c r="CB125" s="208">
        <v>-347090</v>
      </c>
      <c r="CC125" s="208">
        <v>-1753107</v>
      </c>
      <c r="CD125" s="208">
        <v>-44040</v>
      </c>
      <c r="CE125" s="208">
        <v>0</v>
      </c>
      <c r="CF125" s="208">
        <v>-44040</v>
      </c>
      <c r="CG125" s="208">
        <v>-3295</v>
      </c>
      <c r="CH125" s="208">
        <v>0</v>
      </c>
      <c r="CI125" s="208">
        <v>-3295</v>
      </c>
      <c r="CJ125" s="208">
        <v>0</v>
      </c>
      <c r="CK125" s="208">
        <v>0</v>
      </c>
      <c r="CL125" s="208">
        <v>0</v>
      </c>
      <c r="CM125" s="208">
        <v>-20622</v>
      </c>
      <c r="CN125" s="208">
        <v>0</v>
      </c>
      <c r="CO125" s="208">
        <v>-20622</v>
      </c>
      <c r="CP125" s="208">
        <v>0</v>
      </c>
      <c r="CQ125" s="208">
        <v>0</v>
      </c>
      <c r="CR125" s="208">
        <v>0</v>
      </c>
      <c r="CS125" s="208">
        <v>0</v>
      </c>
      <c r="CT125" s="208">
        <v>0</v>
      </c>
      <c r="CU125" s="208">
        <v>0</v>
      </c>
      <c r="CV125" s="208">
        <v>0</v>
      </c>
      <c r="CW125" s="208">
        <v>0</v>
      </c>
      <c r="CX125" s="208">
        <v>0</v>
      </c>
      <c r="CY125" s="208">
        <v>0</v>
      </c>
      <c r="CZ125" s="208">
        <v>0</v>
      </c>
      <c r="DA125" s="208">
        <v>0</v>
      </c>
      <c r="DB125" s="208">
        <v>0</v>
      </c>
      <c r="DC125" s="208">
        <v>0</v>
      </c>
      <c r="DD125" s="208">
        <v>0</v>
      </c>
      <c r="DE125" s="208">
        <v>0</v>
      </c>
      <c r="DF125" s="208">
        <v>0</v>
      </c>
      <c r="DG125" s="208">
        <v>0</v>
      </c>
      <c r="DH125" s="208">
        <v>0</v>
      </c>
      <c r="DI125" s="208">
        <v>-166220</v>
      </c>
      <c r="DJ125" s="208">
        <v>-166220</v>
      </c>
      <c r="DK125" s="208">
        <v>0</v>
      </c>
      <c r="DL125" s="208">
        <v>-10686</v>
      </c>
      <c r="DM125" s="208">
        <v>-10686</v>
      </c>
      <c r="DN125" s="208">
        <v>0</v>
      </c>
      <c r="DO125" s="208">
        <v>0</v>
      </c>
      <c r="DP125" s="208">
        <v>-67957</v>
      </c>
      <c r="DQ125" s="208">
        <v>-176906</v>
      </c>
      <c r="DR125" s="208">
        <v>-244863</v>
      </c>
      <c r="DS125" s="208">
        <v>0</v>
      </c>
      <c r="DT125" s="208">
        <v>0</v>
      </c>
      <c r="DU125" s="208">
        <v>0</v>
      </c>
      <c r="DV125" s="208">
        <v>0</v>
      </c>
      <c r="DW125" s="208">
        <v>0</v>
      </c>
      <c r="DX125" s="208">
        <v>0</v>
      </c>
      <c r="DY125" s="208">
        <v>1500</v>
      </c>
      <c r="DZ125" s="208">
        <v>0</v>
      </c>
      <c r="EA125" s="208">
        <v>1500</v>
      </c>
      <c r="EB125" s="208">
        <v>0</v>
      </c>
      <c r="EC125" s="208">
        <v>0</v>
      </c>
      <c r="ED125" s="208">
        <v>0</v>
      </c>
      <c r="EE125" s="208">
        <v>0</v>
      </c>
      <c r="EF125" s="208">
        <v>0</v>
      </c>
      <c r="EG125" s="208">
        <v>0</v>
      </c>
      <c r="EH125" s="208">
        <v>0</v>
      </c>
      <c r="EI125" s="208">
        <v>0</v>
      </c>
      <c r="EJ125" s="208">
        <v>0</v>
      </c>
      <c r="EK125" s="208">
        <v>0</v>
      </c>
      <c r="EL125" s="208">
        <v>0</v>
      </c>
      <c r="EM125" s="208">
        <v>0</v>
      </c>
      <c r="EN125" s="208">
        <v>0</v>
      </c>
      <c r="EO125" s="208">
        <v>0</v>
      </c>
      <c r="EP125" s="208">
        <v>0</v>
      </c>
      <c r="EQ125" s="208">
        <v>0</v>
      </c>
      <c r="ER125" s="208">
        <v>0</v>
      </c>
      <c r="ES125" s="208">
        <v>0</v>
      </c>
      <c r="ET125" s="208">
        <v>0</v>
      </c>
      <c r="EU125" s="208">
        <v>0</v>
      </c>
      <c r="EV125" s="208">
        <v>0</v>
      </c>
      <c r="EW125" s="208">
        <v>-6301</v>
      </c>
      <c r="EX125" s="208">
        <v>-1364</v>
      </c>
      <c r="EY125" s="208">
        <v>-7665</v>
      </c>
      <c r="EZ125" s="208">
        <v>259</v>
      </c>
      <c r="FA125" s="208">
        <v>0</v>
      </c>
      <c r="FB125" s="208">
        <v>259</v>
      </c>
      <c r="FC125" s="208">
        <v>-40161</v>
      </c>
      <c r="FD125" s="208">
        <v>-4535</v>
      </c>
      <c r="FE125" s="208">
        <v>-44696</v>
      </c>
      <c r="FF125" s="208">
        <v>416</v>
      </c>
      <c r="FG125" s="208">
        <v>0</v>
      </c>
      <c r="FH125" s="208">
        <v>416</v>
      </c>
      <c r="FI125" s="208">
        <v>-13386</v>
      </c>
      <c r="FJ125" s="208">
        <v>0</v>
      </c>
      <c r="FK125" s="208">
        <v>-13386</v>
      </c>
      <c r="FL125" s="208">
        <v>0</v>
      </c>
      <c r="FM125" s="208">
        <v>0</v>
      </c>
      <c r="FN125" s="208">
        <v>0</v>
      </c>
      <c r="FO125" s="208">
        <v>0</v>
      </c>
      <c r="FP125" s="208">
        <v>0</v>
      </c>
      <c r="FQ125" s="208">
        <v>0</v>
      </c>
      <c r="FR125" s="208">
        <v>0</v>
      </c>
      <c r="FS125" s="208">
        <v>0</v>
      </c>
      <c r="FT125" s="208">
        <v>0</v>
      </c>
      <c r="FU125" s="208">
        <v>-57673</v>
      </c>
      <c r="FV125" s="208">
        <v>-5899</v>
      </c>
      <c r="FW125" s="208">
        <v>-63572</v>
      </c>
      <c r="FX125" s="208">
        <v>-99471</v>
      </c>
      <c r="FY125" s="208">
        <v>0</v>
      </c>
      <c r="FZ125" s="208">
        <v>-99471</v>
      </c>
      <c r="GA125" s="208">
        <v>0</v>
      </c>
      <c r="GB125" s="208">
        <v>0</v>
      </c>
      <c r="GC125" s="208">
        <v>0</v>
      </c>
      <c r="GD125" s="208">
        <v>-99471</v>
      </c>
      <c r="GE125" s="208">
        <v>0</v>
      </c>
      <c r="GF125" s="208">
        <v>-99471</v>
      </c>
      <c r="GG125" s="208">
        <v>47744216</v>
      </c>
      <c r="GH125" s="208">
        <v>4650215</v>
      </c>
      <c r="GI125" s="208">
        <v>52394431</v>
      </c>
      <c r="GJ125" s="208">
        <v>643017</v>
      </c>
      <c r="GK125" s="208">
        <v>-5899</v>
      </c>
      <c r="GL125" s="208">
        <v>637118</v>
      </c>
      <c r="GM125" s="208">
        <v>-3742993</v>
      </c>
      <c r="GN125" s="208">
        <v>-919</v>
      </c>
      <c r="GO125" s="208">
        <v>-3743912</v>
      </c>
      <c r="GP125" s="208">
        <v>-1406017</v>
      </c>
      <c r="GQ125" s="208">
        <v>-347090</v>
      </c>
      <c r="GR125" s="208">
        <v>-1753107</v>
      </c>
      <c r="GS125" s="208">
        <v>-67957</v>
      </c>
      <c r="GT125" s="208">
        <v>-176906</v>
      </c>
      <c r="GU125" s="208">
        <v>-244863</v>
      </c>
      <c r="GV125" s="208">
        <v>-57673</v>
      </c>
      <c r="GW125" s="208">
        <v>-5899</v>
      </c>
      <c r="GX125" s="208">
        <v>-63572</v>
      </c>
      <c r="GY125" s="208">
        <v>-99471</v>
      </c>
      <c r="GZ125" s="208">
        <v>0</v>
      </c>
      <c r="HA125" s="208">
        <v>-99471</v>
      </c>
      <c r="HB125" s="208">
        <v>-4731094</v>
      </c>
      <c r="HC125" s="208">
        <v>-536713</v>
      </c>
      <c r="HD125" s="208">
        <v>-5267807</v>
      </c>
      <c r="HE125" s="208">
        <v>43013122</v>
      </c>
      <c r="HF125" s="208">
        <v>4113502</v>
      </c>
      <c r="HG125" s="208">
        <v>47126624</v>
      </c>
      <c r="HH125" s="187" t="s">
        <v>1054</v>
      </c>
    </row>
    <row r="126" spans="2:216" s="187" customFormat="1" x14ac:dyDescent="0.2">
      <c r="B126" s="429" t="s">
        <v>329</v>
      </c>
      <c r="C126" s="429" t="s">
        <v>328</v>
      </c>
      <c r="D126" s="208">
        <v>-1266212</v>
      </c>
      <c r="E126" s="208">
        <v>0</v>
      </c>
      <c r="F126" s="208">
        <v>-1266212</v>
      </c>
      <c r="G126" s="208">
        <v>-3215</v>
      </c>
      <c r="H126" s="208">
        <v>0</v>
      </c>
      <c r="I126" s="208">
        <v>-3215</v>
      </c>
      <c r="J126" s="208">
        <v>1010078</v>
      </c>
      <c r="K126" s="208">
        <v>0</v>
      </c>
      <c r="L126" s="208">
        <v>1010078</v>
      </c>
      <c r="M126" s="208">
        <v>-128441</v>
      </c>
      <c r="N126" s="208">
        <v>0</v>
      </c>
      <c r="O126" s="208">
        <v>-128441</v>
      </c>
      <c r="P126" s="208">
        <v>-387790</v>
      </c>
      <c r="Q126" s="208">
        <v>0</v>
      </c>
      <c r="R126" s="208">
        <v>-387790</v>
      </c>
      <c r="S126" s="208">
        <v>-7754188</v>
      </c>
      <c r="T126" s="208">
        <v>0</v>
      </c>
      <c r="U126" s="208">
        <v>-7754188</v>
      </c>
      <c r="V126" s="208">
        <v>-13483</v>
      </c>
      <c r="W126" s="208">
        <v>0</v>
      </c>
      <c r="X126" s="208">
        <v>-13483</v>
      </c>
      <c r="Y126" s="208">
        <v>-196991</v>
      </c>
      <c r="Z126" s="208">
        <v>0</v>
      </c>
      <c r="AA126" s="208">
        <v>-196991</v>
      </c>
      <c r="AB126" s="208">
        <v>-31992</v>
      </c>
      <c r="AC126" s="208">
        <v>0</v>
      </c>
      <c r="AD126" s="208">
        <v>-31992</v>
      </c>
      <c r="AE126" s="208">
        <v>-160553</v>
      </c>
      <c r="AF126" s="208">
        <v>0</v>
      </c>
      <c r="AG126" s="208">
        <v>-160553</v>
      </c>
      <c r="AH126" s="208">
        <v>0</v>
      </c>
      <c r="AI126" s="208">
        <v>0</v>
      </c>
      <c r="AJ126" s="208">
        <v>0</v>
      </c>
      <c r="AK126" s="208">
        <v>0</v>
      </c>
      <c r="AL126" s="208">
        <v>0</v>
      </c>
      <c r="AM126" s="208">
        <v>0</v>
      </c>
      <c r="AN126" s="208">
        <v>1402884</v>
      </c>
      <c r="AO126" s="208">
        <v>0</v>
      </c>
      <c r="AP126" s="208">
        <v>1402884</v>
      </c>
      <c r="AQ126" s="208">
        <v>-33094</v>
      </c>
      <c r="AR126" s="208">
        <v>0</v>
      </c>
      <c r="AS126" s="208">
        <v>-33094</v>
      </c>
      <c r="AT126" s="208">
        <v>-3651495</v>
      </c>
      <c r="AU126" s="208">
        <v>0</v>
      </c>
      <c r="AV126" s="208">
        <v>-3651495</v>
      </c>
      <c r="AW126" s="208">
        <v>-19810</v>
      </c>
      <c r="AX126" s="208">
        <v>0</v>
      </c>
      <c r="AY126" s="208">
        <v>-19810</v>
      </c>
      <c r="AZ126" s="208">
        <v>-116573</v>
      </c>
      <c r="BA126" s="208">
        <v>0</v>
      </c>
      <c r="BB126" s="208">
        <v>-116573</v>
      </c>
      <c r="BC126" s="208">
        <v>479</v>
      </c>
      <c r="BD126" s="208">
        <v>0</v>
      </c>
      <c r="BE126" s="208">
        <v>479</v>
      </c>
      <c r="BF126" s="208">
        <v>-49717</v>
      </c>
      <c r="BG126" s="208">
        <v>0</v>
      </c>
      <c r="BH126" s="208">
        <v>-49717</v>
      </c>
      <c r="BI126" s="208">
        <v>1641</v>
      </c>
      <c r="BJ126" s="208">
        <v>0</v>
      </c>
      <c r="BK126" s="208">
        <v>1641</v>
      </c>
      <c r="BL126" s="208">
        <v>-10416864</v>
      </c>
      <c r="BM126" s="208">
        <v>0</v>
      </c>
      <c r="BN126" s="208">
        <v>-10416864</v>
      </c>
      <c r="BO126" s="208">
        <v>0</v>
      </c>
      <c r="BP126" s="208">
        <v>0</v>
      </c>
      <c r="BQ126" s="208">
        <v>0</v>
      </c>
      <c r="BR126" s="208">
        <v>0</v>
      </c>
      <c r="BS126" s="208">
        <v>0</v>
      </c>
      <c r="BT126" s="208">
        <v>0</v>
      </c>
      <c r="BU126" s="208">
        <v>-1880825</v>
      </c>
      <c r="BV126" s="208">
        <v>0</v>
      </c>
      <c r="BW126" s="208">
        <v>-1880825</v>
      </c>
      <c r="BX126" s="208">
        <v>-242976</v>
      </c>
      <c r="BY126" s="208">
        <v>0</v>
      </c>
      <c r="BZ126" s="208">
        <v>-242976</v>
      </c>
      <c r="CA126" s="208">
        <v>-2123801</v>
      </c>
      <c r="CB126" s="208">
        <v>0</v>
      </c>
      <c r="CC126" s="208">
        <v>-2123801</v>
      </c>
      <c r="CD126" s="208">
        <v>-38346</v>
      </c>
      <c r="CE126" s="208">
        <v>0</v>
      </c>
      <c r="CF126" s="208">
        <v>-38346</v>
      </c>
      <c r="CG126" s="208">
        <v>-1692</v>
      </c>
      <c r="CH126" s="208">
        <v>0</v>
      </c>
      <c r="CI126" s="208">
        <v>-1692</v>
      </c>
      <c r="CJ126" s="208">
        <v>-9889</v>
      </c>
      <c r="CK126" s="208">
        <v>0</v>
      </c>
      <c r="CL126" s="208">
        <v>-9889</v>
      </c>
      <c r="CM126" s="208">
        <v>-1033</v>
      </c>
      <c r="CN126" s="208">
        <v>0</v>
      </c>
      <c r="CO126" s="208">
        <v>-1033</v>
      </c>
      <c r="CP126" s="208">
        <v>-3660</v>
      </c>
      <c r="CQ126" s="208">
        <v>0</v>
      </c>
      <c r="CR126" s="208">
        <v>-3660</v>
      </c>
      <c r="CS126" s="208">
        <v>0</v>
      </c>
      <c r="CT126" s="208">
        <v>0</v>
      </c>
      <c r="CU126" s="208">
        <v>0</v>
      </c>
      <c r="CV126" s="208">
        <v>0</v>
      </c>
      <c r="CW126" s="208">
        <v>0</v>
      </c>
      <c r="CX126" s="208">
        <v>0</v>
      </c>
      <c r="CY126" s="208">
        <v>0</v>
      </c>
      <c r="CZ126" s="208">
        <v>0</v>
      </c>
      <c r="DA126" s="208">
        <v>0</v>
      </c>
      <c r="DB126" s="208">
        <v>0</v>
      </c>
      <c r="DC126" s="208">
        <v>0</v>
      </c>
      <c r="DD126" s="208">
        <v>0</v>
      </c>
      <c r="DE126" s="208">
        <v>0</v>
      </c>
      <c r="DF126" s="208">
        <v>0</v>
      </c>
      <c r="DG126" s="208">
        <v>0</v>
      </c>
      <c r="DH126" s="208">
        <v>-227730</v>
      </c>
      <c r="DI126" s="208">
        <v>0</v>
      </c>
      <c r="DJ126" s="208">
        <v>-227730</v>
      </c>
      <c r="DK126" s="208">
        <v>-22966</v>
      </c>
      <c r="DL126" s="208">
        <v>0</v>
      </c>
      <c r="DM126" s="208">
        <v>-22966</v>
      </c>
      <c r="DN126" s="208">
        <v>0</v>
      </c>
      <c r="DO126" s="208">
        <v>0</v>
      </c>
      <c r="DP126" s="208">
        <v>-305316</v>
      </c>
      <c r="DQ126" s="208">
        <v>0</v>
      </c>
      <c r="DR126" s="208">
        <v>-305316</v>
      </c>
      <c r="DS126" s="208">
        <v>25881</v>
      </c>
      <c r="DT126" s="208">
        <v>0</v>
      </c>
      <c r="DU126" s="208">
        <v>25881</v>
      </c>
      <c r="DV126" s="208">
        <v>-1345</v>
      </c>
      <c r="DW126" s="208">
        <v>0</v>
      </c>
      <c r="DX126" s="208">
        <v>-1345</v>
      </c>
      <c r="DY126" s="208">
        <v>-62</v>
      </c>
      <c r="DZ126" s="208">
        <v>0</v>
      </c>
      <c r="EA126" s="208">
        <v>-62</v>
      </c>
      <c r="EB126" s="208">
        <v>0</v>
      </c>
      <c r="EC126" s="208">
        <v>0</v>
      </c>
      <c r="ED126" s="208">
        <v>0</v>
      </c>
      <c r="EE126" s="208">
        <v>0</v>
      </c>
      <c r="EF126" s="208">
        <v>0</v>
      </c>
      <c r="EG126" s="208">
        <v>0</v>
      </c>
      <c r="EH126" s="208">
        <v>0</v>
      </c>
      <c r="EI126" s="208">
        <v>0</v>
      </c>
      <c r="EJ126" s="208">
        <v>0</v>
      </c>
      <c r="EK126" s="208">
        <v>-49717</v>
      </c>
      <c r="EL126" s="208">
        <v>0</v>
      </c>
      <c r="EM126" s="208">
        <v>-49717</v>
      </c>
      <c r="EN126" s="208">
        <v>-3969</v>
      </c>
      <c r="EO126" s="208">
        <v>0</v>
      </c>
      <c r="EP126" s="208">
        <v>-3969</v>
      </c>
      <c r="EQ126" s="208">
        <v>0</v>
      </c>
      <c r="ER126" s="208">
        <v>0</v>
      </c>
      <c r="ES126" s="208">
        <v>0</v>
      </c>
      <c r="ET126" s="208">
        <v>0</v>
      </c>
      <c r="EU126" s="208">
        <v>0</v>
      </c>
      <c r="EV126" s="208">
        <v>0</v>
      </c>
      <c r="EW126" s="208">
        <v>-42273</v>
      </c>
      <c r="EX126" s="208">
        <v>0</v>
      </c>
      <c r="EY126" s="208">
        <v>-42273</v>
      </c>
      <c r="EZ126" s="208">
        <v>0</v>
      </c>
      <c r="FA126" s="208">
        <v>0</v>
      </c>
      <c r="FB126" s="208">
        <v>0</v>
      </c>
      <c r="FC126" s="208">
        <v>-177599</v>
      </c>
      <c r="FD126" s="208">
        <v>0</v>
      </c>
      <c r="FE126" s="208">
        <v>-177599</v>
      </c>
      <c r="FF126" s="208">
        <v>6641</v>
      </c>
      <c r="FG126" s="208">
        <v>0</v>
      </c>
      <c r="FH126" s="208">
        <v>6641</v>
      </c>
      <c r="FI126" s="208">
        <v>-88660</v>
      </c>
      <c r="FJ126" s="208">
        <v>0</v>
      </c>
      <c r="FK126" s="208">
        <v>-88660</v>
      </c>
      <c r="FL126" s="208">
        <v>-839</v>
      </c>
      <c r="FM126" s="208">
        <v>0</v>
      </c>
      <c r="FN126" s="208">
        <v>-839</v>
      </c>
      <c r="FO126" s="208">
        <v>0</v>
      </c>
      <c r="FP126" s="208">
        <v>0</v>
      </c>
      <c r="FQ126" s="208">
        <v>0</v>
      </c>
      <c r="FR126" s="208">
        <v>0</v>
      </c>
      <c r="FS126" s="208">
        <v>0</v>
      </c>
      <c r="FT126" s="208">
        <v>0</v>
      </c>
      <c r="FU126" s="208">
        <v>-331942</v>
      </c>
      <c r="FV126" s="208">
        <v>0</v>
      </c>
      <c r="FW126" s="208">
        <v>-331942</v>
      </c>
      <c r="FX126" s="208">
        <v>0</v>
      </c>
      <c r="FY126" s="208">
        <v>0</v>
      </c>
      <c r="FZ126" s="208">
        <v>0</v>
      </c>
      <c r="GA126" s="208">
        <v>0</v>
      </c>
      <c r="GB126" s="208">
        <v>0</v>
      </c>
      <c r="GC126" s="208">
        <v>0</v>
      </c>
      <c r="GD126" s="208">
        <v>0</v>
      </c>
      <c r="GE126" s="208">
        <v>0</v>
      </c>
      <c r="GF126" s="208">
        <v>0</v>
      </c>
      <c r="GG126" s="208">
        <v>77037066</v>
      </c>
      <c r="GH126" s="208">
        <v>0</v>
      </c>
      <c r="GI126" s="208">
        <v>77037066</v>
      </c>
      <c r="GJ126" s="208">
        <v>-387790</v>
      </c>
      <c r="GK126" s="208">
        <v>0</v>
      </c>
      <c r="GL126" s="208">
        <v>-387790</v>
      </c>
      <c r="GM126" s="208">
        <v>-10416864</v>
      </c>
      <c r="GN126" s="208">
        <v>0</v>
      </c>
      <c r="GO126" s="208">
        <v>-10416864</v>
      </c>
      <c r="GP126" s="208">
        <v>-2123801</v>
      </c>
      <c r="GQ126" s="208">
        <v>0</v>
      </c>
      <c r="GR126" s="208">
        <v>-2123801</v>
      </c>
      <c r="GS126" s="208">
        <v>-305316</v>
      </c>
      <c r="GT126" s="208">
        <v>0</v>
      </c>
      <c r="GU126" s="208">
        <v>-305316</v>
      </c>
      <c r="GV126" s="208">
        <v>-331942</v>
      </c>
      <c r="GW126" s="208">
        <v>0</v>
      </c>
      <c r="GX126" s="208">
        <v>-331942</v>
      </c>
      <c r="GY126" s="208">
        <v>0</v>
      </c>
      <c r="GZ126" s="208">
        <v>0</v>
      </c>
      <c r="HA126" s="208">
        <v>0</v>
      </c>
      <c r="HB126" s="208">
        <v>-13565713</v>
      </c>
      <c r="HC126" s="208">
        <v>0</v>
      </c>
      <c r="HD126" s="208">
        <v>-13565713</v>
      </c>
      <c r="HE126" s="208">
        <v>63471353</v>
      </c>
      <c r="HF126" s="208">
        <v>0</v>
      </c>
      <c r="HG126" s="208">
        <v>63471353</v>
      </c>
      <c r="HH126" s="187" t="s">
        <v>1054</v>
      </c>
    </row>
    <row r="127" spans="2:216" s="187" customFormat="1" x14ac:dyDescent="0.2">
      <c r="B127" s="429" t="s">
        <v>331</v>
      </c>
      <c r="C127" s="429" t="s">
        <v>330</v>
      </c>
      <c r="D127" s="208">
        <v>-2260371</v>
      </c>
      <c r="E127" s="208">
        <v>0</v>
      </c>
      <c r="F127" s="208">
        <v>-2260371</v>
      </c>
      <c r="G127" s="208">
        <v>65365</v>
      </c>
      <c r="H127" s="208">
        <v>0</v>
      </c>
      <c r="I127" s="208">
        <v>65365</v>
      </c>
      <c r="J127" s="208">
        <v>820722</v>
      </c>
      <c r="K127" s="208">
        <v>0</v>
      </c>
      <c r="L127" s="208">
        <v>820722</v>
      </c>
      <c r="M127" s="208">
        <v>43453</v>
      </c>
      <c r="N127" s="208">
        <v>0</v>
      </c>
      <c r="O127" s="208">
        <v>43453</v>
      </c>
      <c r="P127" s="208">
        <v>-1330831</v>
      </c>
      <c r="Q127" s="208">
        <v>0</v>
      </c>
      <c r="R127" s="208">
        <v>-1330831</v>
      </c>
      <c r="S127" s="208">
        <v>-5576828</v>
      </c>
      <c r="T127" s="208">
        <v>0</v>
      </c>
      <c r="U127" s="208">
        <v>-5576828</v>
      </c>
      <c r="V127" s="208">
        <v>-13246</v>
      </c>
      <c r="W127" s="208">
        <v>0</v>
      </c>
      <c r="X127" s="208">
        <v>-13246</v>
      </c>
      <c r="Y127" s="208">
        <v>-503070</v>
      </c>
      <c r="Z127" s="208">
        <v>0</v>
      </c>
      <c r="AA127" s="208">
        <v>-503070</v>
      </c>
      <c r="AB127" s="208">
        <v>-202395</v>
      </c>
      <c r="AC127" s="208">
        <v>0</v>
      </c>
      <c r="AD127" s="208">
        <v>-202395</v>
      </c>
      <c r="AE127" s="208">
        <v>-290163</v>
      </c>
      <c r="AF127" s="208">
        <v>0</v>
      </c>
      <c r="AG127" s="208">
        <v>-290163</v>
      </c>
      <c r="AH127" s="208">
        <v>-498</v>
      </c>
      <c r="AI127" s="208">
        <v>0</v>
      </c>
      <c r="AJ127" s="208">
        <v>-498</v>
      </c>
      <c r="AK127" s="208">
        <v>-5923</v>
      </c>
      <c r="AL127" s="208">
        <v>0</v>
      </c>
      <c r="AM127" s="208">
        <v>-5923</v>
      </c>
      <c r="AN127" s="208">
        <v>1081457</v>
      </c>
      <c r="AO127" s="208">
        <v>0</v>
      </c>
      <c r="AP127" s="208">
        <v>1081457</v>
      </c>
      <c r="AQ127" s="208">
        <v>-240</v>
      </c>
      <c r="AR127" s="208">
        <v>0</v>
      </c>
      <c r="AS127" s="208">
        <v>-240</v>
      </c>
      <c r="AT127" s="208">
        <v>-5375260</v>
      </c>
      <c r="AU127" s="208">
        <v>0</v>
      </c>
      <c r="AV127" s="208">
        <v>-5375260</v>
      </c>
      <c r="AW127" s="208">
        <v>-316596</v>
      </c>
      <c r="AX127" s="208">
        <v>0</v>
      </c>
      <c r="AY127" s="208">
        <v>-316596</v>
      </c>
      <c r="AZ127" s="208">
        <v>-121064</v>
      </c>
      <c r="BA127" s="208">
        <v>0</v>
      </c>
      <c r="BB127" s="208">
        <v>-121064</v>
      </c>
      <c r="BC127" s="208">
        <v>-4024</v>
      </c>
      <c r="BD127" s="208">
        <v>0</v>
      </c>
      <c r="BE127" s="208">
        <v>-4024</v>
      </c>
      <c r="BF127" s="208">
        <v>0</v>
      </c>
      <c r="BG127" s="208">
        <v>0</v>
      </c>
      <c r="BH127" s="208">
        <v>0</v>
      </c>
      <c r="BI127" s="208">
        <v>0</v>
      </c>
      <c r="BJ127" s="208">
        <v>0</v>
      </c>
      <c r="BK127" s="208">
        <v>0</v>
      </c>
      <c r="BL127" s="208">
        <v>-10815625</v>
      </c>
      <c r="BM127" s="208">
        <v>0</v>
      </c>
      <c r="BN127" s="208">
        <v>-10815625</v>
      </c>
      <c r="BO127" s="208">
        <v>-1384</v>
      </c>
      <c r="BP127" s="208">
        <v>0</v>
      </c>
      <c r="BQ127" s="208">
        <v>-1384</v>
      </c>
      <c r="BR127" s="208">
        <v>-597</v>
      </c>
      <c r="BS127" s="208">
        <v>0</v>
      </c>
      <c r="BT127" s="208">
        <v>-597</v>
      </c>
      <c r="BU127" s="208">
        <v>-921877</v>
      </c>
      <c r="BV127" s="208">
        <v>0</v>
      </c>
      <c r="BW127" s="208">
        <v>-921877</v>
      </c>
      <c r="BX127" s="208">
        <v>47322</v>
      </c>
      <c r="BY127" s="208">
        <v>0</v>
      </c>
      <c r="BZ127" s="208">
        <v>47322</v>
      </c>
      <c r="CA127" s="208">
        <v>-876536</v>
      </c>
      <c r="CB127" s="208">
        <v>0</v>
      </c>
      <c r="CC127" s="208">
        <v>-876536</v>
      </c>
      <c r="CD127" s="208">
        <v>-29199</v>
      </c>
      <c r="CE127" s="208">
        <v>0</v>
      </c>
      <c r="CF127" s="208">
        <v>-29199</v>
      </c>
      <c r="CG127" s="208">
        <v>875</v>
      </c>
      <c r="CH127" s="208">
        <v>0</v>
      </c>
      <c r="CI127" s="208">
        <v>875</v>
      </c>
      <c r="CJ127" s="208">
        <v>-15225</v>
      </c>
      <c r="CK127" s="208">
        <v>0</v>
      </c>
      <c r="CL127" s="208">
        <v>-15225</v>
      </c>
      <c r="CM127" s="208">
        <v>0</v>
      </c>
      <c r="CN127" s="208">
        <v>0</v>
      </c>
      <c r="CO127" s="208">
        <v>0</v>
      </c>
      <c r="CP127" s="208">
        <v>0</v>
      </c>
      <c r="CQ127" s="208">
        <v>0</v>
      </c>
      <c r="CR127" s="208">
        <v>0</v>
      </c>
      <c r="CS127" s="208">
        <v>0</v>
      </c>
      <c r="CT127" s="208">
        <v>0</v>
      </c>
      <c r="CU127" s="208">
        <v>0</v>
      </c>
      <c r="CV127" s="208">
        <v>0</v>
      </c>
      <c r="CW127" s="208">
        <v>0</v>
      </c>
      <c r="CX127" s="208">
        <v>0</v>
      </c>
      <c r="CY127" s="208">
        <v>0</v>
      </c>
      <c r="CZ127" s="208">
        <v>0</v>
      </c>
      <c r="DA127" s="208">
        <v>0</v>
      </c>
      <c r="DB127" s="208">
        <v>0</v>
      </c>
      <c r="DC127" s="208">
        <v>0</v>
      </c>
      <c r="DD127" s="208">
        <v>0</v>
      </c>
      <c r="DE127" s="208">
        <v>0</v>
      </c>
      <c r="DF127" s="208">
        <v>0</v>
      </c>
      <c r="DG127" s="208">
        <v>0</v>
      </c>
      <c r="DH127" s="208">
        <v>0</v>
      </c>
      <c r="DI127" s="208">
        <v>0</v>
      </c>
      <c r="DJ127" s="208">
        <v>0</v>
      </c>
      <c r="DK127" s="208">
        <v>0</v>
      </c>
      <c r="DL127" s="208">
        <v>0</v>
      </c>
      <c r="DM127" s="208">
        <v>0</v>
      </c>
      <c r="DN127" s="208">
        <v>0</v>
      </c>
      <c r="DO127" s="208">
        <v>0</v>
      </c>
      <c r="DP127" s="208">
        <v>-43549</v>
      </c>
      <c r="DQ127" s="208">
        <v>0</v>
      </c>
      <c r="DR127" s="208">
        <v>-43549</v>
      </c>
      <c r="DS127" s="208">
        <v>0</v>
      </c>
      <c r="DT127" s="208">
        <v>0</v>
      </c>
      <c r="DU127" s="208">
        <v>0</v>
      </c>
      <c r="DV127" s="208">
        <v>0</v>
      </c>
      <c r="DW127" s="208">
        <v>0</v>
      </c>
      <c r="DX127" s="208">
        <v>0</v>
      </c>
      <c r="DY127" s="208">
        <v>2110</v>
      </c>
      <c r="DZ127" s="208">
        <v>0</v>
      </c>
      <c r="EA127" s="208">
        <v>2110</v>
      </c>
      <c r="EB127" s="208">
        <v>0</v>
      </c>
      <c r="EC127" s="208">
        <v>0</v>
      </c>
      <c r="ED127" s="208">
        <v>0</v>
      </c>
      <c r="EE127" s="208">
        <v>0</v>
      </c>
      <c r="EF127" s="208">
        <v>0</v>
      </c>
      <c r="EG127" s="208">
        <v>0</v>
      </c>
      <c r="EH127" s="208">
        <v>0</v>
      </c>
      <c r="EI127" s="208">
        <v>0</v>
      </c>
      <c r="EJ127" s="208">
        <v>0</v>
      </c>
      <c r="EK127" s="208">
        <v>0</v>
      </c>
      <c r="EL127" s="208">
        <v>0</v>
      </c>
      <c r="EM127" s="208">
        <v>0</v>
      </c>
      <c r="EN127" s="208">
        <v>0</v>
      </c>
      <c r="EO127" s="208">
        <v>0</v>
      </c>
      <c r="EP127" s="208">
        <v>0</v>
      </c>
      <c r="EQ127" s="208">
        <v>0</v>
      </c>
      <c r="ER127" s="208">
        <v>0</v>
      </c>
      <c r="ES127" s="208">
        <v>0</v>
      </c>
      <c r="ET127" s="208">
        <v>0</v>
      </c>
      <c r="EU127" s="208">
        <v>0</v>
      </c>
      <c r="EV127" s="208">
        <v>0</v>
      </c>
      <c r="EW127" s="208">
        <v>-83523</v>
      </c>
      <c r="EX127" s="208">
        <v>0</v>
      </c>
      <c r="EY127" s="208">
        <v>-83523</v>
      </c>
      <c r="EZ127" s="208">
        <v>8373</v>
      </c>
      <c r="FA127" s="208">
        <v>0</v>
      </c>
      <c r="FB127" s="208">
        <v>8373</v>
      </c>
      <c r="FC127" s="208">
        <v>-326348</v>
      </c>
      <c r="FD127" s="208">
        <v>0</v>
      </c>
      <c r="FE127" s="208">
        <v>-326348</v>
      </c>
      <c r="FF127" s="208">
        <v>7874</v>
      </c>
      <c r="FG127" s="208">
        <v>0</v>
      </c>
      <c r="FH127" s="208">
        <v>7874</v>
      </c>
      <c r="FI127" s="208">
        <v>-18249</v>
      </c>
      <c r="FJ127" s="208">
        <v>0</v>
      </c>
      <c r="FK127" s="208">
        <v>-18249</v>
      </c>
      <c r="FL127" s="208">
        <v>18792</v>
      </c>
      <c r="FM127" s="208">
        <v>0</v>
      </c>
      <c r="FN127" s="208">
        <v>18792</v>
      </c>
      <c r="FO127" s="208">
        <v>0</v>
      </c>
      <c r="FP127" s="208">
        <v>0</v>
      </c>
      <c r="FQ127" s="208">
        <v>0</v>
      </c>
      <c r="FR127" s="208">
        <v>0</v>
      </c>
      <c r="FS127" s="208">
        <v>0</v>
      </c>
      <c r="FT127" s="208">
        <v>0</v>
      </c>
      <c r="FU127" s="208">
        <v>-390971</v>
      </c>
      <c r="FV127" s="208">
        <v>0</v>
      </c>
      <c r="FW127" s="208">
        <v>-390971</v>
      </c>
      <c r="FX127" s="208">
        <v>0</v>
      </c>
      <c r="FY127" s="208">
        <v>0</v>
      </c>
      <c r="FZ127" s="208">
        <v>0</v>
      </c>
      <c r="GA127" s="208">
        <v>0</v>
      </c>
      <c r="GB127" s="208">
        <v>0</v>
      </c>
      <c r="GC127" s="208">
        <v>0</v>
      </c>
      <c r="GD127" s="208">
        <v>0</v>
      </c>
      <c r="GE127" s="208">
        <v>0</v>
      </c>
      <c r="GF127" s="208">
        <v>0</v>
      </c>
      <c r="GG127" s="208">
        <v>66241216</v>
      </c>
      <c r="GH127" s="208">
        <v>0</v>
      </c>
      <c r="GI127" s="208">
        <v>66241216</v>
      </c>
      <c r="GJ127" s="208">
        <v>-1330831</v>
      </c>
      <c r="GK127" s="208">
        <v>0</v>
      </c>
      <c r="GL127" s="208">
        <v>-1330831</v>
      </c>
      <c r="GM127" s="208">
        <v>-10815625</v>
      </c>
      <c r="GN127" s="208">
        <v>0</v>
      </c>
      <c r="GO127" s="208">
        <v>-10815625</v>
      </c>
      <c r="GP127" s="208">
        <v>-876536</v>
      </c>
      <c r="GQ127" s="208">
        <v>0</v>
      </c>
      <c r="GR127" s="208">
        <v>-876536</v>
      </c>
      <c r="GS127" s="208">
        <v>-43549</v>
      </c>
      <c r="GT127" s="208">
        <v>0</v>
      </c>
      <c r="GU127" s="208">
        <v>-43549</v>
      </c>
      <c r="GV127" s="208">
        <v>-390971</v>
      </c>
      <c r="GW127" s="208">
        <v>0</v>
      </c>
      <c r="GX127" s="208">
        <v>-390971</v>
      </c>
      <c r="GY127" s="208">
        <v>0</v>
      </c>
      <c r="GZ127" s="208">
        <v>0</v>
      </c>
      <c r="HA127" s="208">
        <v>0</v>
      </c>
      <c r="HB127" s="208">
        <v>-13457512</v>
      </c>
      <c r="HC127" s="208">
        <v>0</v>
      </c>
      <c r="HD127" s="208">
        <v>-13457512</v>
      </c>
      <c r="HE127" s="208">
        <v>52783704</v>
      </c>
      <c r="HF127" s="208">
        <v>0</v>
      </c>
      <c r="HG127" s="208">
        <v>52783704</v>
      </c>
      <c r="HH127" s="187" t="s">
        <v>1055</v>
      </c>
    </row>
    <row r="128" spans="2:216" s="187" customFormat="1" x14ac:dyDescent="0.2">
      <c r="B128" s="429" t="s">
        <v>333</v>
      </c>
      <c r="C128" s="429" t="s">
        <v>332</v>
      </c>
      <c r="D128" s="208">
        <v>-665880</v>
      </c>
      <c r="E128" s="208">
        <v>0</v>
      </c>
      <c r="F128" s="208">
        <v>-665880</v>
      </c>
      <c r="G128" s="208">
        <v>31106</v>
      </c>
      <c r="H128" s="208">
        <v>0</v>
      </c>
      <c r="I128" s="208">
        <v>31106</v>
      </c>
      <c r="J128" s="208">
        <v>456115</v>
      </c>
      <c r="K128" s="208">
        <v>0</v>
      </c>
      <c r="L128" s="208">
        <v>456115</v>
      </c>
      <c r="M128" s="208">
        <v>-4764</v>
      </c>
      <c r="N128" s="208">
        <v>0</v>
      </c>
      <c r="O128" s="208">
        <v>-4764</v>
      </c>
      <c r="P128" s="208">
        <v>-183423</v>
      </c>
      <c r="Q128" s="208">
        <v>0</v>
      </c>
      <c r="R128" s="208">
        <v>-183423</v>
      </c>
      <c r="S128" s="208">
        <v>-2228610</v>
      </c>
      <c r="T128" s="208">
        <v>0</v>
      </c>
      <c r="U128" s="208">
        <v>-2228610</v>
      </c>
      <c r="V128" s="208">
        <v>0</v>
      </c>
      <c r="W128" s="208">
        <v>0</v>
      </c>
      <c r="X128" s="208">
        <v>0</v>
      </c>
      <c r="Y128" s="208">
        <v>-71675</v>
      </c>
      <c r="Z128" s="208">
        <v>0</v>
      </c>
      <c r="AA128" s="208">
        <v>-71675</v>
      </c>
      <c r="AB128" s="208">
        <v>-9658</v>
      </c>
      <c r="AC128" s="208">
        <v>0</v>
      </c>
      <c r="AD128" s="208">
        <v>-9658</v>
      </c>
      <c r="AE128" s="208">
        <v>-64357</v>
      </c>
      <c r="AF128" s="208">
        <v>0</v>
      </c>
      <c r="AG128" s="208">
        <v>-64357</v>
      </c>
      <c r="AH128" s="208">
        <v>0</v>
      </c>
      <c r="AI128" s="208">
        <v>0</v>
      </c>
      <c r="AJ128" s="208">
        <v>0</v>
      </c>
      <c r="AK128" s="208">
        <v>0</v>
      </c>
      <c r="AL128" s="208">
        <v>0</v>
      </c>
      <c r="AM128" s="208">
        <v>0</v>
      </c>
      <c r="AN128" s="208">
        <v>709509</v>
      </c>
      <c r="AO128" s="208">
        <v>0</v>
      </c>
      <c r="AP128" s="208">
        <v>709509</v>
      </c>
      <c r="AQ128" s="208">
        <v>-12263</v>
      </c>
      <c r="AR128" s="208">
        <v>0</v>
      </c>
      <c r="AS128" s="208">
        <v>-12263</v>
      </c>
      <c r="AT128" s="208">
        <v>-1906019</v>
      </c>
      <c r="AU128" s="208">
        <v>0</v>
      </c>
      <c r="AV128" s="208">
        <v>-1906019</v>
      </c>
      <c r="AW128" s="208">
        <v>-535</v>
      </c>
      <c r="AX128" s="208">
        <v>0</v>
      </c>
      <c r="AY128" s="208">
        <v>-535</v>
      </c>
      <c r="AZ128" s="208">
        <v>-5640</v>
      </c>
      <c r="BA128" s="208">
        <v>0</v>
      </c>
      <c r="BB128" s="208">
        <v>-5640</v>
      </c>
      <c r="BC128" s="208">
        <v>0</v>
      </c>
      <c r="BD128" s="208">
        <v>0</v>
      </c>
      <c r="BE128" s="208">
        <v>0</v>
      </c>
      <c r="BF128" s="208">
        <v>-2043</v>
      </c>
      <c r="BG128" s="208">
        <v>0</v>
      </c>
      <c r="BH128" s="208">
        <v>-2043</v>
      </c>
      <c r="BI128" s="208">
        <v>0</v>
      </c>
      <c r="BJ128" s="208">
        <v>0</v>
      </c>
      <c r="BK128" s="208">
        <v>0</v>
      </c>
      <c r="BL128" s="208">
        <v>-3517276</v>
      </c>
      <c r="BM128" s="208">
        <v>0</v>
      </c>
      <c r="BN128" s="208">
        <v>-3517276</v>
      </c>
      <c r="BO128" s="208">
        <v>0</v>
      </c>
      <c r="BP128" s="208">
        <v>0</v>
      </c>
      <c r="BQ128" s="208">
        <v>0</v>
      </c>
      <c r="BR128" s="208">
        <v>0</v>
      </c>
      <c r="BS128" s="208">
        <v>0</v>
      </c>
      <c r="BT128" s="208">
        <v>0</v>
      </c>
      <c r="BU128" s="208">
        <v>-2012049</v>
      </c>
      <c r="BV128" s="208">
        <v>0</v>
      </c>
      <c r="BW128" s="208">
        <v>-2012049</v>
      </c>
      <c r="BX128" s="208">
        <v>58267</v>
      </c>
      <c r="BY128" s="208">
        <v>0</v>
      </c>
      <c r="BZ128" s="208">
        <v>58267</v>
      </c>
      <c r="CA128" s="208">
        <v>-1953782</v>
      </c>
      <c r="CB128" s="208">
        <v>0</v>
      </c>
      <c r="CC128" s="208">
        <v>-1953782</v>
      </c>
      <c r="CD128" s="208">
        <v>-124661</v>
      </c>
      <c r="CE128" s="208">
        <v>0</v>
      </c>
      <c r="CF128" s="208">
        <v>-124661</v>
      </c>
      <c r="CG128" s="208">
        <v>0</v>
      </c>
      <c r="CH128" s="208">
        <v>0</v>
      </c>
      <c r="CI128" s="208">
        <v>0</v>
      </c>
      <c r="CJ128" s="208">
        <v>-21833</v>
      </c>
      <c r="CK128" s="208">
        <v>0</v>
      </c>
      <c r="CL128" s="208">
        <v>-21833</v>
      </c>
      <c r="CM128" s="208">
        <v>0</v>
      </c>
      <c r="CN128" s="208">
        <v>0</v>
      </c>
      <c r="CO128" s="208">
        <v>0</v>
      </c>
      <c r="CP128" s="208">
        <v>-1410</v>
      </c>
      <c r="CQ128" s="208">
        <v>0</v>
      </c>
      <c r="CR128" s="208">
        <v>-1410</v>
      </c>
      <c r="CS128" s="208">
        <v>0</v>
      </c>
      <c r="CT128" s="208">
        <v>0</v>
      </c>
      <c r="CU128" s="208">
        <v>0</v>
      </c>
      <c r="CV128" s="208">
        <v>0</v>
      </c>
      <c r="CW128" s="208">
        <v>0</v>
      </c>
      <c r="CX128" s="208">
        <v>0</v>
      </c>
      <c r="CY128" s="208">
        <v>0</v>
      </c>
      <c r="CZ128" s="208">
        <v>0</v>
      </c>
      <c r="DA128" s="208">
        <v>0</v>
      </c>
      <c r="DB128" s="208">
        <v>0</v>
      </c>
      <c r="DC128" s="208">
        <v>0</v>
      </c>
      <c r="DD128" s="208">
        <v>0</v>
      </c>
      <c r="DE128" s="208">
        <v>0</v>
      </c>
      <c r="DF128" s="208">
        <v>0</v>
      </c>
      <c r="DG128" s="208">
        <v>0</v>
      </c>
      <c r="DH128" s="208">
        <v>0</v>
      </c>
      <c r="DI128" s="208">
        <v>0</v>
      </c>
      <c r="DJ128" s="208">
        <v>0</v>
      </c>
      <c r="DK128" s="208">
        <v>0</v>
      </c>
      <c r="DL128" s="208">
        <v>0</v>
      </c>
      <c r="DM128" s="208">
        <v>0</v>
      </c>
      <c r="DN128" s="208">
        <v>0</v>
      </c>
      <c r="DO128" s="208">
        <v>0</v>
      </c>
      <c r="DP128" s="208">
        <v>-147904</v>
      </c>
      <c r="DQ128" s="208">
        <v>0</v>
      </c>
      <c r="DR128" s="208">
        <v>-147904</v>
      </c>
      <c r="DS128" s="208">
        <v>0</v>
      </c>
      <c r="DT128" s="208">
        <v>0</v>
      </c>
      <c r="DU128" s="208">
        <v>0</v>
      </c>
      <c r="DV128" s="208">
        <v>0</v>
      </c>
      <c r="DW128" s="208">
        <v>0</v>
      </c>
      <c r="DX128" s="208">
        <v>0</v>
      </c>
      <c r="DY128" s="208">
        <v>1500</v>
      </c>
      <c r="DZ128" s="208">
        <v>0</v>
      </c>
      <c r="EA128" s="208">
        <v>1500</v>
      </c>
      <c r="EB128" s="208">
        <v>0</v>
      </c>
      <c r="EC128" s="208">
        <v>0</v>
      </c>
      <c r="ED128" s="208">
        <v>0</v>
      </c>
      <c r="EE128" s="208">
        <v>0</v>
      </c>
      <c r="EF128" s="208">
        <v>0</v>
      </c>
      <c r="EG128" s="208">
        <v>0</v>
      </c>
      <c r="EH128" s="208">
        <v>0</v>
      </c>
      <c r="EI128" s="208">
        <v>0</v>
      </c>
      <c r="EJ128" s="208">
        <v>0</v>
      </c>
      <c r="EK128" s="208">
        <v>-2043</v>
      </c>
      <c r="EL128" s="208">
        <v>0</v>
      </c>
      <c r="EM128" s="208">
        <v>-2043</v>
      </c>
      <c r="EN128" s="208">
        <v>0</v>
      </c>
      <c r="EO128" s="208">
        <v>0</v>
      </c>
      <c r="EP128" s="208">
        <v>0</v>
      </c>
      <c r="EQ128" s="208">
        <v>0</v>
      </c>
      <c r="ER128" s="208">
        <v>0</v>
      </c>
      <c r="ES128" s="208">
        <v>0</v>
      </c>
      <c r="ET128" s="208">
        <v>0</v>
      </c>
      <c r="EU128" s="208">
        <v>0</v>
      </c>
      <c r="EV128" s="208">
        <v>0</v>
      </c>
      <c r="EW128" s="208">
        <v>-18468</v>
      </c>
      <c r="EX128" s="208">
        <v>0</v>
      </c>
      <c r="EY128" s="208">
        <v>-18468</v>
      </c>
      <c r="EZ128" s="208">
        <v>2750</v>
      </c>
      <c r="FA128" s="208">
        <v>0</v>
      </c>
      <c r="FB128" s="208">
        <v>2750</v>
      </c>
      <c r="FC128" s="208">
        <v>-75134</v>
      </c>
      <c r="FD128" s="208">
        <v>0</v>
      </c>
      <c r="FE128" s="208">
        <v>-75134</v>
      </c>
      <c r="FF128" s="208">
        <v>-80614</v>
      </c>
      <c r="FG128" s="208">
        <v>0</v>
      </c>
      <c r="FH128" s="208">
        <v>-80614</v>
      </c>
      <c r="FI128" s="208">
        <v>-20038</v>
      </c>
      <c r="FJ128" s="208">
        <v>0</v>
      </c>
      <c r="FK128" s="208">
        <v>-20038</v>
      </c>
      <c r="FL128" s="208">
        <v>-2000</v>
      </c>
      <c r="FM128" s="208">
        <v>0</v>
      </c>
      <c r="FN128" s="208">
        <v>-2000</v>
      </c>
      <c r="FO128" s="208">
        <v>0</v>
      </c>
      <c r="FP128" s="208">
        <v>0</v>
      </c>
      <c r="FQ128" s="208">
        <v>0</v>
      </c>
      <c r="FR128" s="208">
        <v>0</v>
      </c>
      <c r="FS128" s="208">
        <v>0</v>
      </c>
      <c r="FT128" s="208">
        <v>0</v>
      </c>
      <c r="FU128" s="208">
        <v>-194047</v>
      </c>
      <c r="FV128" s="208">
        <v>0</v>
      </c>
      <c r="FW128" s="208">
        <v>-194047</v>
      </c>
      <c r="FX128" s="208">
        <v>0</v>
      </c>
      <c r="FY128" s="208">
        <v>0</v>
      </c>
      <c r="FZ128" s="208">
        <v>0</v>
      </c>
      <c r="GA128" s="208">
        <v>0</v>
      </c>
      <c r="GB128" s="208">
        <v>0</v>
      </c>
      <c r="GC128" s="208">
        <v>0</v>
      </c>
      <c r="GD128" s="208">
        <v>0</v>
      </c>
      <c r="GE128" s="208">
        <v>0</v>
      </c>
      <c r="GF128" s="208">
        <v>0</v>
      </c>
      <c r="GG128" s="208">
        <v>35922141</v>
      </c>
      <c r="GH128" s="208">
        <v>0</v>
      </c>
      <c r="GI128" s="208">
        <v>35922141</v>
      </c>
      <c r="GJ128" s="208">
        <v>-183423</v>
      </c>
      <c r="GK128" s="208">
        <v>0</v>
      </c>
      <c r="GL128" s="208">
        <v>-183423</v>
      </c>
      <c r="GM128" s="208">
        <v>-3517276</v>
      </c>
      <c r="GN128" s="208">
        <v>0</v>
      </c>
      <c r="GO128" s="208">
        <v>-3517276</v>
      </c>
      <c r="GP128" s="208">
        <v>-1953782</v>
      </c>
      <c r="GQ128" s="208">
        <v>0</v>
      </c>
      <c r="GR128" s="208">
        <v>-1953782</v>
      </c>
      <c r="GS128" s="208">
        <v>-147904</v>
      </c>
      <c r="GT128" s="208">
        <v>0</v>
      </c>
      <c r="GU128" s="208">
        <v>-147904</v>
      </c>
      <c r="GV128" s="208">
        <v>-194047</v>
      </c>
      <c r="GW128" s="208">
        <v>0</v>
      </c>
      <c r="GX128" s="208">
        <v>-194047</v>
      </c>
      <c r="GY128" s="208">
        <v>0</v>
      </c>
      <c r="GZ128" s="208">
        <v>0</v>
      </c>
      <c r="HA128" s="208">
        <v>0</v>
      </c>
      <c r="HB128" s="208">
        <v>-5996432</v>
      </c>
      <c r="HC128" s="208">
        <v>0</v>
      </c>
      <c r="HD128" s="208">
        <v>-5996432</v>
      </c>
      <c r="HE128" s="208">
        <v>29925709</v>
      </c>
      <c r="HF128" s="208">
        <v>0</v>
      </c>
      <c r="HG128" s="208">
        <v>29925709</v>
      </c>
      <c r="HH128" s="187" t="s">
        <v>1054</v>
      </c>
    </row>
    <row r="129" spans="1:216" s="187" customFormat="1" x14ac:dyDescent="0.2">
      <c r="B129" s="429" t="s">
        <v>335</v>
      </c>
      <c r="C129" s="429" t="s">
        <v>334</v>
      </c>
      <c r="D129" s="208">
        <v>-555188</v>
      </c>
      <c r="E129" s="208">
        <v>-1345</v>
      </c>
      <c r="F129" s="208">
        <v>-556533</v>
      </c>
      <c r="G129" s="208">
        <v>18087</v>
      </c>
      <c r="H129" s="208">
        <v>0</v>
      </c>
      <c r="I129" s="208">
        <v>18087</v>
      </c>
      <c r="J129" s="208">
        <v>1801301</v>
      </c>
      <c r="K129" s="208">
        <v>0</v>
      </c>
      <c r="L129" s="208">
        <v>1801301</v>
      </c>
      <c r="M129" s="208">
        <v>-95383</v>
      </c>
      <c r="N129" s="208">
        <v>0</v>
      </c>
      <c r="O129" s="208">
        <v>-95383</v>
      </c>
      <c r="P129" s="208">
        <v>1168817</v>
      </c>
      <c r="Q129" s="208">
        <v>-1345</v>
      </c>
      <c r="R129" s="208">
        <v>1167472</v>
      </c>
      <c r="S129" s="208">
        <v>-2972497</v>
      </c>
      <c r="T129" s="208">
        <v>0</v>
      </c>
      <c r="U129" s="208">
        <v>-2972497</v>
      </c>
      <c r="V129" s="208">
        <v>-4326</v>
      </c>
      <c r="W129" s="208">
        <v>0</v>
      </c>
      <c r="X129" s="208">
        <v>-4326</v>
      </c>
      <c r="Y129" s="208">
        <v>-93193</v>
      </c>
      <c r="Z129" s="208">
        <v>0</v>
      </c>
      <c r="AA129" s="208">
        <v>-93193</v>
      </c>
      <c r="AB129" s="208">
        <v>-18260</v>
      </c>
      <c r="AC129" s="208">
        <v>0</v>
      </c>
      <c r="AD129" s="208">
        <v>-18260</v>
      </c>
      <c r="AE129" s="208">
        <v>-73727</v>
      </c>
      <c r="AF129" s="208">
        <v>0</v>
      </c>
      <c r="AG129" s="208">
        <v>-73727</v>
      </c>
      <c r="AH129" s="208">
        <v>0</v>
      </c>
      <c r="AI129" s="208">
        <v>0</v>
      </c>
      <c r="AJ129" s="208">
        <v>0</v>
      </c>
      <c r="AK129" s="208">
        <v>0</v>
      </c>
      <c r="AL129" s="208">
        <v>0</v>
      </c>
      <c r="AM129" s="208">
        <v>0</v>
      </c>
      <c r="AN129" s="208">
        <v>782080</v>
      </c>
      <c r="AO129" s="208">
        <v>2119</v>
      </c>
      <c r="AP129" s="208">
        <v>784199</v>
      </c>
      <c r="AQ129" s="208">
        <v>126686</v>
      </c>
      <c r="AR129" s="208">
        <v>-18</v>
      </c>
      <c r="AS129" s="208">
        <v>126668</v>
      </c>
      <c r="AT129" s="208">
        <v>-2449120</v>
      </c>
      <c r="AU129" s="208">
        <v>0</v>
      </c>
      <c r="AV129" s="208">
        <v>-2449120</v>
      </c>
      <c r="AW129" s="208">
        <v>-74307</v>
      </c>
      <c r="AX129" s="208">
        <v>0</v>
      </c>
      <c r="AY129" s="208">
        <v>-74307</v>
      </c>
      <c r="AZ129" s="208">
        <v>-25596</v>
      </c>
      <c r="BA129" s="208">
        <v>0</v>
      </c>
      <c r="BB129" s="208">
        <v>-25596</v>
      </c>
      <c r="BC129" s="208">
        <v>0</v>
      </c>
      <c r="BD129" s="208">
        <v>0</v>
      </c>
      <c r="BE129" s="208">
        <v>0</v>
      </c>
      <c r="BF129" s="208">
        <v>0</v>
      </c>
      <c r="BG129" s="208">
        <v>0</v>
      </c>
      <c r="BH129" s="208">
        <v>0</v>
      </c>
      <c r="BI129" s="208">
        <v>0</v>
      </c>
      <c r="BJ129" s="208">
        <v>0</v>
      </c>
      <c r="BK129" s="208">
        <v>0</v>
      </c>
      <c r="BL129" s="208">
        <v>-4705947</v>
      </c>
      <c r="BM129" s="208">
        <v>2101</v>
      </c>
      <c r="BN129" s="208">
        <v>-4703846</v>
      </c>
      <c r="BO129" s="208">
        <v>-35761</v>
      </c>
      <c r="BP129" s="208">
        <v>0</v>
      </c>
      <c r="BQ129" s="208">
        <v>-35761</v>
      </c>
      <c r="BR129" s="208">
        <v>-3218</v>
      </c>
      <c r="BS129" s="208">
        <v>0</v>
      </c>
      <c r="BT129" s="208">
        <v>-3218</v>
      </c>
      <c r="BU129" s="208">
        <v>-759303</v>
      </c>
      <c r="BV129" s="208">
        <v>-2345</v>
      </c>
      <c r="BW129" s="208">
        <v>-761648</v>
      </c>
      <c r="BX129" s="208">
        <v>-7320</v>
      </c>
      <c r="BY129" s="208">
        <v>0</v>
      </c>
      <c r="BZ129" s="208">
        <v>-7320</v>
      </c>
      <c r="CA129" s="208">
        <v>-805602</v>
      </c>
      <c r="CB129" s="208">
        <v>-2345</v>
      </c>
      <c r="CC129" s="208">
        <v>-807947</v>
      </c>
      <c r="CD129" s="208">
        <v>-115811</v>
      </c>
      <c r="CE129" s="208">
        <v>0</v>
      </c>
      <c r="CF129" s="208">
        <v>-115811</v>
      </c>
      <c r="CG129" s="208">
        <v>945</v>
      </c>
      <c r="CH129" s="208">
        <v>0</v>
      </c>
      <c r="CI129" s="208">
        <v>945</v>
      </c>
      <c r="CJ129" s="208">
        <v>-28847</v>
      </c>
      <c r="CK129" s="208">
        <v>0</v>
      </c>
      <c r="CL129" s="208">
        <v>-28847</v>
      </c>
      <c r="CM129" s="208">
        <v>172</v>
      </c>
      <c r="CN129" s="208">
        <v>0</v>
      </c>
      <c r="CO129" s="208">
        <v>172</v>
      </c>
      <c r="CP129" s="208">
        <v>-1940</v>
      </c>
      <c r="CQ129" s="208">
        <v>0</v>
      </c>
      <c r="CR129" s="208">
        <v>-1940</v>
      </c>
      <c r="CS129" s="208">
        <v>0</v>
      </c>
      <c r="CT129" s="208">
        <v>0</v>
      </c>
      <c r="CU129" s="208">
        <v>0</v>
      </c>
      <c r="CV129" s="208">
        <v>0</v>
      </c>
      <c r="CW129" s="208">
        <v>0</v>
      </c>
      <c r="CX129" s="208">
        <v>0</v>
      </c>
      <c r="CY129" s="208">
        <v>0</v>
      </c>
      <c r="CZ129" s="208">
        <v>0</v>
      </c>
      <c r="DA129" s="208">
        <v>0</v>
      </c>
      <c r="DB129" s="208">
        <v>0</v>
      </c>
      <c r="DC129" s="208">
        <v>0</v>
      </c>
      <c r="DD129" s="208">
        <v>0</v>
      </c>
      <c r="DE129" s="208">
        <v>0</v>
      </c>
      <c r="DF129" s="208">
        <v>0</v>
      </c>
      <c r="DG129" s="208">
        <v>0</v>
      </c>
      <c r="DH129" s="208">
        <v>0</v>
      </c>
      <c r="DI129" s="208">
        <v>-57574</v>
      </c>
      <c r="DJ129" s="208">
        <v>-57574</v>
      </c>
      <c r="DK129" s="208">
        <v>0</v>
      </c>
      <c r="DL129" s="208">
        <v>683</v>
      </c>
      <c r="DM129" s="208">
        <v>683</v>
      </c>
      <c r="DN129" s="208">
        <v>-56891</v>
      </c>
      <c r="DO129" s="208">
        <v>0</v>
      </c>
      <c r="DP129" s="208">
        <v>-145481</v>
      </c>
      <c r="DQ129" s="208">
        <v>-56891</v>
      </c>
      <c r="DR129" s="208">
        <v>-202372</v>
      </c>
      <c r="DS129" s="208">
        <v>0</v>
      </c>
      <c r="DT129" s="208">
        <v>0</v>
      </c>
      <c r="DU129" s="208">
        <v>0</v>
      </c>
      <c r="DV129" s="208">
        <v>0</v>
      </c>
      <c r="DW129" s="208">
        <v>0</v>
      </c>
      <c r="DX129" s="208">
        <v>0</v>
      </c>
      <c r="DY129" s="208">
        <v>131</v>
      </c>
      <c r="DZ129" s="208">
        <v>0</v>
      </c>
      <c r="EA129" s="208">
        <v>131</v>
      </c>
      <c r="EB129" s="208">
        <v>0</v>
      </c>
      <c r="EC129" s="208">
        <v>0</v>
      </c>
      <c r="ED129" s="208">
        <v>0</v>
      </c>
      <c r="EE129" s="208">
        <v>0</v>
      </c>
      <c r="EF129" s="208">
        <v>0</v>
      </c>
      <c r="EG129" s="208">
        <v>0</v>
      </c>
      <c r="EH129" s="208">
        <v>0</v>
      </c>
      <c r="EI129" s="208">
        <v>0</v>
      </c>
      <c r="EJ129" s="208">
        <v>0</v>
      </c>
      <c r="EK129" s="208">
        <v>0</v>
      </c>
      <c r="EL129" s="208">
        <v>0</v>
      </c>
      <c r="EM129" s="208">
        <v>0</v>
      </c>
      <c r="EN129" s="208">
        <v>0</v>
      </c>
      <c r="EO129" s="208">
        <v>0</v>
      </c>
      <c r="EP129" s="208">
        <v>0</v>
      </c>
      <c r="EQ129" s="208">
        <v>-186</v>
      </c>
      <c r="ER129" s="208">
        <v>0</v>
      </c>
      <c r="ES129" s="208">
        <v>-186</v>
      </c>
      <c r="ET129" s="208">
        <v>0</v>
      </c>
      <c r="EU129" s="208">
        <v>0</v>
      </c>
      <c r="EV129" s="208">
        <v>0</v>
      </c>
      <c r="EW129" s="208">
        <v>-29340</v>
      </c>
      <c r="EX129" s="208">
        <v>0</v>
      </c>
      <c r="EY129" s="208">
        <v>-29340</v>
      </c>
      <c r="EZ129" s="208">
        <v>0</v>
      </c>
      <c r="FA129" s="208">
        <v>0</v>
      </c>
      <c r="FB129" s="208">
        <v>0</v>
      </c>
      <c r="FC129" s="208">
        <v>-54585</v>
      </c>
      <c r="FD129" s="208">
        <v>0</v>
      </c>
      <c r="FE129" s="208">
        <v>-54585</v>
      </c>
      <c r="FF129" s="208">
        <v>0</v>
      </c>
      <c r="FG129" s="208">
        <v>0</v>
      </c>
      <c r="FH129" s="208">
        <v>0</v>
      </c>
      <c r="FI129" s="208">
        <v>-23074</v>
      </c>
      <c r="FJ129" s="208">
        <v>0</v>
      </c>
      <c r="FK129" s="208">
        <v>-23074</v>
      </c>
      <c r="FL129" s="208">
        <v>-488</v>
      </c>
      <c r="FM129" s="208">
        <v>0</v>
      </c>
      <c r="FN129" s="208">
        <v>-488</v>
      </c>
      <c r="FO129" s="208">
        <v>0</v>
      </c>
      <c r="FP129" s="208">
        <v>0</v>
      </c>
      <c r="FQ129" s="208">
        <v>0</v>
      </c>
      <c r="FR129" s="208">
        <v>0</v>
      </c>
      <c r="FS129" s="208">
        <v>0</v>
      </c>
      <c r="FT129" s="208">
        <v>0</v>
      </c>
      <c r="FU129" s="208">
        <v>-107542</v>
      </c>
      <c r="FV129" s="208">
        <v>0</v>
      </c>
      <c r="FW129" s="208">
        <v>-107542</v>
      </c>
      <c r="FX129" s="208">
        <v>0</v>
      </c>
      <c r="FY129" s="208">
        <v>0</v>
      </c>
      <c r="FZ129" s="208">
        <v>0</v>
      </c>
      <c r="GA129" s="208">
        <v>0</v>
      </c>
      <c r="GB129" s="208">
        <v>0</v>
      </c>
      <c r="GC129" s="208">
        <v>0</v>
      </c>
      <c r="GD129" s="208">
        <v>0</v>
      </c>
      <c r="GE129" s="208">
        <v>0</v>
      </c>
      <c r="GF129" s="208">
        <v>0</v>
      </c>
      <c r="GG129" s="208">
        <v>36400508</v>
      </c>
      <c r="GH129" s="208">
        <v>135647</v>
      </c>
      <c r="GI129" s="208">
        <v>36536155</v>
      </c>
      <c r="GJ129" s="208">
        <v>1168817</v>
      </c>
      <c r="GK129" s="208">
        <v>-1345</v>
      </c>
      <c r="GL129" s="208">
        <v>1167472</v>
      </c>
      <c r="GM129" s="208">
        <v>-4705947</v>
      </c>
      <c r="GN129" s="208">
        <v>2101</v>
      </c>
      <c r="GO129" s="208">
        <v>-4703846</v>
      </c>
      <c r="GP129" s="208">
        <v>-805602</v>
      </c>
      <c r="GQ129" s="208">
        <v>-2345</v>
      </c>
      <c r="GR129" s="208">
        <v>-807947</v>
      </c>
      <c r="GS129" s="208">
        <v>-145481</v>
      </c>
      <c r="GT129" s="208">
        <v>-56891</v>
      </c>
      <c r="GU129" s="208">
        <v>-202372</v>
      </c>
      <c r="GV129" s="208">
        <v>-107542</v>
      </c>
      <c r="GW129" s="208">
        <v>0</v>
      </c>
      <c r="GX129" s="208">
        <v>-107542</v>
      </c>
      <c r="GY129" s="208">
        <v>0</v>
      </c>
      <c r="GZ129" s="208">
        <v>0</v>
      </c>
      <c r="HA129" s="208">
        <v>0</v>
      </c>
      <c r="HB129" s="208">
        <v>-4595755</v>
      </c>
      <c r="HC129" s="208">
        <v>-58480</v>
      </c>
      <c r="HD129" s="208">
        <v>-4654235</v>
      </c>
      <c r="HE129" s="208">
        <v>31804753</v>
      </c>
      <c r="HF129" s="208">
        <v>77167</v>
      </c>
      <c r="HG129" s="208">
        <v>31881920</v>
      </c>
      <c r="HH129" s="187" t="s">
        <v>742</v>
      </c>
    </row>
    <row r="130" spans="1:216" s="187" customFormat="1" x14ac:dyDescent="0.2">
      <c r="B130" s="429" t="s">
        <v>337</v>
      </c>
      <c r="C130" s="429" t="s">
        <v>336</v>
      </c>
      <c r="D130" s="208">
        <v>-684151</v>
      </c>
      <c r="E130" s="208">
        <v>0</v>
      </c>
      <c r="F130" s="208">
        <v>-684151</v>
      </c>
      <c r="G130" s="208">
        <v>26265</v>
      </c>
      <c r="H130" s="208">
        <v>0</v>
      </c>
      <c r="I130" s="208">
        <v>26265</v>
      </c>
      <c r="J130" s="208">
        <v>642409</v>
      </c>
      <c r="K130" s="208">
        <v>0</v>
      </c>
      <c r="L130" s="208">
        <v>642409</v>
      </c>
      <c r="M130" s="208">
        <v>12253</v>
      </c>
      <c r="N130" s="208">
        <v>0</v>
      </c>
      <c r="O130" s="208">
        <v>12253</v>
      </c>
      <c r="P130" s="208">
        <v>-3224</v>
      </c>
      <c r="Q130" s="208">
        <v>0</v>
      </c>
      <c r="R130" s="208">
        <v>-3224</v>
      </c>
      <c r="S130" s="208">
        <v>-3420137</v>
      </c>
      <c r="T130" s="208">
        <v>0</v>
      </c>
      <c r="U130" s="208">
        <v>-3420137</v>
      </c>
      <c r="V130" s="208">
        <v>-18364</v>
      </c>
      <c r="W130" s="208">
        <v>0</v>
      </c>
      <c r="X130" s="208">
        <v>-18364</v>
      </c>
      <c r="Y130" s="208">
        <v>12291</v>
      </c>
      <c r="Z130" s="208">
        <v>0</v>
      </c>
      <c r="AA130" s="208">
        <v>12291</v>
      </c>
      <c r="AB130" s="208">
        <v>15929</v>
      </c>
      <c r="AC130" s="208">
        <v>0</v>
      </c>
      <c r="AD130" s="208">
        <v>15929</v>
      </c>
      <c r="AE130" s="208">
        <v>1423</v>
      </c>
      <c r="AF130" s="208">
        <v>0</v>
      </c>
      <c r="AG130" s="208">
        <v>1423</v>
      </c>
      <c r="AH130" s="208">
        <v>881</v>
      </c>
      <c r="AI130" s="208">
        <v>0</v>
      </c>
      <c r="AJ130" s="208">
        <v>881</v>
      </c>
      <c r="AK130" s="208">
        <v>-5597</v>
      </c>
      <c r="AL130" s="208">
        <v>0</v>
      </c>
      <c r="AM130" s="208">
        <v>-5597</v>
      </c>
      <c r="AN130" s="208">
        <v>516694</v>
      </c>
      <c r="AO130" s="208">
        <v>0</v>
      </c>
      <c r="AP130" s="208">
        <v>516694</v>
      </c>
      <c r="AQ130" s="208">
        <v>26237</v>
      </c>
      <c r="AR130" s="208">
        <v>0</v>
      </c>
      <c r="AS130" s="208">
        <v>26237</v>
      </c>
      <c r="AT130" s="208">
        <v>-3284262</v>
      </c>
      <c r="AU130" s="208">
        <v>0</v>
      </c>
      <c r="AV130" s="208">
        <v>-3284262</v>
      </c>
      <c r="AW130" s="208">
        <v>-112877</v>
      </c>
      <c r="AX130" s="208">
        <v>0</v>
      </c>
      <c r="AY130" s="208">
        <v>-112877</v>
      </c>
      <c r="AZ130" s="208">
        <v>-39775</v>
      </c>
      <c r="BA130" s="208">
        <v>0</v>
      </c>
      <c r="BB130" s="208">
        <v>-39775</v>
      </c>
      <c r="BC130" s="208">
        <v>0</v>
      </c>
      <c r="BD130" s="208">
        <v>0</v>
      </c>
      <c r="BE130" s="208">
        <v>0</v>
      </c>
      <c r="BF130" s="208">
        <v>0</v>
      </c>
      <c r="BG130" s="208">
        <v>0</v>
      </c>
      <c r="BH130" s="208">
        <v>0</v>
      </c>
      <c r="BI130" s="208">
        <v>0</v>
      </c>
      <c r="BJ130" s="208">
        <v>0</v>
      </c>
      <c r="BK130" s="208">
        <v>0</v>
      </c>
      <c r="BL130" s="208">
        <v>-6301829</v>
      </c>
      <c r="BM130" s="208">
        <v>0</v>
      </c>
      <c r="BN130" s="208">
        <v>-6301829</v>
      </c>
      <c r="BO130" s="208">
        <v>0</v>
      </c>
      <c r="BP130" s="208">
        <v>0</v>
      </c>
      <c r="BQ130" s="208">
        <v>0</v>
      </c>
      <c r="BR130" s="208">
        <v>-5639</v>
      </c>
      <c r="BS130" s="208">
        <v>0</v>
      </c>
      <c r="BT130" s="208">
        <v>-5639</v>
      </c>
      <c r="BU130" s="208">
        <v>-573008</v>
      </c>
      <c r="BV130" s="208">
        <v>0</v>
      </c>
      <c r="BW130" s="208">
        <v>-573008</v>
      </c>
      <c r="BX130" s="208">
        <v>-20668</v>
      </c>
      <c r="BY130" s="208">
        <v>0</v>
      </c>
      <c r="BZ130" s="208">
        <v>-20668</v>
      </c>
      <c r="CA130" s="208">
        <v>-599315</v>
      </c>
      <c r="CB130" s="208">
        <v>0</v>
      </c>
      <c r="CC130" s="208">
        <v>-599315</v>
      </c>
      <c r="CD130" s="208">
        <v>-125324</v>
      </c>
      <c r="CE130" s="208">
        <v>0</v>
      </c>
      <c r="CF130" s="208">
        <v>-125324</v>
      </c>
      <c r="CG130" s="208">
        <v>-24636</v>
      </c>
      <c r="CH130" s="208">
        <v>0</v>
      </c>
      <c r="CI130" s="208">
        <v>-24636</v>
      </c>
      <c r="CJ130" s="208">
        <v>-43801</v>
      </c>
      <c r="CK130" s="208">
        <v>0</v>
      </c>
      <c r="CL130" s="208">
        <v>-43801</v>
      </c>
      <c r="CM130" s="208">
        <v>-226</v>
      </c>
      <c r="CN130" s="208">
        <v>0</v>
      </c>
      <c r="CO130" s="208">
        <v>-226</v>
      </c>
      <c r="CP130" s="208">
        <v>-542</v>
      </c>
      <c r="CQ130" s="208">
        <v>0</v>
      </c>
      <c r="CR130" s="208">
        <v>-542</v>
      </c>
      <c r="CS130" s="208">
        <v>0</v>
      </c>
      <c r="CT130" s="208">
        <v>0</v>
      </c>
      <c r="CU130" s="208">
        <v>0</v>
      </c>
      <c r="CV130" s="208">
        <v>0</v>
      </c>
      <c r="CW130" s="208">
        <v>0</v>
      </c>
      <c r="CX130" s="208">
        <v>0</v>
      </c>
      <c r="CY130" s="208">
        <v>0</v>
      </c>
      <c r="CZ130" s="208">
        <v>0</v>
      </c>
      <c r="DA130" s="208">
        <v>0</v>
      </c>
      <c r="DB130" s="208">
        <v>0</v>
      </c>
      <c r="DC130" s="208">
        <v>0</v>
      </c>
      <c r="DD130" s="208">
        <v>0</v>
      </c>
      <c r="DE130" s="208">
        <v>0</v>
      </c>
      <c r="DF130" s="208">
        <v>0</v>
      </c>
      <c r="DG130" s="208">
        <v>0</v>
      </c>
      <c r="DH130" s="208">
        <v>0</v>
      </c>
      <c r="DI130" s="208">
        <v>0</v>
      </c>
      <c r="DJ130" s="208">
        <v>0</v>
      </c>
      <c r="DK130" s="208">
        <v>0</v>
      </c>
      <c r="DL130" s="208">
        <v>0</v>
      </c>
      <c r="DM130" s="208">
        <v>0</v>
      </c>
      <c r="DN130" s="208">
        <v>0</v>
      </c>
      <c r="DO130" s="208">
        <v>0</v>
      </c>
      <c r="DP130" s="208">
        <v>-194529</v>
      </c>
      <c r="DQ130" s="208">
        <v>0</v>
      </c>
      <c r="DR130" s="208">
        <v>-194529</v>
      </c>
      <c r="DS130" s="208">
        <v>0</v>
      </c>
      <c r="DT130" s="208">
        <v>0</v>
      </c>
      <c r="DU130" s="208">
        <v>0</v>
      </c>
      <c r="DV130" s="208">
        <v>0</v>
      </c>
      <c r="DW130" s="208">
        <v>0</v>
      </c>
      <c r="DX130" s="208">
        <v>0</v>
      </c>
      <c r="DY130" s="208">
        <v>480</v>
      </c>
      <c r="DZ130" s="208">
        <v>0</v>
      </c>
      <c r="EA130" s="208">
        <v>480</v>
      </c>
      <c r="EB130" s="208">
        <v>0</v>
      </c>
      <c r="EC130" s="208">
        <v>0</v>
      </c>
      <c r="ED130" s="208">
        <v>0</v>
      </c>
      <c r="EE130" s="208">
        <v>0</v>
      </c>
      <c r="EF130" s="208">
        <v>0</v>
      </c>
      <c r="EG130" s="208">
        <v>0</v>
      </c>
      <c r="EH130" s="208">
        <v>0</v>
      </c>
      <c r="EI130" s="208">
        <v>0</v>
      </c>
      <c r="EJ130" s="208">
        <v>0</v>
      </c>
      <c r="EK130" s="208">
        <v>0</v>
      </c>
      <c r="EL130" s="208">
        <v>0</v>
      </c>
      <c r="EM130" s="208">
        <v>0</v>
      </c>
      <c r="EN130" s="208">
        <v>0</v>
      </c>
      <c r="EO130" s="208">
        <v>0</v>
      </c>
      <c r="EP130" s="208">
        <v>0</v>
      </c>
      <c r="EQ130" s="208">
        <v>-555</v>
      </c>
      <c r="ER130" s="208">
        <v>0</v>
      </c>
      <c r="ES130" s="208">
        <v>-555</v>
      </c>
      <c r="ET130" s="208">
        <v>0</v>
      </c>
      <c r="EU130" s="208">
        <v>0</v>
      </c>
      <c r="EV130" s="208">
        <v>0</v>
      </c>
      <c r="EW130" s="208">
        <v>-37563</v>
      </c>
      <c r="EX130" s="208">
        <v>0</v>
      </c>
      <c r="EY130" s="208">
        <v>-37563</v>
      </c>
      <c r="EZ130" s="208">
        <v>0</v>
      </c>
      <c r="FA130" s="208">
        <v>0</v>
      </c>
      <c r="FB130" s="208">
        <v>0</v>
      </c>
      <c r="FC130" s="208">
        <v>-110668</v>
      </c>
      <c r="FD130" s="208">
        <v>0</v>
      </c>
      <c r="FE130" s="208">
        <v>-110668</v>
      </c>
      <c r="FF130" s="208">
        <v>334</v>
      </c>
      <c r="FG130" s="208">
        <v>0</v>
      </c>
      <c r="FH130" s="208">
        <v>334</v>
      </c>
      <c r="FI130" s="208">
        <v>-36817</v>
      </c>
      <c r="FJ130" s="208">
        <v>0</v>
      </c>
      <c r="FK130" s="208">
        <v>-36817</v>
      </c>
      <c r="FL130" s="208">
        <v>-2978</v>
      </c>
      <c r="FM130" s="208">
        <v>0</v>
      </c>
      <c r="FN130" s="208">
        <v>-2978</v>
      </c>
      <c r="FO130" s="208">
        <v>0</v>
      </c>
      <c r="FP130" s="208">
        <v>0</v>
      </c>
      <c r="FQ130" s="208">
        <v>0</v>
      </c>
      <c r="FR130" s="208">
        <v>0</v>
      </c>
      <c r="FS130" s="208">
        <v>0</v>
      </c>
      <c r="FT130" s="208">
        <v>0</v>
      </c>
      <c r="FU130" s="208">
        <v>-187767</v>
      </c>
      <c r="FV130" s="208">
        <v>0</v>
      </c>
      <c r="FW130" s="208">
        <v>-187767</v>
      </c>
      <c r="FX130" s="208">
        <v>0</v>
      </c>
      <c r="FY130" s="208">
        <v>0</v>
      </c>
      <c r="FZ130" s="208">
        <v>0</v>
      </c>
      <c r="GA130" s="208">
        <v>0</v>
      </c>
      <c r="GB130" s="208">
        <v>0</v>
      </c>
      <c r="GC130" s="208">
        <v>0</v>
      </c>
      <c r="GD130" s="208">
        <v>0</v>
      </c>
      <c r="GE130" s="208">
        <v>0</v>
      </c>
      <c r="GF130" s="208">
        <v>0</v>
      </c>
      <c r="GG130" s="208">
        <v>29723845</v>
      </c>
      <c r="GH130" s="208">
        <v>0</v>
      </c>
      <c r="GI130" s="208">
        <v>29723845</v>
      </c>
      <c r="GJ130" s="208">
        <v>-3224</v>
      </c>
      <c r="GK130" s="208">
        <v>0</v>
      </c>
      <c r="GL130" s="208">
        <v>-3224</v>
      </c>
      <c r="GM130" s="208">
        <v>-6301829</v>
      </c>
      <c r="GN130" s="208">
        <v>0</v>
      </c>
      <c r="GO130" s="208">
        <v>-6301829</v>
      </c>
      <c r="GP130" s="208">
        <v>-599315</v>
      </c>
      <c r="GQ130" s="208">
        <v>0</v>
      </c>
      <c r="GR130" s="208">
        <v>-599315</v>
      </c>
      <c r="GS130" s="208">
        <v>-194529</v>
      </c>
      <c r="GT130" s="208">
        <v>0</v>
      </c>
      <c r="GU130" s="208">
        <v>-194529</v>
      </c>
      <c r="GV130" s="208">
        <v>-187767</v>
      </c>
      <c r="GW130" s="208">
        <v>0</v>
      </c>
      <c r="GX130" s="208">
        <v>-187767</v>
      </c>
      <c r="GY130" s="208">
        <v>0</v>
      </c>
      <c r="GZ130" s="208">
        <v>0</v>
      </c>
      <c r="HA130" s="208">
        <v>0</v>
      </c>
      <c r="HB130" s="208">
        <v>-7286664</v>
      </c>
      <c r="HC130" s="208">
        <v>0</v>
      </c>
      <c r="HD130" s="208">
        <v>-7286664</v>
      </c>
      <c r="HE130" s="208">
        <v>22437181</v>
      </c>
      <c r="HF130" s="208">
        <v>0</v>
      </c>
      <c r="HG130" s="208">
        <v>22437181</v>
      </c>
      <c r="HH130" s="187" t="s">
        <v>1054</v>
      </c>
    </row>
    <row r="131" spans="1:216" s="187" customFormat="1" x14ac:dyDescent="0.2">
      <c r="B131" s="429" t="s">
        <v>339</v>
      </c>
      <c r="C131" s="429" t="s">
        <v>338</v>
      </c>
      <c r="D131" s="208">
        <v>-573857</v>
      </c>
      <c r="E131" s="208">
        <v>0</v>
      </c>
      <c r="F131" s="208">
        <v>-573857</v>
      </c>
      <c r="G131" s="208">
        <v>10233</v>
      </c>
      <c r="H131" s="208">
        <v>0</v>
      </c>
      <c r="I131" s="208">
        <v>10233</v>
      </c>
      <c r="J131" s="208">
        <v>1441481</v>
      </c>
      <c r="K131" s="208">
        <v>0</v>
      </c>
      <c r="L131" s="208">
        <v>1441481</v>
      </c>
      <c r="M131" s="208">
        <v>-10154</v>
      </c>
      <c r="N131" s="208">
        <v>0</v>
      </c>
      <c r="O131" s="208">
        <v>-10154</v>
      </c>
      <c r="P131" s="208">
        <v>867703</v>
      </c>
      <c r="Q131" s="208">
        <v>0</v>
      </c>
      <c r="R131" s="208">
        <v>867703</v>
      </c>
      <c r="S131" s="208">
        <v>-3325367</v>
      </c>
      <c r="T131" s="208">
        <v>0</v>
      </c>
      <c r="U131" s="208">
        <v>-3325367</v>
      </c>
      <c r="V131" s="208">
        <v>-3455</v>
      </c>
      <c r="W131" s="208">
        <v>0</v>
      </c>
      <c r="X131" s="208">
        <v>-3455</v>
      </c>
      <c r="Y131" s="208">
        <v>-61462</v>
      </c>
      <c r="Z131" s="208">
        <v>0</v>
      </c>
      <c r="AA131" s="208">
        <v>-61462</v>
      </c>
      <c r="AB131" s="208">
        <v>-3540</v>
      </c>
      <c r="AC131" s="208">
        <v>0</v>
      </c>
      <c r="AD131" s="208">
        <v>-3540</v>
      </c>
      <c r="AE131" s="208">
        <v>-57922</v>
      </c>
      <c r="AF131" s="208">
        <v>0</v>
      </c>
      <c r="AG131" s="208">
        <v>-57922</v>
      </c>
      <c r="AH131" s="208">
        <v>0</v>
      </c>
      <c r="AI131" s="208">
        <v>0</v>
      </c>
      <c r="AJ131" s="208">
        <v>0</v>
      </c>
      <c r="AK131" s="208">
        <v>0</v>
      </c>
      <c r="AL131" s="208">
        <v>0</v>
      </c>
      <c r="AM131" s="208">
        <v>0</v>
      </c>
      <c r="AN131" s="208">
        <v>769273</v>
      </c>
      <c r="AO131" s="208">
        <v>0</v>
      </c>
      <c r="AP131" s="208">
        <v>769273</v>
      </c>
      <c r="AQ131" s="208">
        <v>-1815</v>
      </c>
      <c r="AR131" s="208">
        <v>0</v>
      </c>
      <c r="AS131" s="208">
        <v>-1815</v>
      </c>
      <c r="AT131" s="208">
        <v>-2161591</v>
      </c>
      <c r="AU131" s="208">
        <v>0</v>
      </c>
      <c r="AV131" s="208">
        <v>-2161591</v>
      </c>
      <c r="AW131" s="208">
        <v>3474</v>
      </c>
      <c r="AX131" s="208">
        <v>0</v>
      </c>
      <c r="AY131" s="208">
        <v>3474</v>
      </c>
      <c r="AZ131" s="208">
        <v>-9751</v>
      </c>
      <c r="BA131" s="208">
        <v>0</v>
      </c>
      <c r="BB131" s="208">
        <v>-9751</v>
      </c>
      <c r="BC131" s="208">
        <v>0</v>
      </c>
      <c r="BD131" s="208">
        <v>0</v>
      </c>
      <c r="BE131" s="208">
        <v>0</v>
      </c>
      <c r="BF131" s="208">
        <v>-2268</v>
      </c>
      <c r="BG131" s="208">
        <v>0</v>
      </c>
      <c r="BH131" s="208">
        <v>-2268</v>
      </c>
      <c r="BI131" s="208">
        <v>0</v>
      </c>
      <c r="BJ131" s="208">
        <v>0</v>
      </c>
      <c r="BK131" s="208">
        <v>0</v>
      </c>
      <c r="BL131" s="208">
        <v>-4789507</v>
      </c>
      <c r="BM131" s="208">
        <v>0</v>
      </c>
      <c r="BN131" s="208">
        <v>-4789507</v>
      </c>
      <c r="BO131" s="208">
        <v>0</v>
      </c>
      <c r="BP131" s="208">
        <v>0</v>
      </c>
      <c r="BQ131" s="208">
        <v>0</v>
      </c>
      <c r="BR131" s="208">
        <v>0</v>
      </c>
      <c r="BS131" s="208">
        <v>0</v>
      </c>
      <c r="BT131" s="208">
        <v>0</v>
      </c>
      <c r="BU131" s="208">
        <v>-1058524</v>
      </c>
      <c r="BV131" s="208">
        <v>0</v>
      </c>
      <c r="BW131" s="208">
        <v>-1058524</v>
      </c>
      <c r="BX131" s="208">
        <v>6131</v>
      </c>
      <c r="BY131" s="208">
        <v>0</v>
      </c>
      <c r="BZ131" s="208">
        <v>6131</v>
      </c>
      <c r="CA131" s="208">
        <v>-1052393</v>
      </c>
      <c r="CB131" s="208">
        <v>0</v>
      </c>
      <c r="CC131" s="208">
        <v>-1052393</v>
      </c>
      <c r="CD131" s="208">
        <v>-115799</v>
      </c>
      <c r="CE131" s="208">
        <v>0</v>
      </c>
      <c r="CF131" s="208">
        <v>-115799</v>
      </c>
      <c r="CG131" s="208">
        <v>0</v>
      </c>
      <c r="CH131" s="208">
        <v>0</v>
      </c>
      <c r="CI131" s="208">
        <v>0</v>
      </c>
      <c r="CJ131" s="208">
        <v>-70409</v>
      </c>
      <c r="CK131" s="208">
        <v>0</v>
      </c>
      <c r="CL131" s="208">
        <v>-70409</v>
      </c>
      <c r="CM131" s="208">
        <v>854</v>
      </c>
      <c r="CN131" s="208">
        <v>0</v>
      </c>
      <c r="CO131" s="208">
        <v>854</v>
      </c>
      <c r="CP131" s="208">
        <v>-389</v>
      </c>
      <c r="CQ131" s="208">
        <v>0</v>
      </c>
      <c r="CR131" s="208">
        <v>-389</v>
      </c>
      <c r="CS131" s="208">
        <v>0</v>
      </c>
      <c r="CT131" s="208">
        <v>0</v>
      </c>
      <c r="CU131" s="208">
        <v>0</v>
      </c>
      <c r="CV131" s="208">
        <v>0</v>
      </c>
      <c r="CW131" s="208">
        <v>0</v>
      </c>
      <c r="CX131" s="208">
        <v>0</v>
      </c>
      <c r="CY131" s="208">
        <v>0</v>
      </c>
      <c r="CZ131" s="208">
        <v>0</v>
      </c>
      <c r="DA131" s="208">
        <v>0</v>
      </c>
      <c r="DB131" s="208">
        <v>0</v>
      </c>
      <c r="DC131" s="208">
        <v>0</v>
      </c>
      <c r="DD131" s="208">
        <v>0</v>
      </c>
      <c r="DE131" s="208">
        <v>0</v>
      </c>
      <c r="DF131" s="208">
        <v>0</v>
      </c>
      <c r="DG131" s="208">
        <v>0</v>
      </c>
      <c r="DH131" s="208">
        <v>0</v>
      </c>
      <c r="DI131" s="208">
        <v>0</v>
      </c>
      <c r="DJ131" s="208">
        <v>0</v>
      </c>
      <c r="DK131" s="208">
        <v>0</v>
      </c>
      <c r="DL131" s="208">
        <v>0</v>
      </c>
      <c r="DM131" s="208">
        <v>0</v>
      </c>
      <c r="DN131" s="208">
        <v>0</v>
      </c>
      <c r="DO131" s="208">
        <v>0</v>
      </c>
      <c r="DP131" s="208">
        <v>-185743</v>
      </c>
      <c r="DQ131" s="208">
        <v>0</v>
      </c>
      <c r="DR131" s="208">
        <v>-185743</v>
      </c>
      <c r="DS131" s="208">
        <v>0</v>
      </c>
      <c r="DT131" s="208">
        <v>0</v>
      </c>
      <c r="DU131" s="208">
        <v>0</v>
      </c>
      <c r="DV131" s="208">
        <v>0</v>
      </c>
      <c r="DW131" s="208">
        <v>0</v>
      </c>
      <c r="DX131" s="208">
        <v>0</v>
      </c>
      <c r="DY131" s="208">
        <v>0</v>
      </c>
      <c r="DZ131" s="208">
        <v>0</v>
      </c>
      <c r="EA131" s="208">
        <v>0</v>
      </c>
      <c r="EB131" s="208">
        <v>0</v>
      </c>
      <c r="EC131" s="208">
        <v>0</v>
      </c>
      <c r="ED131" s="208">
        <v>0</v>
      </c>
      <c r="EE131" s="208">
        <v>0</v>
      </c>
      <c r="EF131" s="208">
        <v>0</v>
      </c>
      <c r="EG131" s="208">
        <v>0</v>
      </c>
      <c r="EH131" s="208">
        <v>0</v>
      </c>
      <c r="EI131" s="208">
        <v>0</v>
      </c>
      <c r="EJ131" s="208">
        <v>0</v>
      </c>
      <c r="EK131" s="208">
        <v>-2268</v>
      </c>
      <c r="EL131" s="208">
        <v>0</v>
      </c>
      <c r="EM131" s="208">
        <v>-2268</v>
      </c>
      <c r="EN131" s="208">
        <v>0</v>
      </c>
      <c r="EO131" s="208">
        <v>0</v>
      </c>
      <c r="EP131" s="208">
        <v>0</v>
      </c>
      <c r="EQ131" s="208">
        <v>0</v>
      </c>
      <c r="ER131" s="208">
        <v>0</v>
      </c>
      <c r="ES131" s="208">
        <v>0</v>
      </c>
      <c r="ET131" s="208">
        <v>0</v>
      </c>
      <c r="EU131" s="208">
        <v>0</v>
      </c>
      <c r="EV131" s="208">
        <v>0</v>
      </c>
      <c r="EW131" s="208">
        <v>-3760</v>
      </c>
      <c r="EX131" s="208">
        <v>0</v>
      </c>
      <c r="EY131" s="208">
        <v>-3760</v>
      </c>
      <c r="EZ131" s="208">
        <v>0</v>
      </c>
      <c r="FA131" s="208">
        <v>0</v>
      </c>
      <c r="FB131" s="208">
        <v>0</v>
      </c>
      <c r="FC131" s="208">
        <v>-77556</v>
      </c>
      <c r="FD131" s="208">
        <v>0</v>
      </c>
      <c r="FE131" s="208">
        <v>-77556</v>
      </c>
      <c r="FF131" s="208">
        <v>2777</v>
      </c>
      <c r="FG131" s="208">
        <v>0</v>
      </c>
      <c r="FH131" s="208">
        <v>2777</v>
      </c>
      <c r="FI131" s="208">
        <v>-13655</v>
      </c>
      <c r="FJ131" s="208">
        <v>0</v>
      </c>
      <c r="FK131" s="208">
        <v>-13655</v>
      </c>
      <c r="FL131" s="208">
        <v>0</v>
      </c>
      <c r="FM131" s="208">
        <v>0</v>
      </c>
      <c r="FN131" s="208">
        <v>0</v>
      </c>
      <c r="FO131" s="208">
        <v>0</v>
      </c>
      <c r="FP131" s="208">
        <v>0</v>
      </c>
      <c r="FQ131" s="208">
        <v>0</v>
      </c>
      <c r="FR131" s="208">
        <v>0</v>
      </c>
      <c r="FS131" s="208">
        <v>0</v>
      </c>
      <c r="FT131" s="208">
        <v>0</v>
      </c>
      <c r="FU131" s="208">
        <v>-94462</v>
      </c>
      <c r="FV131" s="208">
        <v>0</v>
      </c>
      <c r="FW131" s="208">
        <v>-94462</v>
      </c>
      <c r="FX131" s="208">
        <v>-7296</v>
      </c>
      <c r="FY131" s="208">
        <v>0</v>
      </c>
      <c r="FZ131" s="208">
        <v>-7296</v>
      </c>
      <c r="GA131" s="208">
        <v>-2980</v>
      </c>
      <c r="GB131" s="208">
        <v>0</v>
      </c>
      <c r="GC131" s="208">
        <v>-2980</v>
      </c>
      <c r="GD131" s="208">
        <v>-10276</v>
      </c>
      <c r="GE131" s="208">
        <v>0</v>
      </c>
      <c r="GF131" s="208">
        <v>-10276</v>
      </c>
      <c r="GG131" s="208">
        <v>40872633</v>
      </c>
      <c r="GH131" s="208">
        <v>0</v>
      </c>
      <c r="GI131" s="208">
        <v>40872633</v>
      </c>
      <c r="GJ131" s="208">
        <v>867703</v>
      </c>
      <c r="GK131" s="208">
        <v>0</v>
      </c>
      <c r="GL131" s="208">
        <v>867703</v>
      </c>
      <c r="GM131" s="208">
        <v>-4789507</v>
      </c>
      <c r="GN131" s="208">
        <v>0</v>
      </c>
      <c r="GO131" s="208">
        <v>-4789507</v>
      </c>
      <c r="GP131" s="208">
        <v>-1052393</v>
      </c>
      <c r="GQ131" s="208">
        <v>0</v>
      </c>
      <c r="GR131" s="208">
        <v>-1052393</v>
      </c>
      <c r="GS131" s="208">
        <v>-185743</v>
      </c>
      <c r="GT131" s="208">
        <v>0</v>
      </c>
      <c r="GU131" s="208">
        <v>-185743</v>
      </c>
      <c r="GV131" s="208">
        <v>-94462</v>
      </c>
      <c r="GW131" s="208">
        <v>0</v>
      </c>
      <c r="GX131" s="208">
        <v>-94462</v>
      </c>
      <c r="GY131" s="208">
        <v>-10276</v>
      </c>
      <c r="GZ131" s="208">
        <v>0</v>
      </c>
      <c r="HA131" s="208">
        <v>-10276</v>
      </c>
      <c r="HB131" s="208">
        <v>-5264678</v>
      </c>
      <c r="HC131" s="208">
        <v>0</v>
      </c>
      <c r="HD131" s="208">
        <v>-5264678</v>
      </c>
      <c r="HE131" s="208">
        <v>35607955</v>
      </c>
      <c r="HF131" s="208">
        <v>0</v>
      </c>
      <c r="HG131" s="208">
        <v>35607955</v>
      </c>
      <c r="HH131" s="187" t="s">
        <v>1054</v>
      </c>
    </row>
    <row r="132" spans="1:216" s="187" customFormat="1" x14ac:dyDescent="0.2">
      <c r="A132" s="188"/>
      <c r="B132" s="429" t="s">
        <v>341</v>
      </c>
      <c r="C132" s="429" t="s">
        <v>340</v>
      </c>
      <c r="D132" s="208">
        <v>-2902490</v>
      </c>
      <c r="E132" s="208">
        <v>0</v>
      </c>
      <c r="F132" s="208">
        <v>-2902490</v>
      </c>
      <c r="G132" s="208">
        <v>99539</v>
      </c>
      <c r="H132" s="208">
        <v>0</v>
      </c>
      <c r="I132" s="208">
        <v>99539</v>
      </c>
      <c r="J132" s="208">
        <v>1589630</v>
      </c>
      <c r="K132" s="208">
        <v>0</v>
      </c>
      <c r="L132" s="208">
        <v>1589630</v>
      </c>
      <c r="M132" s="208">
        <v>-362351</v>
      </c>
      <c r="N132" s="208">
        <v>0</v>
      </c>
      <c r="O132" s="208">
        <v>-362351</v>
      </c>
      <c r="P132" s="208">
        <v>-1575672</v>
      </c>
      <c r="Q132" s="208">
        <v>0</v>
      </c>
      <c r="R132" s="208">
        <v>-1575672</v>
      </c>
      <c r="S132" s="208">
        <v>-6423033</v>
      </c>
      <c r="T132" s="208">
        <v>0</v>
      </c>
      <c r="U132" s="208">
        <v>-6423033</v>
      </c>
      <c r="V132" s="208">
        <v>0</v>
      </c>
      <c r="W132" s="208">
        <v>0</v>
      </c>
      <c r="X132" s="208">
        <v>0</v>
      </c>
      <c r="Y132" s="208">
        <v>-242728</v>
      </c>
      <c r="Z132" s="208">
        <v>0</v>
      </c>
      <c r="AA132" s="208">
        <v>-242728</v>
      </c>
      <c r="AB132" s="208">
        <v>-59840</v>
      </c>
      <c r="AC132" s="208">
        <v>0</v>
      </c>
      <c r="AD132" s="208">
        <v>-59840</v>
      </c>
      <c r="AE132" s="208">
        <v>-171793</v>
      </c>
      <c r="AF132" s="208">
        <v>0</v>
      </c>
      <c r="AG132" s="208">
        <v>-171793</v>
      </c>
      <c r="AH132" s="208">
        <v>0</v>
      </c>
      <c r="AI132" s="208">
        <v>0</v>
      </c>
      <c r="AJ132" s="208">
        <v>0</v>
      </c>
      <c r="AK132" s="208">
        <v>0</v>
      </c>
      <c r="AL132" s="208">
        <v>0</v>
      </c>
      <c r="AM132" s="208">
        <v>0</v>
      </c>
      <c r="AN132" s="208">
        <v>1885208</v>
      </c>
      <c r="AO132" s="208">
        <v>0</v>
      </c>
      <c r="AP132" s="208">
        <v>1885208</v>
      </c>
      <c r="AQ132" s="208">
        <v>-10299</v>
      </c>
      <c r="AR132" s="208">
        <v>0</v>
      </c>
      <c r="AS132" s="208">
        <v>-10299</v>
      </c>
      <c r="AT132" s="208">
        <v>-5704306</v>
      </c>
      <c r="AU132" s="208">
        <v>0</v>
      </c>
      <c r="AV132" s="208">
        <v>-5704306</v>
      </c>
      <c r="AW132" s="208">
        <v>-139461</v>
      </c>
      <c r="AX132" s="208">
        <v>0</v>
      </c>
      <c r="AY132" s="208">
        <v>-139461</v>
      </c>
      <c r="AZ132" s="208">
        <v>-360772</v>
      </c>
      <c r="BA132" s="208">
        <v>0</v>
      </c>
      <c r="BB132" s="208">
        <v>-360772</v>
      </c>
      <c r="BC132" s="208">
        <v>0</v>
      </c>
      <c r="BD132" s="208">
        <v>0</v>
      </c>
      <c r="BE132" s="208">
        <v>0</v>
      </c>
      <c r="BF132" s="208">
        <v>0</v>
      </c>
      <c r="BG132" s="208">
        <v>0</v>
      </c>
      <c r="BH132" s="208">
        <v>0</v>
      </c>
      <c r="BI132" s="208">
        <v>0</v>
      </c>
      <c r="BJ132" s="208">
        <v>0</v>
      </c>
      <c r="BK132" s="208">
        <v>0</v>
      </c>
      <c r="BL132" s="208">
        <v>-10995391</v>
      </c>
      <c r="BM132" s="208">
        <v>0</v>
      </c>
      <c r="BN132" s="208">
        <v>-10995391</v>
      </c>
      <c r="BO132" s="208">
        <v>-193125</v>
      </c>
      <c r="BP132" s="208">
        <v>0</v>
      </c>
      <c r="BQ132" s="208">
        <v>-193125</v>
      </c>
      <c r="BR132" s="208">
        <v>28473</v>
      </c>
      <c r="BS132" s="208">
        <v>0</v>
      </c>
      <c r="BT132" s="208">
        <v>28473</v>
      </c>
      <c r="BU132" s="208">
        <v>-2558991</v>
      </c>
      <c r="BV132" s="208">
        <v>0</v>
      </c>
      <c r="BW132" s="208">
        <v>-2558991</v>
      </c>
      <c r="BX132" s="208">
        <v>27017</v>
      </c>
      <c r="BY132" s="208">
        <v>0</v>
      </c>
      <c r="BZ132" s="208">
        <v>27017</v>
      </c>
      <c r="CA132" s="208">
        <v>-2696626</v>
      </c>
      <c r="CB132" s="208">
        <v>0</v>
      </c>
      <c r="CC132" s="208">
        <v>-2696626</v>
      </c>
      <c r="CD132" s="208">
        <v>-200163</v>
      </c>
      <c r="CE132" s="208">
        <v>0</v>
      </c>
      <c r="CF132" s="208">
        <v>-200163</v>
      </c>
      <c r="CG132" s="208">
        <v>-14904</v>
      </c>
      <c r="CH132" s="208">
        <v>0</v>
      </c>
      <c r="CI132" s="208">
        <v>-14904</v>
      </c>
      <c r="CJ132" s="208">
        <v>-12683</v>
      </c>
      <c r="CK132" s="208">
        <v>0</v>
      </c>
      <c r="CL132" s="208">
        <v>-12683</v>
      </c>
      <c r="CM132" s="208">
        <v>0</v>
      </c>
      <c r="CN132" s="208">
        <v>0</v>
      </c>
      <c r="CO132" s="208">
        <v>0</v>
      </c>
      <c r="CP132" s="208">
        <v>-82198</v>
      </c>
      <c r="CQ132" s="208">
        <v>0</v>
      </c>
      <c r="CR132" s="208">
        <v>-82198</v>
      </c>
      <c r="CS132" s="208">
        <v>-10249</v>
      </c>
      <c r="CT132" s="208">
        <v>0</v>
      </c>
      <c r="CU132" s="208">
        <v>-10249</v>
      </c>
      <c r="CV132" s="208">
        <v>0</v>
      </c>
      <c r="CW132" s="208">
        <v>0</v>
      </c>
      <c r="CX132" s="208">
        <v>0</v>
      </c>
      <c r="CY132" s="208">
        <v>0</v>
      </c>
      <c r="CZ132" s="208">
        <v>0</v>
      </c>
      <c r="DA132" s="208">
        <v>0</v>
      </c>
      <c r="DB132" s="208">
        <v>0</v>
      </c>
      <c r="DC132" s="208">
        <v>0</v>
      </c>
      <c r="DD132" s="208">
        <v>0</v>
      </c>
      <c r="DE132" s="208">
        <v>0</v>
      </c>
      <c r="DF132" s="208">
        <v>0</v>
      </c>
      <c r="DG132" s="208">
        <v>0</v>
      </c>
      <c r="DH132" s="208">
        <v>0</v>
      </c>
      <c r="DI132" s="208">
        <v>0</v>
      </c>
      <c r="DJ132" s="208">
        <v>0</v>
      </c>
      <c r="DK132" s="208">
        <v>0</v>
      </c>
      <c r="DL132" s="208">
        <v>0</v>
      </c>
      <c r="DM132" s="208">
        <v>0</v>
      </c>
      <c r="DN132" s="208">
        <v>0</v>
      </c>
      <c r="DO132" s="208">
        <v>0</v>
      </c>
      <c r="DP132" s="208">
        <v>-320197</v>
      </c>
      <c r="DQ132" s="208">
        <v>0</v>
      </c>
      <c r="DR132" s="208">
        <v>-320197</v>
      </c>
      <c r="DS132" s="208">
        <v>0</v>
      </c>
      <c r="DT132" s="208">
        <v>0</v>
      </c>
      <c r="DU132" s="208">
        <v>0</v>
      </c>
      <c r="DV132" s="208">
        <v>24073.86</v>
      </c>
      <c r="DW132" s="208">
        <v>0</v>
      </c>
      <c r="DX132" s="208">
        <v>24073.86</v>
      </c>
      <c r="DY132" s="208">
        <v>0</v>
      </c>
      <c r="DZ132" s="208">
        <v>0</v>
      </c>
      <c r="EA132" s="208">
        <v>0</v>
      </c>
      <c r="EB132" s="208">
        <v>0</v>
      </c>
      <c r="EC132" s="208">
        <v>0</v>
      </c>
      <c r="ED132" s="208">
        <v>0</v>
      </c>
      <c r="EE132" s="208">
        <v>0</v>
      </c>
      <c r="EF132" s="208">
        <v>0</v>
      </c>
      <c r="EG132" s="208">
        <v>0</v>
      </c>
      <c r="EH132" s="208">
        <v>0</v>
      </c>
      <c r="EI132" s="208">
        <v>0</v>
      </c>
      <c r="EJ132" s="208">
        <v>0</v>
      </c>
      <c r="EK132" s="208">
        <v>0</v>
      </c>
      <c r="EL132" s="208">
        <v>0</v>
      </c>
      <c r="EM132" s="208">
        <v>0</v>
      </c>
      <c r="EN132" s="208">
        <v>0</v>
      </c>
      <c r="EO132" s="208">
        <v>0</v>
      </c>
      <c r="EP132" s="208">
        <v>0</v>
      </c>
      <c r="EQ132" s="208">
        <v>0</v>
      </c>
      <c r="ER132" s="208">
        <v>0</v>
      </c>
      <c r="ES132" s="208">
        <v>0</v>
      </c>
      <c r="ET132" s="208">
        <v>0</v>
      </c>
      <c r="EU132" s="208">
        <v>0</v>
      </c>
      <c r="EV132" s="208">
        <v>0</v>
      </c>
      <c r="EW132" s="208">
        <v>-114229</v>
      </c>
      <c r="EX132" s="208">
        <v>0</v>
      </c>
      <c r="EY132" s="208">
        <v>-114229</v>
      </c>
      <c r="EZ132" s="208">
        <v>-2066</v>
      </c>
      <c r="FA132" s="208">
        <v>0</v>
      </c>
      <c r="FB132" s="208">
        <v>-2066</v>
      </c>
      <c r="FC132" s="208">
        <v>-471136</v>
      </c>
      <c r="FD132" s="208">
        <v>0</v>
      </c>
      <c r="FE132" s="208">
        <v>-471136</v>
      </c>
      <c r="FF132" s="208">
        <v>19268</v>
      </c>
      <c r="FG132" s="208">
        <v>0</v>
      </c>
      <c r="FH132" s="208">
        <v>19268</v>
      </c>
      <c r="FI132" s="208">
        <v>-20175</v>
      </c>
      <c r="FJ132" s="208">
        <v>0</v>
      </c>
      <c r="FK132" s="208">
        <v>-20175</v>
      </c>
      <c r="FL132" s="208">
        <v>-1000</v>
      </c>
      <c r="FM132" s="208">
        <v>0</v>
      </c>
      <c r="FN132" s="208">
        <v>-1000</v>
      </c>
      <c r="FO132" s="208">
        <v>0</v>
      </c>
      <c r="FP132" s="208">
        <v>0</v>
      </c>
      <c r="FQ132" s="208">
        <v>0</v>
      </c>
      <c r="FR132" s="208">
        <v>0</v>
      </c>
      <c r="FS132" s="208">
        <v>0</v>
      </c>
      <c r="FT132" s="208">
        <v>0</v>
      </c>
      <c r="FU132" s="208">
        <v>-565264</v>
      </c>
      <c r="FV132" s="208">
        <v>0</v>
      </c>
      <c r="FW132" s="208">
        <v>-565264</v>
      </c>
      <c r="FX132" s="208">
        <v>0</v>
      </c>
      <c r="FY132" s="208">
        <v>0</v>
      </c>
      <c r="FZ132" s="208">
        <v>0</v>
      </c>
      <c r="GA132" s="208">
        <v>0</v>
      </c>
      <c r="GB132" s="208">
        <v>0</v>
      </c>
      <c r="GC132" s="208">
        <v>0</v>
      </c>
      <c r="GD132" s="208">
        <v>0</v>
      </c>
      <c r="GE132" s="208">
        <v>0</v>
      </c>
      <c r="GF132" s="208">
        <v>0</v>
      </c>
      <c r="GG132" s="208">
        <v>97801620</v>
      </c>
      <c r="GH132" s="208">
        <v>0</v>
      </c>
      <c r="GI132" s="208">
        <v>97801620</v>
      </c>
      <c r="GJ132" s="208">
        <v>-1575672</v>
      </c>
      <c r="GK132" s="208">
        <v>0</v>
      </c>
      <c r="GL132" s="208">
        <v>-1575672</v>
      </c>
      <c r="GM132" s="208">
        <v>-10995391</v>
      </c>
      <c r="GN132" s="208">
        <v>0</v>
      </c>
      <c r="GO132" s="208">
        <v>-10995391</v>
      </c>
      <c r="GP132" s="208">
        <v>-2696626</v>
      </c>
      <c r="GQ132" s="208">
        <v>0</v>
      </c>
      <c r="GR132" s="208">
        <v>-2696626</v>
      </c>
      <c r="GS132" s="208">
        <v>-320197</v>
      </c>
      <c r="GT132" s="208">
        <v>0</v>
      </c>
      <c r="GU132" s="208">
        <v>-320197</v>
      </c>
      <c r="GV132" s="208">
        <v>-565264</v>
      </c>
      <c r="GW132" s="208">
        <v>0</v>
      </c>
      <c r="GX132" s="208">
        <v>-565264</v>
      </c>
      <c r="GY132" s="208">
        <v>0</v>
      </c>
      <c r="GZ132" s="208">
        <v>0</v>
      </c>
      <c r="HA132" s="208">
        <v>0</v>
      </c>
      <c r="HB132" s="208">
        <v>-16153150</v>
      </c>
      <c r="HC132" s="208">
        <v>0</v>
      </c>
      <c r="HD132" s="208">
        <v>-16153150</v>
      </c>
      <c r="HE132" s="208">
        <v>81648470</v>
      </c>
      <c r="HF132" s="208">
        <v>0</v>
      </c>
      <c r="HG132" s="208">
        <v>81648470</v>
      </c>
      <c r="HH132" s="187" t="s">
        <v>1055</v>
      </c>
    </row>
    <row r="133" spans="1:216" s="187" customFormat="1" x14ac:dyDescent="0.2">
      <c r="B133" s="429" t="s">
        <v>343</v>
      </c>
      <c r="C133" s="429" t="s">
        <v>342</v>
      </c>
      <c r="D133" s="208">
        <v>-2210102</v>
      </c>
      <c r="E133" s="208">
        <v>-5277</v>
      </c>
      <c r="F133" s="208">
        <v>-2215379</v>
      </c>
      <c r="G133" s="208">
        <v>-34494</v>
      </c>
      <c r="H133" s="208">
        <v>1409</v>
      </c>
      <c r="I133" s="208">
        <v>-33085</v>
      </c>
      <c r="J133" s="208">
        <v>1480593</v>
      </c>
      <c r="K133" s="208">
        <v>16967</v>
      </c>
      <c r="L133" s="208">
        <v>1497560</v>
      </c>
      <c r="M133" s="208">
        <v>-57470</v>
      </c>
      <c r="N133" s="208">
        <v>0</v>
      </c>
      <c r="O133" s="208">
        <v>-57470</v>
      </c>
      <c r="P133" s="208">
        <v>-821473</v>
      </c>
      <c r="Q133" s="208">
        <v>13099</v>
      </c>
      <c r="R133" s="208">
        <v>-808374</v>
      </c>
      <c r="S133" s="208">
        <v>-8441081</v>
      </c>
      <c r="T133" s="208">
        <v>-80401</v>
      </c>
      <c r="U133" s="208">
        <v>-8521482</v>
      </c>
      <c r="V133" s="208">
        <v>0</v>
      </c>
      <c r="W133" s="208">
        <v>0</v>
      </c>
      <c r="X133" s="208">
        <v>0</v>
      </c>
      <c r="Y133" s="208">
        <v>-152636</v>
      </c>
      <c r="Z133" s="208">
        <v>-59</v>
      </c>
      <c r="AA133" s="208">
        <v>-152695</v>
      </c>
      <c r="AB133" s="208">
        <v>-31769</v>
      </c>
      <c r="AC133" s="208">
        <v>0</v>
      </c>
      <c r="AD133" s="208">
        <v>-31769</v>
      </c>
      <c r="AE133" s="208">
        <v>-120867</v>
      </c>
      <c r="AF133" s="208">
        <v>-59</v>
      </c>
      <c r="AG133" s="208">
        <v>-120926</v>
      </c>
      <c r="AH133" s="208">
        <v>0</v>
      </c>
      <c r="AI133" s="208">
        <v>0</v>
      </c>
      <c r="AJ133" s="208">
        <v>0</v>
      </c>
      <c r="AK133" s="208">
        <v>0</v>
      </c>
      <c r="AL133" s="208">
        <v>0</v>
      </c>
      <c r="AM133" s="208">
        <v>0</v>
      </c>
      <c r="AN133" s="208">
        <v>1014036</v>
      </c>
      <c r="AO133" s="208">
        <v>9269</v>
      </c>
      <c r="AP133" s="208">
        <v>1023305</v>
      </c>
      <c r="AQ133" s="208">
        <v>-11842</v>
      </c>
      <c r="AR133" s="208">
        <v>-103</v>
      </c>
      <c r="AS133" s="208">
        <v>-11945</v>
      </c>
      <c r="AT133" s="208">
        <v>-4553516</v>
      </c>
      <c r="AU133" s="208">
        <v>-831</v>
      </c>
      <c r="AV133" s="208">
        <v>-4554347</v>
      </c>
      <c r="AW133" s="208">
        <v>18450</v>
      </c>
      <c r="AX133" s="208">
        <v>0</v>
      </c>
      <c r="AY133" s="208">
        <v>18450</v>
      </c>
      <c r="AZ133" s="208">
        <v>-91942</v>
      </c>
      <c r="BA133" s="208">
        <v>0</v>
      </c>
      <c r="BB133" s="208">
        <v>-91942</v>
      </c>
      <c r="BC133" s="208">
        <v>-162</v>
      </c>
      <c r="BD133" s="208">
        <v>0</v>
      </c>
      <c r="BE133" s="208">
        <v>-162</v>
      </c>
      <c r="BF133" s="208">
        <v>-80423</v>
      </c>
      <c r="BG133" s="208">
        <v>0</v>
      </c>
      <c r="BH133" s="208">
        <v>-80423</v>
      </c>
      <c r="BI133" s="208">
        <v>-6791</v>
      </c>
      <c r="BJ133" s="208">
        <v>0</v>
      </c>
      <c r="BK133" s="208">
        <v>-6791</v>
      </c>
      <c r="BL133" s="208">
        <v>-12305907</v>
      </c>
      <c r="BM133" s="208">
        <v>-72125</v>
      </c>
      <c r="BN133" s="208">
        <v>-12378032</v>
      </c>
      <c r="BO133" s="208">
        <v>-8724</v>
      </c>
      <c r="BP133" s="208">
        <v>0</v>
      </c>
      <c r="BQ133" s="208">
        <v>-8724</v>
      </c>
      <c r="BR133" s="208">
        <v>0</v>
      </c>
      <c r="BS133" s="208">
        <v>0</v>
      </c>
      <c r="BT133" s="208">
        <v>0</v>
      </c>
      <c r="BU133" s="208">
        <v>-1838862</v>
      </c>
      <c r="BV133" s="208">
        <v>-5809</v>
      </c>
      <c r="BW133" s="208">
        <v>-1844671</v>
      </c>
      <c r="BX133" s="208">
        <v>-500669</v>
      </c>
      <c r="BY133" s="208">
        <v>2206</v>
      </c>
      <c r="BZ133" s="208">
        <v>-498463</v>
      </c>
      <c r="CA133" s="208">
        <v>-2348255</v>
      </c>
      <c r="CB133" s="208">
        <v>-3603</v>
      </c>
      <c r="CC133" s="208">
        <v>-2351858</v>
      </c>
      <c r="CD133" s="208">
        <v>-373421</v>
      </c>
      <c r="CE133" s="208">
        <v>0</v>
      </c>
      <c r="CF133" s="208">
        <v>-373421</v>
      </c>
      <c r="CG133" s="208">
        <v>-1862</v>
      </c>
      <c r="CH133" s="208">
        <v>0</v>
      </c>
      <c r="CI133" s="208">
        <v>-1862</v>
      </c>
      <c r="CJ133" s="208">
        <v>-95474</v>
      </c>
      <c r="CK133" s="208">
        <v>0</v>
      </c>
      <c r="CL133" s="208">
        <v>-95474</v>
      </c>
      <c r="CM133" s="208">
        <v>0</v>
      </c>
      <c r="CN133" s="208">
        <v>0</v>
      </c>
      <c r="CO133" s="208">
        <v>0</v>
      </c>
      <c r="CP133" s="208">
        <v>-14202</v>
      </c>
      <c r="CQ133" s="208">
        <v>0</v>
      </c>
      <c r="CR133" s="208">
        <v>-14202</v>
      </c>
      <c r="CS133" s="208">
        <v>-41</v>
      </c>
      <c r="CT133" s="208">
        <v>0</v>
      </c>
      <c r="CU133" s="208">
        <v>-41</v>
      </c>
      <c r="CV133" s="208">
        <v>0</v>
      </c>
      <c r="CW133" s="208">
        <v>0</v>
      </c>
      <c r="CX133" s="208">
        <v>0</v>
      </c>
      <c r="CY133" s="208">
        <v>0</v>
      </c>
      <c r="CZ133" s="208">
        <v>0</v>
      </c>
      <c r="DA133" s="208">
        <v>0</v>
      </c>
      <c r="DB133" s="208">
        <v>0</v>
      </c>
      <c r="DC133" s="208">
        <v>0</v>
      </c>
      <c r="DD133" s="208">
        <v>0</v>
      </c>
      <c r="DE133" s="208">
        <v>0</v>
      </c>
      <c r="DF133" s="208">
        <v>0</v>
      </c>
      <c r="DG133" s="208">
        <v>0</v>
      </c>
      <c r="DH133" s="208">
        <v>0</v>
      </c>
      <c r="DI133" s="208">
        <v>-339726</v>
      </c>
      <c r="DJ133" s="208">
        <v>-339726</v>
      </c>
      <c r="DK133" s="208">
        <v>0</v>
      </c>
      <c r="DL133" s="208">
        <v>-2696</v>
      </c>
      <c r="DM133" s="208">
        <v>-2696</v>
      </c>
      <c r="DN133" s="208">
        <v>-342422</v>
      </c>
      <c r="DO133" s="208">
        <v>0</v>
      </c>
      <c r="DP133" s="208">
        <v>-485000</v>
      </c>
      <c r="DQ133" s="208">
        <v>-342422</v>
      </c>
      <c r="DR133" s="208">
        <v>-827422</v>
      </c>
      <c r="DS133" s="208">
        <v>0</v>
      </c>
      <c r="DT133" s="208">
        <v>0</v>
      </c>
      <c r="DU133" s="208">
        <v>0</v>
      </c>
      <c r="DV133" s="208">
        <v>1214</v>
      </c>
      <c r="DW133" s="208">
        <v>0</v>
      </c>
      <c r="DX133" s="208">
        <v>1214</v>
      </c>
      <c r="DY133" s="208">
        <v>6</v>
      </c>
      <c r="DZ133" s="208">
        <v>0</v>
      </c>
      <c r="EA133" s="208">
        <v>6</v>
      </c>
      <c r="EB133" s="208">
        <v>0</v>
      </c>
      <c r="EC133" s="208">
        <v>0</v>
      </c>
      <c r="ED133" s="208">
        <v>0</v>
      </c>
      <c r="EE133" s="208">
        <v>0</v>
      </c>
      <c r="EF133" s="208">
        <v>0</v>
      </c>
      <c r="EG133" s="208">
        <v>0</v>
      </c>
      <c r="EH133" s="208">
        <v>0</v>
      </c>
      <c r="EI133" s="208">
        <v>0</v>
      </c>
      <c r="EJ133" s="208">
        <v>0</v>
      </c>
      <c r="EK133" s="208">
        <v>-80423</v>
      </c>
      <c r="EL133" s="208">
        <v>0</v>
      </c>
      <c r="EM133" s="208">
        <v>-80423</v>
      </c>
      <c r="EN133" s="208">
        <v>-247</v>
      </c>
      <c r="EO133" s="208">
        <v>0</v>
      </c>
      <c r="EP133" s="208">
        <v>-247</v>
      </c>
      <c r="EQ133" s="208">
        <v>-1500</v>
      </c>
      <c r="ER133" s="208">
        <v>0</v>
      </c>
      <c r="ES133" s="208">
        <v>-1500</v>
      </c>
      <c r="ET133" s="208">
        <v>0</v>
      </c>
      <c r="EU133" s="208">
        <v>0</v>
      </c>
      <c r="EV133" s="208">
        <v>0</v>
      </c>
      <c r="EW133" s="208">
        <v>-126117</v>
      </c>
      <c r="EX133" s="208">
        <v>0</v>
      </c>
      <c r="EY133" s="208">
        <v>-126117</v>
      </c>
      <c r="EZ133" s="208">
        <v>-9475</v>
      </c>
      <c r="FA133" s="208">
        <v>0</v>
      </c>
      <c r="FB133" s="208">
        <v>-9475</v>
      </c>
      <c r="FC133" s="208">
        <v>-116348</v>
      </c>
      <c r="FD133" s="208">
        <v>0</v>
      </c>
      <c r="FE133" s="208">
        <v>-116348</v>
      </c>
      <c r="FF133" s="208">
        <v>-76523</v>
      </c>
      <c r="FG133" s="208">
        <v>0</v>
      </c>
      <c r="FH133" s="208">
        <v>-76523</v>
      </c>
      <c r="FI133" s="208">
        <v>-53555</v>
      </c>
      <c r="FJ133" s="208">
        <v>0</v>
      </c>
      <c r="FK133" s="208">
        <v>-53555</v>
      </c>
      <c r="FL133" s="208">
        <v>-4347</v>
      </c>
      <c r="FM133" s="208">
        <v>0</v>
      </c>
      <c r="FN133" s="208">
        <v>-4347</v>
      </c>
      <c r="FO133" s="208">
        <v>0</v>
      </c>
      <c r="FP133" s="208">
        <v>0</v>
      </c>
      <c r="FQ133" s="208">
        <v>0</v>
      </c>
      <c r="FR133" s="208">
        <v>0</v>
      </c>
      <c r="FS133" s="208">
        <v>0</v>
      </c>
      <c r="FT133" s="208">
        <v>0</v>
      </c>
      <c r="FU133" s="208">
        <v>-467315</v>
      </c>
      <c r="FV133" s="208">
        <v>0</v>
      </c>
      <c r="FW133" s="208">
        <v>-467315</v>
      </c>
      <c r="FX133" s="208">
        <v>-174</v>
      </c>
      <c r="FY133" s="208">
        <v>0</v>
      </c>
      <c r="FZ133" s="208">
        <v>-174</v>
      </c>
      <c r="GA133" s="208">
        <v>-9409</v>
      </c>
      <c r="GB133" s="208">
        <v>0</v>
      </c>
      <c r="GC133" s="208">
        <v>-9409</v>
      </c>
      <c r="GD133" s="208">
        <v>-9583</v>
      </c>
      <c r="GE133" s="208">
        <v>0</v>
      </c>
      <c r="GF133" s="208">
        <v>-9583</v>
      </c>
      <c r="GG133" s="208">
        <v>63619918</v>
      </c>
      <c r="GH133" s="208">
        <v>739749</v>
      </c>
      <c r="GI133" s="208">
        <v>64359667</v>
      </c>
      <c r="GJ133" s="208">
        <v>-821473</v>
      </c>
      <c r="GK133" s="208">
        <v>13099</v>
      </c>
      <c r="GL133" s="208">
        <v>-808374</v>
      </c>
      <c r="GM133" s="208">
        <v>-12305907</v>
      </c>
      <c r="GN133" s="208">
        <v>-72125</v>
      </c>
      <c r="GO133" s="208">
        <v>-12378032</v>
      </c>
      <c r="GP133" s="208">
        <v>-2348255</v>
      </c>
      <c r="GQ133" s="208">
        <v>-3603</v>
      </c>
      <c r="GR133" s="208">
        <v>-2351858</v>
      </c>
      <c r="GS133" s="208">
        <v>-485000</v>
      </c>
      <c r="GT133" s="208">
        <v>-342422</v>
      </c>
      <c r="GU133" s="208">
        <v>-827422</v>
      </c>
      <c r="GV133" s="208">
        <v>-467315</v>
      </c>
      <c r="GW133" s="208">
        <v>0</v>
      </c>
      <c r="GX133" s="208">
        <v>-467315</v>
      </c>
      <c r="GY133" s="208">
        <v>-9583</v>
      </c>
      <c r="GZ133" s="208">
        <v>0</v>
      </c>
      <c r="HA133" s="208">
        <v>-9583</v>
      </c>
      <c r="HB133" s="208">
        <v>-16437533</v>
      </c>
      <c r="HC133" s="208">
        <v>-405051</v>
      </c>
      <c r="HD133" s="208">
        <v>-16842584</v>
      </c>
      <c r="HE133" s="208">
        <v>47182385</v>
      </c>
      <c r="HF133" s="208">
        <v>334698</v>
      </c>
      <c r="HG133" s="208">
        <v>47517083</v>
      </c>
      <c r="HH133" s="187" t="s">
        <v>742</v>
      </c>
    </row>
    <row r="134" spans="1:216" s="187" customFormat="1" x14ac:dyDescent="0.2">
      <c r="B134" s="429" t="s">
        <v>345</v>
      </c>
      <c r="C134" s="429" t="s">
        <v>344</v>
      </c>
      <c r="D134" s="208">
        <v>-548750</v>
      </c>
      <c r="E134" s="208">
        <v>0</v>
      </c>
      <c r="F134" s="208">
        <v>-548750</v>
      </c>
      <c r="G134" s="208">
        <v>3924</v>
      </c>
      <c r="H134" s="208">
        <v>0</v>
      </c>
      <c r="I134" s="208">
        <v>3924</v>
      </c>
      <c r="J134" s="208">
        <v>706184</v>
      </c>
      <c r="K134" s="208">
        <v>0</v>
      </c>
      <c r="L134" s="208">
        <v>706184</v>
      </c>
      <c r="M134" s="208">
        <v>157257</v>
      </c>
      <c r="N134" s="208">
        <v>0</v>
      </c>
      <c r="O134" s="208">
        <v>157257</v>
      </c>
      <c r="P134" s="208">
        <v>318615</v>
      </c>
      <c r="Q134" s="208">
        <v>0</v>
      </c>
      <c r="R134" s="208">
        <v>318615</v>
      </c>
      <c r="S134" s="208">
        <v>-3032087</v>
      </c>
      <c r="T134" s="208">
        <v>0</v>
      </c>
      <c r="U134" s="208">
        <v>-3032087</v>
      </c>
      <c r="V134" s="208">
        <v>0</v>
      </c>
      <c r="W134" s="208">
        <v>0</v>
      </c>
      <c r="X134" s="208">
        <v>0</v>
      </c>
      <c r="Y134" s="208">
        <v>-108411</v>
      </c>
      <c r="Z134" s="208">
        <v>0</v>
      </c>
      <c r="AA134" s="208">
        <v>-108411</v>
      </c>
      <c r="AB134" s="208">
        <v>-18126</v>
      </c>
      <c r="AC134" s="208">
        <v>0</v>
      </c>
      <c r="AD134" s="208">
        <v>-18126</v>
      </c>
      <c r="AE134" s="208">
        <v>-90286</v>
      </c>
      <c r="AF134" s="208">
        <v>0</v>
      </c>
      <c r="AG134" s="208">
        <v>-90286</v>
      </c>
      <c r="AH134" s="208">
        <v>0</v>
      </c>
      <c r="AI134" s="208">
        <v>0</v>
      </c>
      <c r="AJ134" s="208">
        <v>0</v>
      </c>
      <c r="AK134" s="208">
        <v>0</v>
      </c>
      <c r="AL134" s="208">
        <v>0</v>
      </c>
      <c r="AM134" s="208">
        <v>0</v>
      </c>
      <c r="AN134" s="208">
        <v>1121356</v>
      </c>
      <c r="AO134" s="208">
        <v>0</v>
      </c>
      <c r="AP134" s="208">
        <v>1121356</v>
      </c>
      <c r="AQ134" s="208">
        <v>-28311</v>
      </c>
      <c r="AR134" s="208">
        <v>0</v>
      </c>
      <c r="AS134" s="208">
        <v>-28311</v>
      </c>
      <c r="AT134" s="208">
        <v>-4363501</v>
      </c>
      <c r="AU134" s="208">
        <v>0</v>
      </c>
      <c r="AV134" s="208">
        <v>-4363501</v>
      </c>
      <c r="AW134" s="208">
        <v>22922</v>
      </c>
      <c r="AX134" s="208">
        <v>0</v>
      </c>
      <c r="AY134" s="208">
        <v>22922</v>
      </c>
      <c r="AZ134" s="208">
        <v>-17074</v>
      </c>
      <c r="BA134" s="208">
        <v>0</v>
      </c>
      <c r="BB134" s="208">
        <v>-17074</v>
      </c>
      <c r="BC134" s="208">
        <v>68710</v>
      </c>
      <c r="BD134" s="208">
        <v>0</v>
      </c>
      <c r="BE134" s="208">
        <v>68710</v>
      </c>
      <c r="BF134" s="208">
        <v>0</v>
      </c>
      <c r="BG134" s="208">
        <v>0</v>
      </c>
      <c r="BH134" s="208">
        <v>0</v>
      </c>
      <c r="BI134" s="208">
        <v>0</v>
      </c>
      <c r="BJ134" s="208">
        <v>0</v>
      </c>
      <c r="BK134" s="208">
        <v>0</v>
      </c>
      <c r="BL134" s="208">
        <v>-6336396</v>
      </c>
      <c r="BM134" s="208">
        <v>0</v>
      </c>
      <c r="BN134" s="208">
        <v>-6336396</v>
      </c>
      <c r="BO134" s="208">
        <v>0</v>
      </c>
      <c r="BP134" s="208">
        <v>0</v>
      </c>
      <c r="BQ134" s="208">
        <v>0</v>
      </c>
      <c r="BR134" s="208">
        <v>0</v>
      </c>
      <c r="BS134" s="208">
        <v>0</v>
      </c>
      <c r="BT134" s="208">
        <v>0</v>
      </c>
      <c r="BU134" s="208">
        <v>-1601784</v>
      </c>
      <c r="BV134" s="208">
        <v>0</v>
      </c>
      <c r="BW134" s="208">
        <v>-1601784</v>
      </c>
      <c r="BX134" s="208">
        <v>22667</v>
      </c>
      <c r="BY134" s="208">
        <v>0</v>
      </c>
      <c r="BZ134" s="208">
        <v>22667</v>
      </c>
      <c r="CA134" s="208">
        <v>-1579117</v>
      </c>
      <c r="CB134" s="208">
        <v>0</v>
      </c>
      <c r="CC134" s="208">
        <v>-1579117</v>
      </c>
      <c r="CD134" s="208">
        <v>-91216</v>
      </c>
      <c r="CE134" s="208">
        <v>0</v>
      </c>
      <c r="CF134" s="208">
        <v>-91216</v>
      </c>
      <c r="CG134" s="208">
        <v>0</v>
      </c>
      <c r="CH134" s="208">
        <v>0</v>
      </c>
      <c r="CI134" s="208">
        <v>0</v>
      </c>
      <c r="CJ134" s="208">
        <v>-36581</v>
      </c>
      <c r="CK134" s="208">
        <v>0</v>
      </c>
      <c r="CL134" s="208">
        <v>-36581</v>
      </c>
      <c r="CM134" s="208">
        <v>0</v>
      </c>
      <c r="CN134" s="208">
        <v>0</v>
      </c>
      <c r="CO134" s="208">
        <v>0</v>
      </c>
      <c r="CP134" s="208">
        <v>0</v>
      </c>
      <c r="CQ134" s="208">
        <v>0</v>
      </c>
      <c r="CR134" s="208">
        <v>0</v>
      </c>
      <c r="CS134" s="208">
        <v>0</v>
      </c>
      <c r="CT134" s="208">
        <v>0</v>
      </c>
      <c r="CU134" s="208">
        <v>0</v>
      </c>
      <c r="CV134" s="208">
        <v>0</v>
      </c>
      <c r="CW134" s="208">
        <v>0</v>
      </c>
      <c r="CX134" s="208">
        <v>0</v>
      </c>
      <c r="CY134" s="208">
        <v>0</v>
      </c>
      <c r="CZ134" s="208">
        <v>0</v>
      </c>
      <c r="DA134" s="208">
        <v>0</v>
      </c>
      <c r="DB134" s="208">
        <v>0</v>
      </c>
      <c r="DC134" s="208">
        <v>0</v>
      </c>
      <c r="DD134" s="208">
        <v>0</v>
      </c>
      <c r="DE134" s="208">
        <v>0</v>
      </c>
      <c r="DF134" s="208">
        <v>0</v>
      </c>
      <c r="DG134" s="208">
        <v>0</v>
      </c>
      <c r="DH134" s="208">
        <v>0</v>
      </c>
      <c r="DI134" s="208">
        <v>0</v>
      </c>
      <c r="DJ134" s="208">
        <v>0</v>
      </c>
      <c r="DK134" s="208">
        <v>0</v>
      </c>
      <c r="DL134" s="208">
        <v>0</v>
      </c>
      <c r="DM134" s="208">
        <v>0</v>
      </c>
      <c r="DN134" s="208">
        <v>0</v>
      </c>
      <c r="DO134" s="208">
        <v>0</v>
      </c>
      <c r="DP134" s="208">
        <v>-127797</v>
      </c>
      <c r="DQ134" s="208">
        <v>0</v>
      </c>
      <c r="DR134" s="208">
        <v>-127797</v>
      </c>
      <c r="DS134" s="208">
        <v>0</v>
      </c>
      <c r="DT134" s="208">
        <v>0</v>
      </c>
      <c r="DU134" s="208">
        <v>0</v>
      </c>
      <c r="DV134" s="208">
        <v>0</v>
      </c>
      <c r="DW134" s="208">
        <v>0</v>
      </c>
      <c r="DX134" s="208">
        <v>0</v>
      </c>
      <c r="DY134" s="208">
        <v>1295</v>
      </c>
      <c r="DZ134" s="208">
        <v>0</v>
      </c>
      <c r="EA134" s="208">
        <v>1295</v>
      </c>
      <c r="EB134" s="208">
        <v>0</v>
      </c>
      <c r="EC134" s="208">
        <v>0</v>
      </c>
      <c r="ED134" s="208">
        <v>0</v>
      </c>
      <c r="EE134" s="208">
        <v>0</v>
      </c>
      <c r="EF134" s="208">
        <v>0</v>
      </c>
      <c r="EG134" s="208">
        <v>0</v>
      </c>
      <c r="EH134" s="208">
        <v>0</v>
      </c>
      <c r="EI134" s="208">
        <v>0</v>
      </c>
      <c r="EJ134" s="208">
        <v>0</v>
      </c>
      <c r="EK134" s="208">
        <v>0</v>
      </c>
      <c r="EL134" s="208">
        <v>0</v>
      </c>
      <c r="EM134" s="208">
        <v>0</v>
      </c>
      <c r="EN134" s="208">
        <v>0</v>
      </c>
      <c r="EO134" s="208">
        <v>0</v>
      </c>
      <c r="EP134" s="208">
        <v>0</v>
      </c>
      <c r="EQ134" s="208">
        <v>0</v>
      </c>
      <c r="ER134" s="208">
        <v>0</v>
      </c>
      <c r="ES134" s="208">
        <v>0</v>
      </c>
      <c r="ET134" s="208">
        <v>0</v>
      </c>
      <c r="EU134" s="208">
        <v>0</v>
      </c>
      <c r="EV134" s="208">
        <v>0</v>
      </c>
      <c r="EW134" s="208">
        <v>-8246</v>
      </c>
      <c r="EX134" s="208">
        <v>0</v>
      </c>
      <c r="EY134" s="208">
        <v>-8246</v>
      </c>
      <c r="EZ134" s="208">
        <v>7163</v>
      </c>
      <c r="FA134" s="208">
        <v>0</v>
      </c>
      <c r="FB134" s="208">
        <v>7163</v>
      </c>
      <c r="FC134" s="208">
        <v>-105451</v>
      </c>
      <c r="FD134" s="208">
        <v>0</v>
      </c>
      <c r="FE134" s="208">
        <v>-105451</v>
      </c>
      <c r="FF134" s="208">
        <v>2374</v>
      </c>
      <c r="FG134" s="208">
        <v>0</v>
      </c>
      <c r="FH134" s="208">
        <v>2374</v>
      </c>
      <c r="FI134" s="208">
        <v>-22438</v>
      </c>
      <c r="FJ134" s="208">
        <v>0</v>
      </c>
      <c r="FK134" s="208">
        <v>-22438</v>
      </c>
      <c r="FL134" s="208">
        <v>-1000</v>
      </c>
      <c r="FM134" s="208">
        <v>0</v>
      </c>
      <c r="FN134" s="208">
        <v>-1000</v>
      </c>
      <c r="FO134" s="208">
        <v>0</v>
      </c>
      <c r="FP134" s="208">
        <v>0</v>
      </c>
      <c r="FQ134" s="208">
        <v>0</v>
      </c>
      <c r="FR134" s="208">
        <v>0</v>
      </c>
      <c r="FS134" s="208">
        <v>0</v>
      </c>
      <c r="FT134" s="208">
        <v>0</v>
      </c>
      <c r="FU134" s="208">
        <v>-126303</v>
      </c>
      <c r="FV134" s="208">
        <v>0</v>
      </c>
      <c r="FW134" s="208">
        <v>-126303</v>
      </c>
      <c r="FX134" s="208">
        <v>0</v>
      </c>
      <c r="FY134" s="208">
        <v>0</v>
      </c>
      <c r="FZ134" s="208">
        <v>0</v>
      </c>
      <c r="GA134" s="208">
        <v>0</v>
      </c>
      <c r="GB134" s="208">
        <v>0</v>
      </c>
      <c r="GC134" s="208">
        <v>0</v>
      </c>
      <c r="GD134" s="208">
        <v>0</v>
      </c>
      <c r="GE134" s="208">
        <v>0</v>
      </c>
      <c r="GF134" s="208">
        <v>0</v>
      </c>
      <c r="GG134" s="208">
        <v>55571645</v>
      </c>
      <c r="GH134" s="208">
        <v>0</v>
      </c>
      <c r="GI134" s="208">
        <v>55571645</v>
      </c>
      <c r="GJ134" s="208">
        <v>318615</v>
      </c>
      <c r="GK134" s="208">
        <v>0</v>
      </c>
      <c r="GL134" s="208">
        <v>318615</v>
      </c>
      <c r="GM134" s="208">
        <v>-6336396</v>
      </c>
      <c r="GN134" s="208">
        <v>0</v>
      </c>
      <c r="GO134" s="208">
        <v>-6336396</v>
      </c>
      <c r="GP134" s="208">
        <v>-1579117</v>
      </c>
      <c r="GQ134" s="208">
        <v>0</v>
      </c>
      <c r="GR134" s="208">
        <v>-1579117</v>
      </c>
      <c r="GS134" s="208">
        <v>-127797</v>
      </c>
      <c r="GT134" s="208">
        <v>0</v>
      </c>
      <c r="GU134" s="208">
        <v>-127797</v>
      </c>
      <c r="GV134" s="208">
        <v>-126303</v>
      </c>
      <c r="GW134" s="208">
        <v>0</v>
      </c>
      <c r="GX134" s="208">
        <v>-126303</v>
      </c>
      <c r="GY134" s="208">
        <v>0</v>
      </c>
      <c r="GZ134" s="208">
        <v>0</v>
      </c>
      <c r="HA134" s="208">
        <v>0</v>
      </c>
      <c r="HB134" s="208">
        <v>-7850998</v>
      </c>
      <c r="HC134" s="208">
        <v>0</v>
      </c>
      <c r="HD134" s="208">
        <v>-7850998</v>
      </c>
      <c r="HE134" s="208">
        <v>47720647</v>
      </c>
      <c r="HF134" s="208">
        <v>0</v>
      </c>
      <c r="HG134" s="208">
        <v>47720647</v>
      </c>
      <c r="HH134" s="187" t="s">
        <v>1054</v>
      </c>
    </row>
    <row r="135" spans="1:216" s="187" customFormat="1" x14ac:dyDescent="0.2">
      <c r="B135" s="429" t="s">
        <v>347</v>
      </c>
      <c r="C135" s="429" t="s">
        <v>346</v>
      </c>
      <c r="D135" s="208">
        <v>-1353453</v>
      </c>
      <c r="E135" s="208">
        <v>0</v>
      </c>
      <c r="F135" s="208">
        <v>-1353453</v>
      </c>
      <c r="G135" s="208">
        <v>47191</v>
      </c>
      <c r="H135" s="208">
        <v>0</v>
      </c>
      <c r="I135" s="208">
        <v>47191</v>
      </c>
      <c r="J135" s="208">
        <v>119337</v>
      </c>
      <c r="K135" s="208">
        <v>0</v>
      </c>
      <c r="L135" s="208">
        <v>119337</v>
      </c>
      <c r="M135" s="208">
        <v>915</v>
      </c>
      <c r="N135" s="208">
        <v>0</v>
      </c>
      <c r="O135" s="208">
        <v>915</v>
      </c>
      <c r="P135" s="208">
        <v>-1186010</v>
      </c>
      <c r="Q135" s="208">
        <v>0</v>
      </c>
      <c r="R135" s="208">
        <v>-1186010</v>
      </c>
      <c r="S135" s="208">
        <v>-4075501</v>
      </c>
      <c r="T135" s="208">
        <v>0</v>
      </c>
      <c r="U135" s="208">
        <v>-4075501</v>
      </c>
      <c r="V135" s="208">
        <v>0</v>
      </c>
      <c r="W135" s="208">
        <v>0</v>
      </c>
      <c r="X135" s="208">
        <v>0</v>
      </c>
      <c r="Y135" s="208">
        <v>-53953</v>
      </c>
      <c r="Z135" s="208">
        <v>0</v>
      </c>
      <c r="AA135" s="208">
        <v>-53953</v>
      </c>
      <c r="AB135" s="208">
        <v>-8450</v>
      </c>
      <c r="AC135" s="208">
        <v>0</v>
      </c>
      <c r="AD135" s="208">
        <v>-8450</v>
      </c>
      <c r="AE135" s="208">
        <v>-43378</v>
      </c>
      <c r="AF135" s="208">
        <v>0</v>
      </c>
      <c r="AG135" s="208">
        <v>-43378</v>
      </c>
      <c r="AH135" s="208">
        <v>0</v>
      </c>
      <c r="AI135" s="208">
        <v>0</v>
      </c>
      <c r="AJ135" s="208">
        <v>0</v>
      </c>
      <c r="AK135" s="208">
        <v>0</v>
      </c>
      <c r="AL135" s="208">
        <v>0</v>
      </c>
      <c r="AM135" s="208">
        <v>0</v>
      </c>
      <c r="AN135" s="208">
        <v>550680</v>
      </c>
      <c r="AO135" s="208">
        <v>0</v>
      </c>
      <c r="AP135" s="208">
        <v>550680</v>
      </c>
      <c r="AQ135" s="208">
        <v>-4250</v>
      </c>
      <c r="AR135" s="208">
        <v>0</v>
      </c>
      <c r="AS135" s="208">
        <v>-4250</v>
      </c>
      <c r="AT135" s="208">
        <v>-1191749</v>
      </c>
      <c r="AU135" s="208">
        <v>0</v>
      </c>
      <c r="AV135" s="208">
        <v>-1191749</v>
      </c>
      <c r="AW135" s="208">
        <v>3212</v>
      </c>
      <c r="AX135" s="208">
        <v>0</v>
      </c>
      <c r="AY135" s="208">
        <v>3212</v>
      </c>
      <c r="AZ135" s="208">
        <v>-81595</v>
      </c>
      <c r="BA135" s="208">
        <v>0</v>
      </c>
      <c r="BB135" s="208">
        <v>-81595</v>
      </c>
      <c r="BC135" s="208">
        <v>0</v>
      </c>
      <c r="BD135" s="208">
        <v>0</v>
      </c>
      <c r="BE135" s="208">
        <v>0</v>
      </c>
      <c r="BF135" s="208">
        <v>-9577</v>
      </c>
      <c r="BG135" s="208">
        <v>0</v>
      </c>
      <c r="BH135" s="208">
        <v>-9577</v>
      </c>
      <c r="BI135" s="208">
        <v>0</v>
      </c>
      <c r="BJ135" s="208">
        <v>0</v>
      </c>
      <c r="BK135" s="208">
        <v>0</v>
      </c>
      <c r="BL135" s="208">
        <v>-4862733</v>
      </c>
      <c r="BM135" s="208">
        <v>0</v>
      </c>
      <c r="BN135" s="208">
        <v>-4862733</v>
      </c>
      <c r="BO135" s="208">
        <v>-61442</v>
      </c>
      <c r="BP135" s="208">
        <v>0</v>
      </c>
      <c r="BQ135" s="208">
        <v>-61442</v>
      </c>
      <c r="BR135" s="208">
        <v>-61022</v>
      </c>
      <c r="BS135" s="208">
        <v>0</v>
      </c>
      <c r="BT135" s="208">
        <v>-61022</v>
      </c>
      <c r="BU135" s="208">
        <v>-447606</v>
      </c>
      <c r="BV135" s="208">
        <v>0</v>
      </c>
      <c r="BW135" s="208">
        <v>-447606</v>
      </c>
      <c r="BX135" s="208">
        <v>33755</v>
      </c>
      <c r="BY135" s="208">
        <v>0</v>
      </c>
      <c r="BZ135" s="208">
        <v>33755</v>
      </c>
      <c r="CA135" s="208">
        <v>-536315</v>
      </c>
      <c r="CB135" s="208">
        <v>0</v>
      </c>
      <c r="CC135" s="208">
        <v>-536315</v>
      </c>
      <c r="CD135" s="208">
        <v>-38393</v>
      </c>
      <c r="CE135" s="208">
        <v>0</v>
      </c>
      <c r="CF135" s="208">
        <v>-38393</v>
      </c>
      <c r="CG135" s="208">
        <v>-105</v>
      </c>
      <c r="CH135" s="208">
        <v>0</v>
      </c>
      <c r="CI135" s="208">
        <v>-105</v>
      </c>
      <c r="CJ135" s="208">
        <v>-90236</v>
      </c>
      <c r="CK135" s="208">
        <v>0</v>
      </c>
      <c r="CL135" s="208">
        <v>-90236</v>
      </c>
      <c r="CM135" s="208">
        <v>0</v>
      </c>
      <c r="CN135" s="208">
        <v>0</v>
      </c>
      <c r="CO135" s="208">
        <v>0</v>
      </c>
      <c r="CP135" s="208">
        <v>-436</v>
      </c>
      <c r="CQ135" s="208">
        <v>0</v>
      </c>
      <c r="CR135" s="208">
        <v>-436</v>
      </c>
      <c r="CS135" s="208">
        <v>0</v>
      </c>
      <c r="CT135" s="208">
        <v>0</v>
      </c>
      <c r="CU135" s="208">
        <v>0</v>
      </c>
      <c r="CV135" s="208">
        <v>-3191</v>
      </c>
      <c r="CW135" s="208">
        <v>0</v>
      </c>
      <c r="CX135" s="208">
        <v>-3191</v>
      </c>
      <c r="CY135" s="208">
        <v>0</v>
      </c>
      <c r="CZ135" s="208">
        <v>0</v>
      </c>
      <c r="DA135" s="208">
        <v>0</v>
      </c>
      <c r="DB135" s="208">
        <v>0</v>
      </c>
      <c r="DC135" s="208">
        <v>0</v>
      </c>
      <c r="DD135" s="208">
        <v>0</v>
      </c>
      <c r="DE135" s="208">
        <v>0</v>
      </c>
      <c r="DF135" s="208">
        <v>0</v>
      </c>
      <c r="DG135" s="208">
        <v>0</v>
      </c>
      <c r="DH135" s="208">
        <v>0</v>
      </c>
      <c r="DI135" s="208">
        <v>0</v>
      </c>
      <c r="DJ135" s="208">
        <v>0</v>
      </c>
      <c r="DK135" s="208">
        <v>0</v>
      </c>
      <c r="DL135" s="208">
        <v>0</v>
      </c>
      <c r="DM135" s="208">
        <v>0</v>
      </c>
      <c r="DN135" s="208">
        <v>0</v>
      </c>
      <c r="DO135" s="208">
        <v>0</v>
      </c>
      <c r="DP135" s="208">
        <v>-132361</v>
      </c>
      <c r="DQ135" s="208">
        <v>0</v>
      </c>
      <c r="DR135" s="208">
        <v>-132361</v>
      </c>
      <c r="DS135" s="208">
        <v>0</v>
      </c>
      <c r="DT135" s="208">
        <v>0</v>
      </c>
      <c r="DU135" s="208">
        <v>0</v>
      </c>
      <c r="DV135" s="208">
        <v>0</v>
      </c>
      <c r="DW135" s="208">
        <v>0</v>
      </c>
      <c r="DX135" s="208">
        <v>0</v>
      </c>
      <c r="DY135" s="208">
        <v>-819</v>
      </c>
      <c r="DZ135" s="208">
        <v>0</v>
      </c>
      <c r="EA135" s="208">
        <v>-819</v>
      </c>
      <c r="EB135" s="208">
        <v>0</v>
      </c>
      <c r="EC135" s="208">
        <v>0</v>
      </c>
      <c r="ED135" s="208">
        <v>0</v>
      </c>
      <c r="EE135" s="208">
        <v>0</v>
      </c>
      <c r="EF135" s="208">
        <v>0</v>
      </c>
      <c r="EG135" s="208">
        <v>0</v>
      </c>
      <c r="EH135" s="208">
        <v>0</v>
      </c>
      <c r="EI135" s="208">
        <v>0</v>
      </c>
      <c r="EJ135" s="208">
        <v>0</v>
      </c>
      <c r="EK135" s="208">
        <v>-9577</v>
      </c>
      <c r="EL135" s="208">
        <v>0</v>
      </c>
      <c r="EM135" s="208">
        <v>-9577</v>
      </c>
      <c r="EN135" s="208">
        <v>0</v>
      </c>
      <c r="EO135" s="208">
        <v>0</v>
      </c>
      <c r="EP135" s="208">
        <v>0</v>
      </c>
      <c r="EQ135" s="208">
        <v>0</v>
      </c>
      <c r="ER135" s="208">
        <v>0</v>
      </c>
      <c r="ES135" s="208">
        <v>0</v>
      </c>
      <c r="ET135" s="208">
        <v>16</v>
      </c>
      <c r="EU135" s="208">
        <v>0</v>
      </c>
      <c r="EV135" s="208">
        <v>16</v>
      </c>
      <c r="EW135" s="208">
        <v>-42186</v>
      </c>
      <c r="EX135" s="208">
        <v>0</v>
      </c>
      <c r="EY135" s="208">
        <v>-42186</v>
      </c>
      <c r="EZ135" s="208">
        <v>-3476</v>
      </c>
      <c r="FA135" s="208">
        <v>0</v>
      </c>
      <c r="FB135" s="208">
        <v>-3476</v>
      </c>
      <c r="FC135" s="208">
        <v>-152105</v>
      </c>
      <c r="FD135" s="208">
        <v>0</v>
      </c>
      <c r="FE135" s="208">
        <v>-152105</v>
      </c>
      <c r="FF135" s="208">
        <v>4515</v>
      </c>
      <c r="FG135" s="208">
        <v>0</v>
      </c>
      <c r="FH135" s="208">
        <v>4515</v>
      </c>
      <c r="FI135" s="208">
        <v>-62389</v>
      </c>
      <c r="FJ135" s="208">
        <v>0</v>
      </c>
      <c r="FK135" s="208">
        <v>-62389</v>
      </c>
      <c r="FL135" s="208">
        <v>-1103</v>
      </c>
      <c r="FM135" s="208">
        <v>0</v>
      </c>
      <c r="FN135" s="208">
        <v>-1103</v>
      </c>
      <c r="FO135" s="208">
        <v>0</v>
      </c>
      <c r="FP135" s="208">
        <v>0</v>
      </c>
      <c r="FQ135" s="208">
        <v>0</v>
      </c>
      <c r="FR135" s="208">
        <v>0</v>
      </c>
      <c r="FS135" s="208">
        <v>0</v>
      </c>
      <c r="FT135" s="208">
        <v>0</v>
      </c>
      <c r="FU135" s="208">
        <v>-267124</v>
      </c>
      <c r="FV135" s="208">
        <v>0</v>
      </c>
      <c r="FW135" s="208">
        <v>-267124</v>
      </c>
      <c r="FX135" s="208">
        <v>0</v>
      </c>
      <c r="FY135" s="208">
        <v>0</v>
      </c>
      <c r="FZ135" s="208">
        <v>0</v>
      </c>
      <c r="GA135" s="208">
        <v>0</v>
      </c>
      <c r="GB135" s="208">
        <v>0</v>
      </c>
      <c r="GC135" s="208">
        <v>0</v>
      </c>
      <c r="GD135" s="208">
        <v>0</v>
      </c>
      <c r="GE135" s="208">
        <v>0</v>
      </c>
      <c r="GF135" s="208">
        <v>0</v>
      </c>
      <c r="GG135" s="208">
        <v>33348209</v>
      </c>
      <c r="GH135" s="208">
        <v>0</v>
      </c>
      <c r="GI135" s="208">
        <v>33348209</v>
      </c>
      <c r="GJ135" s="208">
        <v>-1186010</v>
      </c>
      <c r="GK135" s="208">
        <v>0</v>
      </c>
      <c r="GL135" s="208">
        <v>-1186010</v>
      </c>
      <c r="GM135" s="208">
        <v>-4862733</v>
      </c>
      <c r="GN135" s="208">
        <v>0</v>
      </c>
      <c r="GO135" s="208">
        <v>-4862733</v>
      </c>
      <c r="GP135" s="208">
        <v>-536315</v>
      </c>
      <c r="GQ135" s="208">
        <v>0</v>
      </c>
      <c r="GR135" s="208">
        <v>-536315</v>
      </c>
      <c r="GS135" s="208">
        <v>-132361</v>
      </c>
      <c r="GT135" s="208">
        <v>0</v>
      </c>
      <c r="GU135" s="208">
        <v>-132361</v>
      </c>
      <c r="GV135" s="208">
        <v>-267124</v>
      </c>
      <c r="GW135" s="208">
        <v>0</v>
      </c>
      <c r="GX135" s="208">
        <v>-267124</v>
      </c>
      <c r="GY135" s="208">
        <v>0</v>
      </c>
      <c r="GZ135" s="208">
        <v>0</v>
      </c>
      <c r="HA135" s="208">
        <v>0</v>
      </c>
      <c r="HB135" s="208">
        <v>-6984543</v>
      </c>
      <c r="HC135" s="208">
        <v>0</v>
      </c>
      <c r="HD135" s="208">
        <v>-6984543</v>
      </c>
      <c r="HE135" s="208">
        <v>26363666</v>
      </c>
      <c r="HF135" s="208">
        <v>0</v>
      </c>
      <c r="HG135" s="208">
        <v>26363666</v>
      </c>
      <c r="HH135" s="187" t="s">
        <v>1054</v>
      </c>
    </row>
    <row r="136" spans="1:216" s="187" customFormat="1" x14ac:dyDescent="0.2">
      <c r="B136" s="429" t="s">
        <v>349</v>
      </c>
      <c r="C136" s="429" t="s">
        <v>348</v>
      </c>
      <c r="D136" s="208">
        <v>-2051368</v>
      </c>
      <c r="E136" s="208">
        <v>0</v>
      </c>
      <c r="F136" s="208">
        <v>-2051368</v>
      </c>
      <c r="G136" s="208">
        <v>121374</v>
      </c>
      <c r="H136" s="208">
        <v>0</v>
      </c>
      <c r="I136" s="208">
        <v>121374</v>
      </c>
      <c r="J136" s="208">
        <v>20541937</v>
      </c>
      <c r="K136" s="208">
        <v>0</v>
      </c>
      <c r="L136" s="208">
        <v>20541937</v>
      </c>
      <c r="M136" s="208">
        <v>70879</v>
      </c>
      <c r="N136" s="208">
        <v>0</v>
      </c>
      <c r="O136" s="208">
        <v>70879</v>
      </c>
      <c r="P136" s="208">
        <v>18682822</v>
      </c>
      <c r="Q136" s="208">
        <v>0</v>
      </c>
      <c r="R136" s="208">
        <v>18682822</v>
      </c>
      <c r="S136" s="208">
        <v>-6470320</v>
      </c>
      <c r="T136" s="208">
        <v>0</v>
      </c>
      <c r="U136" s="208">
        <v>-6470320</v>
      </c>
      <c r="V136" s="208">
        <v>0</v>
      </c>
      <c r="W136" s="208">
        <v>0</v>
      </c>
      <c r="X136" s="208">
        <v>0</v>
      </c>
      <c r="Y136" s="208">
        <v>-348375</v>
      </c>
      <c r="Z136" s="208">
        <v>0</v>
      </c>
      <c r="AA136" s="208">
        <v>-348375</v>
      </c>
      <c r="AB136" s="208">
        <v>-54537</v>
      </c>
      <c r="AC136" s="208">
        <v>0</v>
      </c>
      <c r="AD136" s="208">
        <v>-54537</v>
      </c>
      <c r="AE136" s="208">
        <v>-293838</v>
      </c>
      <c r="AF136" s="208">
        <v>0</v>
      </c>
      <c r="AG136" s="208">
        <v>-293838</v>
      </c>
      <c r="AH136" s="208">
        <v>0</v>
      </c>
      <c r="AI136" s="208">
        <v>0</v>
      </c>
      <c r="AJ136" s="208">
        <v>0</v>
      </c>
      <c r="AK136" s="208">
        <v>0</v>
      </c>
      <c r="AL136" s="208">
        <v>0</v>
      </c>
      <c r="AM136" s="208">
        <v>0</v>
      </c>
      <c r="AN136" s="208">
        <v>9502397</v>
      </c>
      <c r="AO136" s="208">
        <v>0</v>
      </c>
      <c r="AP136" s="208">
        <v>9502397</v>
      </c>
      <c r="AQ136" s="208">
        <v>73279</v>
      </c>
      <c r="AR136" s="208">
        <v>0</v>
      </c>
      <c r="AS136" s="208">
        <v>73279</v>
      </c>
      <c r="AT136" s="208">
        <v>-10346864</v>
      </c>
      <c r="AU136" s="208">
        <v>0</v>
      </c>
      <c r="AV136" s="208">
        <v>-10346864</v>
      </c>
      <c r="AW136" s="208">
        <v>-129883</v>
      </c>
      <c r="AX136" s="208">
        <v>0</v>
      </c>
      <c r="AY136" s="208">
        <v>-129883</v>
      </c>
      <c r="AZ136" s="208">
        <v>-69588</v>
      </c>
      <c r="BA136" s="208">
        <v>0</v>
      </c>
      <c r="BB136" s="208">
        <v>-69588</v>
      </c>
      <c r="BC136" s="208">
        <v>433</v>
      </c>
      <c r="BD136" s="208">
        <v>0</v>
      </c>
      <c r="BE136" s="208">
        <v>433</v>
      </c>
      <c r="BF136" s="208">
        <v>0</v>
      </c>
      <c r="BG136" s="208">
        <v>0</v>
      </c>
      <c r="BH136" s="208">
        <v>0</v>
      </c>
      <c r="BI136" s="208">
        <v>0</v>
      </c>
      <c r="BJ136" s="208">
        <v>0</v>
      </c>
      <c r="BK136" s="208">
        <v>0</v>
      </c>
      <c r="BL136" s="208">
        <v>-7788921</v>
      </c>
      <c r="BM136" s="208">
        <v>0</v>
      </c>
      <c r="BN136" s="208">
        <v>-7788921</v>
      </c>
      <c r="BO136" s="208">
        <v>-4209</v>
      </c>
      <c r="BP136" s="208">
        <v>0</v>
      </c>
      <c r="BQ136" s="208">
        <v>-4209</v>
      </c>
      <c r="BR136" s="208">
        <v>17287</v>
      </c>
      <c r="BS136" s="208">
        <v>0</v>
      </c>
      <c r="BT136" s="208">
        <v>17287</v>
      </c>
      <c r="BU136" s="208">
        <v>-11502327</v>
      </c>
      <c r="BV136" s="208">
        <v>0</v>
      </c>
      <c r="BW136" s="208">
        <v>-11502327</v>
      </c>
      <c r="BX136" s="208">
        <v>105374</v>
      </c>
      <c r="BY136" s="208">
        <v>0</v>
      </c>
      <c r="BZ136" s="208">
        <v>105374</v>
      </c>
      <c r="CA136" s="208">
        <v>-11383875</v>
      </c>
      <c r="CB136" s="208">
        <v>0</v>
      </c>
      <c r="CC136" s="208">
        <v>-11383875</v>
      </c>
      <c r="CD136" s="208">
        <v>-236412</v>
      </c>
      <c r="CE136" s="208">
        <v>0</v>
      </c>
      <c r="CF136" s="208">
        <v>-236412</v>
      </c>
      <c r="CG136" s="208">
        <v>54</v>
      </c>
      <c r="CH136" s="208">
        <v>0</v>
      </c>
      <c r="CI136" s="208">
        <v>54</v>
      </c>
      <c r="CJ136" s="208">
        <v>0</v>
      </c>
      <c r="CK136" s="208">
        <v>0</v>
      </c>
      <c r="CL136" s="208">
        <v>0</v>
      </c>
      <c r="CM136" s="208">
        <v>0</v>
      </c>
      <c r="CN136" s="208">
        <v>0</v>
      </c>
      <c r="CO136" s="208">
        <v>0</v>
      </c>
      <c r="CP136" s="208">
        <v>0</v>
      </c>
      <c r="CQ136" s="208">
        <v>0</v>
      </c>
      <c r="CR136" s="208">
        <v>0</v>
      </c>
      <c r="CS136" s="208">
        <v>0</v>
      </c>
      <c r="CT136" s="208">
        <v>0</v>
      </c>
      <c r="CU136" s="208">
        <v>0</v>
      </c>
      <c r="CV136" s="208">
        <v>0</v>
      </c>
      <c r="CW136" s="208">
        <v>0</v>
      </c>
      <c r="CX136" s="208">
        <v>0</v>
      </c>
      <c r="CY136" s="208">
        <v>0</v>
      </c>
      <c r="CZ136" s="208">
        <v>0</v>
      </c>
      <c r="DA136" s="208">
        <v>0</v>
      </c>
      <c r="DB136" s="208">
        <v>0</v>
      </c>
      <c r="DC136" s="208">
        <v>0</v>
      </c>
      <c r="DD136" s="208">
        <v>0</v>
      </c>
      <c r="DE136" s="208">
        <v>0</v>
      </c>
      <c r="DF136" s="208">
        <v>0</v>
      </c>
      <c r="DG136" s="208">
        <v>0</v>
      </c>
      <c r="DH136" s="208">
        <v>0</v>
      </c>
      <c r="DI136" s="208">
        <v>0</v>
      </c>
      <c r="DJ136" s="208">
        <v>0</v>
      </c>
      <c r="DK136" s="208">
        <v>0</v>
      </c>
      <c r="DL136" s="208">
        <v>0</v>
      </c>
      <c r="DM136" s="208">
        <v>0</v>
      </c>
      <c r="DN136" s="208">
        <v>0</v>
      </c>
      <c r="DO136" s="208">
        <v>0</v>
      </c>
      <c r="DP136" s="208">
        <v>-236358</v>
      </c>
      <c r="DQ136" s="208">
        <v>0</v>
      </c>
      <c r="DR136" s="208">
        <v>-236358</v>
      </c>
      <c r="DS136" s="208">
        <v>0</v>
      </c>
      <c r="DT136" s="208">
        <v>0</v>
      </c>
      <c r="DU136" s="208">
        <v>0</v>
      </c>
      <c r="DV136" s="208">
        <v>3140</v>
      </c>
      <c r="DW136" s="208">
        <v>0</v>
      </c>
      <c r="DX136" s="208">
        <v>3140</v>
      </c>
      <c r="DY136" s="208">
        <v>0</v>
      </c>
      <c r="DZ136" s="208">
        <v>0</v>
      </c>
      <c r="EA136" s="208">
        <v>0</v>
      </c>
      <c r="EB136" s="208">
        <v>0</v>
      </c>
      <c r="EC136" s="208">
        <v>0</v>
      </c>
      <c r="ED136" s="208">
        <v>0</v>
      </c>
      <c r="EE136" s="208">
        <v>0</v>
      </c>
      <c r="EF136" s="208">
        <v>0</v>
      </c>
      <c r="EG136" s="208">
        <v>0</v>
      </c>
      <c r="EH136" s="208">
        <v>0</v>
      </c>
      <c r="EI136" s="208">
        <v>0</v>
      </c>
      <c r="EJ136" s="208">
        <v>0</v>
      </c>
      <c r="EK136" s="208">
        <v>0</v>
      </c>
      <c r="EL136" s="208">
        <v>0</v>
      </c>
      <c r="EM136" s="208">
        <v>0</v>
      </c>
      <c r="EN136" s="208">
        <v>0</v>
      </c>
      <c r="EO136" s="208">
        <v>0</v>
      </c>
      <c r="EP136" s="208">
        <v>0</v>
      </c>
      <c r="EQ136" s="208">
        <v>0</v>
      </c>
      <c r="ER136" s="208">
        <v>0</v>
      </c>
      <c r="ES136" s="208">
        <v>0</v>
      </c>
      <c r="ET136" s="208">
        <v>0</v>
      </c>
      <c r="EU136" s="208">
        <v>0</v>
      </c>
      <c r="EV136" s="208">
        <v>0</v>
      </c>
      <c r="EW136" s="208">
        <v>-33841</v>
      </c>
      <c r="EX136" s="208">
        <v>0</v>
      </c>
      <c r="EY136" s="208">
        <v>-33841</v>
      </c>
      <c r="EZ136" s="208">
        <v>2904</v>
      </c>
      <c r="FA136" s="208">
        <v>0</v>
      </c>
      <c r="FB136" s="208">
        <v>2904</v>
      </c>
      <c r="FC136" s="208">
        <v>-404552</v>
      </c>
      <c r="FD136" s="208">
        <v>0</v>
      </c>
      <c r="FE136" s="208">
        <v>-404552</v>
      </c>
      <c r="FF136" s="208">
        <v>13459</v>
      </c>
      <c r="FG136" s="208">
        <v>0</v>
      </c>
      <c r="FH136" s="208">
        <v>13459</v>
      </c>
      <c r="FI136" s="208">
        <v>-31287</v>
      </c>
      <c r="FJ136" s="208">
        <v>0</v>
      </c>
      <c r="FK136" s="208">
        <v>-31287</v>
      </c>
      <c r="FL136" s="208">
        <v>1074</v>
      </c>
      <c r="FM136" s="208">
        <v>0</v>
      </c>
      <c r="FN136" s="208">
        <v>1074</v>
      </c>
      <c r="FO136" s="208">
        <v>0</v>
      </c>
      <c r="FP136" s="208">
        <v>0</v>
      </c>
      <c r="FQ136" s="208">
        <v>0</v>
      </c>
      <c r="FR136" s="208">
        <v>0</v>
      </c>
      <c r="FS136" s="208">
        <v>0</v>
      </c>
      <c r="FT136" s="208">
        <v>0</v>
      </c>
      <c r="FU136" s="208">
        <v>-449103</v>
      </c>
      <c r="FV136" s="208">
        <v>0</v>
      </c>
      <c r="FW136" s="208">
        <v>-449103</v>
      </c>
      <c r="FX136" s="208">
        <v>0</v>
      </c>
      <c r="FY136" s="208">
        <v>0</v>
      </c>
      <c r="FZ136" s="208">
        <v>0</v>
      </c>
      <c r="GA136" s="208">
        <v>0</v>
      </c>
      <c r="GB136" s="208">
        <v>0</v>
      </c>
      <c r="GC136" s="208">
        <v>0</v>
      </c>
      <c r="GD136" s="208">
        <v>0</v>
      </c>
      <c r="GE136" s="208">
        <v>0</v>
      </c>
      <c r="GF136" s="208">
        <v>0</v>
      </c>
      <c r="GG136" s="208">
        <v>385418383</v>
      </c>
      <c r="GH136" s="208">
        <v>0</v>
      </c>
      <c r="GI136" s="208">
        <v>385418383</v>
      </c>
      <c r="GJ136" s="208">
        <v>18682822</v>
      </c>
      <c r="GK136" s="208">
        <v>0</v>
      </c>
      <c r="GL136" s="208">
        <v>18682822</v>
      </c>
      <c r="GM136" s="208">
        <v>-7788921</v>
      </c>
      <c r="GN136" s="208">
        <v>0</v>
      </c>
      <c r="GO136" s="208">
        <v>-7788921</v>
      </c>
      <c r="GP136" s="208">
        <v>-11383875</v>
      </c>
      <c r="GQ136" s="208">
        <v>0</v>
      </c>
      <c r="GR136" s="208">
        <v>-11383875</v>
      </c>
      <c r="GS136" s="208">
        <v>-236358</v>
      </c>
      <c r="GT136" s="208">
        <v>0</v>
      </c>
      <c r="GU136" s="208">
        <v>-236358</v>
      </c>
      <c r="GV136" s="208">
        <v>-449103</v>
      </c>
      <c r="GW136" s="208">
        <v>0</v>
      </c>
      <c r="GX136" s="208">
        <v>-449103</v>
      </c>
      <c r="GY136" s="208">
        <v>0</v>
      </c>
      <c r="GZ136" s="208">
        <v>0</v>
      </c>
      <c r="HA136" s="208">
        <v>0</v>
      </c>
      <c r="HB136" s="208">
        <v>-1175435</v>
      </c>
      <c r="HC136" s="208">
        <v>0</v>
      </c>
      <c r="HD136" s="208">
        <v>-1175435</v>
      </c>
      <c r="HE136" s="208">
        <v>384242948</v>
      </c>
      <c r="HF136" s="208">
        <v>0</v>
      </c>
      <c r="HG136" s="208">
        <v>384242948</v>
      </c>
      <c r="HH136" s="187" t="s">
        <v>1055</v>
      </c>
    </row>
    <row r="137" spans="1:216" s="187" customFormat="1" x14ac:dyDescent="0.2">
      <c r="A137" s="188"/>
      <c r="B137" s="429" t="s">
        <v>351</v>
      </c>
      <c r="C137" s="429" t="s">
        <v>350</v>
      </c>
      <c r="D137" s="208">
        <v>-977483</v>
      </c>
      <c r="E137" s="208">
        <v>-2050</v>
      </c>
      <c r="F137" s="208">
        <v>-979533</v>
      </c>
      <c r="G137" s="208">
        <v>30491</v>
      </c>
      <c r="H137" s="208">
        <v>0</v>
      </c>
      <c r="I137" s="208">
        <v>30491</v>
      </c>
      <c r="J137" s="208">
        <v>245574</v>
      </c>
      <c r="K137" s="208">
        <v>15651</v>
      </c>
      <c r="L137" s="208">
        <v>261225</v>
      </c>
      <c r="M137" s="208">
        <v>250640</v>
      </c>
      <c r="N137" s="208">
        <v>0</v>
      </c>
      <c r="O137" s="208">
        <v>250640</v>
      </c>
      <c r="P137" s="208">
        <v>-450778</v>
      </c>
      <c r="Q137" s="208">
        <v>13601</v>
      </c>
      <c r="R137" s="208">
        <v>-437177</v>
      </c>
      <c r="S137" s="208">
        <v>-3850558</v>
      </c>
      <c r="T137" s="208">
        <v>0</v>
      </c>
      <c r="U137" s="208">
        <v>-3850558</v>
      </c>
      <c r="V137" s="208">
        <v>-2462</v>
      </c>
      <c r="W137" s="208">
        <v>0</v>
      </c>
      <c r="X137" s="208">
        <v>-2462</v>
      </c>
      <c r="Y137" s="208">
        <v>-227589</v>
      </c>
      <c r="Z137" s="208">
        <v>0</v>
      </c>
      <c r="AA137" s="208">
        <v>-227589</v>
      </c>
      <c r="AB137" s="208">
        <v>78268</v>
      </c>
      <c r="AC137" s="208">
        <v>0</v>
      </c>
      <c r="AD137" s="208">
        <v>78268</v>
      </c>
      <c r="AE137" s="208">
        <v>135071</v>
      </c>
      <c r="AF137" s="208">
        <v>0</v>
      </c>
      <c r="AG137" s="208">
        <v>135071</v>
      </c>
      <c r="AH137" s="208">
        <v>6785</v>
      </c>
      <c r="AI137" s="208">
        <v>0</v>
      </c>
      <c r="AJ137" s="208">
        <v>6785</v>
      </c>
      <c r="AK137" s="208">
        <v>-3473</v>
      </c>
      <c r="AL137" s="208">
        <v>0</v>
      </c>
      <c r="AM137" s="208">
        <v>-3473</v>
      </c>
      <c r="AN137" s="208">
        <v>724018</v>
      </c>
      <c r="AO137" s="208">
        <v>28126</v>
      </c>
      <c r="AP137" s="208">
        <v>752144</v>
      </c>
      <c r="AQ137" s="208">
        <v>-33332</v>
      </c>
      <c r="AR137" s="208">
        <v>-1634</v>
      </c>
      <c r="AS137" s="208">
        <v>-34966</v>
      </c>
      <c r="AT137" s="208">
        <v>-2497510</v>
      </c>
      <c r="AU137" s="208">
        <v>0</v>
      </c>
      <c r="AV137" s="208">
        <v>-2497510</v>
      </c>
      <c r="AW137" s="208">
        <v>174325</v>
      </c>
      <c r="AX137" s="208">
        <v>0</v>
      </c>
      <c r="AY137" s="208">
        <v>174325</v>
      </c>
      <c r="AZ137" s="208">
        <v>-6153</v>
      </c>
      <c r="BA137" s="208">
        <v>0</v>
      </c>
      <c r="BB137" s="208">
        <v>-6153</v>
      </c>
      <c r="BC137" s="208">
        <v>0</v>
      </c>
      <c r="BD137" s="208">
        <v>0</v>
      </c>
      <c r="BE137" s="208">
        <v>0</v>
      </c>
      <c r="BF137" s="208">
        <v>-7193</v>
      </c>
      <c r="BG137" s="208">
        <v>0</v>
      </c>
      <c r="BH137" s="208">
        <v>-7193</v>
      </c>
      <c r="BI137" s="208">
        <v>0</v>
      </c>
      <c r="BJ137" s="208">
        <v>0</v>
      </c>
      <c r="BK137" s="208">
        <v>0</v>
      </c>
      <c r="BL137" s="208">
        <v>-5723992</v>
      </c>
      <c r="BM137" s="208">
        <v>26492</v>
      </c>
      <c r="BN137" s="208">
        <v>-5697500</v>
      </c>
      <c r="BO137" s="208">
        <v>-2693</v>
      </c>
      <c r="BP137" s="208">
        <v>0</v>
      </c>
      <c r="BQ137" s="208">
        <v>-2693</v>
      </c>
      <c r="BR137" s="208">
        <v>-675</v>
      </c>
      <c r="BS137" s="208">
        <v>0</v>
      </c>
      <c r="BT137" s="208">
        <v>-675</v>
      </c>
      <c r="BU137" s="208">
        <v>-427821</v>
      </c>
      <c r="BV137" s="208">
        <v>0</v>
      </c>
      <c r="BW137" s="208">
        <v>-427821</v>
      </c>
      <c r="BX137" s="208">
        <v>28472</v>
      </c>
      <c r="BY137" s="208">
        <v>-3715</v>
      </c>
      <c r="BZ137" s="208">
        <v>24757</v>
      </c>
      <c r="CA137" s="208">
        <v>-402717</v>
      </c>
      <c r="CB137" s="208">
        <v>-3715</v>
      </c>
      <c r="CC137" s="208">
        <v>-406432</v>
      </c>
      <c r="CD137" s="208">
        <v>-99296</v>
      </c>
      <c r="CE137" s="208">
        <v>0</v>
      </c>
      <c r="CF137" s="208">
        <v>-99296</v>
      </c>
      <c r="CG137" s="208">
        <v>1500</v>
      </c>
      <c r="CH137" s="208">
        <v>0</v>
      </c>
      <c r="CI137" s="208">
        <v>1500</v>
      </c>
      <c r="CJ137" s="208">
        <v>-82733</v>
      </c>
      <c r="CK137" s="208">
        <v>0</v>
      </c>
      <c r="CL137" s="208">
        <v>-82733</v>
      </c>
      <c r="CM137" s="208">
        <v>0</v>
      </c>
      <c r="CN137" s="208">
        <v>0</v>
      </c>
      <c r="CO137" s="208">
        <v>0</v>
      </c>
      <c r="CP137" s="208">
        <v>-1538</v>
      </c>
      <c r="CQ137" s="208">
        <v>0</v>
      </c>
      <c r="CR137" s="208">
        <v>-1538</v>
      </c>
      <c r="CS137" s="208">
        <v>0</v>
      </c>
      <c r="CT137" s="208">
        <v>0</v>
      </c>
      <c r="CU137" s="208">
        <v>0</v>
      </c>
      <c r="CV137" s="208">
        <v>0</v>
      </c>
      <c r="CW137" s="208">
        <v>0</v>
      </c>
      <c r="CX137" s="208">
        <v>0</v>
      </c>
      <c r="CY137" s="208">
        <v>0</v>
      </c>
      <c r="CZ137" s="208">
        <v>0</v>
      </c>
      <c r="DA137" s="208">
        <v>0</v>
      </c>
      <c r="DB137" s="208">
        <v>0</v>
      </c>
      <c r="DC137" s="208">
        <v>0</v>
      </c>
      <c r="DD137" s="208">
        <v>0</v>
      </c>
      <c r="DE137" s="208">
        <v>0</v>
      </c>
      <c r="DF137" s="208">
        <v>0</v>
      </c>
      <c r="DG137" s="208">
        <v>0</v>
      </c>
      <c r="DH137" s="208">
        <v>-32065</v>
      </c>
      <c r="DI137" s="208">
        <v>-188556</v>
      </c>
      <c r="DJ137" s="208">
        <v>-220621</v>
      </c>
      <c r="DK137" s="208">
        <v>0</v>
      </c>
      <c r="DL137" s="208">
        <v>-30474</v>
      </c>
      <c r="DM137" s="208">
        <v>-30474</v>
      </c>
      <c r="DN137" s="208">
        <v>-219030</v>
      </c>
      <c r="DO137" s="208">
        <v>0</v>
      </c>
      <c r="DP137" s="208">
        <v>-214132</v>
      </c>
      <c r="DQ137" s="208">
        <v>-219030</v>
      </c>
      <c r="DR137" s="208">
        <v>-433162</v>
      </c>
      <c r="DS137" s="208">
        <v>0</v>
      </c>
      <c r="DT137" s="208">
        <v>0</v>
      </c>
      <c r="DU137" s="208">
        <v>0</v>
      </c>
      <c r="DV137" s="208">
        <v>0</v>
      </c>
      <c r="DW137" s="208">
        <v>0</v>
      </c>
      <c r="DX137" s="208">
        <v>0</v>
      </c>
      <c r="DY137" s="208">
        <v>685</v>
      </c>
      <c r="DZ137" s="208">
        <v>0</v>
      </c>
      <c r="EA137" s="208">
        <v>685</v>
      </c>
      <c r="EB137" s="208">
        <v>0</v>
      </c>
      <c r="EC137" s="208">
        <v>0</v>
      </c>
      <c r="ED137" s="208">
        <v>0</v>
      </c>
      <c r="EE137" s="208">
        <v>0</v>
      </c>
      <c r="EF137" s="208">
        <v>0</v>
      </c>
      <c r="EG137" s="208">
        <v>0</v>
      </c>
      <c r="EH137" s="208">
        <v>0</v>
      </c>
      <c r="EI137" s="208">
        <v>0</v>
      </c>
      <c r="EJ137" s="208">
        <v>0</v>
      </c>
      <c r="EK137" s="208">
        <v>-4986</v>
      </c>
      <c r="EL137" s="208">
        <v>0</v>
      </c>
      <c r="EM137" s="208">
        <v>-4986</v>
      </c>
      <c r="EN137" s="208">
        <v>0</v>
      </c>
      <c r="EO137" s="208">
        <v>0</v>
      </c>
      <c r="EP137" s="208">
        <v>0</v>
      </c>
      <c r="EQ137" s="208">
        <v>-1171</v>
      </c>
      <c r="ER137" s="208">
        <v>0</v>
      </c>
      <c r="ES137" s="208">
        <v>-1171</v>
      </c>
      <c r="ET137" s="208">
        <v>0</v>
      </c>
      <c r="EU137" s="208">
        <v>0</v>
      </c>
      <c r="EV137" s="208">
        <v>0</v>
      </c>
      <c r="EW137" s="208">
        <v>-38981</v>
      </c>
      <c r="EX137" s="208">
        <v>0</v>
      </c>
      <c r="EY137" s="208">
        <v>-38981</v>
      </c>
      <c r="EZ137" s="208">
        <v>2923</v>
      </c>
      <c r="FA137" s="208">
        <v>0</v>
      </c>
      <c r="FB137" s="208">
        <v>2923</v>
      </c>
      <c r="FC137" s="208">
        <v>-123585</v>
      </c>
      <c r="FD137" s="208">
        <v>0</v>
      </c>
      <c r="FE137" s="208">
        <v>-123585</v>
      </c>
      <c r="FF137" s="208">
        <v>17784</v>
      </c>
      <c r="FG137" s="208">
        <v>0</v>
      </c>
      <c r="FH137" s="208">
        <v>17784</v>
      </c>
      <c r="FI137" s="208">
        <v>-47310</v>
      </c>
      <c r="FJ137" s="208">
        <v>0</v>
      </c>
      <c r="FK137" s="208">
        <v>-47310</v>
      </c>
      <c r="FL137" s="208">
        <v>-948</v>
      </c>
      <c r="FM137" s="208">
        <v>0</v>
      </c>
      <c r="FN137" s="208">
        <v>-948</v>
      </c>
      <c r="FO137" s="208">
        <v>0</v>
      </c>
      <c r="FP137" s="208">
        <v>0</v>
      </c>
      <c r="FQ137" s="208">
        <v>0</v>
      </c>
      <c r="FR137" s="208">
        <v>0</v>
      </c>
      <c r="FS137" s="208">
        <v>0</v>
      </c>
      <c r="FT137" s="208">
        <v>0</v>
      </c>
      <c r="FU137" s="208">
        <v>-195589</v>
      </c>
      <c r="FV137" s="208">
        <v>0</v>
      </c>
      <c r="FW137" s="208">
        <v>-195589</v>
      </c>
      <c r="FX137" s="208">
        <v>0</v>
      </c>
      <c r="FY137" s="208">
        <v>0</v>
      </c>
      <c r="FZ137" s="208">
        <v>0</v>
      </c>
      <c r="GA137" s="208">
        <v>0</v>
      </c>
      <c r="GB137" s="208">
        <v>0</v>
      </c>
      <c r="GC137" s="208">
        <v>0</v>
      </c>
      <c r="GD137" s="208">
        <v>0</v>
      </c>
      <c r="GE137" s="208">
        <v>0</v>
      </c>
      <c r="GF137" s="208">
        <v>0</v>
      </c>
      <c r="GG137" s="208">
        <v>38698889</v>
      </c>
      <c r="GH137" s="208">
        <v>1145659</v>
      </c>
      <c r="GI137" s="208">
        <v>39844548</v>
      </c>
      <c r="GJ137" s="208">
        <v>-450778</v>
      </c>
      <c r="GK137" s="208">
        <v>13601</v>
      </c>
      <c r="GL137" s="208">
        <v>-437177</v>
      </c>
      <c r="GM137" s="208">
        <v>-5723992</v>
      </c>
      <c r="GN137" s="208">
        <v>26492</v>
      </c>
      <c r="GO137" s="208">
        <v>-5697500</v>
      </c>
      <c r="GP137" s="208">
        <v>-402717</v>
      </c>
      <c r="GQ137" s="208">
        <v>-3715</v>
      </c>
      <c r="GR137" s="208">
        <v>-406432</v>
      </c>
      <c r="GS137" s="208">
        <v>-214132</v>
      </c>
      <c r="GT137" s="208">
        <v>-219030</v>
      </c>
      <c r="GU137" s="208">
        <v>-433162</v>
      </c>
      <c r="GV137" s="208">
        <v>-195589</v>
      </c>
      <c r="GW137" s="208">
        <v>0</v>
      </c>
      <c r="GX137" s="208">
        <v>-195589</v>
      </c>
      <c r="GY137" s="208">
        <v>0</v>
      </c>
      <c r="GZ137" s="208">
        <v>0</v>
      </c>
      <c r="HA137" s="208">
        <v>0</v>
      </c>
      <c r="HB137" s="208">
        <v>-6987208</v>
      </c>
      <c r="HC137" s="208">
        <v>-182652</v>
      </c>
      <c r="HD137" s="208">
        <v>-7169860</v>
      </c>
      <c r="HE137" s="208">
        <v>31711681</v>
      </c>
      <c r="HF137" s="208">
        <v>963007</v>
      </c>
      <c r="HG137" s="208">
        <v>32674688</v>
      </c>
      <c r="HH137" s="187" t="s">
        <v>1054</v>
      </c>
    </row>
    <row r="138" spans="1:216" s="187" customFormat="1" x14ac:dyDescent="0.2">
      <c r="B138" s="429" t="s">
        <v>353</v>
      </c>
      <c r="C138" s="429" t="s">
        <v>352</v>
      </c>
      <c r="D138" s="208">
        <v>-1330123</v>
      </c>
      <c r="E138" s="208">
        <v>0</v>
      </c>
      <c r="F138" s="208">
        <v>-1330123</v>
      </c>
      <c r="G138" s="208">
        <v>17934</v>
      </c>
      <c r="H138" s="208">
        <v>0</v>
      </c>
      <c r="I138" s="208">
        <v>17934</v>
      </c>
      <c r="J138" s="208">
        <v>593479</v>
      </c>
      <c r="K138" s="208">
        <v>0</v>
      </c>
      <c r="L138" s="208">
        <v>593479</v>
      </c>
      <c r="M138" s="208">
        <v>-120439</v>
      </c>
      <c r="N138" s="208">
        <v>0</v>
      </c>
      <c r="O138" s="208">
        <v>-120439</v>
      </c>
      <c r="P138" s="208">
        <v>-839149</v>
      </c>
      <c r="Q138" s="208">
        <v>0</v>
      </c>
      <c r="R138" s="208">
        <v>-839149</v>
      </c>
      <c r="S138" s="208">
        <v>-4977192</v>
      </c>
      <c r="T138" s="208">
        <v>0</v>
      </c>
      <c r="U138" s="208">
        <v>-4977192</v>
      </c>
      <c r="V138" s="208">
        <v>0</v>
      </c>
      <c r="W138" s="208">
        <v>0</v>
      </c>
      <c r="X138" s="208">
        <v>0</v>
      </c>
      <c r="Y138" s="208">
        <v>-102443</v>
      </c>
      <c r="Z138" s="208">
        <v>0</v>
      </c>
      <c r="AA138" s="208">
        <v>-102443</v>
      </c>
      <c r="AB138" s="208">
        <v>-12010</v>
      </c>
      <c r="AC138" s="208">
        <v>0</v>
      </c>
      <c r="AD138" s="208">
        <v>-12010</v>
      </c>
      <c r="AE138" s="208">
        <v>-92406</v>
      </c>
      <c r="AF138" s="208">
        <v>0</v>
      </c>
      <c r="AG138" s="208">
        <v>-92406</v>
      </c>
      <c r="AH138" s="208">
        <v>0</v>
      </c>
      <c r="AI138" s="208">
        <v>0</v>
      </c>
      <c r="AJ138" s="208">
        <v>0</v>
      </c>
      <c r="AK138" s="208">
        <v>0</v>
      </c>
      <c r="AL138" s="208">
        <v>0</v>
      </c>
      <c r="AM138" s="208">
        <v>0</v>
      </c>
      <c r="AN138" s="208">
        <v>890432</v>
      </c>
      <c r="AO138" s="208">
        <v>0</v>
      </c>
      <c r="AP138" s="208">
        <v>890432</v>
      </c>
      <c r="AQ138" s="208">
        <v>-7568</v>
      </c>
      <c r="AR138" s="208">
        <v>0</v>
      </c>
      <c r="AS138" s="208">
        <v>-7568</v>
      </c>
      <c r="AT138" s="208">
        <v>-3414041</v>
      </c>
      <c r="AU138" s="208">
        <v>0</v>
      </c>
      <c r="AV138" s="208">
        <v>-3414041</v>
      </c>
      <c r="AW138" s="208">
        <v>340895</v>
      </c>
      <c r="AX138" s="208">
        <v>0</v>
      </c>
      <c r="AY138" s="208">
        <v>340895</v>
      </c>
      <c r="AZ138" s="208">
        <v>-59722</v>
      </c>
      <c r="BA138" s="208">
        <v>0</v>
      </c>
      <c r="BB138" s="208">
        <v>-59722</v>
      </c>
      <c r="BC138" s="208">
        <v>0</v>
      </c>
      <c r="BD138" s="208">
        <v>0</v>
      </c>
      <c r="BE138" s="208">
        <v>0</v>
      </c>
      <c r="BF138" s="208">
        <v>-9267</v>
      </c>
      <c r="BG138" s="208">
        <v>0</v>
      </c>
      <c r="BH138" s="208">
        <v>-9267</v>
      </c>
      <c r="BI138" s="208">
        <v>0</v>
      </c>
      <c r="BJ138" s="208">
        <v>0</v>
      </c>
      <c r="BK138" s="208">
        <v>0</v>
      </c>
      <c r="BL138" s="208">
        <v>-7338906</v>
      </c>
      <c r="BM138" s="208">
        <v>0</v>
      </c>
      <c r="BN138" s="208">
        <v>-7338906</v>
      </c>
      <c r="BO138" s="208">
        <v>0</v>
      </c>
      <c r="BP138" s="208">
        <v>0</v>
      </c>
      <c r="BQ138" s="208">
        <v>0</v>
      </c>
      <c r="BR138" s="208">
        <v>0</v>
      </c>
      <c r="BS138" s="208">
        <v>0</v>
      </c>
      <c r="BT138" s="208">
        <v>0</v>
      </c>
      <c r="BU138" s="208">
        <v>-808818</v>
      </c>
      <c r="BV138" s="208">
        <v>0</v>
      </c>
      <c r="BW138" s="208">
        <v>-808818</v>
      </c>
      <c r="BX138" s="208">
        <v>-109073</v>
      </c>
      <c r="BY138" s="208">
        <v>0</v>
      </c>
      <c r="BZ138" s="208">
        <v>-109073</v>
      </c>
      <c r="CA138" s="208">
        <v>-917891</v>
      </c>
      <c r="CB138" s="208">
        <v>0</v>
      </c>
      <c r="CC138" s="208">
        <v>-917891</v>
      </c>
      <c r="CD138" s="208">
        <v>-54491</v>
      </c>
      <c r="CE138" s="208">
        <v>0</v>
      </c>
      <c r="CF138" s="208">
        <v>-54491</v>
      </c>
      <c r="CG138" s="208">
        <v>88993</v>
      </c>
      <c r="CH138" s="208">
        <v>0</v>
      </c>
      <c r="CI138" s="208">
        <v>88993</v>
      </c>
      <c r="CJ138" s="208">
        <v>-456315</v>
      </c>
      <c r="CK138" s="208">
        <v>0</v>
      </c>
      <c r="CL138" s="208">
        <v>-456315</v>
      </c>
      <c r="CM138" s="208">
        <v>-447391</v>
      </c>
      <c r="CN138" s="208">
        <v>0</v>
      </c>
      <c r="CO138" s="208">
        <v>-447391</v>
      </c>
      <c r="CP138" s="208">
        <v>-2691</v>
      </c>
      <c r="CQ138" s="208">
        <v>0</v>
      </c>
      <c r="CR138" s="208">
        <v>-2691</v>
      </c>
      <c r="CS138" s="208">
        <v>0</v>
      </c>
      <c r="CT138" s="208">
        <v>0</v>
      </c>
      <c r="CU138" s="208">
        <v>0</v>
      </c>
      <c r="CV138" s="208">
        <v>0</v>
      </c>
      <c r="CW138" s="208">
        <v>0</v>
      </c>
      <c r="CX138" s="208">
        <v>0</v>
      </c>
      <c r="CY138" s="208">
        <v>0</v>
      </c>
      <c r="CZ138" s="208">
        <v>0</v>
      </c>
      <c r="DA138" s="208">
        <v>0</v>
      </c>
      <c r="DB138" s="208">
        <v>0</v>
      </c>
      <c r="DC138" s="208">
        <v>0</v>
      </c>
      <c r="DD138" s="208">
        <v>0</v>
      </c>
      <c r="DE138" s="208">
        <v>0</v>
      </c>
      <c r="DF138" s="208">
        <v>0</v>
      </c>
      <c r="DG138" s="208">
        <v>0</v>
      </c>
      <c r="DH138" s="208">
        <v>0</v>
      </c>
      <c r="DI138" s="208">
        <v>0</v>
      </c>
      <c r="DJ138" s="208">
        <v>0</v>
      </c>
      <c r="DK138" s="208">
        <v>0</v>
      </c>
      <c r="DL138" s="208">
        <v>0</v>
      </c>
      <c r="DM138" s="208">
        <v>0</v>
      </c>
      <c r="DN138" s="208">
        <v>0</v>
      </c>
      <c r="DO138" s="208">
        <v>0</v>
      </c>
      <c r="DP138" s="208">
        <v>-871895</v>
      </c>
      <c r="DQ138" s="208">
        <v>0</v>
      </c>
      <c r="DR138" s="208">
        <v>-871895</v>
      </c>
      <c r="DS138" s="208">
        <v>290</v>
      </c>
      <c r="DT138" s="208">
        <v>0</v>
      </c>
      <c r="DU138" s="208">
        <v>290</v>
      </c>
      <c r="DV138" s="208">
        <v>0</v>
      </c>
      <c r="DW138" s="208">
        <v>0</v>
      </c>
      <c r="DX138" s="208">
        <v>0</v>
      </c>
      <c r="DY138" s="208">
        <v>0</v>
      </c>
      <c r="DZ138" s="208">
        <v>0</v>
      </c>
      <c r="EA138" s="208">
        <v>0</v>
      </c>
      <c r="EB138" s="208">
        <v>0</v>
      </c>
      <c r="EC138" s="208">
        <v>0</v>
      </c>
      <c r="ED138" s="208">
        <v>0</v>
      </c>
      <c r="EE138" s="208">
        <v>0</v>
      </c>
      <c r="EF138" s="208">
        <v>0</v>
      </c>
      <c r="EG138" s="208">
        <v>0</v>
      </c>
      <c r="EH138" s="208">
        <v>0</v>
      </c>
      <c r="EI138" s="208">
        <v>0</v>
      </c>
      <c r="EJ138" s="208">
        <v>0</v>
      </c>
      <c r="EK138" s="208">
        <v>-9267</v>
      </c>
      <c r="EL138" s="208">
        <v>0</v>
      </c>
      <c r="EM138" s="208">
        <v>-9267</v>
      </c>
      <c r="EN138" s="208">
        <v>0</v>
      </c>
      <c r="EO138" s="208">
        <v>0</v>
      </c>
      <c r="EP138" s="208">
        <v>0</v>
      </c>
      <c r="EQ138" s="208">
        <v>-555</v>
      </c>
      <c r="ER138" s="208">
        <v>0</v>
      </c>
      <c r="ES138" s="208">
        <v>-555</v>
      </c>
      <c r="ET138" s="208">
        <v>0</v>
      </c>
      <c r="EU138" s="208">
        <v>0</v>
      </c>
      <c r="EV138" s="208">
        <v>0</v>
      </c>
      <c r="EW138" s="208">
        <v>-40368</v>
      </c>
      <c r="EX138" s="208">
        <v>0</v>
      </c>
      <c r="EY138" s="208">
        <v>-40368</v>
      </c>
      <c r="EZ138" s="208">
        <v>5191</v>
      </c>
      <c r="FA138" s="208">
        <v>0</v>
      </c>
      <c r="FB138" s="208">
        <v>5191</v>
      </c>
      <c r="FC138" s="208">
        <v>-208885</v>
      </c>
      <c r="FD138" s="208">
        <v>0</v>
      </c>
      <c r="FE138" s="208">
        <v>-208885</v>
      </c>
      <c r="FF138" s="208">
        <v>1022</v>
      </c>
      <c r="FG138" s="208">
        <v>0</v>
      </c>
      <c r="FH138" s="208">
        <v>1022</v>
      </c>
      <c r="FI138" s="208">
        <v>-47603</v>
      </c>
      <c r="FJ138" s="208">
        <v>0</v>
      </c>
      <c r="FK138" s="208">
        <v>-47603</v>
      </c>
      <c r="FL138" s="208">
        <v>129</v>
      </c>
      <c r="FM138" s="208">
        <v>0</v>
      </c>
      <c r="FN138" s="208">
        <v>129</v>
      </c>
      <c r="FO138" s="208">
        <v>0</v>
      </c>
      <c r="FP138" s="208">
        <v>0</v>
      </c>
      <c r="FQ138" s="208">
        <v>0</v>
      </c>
      <c r="FR138" s="208">
        <v>0</v>
      </c>
      <c r="FS138" s="208">
        <v>0</v>
      </c>
      <c r="FT138" s="208">
        <v>0</v>
      </c>
      <c r="FU138" s="208">
        <v>-300046</v>
      </c>
      <c r="FV138" s="208">
        <v>0</v>
      </c>
      <c r="FW138" s="208">
        <v>-300046</v>
      </c>
      <c r="FX138" s="208">
        <v>-34170</v>
      </c>
      <c r="FY138" s="208">
        <v>0</v>
      </c>
      <c r="FZ138" s="208">
        <v>-34170</v>
      </c>
      <c r="GA138" s="208">
        <v>0</v>
      </c>
      <c r="GB138" s="208">
        <v>0</v>
      </c>
      <c r="GC138" s="208">
        <v>0</v>
      </c>
      <c r="GD138" s="208">
        <v>-34170</v>
      </c>
      <c r="GE138" s="208">
        <v>0</v>
      </c>
      <c r="GF138" s="208">
        <v>-34170</v>
      </c>
      <c r="GG138" s="208">
        <v>53661014</v>
      </c>
      <c r="GH138" s="208">
        <v>0</v>
      </c>
      <c r="GI138" s="208">
        <v>53661014</v>
      </c>
      <c r="GJ138" s="208">
        <v>-839149</v>
      </c>
      <c r="GK138" s="208">
        <v>0</v>
      </c>
      <c r="GL138" s="208">
        <v>-839149</v>
      </c>
      <c r="GM138" s="208">
        <v>-7338906</v>
      </c>
      <c r="GN138" s="208">
        <v>0</v>
      </c>
      <c r="GO138" s="208">
        <v>-7338906</v>
      </c>
      <c r="GP138" s="208">
        <v>-917891</v>
      </c>
      <c r="GQ138" s="208">
        <v>0</v>
      </c>
      <c r="GR138" s="208">
        <v>-917891</v>
      </c>
      <c r="GS138" s="208">
        <v>-871895</v>
      </c>
      <c r="GT138" s="208">
        <v>0</v>
      </c>
      <c r="GU138" s="208">
        <v>-871895</v>
      </c>
      <c r="GV138" s="208">
        <v>-300046</v>
      </c>
      <c r="GW138" s="208">
        <v>0</v>
      </c>
      <c r="GX138" s="208">
        <v>-300046</v>
      </c>
      <c r="GY138" s="208">
        <v>-34170</v>
      </c>
      <c r="GZ138" s="208">
        <v>0</v>
      </c>
      <c r="HA138" s="208">
        <v>-34170</v>
      </c>
      <c r="HB138" s="208">
        <v>-10302057</v>
      </c>
      <c r="HC138" s="208">
        <v>0</v>
      </c>
      <c r="HD138" s="208">
        <v>-10302057</v>
      </c>
      <c r="HE138" s="208">
        <v>43358957</v>
      </c>
      <c r="HF138" s="208">
        <v>0</v>
      </c>
      <c r="HG138" s="208">
        <v>43358957</v>
      </c>
      <c r="HH138" s="187" t="s">
        <v>1054</v>
      </c>
    </row>
    <row r="139" spans="1:216" s="187" customFormat="1" x14ac:dyDescent="0.2">
      <c r="B139" s="429" t="s">
        <v>355</v>
      </c>
      <c r="C139" s="429" t="s">
        <v>354</v>
      </c>
      <c r="D139" s="208">
        <v>-6865270</v>
      </c>
      <c r="E139" s="208">
        <v>0</v>
      </c>
      <c r="F139" s="208">
        <v>-6865270</v>
      </c>
      <c r="G139" s="208">
        <v>-420691</v>
      </c>
      <c r="H139" s="208">
        <v>0</v>
      </c>
      <c r="I139" s="208">
        <v>-420691</v>
      </c>
      <c r="J139" s="208">
        <v>2399546</v>
      </c>
      <c r="K139" s="208">
        <v>0</v>
      </c>
      <c r="L139" s="208">
        <v>2399546</v>
      </c>
      <c r="M139" s="208">
        <v>34685</v>
      </c>
      <c r="N139" s="208">
        <v>0</v>
      </c>
      <c r="O139" s="208">
        <v>34685</v>
      </c>
      <c r="P139" s="208">
        <v>-4851730</v>
      </c>
      <c r="Q139" s="208">
        <v>0</v>
      </c>
      <c r="R139" s="208">
        <v>-4851730</v>
      </c>
      <c r="S139" s="208">
        <v>-5406617</v>
      </c>
      <c r="T139" s="208">
        <v>0</v>
      </c>
      <c r="U139" s="208">
        <v>-5406617</v>
      </c>
      <c r="V139" s="208">
        <v>-5223</v>
      </c>
      <c r="W139" s="208">
        <v>0</v>
      </c>
      <c r="X139" s="208">
        <v>-5223</v>
      </c>
      <c r="Y139" s="208">
        <v>-326160</v>
      </c>
      <c r="Z139" s="208">
        <v>0</v>
      </c>
      <c r="AA139" s="208">
        <v>-326160</v>
      </c>
      <c r="AB139" s="208">
        <v>-127255</v>
      </c>
      <c r="AC139" s="208">
        <v>0</v>
      </c>
      <c r="AD139" s="208">
        <v>-127255</v>
      </c>
      <c r="AE139" s="208">
        <v>-180691</v>
      </c>
      <c r="AF139" s="208">
        <v>0</v>
      </c>
      <c r="AG139" s="208">
        <v>-180691</v>
      </c>
      <c r="AH139" s="208">
        <v>0</v>
      </c>
      <c r="AI139" s="208">
        <v>0</v>
      </c>
      <c r="AJ139" s="208">
        <v>0</v>
      </c>
      <c r="AK139" s="208">
        <v>0</v>
      </c>
      <c r="AL139" s="208">
        <v>0</v>
      </c>
      <c r="AM139" s="208">
        <v>0</v>
      </c>
      <c r="AN139" s="208">
        <v>5101774</v>
      </c>
      <c r="AO139" s="208">
        <v>0</v>
      </c>
      <c r="AP139" s="208">
        <v>5101774</v>
      </c>
      <c r="AQ139" s="208">
        <v>-289656</v>
      </c>
      <c r="AR139" s="208">
        <v>0</v>
      </c>
      <c r="AS139" s="208">
        <v>-289656</v>
      </c>
      <c r="AT139" s="208">
        <v>-6497256</v>
      </c>
      <c r="AU139" s="208">
        <v>0</v>
      </c>
      <c r="AV139" s="208">
        <v>-6497256</v>
      </c>
      <c r="AW139" s="208">
        <v>-138914</v>
      </c>
      <c r="AX139" s="208">
        <v>0</v>
      </c>
      <c r="AY139" s="208">
        <v>-138914</v>
      </c>
      <c r="AZ139" s="208">
        <v>-57863</v>
      </c>
      <c r="BA139" s="208">
        <v>0</v>
      </c>
      <c r="BB139" s="208">
        <v>-57863</v>
      </c>
      <c r="BC139" s="208">
        <v>0</v>
      </c>
      <c r="BD139" s="208">
        <v>0</v>
      </c>
      <c r="BE139" s="208">
        <v>0</v>
      </c>
      <c r="BF139" s="208">
        <v>0</v>
      </c>
      <c r="BG139" s="208">
        <v>0</v>
      </c>
      <c r="BH139" s="208">
        <v>0</v>
      </c>
      <c r="BI139" s="208">
        <v>0</v>
      </c>
      <c r="BJ139" s="208">
        <v>0</v>
      </c>
      <c r="BK139" s="208">
        <v>0</v>
      </c>
      <c r="BL139" s="208">
        <v>-7614692</v>
      </c>
      <c r="BM139" s="208">
        <v>0</v>
      </c>
      <c r="BN139" s="208">
        <v>-7614692</v>
      </c>
      <c r="BO139" s="208">
        <v>-245185</v>
      </c>
      <c r="BP139" s="208">
        <v>0</v>
      </c>
      <c r="BQ139" s="208">
        <v>-245185</v>
      </c>
      <c r="BR139" s="208">
        <v>-17967</v>
      </c>
      <c r="BS139" s="208">
        <v>0</v>
      </c>
      <c r="BT139" s="208">
        <v>-17967</v>
      </c>
      <c r="BU139" s="208">
        <v>-9481249</v>
      </c>
      <c r="BV139" s="208">
        <v>0</v>
      </c>
      <c r="BW139" s="208">
        <v>-9481249</v>
      </c>
      <c r="BX139" s="208">
        <v>1837918</v>
      </c>
      <c r="BY139" s="208">
        <v>0</v>
      </c>
      <c r="BZ139" s="208">
        <v>1837918</v>
      </c>
      <c r="CA139" s="208">
        <v>-7906483</v>
      </c>
      <c r="CB139" s="208">
        <v>0</v>
      </c>
      <c r="CC139" s="208">
        <v>-7906483</v>
      </c>
      <c r="CD139" s="208">
        <v>-327486</v>
      </c>
      <c r="CE139" s="208">
        <v>0</v>
      </c>
      <c r="CF139" s="208">
        <v>-327486</v>
      </c>
      <c r="CG139" s="208">
        <v>4195</v>
      </c>
      <c r="CH139" s="208">
        <v>0</v>
      </c>
      <c r="CI139" s="208">
        <v>4195</v>
      </c>
      <c r="CJ139" s="208">
        <v>-130849</v>
      </c>
      <c r="CK139" s="208">
        <v>0</v>
      </c>
      <c r="CL139" s="208">
        <v>-130849</v>
      </c>
      <c r="CM139" s="208">
        <v>6608</v>
      </c>
      <c r="CN139" s="208">
        <v>0</v>
      </c>
      <c r="CO139" s="208">
        <v>6608</v>
      </c>
      <c r="CP139" s="208">
        <v>-1834</v>
      </c>
      <c r="CQ139" s="208">
        <v>0</v>
      </c>
      <c r="CR139" s="208">
        <v>-1834</v>
      </c>
      <c r="CS139" s="208">
        <v>0</v>
      </c>
      <c r="CT139" s="208">
        <v>0</v>
      </c>
      <c r="CU139" s="208">
        <v>0</v>
      </c>
      <c r="CV139" s="208">
        <v>0</v>
      </c>
      <c r="CW139" s="208">
        <v>0</v>
      </c>
      <c r="CX139" s="208">
        <v>0</v>
      </c>
      <c r="CY139" s="208">
        <v>0</v>
      </c>
      <c r="CZ139" s="208">
        <v>0</v>
      </c>
      <c r="DA139" s="208">
        <v>0</v>
      </c>
      <c r="DB139" s="208">
        <v>0</v>
      </c>
      <c r="DC139" s="208">
        <v>0</v>
      </c>
      <c r="DD139" s="208">
        <v>0</v>
      </c>
      <c r="DE139" s="208">
        <v>0</v>
      </c>
      <c r="DF139" s="208">
        <v>0</v>
      </c>
      <c r="DG139" s="208">
        <v>0</v>
      </c>
      <c r="DH139" s="208">
        <v>0</v>
      </c>
      <c r="DI139" s="208">
        <v>0</v>
      </c>
      <c r="DJ139" s="208">
        <v>0</v>
      </c>
      <c r="DK139" s="208">
        <v>0</v>
      </c>
      <c r="DL139" s="208">
        <v>0</v>
      </c>
      <c r="DM139" s="208">
        <v>0</v>
      </c>
      <c r="DN139" s="208">
        <v>0</v>
      </c>
      <c r="DO139" s="208">
        <v>0</v>
      </c>
      <c r="DP139" s="208">
        <v>-449366</v>
      </c>
      <c r="DQ139" s="208">
        <v>0</v>
      </c>
      <c r="DR139" s="208">
        <v>-449366</v>
      </c>
      <c r="DS139" s="208">
        <v>0</v>
      </c>
      <c r="DT139" s="208">
        <v>0</v>
      </c>
      <c r="DU139" s="208">
        <v>0</v>
      </c>
      <c r="DV139" s="208">
        <v>1230</v>
      </c>
      <c r="DW139" s="208">
        <v>0</v>
      </c>
      <c r="DX139" s="208">
        <v>1230</v>
      </c>
      <c r="DY139" s="208">
        <v>5338</v>
      </c>
      <c r="DZ139" s="208">
        <v>0</v>
      </c>
      <c r="EA139" s="208">
        <v>5338</v>
      </c>
      <c r="EB139" s="208">
        <v>0</v>
      </c>
      <c r="EC139" s="208">
        <v>0</v>
      </c>
      <c r="ED139" s="208">
        <v>0</v>
      </c>
      <c r="EE139" s="208">
        <v>0</v>
      </c>
      <c r="EF139" s="208">
        <v>0</v>
      </c>
      <c r="EG139" s="208">
        <v>0</v>
      </c>
      <c r="EH139" s="208">
        <v>0</v>
      </c>
      <c r="EI139" s="208">
        <v>0</v>
      </c>
      <c r="EJ139" s="208">
        <v>0</v>
      </c>
      <c r="EK139" s="208">
        <v>0</v>
      </c>
      <c r="EL139" s="208">
        <v>0</v>
      </c>
      <c r="EM139" s="208">
        <v>0</v>
      </c>
      <c r="EN139" s="208">
        <v>0</v>
      </c>
      <c r="EO139" s="208">
        <v>0</v>
      </c>
      <c r="EP139" s="208">
        <v>0</v>
      </c>
      <c r="EQ139" s="208">
        <v>0</v>
      </c>
      <c r="ER139" s="208">
        <v>0</v>
      </c>
      <c r="ES139" s="208">
        <v>0</v>
      </c>
      <c r="ET139" s="208">
        <v>0</v>
      </c>
      <c r="EU139" s="208">
        <v>0</v>
      </c>
      <c r="EV139" s="208">
        <v>0</v>
      </c>
      <c r="EW139" s="208">
        <v>-13811</v>
      </c>
      <c r="EX139" s="208">
        <v>0</v>
      </c>
      <c r="EY139" s="208">
        <v>-13811</v>
      </c>
      <c r="EZ139" s="208">
        <v>-6699</v>
      </c>
      <c r="FA139" s="208">
        <v>0</v>
      </c>
      <c r="FB139" s="208">
        <v>-6699</v>
      </c>
      <c r="FC139" s="208">
        <v>-616333</v>
      </c>
      <c r="FD139" s="208">
        <v>0</v>
      </c>
      <c r="FE139" s="208">
        <v>-616333</v>
      </c>
      <c r="FF139" s="208">
        <v>39911</v>
      </c>
      <c r="FG139" s="208">
        <v>0</v>
      </c>
      <c r="FH139" s="208">
        <v>39911</v>
      </c>
      <c r="FI139" s="208">
        <v>-48049</v>
      </c>
      <c r="FJ139" s="208">
        <v>0</v>
      </c>
      <c r="FK139" s="208">
        <v>-48049</v>
      </c>
      <c r="FL139" s="208">
        <v>1222</v>
      </c>
      <c r="FM139" s="208">
        <v>0</v>
      </c>
      <c r="FN139" s="208">
        <v>1222</v>
      </c>
      <c r="FO139" s="208">
        <v>0</v>
      </c>
      <c r="FP139" s="208">
        <v>0</v>
      </c>
      <c r="FQ139" s="208">
        <v>0</v>
      </c>
      <c r="FR139" s="208">
        <v>0</v>
      </c>
      <c r="FS139" s="208">
        <v>0</v>
      </c>
      <c r="FT139" s="208">
        <v>0</v>
      </c>
      <c r="FU139" s="208">
        <v>-637191</v>
      </c>
      <c r="FV139" s="208">
        <v>0</v>
      </c>
      <c r="FW139" s="208">
        <v>-637191</v>
      </c>
      <c r="FX139" s="208">
        <v>0</v>
      </c>
      <c r="FY139" s="208">
        <v>0</v>
      </c>
      <c r="FZ139" s="208">
        <v>0</v>
      </c>
      <c r="GA139" s="208">
        <v>0</v>
      </c>
      <c r="GB139" s="208">
        <v>0</v>
      </c>
      <c r="GC139" s="208">
        <v>0</v>
      </c>
      <c r="GD139" s="208">
        <v>0</v>
      </c>
      <c r="GE139" s="208">
        <v>0</v>
      </c>
      <c r="GF139" s="208">
        <v>0</v>
      </c>
      <c r="GG139" s="208">
        <v>208541399</v>
      </c>
      <c r="GH139" s="208">
        <v>0</v>
      </c>
      <c r="GI139" s="208">
        <v>208541399</v>
      </c>
      <c r="GJ139" s="208">
        <v>-4851730</v>
      </c>
      <c r="GK139" s="208">
        <v>0</v>
      </c>
      <c r="GL139" s="208">
        <v>-4851730</v>
      </c>
      <c r="GM139" s="208">
        <v>-7614692</v>
      </c>
      <c r="GN139" s="208">
        <v>0</v>
      </c>
      <c r="GO139" s="208">
        <v>-7614692</v>
      </c>
      <c r="GP139" s="208">
        <v>-7906483</v>
      </c>
      <c r="GQ139" s="208">
        <v>0</v>
      </c>
      <c r="GR139" s="208">
        <v>-7906483</v>
      </c>
      <c r="GS139" s="208">
        <v>-449366</v>
      </c>
      <c r="GT139" s="208">
        <v>0</v>
      </c>
      <c r="GU139" s="208">
        <v>-449366</v>
      </c>
      <c r="GV139" s="208">
        <v>-637191</v>
      </c>
      <c r="GW139" s="208">
        <v>0</v>
      </c>
      <c r="GX139" s="208">
        <v>-637191</v>
      </c>
      <c r="GY139" s="208">
        <v>0</v>
      </c>
      <c r="GZ139" s="208">
        <v>0</v>
      </c>
      <c r="HA139" s="208">
        <v>0</v>
      </c>
      <c r="HB139" s="208">
        <v>-21459462</v>
      </c>
      <c r="HC139" s="208">
        <v>0</v>
      </c>
      <c r="HD139" s="208">
        <v>-21459462</v>
      </c>
      <c r="HE139" s="208">
        <v>187081937</v>
      </c>
      <c r="HF139" s="208">
        <v>0</v>
      </c>
      <c r="HG139" s="208">
        <v>187081937</v>
      </c>
      <c r="HH139" s="187" t="s">
        <v>1055</v>
      </c>
    </row>
    <row r="140" spans="1:216" s="187" customFormat="1" x14ac:dyDescent="0.2">
      <c r="B140" s="429" t="s">
        <v>357</v>
      </c>
      <c r="C140" s="429" t="s">
        <v>356</v>
      </c>
      <c r="D140" s="208">
        <v>-826285</v>
      </c>
      <c r="E140" s="208">
        <v>-23846</v>
      </c>
      <c r="F140" s="208">
        <v>-850131</v>
      </c>
      <c r="G140" s="208">
        <v>91269</v>
      </c>
      <c r="H140" s="208">
        <v>-4322</v>
      </c>
      <c r="I140" s="208">
        <v>86947</v>
      </c>
      <c r="J140" s="208">
        <v>1744539</v>
      </c>
      <c r="K140" s="208">
        <v>0</v>
      </c>
      <c r="L140" s="208">
        <v>1744539</v>
      </c>
      <c r="M140" s="208">
        <v>14911</v>
      </c>
      <c r="N140" s="208">
        <v>0</v>
      </c>
      <c r="O140" s="208">
        <v>14911</v>
      </c>
      <c r="P140" s="208">
        <v>1024434</v>
      </c>
      <c r="Q140" s="208">
        <v>-28168</v>
      </c>
      <c r="R140" s="208">
        <v>996266</v>
      </c>
      <c r="S140" s="208">
        <v>-5143655</v>
      </c>
      <c r="T140" s="208">
        <v>-4439</v>
      </c>
      <c r="U140" s="208">
        <v>-5148094</v>
      </c>
      <c r="V140" s="208">
        <v>-32449</v>
      </c>
      <c r="W140" s="208">
        <v>0</v>
      </c>
      <c r="X140" s="208">
        <v>-32449</v>
      </c>
      <c r="Y140" s="208">
        <v>-33658</v>
      </c>
      <c r="Z140" s="208">
        <v>0</v>
      </c>
      <c r="AA140" s="208">
        <v>-33658</v>
      </c>
      <c r="AB140" s="208">
        <v>9265</v>
      </c>
      <c r="AC140" s="208">
        <v>0</v>
      </c>
      <c r="AD140" s="208">
        <v>9265</v>
      </c>
      <c r="AE140" s="208">
        <v>-32246</v>
      </c>
      <c r="AF140" s="208">
        <v>0</v>
      </c>
      <c r="AG140" s="208">
        <v>-32246</v>
      </c>
      <c r="AH140" s="208">
        <v>-5586</v>
      </c>
      <c r="AI140" s="208">
        <v>0</v>
      </c>
      <c r="AJ140" s="208">
        <v>-5586</v>
      </c>
      <c r="AK140" s="208">
        <v>-5668</v>
      </c>
      <c r="AL140" s="208">
        <v>0</v>
      </c>
      <c r="AM140" s="208">
        <v>-5668</v>
      </c>
      <c r="AN140" s="208">
        <v>1258482</v>
      </c>
      <c r="AO140" s="208">
        <v>54166</v>
      </c>
      <c r="AP140" s="208">
        <v>1312648</v>
      </c>
      <c r="AQ140" s="208">
        <v>51638</v>
      </c>
      <c r="AR140" s="208">
        <v>2078</v>
      </c>
      <c r="AS140" s="208">
        <v>53716</v>
      </c>
      <c r="AT140" s="208">
        <v>-3241093</v>
      </c>
      <c r="AU140" s="208">
        <v>-206107</v>
      </c>
      <c r="AV140" s="208">
        <v>-3447200</v>
      </c>
      <c r="AW140" s="208">
        <v>69790</v>
      </c>
      <c r="AX140" s="208">
        <v>-20877</v>
      </c>
      <c r="AY140" s="208">
        <v>48913</v>
      </c>
      <c r="AZ140" s="208">
        <v>-213791</v>
      </c>
      <c r="BA140" s="208">
        <v>0</v>
      </c>
      <c r="BB140" s="208">
        <v>-213791</v>
      </c>
      <c r="BC140" s="208">
        <v>0</v>
      </c>
      <c r="BD140" s="208">
        <v>0</v>
      </c>
      <c r="BE140" s="208">
        <v>0</v>
      </c>
      <c r="BF140" s="208">
        <v>-32616</v>
      </c>
      <c r="BG140" s="208">
        <v>0</v>
      </c>
      <c r="BH140" s="208">
        <v>-32616</v>
      </c>
      <c r="BI140" s="208">
        <v>2226</v>
      </c>
      <c r="BJ140" s="208">
        <v>0</v>
      </c>
      <c r="BK140" s="208">
        <v>2226</v>
      </c>
      <c r="BL140" s="208">
        <v>-7282677</v>
      </c>
      <c r="BM140" s="208">
        <v>-175179</v>
      </c>
      <c r="BN140" s="208">
        <v>-7457856</v>
      </c>
      <c r="BO140" s="208">
        <v>0</v>
      </c>
      <c r="BP140" s="208">
        <v>0</v>
      </c>
      <c r="BQ140" s="208">
        <v>0</v>
      </c>
      <c r="BR140" s="208">
        <v>-1336</v>
      </c>
      <c r="BS140" s="208">
        <v>0</v>
      </c>
      <c r="BT140" s="208">
        <v>-1336</v>
      </c>
      <c r="BU140" s="208">
        <v>-2029975</v>
      </c>
      <c r="BV140" s="208">
        <v>-58873</v>
      </c>
      <c r="BW140" s="208">
        <v>-2088848</v>
      </c>
      <c r="BX140" s="208">
        <v>-127789</v>
      </c>
      <c r="BY140" s="208">
        <v>309</v>
      </c>
      <c r="BZ140" s="208">
        <v>-127480</v>
      </c>
      <c r="CA140" s="208">
        <v>-2159100</v>
      </c>
      <c r="CB140" s="208">
        <v>-58564</v>
      </c>
      <c r="CC140" s="208">
        <v>-2217664</v>
      </c>
      <c r="CD140" s="208">
        <v>-7089</v>
      </c>
      <c r="CE140" s="208">
        <v>0</v>
      </c>
      <c r="CF140" s="208">
        <v>-7089</v>
      </c>
      <c r="CG140" s="208">
        <v>0</v>
      </c>
      <c r="CH140" s="208">
        <v>0</v>
      </c>
      <c r="CI140" s="208">
        <v>0</v>
      </c>
      <c r="CJ140" s="208">
        <v>-36832</v>
      </c>
      <c r="CK140" s="208">
        <v>0</v>
      </c>
      <c r="CL140" s="208">
        <v>-36832</v>
      </c>
      <c r="CM140" s="208">
        <v>-4929</v>
      </c>
      <c r="CN140" s="208">
        <v>0</v>
      </c>
      <c r="CO140" s="208">
        <v>-4929</v>
      </c>
      <c r="CP140" s="208">
        <v>0</v>
      </c>
      <c r="CQ140" s="208">
        <v>0</v>
      </c>
      <c r="CR140" s="208">
        <v>0</v>
      </c>
      <c r="CS140" s="208">
        <v>0</v>
      </c>
      <c r="CT140" s="208">
        <v>0</v>
      </c>
      <c r="CU140" s="208">
        <v>0</v>
      </c>
      <c r="CV140" s="208">
        <v>0</v>
      </c>
      <c r="CW140" s="208">
        <v>0</v>
      </c>
      <c r="CX140" s="208">
        <v>0</v>
      </c>
      <c r="CY140" s="208">
        <v>0</v>
      </c>
      <c r="CZ140" s="208">
        <v>0</v>
      </c>
      <c r="DA140" s="208">
        <v>0</v>
      </c>
      <c r="DB140" s="208">
        <v>0</v>
      </c>
      <c r="DC140" s="208">
        <v>0</v>
      </c>
      <c r="DD140" s="208">
        <v>0</v>
      </c>
      <c r="DE140" s="208">
        <v>0</v>
      </c>
      <c r="DF140" s="208">
        <v>0</v>
      </c>
      <c r="DG140" s="208">
        <v>0</v>
      </c>
      <c r="DH140" s="208">
        <v>0</v>
      </c>
      <c r="DI140" s="208">
        <v>-258225</v>
      </c>
      <c r="DJ140" s="208">
        <v>-258225</v>
      </c>
      <c r="DK140" s="208">
        <v>0</v>
      </c>
      <c r="DL140" s="208">
        <v>-58550</v>
      </c>
      <c r="DM140" s="208">
        <v>-58550</v>
      </c>
      <c r="DN140" s="208">
        <v>-316775</v>
      </c>
      <c r="DO140" s="208">
        <v>0</v>
      </c>
      <c r="DP140" s="208">
        <v>-48850</v>
      </c>
      <c r="DQ140" s="208">
        <v>-316775</v>
      </c>
      <c r="DR140" s="208">
        <v>-365625</v>
      </c>
      <c r="DS140" s="208">
        <v>0</v>
      </c>
      <c r="DT140" s="208">
        <v>0</v>
      </c>
      <c r="DU140" s="208">
        <v>0</v>
      </c>
      <c r="DV140" s="208">
        <v>0</v>
      </c>
      <c r="DW140" s="208">
        <v>0</v>
      </c>
      <c r="DX140" s="208">
        <v>0</v>
      </c>
      <c r="DY140" s="208">
        <v>0</v>
      </c>
      <c r="DZ140" s="208">
        <v>0</v>
      </c>
      <c r="EA140" s="208">
        <v>0</v>
      </c>
      <c r="EB140" s="208">
        <v>0</v>
      </c>
      <c r="EC140" s="208">
        <v>0</v>
      </c>
      <c r="ED140" s="208">
        <v>0</v>
      </c>
      <c r="EE140" s="208">
        <v>0</v>
      </c>
      <c r="EF140" s="208">
        <v>0</v>
      </c>
      <c r="EG140" s="208">
        <v>0</v>
      </c>
      <c r="EH140" s="208">
        <v>0</v>
      </c>
      <c r="EI140" s="208">
        <v>0</v>
      </c>
      <c r="EJ140" s="208">
        <v>0</v>
      </c>
      <c r="EK140" s="208">
        <v>-33093</v>
      </c>
      <c r="EL140" s="208">
        <v>0</v>
      </c>
      <c r="EM140" s="208">
        <v>-33093</v>
      </c>
      <c r="EN140" s="208">
        <v>2146</v>
      </c>
      <c r="EO140" s="208">
        <v>0</v>
      </c>
      <c r="EP140" s="208">
        <v>2146</v>
      </c>
      <c r="EQ140" s="208">
        <v>0</v>
      </c>
      <c r="ER140" s="208">
        <v>0</v>
      </c>
      <c r="ES140" s="208">
        <v>0</v>
      </c>
      <c r="ET140" s="208">
        <v>0</v>
      </c>
      <c r="EU140" s="208">
        <v>0</v>
      </c>
      <c r="EV140" s="208">
        <v>0</v>
      </c>
      <c r="EW140" s="208">
        <v>-28781</v>
      </c>
      <c r="EX140" s="208">
        <v>0</v>
      </c>
      <c r="EY140" s="208">
        <v>-28781</v>
      </c>
      <c r="EZ140" s="208">
        <v>1184</v>
      </c>
      <c r="FA140" s="208">
        <v>0</v>
      </c>
      <c r="FB140" s="208">
        <v>1184</v>
      </c>
      <c r="FC140" s="208">
        <v>-163780</v>
      </c>
      <c r="FD140" s="208">
        <v>0</v>
      </c>
      <c r="FE140" s="208">
        <v>-163780</v>
      </c>
      <c r="FF140" s="208">
        <v>5441</v>
      </c>
      <c r="FG140" s="208">
        <v>0</v>
      </c>
      <c r="FH140" s="208">
        <v>5441</v>
      </c>
      <c r="FI140" s="208">
        <v>-75936</v>
      </c>
      <c r="FJ140" s="208">
        <v>0</v>
      </c>
      <c r="FK140" s="208">
        <v>-75936</v>
      </c>
      <c r="FL140" s="208">
        <v>96</v>
      </c>
      <c r="FM140" s="208">
        <v>0</v>
      </c>
      <c r="FN140" s="208">
        <v>96</v>
      </c>
      <c r="FO140" s="208">
        <v>0</v>
      </c>
      <c r="FP140" s="208">
        <v>0</v>
      </c>
      <c r="FQ140" s="208">
        <v>0</v>
      </c>
      <c r="FR140" s="208">
        <v>0</v>
      </c>
      <c r="FS140" s="208">
        <v>0</v>
      </c>
      <c r="FT140" s="208">
        <v>0</v>
      </c>
      <c r="FU140" s="208">
        <v>-292723</v>
      </c>
      <c r="FV140" s="208">
        <v>0</v>
      </c>
      <c r="FW140" s="208">
        <v>-292723</v>
      </c>
      <c r="FX140" s="208">
        <v>-37438</v>
      </c>
      <c r="FY140" s="208">
        <v>0</v>
      </c>
      <c r="FZ140" s="208">
        <v>-37438</v>
      </c>
      <c r="GA140" s="208">
        <v>0</v>
      </c>
      <c r="GB140" s="208">
        <v>0</v>
      </c>
      <c r="GC140" s="208">
        <v>0</v>
      </c>
      <c r="GD140" s="208">
        <v>-37438</v>
      </c>
      <c r="GE140" s="208">
        <v>0</v>
      </c>
      <c r="GF140" s="208">
        <v>-37438</v>
      </c>
      <c r="GG140" s="208">
        <v>72286515</v>
      </c>
      <c r="GH140" s="208">
        <v>2440838</v>
      </c>
      <c r="GI140" s="208">
        <v>74727353</v>
      </c>
      <c r="GJ140" s="208">
        <v>1024434</v>
      </c>
      <c r="GK140" s="208">
        <v>-28168</v>
      </c>
      <c r="GL140" s="208">
        <v>996266</v>
      </c>
      <c r="GM140" s="208">
        <v>-7282677</v>
      </c>
      <c r="GN140" s="208">
        <v>-175179</v>
      </c>
      <c r="GO140" s="208">
        <v>-7457856</v>
      </c>
      <c r="GP140" s="208">
        <v>-2159100</v>
      </c>
      <c r="GQ140" s="208">
        <v>-58564</v>
      </c>
      <c r="GR140" s="208">
        <v>-2217664</v>
      </c>
      <c r="GS140" s="208">
        <v>-48850</v>
      </c>
      <c r="GT140" s="208">
        <v>-316775</v>
      </c>
      <c r="GU140" s="208">
        <v>-365625</v>
      </c>
      <c r="GV140" s="208">
        <v>-292723</v>
      </c>
      <c r="GW140" s="208">
        <v>0</v>
      </c>
      <c r="GX140" s="208">
        <v>-292723</v>
      </c>
      <c r="GY140" s="208">
        <v>-37438</v>
      </c>
      <c r="GZ140" s="208">
        <v>0</v>
      </c>
      <c r="HA140" s="208">
        <v>-37438</v>
      </c>
      <c r="HB140" s="208">
        <v>-8796354</v>
      </c>
      <c r="HC140" s="208">
        <v>-578686</v>
      </c>
      <c r="HD140" s="208">
        <v>-9375040</v>
      </c>
      <c r="HE140" s="208">
        <v>63490161</v>
      </c>
      <c r="HF140" s="208">
        <v>1862152</v>
      </c>
      <c r="HG140" s="208">
        <v>65352313</v>
      </c>
      <c r="HH140" s="187" t="s">
        <v>1054</v>
      </c>
    </row>
    <row r="141" spans="1:216" s="187" customFormat="1" x14ac:dyDescent="0.2">
      <c r="B141" s="429" t="s">
        <v>359</v>
      </c>
      <c r="C141" s="429" t="s">
        <v>358</v>
      </c>
      <c r="D141" s="208">
        <v>-314655</v>
      </c>
      <c r="E141" s="208">
        <v>0</v>
      </c>
      <c r="F141" s="208">
        <v>-314655</v>
      </c>
      <c r="G141" s="208">
        <v>-44582</v>
      </c>
      <c r="H141" s="208">
        <v>0</v>
      </c>
      <c r="I141" s="208">
        <v>-44582</v>
      </c>
      <c r="J141" s="208">
        <v>1121654</v>
      </c>
      <c r="K141" s="208">
        <v>0</v>
      </c>
      <c r="L141" s="208">
        <v>1121654</v>
      </c>
      <c r="M141" s="208">
        <v>-84139</v>
      </c>
      <c r="N141" s="208">
        <v>0</v>
      </c>
      <c r="O141" s="208">
        <v>-84139</v>
      </c>
      <c r="P141" s="208">
        <v>678278</v>
      </c>
      <c r="Q141" s="208">
        <v>0</v>
      </c>
      <c r="R141" s="208">
        <v>678278</v>
      </c>
      <c r="S141" s="208">
        <v>-3901811</v>
      </c>
      <c r="T141" s="208">
        <v>0</v>
      </c>
      <c r="U141" s="208">
        <v>-3901811</v>
      </c>
      <c r="V141" s="208">
        <v>-1172</v>
      </c>
      <c r="W141" s="208">
        <v>0</v>
      </c>
      <c r="X141" s="208">
        <v>-1172</v>
      </c>
      <c r="Y141" s="208">
        <v>-274374</v>
      </c>
      <c r="Z141" s="208">
        <v>0</v>
      </c>
      <c r="AA141" s="208">
        <v>-274374</v>
      </c>
      <c r="AB141" s="208">
        <v>-78646</v>
      </c>
      <c r="AC141" s="208">
        <v>0</v>
      </c>
      <c r="AD141" s="208">
        <v>-78646</v>
      </c>
      <c r="AE141" s="208">
        <v>-186029</v>
      </c>
      <c r="AF141" s="208">
        <v>0</v>
      </c>
      <c r="AG141" s="208">
        <v>-186029</v>
      </c>
      <c r="AH141" s="208">
        <v>0</v>
      </c>
      <c r="AI141" s="208">
        <v>0</v>
      </c>
      <c r="AJ141" s="208">
        <v>0</v>
      </c>
      <c r="AK141" s="208">
        <v>447</v>
      </c>
      <c r="AL141" s="208">
        <v>0</v>
      </c>
      <c r="AM141" s="208">
        <v>447</v>
      </c>
      <c r="AN141" s="208">
        <v>470594</v>
      </c>
      <c r="AO141" s="208">
        <v>0</v>
      </c>
      <c r="AP141" s="208">
        <v>470594</v>
      </c>
      <c r="AQ141" s="208">
        <v>-22269</v>
      </c>
      <c r="AR141" s="208">
        <v>0</v>
      </c>
      <c r="AS141" s="208">
        <v>-22269</v>
      </c>
      <c r="AT141" s="208">
        <v>-1413060</v>
      </c>
      <c r="AU141" s="208">
        <v>0</v>
      </c>
      <c r="AV141" s="208">
        <v>-1413060</v>
      </c>
      <c r="AW141" s="208">
        <v>-10305</v>
      </c>
      <c r="AX141" s="208">
        <v>0</v>
      </c>
      <c r="AY141" s="208">
        <v>-10305</v>
      </c>
      <c r="AZ141" s="208">
        <v>-51765</v>
      </c>
      <c r="BA141" s="208">
        <v>0</v>
      </c>
      <c r="BB141" s="208">
        <v>-51765</v>
      </c>
      <c r="BC141" s="208">
        <v>0</v>
      </c>
      <c r="BD141" s="208">
        <v>0</v>
      </c>
      <c r="BE141" s="208">
        <v>0</v>
      </c>
      <c r="BF141" s="208">
        <v>0</v>
      </c>
      <c r="BG141" s="208">
        <v>0</v>
      </c>
      <c r="BH141" s="208">
        <v>0</v>
      </c>
      <c r="BI141" s="208">
        <v>0</v>
      </c>
      <c r="BJ141" s="208">
        <v>0</v>
      </c>
      <c r="BK141" s="208">
        <v>0</v>
      </c>
      <c r="BL141" s="208">
        <v>-5202990</v>
      </c>
      <c r="BM141" s="208">
        <v>0</v>
      </c>
      <c r="BN141" s="208">
        <v>-5202990</v>
      </c>
      <c r="BO141" s="208">
        <v>-349</v>
      </c>
      <c r="BP141" s="208">
        <v>0</v>
      </c>
      <c r="BQ141" s="208">
        <v>-349</v>
      </c>
      <c r="BR141" s="208">
        <v>0</v>
      </c>
      <c r="BS141" s="208">
        <v>0</v>
      </c>
      <c r="BT141" s="208">
        <v>0</v>
      </c>
      <c r="BU141" s="208">
        <v>-1612111</v>
      </c>
      <c r="BV141" s="208">
        <v>0</v>
      </c>
      <c r="BW141" s="208">
        <v>-1612111</v>
      </c>
      <c r="BX141" s="208">
        <v>74898</v>
      </c>
      <c r="BY141" s="208">
        <v>0</v>
      </c>
      <c r="BZ141" s="208">
        <v>74898</v>
      </c>
      <c r="CA141" s="208">
        <v>-1537562</v>
      </c>
      <c r="CB141" s="208">
        <v>0</v>
      </c>
      <c r="CC141" s="208">
        <v>-1537562</v>
      </c>
      <c r="CD141" s="208">
        <v>-116034</v>
      </c>
      <c r="CE141" s="208">
        <v>0</v>
      </c>
      <c r="CF141" s="208">
        <v>-116034</v>
      </c>
      <c r="CG141" s="208">
        <v>-3099</v>
      </c>
      <c r="CH141" s="208">
        <v>0</v>
      </c>
      <c r="CI141" s="208">
        <v>-3099</v>
      </c>
      <c r="CJ141" s="208">
        <v>-82993</v>
      </c>
      <c r="CK141" s="208">
        <v>0</v>
      </c>
      <c r="CL141" s="208">
        <v>-82993</v>
      </c>
      <c r="CM141" s="208">
        <v>-5767</v>
      </c>
      <c r="CN141" s="208">
        <v>0</v>
      </c>
      <c r="CO141" s="208">
        <v>-5767</v>
      </c>
      <c r="CP141" s="208">
        <v>-2342</v>
      </c>
      <c r="CQ141" s="208">
        <v>0</v>
      </c>
      <c r="CR141" s="208">
        <v>-2342</v>
      </c>
      <c r="CS141" s="208">
        <v>0</v>
      </c>
      <c r="CT141" s="208">
        <v>0</v>
      </c>
      <c r="CU141" s="208">
        <v>0</v>
      </c>
      <c r="CV141" s="208">
        <v>0</v>
      </c>
      <c r="CW141" s="208">
        <v>0</v>
      </c>
      <c r="CX141" s="208">
        <v>0</v>
      </c>
      <c r="CY141" s="208">
        <v>0</v>
      </c>
      <c r="CZ141" s="208">
        <v>0</v>
      </c>
      <c r="DA141" s="208">
        <v>0</v>
      </c>
      <c r="DB141" s="208">
        <v>0</v>
      </c>
      <c r="DC141" s="208">
        <v>0</v>
      </c>
      <c r="DD141" s="208">
        <v>0</v>
      </c>
      <c r="DE141" s="208">
        <v>0</v>
      </c>
      <c r="DF141" s="208">
        <v>0</v>
      </c>
      <c r="DG141" s="208">
        <v>0</v>
      </c>
      <c r="DH141" s="208">
        <v>0</v>
      </c>
      <c r="DI141" s="208">
        <v>0</v>
      </c>
      <c r="DJ141" s="208">
        <v>0</v>
      </c>
      <c r="DK141" s="208">
        <v>0</v>
      </c>
      <c r="DL141" s="208">
        <v>0</v>
      </c>
      <c r="DM141" s="208">
        <v>0</v>
      </c>
      <c r="DN141" s="208">
        <v>0</v>
      </c>
      <c r="DO141" s="208">
        <v>0</v>
      </c>
      <c r="DP141" s="208">
        <v>-210235</v>
      </c>
      <c r="DQ141" s="208">
        <v>0</v>
      </c>
      <c r="DR141" s="208">
        <v>-210235</v>
      </c>
      <c r="DS141" s="208">
        <v>0</v>
      </c>
      <c r="DT141" s="208">
        <v>0</v>
      </c>
      <c r="DU141" s="208">
        <v>0</v>
      </c>
      <c r="DV141" s="208">
        <v>0</v>
      </c>
      <c r="DW141" s="208">
        <v>0</v>
      </c>
      <c r="DX141" s="208">
        <v>0</v>
      </c>
      <c r="DY141" s="208">
        <v>2368</v>
      </c>
      <c r="DZ141" s="208">
        <v>0</v>
      </c>
      <c r="EA141" s="208">
        <v>2368</v>
      </c>
      <c r="EB141" s="208">
        <v>0</v>
      </c>
      <c r="EC141" s="208">
        <v>0</v>
      </c>
      <c r="ED141" s="208">
        <v>0</v>
      </c>
      <c r="EE141" s="208">
        <v>0</v>
      </c>
      <c r="EF141" s="208">
        <v>0</v>
      </c>
      <c r="EG141" s="208">
        <v>0</v>
      </c>
      <c r="EH141" s="208">
        <v>0</v>
      </c>
      <c r="EI141" s="208">
        <v>0</v>
      </c>
      <c r="EJ141" s="208">
        <v>0</v>
      </c>
      <c r="EK141" s="208">
        <v>0</v>
      </c>
      <c r="EL141" s="208">
        <v>0</v>
      </c>
      <c r="EM141" s="208">
        <v>0</v>
      </c>
      <c r="EN141" s="208">
        <v>0</v>
      </c>
      <c r="EO141" s="208">
        <v>0</v>
      </c>
      <c r="EP141" s="208">
        <v>0</v>
      </c>
      <c r="EQ141" s="208">
        <v>0</v>
      </c>
      <c r="ER141" s="208">
        <v>0</v>
      </c>
      <c r="ES141" s="208">
        <v>0</v>
      </c>
      <c r="ET141" s="208">
        <v>0</v>
      </c>
      <c r="EU141" s="208">
        <v>0</v>
      </c>
      <c r="EV141" s="208">
        <v>0</v>
      </c>
      <c r="EW141" s="208">
        <v>-7194</v>
      </c>
      <c r="EX141" s="208">
        <v>0</v>
      </c>
      <c r="EY141" s="208">
        <v>-7194</v>
      </c>
      <c r="EZ141" s="208">
        <v>0</v>
      </c>
      <c r="FA141" s="208">
        <v>0</v>
      </c>
      <c r="FB141" s="208">
        <v>0</v>
      </c>
      <c r="FC141" s="208">
        <v>-34933</v>
      </c>
      <c r="FD141" s="208">
        <v>0</v>
      </c>
      <c r="FE141" s="208">
        <v>-34933</v>
      </c>
      <c r="FF141" s="208">
        <v>276</v>
      </c>
      <c r="FG141" s="208">
        <v>0</v>
      </c>
      <c r="FH141" s="208">
        <v>276</v>
      </c>
      <c r="FI141" s="208">
        <v>-32629</v>
      </c>
      <c r="FJ141" s="208">
        <v>0</v>
      </c>
      <c r="FK141" s="208">
        <v>-32629</v>
      </c>
      <c r="FL141" s="208">
        <v>781</v>
      </c>
      <c r="FM141" s="208">
        <v>0</v>
      </c>
      <c r="FN141" s="208">
        <v>781</v>
      </c>
      <c r="FO141" s="208">
        <v>0</v>
      </c>
      <c r="FP141" s="208">
        <v>0</v>
      </c>
      <c r="FQ141" s="208">
        <v>0</v>
      </c>
      <c r="FR141" s="208">
        <v>0</v>
      </c>
      <c r="FS141" s="208">
        <v>0</v>
      </c>
      <c r="FT141" s="208">
        <v>0</v>
      </c>
      <c r="FU141" s="208">
        <v>-71331</v>
      </c>
      <c r="FV141" s="208">
        <v>0</v>
      </c>
      <c r="FW141" s="208">
        <v>-71331</v>
      </c>
      <c r="FX141" s="208">
        <v>0</v>
      </c>
      <c r="FY141" s="208">
        <v>0</v>
      </c>
      <c r="FZ141" s="208">
        <v>0</v>
      </c>
      <c r="GA141" s="208">
        <v>0</v>
      </c>
      <c r="GB141" s="208">
        <v>0</v>
      </c>
      <c r="GC141" s="208">
        <v>0</v>
      </c>
      <c r="GD141" s="208">
        <v>0</v>
      </c>
      <c r="GE141" s="208">
        <v>0</v>
      </c>
      <c r="GF141" s="208">
        <v>0</v>
      </c>
      <c r="GG141" s="208">
        <v>25998255</v>
      </c>
      <c r="GH141" s="208">
        <v>0</v>
      </c>
      <c r="GI141" s="208">
        <v>25998255</v>
      </c>
      <c r="GJ141" s="208">
        <v>678278</v>
      </c>
      <c r="GK141" s="208">
        <v>0</v>
      </c>
      <c r="GL141" s="208">
        <v>678278</v>
      </c>
      <c r="GM141" s="208">
        <v>-5202990</v>
      </c>
      <c r="GN141" s="208">
        <v>0</v>
      </c>
      <c r="GO141" s="208">
        <v>-5202990</v>
      </c>
      <c r="GP141" s="208">
        <v>-1537562</v>
      </c>
      <c r="GQ141" s="208">
        <v>0</v>
      </c>
      <c r="GR141" s="208">
        <v>-1537562</v>
      </c>
      <c r="GS141" s="208">
        <v>-210235</v>
      </c>
      <c r="GT141" s="208">
        <v>0</v>
      </c>
      <c r="GU141" s="208">
        <v>-210235</v>
      </c>
      <c r="GV141" s="208">
        <v>-71331</v>
      </c>
      <c r="GW141" s="208">
        <v>0</v>
      </c>
      <c r="GX141" s="208">
        <v>-71331</v>
      </c>
      <c r="GY141" s="208">
        <v>0</v>
      </c>
      <c r="GZ141" s="208">
        <v>0</v>
      </c>
      <c r="HA141" s="208">
        <v>0</v>
      </c>
      <c r="HB141" s="208">
        <v>-6343840</v>
      </c>
      <c r="HC141" s="208">
        <v>0</v>
      </c>
      <c r="HD141" s="208">
        <v>-6343840</v>
      </c>
      <c r="HE141" s="208">
        <v>19654415</v>
      </c>
      <c r="HF141" s="208">
        <v>0</v>
      </c>
      <c r="HG141" s="208">
        <v>19654415</v>
      </c>
      <c r="HH141" s="187" t="s">
        <v>1054</v>
      </c>
    </row>
    <row r="142" spans="1:216" s="187" customFormat="1" x14ac:dyDescent="0.2">
      <c r="A142" s="188"/>
      <c r="B142" s="429" t="s">
        <v>361</v>
      </c>
      <c r="C142" s="429" t="s">
        <v>360</v>
      </c>
      <c r="D142" s="208">
        <v>-561173</v>
      </c>
      <c r="E142" s="208">
        <v>0</v>
      </c>
      <c r="F142" s="208">
        <v>-561173</v>
      </c>
      <c r="G142" s="208">
        <v>11941</v>
      </c>
      <c r="H142" s="208">
        <v>-961</v>
      </c>
      <c r="I142" s="208">
        <v>10980</v>
      </c>
      <c r="J142" s="208">
        <v>1829888</v>
      </c>
      <c r="K142" s="208">
        <v>0</v>
      </c>
      <c r="L142" s="208">
        <v>1829888</v>
      </c>
      <c r="M142" s="208">
        <v>-49104</v>
      </c>
      <c r="N142" s="208">
        <v>1442</v>
      </c>
      <c r="O142" s="208">
        <v>-47662</v>
      </c>
      <c r="P142" s="208">
        <v>1231552</v>
      </c>
      <c r="Q142" s="208">
        <v>481</v>
      </c>
      <c r="R142" s="208">
        <v>1232033</v>
      </c>
      <c r="S142" s="208">
        <v>-4193970</v>
      </c>
      <c r="T142" s="208">
        <v>-6080</v>
      </c>
      <c r="U142" s="208">
        <v>-4200050</v>
      </c>
      <c r="V142" s="208">
        <v>-24570</v>
      </c>
      <c r="W142" s="208">
        <v>0</v>
      </c>
      <c r="X142" s="208">
        <v>-24570</v>
      </c>
      <c r="Y142" s="208">
        <v>-91675</v>
      </c>
      <c r="Z142" s="208">
        <v>-11833</v>
      </c>
      <c r="AA142" s="208">
        <v>-103508</v>
      </c>
      <c r="AB142" s="208">
        <v>-13486</v>
      </c>
      <c r="AC142" s="208">
        <v>-3011</v>
      </c>
      <c r="AD142" s="208">
        <v>-16497</v>
      </c>
      <c r="AE142" s="208">
        <v>-78190</v>
      </c>
      <c r="AF142" s="208">
        <v>-5426</v>
      </c>
      <c r="AG142" s="208">
        <v>-83616</v>
      </c>
      <c r="AH142" s="208">
        <v>-16497</v>
      </c>
      <c r="AI142" s="208">
        <v>-344</v>
      </c>
      <c r="AJ142" s="208">
        <v>-16841</v>
      </c>
      <c r="AK142" s="208">
        <v>-83616</v>
      </c>
      <c r="AL142" s="208">
        <v>-3052</v>
      </c>
      <c r="AM142" s="208">
        <v>-86668</v>
      </c>
      <c r="AN142" s="208">
        <v>1291328</v>
      </c>
      <c r="AO142" s="208">
        <v>17723</v>
      </c>
      <c r="AP142" s="208">
        <v>1309051</v>
      </c>
      <c r="AQ142" s="208">
        <v>4093</v>
      </c>
      <c r="AR142" s="208">
        <v>6899</v>
      </c>
      <c r="AS142" s="208">
        <v>10992</v>
      </c>
      <c r="AT142" s="208">
        <v>-4459100</v>
      </c>
      <c r="AU142" s="208">
        <v>0</v>
      </c>
      <c r="AV142" s="208">
        <v>-4459100</v>
      </c>
      <c r="AW142" s="208">
        <v>-11540</v>
      </c>
      <c r="AX142" s="208">
        <v>-1035</v>
      </c>
      <c r="AY142" s="208">
        <v>-12575</v>
      </c>
      <c r="AZ142" s="208">
        <v>-103929</v>
      </c>
      <c r="BA142" s="208">
        <v>0</v>
      </c>
      <c r="BB142" s="208">
        <v>-103929</v>
      </c>
      <c r="BC142" s="208">
        <v>0</v>
      </c>
      <c r="BD142" s="208">
        <v>0</v>
      </c>
      <c r="BE142" s="208">
        <v>0</v>
      </c>
      <c r="BF142" s="208">
        <v>0</v>
      </c>
      <c r="BG142" s="208">
        <v>0</v>
      </c>
      <c r="BH142" s="208">
        <v>0</v>
      </c>
      <c r="BI142" s="208">
        <v>0</v>
      </c>
      <c r="BJ142" s="208">
        <v>0</v>
      </c>
      <c r="BK142" s="208">
        <v>0</v>
      </c>
      <c r="BL142" s="208">
        <v>-7564793</v>
      </c>
      <c r="BM142" s="208">
        <v>5674</v>
      </c>
      <c r="BN142" s="208">
        <v>-7559119</v>
      </c>
      <c r="BO142" s="208">
        <v>-12150</v>
      </c>
      <c r="BP142" s="208">
        <v>0</v>
      </c>
      <c r="BQ142" s="208">
        <v>-12150</v>
      </c>
      <c r="BR142" s="208">
        <v>0</v>
      </c>
      <c r="BS142" s="208">
        <v>0</v>
      </c>
      <c r="BT142" s="208">
        <v>0</v>
      </c>
      <c r="BU142" s="208">
        <v>-1928841</v>
      </c>
      <c r="BV142" s="208">
        <v>-77314</v>
      </c>
      <c r="BW142" s="208">
        <v>-2006155</v>
      </c>
      <c r="BX142" s="208">
        <v>-53907</v>
      </c>
      <c r="BY142" s="208">
        <v>-16360</v>
      </c>
      <c r="BZ142" s="208">
        <v>-70267</v>
      </c>
      <c r="CA142" s="208">
        <v>-1994898</v>
      </c>
      <c r="CB142" s="208">
        <v>-93674</v>
      </c>
      <c r="CC142" s="208">
        <v>-2088572</v>
      </c>
      <c r="CD142" s="208">
        <v>-134953</v>
      </c>
      <c r="CE142" s="208">
        <v>0</v>
      </c>
      <c r="CF142" s="208">
        <v>-134953</v>
      </c>
      <c r="CG142" s="208">
        <v>465</v>
      </c>
      <c r="CH142" s="208">
        <v>-259</v>
      </c>
      <c r="CI142" s="208">
        <v>206</v>
      </c>
      <c r="CJ142" s="208">
        <v>-44206</v>
      </c>
      <c r="CK142" s="208">
        <v>0</v>
      </c>
      <c r="CL142" s="208">
        <v>-44206</v>
      </c>
      <c r="CM142" s="208">
        <v>5263</v>
      </c>
      <c r="CN142" s="208">
        <v>0</v>
      </c>
      <c r="CO142" s="208">
        <v>5263</v>
      </c>
      <c r="CP142" s="208">
        <v>0</v>
      </c>
      <c r="CQ142" s="208">
        <v>0</v>
      </c>
      <c r="CR142" s="208">
        <v>0</v>
      </c>
      <c r="CS142" s="208">
        <v>0</v>
      </c>
      <c r="CT142" s="208">
        <v>0</v>
      </c>
      <c r="CU142" s="208">
        <v>0</v>
      </c>
      <c r="CV142" s="208">
        <v>0</v>
      </c>
      <c r="CW142" s="208">
        <v>0</v>
      </c>
      <c r="CX142" s="208">
        <v>0</v>
      </c>
      <c r="CY142" s="208">
        <v>0</v>
      </c>
      <c r="CZ142" s="208">
        <v>0</v>
      </c>
      <c r="DA142" s="208">
        <v>0</v>
      </c>
      <c r="DB142" s="208">
        <v>0</v>
      </c>
      <c r="DC142" s="208">
        <v>0</v>
      </c>
      <c r="DD142" s="208">
        <v>0</v>
      </c>
      <c r="DE142" s="208">
        <v>0</v>
      </c>
      <c r="DF142" s="208">
        <v>0</v>
      </c>
      <c r="DG142" s="208">
        <v>0</v>
      </c>
      <c r="DH142" s="208">
        <v>0</v>
      </c>
      <c r="DI142" s="208">
        <v>-185050</v>
      </c>
      <c r="DJ142" s="208">
        <v>-185050</v>
      </c>
      <c r="DK142" s="208">
        <v>0</v>
      </c>
      <c r="DL142" s="208">
        <v>-12099</v>
      </c>
      <c r="DM142" s="208">
        <v>-12099</v>
      </c>
      <c r="DN142" s="208">
        <v>-197149</v>
      </c>
      <c r="DO142" s="208">
        <v>0</v>
      </c>
      <c r="DP142" s="208">
        <v>-173431</v>
      </c>
      <c r="DQ142" s="208">
        <v>-197408</v>
      </c>
      <c r="DR142" s="208">
        <v>-370839</v>
      </c>
      <c r="DS142" s="208">
        <v>0</v>
      </c>
      <c r="DT142" s="208">
        <v>39356</v>
      </c>
      <c r="DU142" s="208">
        <v>39356</v>
      </c>
      <c r="DV142" s="208">
        <v>0</v>
      </c>
      <c r="DW142" s="208">
        <v>0</v>
      </c>
      <c r="DX142" s="208">
        <v>0</v>
      </c>
      <c r="DY142" s="208">
        <v>0</v>
      </c>
      <c r="DZ142" s="208">
        <v>0</v>
      </c>
      <c r="EA142" s="208">
        <v>0</v>
      </c>
      <c r="EB142" s="208">
        <v>0</v>
      </c>
      <c r="EC142" s="208">
        <v>0</v>
      </c>
      <c r="ED142" s="208">
        <v>0</v>
      </c>
      <c r="EE142" s="208">
        <v>0</v>
      </c>
      <c r="EF142" s="208">
        <v>0</v>
      </c>
      <c r="EG142" s="208">
        <v>0</v>
      </c>
      <c r="EH142" s="208">
        <v>0</v>
      </c>
      <c r="EI142" s="208">
        <v>0</v>
      </c>
      <c r="EJ142" s="208">
        <v>0</v>
      </c>
      <c r="EK142" s="208">
        <v>0</v>
      </c>
      <c r="EL142" s="208">
        <v>0</v>
      </c>
      <c r="EM142" s="208">
        <v>0</v>
      </c>
      <c r="EN142" s="208">
        <v>0</v>
      </c>
      <c r="EO142" s="208">
        <v>0</v>
      </c>
      <c r="EP142" s="208">
        <v>0</v>
      </c>
      <c r="EQ142" s="208">
        <v>-1500</v>
      </c>
      <c r="ER142" s="208">
        <v>0</v>
      </c>
      <c r="ES142" s="208">
        <v>-1500</v>
      </c>
      <c r="ET142" s="208">
        <v>0</v>
      </c>
      <c r="EU142" s="208">
        <v>0</v>
      </c>
      <c r="EV142" s="208">
        <v>0</v>
      </c>
      <c r="EW142" s="208">
        <v>-4580</v>
      </c>
      <c r="EX142" s="208">
        <v>0</v>
      </c>
      <c r="EY142" s="208">
        <v>-4580</v>
      </c>
      <c r="EZ142" s="208">
        <v>32</v>
      </c>
      <c r="FA142" s="208">
        <v>0</v>
      </c>
      <c r="FB142" s="208">
        <v>32</v>
      </c>
      <c r="FC142" s="208">
        <v>-106337</v>
      </c>
      <c r="FD142" s="208">
        <v>-1016</v>
      </c>
      <c r="FE142" s="208">
        <v>-107353</v>
      </c>
      <c r="FF142" s="208">
        <v>3104</v>
      </c>
      <c r="FG142" s="208">
        <v>-755</v>
      </c>
      <c r="FH142" s="208">
        <v>2349</v>
      </c>
      <c r="FI142" s="208">
        <v>-22224</v>
      </c>
      <c r="FJ142" s="208">
        <v>0</v>
      </c>
      <c r="FK142" s="208">
        <v>-22224</v>
      </c>
      <c r="FL142" s="208">
        <v>4411</v>
      </c>
      <c r="FM142" s="208">
        <v>0</v>
      </c>
      <c r="FN142" s="208">
        <v>4411</v>
      </c>
      <c r="FO142" s="208">
        <v>0</v>
      </c>
      <c r="FP142" s="208">
        <v>0</v>
      </c>
      <c r="FQ142" s="208">
        <v>0</v>
      </c>
      <c r="FR142" s="208">
        <v>0</v>
      </c>
      <c r="FS142" s="208">
        <v>0</v>
      </c>
      <c r="FT142" s="208">
        <v>0</v>
      </c>
      <c r="FU142" s="208">
        <v>-127094</v>
      </c>
      <c r="FV142" s="208">
        <v>37585</v>
      </c>
      <c r="FW142" s="208">
        <v>-89509</v>
      </c>
      <c r="FX142" s="208">
        <v>0</v>
      </c>
      <c r="FY142" s="208">
        <v>0</v>
      </c>
      <c r="FZ142" s="208">
        <v>0</v>
      </c>
      <c r="GA142" s="208">
        <v>0</v>
      </c>
      <c r="GB142" s="208">
        <v>0</v>
      </c>
      <c r="GC142" s="208">
        <v>0</v>
      </c>
      <c r="GD142" s="208">
        <v>0</v>
      </c>
      <c r="GE142" s="208">
        <v>0</v>
      </c>
      <c r="GF142" s="208">
        <v>0</v>
      </c>
      <c r="GG142" s="208">
        <v>64064594</v>
      </c>
      <c r="GH142" s="208">
        <v>1059517</v>
      </c>
      <c r="GI142" s="208">
        <v>65124111</v>
      </c>
      <c r="GJ142" s="208">
        <v>1231552</v>
      </c>
      <c r="GK142" s="208">
        <v>481</v>
      </c>
      <c r="GL142" s="208">
        <v>1232033</v>
      </c>
      <c r="GM142" s="208">
        <v>-7564793</v>
      </c>
      <c r="GN142" s="208">
        <v>5674</v>
      </c>
      <c r="GO142" s="208">
        <v>-7559119</v>
      </c>
      <c r="GP142" s="208">
        <v>-1994898</v>
      </c>
      <c r="GQ142" s="208">
        <v>-93674</v>
      </c>
      <c r="GR142" s="208">
        <v>-2088572</v>
      </c>
      <c r="GS142" s="208">
        <v>-173431</v>
      </c>
      <c r="GT142" s="208">
        <v>-197408</v>
      </c>
      <c r="GU142" s="208">
        <v>-370839</v>
      </c>
      <c r="GV142" s="208">
        <v>-127094</v>
      </c>
      <c r="GW142" s="208">
        <v>37585</v>
      </c>
      <c r="GX142" s="208">
        <v>-89509</v>
      </c>
      <c r="GY142" s="208">
        <v>0</v>
      </c>
      <c r="GZ142" s="208">
        <v>0</v>
      </c>
      <c r="HA142" s="208">
        <v>0</v>
      </c>
      <c r="HB142" s="208">
        <v>-8628664</v>
      </c>
      <c r="HC142" s="208">
        <v>-247342</v>
      </c>
      <c r="HD142" s="208">
        <v>-8876006</v>
      </c>
      <c r="HE142" s="208">
        <v>55435930</v>
      </c>
      <c r="HF142" s="208">
        <v>812175</v>
      </c>
      <c r="HG142" s="208">
        <v>56248105</v>
      </c>
      <c r="HH142" s="187" t="s">
        <v>1054</v>
      </c>
    </row>
    <row r="143" spans="1:216" s="187" customFormat="1" x14ac:dyDescent="0.2">
      <c r="B143" s="429" t="s">
        <v>363</v>
      </c>
      <c r="C143" s="429" t="s">
        <v>362</v>
      </c>
      <c r="D143" s="208">
        <v>-2190412</v>
      </c>
      <c r="E143" s="208">
        <v>0</v>
      </c>
      <c r="F143" s="208">
        <v>-2190412</v>
      </c>
      <c r="G143" s="208">
        <v>96447</v>
      </c>
      <c r="H143" s="208">
        <v>0</v>
      </c>
      <c r="I143" s="208">
        <v>96447</v>
      </c>
      <c r="J143" s="208">
        <v>494348</v>
      </c>
      <c r="K143" s="208">
        <v>0</v>
      </c>
      <c r="L143" s="208">
        <v>494348</v>
      </c>
      <c r="M143" s="208">
        <v>-6051</v>
      </c>
      <c r="N143" s="208">
        <v>0</v>
      </c>
      <c r="O143" s="208">
        <v>-6051</v>
      </c>
      <c r="P143" s="208">
        <v>-1605668</v>
      </c>
      <c r="Q143" s="208">
        <v>0</v>
      </c>
      <c r="R143" s="208">
        <v>-1605668</v>
      </c>
      <c r="S143" s="208">
        <v>-7754121</v>
      </c>
      <c r="T143" s="208">
        <v>0</v>
      </c>
      <c r="U143" s="208">
        <v>-7754121</v>
      </c>
      <c r="V143" s="208">
        <v>-37341</v>
      </c>
      <c r="W143" s="208">
        <v>0</v>
      </c>
      <c r="X143" s="208">
        <v>-37341</v>
      </c>
      <c r="Y143" s="208">
        <v>-311272</v>
      </c>
      <c r="Z143" s="208">
        <v>0</v>
      </c>
      <c r="AA143" s="208">
        <v>-311272</v>
      </c>
      <c r="AB143" s="208">
        <v>-98338</v>
      </c>
      <c r="AC143" s="208">
        <v>0</v>
      </c>
      <c r="AD143" s="208">
        <v>-98338</v>
      </c>
      <c r="AE143" s="208">
        <v>-205648</v>
      </c>
      <c r="AF143" s="208">
        <v>0</v>
      </c>
      <c r="AG143" s="208">
        <v>-205648</v>
      </c>
      <c r="AH143" s="208">
        <v>-3529</v>
      </c>
      <c r="AI143" s="208">
        <v>0</v>
      </c>
      <c r="AJ143" s="208">
        <v>-3529</v>
      </c>
      <c r="AK143" s="208">
        <v>6505</v>
      </c>
      <c r="AL143" s="208">
        <v>0</v>
      </c>
      <c r="AM143" s="208">
        <v>6505</v>
      </c>
      <c r="AN143" s="208">
        <v>855962</v>
      </c>
      <c r="AO143" s="208">
        <v>0</v>
      </c>
      <c r="AP143" s="208">
        <v>855962</v>
      </c>
      <c r="AQ143" s="208">
        <v>-5314</v>
      </c>
      <c r="AR143" s="208">
        <v>0</v>
      </c>
      <c r="AS143" s="208">
        <v>-5314</v>
      </c>
      <c r="AT143" s="208">
        <v>-3579278</v>
      </c>
      <c r="AU143" s="208">
        <v>0</v>
      </c>
      <c r="AV143" s="208">
        <v>-3579278</v>
      </c>
      <c r="AW143" s="208">
        <v>-21617</v>
      </c>
      <c r="AX143" s="208">
        <v>0</v>
      </c>
      <c r="AY143" s="208">
        <v>-21617</v>
      </c>
      <c r="AZ143" s="208">
        <v>-103822</v>
      </c>
      <c r="BA143" s="208">
        <v>0</v>
      </c>
      <c r="BB143" s="208">
        <v>-103822</v>
      </c>
      <c r="BC143" s="208">
        <v>0</v>
      </c>
      <c r="BD143" s="208">
        <v>0</v>
      </c>
      <c r="BE143" s="208">
        <v>0</v>
      </c>
      <c r="BF143" s="208">
        <v>-781</v>
      </c>
      <c r="BG143" s="208">
        <v>0</v>
      </c>
      <c r="BH143" s="208">
        <v>-781</v>
      </c>
      <c r="BI143" s="208">
        <v>0</v>
      </c>
      <c r="BJ143" s="208">
        <v>0</v>
      </c>
      <c r="BK143" s="208">
        <v>0</v>
      </c>
      <c r="BL143" s="208">
        <v>-10920243</v>
      </c>
      <c r="BM143" s="208">
        <v>0</v>
      </c>
      <c r="BN143" s="208">
        <v>-10920243</v>
      </c>
      <c r="BO143" s="208">
        <v>-828</v>
      </c>
      <c r="BP143" s="208">
        <v>0</v>
      </c>
      <c r="BQ143" s="208">
        <v>-828</v>
      </c>
      <c r="BR143" s="208">
        <v>-575</v>
      </c>
      <c r="BS143" s="208">
        <v>0</v>
      </c>
      <c r="BT143" s="208">
        <v>-575</v>
      </c>
      <c r="BU143" s="208">
        <v>-944596</v>
      </c>
      <c r="BV143" s="208">
        <v>0</v>
      </c>
      <c r="BW143" s="208">
        <v>-944596</v>
      </c>
      <c r="BX143" s="208">
        <v>-8846</v>
      </c>
      <c r="BY143" s="208">
        <v>0</v>
      </c>
      <c r="BZ143" s="208">
        <v>-8846</v>
      </c>
      <c r="CA143" s="208">
        <v>-954845</v>
      </c>
      <c r="CB143" s="208">
        <v>0</v>
      </c>
      <c r="CC143" s="208">
        <v>-954845</v>
      </c>
      <c r="CD143" s="208">
        <v>-154342</v>
      </c>
      <c r="CE143" s="208">
        <v>0</v>
      </c>
      <c r="CF143" s="208">
        <v>-154342</v>
      </c>
      <c r="CG143" s="208">
        <v>-225</v>
      </c>
      <c r="CH143" s="208">
        <v>0</v>
      </c>
      <c r="CI143" s="208">
        <v>-225</v>
      </c>
      <c r="CJ143" s="208">
        <v>-56486</v>
      </c>
      <c r="CK143" s="208">
        <v>0</v>
      </c>
      <c r="CL143" s="208">
        <v>-56486</v>
      </c>
      <c r="CM143" s="208">
        <v>-395</v>
      </c>
      <c r="CN143" s="208">
        <v>0</v>
      </c>
      <c r="CO143" s="208">
        <v>-395</v>
      </c>
      <c r="CP143" s="208">
        <v>-937</v>
      </c>
      <c r="CQ143" s="208">
        <v>0</v>
      </c>
      <c r="CR143" s="208">
        <v>-937</v>
      </c>
      <c r="CS143" s="208">
        <v>0</v>
      </c>
      <c r="CT143" s="208">
        <v>0</v>
      </c>
      <c r="CU143" s="208">
        <v>0</v>
      </c>
      <c r="CV143" s="208">
        <v>0</v>
      </c>
      <c r="CW143" s="208">
        <v>0</v>
      </c>
      <c r="CX143" s="208">
        <v>0</v>
      </c>
      <c r="CY143" s="208">
        <v>0</v>
      </c>
      <c r="CZ143" s="208">
        <v>0</v>
      </c>
      <c r="DA143" s="208">
        <v>0</v>
      </c>
      <c r="DB143" s="208">
        <v>0</v>
      </c>
      <c r="DC143" s="208">
        <v>0</v>
      </c>
      <c r="DD143" s="208">
        <v>0</v>
      </c>
      <c r="DE143" s="208">
        <v>0</v>
      </c>
      <c r="DF143" s="208">
        <v>0</v>
      </c>
      <c r="DG143" s="208">
        <v>0</v>
      </c>
      <c r="DH143" s="208">
        <v>-16920</v>
      </c>
      <c r="DI143" s="208">
        <v>0</v>
      </c>
      <c r="DJ143" s="208">
        <v>-16920</v>
      </c>
      <c r="DK143" s="208">
        <v>-4427</v>
      </c>
      <c r="DL143" s="208">
        <v>0</v>
      </c>
      <c r="DM143" s="208">
        <v>-4427</v>
      </c>
      <c r="DN143" s="208">
        <v>0</v>
      </c>
      <c r="DO143" s="208">
        <v>0</v>
      </c>
      <c r="DP143" s="208">
        <v>-233732</v>
      </c>
      <c r="DQ143" s="208">
        <v>0</v>
      </c>
      <c r="DR143" s="208">
        <v>-233732</v>
      </c>
      <c r="DS143" s="208">
        <v>0</v>
      </c>
      <c r="DT143" s="208">
        <v>0</v>
      </c>
      <c r="DU143" s="208">
        <v>0</v>
      </c>
      <c r="DV143" s="208">
        <v>0</v>
      </c>
      <c r="DW143" s="208">
        <v>0</v>
      </c>
      <c r="DX143" s="208">
        <v>0</v>
      </c>
      <c r="DY143" s="208">
        <v>377</v>
      </c>
      <c r="DZ143" s="208">
        <v>0</v>
      </c>
      <c r="EA143" s="208">
        <v>377</v>
      </c>
      <c r="EB143" s="208">
        <v>0</v>
      </c>
      <c r="EC143" s="208">
        <v>0</v>
      </c>
      <c r="ED143" s="208">
        <v>0</v>
      </c>
      <c r="EE143" s="208">
        <v>0</v>
      </c>
      <c r="EF143" s="208">
        <v>0</v>
      </c>
      <c r="EG143" s="208">
        <v>0</v>
      </c>
      <c r="EH143" s="208">
        <v>0</v>
      </c>
      <c r="EI143" s="208">
        <v>0</v>
      </c>
      <c r="EJ143" s="208">
        <v>0</v>
      </c>
      <c r="EK143" s="208">
        <v>-781</v>
      </c>
      <c r="EL143" s="208">
        <v>0</v>
      </c>
      <c r="EM143" s="208">
        <v>-781</v>
      </c>
      <c r="EN143" s="208">
        <v>0</v>
      </c>
      <c r="EO143" s="208">
        <v>0</v>
      </c>
      <c r="EP143" s="208">
        <v>0</v>
      </c>
      <c r="EQ143" s="208">
        <v>-1500</v>
      </c>
      <c r="ER143" s="208">
        <v>0</v>
      </c>
      <c r="ES143" s="208">
        <v>-1500</v>
      </c>
      <c r="ET143" s="208">
        <v>0</v>
      </c>
      <c r="EU143" s="208">
        <v>0</v>
      </c>
      <c r="EV143" s="208">
        <v>0</v>
      </c>
      <c r="EW143" s="208">
        <v>-27030</v>
      </c>
      <c r="EX143" s="208">
        <v>0</v>
      </c>
      <c r="EY143" s="208">
        <v>-27030</v>
      </c>
      <c r="EZ143" s="208">
        <v>-6866</v>
      </c>
      <c r="FA143" s="208">
        <v>0</v>
      </c>
      <c r="FB143" s="208">
        <v>-6866</v>
      </c>
      <c r="FC143" s="208">
        <v>-217601</v>
      </c>
      <c r="FD143" s="208">
        <v>0</v>
      </c>
      <c r="FE143" s="208">
        <v>-217601</v>
      </c>
      <c r="FF143" s="208">
        <v>9059</v>
      </c>
      <c r="FG143" s="208">
        <v>0</v>
      </c>
      <c r="FH143" s="208">
        <v>9059</v>
      </c>
      <c r="FI143" s="208">
        <v>-77208</v>
      </c>
      <c r="FJ143" s="208">
        <v>0</v>
      </c>
      <c r="FK143" s="208">
        <v>-77208</v>
      </c>
      <c r="FL143" s="208">
        <v>-1658</v>
      </c>
      <c r="FM143" s="208">
        <v>0</v>
      </c>
      <c r="FN143" s="208">
        <v>-1658</v>
      </c>
      <c r="FO143" s="208">
        <v>0</v>
      </c>
      <c r="FP143" s="208">
        <v>0</v>
      </c>
      <c r="FQ143" s="208">
        <v>0</v>
      </c>
      <c r="FR143" s="208">
        <v>0</v>
      </c>
      <c r="FS143" s="208">
        <v>0</v>
      </c>
      <c r="FT143" s="208">
        <v>0</v>
      </c>
      <c r="FU143" s="208">
        <v>-323208</v>
      </c>
      <c r="FV143" s="208">
        <v>0</v>
      </c>
      <c r="FW143" s="208">
        <v>-323208</v>
      </c>
      <c r="FX143" s="208">
        <v>0</v>
      </c>
      <c r="FY143" s="208">
        <v>0</v>
      </c>
      <c r="FZ143" s="208">
        <v>0</v>
      </c>
      <c r="GA143" s="208">
        <v>0</v>
      </c>
      <c r="GB143" s="208">
        <v>0</v>
      </c>
      <c r="GC143" s="208">
        <v>0</v>
      </c>
      <c r="GD143" s="208">
        <v>0</v>
      </c>
      <c r="GE143" s="208">
        <v>0</v>
      </c>
      <c r="GF143" s="208">
        <v>0</v>
      </c>
      <c r="GG143" s="208">
        <v>52629405</v>
      </c>
      <c r="GH143" s="208">
        <v>0</v>
      </c>
      <c r="GI143" s="208">
        <v>52629405</v>
      </c>
      <c r="GJ143" s="208">
        <v>-1605668</v>
      </c>
      <c r="GK143" s="208">
        <v>0</v>
      </c>
      <c r="GL143" s="208">
        <v>-1605668</v>
      </c>
      <c r="GM143" s="208">
        <v>-10920243</v>
      </c>
      <c r="GN143" s="208">
        <v>0</v>
      </c>
      <c r="GO143" s="208">
        <v>-10920243</v>
      </c>
      <c r="GP143" s="208">
        <v>-954845</v>
      </c>
      <c r="GQ143" s="208">
        <v>0</v>
      </c>
      <c r="GR143" s="208">
        <v>-954845</v>
      </c>
      <c r="GS143" s="208">
        <v>-233732</v>
      </c>
      <c r="GT143" s="208">
        <v>0</v>
      </c>
      <c r="GU143" s="208">
        <v>-233732</v>
      </c>
      <c r="GV143" s="208">
        <v>-323208</v>
      </c>
      <c r="GW143" s="208">
        <v>0</v>
      </c>
      <c r="GX143" s="208">
        <v>-323208</v>
      </c>
      <c r="GY143" s="208">
        <v>0</v>
      </c>
      <c r="GZ143" s="208">
        <v>0</v>
      </c>
      <c r="HA143" s="208">
        <v>0</v>
      </c>
      <c r="HB143" s="208">
        <v>-14037696</v>
      </c>
      <c r="HC143" s="208">
        <v>0</v>
      </c>
      <c r="HD143" s="208">
        <v>-14037696</v>
      </c>
      <c r="HE143" s="208">
        <v>38591709</v>
      </c>
      <c r="HF143" s="208">
        <v>0</v>
      </c>
      <c r="HG143" s="208">
        <v>38591709</v>
      </c>
      <c r="HH143" s="187" t="s">
        <v>742</v>
      </c>
    </row>
    <row r="144" spans="1:216" s="187" customFormat="1" x14ac:dyDescent="0.2">
      <c r="B144" s="429" t="s">
        <v>365</v>
      </c>
      <c r="C144" s="429" t="s">
        <v>364</v>
      </c>
      <c r="D144" s="208">
        <v>-47330</v>
      </c>
      <c r="E144" s="208">
        <v>0</v>
      </c>
      <c r="F144" s="208">
        <v>-47330</v>
      </c>
      <c r="G144" s="208">
        <v>-4414</v>
      </c>
      <c r="H144" s="208">
        <v>0</v>
      </c>
      <c r="I144" s="208">
        <v>-4414</v>
      </c>
      <c r="J144" s="208">
        <v>42168</v>
      </c>
      <c r="K144" s="208">
        <v>0</v>
      </c>
      <c r="L144" s="208">
        <v>42168</v>
      </c>
      <c r="M144" s="208">
        <v>-4734</v>
      </c>
      <c r="N144" s="208">
        <v>0</v>
      </c>
      <c r="O144" s="208">
        <v>-4734</v>
      </c>
      <c r="P144" s="208">
        <v>-14310</v>
      </c>
      <c r="Q144" s="208">
        <v>0</v>
      </c>
      <c r="R144" s="208">
        <v>-14310</v>
      </c>
      <c r="S144" s="208">
        <v>-562095</v>
      </c>
      <c r="T144" s="208">
        <v>0</v>
      </c>
      <c r="U144" s="208">
        <v>-562095</v>
      </c>
      <c r="V144" s="208">
        <v>0</v>
      </c>
      <c r="W144" s="208">
        <v>0</v>
      </c>
      <c r="X144" s="208">
        <v>0</v>
      </c>
      <c r="Y144" s="208">
        <v>-20223</v>
      </c>
      <c r="Z144" s="208">
        <v>0</v>
      </c>
      <c r="AA144" s="208">
        <v>-20223</v>
      </c>
      <c r="AB144" s="208">
        <v>0</v>
      </c>
      <c r="AC144" s="208">
        <v>0</v>
      </c>
      <c r="AD144" s="208">
        <v>0</v>
      </c>
      <c r="AE144" s="208">
        <v>0</v>
      </c>
      <c r="AF144" s="208">
        <v>0</v>
      </c>
      <c r="AG144" s="208">
        <v>0</v>
      </c>
      <c r="AH144" s="208">
        <v>0</v>
      </c>
      <c r="AI144" s="208">
        <v>0</v>
      </c>
      <c r="AJ144" s="208">
        <v>0</v>
      </c>
      <c r="AK144" s="208">
        <v>0</v>
      </c>
      <c r="AL144" s="208">
        <v>0</v>
      </c>
      <c r="AM144" s="208">
        <v>0</v>
      </c>
      <c r="AN144" s="208">
        <v>19488</v>
      </c>
      <c r="AO144" s="208">
        <v>0</v>
      </c>
      <c r="AP144" s="208">
        <v>19488</v>
      </c>
      <c r="AQ144" s="208">
        <v>122</v>
      </c>
      <c r="AR144" s="208">
        <v>0</v>
      </c>
      <c r="AS144" s="208">
        <v>122</v>
      </c>
      <c r="AT144" s="208">
        <v>-19545</v>
      </c>
      <c r="AU144" s="208">
        <v>0</v>
      </c>
      <c r="AV144" s="208">
        <v>-19545</v>
      </c>
      <c r="AW144" s="208">
        <v>0</v>
      </c>
      <c r="AX144" s="208">
        <v>0</v>
      </c>
      <c r="AY144" s="208">
        <v>0</v>
      </c>
      <c r="AZ144" s="208">
        <v>-7572</v>
      </c>
      <c r="BA144" s="208">
        <v>0</v>
      </c>
      <c r="BB144" s="208">
        <v>-7572</v>
      </c>
      <c r="BC144" s="208">
        <v>0</v>
      </c>
      <c r="BD144" s="208">
        <v>0</v>
      </c>
      <c r="BE144" s="208">
        <v>0</v>
      </c>
      <c r="BF144" s="208">
        <v>-1914</v>
      </c>
      <c r="BG144" s="208">
        <v>0</v>
      </c>
      <c r="BH144" s="208">
        <v>-1914</v>
      </c>
      <c r="BI144" s="208">
        <v>0</v>
      </c>
      <c r="BJ144" s="208">
        <v>0</v>
      </c>
      <c r="BK144" s="208">
        <v>0</v>
      </c>
      <c r="BL144" s="208">
        <v>-591739</v>
      </c>
      <c r="BM144" s="208">
        <v>0</v>
      </c>
      <c r="BN144" s="208">
        <v>-591739</v>
      </c>
      <c r="BO144" s="208">
        <v>0</v>
      </c>
      <c r="BP144" s="208">
        <v>0</v>
      </c>
      <c r="BQ144" s="208">
        <v>0</v>
      </c>
      <c r="BR144" s="208">
        <v>0</v>
      </c>
      <c r="BS144" s="208">
        <v>0</v>
      </c>
      <c r="BT144" s="208">
        <v>0</v>
      </c>
      <c r="BU144" s="208">
        <v>-10231</v>
      </c>
      <c r="BV144" s="208">
        <v>0</v>
      </c>
      <c r="BW144" s="208">
        <v>-10231</v>
      </c>
      <c r="BX144" s="208">
        <v>-3100</v>
      </c>
      <c r="BY144" s="208">
        <v>0</v>
      </c>
      <c r="BZ144" s="208">
        <v>-3100</v>
      </c>
      <c r="CA144" s="208">
        <v>-13331</v>
      </c>
      <c r="CB144" s="208">
        <v>0</v>
      </c>
      <c r="CC144" s="208">
        <v>-13331</v>
      </c>
      <c r="CD144" s="208">
        <v>-3229</v>
      </c>
      <c r="CE144" s="208">
        <v>0</v>
      </c>
      <c r="CF144" s="208">
        <v>-3229</v>
      </c>
      <c r="CG144" s="208">
        <v>0</v>
      </c>
      <c r="CH144" s="208">
        <v>0</v>
      </c>
      <c r="CI144" s="208">
        <v>0</v>
      </c>
      <c r="CJ144" s="208">
        <v>-3068</v>
      </c>
      <c r="CK144" s="208">
        <v>0</v>
      </c>
      <c r="CL144" s="208">
        <v>-3068</v>
      </c>
      <c r="CM144" s="208">
        <v>0</v>
      </c>
      <c r="CN144" s="208">
        <v>0</v>
      </c>
      <c r="CO144" s="208">
        <v>0</v>
      </c>
      <c r="CP144" s="208">
        <v>-1612</v>
      </c>
      <c r="CQ144" s="208">
        <v>0</v>
      </c>
      <c r="CR144" s="208">
        <v>-1612</v>
      </c>
      <c r="CS144" s="208">
        <v>0</v>
      </c>
      <c r="CT144" s="208">
        <v>0</v>
      </c>
      <c r="CU144" s="208">
        <v>0</v>
      </c>
      <c r="CV144" s="208">
        <v>0</v>
      </c>
      <c r="CW144" s="208">
        <v>0</v>
      </c>
      <c r="CX144" s="208">
        <v>0</v>
      </c>
      <c r="CY144" s="208">
        <v>0</v>
      </c>
      <c r="CZ144" s="208">
        <v>0</v>
      </c>
      <c r="DA144" s="208">
        <v>0</v>
      </c>
      <c r="DB144" s="208">
        <v>0</v>
      </c>
      <c r="DC144" s="208">
        <v>0</v>
      </c>
      <c r="DD144" s="208">
        <v>0</v>
      </c>
      <c r="DE144" s="208">
        <v>0</v>
      </c>
      <c r="DF144" s="208">
        <v>0</v>
      </c>
      <c r="DG144" s="208">
        <v>0</v>
      </c>
      <c r="DH144" s="208">
        <v>0</v>
      </c>
      <c r="DI144" s="208">
        <v>0</v>
      </c>
      <c r="DJ144" s="208">
        <v>0</v>
      </c>
      <c r="DK144" s="208">
        <v>0</v>
      </c>
      <c r="DL144" s="208">
        <v>0</v>
      </c>
      <c r="DM144" s="208">
        <v>0</v>
      </c>
      <c r="DN144" s="208">
        <v>0</v>
      </c>
      <c r="DO144" s="208">
        <v>0</v>
      </c>
      <c r="DP144" s="208">
        <v>-7909</v>
      </c>
      <c r="DQ144" s="208">
        <v>0</v>
      </c>
      <c r="DR144" s="208">
        <v>-7909</v>
      </c>
      <c r="DS144" s="208">
        <v>0</v>
      </c>
      <c r="DT144" s="208">
        <v>0</v>
      </c>
      <c r="DU144" s="208">
        <v>0</v>
      </c>
      <c r="DV144" s="208">
        <v>0</v>
      </c>
      <c r="DW144" s="208">
        <v>0</v>
      </c>
      <c r="DX144" s="208">
        <v>0</v>
      </c>
      <c r="DY144" s="208">
        <v>-1914</v>
      </c>
      <c r="DZ144" s="208">
        <v>0</v>
      </c>
      <c r="EA144" s="208">
        <v>-1914</v>
      </c>
      <c r="EB144" s="208">
        <v>0</v>
      </c>
      <c r="EC144" s="208">
        <v>0</v>
      </c>
      <c r="ED144" s="208">
        <v>0</v>
      </c>
      <c r="EE144" s="208">
        <v>0</v>
      </c>
      <c r="EF144" s="208">
        <v>0</v>
      </c>
      <c r="EG144" s="208">
        <v>0</v>
      </c>
      <c r="EH144" s="208">
        <v>0</v>
      </c>
      <c r="EI144" s="208">
        <v>0</v>
      </c>
      <c r="EJ144" s="208">
        <v>0</v>
      </c>
      <c r="EK144" s="208">
        <v>0</v>
      </c>
      <c r="EL144" s="208">
        <v>0</v>
      </c>
      <c r="EM144" s="208">
        <v>0</v>
      </c>
      <c r="EN144" s="208">
        <v>0</v>
      </c>
      <c r="EO144" s="208">
        <v>0</v>
      </c>
      <c r="EP144" s="208">
        <v>0</v>
      </c>
      <c r="EQ144" s="208">
        <v>0</v>
      </c>
      <c r="ER144" s="208">
        <v>0</v>
      </c>
      <c r="ES144" s="208">
        <v>0</v>
      </c>
      <c r="ET144" s="208">
        <v>0</v>
      </c>
      <c r="EU144" s="208">
        <v>0</v>
      </c>
      <c r="EV144" s="208">
        <v>0</v>
      </c>
      <c r="EW144" s="208">
        <v>0</v>
      </c>
      <c r="EX144" s="208">
        <v>0</v>
      </c>
      <c r="EY144" s="208">
        <v>0</v>
      </c>
      <c r="EZ144" s="208">
        <v>0</v>
      </c>
      <c r="FA144" s="208">
        <v>0</v>
      </c>
      <c r="FB144" s="208">
        <v>0</v>
      </c>
      <c r="FC144" s="208">
        <v>-3436</v>
      </c>
      <c r="FD144" s="208">
        <v>0</v>
      </c>
      <c r="FE144" s="208">
        <v>-3436</v>
      </c>
      <c r="FF144" s="208">
        <v>-7432</v>
      </c>
      <c r="FG144" s="208">
        <v>0</v>
      </c>
      <c r="FH144" s="208">
        <v>-7432</v>
      </c>
      <c r="FI144" s="208">
        <v>-4436</v>
      </c>
      <c r="FJ144" s="208">
        <v>0</v>
      </c>
      <c r="FK144" s="208">
        <v>-4436</v>
      </c>
      <c r="FL144" s="208">
        <v>0</v>
      </c>
      <c r="FM144" s="208">
        <v>0</v>
      </c>
      <c r="FN144" s="208">
        <v>0</v>
      </c>
      <c r="FO144" s="208">
        <v>0</v>
      </c>
      <c r="FP144" s="208">
        <v>0</v>
      </c>
      <c r="FQ144" s="208">
        <v>0</v>
      </c>
      <c r="FR144" s="208">
        <v>0</v>
      </c>
      <c r="FS144" s="208">
        <v>0</v>
      </c>
      <c r="FT144" s="208">
        <v>0</v>
      </c>
      <c r="FU144" s="208">
        <v>-17218</v>
      </c>
      <c r="FV144" s="208">
        <v>0</v>
      </c>
      <c r="FW144" s="208">
        <v>-17218</v>
      </c>
      <c r="FX144" s="208">
        <v>0</v>
      </c>
      <c r="FY144" s="208">
        <v>0</v>
      </c>
      <c r="FZ144" s="208">
        <v>0</v>
      </c>
      <c r="GA144" s="208">
        <v>0</v>
      </c>
      <c r="GB144" s="208">
        <v>0</v>
      </c>
      <c r="GC144" s="208">
        <v>0</v>
      </c>
      <c r="GD144" s="208">
        <v>0</v>
      </c>
      <c r="GE144" s="208">
        <v>0</v>
      </c>
      <c r="GF144" s="208">
        <v>0</v>
      </c>
      <c r="GG144" s="208">
        <v>2160766</v>
      </c>
      <c r="GH144" s="208">
        <v>0</v>
      </c>
      <c r="GI144" s="208">
        <v>2160766</v>
      </c>
      <c r="GJ144" s="208">
        <v>-14310</v>
      </c>
      <c r="GK144" s="208">
        <v>0</v>
      </c>
      <c r="GL144" s="208">
        <v>-14310</v>
      </c>
      <c r="GM144" s="208">
        <v>-591739</v>
      </c>
      <c r="GN144" s="208">
        <v>0</v>
      </c>
      <c r="GO144" s="208">
        <v>-591739</v>
      </c>
      <c r="GP144" s="208">
        <v>-13331</v>
      </c>
      <c r="GQ144" s="208">
        <v>0</v>
      </c>
      <c r="GR144" s="208">
        <v>-13331</v>
      </c>
      <c r="GS144" s="208">
        <v>-7909</v>
      </c>
      <c r="GT144" s="208">
        <v>0</v>
      </c>
      <c r="GU144" s="208">
        <v>-7909</v>
      </c>
      <c r="GV144" s="208">
        <v>-17218</v>
      </c>
      <c r="GW144" s="208">
        <v>0</v>
      </c>
      <c r="GX144" s="208">
        <v>-17218</v>
      </c>
      <c r="GY144" s="208">
        <v>0</v>
      </c>
      <c r="GZ144" s="208">
        <v>0</v>
      </c>
      <c r="HA144" s="208">
        <v>0</v>
      </c>
      <c r="HB144" s="208">
        <v>-644507</v>
      </c>
      <c r="HC144" s="208">
        <v>0</v>
      </c>
      <c r="HD144" s="208">
        <v>-644507</v>
      </c>
      <c r="HE144" s="208">
        <v>1516259</v>
      </c>
      <c r="HF144" s="208">
        <v>0</v>
      </c>
      <c r="HG144" s="208">
        <v>1516259</v>
      </c>
      <c r="HH144" s="187" t="s">
        <v>742</v>
      </c>
    </row>
    <row r="145" spans="1:216" s="187" customFormat="1" x14ac:dyDescent="0.2">
      <c r="B145" s="429" t="s">
        <v>367</v>
      </c>
      <c r="C145" s="429" t="s">
        <v>366</v>
      </c>
      <c r="D145" s="208">
        <v>-18267296</v>
      </c>
      <c r="E145" s="208">
        <v>0</v>
      </c>
      <c r="F145" s="208">
        <v>-18267296</v>
      </c>
      <c r="G145" s="208">
        <v>-429883</v>
      </c>
      <c r="H145" s="208">
        <v>0</v>
      </c>
      <c r="I145" s="208">
        <v>-429883</v>
      </c>
      <c r="J145" s="208">
        <v>686010</v>
      </c>
      <c r="K145" s="208">
        <v>0</v>
      </c>
      <c r="L145" s="208">
        <v>686010</v>
      </c>
      <c r="M145" s="208">
        <v>-369739</v>
      </c>
      <c r="N145" s="208">
        <v>0</v>
      </c>
      <c r="O145" s="208">
        <v>-369739</v>
      </c>
      <c r="P145" s="208">
        <v>-18380908</v>
      </c>
      <c r="Q145" s="208">
        <v>0</v>
      </c>
      <c r="R145" s="208">
        <v>-18380908</v>
      </c>
      <c r="S145" s="208">
        <v>-5551320</v>
      </c>
      <c r="T145" s="208">
        <v>0</v>
      </c>
      <c r="U145" s="208">
        <v>-5551320</v>
      </c>
      <c r="V145" s="208">
        <v>-18090</v>
      </c>
      <c r="W145" s="208">
        <v>0</v>
      </c>
      <c r="X145" s="208">
        <v>-18090</v>
      </c>
      <c r="Y145" s="208">
        <v>-306974</v>
      </c>
      <c r="Z145" s="208">
        <v>0</v>
      </c>
      <c r="AA145" s="208">
        <v>-306974</v>
      </c>
      <c r="AB145" s="208">
        <v>-115522</v>
      </c>
      <c r="AC145" s="208">
        <v>0</v>
      </c>
      <c r="AD145" s="208">
        <v>-115522</v>
      </c>
      <c r="AE145" s="208">
        <v>-180934</v>
      </c>
      <c r="AF145" s="208">
        <v>0</v>
      </c>
      <c r="AG145" s="208">
        <v>-180934</v>
      </c>
      <c r="AH145" s="208">
        <v>1036</v>
      </c>
      <c r="AI145" s="208">
        <v>0</v>
      </c>
      <c r="AJ145" s="208">
        <v>1036</v>
      </c>
      <c r="AK145" s="208">
        <v>-750</v>
      </c>
      <c r="AL145" s="208">
        <v>0</v>
      </c>
      <c r="AM145" s="208">
        <v>-750</v>
      </c>
      <c r="AN145" s="208">
        <v>7782866</v>
      </c>
      <c r="AO145" s="208">
        <v>0</v>
      </c>
      <c r="AP145" s="208">
        <v>7782866</v>
      </c>
      <c r="AQ145" s="208">
        <v>-37028</v>
      </c>
      <c r="AR145" s="208">
        <v>0</v>
      </c>
      <c r="AS145" s="208">
        <v>-37028</v>
      </c>
      <c r="AT145" s="208">
        <v>-25654404</v>
      </c>
      <c r="AU145" s="208">
        <v>0</v>
      </c>
      <c r="AV145" s="208">
        <v>-25654404</v>
      </c>
      <c r="AW145" s="208">
        <v>516819</v>
      </c>
      <c r="AX145" s="208">
        <v>0</v>
      </c>
      <c r="AY145" s="208">
        <v>516819</v>
      </c>
      <c r="AZ145" s="208">
        <v>0</v>
      </c>
      <c r="BA145" s="208">
        <v>0</v>
      </c>
      <c r="BB145" s="208">
        <v>0</v>
      </c>
      <c r="BC145" s="208">
        <v>0</v>
      </c>
      <c r="BD145" s="208">
        <v>0</v>
      </c>
      <c r="BE145" s="208">
        <v>0</v>
      </c>
      <c r="BF145" s="208">
        <v>0</v>
      </c>
      <c r="BG145" s="208">
        <v>0</v>
      </c>
      <c r="BH145" s="208">
        <v>0</v>
      </c>
      <c r="BI145" s="208">
        <v>0</v>
      </c>
      <c r="BJ145" s="208">
        <v>0</v>
      </c>
      <c r="BK145" s="208">
        <v>0</v>
      </c>
      <c r="BL145" s="208">
        <v>-23250041</v>
      </c>
      <c r="BM145" s="208">
        <v>0</v>
      </c>
      <c r="BN145" s="208">
        <v>-23250041</v>
      </c>
      <c r="BO145" s="208">
        <v>-2294</v>
      </c>
      <c r="BP145" s="208">
        <v>0</v>
      </c>
      <c r="BQ145" s="208">
        <v>-2294</v>
      </c>
      <c r="BR145" s="208">
        <v>184236</v>
      </c>
      <c r="BS145" s="208">
        <v>0</v>
      </c>
      <c r="BT145" s="208">
        <v>184236</v>
      </c>
      <c r="BU145" s="208">
        <v>-8010096</v>
      </c>
      <c r="BV145" s="208">
        <v>0</v>
      </c>
      <c r="BW145" s="208">
        <v>-8010096</v>
      </c>
      <c r="BX145" s="208">
        <v>1319452</v>
      </c>
      <c r="BY145" s="208">
        <v>0</v>
      </c>
      <c r="BZ145" s="208">
        <v>1319452</v>
      </c>
      <c r="CA145" s="208">
        <v>-6508702</v>
      </c>
      <c r="CB145" s="208">
        <v>0</v>
      </c>
      <c r="CC145" s="208">
        <v>-6508702</v>
      </c>
      <c r="CD145" s="208">
        <v>-776420</v>
      </c>
      <c r="CE145" s="208">
        <v>0</v>
      </c>
      <c r="CF145" s="208">
        <v>-776420</v>
      </c>
      <c r="CG145" s="208">
        <v>-7384</v>
      </c>
      <c r="CH145" s="208">
        <v>0</v>
      </c>
      <c r="CI145" s="208">
        <v>-7384</v>
      </c>
      <c r="CJ145" s="208">
        <v>-512031</v>
      </c>
      <c r="CK145" s="208">
        <v>0</v>
      </c>
      <c r="CL145" s="208">
        <v>-512031</v>
      </c>
      <c r="CM145" s="208">
        <v>7456</v>
      </c>
      <c r="CN145" s="208">
        <v>0</v>
      </c>
      <c r="CO145" s="208">
        <v>7456</v>
      </c>
      <c r="CP145" s="208">
        <v>0</v>
      </c>
      <c r="CQ145" s="208">
        <v>0</v>
      </c>
      <c r="CR145" s="208">
        <v>0</v>
      </c>
      <c r="CS145" s="208">
        <v>0</v>
      </c>
      <c r="CT145" s="208">
        <v>0</v>
      </c>
      <c r="CU145" s="208">
        <v>0</v>
      </c>
      <c r="CV145" s="208">
        <v>0</v>
      </c>
      <c r="CW145" s="208">
        <v>0</v>
      </c>
      <c r="CX145" s="208">
        <v>0</v>
      </c>
      <c r="CY145" s="208">
        <v>0</v>
      </c>
      <c r="CZ145" s="208">
        <v>0</v>
      </c>
      <c r="DA145" s="208">
        <v>0</v>
      </c>
      <c r="DB145" s="208">
        <v>0</v>
      </c>
      <c r="DC145" s="208">
        <v>0</v>
      </c>
      <c r="DD145" s="208">
        <v>0</v>
      </c>
      <c r="DE145" s="208">
        <v>0</v>
      </c>
      <c r="DF145" s="208">
        <v>0</v>
      </c>
      <c r="DG145" s="208">
        <v>0</v>
      </c>
      <c r="DH145" s="208">
        <v>0</v>
      </c>
      <c r="DI145" s="208">
        <v>0</v>
      </c>
      <c r="DJ145" s="208">
        <v>0</v>
      </c>
      <c r="DK145" s="208">
        <v>0</v>
      </c>
      <c r="DL145" s="208">
        <v>0</v>
      </c>
      <c r="DM145" s="208">
        <v>0</v>
      </c>
      <c r="DN145" s="208">
        <v>0</v>
      </c>
      <c r="DO145" s="208">
        <v>0</v>
      </c>
      <c r="DP145" s="208">
        <v>-1288379</v>
      </c>
      <c r="DQ145" s="208">
        <v>0</v>
      </c>
      <c r="DR145" s="208">
        <v>-1288379</v>
      </c>
      <c r="DS145" s="208">
        <v>-4497</v>
      </c>
      <c r="DT145" s="208">
        <v>0</v>
      </c>
      <c r="DU145" s="208">
        <v>-4497</v>
      </c>
      <c r="DV145" s="208">
        <v>3469</v>
      </c>
      <c r="DW145" s="208">
        <v>0</v>
      </c>
      <c r="DX145" s="208">
        <v>3469</v>
      </c>
      <c r="DY145" s="208">
        <v>-22745</v>
      </c>
      <c r="DZ145" s="208">
        <v>0</v>
      </c>
      <c r="EA145" s="208">
        <v>-22745</v>
      </c>
      <c r="EB145" s="208">
        <v>0</v>
      </c>
      <c r="EC145" s="208">
        <v>0</v>
      </c>
      <c r="ED145" s="208">
        <v>0</v>
      </c>
      <c r="EE145" s="208">
        <v>0</v>
      </c>
      <c r="EF145" s="208">
        <v>0</v>
      </c>
      <c r="EG145" s="208">
        <v>0</v>
      </c>
      <c r="EH145" s="208">
        <v>0</v>
      </c>
      <c r="EI145" s="208">
        <v>0</v>
      </c>
      <c r="EJ145" s="208">
        <v>0</v>
      </c>
      <c r="EK145" s="208">
        <v>0</v>
      </c>
      <c r="EL145" s="208">
        <v>0</v>
      </c>
      <c r="EM145" s="208">
        <v>0</v>
      </c>
      <c r="EN145" s="208">
        <v>0</v>
      </c>
      <c r="EO145" s="208">
        <v>0</v>
      </c>
      <c r="EP145" s="208">
        <v>0</v>
      </c>
      <c r="EQ145" s="208">
        <v>0</v>
      </c>
      <c r="ER145" s="208">
        <v>0</v>
      </c>
      <c r="ES145" s="208">
        <v>0</v>
      </c>
      <c r="ET145" s="208">
        <v>0</v>
      </c>
      <c r="EU145" s="208">
        <v>0</v>
      </c>
      <c r="EV145" s="208">
        <v>0</v>
      </c>
      <c r="EW145" s="208">
        <v>-239477</v>
      </c>
      <c r="EX145" s="208">
        <v>0</v>
      </c>
      <c r="EY145" s="208">
        <v>-239477</v>
      </c>
      <c r="EZ145" s="208">
        <v>2142</v>
      </c>
      <c r="FA145" s="208">
        <v>0</v>
      </c>
      <c r="FB145" s="208">
        <v>2142</v>
      </c>
      <c r="FC145" s="208">
        <v>-2421930</v>
      </c>
      <c r="FD145" s="208">
        <v>0</v>
      </c>
      <c r="FE145" s="208">
        <v>-2421930</v>
      </c>
      <c r="FF145" s="208">
        <v>0</v>
      </c>
      <c r="FG145" s="208">
        <v>0</v>
      </c>
      <c r="FH145" s="208">
        <v>0</v>
      </c>
      <c r="FI145" s="208">
        <v>-115658</v>
      </c>
      <c r="FJ145" s="208">
        <v>0</v>
      </c>
      <c r="FK145" s="208">
        <v>-115658</v>
      </c>
      <c r="FL145" s="208">
        <v>0</v>
      </c>
      <c r="FM145" s="208">
        <v>0</v>
      </c>
      <c r="FN145" s="208">
        <v>0</v>
      </c>
      <c r="FO145" s="208">
        <v>0</v>
      </c>
      <c r="FP145" s="208">
        <v>0</v>
      </c>
      <c r="FQ145" s="208">
        <v>0</v>
      </c>
      <c r="FR145" s="208">
        <v>0</v>
      </c>
      <c r="FS145" s="208">
        <v>0</v>
      </c>
      <c r="FT145" s="208">
        <v>0</v>
      </c>
      <c r="FU145" s="208">
        <v>-2798696</v>
      </c>
      <c r="FV145" s="208">
        <v>0</v>
      </c>
      <c r="FW145" s="208">
        <v>-2798696</v>
      </c>
      <c r="FX145" s="208">
        <v>0</v>
      </c>
      <c r="FY145" s="208">
        <v>0</v>
      </c>
      <c r="FZ145" s="208">
        <v>0</v>
      </c>
      <c r="GA145" s="208">
        <v>0</v>
      </c>
      <c r="GB145" s="208">
        <v>0</v>
      </c>
      <c r="GC145" s="208">
        <v>0</v>
      </c>
      <c r="GD145" s="208">
        <v>0</v>
      </c>
      <c r="GE145" s="208">
        <v>0</v>
      </c>
      <c r="GF145" s="208">
        <v>0</v>
      </c>
      <c r="GG145" s="208">
        <v>333191867</v>
      </c>
      <c r="GH145" s="208">
        <v>0</v>
      </c>
      <c r="GI145" s="208">
        <v>333191867</v>
      </c>
      <c r="GJ145" s="208">
        <v>-18380908</v>
      </c>
      <c r="GK145" s="208">
        <v>0</v>
      </c>
      <c r="GL145" s="208">
        <v>-18380908</v>
      </c>
      <c r="GM145" s="208">
        <v>-23250041</v>
      </c>
      <c r="GN145" s="208">
        <v>0</v>
      </c>
      <c r="GO145" s="208">
        <v>-23250041</v>
      </c>
      <c r="GP145" s="208">
        <v>-6508702</v>
      </c>
      <c r="GQ145" s="208">
        <v>0</v>
      </c>
      <c r="GR145" s="208">
        <v>-6508702</v>
      </c>
      <c r="GS145" s="208">
        <v>-1288379</v>
      </c>
      <c r="GT145" s="208">
        <v>0</v>
      </c>
      <c r="GU145" s="208">
        <v>-1288379</v>
      </c>
      <c r="GV145" s="208">
        <v>-2798696</v>
      </c>
      <c r="GW145" s="208">
        <v>0</v>
      </c>
      <c r="GX145" s="208">
        <v>-2798696</v>
      </c>
      <c r="GY145" s="208">
        <v>0</v>
      </c>
      <c r="GZ145" s="208">
        <v>0</v>
      </c>
      <c r="HA145" s="208">
        <v>0</v>
      </c>
      <c r="HB145" s="208">
        <v>-52226726</v>
      </c>
      <c r="HC145" s="208">
        <v>0</v>
      </c>
      <c r="HD145" s="208">
        <v>-52226726</v>
      </c>
      <c r="HE145" s="208">
        <v>280965141</v>
      </c>
      <c r="HF145" s="208">
        <v>0</v>
      </c>
      <c r="HG145" s="208">
        <v>280965141</v>
      </c>
      <c r="HH145" s="187" t="s">
        <v>1057</v>
      </c>
    </row>
    <row r="146" spans="1:216" s="187" customFormat="1" x14ac:dyDescent="0.2">
      <c r="B146" s="429" t="s">
        <v>369</v>
      </c>
      <c r="C146" s="429" t="s">
        <v>368</v>
      </c>
      <c r="D146" s="208">
        <v>-8298659</v>
      </c>
      <c r="E146" s="208">
        <v>0</v>
      </c>
      <c r="F146" s="208">
        <v>-8298659</v>
      </c>
      <c r="G146" s="208">
        <v>223564</v>
      </c>
      <c r="H146" s="208">
        <v>0</v>
      </c>
      <c r="I146" s="208">
        <v>223564</v>
      </c>
      <c r="J146" s="208">
        <v>1352397</v>
      </c>
      <c r="K146" s="208">
        <v>0</v>
      </c>
      <c r="L146" s="208">
        <v>1352397</v>
      </c>
      <c r="M146" s="208">
        <v>-77210</v>
      </c>
      <c r="N146" s="208">
        <v>0</v>
      </c>
      <c r="O146" s="208">
        <v>-77210</v>
      </c>
      <c r="P146" s="208">
        <v>-6799908</v>
      </c>
      <c r="Q146" s="208">
        <v>0</v>
      </c>
      <c r="R146" s="208">
        <v>-6799908</v>
      </c>
      <c r="S146" s="208">
        <v>-3419489</v>
      </c>
      <c r="T146" s="208">
        <v>0</v>
      </c>
      <c r="U146" s="208">
        <v>-3419489</v>
      </c>
      <c r="V146" s="208">
        <v>-2838</v>
      </c>
      <c r="W146" s="208">
        <v>0</v>
      </c>
      <c r="X146" s="208">
        <v>-2838</v>
      </c>
      <c r="Y146" s="208">
        <v>-328871</v>
      </c>
      <c r="Z146" s="208">
        <v>0</v>
      </c>
      <c r="AA146" s="208">
        <v>-328871</v>
      </c>
      <c r="AB146" s="208">
        <v>-157951</v>
      </c>
      <c r="AC146" s="208">
        <v>0</v>
      </c>
      <c r="AD146" s="208">
        <v>-157951</v>
      </c>
      <c r="AE146" s="208">
        <v>-174253</v>
      </c>
      <c r="AF146" s="208">
        <v>0</v>
      </c>
      <c r="AG146" s="208">
        <v>-174253</v>
      </c>
      <c r="AH146" s="208">
        <v>0</v>
      </c>
      <c r="AI146" s="208">
        <v>0</v>
      </c>
      <c r="AJ146" s="208">
        <v>0</v>
      </c>
      <c r="AK146" s="208">
        <v>0</v>
      </c>
      <c r="AL146" s="208">
        <v>0</v>
      </c>
      <c r="AM146" s="208">
        <v>0</v>
      </c>
      <c r="AN146" s="208">
        <v>9383635</v>
      </c>
      <c r="AO146" s="208">
        <v>0</v>
      </c>
      <c r="AP146" s="208">
        <v>9383635</v>
      </c>
      <c r="AQ146" s="208">
        <v>-194512</v>
      </c>
      <c r="AR146" s="208">
        <v>0</v>
      </c>
      <c r="AS146" s="208">
        <v>-194512</v>
      </c>
      <c r="AT146" s="208">
        <v>-24791522</v>
      </c>
      <c r="AU146" s="208">
        <v>0</v>
      </c>
      <c r="AV146" s="208">
        <v>-24791522</v>
      </c>
      <c r="AW146" s="208">
        <v>-27047</v>
      </c>
      <c r="AX146" s="208">
        <v>0</v>
      </c>
      <c r="AY146" s="208">
        <v>-27047</v>
      </c>
      <c r="AZ146" s="208">
        <v>0</v>
      </c>
      <c r="BA146" s="208">
        <v>0</v>
      </c>
      <c r="BB146" s="208">
        <v>0</v>
      </c>
      <c r="BC146" s="208">
        <v>0</v>
      </c>
      <c r="BD146" s="208">
        <v>0</v>
      </c>
      <c r="BE146" s="208">
        <v>0</v>
      </c>
      <c r="BF146" s="208">
        <v>0</v>
      </c>
      <c r="BG146" s="208">
        <v>0</v>
      </c>
      <c r="BH146" s="208">
        <v>0</v>
      </c>
      <c r="BI146" s="208">
        <v>0</v>
      </c>
      <c r="BJ146" s="208">
        <v>0</v>
      </c>
      <c r="BK146" s="208">
        <v>0</v>
      </c>
      <c r="BL146" s="208">
        <v>-19377806</v>
      </c>
      <c r="BM146" s="208">
        <v>0</v>
      </c>
      <c r="BN146" s="208">
        <v>-19377806</v>
      </c>
      <c r="BO146" s="208">
        <v>-88775</v>
      </c>
      <c r="BP146" s="208">
        <v>0</v>
      </c>
      <c r="BQ146" s="208">
        <v>-88775</v>
      </c>
      <c r="BR146" s="208">
        <v>-1180</v>
      </c>
      <c r="BS146" s="208">
        <v>0</v>
      </c>
      <c r="BT146" s="208">
        <v>-1180</v>
      </c>
      <c r="BU146" s="208">
        <v>-10743751</v>
      </c>
      <c r="BV146" s="208">
        <v>0</v>
      </c>
      <c r="BW146" s="208">
        <v>-10743751</v>
      </c>
      <c r="BX146" s="208">
        <v>642966</v>
      </c>
      <c r="BY146" s="208">
        <v>0</v>
      </c>
      <c r="BZ146" s="208">
        <v>642966</v>
      </c>
      <c r="CA146" s="208">
        <v>-10190740</v>
      </c>
      <c r="CB146" s="208">
        <v>0</v>
      </c>
      <c r="CC146" s="208">
        <v>-10190740</v>
      </c>
      <c r="CD146" s="208">
        <v>-87889</v>
      </c>
      <c r="CE146" s="208">
        <v>0</v>
      </c>
      <c r="CF146" s="208">
        <v>-87889</v>
      </c>
      <c r="CG146" s="208">
        <v>-25653</v>
      </c>
      <c r="CH146" s="208">
        <v>0</v>
      </c>
      <c r="CI146" s="208">
        <v>-25653</v>
      </c>
      <c r="CJ146" s="208">
        <v>-53641</v>
      </c>
      <c r="CK146" s="208">
        <v>0</v>
      </c>
      <c r="CL146" s="208">
        <v>-53641</v>
      </c>
      <c r="CM146" s="208">
        <v>-2751</v>
      </c>
      <c r="CN146" s="208">
        <v>0</v>
      </c>
      <c r="CO146" s="208">
        <v>-2751</v>
      </c>
      <c r="CP146" s="208">
        <v>0</v>
      </c>
      <c r="CQ146" s="208">
        <v>0</v>
      </c>
      <c r="CR146" s="208">
        <v>0</v>
      </c>
      <c r="CS146" s="208">
        <v>0</v>
      </c>
      <c r="CT146" s="208">
        <v>0</v>
      </c>
      <c r="CU146" s="208">
        <v>0</v>
      </c>
      <c r="CV146" s="208">
        <v>0</v>
      </c>
      <c r="CW146" s="208">
        <v>0</v>
      </c>
      <c r="CX146" s="208">
        <v>0</v>
      </c>
      <c r="CY146" s="208">
        <v>0</v>
      </c>
      <c r="CZ146" s="208">
        <v>0</v>
      </c>
      <c r="DA146" s="208">
        <v>0</v>
      </c>
      <c r="DB146" s="208">
        <v>0</v>
      </c>
      <c r="DC146" s="208">
        <v>0</v>
      </c>
      <c r="DD146" s="208">
        <v>0</v>
      </c>
      <c r="DE146" s="208">
        <v>0</v>
      </c>
      <c r="DF146" s="208">
        <v>0</v>
      </c>
      <c r="DG146" s="208">
        <v>0</v>
      </c>
      <c r="DH146" s="208">
        <v>0</v>
      </c>
      <c r="DI146" s="208">
        <v>0</v>
      </c>
      <c r="DJ146" s="208">
        <v>0</v>
      </c>
      <c r="DK146" s="208">
        <v>0</v>
      </c>
      <c r="DL146" s="208">
        <v>0</v>
      </c>
      <c r="DM146" s="208">
        <v>0</v>
      </c>
      <c r="DN146" s="208">
        <v>0</v>
      </c>
      <c r="DO146" s="208">
        <v>0</v>
      </c>
      <c r="DP146" s="208">
        <v>-169934</v>
      </c>
      <c r="DQ146" s="208">
        <v>0</v>
      </c>
      <c r="DR146" s="208">
        <v>-169934</v>
      </c>
      <c r="DS146" s="208">
        <v>0</v>
      </c>
      <c r="DT146" s="208">
        <v>0</v>
      </c>
      <c r="DU146" s="208">
        <v>0</v>
      </c>
      <c r="DV146" s="208">
        <v>1672</v>
      </c>
      <c r="DW146" s="208">
        <v>0</v>
      </c>
      <c r="DX146" s="208">
        <v>1672</v>
      </c>
      <c r="DY146" s="208">
        <v>384</v>
      </c>
      <c r="DZ146" s="208">
        <v>0</v>
      </c>
      <c r="EA146" s="208">
        <v>384</v>
      </c>
      <c r="EB146" s="208">
        <v>0</v>
      </c>
      <c r="EC146" s="208">
        <v>0</v>
      </c>
      <c r="ED146" s="208">
        <v>0</v>
      </c>
      <c r="EE146" s="208">
        <v>0</v>
      </c>
      <c r="EF146" s="208">
        <v>0</v>
      </c>
      <c r="EG146" s="208">
        <v>0</v>
      </c>
      <c r="EH146" s="208">
        <v>-126</v>
      </c>
      <c r="EI146" s="208">
        <v>0</v>
      </c>
      <c r="EJ146" s="208">
        <v>-126</v>
      </c>
      <c r="EK146" s="208">
        <v>0</v>
      </c>
      <c r="EL146" s="208">
        <v>0</v>
      </c>
      <c r="EM146" s="208">
        <v>0</v>
      </c>
      <c r="EN146" s="208">
        <v>0</v>
      </c>
      <c r="EO146" s="208">
        <v>0</v>
      </c>
      <c r="EP146" s="208">
        <v>0</v>
      </c>
      <c r="EQ146" s="208">
        <v>0</v>
      </c>
      <c r="ER146" s="208">
        <v>0</v>
      </c>
      <c r="ES146" s="208">
        <v>0</v>
      </c>
      <c r="ET146" s="208">
        <v>0</v>
      </c>
      <c r="EU146" s="208">
        <v>0</v>
      </c>
      <c r="EV146" s="208">
        <v>0</v>
      </c>
      <c r="EW146" s="208">
        <v>-62365</v>
      </c>
      <c r="EX146" s="208">
        <v>0</v>
      </c>
      <c r="EY146" s="208">
        <v>-62365</v>
      </c>
      <c r="EZ146" s="208">
        <v>3778</v>
      </c>
      <c r="FA146" s="208">
        <v>0</v>
      </c>
      <c r="FB146" s="208">
        <v>3778</v>
      </c>
      <c r="FC146" s="208">
        <v>-1283344</v>
      </c>
      <c r="FD146" s="208">
        <v>0</v>
      </c>
      <c r="FE146" s="208">
        <v>-1283344</v>
      </c>
      <c r="FF146" s="208">
        <v>58292</v>
      </c>
      <c r="FG146" s="208">
        <v>0</v>
      </c>
      <c r="FH146" s="208">
        <v>58292</v>
      </c>
      <c r="FI146" s="208">
        <v>-25907</v>
      </c>
      <c r="FJ146" s="208">
        <v>0</v>
      </c>
      <c r="FK146" s="208">
        <v>-25907</v>
      </c>
      <c r="FL146" s="208">
        <v>-2751</v>
      </c>
      <c r="FM146" s="208">
        <v>0</v>
      </c>
      <c r="FN146" s="208">
        <v>-2751</v>
      </c>
      <c r="FO146" s="208">
        <v>0</v>
      </c>
      <c r="FP146" s="208">
        <v>0</v>
      </c>
      <c r="FQ146" s="208">
        <v>0</v>
      </c>
      <c r="FR146" s="208">
        <v>0</v>
      </c>
      <c r="FS146" s="208">
        <v>0</v>
      </c>
      <c r="FT146" s="208">
        <v>0</v>
      </c>
      <c r="FU146" s="208">
        <v>-1310367</v>
      </c>
      <c r="FV146" s="208">
        <v>0</v>
      </c>
      <c r="FW146" s="208">
        <v>-1310367</v>
      </c>
      <c r="FX146" s="208">
        <v>-66861</v>
      </c>
      <c r="FY146" s="208">
        <v>0</v>
      </c>
      <c r="FZ146" s="208">
        <v>-66861</v>
      </c>
      <c r="GA146" s="208">
        <v>-28701</v>
      </c>
      <c r="GB146" s="208">
        <v>0</v>
      </c>
      <c r="GC146" s="208">
        <v>-28701</v>
      </c>
      <c r="GD146" s="208">
        <v>-95562</v>
      </c>
      <c r="GE146" s="208">
        <v>0</v>
      </c>
      <c r="GF146" s="208">
        <v>-95562</v>
      </c>
      <c r="GG146" s="208">
        <v>381376469</v>
      </c>
      <c r="GH146" s="208">
        <v>0</v>
      </c>
      <c r="GI146" s="208">
        <v>381376469</v>
      </c>
      <c r="GJ146" s="208">
        <v>-6799908</v>
      </c>
      <c r="GK146" s="208">
        <v>0</v>
      </c>
      <c r="GL146" s="208">
        <v>-6799908</v>
      </c>
      <c r="GM146" s="208">
        <v>-19377806</v>
      </c>
      <c r="GN146" s="208">
        <v>0</v>
      </c>
      <c r="GO146" s="208">
        <v>-19377806</v>
      </c>
      <c r="GP146" s="208">
        <v>-10190740</v>
      </c>
      <c r="GQ146" s="208">
        <v>0</v>
      </c>
      <c r="GR146" s="208">
        <v>-10190740</v>
      </c>
      <c r="GS146" s="208">
        <v>-169934</v>
      </c>
      <c r="GT146" s="208">
        <v>0</v>
      </c>
      <c r="GU146" s="208">
        <v>-169934</v>
      </c>
      <c r="GV146" s="208">
        <v>-1310367</v>
      </c>
      <c r="GW146" s="208">
        <v>0</v>
      </c>
      <c r="GX146" s="208">
        <v>-1310367</v>
      </c>
      <c r="GY146" s="208">
        <v>-95562</v>
      </c>
      <c r="GZ146" s="208">
        <v>0</v>
      </c>
      <c r="HA146" s="208">
        <v>-95562</v>
      </c>
      <c r="HB146" s="208">
        <v>-37944317</v>
      </c>
      <c r="HC146" s="208">
        <v>0</v>
      </c>
      <c r="HD146" s="208">
        <v>-37944317</v>
      </c>
      <c r="HE146" s="208">
        <v>343432152</v>
      </c>
      <c r="HF146" s="208">
        <v>0</v>
      </c>
      <c r="HG146" s="208">
        <v>343432152</v>
      </c>
      <c r="HH146" s="187" t="s">
        <v>1057</v>
      </c>
    </row>
    <row r="147" spans="1:216" s="187" customFormat="1" x14ac:dyDescent="0.2">
      <c r="B147" s="429" t="s">
        <v>371</v>
      </c>
      <c r="C147" s="429" t="s">
        <v>370</v>
      </c>
      <c r="D147" s="208">
        <v>-333339</v>
      </c>
      <c r="E147" s="208">
        <v>0</v>
      </c>
      <c r="F147" s="208">
        <v>-333339</v>
      </c>
      <c r="G147" s="208">
        <v>-11831</v>
      </c>
      <c r="H147" s="208">
        <v>0</v>
      </c>
      <c r="I147" s="208">
        <v>-11831</v>
      </c>
      <c r="J147" s="208">
        <v>615986</v>
      </c>
      <c r="K147" s="208">
        <v>0</v>
      </c>
      <c r="L147" s="208">
        <v>615986</v>
      </c>
      <c r="M147" s="208">
        <v>-31137</v>
      </c>
      <c r="N147" s="208">
        <v>0</v>
      </c>
      <c r="O147" s="208">
        <v>-31137</v>
      </c>
      <c r="P147" s="208">
        <v>239679</v>
      </c>
      <c r="Q147" s="208">
        <v>0</v>
      </c>
      <c r="R147" s="208">
        <v>239679</v>
      </c>
      <c r="S147" s="208">
        <v>-2833671</v>
      </c>
      <c r="T147" s="208">
        <v>0</v>
      </c>
      <c r="U147" s="208">
        <v>-2833671</v>
      </c>
      <c r="V147" s="208">
        <v>-6685</v>
      </c>
      <c r="W147" s="208">
        <v>0</v>
      </c>
      <c r="X147" s="208">
        <v>-6685</v>
      </c>
      <c r="Y147" s="208">
        <v>-66458</v>
      </c>
      <c r="Z147" s="208">
        <v>0</v>
      </c>
      <c r="AA147" s="208">
        <v>-66458</v>
      </c>
      <c r="AB147" s="208">
        <v>-8299</v>
      </c>
      <c r="AC147" s="208">
        <v>0</v>
      </c>
      <c r="AD147" s="208">
        <v>-8299</v>
      </c>
      <c r="AE147" s="208">
        <v>-58159</v>
      </c>
      <c r="AF147" s="208">
        <v>0</v>
      </c>
      <c r="AG147" s="208">
        <v>-58159</v>
      </c>
      <c r="AH147" s="208">
        <v>0</v>
      </c>
      <c r="AI147" s="208">
        <v>0</v>
      </c>
      <c r="AJ147" s="208">
        <v>0</v>
      </c>
      <c r="AK147" s="208">
        <v>-6002</v>
      </c>
      <c r="AL147" s="208">
        <v>0</v>
      </c>
      <c r="AM147" s="208">
        <v>-6002</v>
      </c>
      <c r="AN147" s="208">
        <v>768106</v>
      </c>
      <c r="AO147" s="208">
        <v>0</v>
      </c>
      <c r="AP147" s="208">
        <v>768106</v>
      </c>
      <c r="AQ147" s="208">
        <v>-9452</v>
      </c>
      <c r="AR147" s="208">
        <v>0</v>
      </c>
      <c r="AS147" s="208">
        <v>-9452</v>
      </c>
      <c r="AT147" s="208">
        <v>-2894105</v>
      </c>
      <c r="AU147" s="208">
        <v>0</v>
      </c>
      <c r="AV147" s="208">
        <v>-2894105</v>
      </c>
      <c r="AW147" s="208">
        <v>-9911</v>
      </c>
      <c r="AX147" s="208">
        <v>0</v>
      </c>
      <c r="AY147" s="208">
        <v>-9911</v>
      </c>
      <c r="AZ147" s="208">
        <v>-44847</v>
      </c>
      <c r="BA147" s="208">
        <v>0</v>
      </c>
      <c r="BB147" s="208">
        <v>-44847</v>
      </c>
      <c r="BC147" s="208">
        <v>0</v>
      </c>
      <c r="BD147" s="208">
        <v>0</v>
      </c>
      <c r="BE147" s="208">
        <v>0</v>
      </c>
      <c r="BF147" s="208">
        <v>-3570</v>
      </c>
      <c r="BG147" s="208">
        <v>0</v>
      </c>
      <c r="BH147" s="208">
        <v>-3570</v>
      </c>
      <c r="BI147" s="208">
        <v>0</v>
      </c>
      <c r="BJ147" s="208">
        <v>0</v>
      </c>
      <c r="BK147" s="208">
        <v>0</v>
      </c>
      <c r="BL147" s="208">
        <v>-5093908</v>
      </c>
      <c r="BM147" s="208">
        <v>0</v>
      </c>
      <c r="BN147" s="208">
        <v>-5093908</v>
      </c>
      <c r="BO147" s="208">
        <v>0</v>
      </c>
      <c r="BP147" s="208">
        <v>0</v>
      </c>
      <c r="BQ147" s="208">
        <v>0</v>
      </c>
      <c r="BR147" s="208">
        <v>0</v>
      </c>
      <c r="BS147" s="208">
        <v>0</v>
      </c>
      <c r="BT147" s="208">
        <v>0</v>
      </c>
      <c r="BU147" s="208">
        <v>-554142</v>
      </c>
      <c r="BV147" s="208">
        <v>0</v>
      </c>
      <c r="BW147" s="208">
        <v>-554142</v>
      </c>
      <c r="BX147" s="208">
        <v>-26036</v>
      </c>
      <c r="BY147" s="208">
        <v>0</v>
      </c>
      <c r="BZ147" s="208">
        <v>-26036</v>
      </c>
      <c r="CA147" s="208">
        <v>-580178</v>
      </c>
      <c r="CB147" s="208">
        <v>0</v>
      </c>
      <c r="CC147" s="208">
        <v>-580178</v>
      </c>
      <c r="CD147" s="208">
        <v>-10167</v>
      </c>
      <c r="CE147" s="208">
        <v>0</v>
      </c>
      <c r="CF147" s="208">
        <v>-10167</v>
      </c>
      <c r="CG147" s="208">
        <v>1239</v>
      </c>
      <c r="CH147" s="208">
        <v>0</v>
      </c>
      <c r="CI147" s="208">
        <v>1239</v>
      </c>
      <c r="CJ147" s="208">
        <v>-35494</v>
      </c>
      <c r="CK147" s="208">
        <v>0</v>
      </c>
      <c r="CL147" s="208">
        <v>-35494</v>
      </c>
      <c r="CM147" s="208">
        <v>-1467</v>
      </c>
      <c r="CN147" s="208">
        <v>0</v>
      </c>
      <c r="CO147" s="208">
        <v>-1467</v>
      </c>
      <c r="CP147" s="208">
        <v>-1955</v>
      </c>
      <c r="CQ147" s="208">
        <v>0</v>
      </c>
      <c r="CR147" s="208">
        <v>-1955</v>
      </c>
      <c r="CS147" s="208">
        <v>0</v>
      </c>
      <c r="CT147" s="208">
        <v>0</v>
      </c>
      <c r="CU147" s="208">
        <v>0</v>
      </c>
      <c r="CV147" s="208">
        <v>0</v>
      </c>
      <c r="CW147" s="208">
        <v>0</v>
      </c>
      <c r="CX147" s="208">
        <v>0</v>
      </c>
      <c r="CY147" s="208">
        <v>0</v>
      </c>
      <c r="CZ147" s="208">
        <v>0</v>
      </c>
      <c r="DA147" s="208">
        <v>0</v>
      </c>
      <c r="DB147" s="208">
        <v>0</v>
      </c>
      <c r="DC147" s="208">
        <v>0</v>
      </c>
      <c r="DD147" s="208">
        <v>0</v>
      </c>
      <c r="DE147" s="208">
        <v>0</v>
      </c>
      <c r="DF147" s="208">
        <v>0</v>
      </c>
      <c r="DG147" s="208">
        <v>0</v>
      </c>
      <c r="DH147" s="208">
        <v>0</v>
      </c>
      <c r="DI147" s="208">
        <v>0</v>
      </c>
      <c r="DJ147" s="208">
        <v>0</v>
      </c>
      <c r="DK147" s="208">
        <v>0</v>
      </c>
      <c r="DL147" s="208">
        <v>0</v>
      </c>
      <c r="DM147" s="208">
        <v>0</v>
      </c>
      <c r="DN147" s="208">
        <v>0</v>
      </c>
      <c r="DO147" s="208">
        <v>0</v>
      </c>
      <c r="DP147" s="208">
        <v>-47844</v>
      </c>
      <c r="DQ147" s="208">
        <v>0</v>
      </c>
      <c r="DR147" s="208">
        <v>-47844</v>
      </c>
      <c r="DS147" s="208">
        <v>0</v>
      </c>
      <c r="DT147" s="208">
        <v>0</v>
      </c>
      <c r="DU147" s="208">
        <v>0</v>
      </c>
      <c r="DV147" s="208">
        <v>0</v>
      </c>
      <c r="DW147" s="208">
        <v>0</v>
      </c>
      <c r="DX147" s="208">
        <v>0</v>
      </c>
      <c r="DY147" s="208">
        <v>0</v>
      </c>
      <c r="DZ147" s="208">
        <v>0</v>
      </c>
      <c r="EA147" s="208">
        <v>0</v>
      </c>
      <c r="EB147" s="208">
        <v>0</v>
      </c>
      <c r="EC147" s="208">
        <v>0</v>
      </c>
      <c r="ED147" s="208">
        <v>0</v>
      </c>
      <c r="EE147" s="208">
        <v>0</v>
      </c>
      <c r="EF147" s="208">
        <v>0</v>
      </c>
      <c r="EG147" s="208">
        <v>0</v>
      </c>
      <c r="EH147" s="208">
        <v>0</v>
      </c>
      <c r="EI147" s="208">
        <v>0</v>
      </c>
      <c r="EJ147" s="208">
        <v>0</v>
      </c>
      <c r="EK147" s="208">
        <v>-3570</v>
      </c>
      <c r="EL147" s="208">
        <v>0</v>
      </c>
      <c r="EM147" s="208">
        <v>-3570</v>
      </c>
      <c r="EN147" s="208">
        <v>141</v>
      </c>
      <c r="EO147" s="208">
        <v>0</v>
      </c>
      <c r="EP147" s="208">
        <v>141</v>
      </c>
      <c r="EQ147" s="208">
        <v>0</v>
      </c>
      <c r="ER147" s="208">
        <v>0</v>
      </c>
      <c r="ES147" s="208">
        <v>0</v>
      </c>
      <c r="ET147" s="208">
        <v>0</v>
      </c>
      <c r="EU147" s="208">
        <v>0</v>
      </c>
      <c r="EV147" s="208">
        <v>0</v>
      </c>
      <c r="EW147" s="208">
        <v>-389</v>
      </c>
      <c r="EX147" s="208">
        <v>0</v>
      </c>
      <c r="EY147" s="208">
        <v>-389</v>
      </c>
      <c r="EZ147" s="208">
        <v>0</v>
      </c>
      <c r="FA147" s="208">
        <v>0</v>
      </c>
      <c r="FB147" s="208">
        <v>0</v>
      </c>
      <c r="FC147" s="208">
        <v>-36257</v>
      </c>
      <c r="FD147" s="208">
        <v>0</v>
      </c>
      <c r="FE147" s="208">
        <v>-36257</v>
      </c>
      <c r="FF147" s="208">
        <v>181</v>
      </c>
      <c r="FG147" s="208">
        <v>0</v>
      </c>
      <c r="FH147" s="208">
        <v>181</v>
      </c>
      <c r="FI147" s="208">
        <v>-22707</v>
      </c>
      <c r="FJ147" s="208">
        <v>0</v>
      </c>
      <c r="FK147" s="208">
        <v>-22707</v>
      </c>
      <c r="FL147" s="208">
        <v>-271</v>
      </c>
      <c r="FM147" s="208">
        <v>0</v>
      </c>
      <c r="FN147" s="208">
        <v>-271</v>
      </c>
      <c r="FO147" s="208">
        <v>0</v>
      </c>
      <c r="FP147" s="208">
        <v>0</v>
      </c>
      <c r="FQ147" s="208">
        <v>0</v>
      </c>
      <c r="FR147" s="208">
        <v>0</v>
      </c>
      <c r="FS147" s="208">
        <v>0</v>
      </c>
      <c r="FT147" s="208">
        <v>0</v>
      </c>
      <c r="FU147" s="208">
        <v>-62872</v>
      </c>
      <c r="FV147" s="208">
        <v>0</v>
      </c>
      <c r="FW147" s="208">
        <v>-62872</v>
      </c>
      <c r="FX147" s="208">
        <v>0</v>
      </c>
      <c r="FY147" s="208">
        <v>0</v>
      </c>
      <c r="FZ147" s="208">
        <v>0</v>
      </c>
      <c r="GA147" s="208">
        <v>0</v>
      </c>
      <c r="GB147" s="208">
        <v>0</v>
      </c>
      <c r="GC147" s="208">
        <v>0</v>
      </c>
      <c r="GD147" s="208">
        <v>0</v>
      </c>
      <c r="GE147" s="208">
        <v>0</v>
      </c>
      <c r="GF147" s="208">
        <v>0</v>
      </c>
      <c r="GG147" s="208">
        <v>38417710</v>
      </c>
      <c r="GH147" s="208">
        <v>0</v>
      </c>
      <c r="GI147" s="208">
        <v>38417710</v>
      </c>
      <c r="GJ147" s="208">
        <v>239679</v>
      </c>
      <c r="GK147" s="208">
        <v>0</v>
      </c>
      <c r="GL147" s="208">
        <v>239679</v>
      </c>
      <c r="GM147" s="208">
        <v>-5093908</v>
      </c>
      <c r="GN147" s="208">
        <v>0</v>
      </c>
      <c r="GO147" s="208">
        <v>-5093908</v>
      </c>
      <c r="GP147" s="208">
        <v>-580178</v>
      </c>
      <c r="GQ147" s="208">
        <v>0</v>
      </c>
      <c r="GR147" s="208">
        <v>-580178</v>
      </c>
      <c r="GS147" s="208">
        <v>-47844</v>
      </c>
      <c r="GT147" s="208">
        <v>0</v>
      </c>
      <c r="GU147" s="208">
        <v>-47844</v>
      </c>
      <c r="GV147" s="208">
        <v>-62872</v>
      </c>
      <c r="GW147" s="208">
        <v>0</v>
      </c>
      <c r="GX147" s="208">
        <v>-62872</v>
      </c>
      <c r="GY147" s="208">
        <v>0</v>
      </c>
      <c r="GZ147" s="208">
        <v>0</v>
      </c>
      <c r="HA147" s="208">
        <v>0</v>
      </c>
      <c r="HB147" s="208">
        <v>-5545123</v>
      </c>
      <c r="HC147" s="208">
        <v>0</v>
      </c>
      <c r="HD147" s="208">
        <v>-5545123</v>
      </c>
      <c r="HE147" s="208">
        <v>32872587</v>
      </c>
      <c r="HF147" s="208">
        <v>0</v>
      </c>
      <c r="HG147" s="208">
        <v>32872587</v>
      </c>
      <c r="HH147" s="187" t="s">
        <v>1054</v>
      </c>
    </row>
    <row r="148" spans="1:216" s="187" customFormat="1" x14ac:dyDescent="0.2">
      <c r="A148" s="187" t="s">
        <v>1817</v>
      </c>
      <c r="B148" s="429" t="s">
        <v>373</v>
      </c>
      <c r="C148" s="429" t="s">
        <v>372</v>
      </c>
      <c r="D148" s="208">
        <v>-1468952</v>
      </c>
      <c r="E148" s="208">
        <v>0</v>
      </c>
      <c r="F148" s="208">
        <v>-1468952</v>
      </c>
      <c r="G148" s="208">
        <v>-7324</v>
      </c>
      <c r="H148" s="208">
        <v>0</v>
      </c>
      <c r="I148" s="208">
        <v>-7324</v>
      </c>
      <c r="J148" s="208">
        <v>1622010</v>
      </c>
      <c r="K148" s="208">
        <v>0</v>
      </c>
      <c r="L148" s="208">
        <v>1622010</v>
      </c>
      <c r="M148" s="208">
        <v>-31323</v>
      </c>
      <c r="N148" s="208">
        <v>0</v>
      </c>
      <c r="O148" s="208">
        <v>-31323</v>
      </c>
      <c r="P148" s="208">
        <v>114411</v>
      </c>
      <c r="Q148" s="208">
        <v>0</v>
      </c>
      <c r="R148" s="208">
        <v>114411</v>
      </c>
      <c r="S148" s="208">
        <v>-5831778</v>
      </c>
      <c r="T148" s="208">
        <v>-9251</v>
      </c>
      <c r="U148" s="208">
        <v>-5841029</v>
      </c>
      <c r="V148" s="208">
        <v>-41368</v>
      </c>
      <c r="W148" s="208">
        <v>0</v>
      </c>
      <c r="X148" s="208">
        <v>-41368</v>
      </c>
      <c r="Y148" s="208">
        <v>-179052</v>
      </c>
      <c r="Z148" s="208">
        <v>0</v>
      </c>
      <c r="AA148" s="208">
        <v>-179052</v>
      </c>
      <c r="AB148" s="208">
        <v>-41521</v>
      </c>
      <c r="AC148" s="208">
        <v>0</v>
      </c>
      <c r="AD148" s="208">
        <v>-41521</v>
      </c>
      <c r="AE148" s="208">
        <v>-130321</v>
      </c>
      <c r="AF148" s="208">
        <v>0</v>
      </c>
      <c r="AG148" s="208">
        <v>-130321</v>
      </c>
      <c r="AH148" s="208">
        <v>306</v>
      </c>
      <c r="AI148" s="208">
        <v>0</v>
      </c>
      <c r="AJ148" s="208">
        <v>306</v>
      </c>
      <c r="AK148" s="208">
        <v>-2037</v>
      </c>
      <c r="AL148" s="208">
        <v>0</v>
      </c>
      <c r="AM148" s="208">
        <v>-2037</v>
      </c>
      <c r="AN148" s="208">
        <v>1008361</v>
      </c>
      <c r="AO148" s="208">
        <v>509</v>
      </c>
      <c r="AP148" s="208">
        <v>1008870</v>
      </c>
      <c r="AQ148" s="208">
        <v>15018</v>
      </c>
      <c r="AR148" s="208">
        <v>0</v>
      </c>
      <c r="AS148" s="208">
        <v>15018</v>
      </c>
      <c r="AT148" s="208">
        <v>-3546331</v>
      </c>
      <c r="AU148" s="208">
        <v>-11832</v>
      </c>
      <c r="AV148" s="208">
        <v>-3558163</v>
      </c>
      <c r="AW148" s="208">
        <v>-13782</v>
      </c>
      <c r="AX148" s="208">
        <v>0</v>
      </c>
      <c r="AY148" s="208">
        <v>-13782</v>
      </c>
      <c r="AZ148" s="208">
        <v>-33518</v>
      </c>
      <c r="BA148" s="208">
        <v>0</v>
      </c>
      <c r="BB148" s="208">
        <v>-33518</v>
      </c>
      <c r="BC148" s="208">
        <v>0</v>
      </c>
      <c r="BD148" s="208">
        <v>0</v>
      </c>
      <c r="BE148" s="208">
        <v>0</v>
      </c>
      <c r="BF148" s="208">
        <v>-65394</v>
      </c>
      <c r="BG148" s="208">
        <v>0</v>
      </c>
      <c r="BH148" s="208">
        <v>-65394</v>
      </c>
      <c r="BI148" s="208">
        <v>367</v>
      </c>
      <c r="BJ148" s="208">
        <v>0</v>
      </c>
      <c r="BK148" s="208">
        <v>367</v>
      </c>
      <c r="BL148" s="208">
        <v>-8646109</v>
      </c>
      <c r="BM148" s="208">
        <v>-20574</v>
      </c>
      <c r="BN148" s="208">
        <v>-8666683</v>
      </c>
      <c r="BO148" s="208">
        <v>-4546</v>
      </c>
      <c r="BP148" s="208">
        <v>0</v>
      </c>
      <c r="BQ148" s="208">
        <v>-4546</v>
      </c>
      <c r="BR148" s="208">
        <v>-2167</v>
      </c>
      <c r="BS148" s="208">
        <v>0</v>
      </c>
      <c r="BT148" s="208">
        <v>-2167</v>
      </c>
      <c r="BU148" s="208">
        <v>-1113326</v>
      </c>
      <c r="BV148" s="208">
        <v>-711</v>
      </c>
      <c r="BW148" s="208">
        <v>-1114037</v>
      </c>
      <c r="BX148" s="208">
        <v>18589</v>
      </c>
      <c r="BY148" s="208">
        <v>0</v>
      </c>
      <c r="BZ148" s="208">
        <v>18589</v>
      </c>
      <c r="CA148" s="208">
        <v>-1101450</v>
      </c>
      <c r="CB148" s="208">
        <v>-711</v>
      </c>
      <c r="CC148" s="208">
        <v>-1102161</v>
      </c>
      <c r="CD148" s="208">
        <v>-225444</v>
      </c>
      <c r="CE148" s="208">
        <v>0</v>
      </c>
      <c r="CF148" s="208">
        <v>-225444</v>
      </c>
      <c r="CG148" s="208">
        <v>-960</v>
      </c>
      <c r="CH148" s="208">
        <v>0</v>
      </c>
      <c r="CI148" s="208">
        <v>-960</v>
      </c>
      <c r="CJ148" s="208">
        <v>-83000</v>
      </c>
      <c r="CK148" s="208">
        <v>0</v>
      </c>
      <c r="CL148" s="208">
        <v>-83000</v>
      </c>
      <c r="CM148" s="208">
        <v>-8313</v>
      </c>
      <c r="CN148" s="208">
        <v>0</v>
      </c>
      <c r="CO148" s="208">
        <v>-8313</v>
      </c>
      <c r="CP148" s="208">
        <v>-7130</v>
      </c>
      <c r="CQ148" s="208">
        <v>0</v>
      </c>
      <c r="CR148" s="208">
        <v>-7130</v>
      </c>
      <c r="CS148" s="208">
        <v>0</v>
      </c>
      <c r="CT148" s="208">
        <v>0</v>
      </c>
      <c r="CU148" s="208">
        <v>0</v>
      </c>
      <c r="CV148" s="208">
        <v>0</v>
      </c>
      <c r="CW148" s="208">
        <v>0</v>
      </c>
      <c r="CX148" s="208">
        <v>0</v>
      </c>
      <c r="CY148" s="208">
        <v>0</v>
      </c>
      <c r="CZ148" s="208">
        <v>0</v>
      </c>
      <c r="DA148" s="208">
        <v>0</v>
      </c>
      <c r="DB148" s="208">
        <v>-8081</v>
      </c>
      <c r="DC148" s="208">
        <v>0</v>
      </c>
      <c r="DD148" s="208">
        <v>-8081</v>
      </c>
      <c r="DE148" s="208">
        <v>0</v>
      </c>
      <c r="DF148" s="208">
        <v>0</v>
      </c>
      <c r="DG148" s="208">
        <v>0</v>
      </c>
      <c r="DH148" s="208">
        <v>0</v>
      </c>
      <c r="DI148" s="208">
        <v>-76383</v>
      </c>
      <c r="DJ148" s="208">
        <v>-76383</v>
      </c>
      <c r="DK148" s="208">
        <v>0</v>
      </c>
      <c r="DL148" s="208">
        <v>0</v>
      </c>
      <c r="DM148" s="208">
        <v>0</v>
      </c>
      <c r="DN148" s="208">
        <v>-76383</v>
      </c>
      <c r="DO148" s="208">
        <v>0</v>
      </c>
      <c r="DP148" s="208">
        <v>-332928</v>
      </c>
      <c r="DQ148" s="208">
        <v>-76383</v>
      </c>
      <c r="DR148" s="208">
        <v>-409311</v>
      </c>
      <c r="DS148" s="208">
        <v>0</v>
      </c>
      <c r="DT148" s="208">
        <v>0</v>
      </c>
      <c r="DU148" s="208">
        <v>0</v>
      </c>
      <c r="DV148" s="208">
        <v>0</v>
      </c>
      <c r="DW148" s="208">
        <v>0</v>
      </c>
      <c r="DX148" s="208">
        <v>0</v>
      </c>
      <c r="DY148" s="208">
        <v>0</v>
      </c>
      <c r="DZ148" s="208">
        <v>0</v>
      </c>
      <c r="EA148" s="208">
        <v>0</v>
      </c>
      <c r="EB148" s="208">
        <v>0</v>
      </c>
      <c r="EC148" s="208">
        <v>0</v>
      </c>
      <c r="ED148" s="208">
        <v>0</v>
      </c>
      <c r="EE148" s="208">
        <v>0</v>
      </c>
      <c r="EF148" s="208">
        <v>0</v>
      </c>
      <c r="EG148" s="208">
        <v>0</v>
      </c>
      <c r="EH148" s="208">
        <v>20</v>
      </c>
      <c r="EI148" s="208">
        <v>0</v>
      </c>
      <c r="EJ148" s="208">
        <v>20</v>
      </c>
      <c r="EK148" s="208">
        <v>-65394</v>
      </c>
      <c r="EL148" s="208">
        <v>0</v>
      </c>
      <c r="EM148" s="208">
        <v>-65394</v>
      </c>
      <c r="EN148" s="208">
        <v>367</v>
      </c>
      <c r="EO148" s="208">
        <v>0</v>
      </c>
      <c r="EP148" s="208">
        <v>367</v>
      </c>
      <c r="EQ148" s="208">
        <v>-1500</v>
      </c>
      <c r="ER148" s="208">
        <v>0</v>
      </c>
      <c r="ES148" s="208">
        <v>-1500</v>
      </c>
      <c r="ET148" s="208">
        <v>0</v>
      </c>
      <c r="EU148" s="208">
        <v>0</v>
      </c>
      <c r="EV148" s="208">
        <v>0</v>
      </c>
      <c r="EW148" s="208">
        <v>-68258</v>
      </c>
      <c r="EX148" s="208">
        <v>0</v>
      </c>
      <c r="EY148" s="208">
        <v>-68258</v>
      </c>
      <c r="EZ148" s="208">
        <v>0</v>
      </c>
      <c r="FA148" s="208">
        <v>0</v>
      </c>
      <c r="FB148" s="208">
        <v>0</v>
      </c>
      <c r="FC148" s="208">
        <v>-200026</v>
      </c>
      <c r="FD148" s="208">
        <v>0</v>
      </c>
      <c r="FE148" s="208">
        <v>-200026</v>
      </c>
      <c r="FF148" s="208">
        <v>4041</v>
      </c>
      <c r="FG148" s="208">
        <v>0</v>
      </c>
      <c r="FH148" s="208">
        <v>4041</v>
      </c>
      <c r="FI148" s="208">
        <v>-49932</v>
      </c>
      <c r="FJ148" s="208">
        <v>0</v>
      </c>
      <c r="FK148" s="208">
        <v>-49932</v>
      </c>
      <c r="FL148" s="208">
        <v>-1219</v>
      </c>
      <c r="FM148" s="208">
        <v>0</v>
      </c>
      <c r="FN148" s="208">
        <v>-1219</v>
      </c>
      <c r="FO148" s="208">
        <v>0</v>
      </c>
      <c r="FP148" s="208">
        <v>0</v>
      </c>
      <c r="FQ148" s="208">
        <v>0</v>
      </c>
      <c r="FR148" s="208">
        <v>0</v>
      </c>
      <c r="FS148" s="208">
        <v>0</v>
      </c>
      <c r="FT148" s="208">
        <v>0</v>
      </c>
      <c r="FU148" s="208">
        <v>-381901</v>
      </c>
      <c r="FV148" s="208">
        <v>0</v>
      </c>
      <c r="FW148" s="208">
        <v>-381901</v>
      </c>
      <c r="FX148" s="208">
        <v>-16751</v>
      </c>
      <c r="FY148" s="208">
        <v>0</v>
      </c>
      <c r="FZ148" s="208">
        <v>-16751</v>
      </c>
      <c r="GA148" s="208">
        <v>116</v>
      </c>
      <c r="GB148" s="208">
        <v>0</v>
      </c>
      <c r="GC148" s="208">
        <v>116</v>
      </c>
      <c r="GD148" s="208">
        <v>-16635</v>
      </c>
      <c r="GE148" s="208">
        <v>0</v>
      </c>
      <c r="GF148" s="208">
        <v>-16635</v>
      </c>
      <c r="GG148" s="208">
        <v>57308785</v>
      </c>
      <c r="GH148" s="208">
        <v>97668</v>
      </c>
      <c r="GI148" s="208">
        <v>57406453</v>
      </c>
      <c r="GJ148" s="208">
        <v>114411</v>
      </c>
      <c r="GK148" s="208">
        <v>0</v>
      </c>
      <c r="GL148" s="208">
        <v>114411</v>
      </c>
      <c r="GM148" s="208">
        <v>-8646109</v>
      </c>
      <c r="GN148" s="208">
        <v>-20574</v>
      </c>
      <c r="GO148" s="208">
        <v>-8666683</v>
      </c>
      <c r="GP148" s="208">
        <v>-1101450</v>
      </c>
      <c r="GQ148" s="208">
        <v>-711</v>
      </c>
      <c r="GR148" s="208">
        <v>-1102161</v>
      </c>
      <c r="GS148" s="208">
        <v>-332928</v>
      </c>
      <c r="GT148" s="208">
        <v>-76383</v>
      </c>
      <c r="GU148" s="208">
        <v>-409311</v>
      </c>
      <c r="GV148" s="208">
        <v>-381901</v>
      </c>
      <c r="GW148" s="208">
        <v>0</v>
      </c>
      <c r="GX148" s="208">
        <v>-381901</v>
      </c>
      <c r="GY148" s="208">
        <v>-16635</v>
      </c>
      <c r="GZ148" s="208">
        <v>0</v>
      </c>
      <c r="HA148" s="208">
        <v>-16635</v>
      </c>
      <c r="HB148" s="208">
        <v>-10364612</v>
      </c>
      <c r="HC148" s="208">
        <v>-97668</v>
      </c>
      <c r="HD148" s="208">
        <v>-10462280</v>
      </c>
      <c r="HE148" s="208">
        <v>46944173</v>
      </c>
      <c r="HF148" s="208">
        <v>0</v>
      </c>
      <c r="HG148" s="208">
        <v>46944173</v>
      </c>
      <c r="HH148" s="187" t="s">
        <v>1054</v>
      </c>
    </row>
    <row r="149" spans="1:216" s="187" customFormat="1" x14ac:dyDescent="0.2">
      <c r="B149" s="429" t="s">
        <v>375</v>
      </c>
      <c r="C149" s="429" t="s">
        <v>374</v>
      </c>
      <c r="D149" s="208">
        <v>-1591242</v>
      </c>
      <c r="E149" s="208">
        <v>-488</v>
      </c>
      <c r="F149" s="208">
        <v>-1591730</v>
      </c>
      <c r="G149" s="208">
        <v>-7417</v>
      </c>
      <c r="H149" s="208">
        <v>0</v>
      </c>
      <c r="I149" s="208">
        <v>-7417</v>
      </c>
      <c r="J149" s="208">
        <v>4463386</v>
      </c>
      <c r="K149" s="208">
        <v>2260</v>
      </c>
      <c r="L149" s="208">
        <v>4465646</v>
      </c>
      <c r="M149" s="208">
        <v>12395</v>
      </c>
      <c r="N149" s="208">
        <v>0</v>
      </c>
      <c r="O149" s="208">
        <v>12395</v>
      </c>
      <c r="P149" s="208">
        <v>2877122</v>
      </c>
      <c r="Q149" s="208">
        <v>1772</v>
      </c>
      <c r="R149" s="208">
        <v>2878894</v>
      </c>
      <c r="S149" s="208">
        <v>-9200475</v>
      </c>
      <c r="T149" s="208">
        <v>-7495</v>
      </c>
      <c r="U149" s="208">
        <v>-9207970</v>
      </c>
      <c r="V149" s="208">
        <v>0</v>
      </c>
      <c r="W149" s="208">
        <v>0</v>
      </c>
      <c r="X149" s="208">
        <v>0</v>
      </c>
      <c r="Y149" s="208">
        <v>-241549</v>
      </c>
      <c r="Z149" s="208">
        <v>0</v>
      </c>
      <c r="AA149" s="208">
        <v>-241549</v>
      </c>
      <c r="AB149" s="208">
        <v>-52552</v>
      </c>
      <c r="AC149" s="208">
        <v>0</v>
      </c>
      <c r="AD149" s="208">
        <v>-52552</v>
      </c>
      <c r="AE149" s="208">
        <v>-186348</v>
      </c>
      <c r="AF149" s="208">
        <v>0</v>
      </c>
      <c r="AG149" s="208">
        <v>-186348</v>
      </c>
      <c r="AH149" s="208">
        <v>0</v>
      </c>
      <c r="AI149" s="208">
        <v>0</v>
      </c>
      <c r="AJ149" s="208">
        <v>0</v>
      </c>
      <c r="AK149" s="208">
        <v>0</v>
      </c>
      <c r="AL149" s="208">
        <v>0</v>
      </c>
      <c r="AM149" s="208">
        <v>0</v>
      </c>
      <c r="AN149" s="208">
        <v>1970880</v>
      </c>
      <c r="AO149" s="208">
        <v>84993</v>
      </c>
      <c r="AP149" s="208">
        <v>2055873</v>
      </c>
      <c r="AQ149" s="208">
        <v>-50777</v>
      </c>
      <c r="AR149" s="208">
        <v>6645</v>
      </c>
      <c r="AS149" s="208">
        <v>-44132</v>
      </c>
      <c r="AT149" s="208">
        <v>-9055438</v>
      </c>
      <c r="AU149" s="208">
        <v>-78880</v>
      </c>
      <c r="AV149" s="208">
        <v>-9134318</v>
      </c>
      <c r="AW149" s="208">
        <v>-165225</v>
      </c>
      <c r="AX149" s="208">
        <v>0</v>
      </c>
      <c r="AY149" s="208">
        <v>-165225</v>
      </c>
      <c r="AZ149" s="208">
        <v>0</v>
      </c>
      <c r="BA149" s="208">
        <v>0</v>
      </c>
      <c r="BB149" s="208">
        <v>0</v>
      </c>
      <c r="BC149" s="208">
        <v>0</v>
      </c>
      <c r="BD149" s="208">
        <v>0</v>
      </c>
      <c r="BE149" s="208">
        <v>0</v>
      </c>
      <c r="BF149" s="208">
        <v>0</v>
      </c>
      <c r="BG149" s="208">
        <v>0</v>
      </c>
      <c r="BH149" s="208">
        <v>0</v>
      </c>
      <c r="BI149" s="208">
        <v>0</v>
      </c>
      <c r="BJ149" s="208">
        <v>0</v>
      </c>
      <c r="BK149" s="208">
        <v>0</v>
      </c>
      <c r="BL149" s="208">
        <v>-16742584</v>
      </c>
      <c r="BM149" s="208">
        <v>5263</v>
      </c>
      <c r="BN149" s="208">
        <v>-16737321</v>
      </c>
      <c r="BO149" s="208">
        <v>0</v>
      </c>
      <c r="BP149" s="208">
        <v>0</v>
      </c>
      <c r="BQ149" s="208">
        <v>0</v>
      </c>
      <c r="BR149" s="208">
        <v>0</v>
      </c>
      <c r="BS149" s="208">
        <v>0</v>
      </c>
      <c r="BT149" s="208">
        <v>0</v>
      </c>
      <c r="BU149" s="208">
        <v>-3939081</v>
      </c>
      <c r="BV149" s="208">
        <v>-65913</v>
      </c>
      <c r="BW149" s="208">
        <v>-4004994</v>
      </c>
      <c r="BX149" s="208">
        <v>58905</v>
      </c>
      <c r="BY149" s="208">
        <v>-1297</v>
      </c>
      <c r="BZ149" s="208">
        <v>57608</v>
      </c>
      <c r="CA149" s="208">
        <v>-3880176</v>
      </c>
      <c r="CB149" s="208">
        <v>-67210</v>
      </c>
      <c r="CC149" s="208">
        <v>-3947386</v>
      </c>
      <c r="CD149" s="208">
        <v>-6275</v>
      </c>
      <c r="CE149" s="208">
        <v>0</v>
      </c>
      <c r="CF149" s="208">
        <v>-6275</v>
      </c>
      <c r="CG149" s="208">
        <v>0</v>
      </c>
      <c r="CH149" s="208">
        <v>0</v>
      </c>
      <c r="CI149" s="208">
        <v>0</v>
      </c>
      <c r="CJ149" s="208">
        <v>-1223093</v>
      </c>
      <c r="CK149" s="208">
        <v>0</v>
      </c>
      <c r="CL149" s="208">
        <v>-1223093</v>
      </c>
      <c r="CM149" s="208">
        <v>0</v>
      </c>
      <c r="CN149" s="208">
        <v>0</v>
      </c>
      <c r="CO149" s="208">
        <v>0</v>
      </c>
      <c r="CP149" s="208">
        <v>0</v>
      </c>
      <c r="CQ149" s="208">
        <v>0</v>
      </c>
      <c r="CR149" s="208">
        <v>0</v>
      </c>
      <c r="CS149" s="208">
        <v>0</v>
      </c>
      <c r="CT149" s="208">
        <v>0</v>
      </c>
      <c r="CU149" s="208">
        <v>0</v>
      </c>
      <c r="CV149" s="208">
        <v>0</v>
      </c>
      <c r="CW149" s="208">
        <v>0</v>
      </c>
      <c r="CX149" s="208">
        <v>0</v>
      </c>
      <c r="CY149" s="208">
        <v>0</v>
      </c>
      <c r="CZ149" s="208">
        <v>0</v>
      </c>
      <c r="DA149" s="208">
        <v>0</v>
      </c>
      <c r="DB149" s="208">
        <v>0</v>
      </c>
      <c r="DC149" s="208">
        <v>0</v>
      </c>
      <c r="DD149" s="208">
        <v>0</v>
      </c>
      <c r="DE149" s="208">
        <v>0</v>
      </c>
      <c r="DF149" s="208">
        <v>0</v>
      </c>
      <c r="DG149" s="208">
        <v>0</v>
      </c>
      <c r="DH149" s="208">
        <v>0</v>
      </c>
      <c r="DI149" s="208">
        <v>-229902</v>
      </c>
      <c r="DJ149" s="208">
        <v>-229902</v>
      </c>
      <c r="DK149" s="208">
        <v>0</v>
      </c>
      <c r="DL149" s="208">
        <v>-74710</v>
      </c>
      <c r="DM149" s="208">
        <v>-74710</v>
      </c>
      <c r="DN149" s="208">
        <v>-304612</v>
      </c>
      <c r="DO149" s="208">
        <v>0</v>
      </c>
      <c r="DP149" s="208">
        <v>-1229368</v>
      </c>
      <c r="DQ149" s="208">
        <v>-304612</v>
      </c>
      <c r="DR149" s="208">
        <v>-1533980</v>
      </c>
      <c r="DS149" s="208">
        <v>0</v>
      </c>
      <c r="DT149" s="208">
        <v>0</v>
      </c>
      <c r="DU149" s="208">
        <v>0</v>
      </c>
      <c r="DV149" s="208">
        <v>0</v>
      </c>
      <c r="DW149" s="208">
        <v>0</v>
      </c>
      <c r="DX149" s="208">
        <v>0</v>
      </c>
      <c r="DY149" s="208">
        <v>-7406</v>
      </c>
      <c r="DZ149" s="208">
        <v>0</v>
      </c>
      <c r="EA149" s="208">
        <v>-7406</v>
      </c>
      <c r="EB149" s="208">
        <v>0</v>
      </c>
      <c r="EC149" s="208">
        <v>0</v>
      </c>
      <c r="ED149" s="208">
        <v>0</v>
      </c>
      <c r="EE149" s="208">
        <v>0</v>
      </c>
      <c r="EF149" s="208">
        <v>0</v>
      </c>
      <c r="EG149" s="208">
        <v>0</v>
      </c>
      <c r="EH149" s="208">
        <v>-15508</v>
      </c>
      <c r="EI149" s="208">
        <v>0</v>
      </c>
      <c r="EJ149" s="208">
        <v>-15508</v>
      </c>
      <c r="EK149" s="208">
        <v>0</v>
      </c>
      <c r="EL149" s="208">
        <v>0</v>
      </c>
      <c r="EM149" s="208">
        <v>0</v>
      </c>
      <c r="EN149" s="208">
        <v>0</v>
      </c>
      <c r="EO149" s="208">
        <v>0</v>
      </c>
      <c r="EP149" s="208">
        <v>0</v>
      </c>
      <c r="EQ149" s="208">
        <v>-1500</v>
      </c>
      <c r="ER149" s="208">
        <v>0</v>
      </c>
      <c r="ES149" s="208">
        <v>-1500</v>
      </c>
      <c r="ET149" s="208">
        <v>0</v>
      </c>
      <c r="EU149" s="208">
        <v>0</v>
      </c>
      <c r="EV149" s="208">
        <v>0</v>
      </c>
      <c r="EW149" s="208">
        <v>-16986</v>
      </c>
      <c r="EX149" s="208">
        <v>0</v>
      </c>
      <c r="EY149" s="208">
        <v>-16986</v>
      </c>
      <c r="EZ149" s="208">
        <v>-1141</v>
      </c>
      <c r="FA149" s="208">
        <v>0</v>
      </c>
      <c r="FB149" s="208">
        <v>-1141</v>
      </c>
      <c r="FC149" s="208">
        <v>-148618</v>
      </c>
      <c r="FD149" s="208">
        <v>0</v>
      </c>
      <c r="FE149" s="208">
        <v>-148618</v>
      </c>
      <c r="FF149" s="208">
        <v>19507</v>
      </c>
      <c r="FG149" s="208">
        <v>0</v>
      </c>
      <c r="FH149" s="208">
        <v>19507</v>
      </c>
      <c r="FI149" s="208">
        <v>-64406</v>
      </c>
      <c r="FJ149" s="208">
        <v>0</v>
      </c>
      <c r="FK149" s="208">
        <v>-64406</v>
      </c>
      <c r="FL149" s="208">
        <v>1803</v>
      </c>
      <c r="FM149" s="208">
        <v>0</v>
      </c>
      <c r="FN149" s="208">
        <v>1803</v>
      </c>
      <c r="FO149" s="208">
        <v>0</v>
      </c>
      <c r="FP149" s="208">
        <v>0</v>
      </c>
      <c r="FQ149" s="208">
        <v>0</v>
      </c>
      <c r="FR149" s="208">
        <v>0</v>
      </c>
      <c r="FS149" s="208">
        <v>0</v>
      </c>
      <c r="FT149" s="208">
        <v>0</v>
      </c>
      <c r="FU149" s="208">
        <v>-234255</v>
      </c>
      <c r="FV149" s="208">
        <v>0</v>
      </c>
      <c r="FW149" s="208">
        <v>-234255</v>
      </c>
      <c r="FX149" s="208">
        <v>0</v>
      </c>
      <c r="FY149" s="208">
        <v>0</v>
      </c>
      <c r="FZ149" s="208">
        <v>0</v>
      </c>
      <c r="GA149" s="208">
        <v>0</v>
      </c>
      <c r="GB149" s="208">
        <v>0</v>
      </c>
      <c r="GC149" s="208">
        <v>0</v>
      </c>
      <c r="GD149" s="208">
        <v>0</v>
      </c>
      <c r="GE149" s="208">
        <v>0</v>
      </c>
      <c r="GF149" s="208">
        <v>0</v>
      </c>
      <c r="GG149" s="208">
        <v>103390412</v>
      </c>
      <c r="GH149" s="208">
        <v>3493382</v>
      </c>
      <c r="GI149" s="208">
        <v>106883794</v>
      </c>
      <c r="GJ149" s="208">
        <v>2877122</v>
      </c>
      <c r="GK149" s="208">
        <v>1772</v>
      </c>
      <c r="GL149" s="208">
        <v>2878894</v>
      </c>
      <c r="GM149" s="208">
        <v>-16742584</v>
      </c>
      <c r="GN149" s="208">
        <v>5263</v>
      </c>
      <c r="GO149" s="208">
        <v>-16737321</v>
      </c>
      <c r="GP149" s="208">
        <v>-3880176</v>
      </c>
      <c r="GQ149" s="208">
        <v>-67210</v>
      </c>
      <c r="GR149" s="208">
        <v>-3947386</v>
      </c>
      <c r="GS149" s="208">
        <v>-1229368</v>
      </c>
      <c r="GT149" s="208">
        <v>-304612</v>
      </c>
      <c r="GU149" s="208">
        <v>-1533980</v>
      </c>
      <c r="GV149" s="208">
        <v>-234255</v>
      </c>
      <c r="GW149" s="208">
        <v>0</v>
      </c>
      <c r="GX149" s="208">
        <v>-234255</v>
      </c>
      <c r="GY149" s="208">
        <v>0</v>
      </c>
      <c r="GZ149" s="208">
        <v>0</v>
      </c>
      <c r="HA149" s="208">
        <v>0</v>
      </c>
      <c r="HB149" s="208">
        <v>-19209261</v>
      </c>
      <c r="HC149" s="208">
        <v>-364787</v>
      </c>
      <c r="HD149" s="208">
        <v>-19574048</v>
      </c>
      <c r="HE149" s="208">
        <v>84181151</v>
      </c>
      <c r="HF149" s="208">
        <v>3128595</v>
      </c>
      <c r="HG149" s="208">
        <v>87309746</v>
      </c>
      <c r="HH149" s="187" t="s">
        <v>742</v>
      </c>
    </row>
    <row r="150" spans="1:216" s="187" customFormat="1" x14ac:dyDescent="0.2">
      <c r="B150" s="429" t="s">
        <v>377</v>
      </c>
      <c r="C150" s="429" t="s">
        <v>376</v>
      </c>
      <c r="D150" s="208">
        <v>-999525</v>
      </c>
      <c r="E150" s="208">
        <v>0</v>
      </c>
      <c r="F150" s="208">
        <v>-999525</v>
      </c>
      <c r="G150" s="208">
        <v>242621</v>
      </c>
      <c r="H150" s="208">
        <v>0</v>
      </c>
      <c r="I150" s="208">
        <v>242621</v>
      </c>
      <c r="J150" s="208">
        <v>1021118</v>
      </c>
      <c r="K150" s="208">
        <v>0</v>
      </c>
      <c r="L150" s="208">
        <v>1021118</v>
      </c>
      <c r="M150" s="208">
        <v>58349</v>
      </c>
      <c r="N150" s="208">
        <v>0</v>
      </c>
      <c r="O150" s="208">
        <v>58349</v>
      </c>
      <c r="P150" s="208">
        <v>322563</v>
      </c>
      <c r="Q150" s="208">
        <v>0</v>
      </c>
      <c r="R150" s="208">
        <v>322563</v>
      </c>
      <c r="S150" s="208">
        <v>-3962340</v>
      </c>
      <c r="T150" s="208">
        <v>0</v>
      </c>
      <c r="U150" s="208">
        <v>-3962340</v>
      </c>
      <c r="V150" s="208">
        <v>-9811</v>
      </c>
      <c r="W150" s="208">
        <v>0</v>
      </c>
      <c r="X150" s="208">
        <v>-9811</v>
      </c>
      <c r="Y150" s="208">
        <v>-63721</v>
      </c>
      <c r="Z150" s="208">
        <v>0</v>
      </c>
      <c r="AA150" s="208">
        <v>-63721</v>
      </c>
      <c r="AB150" s="208">
        <v>12011</v>
      </c>
      <c r="AC150" s="208">
        <v>0</v>
      </c>
      <c r="AD150" s="208">
        <v>12011</v>
      </c>
      <c r="AE150" s="208">
        <v>-67417</v>
      </c>
      <c r="AF150" s="208">
        <v>0</v>
      </c>
      <c r="AG150" s="208">
        <v>-67417</v>
      </c>
      <c r="AH150" s="208">
        <v>-5462</v>
      </c>
      <c r="AI150" s="208">
        <v>0</v>
      </c>
      <c r="AJ150" s="208">
        <v>-5462</v>
      </c>
      <c r="AK150" s="208">
        <v>-1381</v>
      </c>
      <c r="AL150" s="208">
        <v>0</v>
      </c>
      <c r="AM150" s="208">
        <v>-1381</v>
      </c>
      <c r="AN150" s="208">
        <v>2263916</v>
      </c>
      <c r="AO150" s="208">
        <v>0</v>
      </c>
      <c r="AP150" s="208">
        <v>2263916</v>
      </c>
      <c r="AQ150" s="208">
        <v>-13695</v>
      </c>
      <c r="AR150" s="208">
        <v>0</v>
      </c>
      <c r="AS150" s="208">
        <v>-13695</v>
      </c>
      <c r="AT150" s="208">
        <v>-7991713</v>
      </c>
      <c r="AU150" s="208">
        <v>0</v>
      </c>
      <c r="AV150" s="208">
        <v>-7991713</v>
      </c>
      <c r="AW150" s="208">
        <v>-29338</v>
      </c>
      <c r="AX150" s="208">
        <v>0</v>
      </c>
      <c r="AY150" s="208">
        <v>-29338</v>
      </c>
      <c r="AZ150" s="208">
        <v>-130720</v>
      </c>
      <c r="BA150" s="208">
        <v>0</v>
      </c>
      <c r="BB150" s="208">
        <v>-130720</v>
      </c>
      <c r="BC150" s="208">
        <v>-6618</v>
      </c>
      <c r="BD150" s="208">
        <v>0</v>
      </c>
      <c r="BE150" s="208">
        <v>-6618</v>
      </c>
      <c r="BF150" s="208">
        <v>0</v>
      </c>
      <c r="BG150" s="208">
        <v>0</v>
      </c>
      <c r="BH150" s="208">
        <v>0</v>
      </c>
      <c r="BI150" s="208">
        <v>0</v>
      </c>
      <c r="BJ150" s="208">
        <v>0</v>
      </c>
      <c r="BK150" s="208">
        <v>0</v>
      </c>
      <c r="BL150" s="208">
        <v>-9934229</v>
      </c>
      <c r="BM150" s="208">
        <v>0</v>
      </c>
      <c r="BN150" s="208">
        <v>-9934229</v>
      </c>
      <c r="BO150" s="208">
        <v>0</v>
      </c>
      <c r="BP150" s="208">
        <v>0</v>
      </c>
      <c r="BQ150" s="208">
        <v>0</v>
      </c>
      <c r="BR150" s="208">
        <v>0</v>
      </c>
      <c r="BS150" s="208">
        <v>0</v>
      </c>
      <c r="BT150" s="208">
        <v>0</v>
      </c>
      <c r="BU150" s="208">
        <v>-2690039</v>
      </c>
      <c r="BV150" s="208">
        <v>0</v>
      </c>
      <c r="BW150" s="208">
        <v>-2690039</v>
      </c>
      <c r="BX150" s="208">
        <v>147090</v>
      </c>
      <c r="BY150" s="208">
        <v>0</v>
      </c>
      <c r="BZ150" s="208">
        <v>147090</v>
      </c>
      <c r="CA150" s="208">
        <v>-2542949</v>
      </c>
      <c r="CB150" s="208">
        <v>0</v>
      </c>
      <c r="CC150" s="208">
        <v>-2542949</v>
      </c>
      <c r="CD150" s="208">
        <v>-75313</v>
      </c>
      <c r="CE150" s="208">
        <v>0</v>
      </c>
      <c r="CF150" s="208">
        <v>-75313</v>
      </c>
      <c r="CG150" s="208">
        <v>-300</v>
      </c>
      <c r="CH150" s="208">
        <v>0</v>
      </c>
      <c r="CI150" s="208">
        <v>-300</v>
      </c>
      <c r="CJ150" s="208">
        <v>-401703</v>
      </c>
      <c r="CK150" s="208">
        <v>0</v>
      </c>
      <c r="CL150" s="208">
        <v>-401703</v>
      </c>
      <c r="CM150" s="208">
        <v>0</v>
      </c>
      <c r="CN150" s="208">
        <v>0</v>
      </c>
      <c r="CO150" s="208">
        <v>0</v>
      </c>
      <c r="CP150" s="208">
        <v>0</v>
      </c>
      <c r="CQ150" s="208">
        <v>0</v>
      </c>
      <c r="CR150" s="208">
        <v>0</v>
      </c>
      <c r="CS150" s="208">
        <v>0</v>
      </c>
      <c r="CT150" s="208">
        <v>0</v>
      </c>
      <c r="CU150" s="208">
        <v>0</v>
      </c>
      <c r="CV150" s="208">
        <v>0</v>
      </c>
      <c r="CW150" s="208">
        <v>0</v>
      </c>
      <c r="CX150" s="208">
        <v>0</v>
      </c>
      <c r="CY150" s="208">
        <v>0</v>
      </c>
      <c r="CZ150" s="208">
        <v>0</v>
      </c>
      <c r="DA150" s="208">
        <v>0</v>
      </c>
      <c r="DB150" s="208">
        <v>0</v>
      </c>
      <c r="DC150" s="208">
        <v>0</v>
      </c>
      <c r="DD150" s="208">
        <v>0</v>
      </c>
      <c r="DE150" s="208">
        <v>0</v>
      </c>
      <c r="DF150" s="208">
        <v>0</v>
      </c>
      <c r="DG150" s="208">
        <v>0</v>
      </c>
      <c r="DH150" s="208">
        <v>0</v>
      </c>
      <c r="DI150" s="208">
        <v>0</v>
      </c>
      <c r="DJ150" s="208">
        <v>0</v>
      </c>
      <c r="DK150" s="208">
        <v>0</v>
      </c>
      <c r="DL150" s="208">
        <v>0</v>
      </c>
      <c r="DM150" s="208">
        <v>0</v>
      </c>
      <c r="DN150" s="208">
        <v>0</v>
      </c>
      <c r="DO150" s="208">
        <v>0</v>
      </c>
      <c r="DP150" s="208">
        <v>-477316</v>
      </c>
      <c r="DQ150" s="208">
        <v>0</v>
      </c>
      <c r="DR150" s="208">
        <v>-477316</v>
      </c>
      <c r="DS150" s="208">
        <v>4684</v>
      </c>
      <c r="DT150" s="208">
        <v>0</v>
      </c>
      <c r="DU150" s="208">
        <v>4684</v>
      </c>
      <c r="DV150" s="208">
        <v>0</v>
      </c>
      <c r="DW150" s="208">
        <v>0</v>
      </c>
      <c r="DX150" s="208">
        <v>0</v>
      </c>
      <c r="DY150" s="208">
        <v>246</v>
      </c>
      <c r="DZ150" s="208">
        <v>0</v>
      </c>
      <c r="EA150" s="208">
        <v>246</v>
      </c>
      <c r="EB150" s="208">
        <v>0</v>
      </c>
      <c r="EC150" s="208">
        <v>0</v>
      </c>
      <c r="ED150" s="208">
        <v>0</v>
      </c>
      <c r="EE150" s="208">
        <v>0</v>
      </c>
      <c r="EF150" s="208">
        <v>0</v>
      </c>
      <c r="EG150" s="208">
        <v>0</v>
      </c>
      <c r="EH150" s="208">
        <v>0</v>
      </c>
      <c r="EI150" s="208">
        <v>0</v>
      </c>
      <c r="EJ150" s="208">
        <v>0</v>
      </c>
      <c r="EK150" s="208">
        <v>0</v>
      </c>
      <c r="EL150" s="208">
        <v>0</v>
      </c>
      <c r="EM150" s="208">
        <v>0</v>
      </c>
      <c r="EN150" s="208">
        <v>0</v>
      </c>
      <c r="EO150" s="208">
        <v>0</v>
      </c>
      <c r="EP150" s="208">
        <v>0</v>
      </c>
      <c r="EQ150" s="208">
        <v>0</v>
      </c>
      <c r="ER150" s="208">
        <v>0</v>
      </c>
      <c r="ES150" s="208">
        <v>0</v>
      </c>
      <c r="ET150" s="208">
        <v>0</v>
      </c>
      <c r="EU150" s="208">
        <v>0</v>
      </c>
      <c r="EV150" s="208">
        <v>0</v>
      </c>
      <c r="EW150" s="208">
        <v>-20147</v>
      </c>
      <c r="EX150" s="208">
        <v>0</v>
      </c>
      <c r="EY150" s="208">
        <v>-20147</v>
      </c>
      <c r="EZ150" s="208">
        <v>3596</v>
      </c>
      <c r="FA150" s="208">
        <v>0</v>
      </c>
      <c r="FB150" s="208">
        <v>3596</v>
      </c>
      <c r="FC150" s="208">
        <v>-156628</v>
      </c>
      <c r="FD150" s="208">
        <v>0</v>
      </c>
      <c r="FE150" s="208">
        <v>-156628</v>
      </c>
      <c r="FF150" s="208">
        <v>12250</v>
      </c>
      <c r="FG150" s="208">
        <v>0</v>
      </c>
      <c r="FH150" s="208">
        <v>12250</v>
      </c>
      <c r="FI150" s="208">
        <v>-40749</v>
      </c>
      <c r="FJ150" s="208">
        <v>0</v>
      </c>
      <c r="FK150" s="208">
        <v>-40749</v>
      </c>
      <c r="FL150" s="208">
        <v>2818</v>
      </c>
      <c r="FM150" s="208">
        <v>0</v>
      </c>
      <c r="FN150" s="208">
        <v>2818</v>
      </c>
      <c r="FO150" s="208">
        <v>0</v>
      </c>
      <c r="FP150" s="208">
        <v>0</v>
      </c>
      <c r="FQ150" s="208">
        <v>0</v>
      </c>
      <c r="FR150" s="208">
        <v>0</v>
      </c>
      <c r="FS150" s="208">
        <v>0</v>
      </c>
      <c r="FT150" s="208">
        <v>0</v>
      </c>
      <c r="FU150" s="208">
        <v>-193930</v>
      </c>
      <c r="FV150" s="208">
        <v>0</v>
      </c>
      <c r="FW150" s="208">
        <v>-193930</v>
      </c>
      <c r="FX150" s="208">
        <v>0</v>
      </c>
      <c r="FY150" s="208">
        <v>0</v>
      </c>
      <c r="FZ150" s="208">
        <v>0</v>
      </c>
      <c r="GA150" s="208">
        <v>0</v>
      </c>
      <c r="GB150" s="208">
        <v>0</v>
      </c>
      <c r="GC150" s="208">
        <v>0</v>
      </c>
      <c r="GD150" s="208">
        <v>0</v>
      </c>
      <c r="GE150" s="208">
        <v>0</v>
      </c>
      <c r="GF150" s="208">
        <v>0</v>
      </c>
      <c r="GG150" s="208">
        <v>99995345</v>
      </c>
      <c r="GH150" s="208">
        <v>0</v>
      </c>
      <c r="GI150" s="208">
        <v>99995345</v>
      </c>
      <c r="GJ150" s="208">
        <v>322563</v>
      </c>
      <c r="GK150" s="208">
        <v>0</v>
      </c>
      <c r="GL150" s="208">
        <v>322563</v>
      </c>
      <c r="GM150" s="208">
        <v>-9934229</v>
      </c>
      <c r="GN150" s="208">
        <v>0</v>
      </c>
      <c r="GO150" s="208">
        <v>-9934229</v>
      </c>
      <c r="GP150" s="208">
        <v>-2542949</v>
      </c>
      <c r="GQ150" s="208">
        <v>0</v>
      </c>
      <c r="GR150" s="208">
        <v>-2542949</v>
      </c>
      <c r="GS150" s="208">
        <v>-477316</v>
      </c>
      <c r="GT150" s="208">
        <v>0</v>
      </c>
      <c r="GU150" s="208">
        <v>-477316</v>
      </c>
      <c r="GV150" s="208">
        <v>-193930</v>
      </c>
      <c r="GW150" s="208">
        <v>0</v>
      </c>
      <c r="GX150" s="208">
        <v>-193930</v>
      </c>
      <c r="GY150" s="208">
        <v>0</v>
      </c>
      <c r="GZ150" s="208">
        <v>0</v>
      </c>
      <c r="HA150" s="208">
        <v>0</v>
      </c>
      <c r="HB150" s="208">
        <v>-12825861</v>
      </c>
      <c r="HC150" s="208">
        <v>0</v>
      </c>
      <c r="HD150" s="208">
        <v>-12825861</v>
      </c>
      <c r="HE150" s="208">
        <v>87169484</v>
      </c>
      <c r="HF150" s="208">
        <v>0</v>
      </c>
      <c r="HG150" s="208">
        <v>87169484</v>
      </c>
      <c r="HH150" s="187" t="s">
        <v>1055</v>
      </c>
    </row>
    <row r="151" spans="1:216" s="187" customFormat="1" x14ac:dyDescent="0.2">
      <c r="B151" s="429" t="s">
        <v>379</v>
      </c>
      <c r="C151" s="429" t="s">
        <v>378</v>
      </c>
      <c r="D151" s="208">
        <v>-2331616</v>
      </c>
      <c r="E151" s="208">
        <v>0</v>
      </c>
      <c r="F151" s="208">
        <v>-2331616</v>
      </c>
      <c r="G151" s="208">
        <v>29930</v>
      </c>
      <c r="H151" s="208">
        <v>0</v>
      </c>
      <c r="I151" s="208">
        <v>29930</v>
      </c>
      <c r="J151" s="208">
        <v>3768420</v>
      </c>
      <c r="K151" s="208">
        <v>0</v>
      </c>
      <c r="L151" s="208">
        <v>3768420</v>
      </c>
      <c r="M151" s="208">
        <v>-19616</v>
      </c>
      <c r="N151" s="208">
        <v>0</v>
      </c>
      <c r="O151" s="208">
        <v>-19616</v>
      </c>
      <c r="P151" s="208">
        <v>1447118</v>
      </c>
      <c r="Q151" s="208">
        <v>0</v>
      </c>
      <c r="R151" s="208">
        <v>1447118</v>
      </c>
      <c r="S151" s="208">
        <v>-19405332</v>
      </c>
      <c r="T151" s="208">
        <v>0</v>
      </c>
      <c r="U151" s="208">
        <v>-19405332</v>
      </c>
      <c r="V151" s="208">
        <v>-59802</v>
      </c>
      <c r="W151" s="208">
        <v>0</v>
      </c>
      <c r="X151" s="208">
        <v>-59802</v>
      </c>
      <c r="Y151" s="208">
        <v>-464888</v>
      </c>
      <c r="Z151" s="208">
        <v>0</v>
      </c>
      <c r="AA151" s="208">
        <v>-464888</v>
      </c>
      <c r="AB151" s="208">
        <v>-90318</v>
      </c>
      <c r="AC151" s="208">
        <v>0</v>
      </c>
      <c r="AD151" s="208">
        <v>-90318</v>
      </c>
      <c r="AE151" s="208">
        <v>-372171</v>
      </c>
      <c r="AF151" s="208">
        <v>0</v>
      </c>
      <c r="AG151" s="208">
        <v>-372171</v>
      </c>
      <c r="AH151" s="208">
        <v>1018</v>
      </c>
      <c r="AI151" s="208">
        <v>0</v>
      </c>
      <c r="AJ151" s="208">
        <v>1018</v>
      </c>
      <c r="AK151" s="208">
        <v>-9315</v>
      </c>
      <c r="AL151" s="208">
        <v>0</v>
      </c>
      <c r="AM151" s="208">
        <v>-9315</v>
      </c>
      <c r="AN151" s="208">
        <v>2329372</v>
      </c>
      <c r="AO151" s="208">
        <v>0</v>
      </c>
      <c r="AP151" s="208">
        <v>2329372</v>
      </c>
      <c r="AQ151" s="208">
        <v>71812</v>
      </c>
      <c r="AR151" s="208">
        <v>0</v>
      </c>
      <c r="AS151" s="208">
        <v>71812</v>
      </c>
      <c r="AT151" s="208">
        <v>-8868609</v>
      </c>
      <c r="AU151" s="208">
        <v>0</v>
      </c>
      <c r="AV151" s="208">
        <v>-8868609</v>
      </c>
      <c r="AW151" s="208">
        <v>17223</v>
      </c>
      <c r="AX151" s="208">
        <v>0</v>
      </c>
      <c r="AY151" s="208">
        <v>17223</v>
      </c>
      <c r="AZ151" s="208">
        <v>-142931</v>
      </c>
      <c r="BA151" s="208">
        <v>0</v>
      </c>
      <c r="BB151" s="208">
        <v>-142931</v>
      </c>
      <c r="BC151" s="208">
        <v>0</v>
      </c>
      <c r="BD151" s="208">
        <v>0</v>
      </c>
      <c r="BE151" s="208">
        <v>0</v>
      </c>
      <c r="BF151" s="208">
        <v>-4032</v>
      </c>
      <c r="BG151" s="208">
        <v>0</v>
      </c>
      <c r="BH151" s="208">
        <v>-4032</v>
      </c>
      <c r="BI151" s="208">
        <v>0</v>
      </c>
      <c r="BJ151" s="208">
        <v>0</v>
      </c>
      <c r="BK151" s="208">
        <v>0</v>
      </c>
      <c r="BL151" s="208">
        <v>-26467385</v>
      </c>
      <c r="BM151" s="208">
        <v>0</v>
      </c>
      <c r="BN151" s="208">
        <v>-26467385</v>
      </c>
      <c r="BO151" s="208">
        <v>-245</v>
      </c>
      <c r="BP151" s="208">
        <v>0</v>
      </c>
      <c r="BQ151" s="208">
        <v>-245</v>
      </c>
      <c r="BR151" s="208">
        <v>4175</v>
      </c>
      <c r="BS151" s="208">
        <v>0</v>
      </c>
      <c r="BT151" s="208">
        <v>4175</v>
      </c>
      <c r="BU151" s="208">
        <v>-4878026</v>
      </c>
      <c r="BV151" s="208">
        <v>0</v>
      </c>
      <c r="BW151" s="208">
        <v>-4878026</v>
      </c>
      <c r="BX151" s="208">
        <v>-81764</v>
      </c>
      <c r="BY151" s="208">
        <v>-27318</v>
      </c>
      <c r="BZ151" s="208">
        <v>-109082</v>
      </c>
      <c r="CA151" s="208">
        <v>-4955860</v>
      </c>
      <c r="CB151" s="208">
        <v>-27318</v>
      </c>
      <c r="CC151" s="208">
        <v>-4983178</v>
      </c>
      <c r="CD151" s="208">
        <v>-279610</v>
      </c>
      <c r="CE151" s="208">
        <v>0</v>
      </c>
      <c r="CF151" s="208">
        <v>-279610</v>
      </c>
      <c r="CG151" s="208">
        <v>-2522</v>
      </c>
      <c r="CH151" s="208">
        <v>0</v>
      </c>
      <c r="CI151" s="208">
        <v>-2522</v>
      </c>
      <c r="CJ151" s="208">
        <v>-97305</v>
      </c>
      <c r="CK151" s="208">
        <v>0</v>
      </c>
      <c r="CL151" s="208">
        <v>-97305</v>
      </c>
      <c r="CM151" s="208">
        <v>-16493</v>
      </c>
      <c r="CN151" s="208">
        <v>0</v>
      </c>
      <c r="CO151" s="208">
        <v>-16493</v>
      </c>
      <c r="CP151" s="208">
        <v>0</v>
      </c>
      <c r="CQ151" s="208">
        <v>0</v>
      </c>
      <c r="CR151" s="208">
        <v>0</v>
      </c>
      <c r="CS151" s="208">
        <v>0</v>
      </c>
      <c r="CT151" s="208">
        <v>0</v>
      </c>
      <c r="CU151" s="208">
        <v>0</v>
      </c>
      <c r="CV151" s="208">
        <v>0</v>
      </c>
      <c r="CW151" s="208">
        <v>0</v>
      </c>
      <c r="CX151" s="208">
        <v>0</v>
      </c>
      <c r="CY151" s="208">
        <v>0</v>
      </c>
      <c r="CZ151" s="208">
        <v>0</v>
      </c>
      <c r="DA151" s="208">
        <v>0</v>
      </c>
      <c r="DB151" s="208">
        <v>-87287</v>
      </c>
      <c r="DC151" s="208">
        <v>0</v>
      </c>
      <c r="DD151" s="208">
        <v>-87287</v>
      </c>
      <c r="DE151" s="208">
        <v>-120</v>
      </c>
      <c r="DF151" s="208">
        <v>0</v>
      </c>
      <c r="DG151" s="208">
        <v>-120</v>
      </c>
      <c r="DH151" s="208">
        <v>0</v>
      </c>
      <c r="DI151" s="208">
        <v>-102081</v>
      </c>
      <c r="DJ151" s="208">
        <v>-102081</v>
      </c>
      <c r="DK151" s="208">
        <v>0</v>
      </c>
      <c r="DL151" s="208">
        <v>-10720</v>
      </c>
      <c r="DM151" s="208">
        <v>-10720</v>
      </c>
      <c r="DN151" s="208">
        <v>-112801</v>
      </c>
      <c r="DO151" s="208">
        <v>0</v>
      </c>
      <c r="DP151" s="208">
        <v>-483337</v>
      </c>
      <c r="DQ151" s="208">
        <v>-112801</v>
      </c>
      <c r="DR151" s="208">
        <v>-596138</v>
      </c>
      <c r="DS151" s="208">
        <v>0</v>
      </c>
      <c r="DT151" s="208">
        <v>0</v>
      </c>
      <c r="DU151" s="208">
        <v>0</v>
      </c>
      <c r="DV151" s="208">
        <v>0</v>
      </c>
      <c r="DW151" s="208">
        <v>0</v>
      </c>
      <c r="DX151" s="208">
        <v>0</v>
      </c>
      <c r="DY151" s="208">
        <v>5351</v>
      </c>
      <c r="DZ151" s="208">
        <v>0</v>
      </c>
      <c r="EA151" s="208">
        <v>5351</v>
      </c>
      <c r="EB151" s="208">
        <v>0</v>
      </c>
      <c r="EC151" s="208">
        <v>0</v>
      </c>
      <c r="ED151" s="208">
        <v>0</v>
      </c>
      <c r="EE151" s="208">
        <v>0</v>
      </c>
      <c r="EF151" s="208">
        <v>0</v>
      </c>
      <c r="EG151" s="208">
        <v>0</v>
      </c>
      <c r="EH151" s="208">
        <v>0</v>
      </c>
      <c r="EI151" s="208">
        <v>0</v>
      </c>
      <c r="EJ151" s="208">
        <v>0</v>
      </c>
      <c r="EK151" s="208">
        <v>0</v>
      </c>
      <c r="EL151" s="208">
        <v>0</v>
      </c>
      <c r="EM151" s="208">
        <v>0</v>
      </c>
      <c r="EN151" s="208">
        <v>0</v>
      </c>
      <c r="EO151" s="208">
        <v>0</v>
      </c>
      <c r="EP151" s="208">
        <v>0</v>
      </c>
      <c r="EQ151" s="208">
        <v>-1500</v>
      </c>
      <c r="ER151" s="208">
        <v>0</v>
      </c>
      <c r="ES151" s="208">
        <v>-1500</v>
      </c>
      <c r="ET151" s="208">
        <v>0</v>
      </c>
      <c r="EU151" s="208">
        <v>0</v>
      </c>
      <c r="EV151" s="208">
        <v>0</v>
      </c>
      <c r="EW151" s="208">
        <v>-59708</v>
      </c>
      <c r="EX151" s="208">
        <v>0</v>
      </c>
      <c r="EY151" s="208">
        <v>-59708</v>
      </c>
      <c r="EZ151" s="208">
        <v>903</v>
      </c>
      <c r="FA151" s="208">
        <v>0</v>
      </c>
      <c r="FB151" s="208">
        <v>903</v>
      </c>
      <c r="FC151" s="208">
        <v>-161571</v>
      </c>
      <c r="FD151" s="208">
        <v>0</v>
      </c>
      <c r="FE151" s="208">
        <v>-161571</v>
      </c>
      <c r="FF151" s="208">
        <v>2855</v>
      </c>
      <c r="FG151" s="208">
        <v>0</v>
      </c>
      <c r="FH151" s="208">
        <v>2855</v>
      </c>
      <c r="FI151" s="208">
        <v>-111738</v>
      </c>
      <c r="FJ151" s="208">
        <v>0</v>
      </c>
      <c r="FK151" s="208">
        <v>-111738</v>
      </c>
      <c r="FL151" s="208">
        <v>-10964</v>
      </c>
      <c r="FM151" s="208">
        <v>0</v>
      </c>
      <c r="FN151" s="208">
        <v>-10964</v>
      </c>
      <c r="FO151" s="208">
        <v>0</v>
      </c>
      <c r="FP151" s="208">
        <v>0</v>
      </c>
      <c r="FQ151" s="208">
        <v>0</v>
      </c>
      <c r="FR151" s="208">
        <v>0</v>
      </c>
      <c r="FS151" s="208">
        <v>0</v>
      </c>
      <c r="FT151" s="208">
        <v>0</v>
      </c>
      <c r="FU151" s="208">
        <v>-336372</v>
      </c>
      <c r="FV151" s="208">
        <v>0</v>
      </c>
      <c r="FW151" s="208">
        <v>-336372</v>
      </c>
      <c r="FX151" s="208">
        <v>0</v>
      </c>
      <c r="FY151" s="208">
        <v>0</v>
      </c>
      <c r="FZ151" s="208">
        <v>0</v>
      </c>
      <c r="GA151" s="208">
        <v>0</v>
      </c>
      <c r="GB151" s="208">
        <v>0</v>
      </c>
      <c r="GC151" s="208">
        <v>0</v>
      </c>
      <c r="GD151" s="208">
        <v>0</v>
      </c>
      <c r="GE151" s="208">
        <v>0</v>
      </c>
      <c r="GF151" s="208">
        <v>0</v>
      </c>
      <c r="GG151" s="208">
        <v>136221081</v>
      </c>
      <c r="GH151" s="208">
        <v>212485</v>
      </c>
      <c r="GI151" s="208">
        <v>136433566</v>
      </c>
      <c r="GJ151" s="208">
        <v>1447118</v>
      </c>
      <c r="GK151" s="208">
        <v>0</v>
      </c>
      <c r="GL151" s="208">
        <v>1447118</v>
      </c>
      <c r="GM151" s="208">
        <v>-26467385</v>
      </c>
      <c r="GN151" s="208">
        <v>0</v>
      </c>
      <c r="GO151" s="208">
        <v>-26467385</v>
      </c>
      <c r="GP151" s="208">
        <v>-4955860</v>
      </c>
      <c r="GQ151" s="208">
        <v>-27318</v>
      </c>
      <c r="GR151" s="208">
        <v>-4983178</v>
      </c>
      <c r="GS151" s="208">
        <v>-483337</v>
      </c>
      <c r="GT151" s="208">
        <v>-112801</v>
      </c>
      <c r="GU151" s="208">
        <v>-596138</v>
      </c>
      <c r="GV151" s="208">
        <v>-336372</v>
      </c>
      <c r="GW151" s="208">
        <v>0</v>
      </c>
      <c r="GX151" s="208">
        <v>-336372</v>
      </c>
      <c r="GY151" s="208">
        <v>0</v>
      </c>
      <c r="GZ151" s="208">
        <v>0</v>
      </c>
      <c r="HA151" s="208">
        <v>0</v>
      </c>
      <c r="HB151" s="208">
        <v>-30795836</v>
      </c>
      <c r="HC151" s="208">
        <v>-140119</v>
      </c>
      <c r="HD151" s="208">
        <v>-30935955</v>
      </c>
      <c r="HE151" s="208">
        <v>105425245</v>
      </c>
      <c r="HF151" s="208">
        <v>72366</v>
      </c>
      <c r="HG151" s="208">
        <v>105497611</v>
      </c>
      <c r="HH151" s="187" t="s">
        <v>1056</v>
      </c>
    </row>
    <row r="152" spans="1:216" s="187" customFormat="1" x14ac:dyDescent="0.2">
      <c r="B152" s="429" t="s">
        <v>381</v>
      </c>
      <c r="C152" s="429" t="s">
        <v>380</v>
      </c>
      <c r="D152" s="208">
        <v>-2137410</v>
      </c>
      <c r="E152" s="208">
        <v>0</v>
      </c>
      <c r="F152" s="208">
        <v>-2137410</v>
      </c>
      <c r="G152" s="208">
        <v>161050</v>
      </c>
      <c r="H152" s="208">
        <v>0</v>
      </c>
      <c r="I152" s="208">
        <v>161050</v>
      </c>
      <c r="J152" s="208">
        <v>1176901</v>
      </c>
      <c r="K152" s="208">
        <v>0</v>
      </c>
      <c r="L152" s="208">
        <v>1176901</v>
      </c>
      <c r="M152" s="208">
        <v>-33299</v>
      </c>
      <c r="N152" s="208">
        <v>0</v>
      </c>
      <c r="O152" s="208">
        <v>-33299</v>
      </c>
      <c r="P152" s="208">
        <v>-832758</v>
      </c>
      <c r="Q152" s="208">
        <v>0</v>
      </c>
      <c r="R152" s="208">
        <v>-832758</v>
      </c>
      <c r="S152" s="208">
        <v>-3210289</v>
      </c>
      <c r="T152" s="208">
        <v>0</v>
      </c>
      <c r="U152" s="208">
        <v>-3210289</v>
      </c>
      <c r="V152" s="208">
        <v>-8582</v>
      </c>
      <c r="W152" s="208">
        <v>0</v>
      </c>
      <c r="X152" s="208">
        <v>-8582</v>
      </c>
      <c r="Y152" s="208">
        <v>-83614</v>
      </c>
      <c r="Z152" s="208">
        <v>0</v>
      </c>
      <c r="AA152" s="208">
        <v>-83614</v>
      </c>
      <c r="AB152" s="208">
        <v>-8324</v>
      </c>
      <c r="AC152" s="208">
        <v>0</v>
      </c>
      <c r="AD152" s="208">
        <v>-8324</v>
      </c>
      <c r="AE152" s="208">
        <v>-75291</v>
      </c>
      <c r="AF152" s="208">
        <v>0</v>
      </c>
      <c r="AG152" s="208">
        <v>-75291</v>
      </c>
      <c r="AH152" s="208">
        <v>0</v>
      </c>
      <c r="AI152" s="208">
        <v>0</v>
      </c>
      <c r="AJ152" s="208">
        <v>0</v>
      </c>
      <c r="AK152" s="208">
        <v>2801</v>
      </c>
      <c r="AL152" s="208">
        <v>0</v>
      </c>
      <c r="AM152" s="208">
        <v>2801</v>
      </c>
      <c r="AN152" s="208">
        <v>1095526</v>
      </c>
      <c r="AO152" s="208">
        <v>0</v>
      </c>
      <c r="AP152" s="208">
        <v>1095526</v>
      </c>
      <c r="AQ152" s="208">
        <v>50855</v>
      </c>
      <c r="AR152" s="208">
        <v>0</v>
      </c>
      <c r="AS152" s="208">
        <v>50855</v>
      </c>
      <c r="AT152" s="208">
        <v>-2508352</v>
      </c>
      <c r="AU152" s="208">
        <v>0</v>
      </c>
      <c r="AV152" s="208">
        <v>-2508352</v>
      </c>
      <c r="AW152" s="208">
        <v>131088</v>
      </c>
      <c r="AX152" s="208">
        <v>0</v>
      </c>
      <c r="AY152" s="208">
        <v>131088</v>
      </c>
      <c r="AZ152" s="208">
        <v>-8433</v>
      </c>
      <c r="BA152" s="208">
        <v>0</v>
      </c>
      <c r="BB152" s="208">
        <v>-8433</v>
      </c>
      <c r="BC152" s="208">
        <v>3947</v>
      </c>
      <c r="BD152" s="208">
        <v>0</v>
      </c>
      <c r="BE152" s="208">
        <v>3947</v>
      </c>
      <c r="BF152" s="208">
        <v>0</v>
      </c>
      <c r="BG152" s="208">
        <v>0</v>
      </c>
      <c r="BH152" s="208">
        <v>0</v>
      </c>
      <c r="BI152" s="208">
        <v>0</v>
      </c>
      <c r="BJ152" s="208">
        <v>0</v>
      </c>
      <c r="BK152" s="208">
        <v>0</v>
      </c>
      <c r="BL152" s="208">
        <v>-4529272</v>
      </c>
      <c r="BM152" s="208">
        <v>0</v>
      </c>
      <c r="BN152" s="208">
        <v>-4529272</v>
      </c>
      <c r="BO152" s="208">
        <v>0</v>
      </c>
      <c r="BP152" s="208">
        <v>0</v>
      </c>
      <c r="BQ152" s="208">
        <v>0</v>
      </c>
      <c r="BR152" s="208">
        <v>0</v>
      </c>
      <c r="BS152" s="208">
        <v>0</v>
      </c>
      <c r="BT152" s="208">
        <v>0</v>
      </c>
      <c r="BU152" s="208">
        <v>-897417</v>
      </c>
      <c r="BV152" s="208">
        <v>0</v>
      </c>
      <c r="BW152" s="208">
        <v>-897417</v>
      </c>
      <c r="BX152" s="208">
        <v>100202</v>
      </c>
      <c r="BY152" s="208">
        <v>0</v>
      </c>
      <c r="BZ152" s="208">
        <v>100202</v>
      </c>
      <c r="CA152" s="208">
        <v>-797215</v>
      </c>
      <c r="CB152" s="208">
        <v>0</v>
      </c>
      <c r="CC152" s="208">
        <v>-797215</v>
      </c>
      <c r="CD152" s="208">
        <v>-221148</v>
      </c>
      <c r="CE152" s="208">
        <v>0</v>
      </c>
      <c r="CF152" s="208">
        <v>-221148</v>
      </c>
      <c r="CG152" s="208">
        <v>1322</v>
      </c>
      <c r="CH152" s="208">
        <v>0</v>
      </c>
      <c r="CI152" s="208">
        <v>1322</v>
      </c>
      <c r="CJ152" s="208">
        <v>-800340</v>
      </c>
      <c r="CK152" s="208">
        <v>0</v>
      </c>
      <c r="CL152" s="208">
        <v>-800340</v>
      </c>
      <c r="CM152" s="208">
        <v>-8864</v>
      </c>
      <c r="CN152" s="208">
        <v>0</v>
      </c>
      <c r="CO152" s="208">
        <v>-8864</v>
      </c>
      <c r="CP152" s="208">
        <v>0</v>
      </c>
      <c r="CQ152" s="208">
        <v>0</v>
      </c>
      <c r="CR152" s="208">
        <v>0</v>
      </c>
      <c r="CS152" s="208">
        <v>0</v>
      </c>
      <c r="CT152" s="208">
        <v>0</v>
      </c>
      <c r="CU152" s="208">
        <v>0</v>
      </c>
      <c r="CV152" s="208">
        <v>0</v>
      </c>
      <c r="CW152" s="208">
        <v>0</v>
      </c>
      <c r="CX152" s="208">
        <v>0</v>
      </c>
      <c r="CY152" s="208">
        <v>0</v>
      </c>
      <c r="CZ152" s="208">
        <v>0</v>
      </c>
      <c r="DA152" s="208">
        <v>0</v>
      </c>
      <c r="DB152" s="208">
        <v>0</v>
      </c>
      <c r="DC152" s="208">
        <v>0</v>
      </c>
      <c r="DD152" s="208">
        <v>0</v>
      </c>
      <c r="DE152" s="208">
        <v>0</v>
      </c>
      <c r="DF152" s="208">
        <v>0</v>
      </c>
      <c r="DG152" s="208">
        <v>0</v>
      </c>
      <c r="DH152" s="208">
        <v>0</v>
      </c>
      <c r="DI152" s="208">
        <v>0</v>
      </c>
      <c r="DJ152" s="208">
        <v>0</v>
      </c>
      <c r="DK152" s="208">
        <v>0</v>
      </c>
      <c r="DL152" s="208">
        <v>0</v>
      </c>
      <c r="DM152" s="208">
        <v>0</v>
      </c>
      <c r="DN152" s="208">
        <v>0</v>
      </c>
      <c r="DO152" s="208">
        <v>0</v>
      </c>
      <c r="DP152" s="208">
        <v>-1029030</v>
      </c>
      <c r="DQ152" s="208">
        <v>0</v>
      </c>
      <c r="DR152" s="208">
        <v>-1029030</v>
      </c>
      <c r="DS152" s="208">
        <v>0</v>
      </c>
      <c r="DT152" s="208">
        <v>0</v>
      </c>
      <c r="DU152" s="208">
        <v>0</v>
      </c>
      <c r="DV152" s="208">
        <v>144</v>
      </c>
      <c r="DW152" s="208">
        <v>0</v>
      </c>
      <c r="DX152" s="208">
        <v>144</v>
      </c>
      <c r="DY152" s="208">
        <v>0</v>
      </c>
      <c r="DZ152" s="208">
        <v>0</v>
      </c>
      <c r="EA152" s="208">
        <v>0</v>
      </c>
      <c r="EB152" s="208">
        <v>0</v>
      </c>
      <c r="EC152" s="208">
        <v>0</v>
      </c>
      <c r="ED152" s="208">
        <v>0</v>
      </c>
      <c r="EE152" s="208">
        <v>0</v>
      </c>
      <c r="EF152" s="208">
        <v>0</v>
      </c>
      <c r="EG152" s="208">
        <v>0</v>
      </c>
      <c r="EH152" s="208">
        <v>0</v>
      </c>
      <c r="EI152" s="208">
        <v>0</v>
      </c>
      <c r="EJ152" s="208">
        <v>0</v>
      </c>
      <c r="EK152" s="208">
        <v>0</v>
      </c>
      <c r="EL152" s="208">
        <v>0</v>
      </c>
      <c r="EM152" s="208">
        <v>0</v>
      </c>
      <c r="EN152" s="208">
        <v>0</v>
      </c>
      <c r="EO152" s="208">
        <v>0</v>
      </c>
      <c r="EP152" s="208">
        <v>0</v>
      </c>
      <c r="EQ152" s="208">
        <v>0</v>
      </c>
      <c r="ER152" s="208">
        <v>0</v>
      </c>
      <c r="ES152" s="208">
        <v>0</v>
      </c>
      <c r="ET152" s="208">
        <v>0</v>
      </c>
      <c r="EU152" s="208">
        <v>0</v>
      </c>
      <c r="EV152" s="208">
        <v>0</v>
      </c>
      <c r="EW152" s="208">
        <v>-7386</v>
      </c>
      <c r="EX152" s="208">
        <v>0</v>
      </c>
      <c r="EY152" s="208">
        <v>-7386</v>
      </c>
      <c r="EZ152" s="208">
        <v>1036</v>
      </c>
      <c r="FA152" s="208">
        <v>0</v>
      </c>
      <c r="FB152" s="208">
        <v>1036</v>
      </c>
      <c r="FC152" s="208">
        <v>-91317</v>
      </c>
      <c r="FD152" s="208">
        <v>0</v>
      </c>
      <c r="FE152" s="208">
        <v>-91317</v>
      </c>
      <c r="FF152" s="208">
        <v>2568</v>
      </c>
      <c r="FG152" s="208">
        <v>0</v>
      </c>
      <c r="FH152" s="208">
        <v>2568</v>
      </c>
      <c r="FI152" s="208">
        <v>-10000</v>
      </c>
      <c r="FJ152" s="208">
        <v>0</v>
      </c>
      <c r="FK152" s="208">
        <v>-10000</v>
      </c>
      <c r="FL152" s="208">
        <v>-1000</v>
      </c>
      <c r="FM152" s="208">
        <v>0</v>
      </c>
      <c r="FN152" s="208">
        <v>-1000</v>
      </c>
      <c r="FO152" s="208">
        <v>0</v>
      </c>
      <c r="FP152" s="208">
        <v>0</v>
      </c>
      <c r="FQ152" s="208">
        <v>0</v>
      </c>
      <c r="FR152" s="208">
        <v>0</v>
      </c>
      <c r="FS152" s="208">
        <v>0</v>
      </c>
      <c r="FT152" s="208">
        <v>0</v>
      </c>
      <c r="FU152" s="208">
        <v>-105955</v>
      </c>
      <c r="FV152" s="208">
        <v>0</v>
      </c>
      <c r="FW152" s="208">
        <v>-105955</v>
      </c>
      <c r="FX152" s="208">
        <v>0</v>
      </c>
      <c r="FY152" s="208">
        <v>0</v>
      </c>
      <c r="FZ152" s="208">
        <v>0</v>
      </c>
      <c r="GA152" s="208">
        <v>0</v>
      </c>
      <c r="GB152" s="208">
        <v>0</v>
      </c>
      <c r="GC152" s="208">
        <v>0</v>
      </c>
      <c r="GD152" s="208">
        <v>0</v>
      </c>
      <c r="GE152" s="208">
        <v>0</v>
      </c>
      <c r="GF152" s="208">
        <v>0</v>
      </c>
      <c r="GG152" s="208">
        <v>50342119</v>
      </c>
      <c r="GH152" s="208">
        <v>0</v>
      </c>
      <c r="GI152" s="208">
        <v>50342119</v>
      </c>
      <c r="GJ152" s="208">
        <v>-832758</v>
      </c>
      <c r="GK152" s="208">
        <v>0</v>
      </c>
      <c r="GL152" s="208">
        <v>-832758</v>
      </c>
      <c r="GM152" s="208">
        <v>-4529272</v>
      </c>
      <c r="GN152" s="208">
        <v>0</v>
      </c>
      <c r="GO152" s="208">
        <v>-4529272</v>
      </c>
      <c r="GP152" s="208">
        <v>-797215</v>
      </c>
      <c r="GQ152" s="208">
        <v>0</v>
      </c>
      <c r="GR152" s="208">
        <v>-797215</v>
      </c>
      <c r="GS152" s="208">
        <v>-1029030</v>
      </c>
      <c r="GT152" s="208">
        <v>0</v>
      </c>
      <c r="GU152" s="208">
        <v>-1029030</v>
      </c>
      <c r="GV152" s="208">
        <v>-105955</v>
      </c>
      <c r="GW152" s="208">
        <v>0</v>
      </c>
      <c r="GX152" s="208">
        <v>-105955</v>
      </c>
      <c r="GY152" s="208">
        <v>0</v>
      </c>
      <c r="GZ152" s="208">
        <v>0</v>
      </c>
      <c r="HA152" s="208">
        <v>0</v>
      </c>
      <c r="HB152" s="208">
        <v>-7294230</v>
      </c>
      <c r="HC152" s="208">
        <v>0</v>
      </c>
      <c r="HD152" s="208">
        <v>-7294230</v>
      </c>
      <c r="HE152" s="208">
        <v>43047889</v>
      </c>
      <c r="HF152" s="208">
        <v>0</v>
      </c>
      <c r="HG152" s="208">
        <v>43047889</v>
      </c>
      <c r="HH152" s="187" t="s">
        <v>1056</v>
      </c>
    </row>
    <row r="153" spans="1:216" s="187" customFormat="1" x14ac:dyDescent="0.2">
      <c r="B153" s="429" t="s">
        <v>383</v>
      </c>
      <c r="C153" s="429" t="s">
        <v>382</v>
      </c>
      <c r="D153" s="208">
        <v>-12791017</v>
      </c>
      <c r="E153" s="208">
        <v>-465</v>
      </c>
      <c r="F153" s="208">
        <v>-12791482</v>
      </c>
      <c r="G153" s="208">
        <v>-280833</v>
      </c>
      <c r="H153" s="208">
        <v>0</v>
      </c>
      <c r="I153" s="208">
        <v>-280833</v>
      </c>
      <c r="J153" s="208">
        <v>1090681</v>
      </c>
      <c r="K153" s="208">
        <v>133232</v>
      </c>
      <c r="L153" s="208">
        <v>1223913</v>
      </c>
      <c r="M153" s="208">
        <v>73307</v>
      </c>
      <c r="N153" s="208">
        <v>0</v>
      </c>
      <c r="O153" s="208">
        <v>73307</v>
      </c>
      <c r="P153" s="208">
        <v>-11907862</v>
      </c>
      <c r="Q153" s="208">
        <v>132767</v>
      </c>
      <c r="R153" s="208">
        <v>-11775095</v>
      </c>
      <c r="S153" s="208">
        <v>-7717736</v>
      </c>
      <c r="T153" s="208">
        <v>0</v>
      </c>
      <c r="U153" s="208">
        <v>-7717736</v>
      </c>
      <c r="V153" s="208">
        <v>0</v>
      </c>
      <c r="W153" s="208">
        <v>0</v>
      </c>
      <c r="X153" s="208">
        <v>0</v>
      </c>
      <c r="Y153" s="208">
        <v>-55242</v>
      </c>
      <c r="Z153" s="208">
        <v>0</v>
      </c>
      <c r="AA153" s="208">
        <v>-55242</v>
      </c>
      <c r="AB153" s="208">
        <v>-17321</v>
      </c>
      <c r="AC153" s="208">
        <v>0</v>
      </c>
      <c r="AD153" s="208">
        <v>-17321</v>
      </c>
      <c r="AE153" s="208">
        <v>-38621</v>
      </c>
      <c r="AF153" s="208">
        <v>0</v>
      </c>
      <c r="AG153" s="208">
        <v>-38621</v>
      </c>
      <c r="AH153" s="208">
        <v>0</v>
      </c>
      <c r="AI153" s="208">
        <v>0</v>
      </c>
      <c r="AJ153" s="208">
        <v>0</v>
      </c>
      <c r="AK153" s="208">
        <v>0</v>
      </c>
      <c r="AL153" s="208">
        <v>0</v>
      </c>
      <c r="AM153" s="208">
        <v>0</v>
      </c>
      <c r="AN153" s="208">
        <v>4310959</v>
      </c>
      <c r="AO153" s="208">
        <v>42450</v>
      </c>
      <c r="AP153" s="208">
        <v>4353409</v>
      </c>
      <c r="AQ153" s="208">
        <v>86060</v>
      </c>
      <c r="AR153" s="208">
        <v>-20902</v>
      </c>
      <c r="AS153" s="208">
        <v>65158</v>
      </c>
      <c r="AT153" s="208">
        <v>-20722610</v>
      </c>
      <c r="AU153" s="208">
        <v>0</v>
      </c>
      <c r="AV153" s="208">
        <v>-20722610</v>
      </c>
      <c r="AW153" s="208">
        <v>-136615</v>
      </c>
      <c r="AX153" s="208">
        <v>0</v>
      </c>
      <c r="AY153" s="208">
        <v>-136615</v>
      </c>
      <c r="AZ153" s="208">
        <v>-7789</v>
      </c>
      <c r="BA153" s="208">
        <v>0</v>
      </c>
      <c r="BB153" s="208">
        <v>-7789</v>
      </c>
      <c r="BC153" s="208">
        <v>0</v>
      </c>
      <c r="BD153" s="208">
        <v>0</v>
      </c>
      <c r="BE153" s="208">
        <v>0</v>
      </c>
      <c r="BF153" s="208">
        <v>0</v>
      </c>
      <c r="BG153" s="208">
        <v>0</v>
      </c>
      <c r="BH153" s="208">
        <v>0</v>
      </c>
      <c r="BI153" s="208">
        <v>0</v>
      </c>
      <c r="BJ153" s="208">
        <v>0</v>
      </c>
      <c r="BK153" s="208">
        <v>0</v>
      </c>
      <c r="BL153" s="208">
        <v>-24242973</v>
      </c>
      <c r="BM153" s="208">
        <v>21548</v>
      </c>
      <c r="BN153" s="208">
        <v>-24221425</v>
      </c>
      <c r="BO153" s="208">
        <v>-164151</v>
      </c>
      <c r="BP153" s="208">
        <v>0</v>
      </c>
      <c r="BQ153" s="208">
        <v>-164151</v>
      </c>
      <c r="BR153" s="208">
        <v>-4212</v>
      </c>
      <c r="BS153" s="208">
        <v>0</v>
      </c>
      <c r="BT153" s="208">
        <v>-4212</v>
      </c>
      <c r="BU153" s="208">
        <v>-4111412</v>
      </c>
      <c r="BV153" s="208">
        <v>-51153</v>
      </c>
      <c r="BW153" s="208">
        <v>-4162565</v>
      </c>
      <c r="BX153" s="208">
        <v>-278089</v>
      </c>
      <c r="BY153" s="208">
        <v>484</v>
      </c>
      <c r="BZ153" s="208">
        <v>-277605</v>
      </c>
      <c r="CA153" s="208">
        <v>-4557864</v>
      </c>
      <c r="CB153" s="208">
        <v>-50669</v>
      </c>
      <c r="CC153" s="208">
        <v>-4608533</v>
      </c>
      <c r="CD153" s="208">
        <v>-271469</v>
      </c>
      <c r="CE153" s="208">
        <v>0</v>
      </c>
      <c r="CF153" s="208">
        <v>-271469</v>
      </c>
      <c r="CG153" s="208">
        <v>-14578</v>
      </c>
      <c r="CH153" s="208">
        <v>0</v>
      </c>
      <c r="CI153" s="208">
        <v>-14578</v>
      </c>
      <c r="CJ153" s="208">
        <v>-432905</v>
      </c>
      <c r="CK153" s="208">
        <v>0</v>
      </c>
      <c r="CL153" s="208">
        <v>-432905</v>
      </c>
      <c r="CM153" s="208">
        <v>49696</v>
      </c>
      <c r="CN153" s="208">
        <v>0</v>
      </c>
      <c r="CO153" s="208">
        <v>49696</v>
      </c>
      <c r="CP153" s="208">
        <v>0</v>
      </c>
      <c r="CQ153" s="208">
        <v>0</v>
      </c>
      <c r="CR153" s="208">
        <v>0</v>
      </c>
      <c r="CS153" s="208">
        <v>0</v>
      </c>
      <c r="CT153" s="208">
        <v>0</v>
      </c>
      <c r="CU153" s="208">
        <v>0</v>
      </c>
      <c r="CV153" s="208">
        <v>0</v>
      </c>
      <c r="CW153" s="208">
        <v>0</v>
      </c>
      <c r="CX153" s="208">
        <v>0</v>
      </c>
      <c r="CY153" s="208">
        <v>0</v>
      </c>
      <c r="CZ153" s="208">
        <v>0</v>
      </c>
      <c r="DA153" s="208">
        <v>0</v>
      </c>
      <c r="DB153" s="208">
        <v>0</v>
      </c>
      <c r="DC153" s="208">
        <v>0</v>
      </c>
      <c r="DD153" s="208">
        <v>0</v>
      </c>
      <c r="DE153" s="208">
        <v>0</v>
      </c>
      <c r="DF153" s="208">
        <v>0</v>
      </c>
      <c r="DG153" s="208">
        <v>0</v>
      </c>
      <c r="DH153" s="208">
        <v>0</v>
      </c>
      <c r="DI153" s="208">
        <v>0</v>
      </c>
      <c r="DJ153" s="208">
        <v>0</v>
      </c>
      <c r="DK153" s="208">
        <v>0</v>
      </c>
      <c r="DL153" s="208">
        <v>0</v>
      </c>
      <c r="DM153" s="208">
        <v>0</v>
      </c>
      <c r="DN153" s="208">
        <v>0</v>
      </c>
      <c r="DO153" s="208">
        <v>0</v>
      </c>
      <c r="DP153" s="208">
        <v>-669256</v>
      </c>
      <c r="DQ153" s="208">
        <v>0</v>
      </c>
      <c r="DR153" s="208">
        <v>-669256</v>
      </c>
      <c r="DS153" s="208">
        <v>0</v>
      </c>
      <c r="DT153" s="208">
        <v>0</v>
      </c>
      <c r="DU153" s="208">
        <v>0</v>
      </c>
      <c r="DV153" s="208">
        <v>0</v>
      </c>
      <c r="DW153" s="208">
        <v>0</v>
      </c>
      <c r="DX153" s="208">
        <v>0</v>
      </c>
      <c r="DY153" s="208">
        <v>-481</v>
      </c>
      <c r="DZ153" s="208">
        <v>0</v>
      </c>
      <c r="EA153" s="208">
        <v>-481</v>
      </c>
      <c r="EB153" s="208">
        <v>0</v>
      </c>
      <c r="EC153" s="208">
        <v>0</v>
      </c>
      <c r="ED153" s="208">
        <v>0</v>
      </c>
      <c r="EE153" s="208">
        <v>0</v>
      </c>
      <c r="EF153" s="208">
        <v>0</v>
      </c>
      <c r="EG153" s="208">
        <v>0</v>
      </c>
      <c r="EH153" s="208">
        <v>0</v>
      </c>
      <c r="EI153" s="208">
        <v>0</v>
      </c>
      <c r="EJ153" s="208">
        <v>0</v>
      </c>
      <c r="EK153" s="208">
        <v>0</v>
      </c>
      <c r="EL153" s="208">
        <v>0</v>
      </c>
      <c r="EM153" s="208">
        <v>0</v>
      </c>
      <c r="EN153" s="208">
        <v>0</v>
      </c>
      <c r="EO153" s="208">
        <v>0</v>
      </c>
      <c r="EP153" s="208">
        <v>0</v>
      </c>
      <c r="EQ153" s="208">
        <v>0</v>
      </c>
      <c r="ER153" s="208">
        <v>0</v>
      </c>
      <c r="ES153" s="208">
        <v>0</v>
      </c>
      <c r="ET153" s="208">
        <v>0</v>
      </c>
      <c r="EU153" s="208">
        <v>0</v>
      </c>
      <c r="EV153" s="208">
        <v>0</v>
      </c>
      <c r="EW153" s="208">
        <v>-349492</v>
      </c>
      <c r="EX153" s="208">
        <v>0</v>
      </c>
      <c r="EY153" s="208">
        <v>-349492</v>
      </c>
      <c r="EZ153" s="208">
        <v>-2642</v>
      </c>
      <c r="FA153" s="208">
        <v>0</v>
      </c>
      <c r="FB153" s="208">
        <v>-2642</v>
      </c>
      <c r="FC153" s="208">
        <v>-1336446</v>
      </c>
      <c r="FD153" s="208">
        <v>0</v>
      </c>
      <c r="FE153" s="208">
        <v>-1336446</v>
      </c>
      <c r="FF153" s="208">
        <v>-268683</v>
      </c>
      <c r="FG153" s="208">
        <v>18</v>
      </c>
      <c r="FH153" s="208">
        <v>-268665</v>
      </c>
      <c r="FI153" s="208">
        <v>-88264</v>
      </c>
      <c r="FJ153" s="208">
        <v>0</v>
      </c>
      <c r="FK153" s="208">
        <v>-88264</v>
      </c>
      <c r="FL153" s="208">
        <v>-7218</v>
      </c>
      <c r="FM153" s="208">
        <v>0</v>
      </c>
      <c r="FN153" s="208">
        <v>-7218</v>
      </c>
      <c r="FO153" s="208">
        <v>0</v>
      </c>
      <c r="FP153" s="208">
        <v>0</v>
      </c>
      <c r="FQ153" s="208">
        <v>0</v>
      </c>
      <c r="FR153" s="208">
        <v>0</v>
      </c>
      <c r="FS153" s="208">
        <v>0</v>
      </c>
      <c r="FT153" s="208">
        <v>0</v>
      </c>
      <c r="FU153" s="208">
        <v>-2053226</v>
      </c>
      <c r="FV153" s="208">
        <v>18</v>
      </c>
      <c r="FW153" s="208">
        <v>-2053208</v>
      </c>
      <c r="FX153" s="208">
        <v>0</v>
      </c>
      <c r="FY153" s="208">
        <v>0</v>
      </c>
      <c r="FZ153" s="208">
        <v>0</v>
      </c>
      <c r="GA153" s="208">
        <v>0</v>
      </c>
      <c r="GB153" s="208">
        <v>0</v>
      </c>
      <c r="GC153" s="208">
        <v>0</v>
      </c>
      <c r="GD153" s="208">
        <v>0</v>
      </c>
      <c r="GE153" s="208">
        <v>0</v>
      </c>
      <c r="GF153" s="208">
        <v>0</v>
      </c>
      <c r="GG153" s="208">
        <v>203523089</v>
      </c>
      <c r="GH153" s="208">
        <v>958501</v>
      </c>
      <c r="GI153" s="208">
        <v>204481590</v>
      </c>
      <c r="GJ153" s="208">
        <v>-11907862</v>
      </c>
      <c r="GK153" s="208">
        <v>132767</v>
      </c>
      <c r="GL153" s="208">
        <v>-11775095</v>
      </c>
      <c r="GM153" s="208">
        <v>-24242973</v>
      </c>
      <c r="GN153" s="208">
        <v>21548</v>
      </c>
      <c r="GO153" s="208">
        <v>-24221425</v>
      </c>
      <c r="GP153" s="208">
        <v>-4557864</v>
      </c>
      <c r="GQ153" s="208">
        <v>-50669</v>
      </c>
      <c r="GR153" s="208">
        <v>-4608533</v>
      </c>
      <c r="GS153" s="208">
        <v>-669256</v>
      </c>
      <c r="GT153" s="208">
        <v>0</v>
      </c>
      <c r="GU153" s="208">
        <v>-669256</v>
      </c>
      <c r="GV153" s="208">
        <v>-2053226</v>
      </c>
      <c r="GW153" s="208">
        <v>18</v>
      </c>
      <c r="GX153" s="208">
        <v>-2053208</v>
      </c>
      <c r="GY153" s="208">
        <v>0</v>
      </c>
      <c r="GZ153" s="208">
        <v>0</v>
      </c>
      <c r="HA153" s="208">
        <v>0</v>
      </c>
      <c r="HB153" s="208">
        <v>-43431181</v>
      </c>
      <c r="HC153" s="208">
        <v>103664</v>
      </c>
      <c r="HD153" s="208">
        <v>-43327517</v>
      </c>
      <c r="HE153" s="208">
        <v>160091908</v>
      </c>
      <c r="HF153" s="208">
        <v>1062165</v>
      </c>
      <c r="HG153" s="208">
        <v>161154073</v>
      </c>
      <c r="HH153" s="187" t="s">
        <v>1057</v>
      </c>
    </row>
    <row r="154" spans="1:216" s="187" customFormat="1" x14ac:dyDescent="0.2">
      <c r="B154" s="429" t="s">
        <v>385</v>
      </c>
      <c r="C154" s="429" t="s">
        <v>384</v>
      </c>
      <c r="D154" s="208">
        <v>-821425</v>
      </c>
      <c r="E154" s="208">
        <v>0</v>
      </c>
      <c r="F154" s="208">
        <v>-821425</v>
      </c>
      <c r="G154" s="208">
        <v>-8218</v>
      </c>
      <c r="H154" s="208">
        <v>0</v>
      </c>
      <c r="I154" s="208">
        <v>-8218</v>
      </c>
      <c r="J154" s="208">
        <v>1235686</v>
      </c>
      <c r="K154" s="208">
        <v>0</v>
      </c>
      <c r="L154" s="208">
        <v>1235686</v>
      </c>
      <c r="M154" s="208">
        <v>-26868</v>
      </c>
      <c r="N154" s="208">
        <v>0</v>
      </c>
      <c r="O154" s="208">
        <v>-26868</v>
      </c>
      <c r="P154" s="208">
        <v>379175</v>
      </c>
      <c r="Q154" s="208">
        <v>0</v>
      </c>
      <c r="R154" s="208">
        <v>379175</v>
      </c>
      <c r="S154" s="208">
        <v>-4891016</v>
      </c>
      <c r="T154" s="208">
        <v>0</v>
      </c>
      <c r="U154" s="208">
        <v>-4891016</v>
      </c>
      <c r="V154" s="208">
        <v>-47241</v>
      </c>
      <c r="W154" s="208">
        <v>0</v>
      </c>
      <c r="X154" s="208">
        <v>-47241</v>
      </c>
      <c r="Y154" s="208">
        <v>32721</v>
      </c>
      <c r="Z154" s="208">
        <v>0</v>
      </c>
      <c r="AA154" s="208">
        <v>32721</v>
      </c>
      <c r="AB154" s="208">
        <v>40428</v>
      </c>
      <c r="AC154" s="208">
        <v>0</v>
      </c>
      <c r="AD154" s="208">
        <v>40428</v>
      </c>
      <c r="AE154" s="208">
        <v>-24792</v>
      </c>
      <c r="AF154" s="208">
        <v>0</v>
      </c>
      <c r="AG154" s="208">
        <v>-24792</v>
      </c>
      <c r="AH154" s="208">
        <v>0</v>
      </c>
      <c r="AI154" s="208">
        <v>0</v>
      </c>
      <c r="AJ154" s="208">
        <v>0</v>
      </c>
      <c r="AK154" s="208">
        <v>-12263</v>
      </c>
      <c r="AL154" s="208">
        <v>0</v>
      </c>
      <c r="AM154" s="208">
        <v>-12263</v>
      </c>
      <c r="AN154" s="208">
        <v>1595221</v>
      </c>
      <c r="AO154" s="208">
        <v>0</v>
      </c>
      <c r="AP154" s="208">
        <v>1595221</v>
      </c>
      <c r="AQ154" s="208">
        <v>-2370</v>
      </c>
      <c r="AR154" s="208">
        <v>0</v>
      </c>
      <c r="AS154" s="208">
        <v>-2370</v>
      </c>
      <c r="AT154" s="208">
        <v>-4466009</v>
      </c>
      <c r="AU154" s="208">
        <v>0</v>
      </c>
      <c r="AV154" s="208">
        <v>-4466009</v>
      </c>
      <c r="AW154" s="208">
        <v>-55738</v>
      </c>
      <c r="AX154" s="208">
        <v>0</v>
      </c>
      <c r="AY154" s="208">
        <v>-55738</v>
      </c>
      <c r="AZ154" s="208">
        <v>-47729</v>
      </c>
      <c r="BA154" s="208">
        <v>0</v>
      </c>
      <c r="BB154" s="208">
        <v>-47729</v>
      </c>
      <c r="BC154" s="208">
        <v>0</v>
      </c>
      <c r="BD154" s="208">
        <v>0</v>
      </c>
      <c r="BE154" s="208">
        <v>0</v>
      </c>
      <c r="BF154" s="208">
        <v>-25710</v>
      </c>
      <c r="BG154" s="208">
        <v>0</v>
      </c>
      <c r="BH154" s="208">
        <v>-25710</v>
      </c>
      <c r="BI154" s="208">
        <v>0</v>
      </c>
      <c r="BJ154" s="208">
        <v>0</v>
      </c>
      <c r="BK154" s="208">
        <v>0</v>
      </c>
      <c r="BL154" s="208">
        <v>-7860630</v>
      </c>
      <c r="BM154" s="208">
        <v>0</v>
      </c>
      <c r="BN154" s="208">
        <v>-7860630</v>
      </c>
      <c r="BO154" s="208">
        <v>-9272</v>
      </c>
      <c r="BP154" s="208">
        <v>0</v>
      </c>
      <c r="BQ154" s="208">
        <v>-9272</v>
      </c>
      <c r="BR154" s="208">
        <v>-3170</v>
      </c>
      <c r="BS154" s="208">
        <v>0</v>
      </c>
      <c r="BT154" s="208">
        <v>-3170</v>
      </c>
      <c r="BU154" s="208">
        <v>-1198731</v>
      </c>
      <c r="BV154" s="208">
        <v>0</v>
      </c>
      <c r="BW154" s="208">
        <v>-1198731</v>
      </c>
      <c r="BX154" s="208">
        <v>-41493</v>
      </c>
      <c r="BY154" s="208">
        <v>0</v>
      </c>
      <c r="BZ154" s="208">
        <v>-41493</v>
      </c>
      <c r="CA154" s="208">
        <v>-1252666</v>
      </c>
      <c r="CB154" s="208">
        <v>0</v>
      </c>
      <c r="CC154" s="208">
        <v>-1252666</v>
      </c>
      <c r="CD154" s="208">
        <v>-102831</v>
      </c>
      <c r="CE154" s="208">
        <v>0</v>
      </c>
      <c r="CF154" s="208">
        <v>-102831</v>
      </c>
      <c r="CG154" s="208">
        <v>-82</v>
      </c>
      <c r="CH154" s="208">
        <v>0</v>
      </c>
      <c r="CI154" s="208">
        <v>-82</v>
      </c>
      <c r="CJ154" s="208">
        <v>-89377</v>
      </c>
      <c r="CK154" s="208">
        <v>0</v>
      </c>
      <c r="CL154" s="208">
        <v>-89377</v>
      </c>
      <c r="CM154" s="208">
        <v>-2993</v>
      </c>
      <c r="CN154" s="208">
        <v>0</v>
      </c>
      <c r="CO154" s="208">
        <v>-2993</v>
      </c>
      <c r="CP154" s="208">
        <v>-3196</v>
      </c>
      <c r="CQ154" s="208">
        <v>0</v>
      </c>
      <c r="CR154" s="208">
        <v>-3196</v>
      </c>
      <c r="CS154" s="208">
        <v>0</v>
      </c>
      <c r="CT154" s="208">
        <v>0</v>
      </c>
      <c r="CU154" s="208">
        <v>0</v>
      </c>
      <c r="CV154" s="208">
        <v>0</v>
      </c>
      <c r="CW154" s="208">
        <v>0</v>
      </c>
      <c r="CX154" s="208">
        <v>0</v>
      </c>
      <c r="CY154" s="208">
        <v>0</v>
      </c>
      <c r="CZ154" s="208">
        <v>0</v>
      </c>
      <c r="DA154" s="208">
        <v>0</v>
      </c>
      <c r="DB154" s="208">
        <v>0</v>
      </c>
      <c r="DC154" s="208">
        <v>0</v>
      </c>
      <c r="DD154" s="208">
        <v>0</v>
      </c>
      <c r="DE154" s="208">
        <v>0</v>
      </c>
      <c r="DF154" s="208">
        <v>0</v>
      </c>
      <c r="DG154" s="208">
        <v>0</v>
      </c>
      <c r="DH154" s="208">
        <v>0</v>
      </c>
      <c r="DI154" s="208">
        <v>0</v>
      </c>
      <c r="DJ154" s="208">
        <v>0</v>
      </c>
      <c r="DK154" s="208">
        <v>0</v>
      </c>
      <c r="DL154" s="208">
        <v>0</v>
      </c>
      <c r="DM154" s="208">
        <v>0</v>
      </c>
      <c r="DN154" s="208">
        <v>0</v>
      </c>
      <c r="DO154" s="208">
        <v>0</v>
      </c>
      <c r="DP154" s="208">
        <v>-198479</v>
      </c>
      <c r="DQ154" s="208">
        <v>0</v>
      </c>
      <c r="DR154" s="208">
        <v>-198479</v>
      </c>
      <c r="DS154" s="208">
        <v>0</v>
      </c>
      <c r="DT154" s="208">
        <v>0</v>
      </c>
      <c r="DU154" s="208">
        <v>0</v>
      </c>
      <c r="DV154" s="208">
        <v>0</v>
      </c>
      <c r="DW154" s="208">
        <v>0</v>
      </c>
      <c r="DX154" s="208">
        <v>0</v>
      </c>
      <c r="DY154" s="208">
        <v>-3790</v>
      </c>
      <c r="DZ154" s="208">
        <v>0</v>
      </c>
      <c r="EA154" s="208">
        <v>-3790</v>
      </c>
      <c r="EB154" s="208">
        <v>0</v>
      </c>
      <c r="EC154" s="208">
        <v>0</v>
      </c>
      <c r="ED154" s="208">
        <v>0</v>
      </c>
      <c r="EE154" s="208">
        <v>-4318</v>
      </c>
      <c r="EF154" s="208">
        <v>0</v>
      </c>
      <c r="EG154" s="208">
        <v>-4318</v>
      </c>
      <c r="EH154" s="208">
        <v>0</v>
      </c>
      <c r="EI154" s="208">
        <v>0</v>
      </c>
      <c r="EJ154" s="208">
        <v>0</v>
      </c>
      <c r="EK154" s="208">
        <v>-25411</v>
      </c>
      <c r="EL154" s="208">
        <v>0</v>
      </c>
      <c r="EM154" s="208">
        <v>-25411</v>
      </c>
      <c r="EN154" s="208">
        <v>0</v>
      </c>
      <c r="EO154" s="208">
        <v>0</v>
      </c>
      <c r="EP154" s="208">
        <v>0</v>
      </c>
      <c r="EQ154" s="208">
        <v>0</v>
      </c>
      <c r="ER154" s="208">
        <v>0</v>
      </c>
      <c r="ES154" s="208">
        <v>0</v>
      </c>
      <c r="ET154" s="208">
        <v>0</v>
      </c>
      <c r="EU154" s="208">
        <v>0</v>
      </c>
      <c r="EV154" s="208">
        <v>0</v>
      </c>
      <c r="EW154" s="208">
        <v>-25972</v>
      </c>
      <c r="EX154" s="208">
        <v>0</v>
      </c>
      <c r="EY154" s="208">
        <v>-25972</v>
      </c>
      <c r="EZ154" s="208">
        <v>3991</v>
      </c>
      <c r="FA154" s="208">
        <v>0</v>
      </c>
      <c r="FB154" s="208">
        <v>3991</v>
      </c>
      <c r="FC154" s="208">
        <v>-107665</v>
      </c>
      <c r="FD154" s="208">
        <v>0</v>
      </c>
      <c r="FE154" s="208">
        <v>-107665</v>
      </c>
      <c r="FF154" s="208">
        <v>0</v>
      </c>
      <c r="FG154" s="208">
        <v>0</v>
      </c>
      <c r="FH154" s="208">
        <v>0</v>
      </c>
      <c r="FI154" s="208">
        <v>-64219</v>
      </c>
      <c r="FJ154" s="208">
        <v>0</v>
      </c>
      <c r="FK154" s="208">
        <v>-64219</v>
      </c>
      <c r="FL154" s="208">
        <v>-5912</v>
      </c>
      <c r="FM154" s="208">
        <v>0</v>
      </c>
      <c r="FN154" s="208">
        <v>-5912</v>
      </c>
      <c r="FO154" s="208">
        <v>0</v>
      </c>
      <c r="FP154" s="208">
        <v>0</v>
      </c>
      <c r="FQ154" s="208">
        <v>0</v>
      </c>
      <c r="FR154" s="208">
        <v>0</v>
      </c>
      <c r="FS154" s="208">
        <v>0</v>
      </c>
      <c r="FT154" s="208">
        <v>0</v>
      </c>
      <c r="FU154" s="208">
        <v>-233296</v>
      </c>
      <c r="FV154" s="208">
        <v>0</v>
      </c>
      <c r="FW154" s="208">
        <v>-233296</v>
      </c>
      <c r="FX154" s="208">
        <v>0</v>
      </c>
      <c r="FY154" s="208">
        <v>0</v>
      </c>
      <c r="FZ154" s="208">
        <v>0</v>
      </c>
      <c r="GA154" s="208">
        <v>0</v>
      </c>
      <c r="GB154" s="208">
        <v>0</v>
      </c>
      <c r="GC154" s="208">
        <v>0</v>
      </c>
      <c r="GD154" s="208">
        <v>0</v>
      </c>
      <c r="GE154" s="208">
        <v>0</v>
      </c>
      <c r="GF154" s="208">
        <v>0</v>
      </c>
      <c r="GG154" s="208">
        <v>75278668</v>
      </c>
      <c r="GH154" s="208">
        <v>0</v>
      </c>
      <c r="GI154" s="208">
        <v>75278668</v>
      </c>
      <c r="GJ154" s="208">
        <v>379175</v>
      </c>
      <c r="GK154" s="208">
        <v>0</v>
      </c>
      <c r="GL154" s="208">
        <v>379175</v>
      </c>
      <c r="GM154" s="208">
        <v>-7860630</v>
      </c>
      <c r="GN154" s="208">
        <v>0</v>
      </c>
      <c r="GO154" s="208">
        <v>-7860630</v>
      </c>
      <c r="GP154" s="208">
        <v>-1252666</v>
      </c>
      <c r="GQ154" s="208">
        <v>0</v>
      </c>
      <c r="GR154" s="208">
        <v>-1252666</v>
      </c>
      <c r="GS154" s="208">
        <v>-198479</v>
      </c>
      <c r="GT154" s="208">
        <v>0</v>
      </c>
      <c r="GU154" s="208">
        <v>-198479</v>
      </c>
      <c r="GV154" s="208">
        <v>-233296</v>
      </c>
      <c r="GW154" s="208">
        <v>0</v>
      </c>
      <c r="GX154" s="208">
        <v>-233296</v>
      </c>
      <c r="GY154" s="208">
        <v>0</v>
      </c>
      <c r="GZ154" s="208">
        <v>0</v>
      </c>
      <c r="HA154" s="208">
        <v>0</v>
      </c>
      <c r="HB154" s="208">
        <v>-9165896</v>
      </c>
      <c r="HC154" s="208">
        <v>0</v>
      </c>
      <c r="HD154" s="208">
        <v>-9165896</v>
      </c>
      <c r="HE154" s="208">
        <v>66112772</v>
      </c>
      <c r="HF154" s="208">
        <v>0</v>
      </c>
      <c r="HG154" s="208">
        <v>66112772</v>
      </c>
      <c r="HH154" s="187" t="s">
        <v>1054</v>
      </c>
    </row>
    <row r="155" spans="1:216" s="187" customFormat="1" x14ac:dyDescent="0.2">
      <c r="B155" s="429" t="s">
        <v>387</v>
      </c>
      <c r="C155" s="429" t="s">
        <v>386</v>
      </c>
      <c r="D155" s="208">
        <v>-6428290</v>
      </c>
      <c r="E155" s="208">
        <v>0</v>
      </c>
      <c r="F155" s="208">
        <v>-6428290</v>
      </c>
      <c r="G155" s="208">
        <v>-192888</v>
      </c>
      <c r="H155" s="208">
        <v>0</v>
      </c>
      <c r="I155" s="208">
        <v>-192888</v>
      </c>
      <c r="J155" s="208">
        <v>16930995</v>
      </c>
      <c r="K155" s="208">
        <v>83145</v>
      </c>
      <c r="L155" s="208">
        <v>17014140</v>
      </c>
      <c r="M155" s="208">
        <v>-645921</v>
      </c>
      <c r="N155" s="208">
        <v>0</v>
      </c>
      <c r="O155" s="208">
        <v>-645921</v>
      </c>
      <c r="P155" s="208">
        <v>9663896</v>
      </c>
      <c r="Q155" s="208">
        <v>83145</v>
      </c>
      <c r="R155" s="208">
        <v>9747041</v>
      </c>
      <c r="S155" s="208">
        <v>-27516908</v>
      </c>
      <c r="T155" s="208">
        <v>0</v>
      </c>
      <c r="U155" s="208">
        <v>-27516908</v>
      </c>
      <c r="V155" s="208">
        <v>-31438</v>
      </c>
      <c r="W155" s="208">
        <v>0</v>
      </c>
      <c r="X155" s="208">
        <v>-31438</v>
      </c>
      <c r="Y155" s="208">
        <v>-723826</v>
      </c>
      <c r="Z155" s="208">
        <v>0</v>
      </c>
      <c r="AA155" s="208">
        <v>-723826</v>
      </c>
      <c r="AB155" s="208">
        <v>-148905</v>
      </c>
      <c r="AC155" s="208">
        <v>0</v>
      </c>
      <c r="AD155" s="208">
        <v>-148905</v>
      </c>
      <c r="AE155" s="208">
        <v>-554990</v>
      </c>
      <c r="AF155" s="208">
        <v>0</v>
      </c>
      <c r="AG155" s="208">
        <v>-554990</v>
      </c>
      <c r="AH155" s="208">
        <v>0</v>
      </c>
      <c r="AI155" s="208">
        <v>0</v>
      </c>
      <c r="AJ155" s="208">
        <v>0</v>
      </c>
      <c r="AK155" s="208">
        <v>-19930</v>
      </c>
      <c r="AL155" s="208">
        <v>0</v>
      </c>
      <c r="AM155" s="208">
        <v>-19930</v>
      </c>
      <c r="AN155" s="208">
        <v>8996663</v>
      </c>
      <c r="AO155" s="208">
        <v>75049</v>
      </c>
      <c r="AP155" s="208">
        <v>9071712</v>
      </c>
      <c r="AQ155" s="208">
        <v>-114306</v>
      </c>
      <c r="AR155" s="208">
        <v>0</v>
      </c>
      <c r="AS155" s="208">
        <v>-114306</v>
      </c>
      <c r="AT155" s="208">
        <v>-27573349</v>
      </c>
      <c r="AU155" s="208">
        <v>0</v>
      </c>
      <c r="AV155" s="208">
        <v>-27573349</v>
      </c>
      <c r="AW155" s="208">
        <v>-146853</v>
      </c>
      <c r="AX155" s="208">
        <v>0</v>
      </c>
      <c r="AY155" s="208">
        <v>-146853</v>
      </c>
      <c r="AZ155" s="208">
        <v>-346984</v>
      </c>
      <c r="BA155" s="208">
        <v>0</v>
      </c>
      <c r="BB155" s="208">
        <v>-346984</v>
      </c>
      <c r="BC155" s="208">
        <v>-1993</v>
      </c>
      <c r="BD155" s="208">
        <v>0</v>
      </c>
      <c r="BE155" s="208">
        <v>-1993</v>
      </c>
      <c r="BF155" s="208">
        <v>-8595</v>
      </c>
      <c r="BG155" s="208">
        <v>0</v>
      </c>
      <c r="BH155" s="208">
        <v>-8595</v>
      </c>
      <c r="BI155" s="208">
        <v>0</v>
      </c>
      <c r="BJ155" s="208">
        <v>0</v>
      </c>
      <c r="BK155" s="208">
        <v>0</v>
      </c>
      <c r="BL155" s="208">
        <v>-47436151</v>
      </c>
      <c r="BM155" s="208">
        <v>75049</v>
      </c>
      <c r="BN155" s="208">
        <v>-47361102</v>
      </c>
      <c r="BO155" s="208">
        <v>-40470</v>
      </c>
      <c r="BP155" s="208">
        <v>0</v>
      </c>
      <c r="BQ155" s="208">
        <v>-40470</v>
      </c>
      <c r="BR155" s="208">
        <v>-27013</v>
      </c>
      <c r="BS155" s="208">
        <v>0</v>
      </c>
      <c r="BT155" s="208">
        <v>-27013</v>
      </c>
      <c r="BU155" s="208">
        <v>-18215390</v>
      </c>
      <c r="BV155" s="208">
        <v>0</v>
      </c>
      <c r="BW155" s="208">
        <v>-18215390</v>
      </c>
      <c r="BX155" s="208">
        <v>-624609</v>
      </c>
      <c r="BY155" s="208">
        <v>0</v>
      </c>
      <c r="BZ155" s="208">
        <v>-624609</v>
      </c>
      <c r="CA155" s="208">
        <v>-18907482</v>
      </c>
      <c r="CB155" s="208">
        <v>0</v>
      </c>
      <c r="CC155" s="208">
        <v>-18907482</v>
      </c>
      <c r="CD155" s="208">
        <v>-137678</v>
      </c>
      <c r="CE155" s="208">
        <v>0</v>
      </c>
      <c r="CF155" s="208">
        <v>-137678</v>
      </c>
      <c r="CG155" s="208">
        <v>-26841</v>
      </c>
      <c r="CH155" s="208">
        <v>0</v>
      </c>
      <c r="CI155" s="208">
        <v>-26841</v>
      </c>
      <c r="CJ155" s="208">
        <v>-359700</v>
      </c>
      <c r="CK155" s="208">
        <v>0</v>
      </c>
      <c r="CL155" s="208">
        <v>-359700</v>
      </c>
      <c r="CM155" s="208">
        <v>-21123</v>
      </c>
      <c r="CN155" s="208">
        <v>0</v>
      </c>
      <c r="CO155" s="208">
        <v>-21123</v>
      </c>
      <c r="CP155" s="208">
        <v>-63355</v>
      </c>
      <c r="CQ155" s="208">
        <v>0</v>
      </c>
      <c r="CR155" s="208">
        <v>-63355</v>
      </c>
      <c r="CS155" s="208">
        <v>-1036</v>
      </c>
      <c r="CT155" s="208">
        <v>0</v>
      </c>
      <c r="CU155" s="208">
        <v>-1036</v>
      </c>
      <c r="CV155" s="208">
        <v>0</v>
      </c>
      <c r="CW155" s="208">
        <v>0</v>
      </c>
      <c r="CX155" s="208">
        <v>0</v>
      </c>
      <c r="CY155" s="208">
        <v>0</v>
      </c>
      <c r="CZ155" s="208">
        <v>0</v>
      </c>
      <c r="DA155" s="208">
        <v>0</v>
      </c>
      <c r="DB155" s="208">
        <v>-2197</v>
      </c>
      <c r="DC155" s="208">
        <v>0</v>
      </c>
      <c r="DD155" s="208">
        <v>-2197</v>
      </c>
      <c r="DE155" s="208">
        <v>0</v>
      </c>
      <c r="DF155" s="208">
        <v>0</v>
      </c>
      <c r="DG155" s="208">
        <v>0</v>
      </c>
      <c r="DH155" s="208">
        <v>-431085</v>
      </c>
      <c r="DI155" s="208">
        <v>-494446</v>
      </c>
      <c r="DJ155" s="208">
        <v>-925531</v>
      </c>
      <c r="DK155" s="208">
        <v>-518524</v>
      </c>
      <c r="DL155" s="208">
        <v>0</v>
      </c>
      <c r="DM155" s="208">
        <v>-518524</v>
      </c>
      <c r="DN155" s="208">
        <v>-494446</v>
      </c>
      <c r="DO155" s="208">
        <v>0</v>
      </c>
      <c r="DP155" s="208">
        <v>-1561539</v>
      </c>
      <c r="DQ155" s="208">
        <v>-494446</v>
      </c>
      <c r="DR155" s="208">
        <v>-2055985</v>
      </c>
      <c r="DS155" s="208">
        <v>0</v>
      </c>
      <c r="DT155" s="208">
        <v>0</v>
      </c>
      <c r="DU155" s="208">
        <v>0</v>
      </c>
      <c r="DV155" s="208">
        <v>19244</v>
      </c>
      <c r="DW155" s="208">
        <v>0</v>
      </c>
      <c r="DX155" s="208">
        <v>19244</v>
      </c>
      <c r="DY155" s="208">
        <v>13769</v>
      </c>
      <c r="DZ155" s="208">
        <v>0</v>
      </c>
      <c r="EA155" s="208">
        <v>13769</v>
      </c>
      <c r="EB155" s="208">
        <v>0</v>
      </c>
      <c r="EC155" s="208">
        <v>0</v>
      </c>
      <c r="ED155" s="208">
        <v>0</v>
      </c>
      <c r="EE155" s="208">
        <v>1371</v>
      </c>
      <c r="EF155" s="208">
        <v>0</v>
      </c>
      <c r="EG155" s="208">
        <v>1371</v>
      </c>
      <c r="EH155" s="208">
        <v>17034</v>
      </c>
      <c r="EI155" s="208">
        <v>0</v>
      </c>
      <c r="EJ155" s="208">
        <v>17034</v>
      </c>
      <c r="EK155" s="208">
        <v>-8595</v>
      </c>
      <c r="EL155" s="208">
        <v>0</v>
      </c>
      <c r="EM155" s="208">
        <v>-8595</v>
      </c>
      <c r="EN155" s="208">
        <v>0</v>
      </c>
      <c r="EO155" s="208">
        <v>0</v>
      </c>
      <c r="EP155" s="208">
        <v>0</v>
      </c>
      <c r="EQ155" s="208">
        <v>-1500</v>
      </c>
      <c r="ER155" s="208">
        <v>0</v>
      </c>
      <c r="ES155" s="208">
        <v>-1500</v>
      </c>
      <c r="ET155" s="208">
        <v>0</v>
      </c>
      <c r="EU155" s="208">
        <v>0</v>
      </c>
      <c r="EV155" s="208">
        <v>0</v>
      </c>
      <c r="EW155" s="208">
        <v>-93016</v>
      </c>
      <c r="EX155" s="208">
        <v>0</v>
      </c>
      <c r="EY155" s="208">
        <v>-93016</v>
      </c>
      <c r="EZ155" s="208">
        <v>3096</v>
      </c>
      <c r="FA155" s="208">
        <v>0</v>
      </c>
      <c r="FB155" s="208">
        <v>3096</v>
      </c>
      <c r="FC155" s="208">
        <v>-645200</v>
      </c>
      <c r="FD155" s="208">
        <v>0</v>
      </c>
      <c r="FE155" s="208">
        <v>-645200</v>
      </c>
      <c r="FF155" s="208">
        <v>36887</v>
      </c>
      <c r="FG155" s="208">
        <v>0</v>
      </c>
      <c r="FH155" s="208">
        <v>36887</v>
      </c>
      <c r="FI155" s="208">
        <v>-212630</v>
      </c>
      <c r="FJ155" s="208">
        <v>0</v>
      </c>
      <c r="FK155" s="208">
        <v>-212630</v>
      </c>
      <c r="FL155" s="208">
        <v>2636</v>
      </c>
      <c r="FM155" s="208">
        <v>0</v>
      </c>
      <c r="FN155" s="208">
        <v>2636</v>
      </c>
      <c r="FO155" s="208">
        <v>0</v>
      </c>
      <c r="FP155" s="208">
        <v>0</v>
      </c>
      <c r="FQ155" s="208">
        <v>0</v>
      </c>
      <c r="FR155" s="208">
        <v>0</v>
      </c>
      <c r="FS155" s="208">
        <v>0</v>
      </c>
      <c r="FT155" s="208">
        <v>0</v>
      </c>
      <c r="FU155" s="208">
        <v>-866904</v>
      </c>
      <c r="FV155" s="208">
        <v>0</v>
      </c>
      <c r="FW155" s="208">
        <v>-866904</v>
      </c>
      <c r="FX155" s="208">
        <v>-49071</v>
      </c>
      <c r="FY155" s="208">
        <v>0</v>
      </c>
      <c r="FZ155" s="208">
        <v>-49071</v>
      </c>
      <c r="GA155" s="208">
        <v>-9119</v>
      </c>
      <c r="GB155" s="208">
        <v>0</v>
      </c>
      <c r="GC155" s="208">
        <v>-9119</v>
      </c>
      <c r="GD155" s="208">
        <v>-58190</v>
      </c>
      <c r="GE155" s="208">
        <v>0</v>
      </c>
      <c r="GF155" s="208">
        <v>-58190</v>
      </c>
      <c r="GG155" s="208">
        <v>439198796</v>
      </c>
      <c r="GH155" s="208">
        <v>2552151</v>
      </c>
      <c r="GI155" s="208">
        <v>441750947</v>
      </c>
      <c r="GJ155" s="208">
        <v>9663896</v>
      </c>
      <c r="GK155" s="208">
        <v>83145</v>
      </c>
      <c r="GL155" s="208">
        <v>9747041</v>
      </c>
      <c r="GM155" s="208">
        <v>-47436151</v>
      </c>
      <c r="GN155" s="208">
        <v>75049</v>
      </c>
      <c r="GO155" s="208">
        <v>-47361102</v>
      </c>
      <c r="GP155" s="208">
        <v>-18907482</v>
      </c>
      <c r="GQ155" s="208">
        <v>0</v>
      </c>
      <c r="GR155" s="208">
        <v>-18907482</v>
      </c>
      <c r="GS155" s="208">
        <v>-1561539</v>
      </c>
      <c r="GT155" s="208">
        <v>-494446</v>
      </c>
      <c r="GU155" s="208">
        <v>-2055985</v>
      </c>
      <c r="GV155" s="208">
        <v>-866904</v>
      </c>
      <c r="GW155" s="208">
        <v>0</v>
      </c>
      <c r="GX155" s="208">
        <v>-866904</v>
      </c>
      <c r="GY155" s="208">
        <v>-58190</v>
      </c>
      <c r="GZ155" s="208">
        <v>0</v>
      </c>
      <c r="HA155" s="208">
        <v>-58190</v>
      </c>
      <c r="HB155" s="208">
        <v>-59166370</v>
      </c>
      <c r="HC155" s="208">
        <v>-336252</v>
      </c>
      <c r="HD155" s="208">
        <v>-59502622</v>
      </c>
      <c r="HE155" s="208">
        <v>380032426</v>
      </c>
      <c r="HF155" s="208">
        <v>2215899</v>
      </c>
      <c r="HG155" s="208">
        <v>382248325</v>
      </c>
      <c r="HH155" s="187" t="s">
        <v>1056</v>
      </c>
    </row>
    <row r="156" spans="1:216" s="187" customFormat="1" x14ac:dyDescent="0.2">
      <c r="B156" s="429" t="s">
        <v>389</v>
      </c>
      <c r="C156" s="429" t="s">
        <v>388</v>
      </c>
      <c r="D156" s="208">
        <v>-6731730</v>
      </c>
      <c r="E156" s="208">
        <v>-118760</v>
      </c>
      <c r="F156" s="208">
        <v>-6850490</v>
      </c>
      <c r="G156" s="208">
        <v>-272551</v>
      </c>
      <c r="H156" s="208">
        <v>261</v>
      </c>
      <c r="I156" s="208">
        <v>-272290</v>
      </c>
      <c r="J156" s="208">
        <v>1352017</v>
      </c>
      <c r="K156" s="208">
        <v>1915</v>
      </c>
      <c r="L156" s="208">
        <v>1353932</v>
      </c>
      <c r="M156" s="208">
        <v>-152015</v>
      </c>
      <c r="N156" s="208">
        <v>2499</v>
      </c>
      <c r="O156" s="208">
        <v>-149516</v>
      </c>
      <c r="P156" s="208">
        <v>-5804279</v>
      </c>
      <c r="Q156" s="208">
        <v>-114085</v>
      </c>
      <c r="R156" s="208">
        <v>-5918364</v>
      </c>
      <c r="S156" s="208">
        <v>-13018871</v>
      </c>
      <c r="T156" s="208">
        <v>-510416</v>
      </c>
      <c r="U156" s="208">
        <v>-13529287</v>
      </c>
      <c r="V156" s="208">
        <v>-33275</v>
      </c>
      <c r="W156" s="208">
        <v>-2465</v>
      </c>
      <c r="X156" s="208">
        <v>-35740</v>
      </c>
      <c r="Y156" s="208">
        <v>-306754</v>
      </c>
      <c r="Z156" s="208">
        <v>-5301</v>
      </c>
      <c r="AA156" s="208">
        <v>-312055</v>
      </c>
      <c r="AB156" s="208">
        <v>-29235</v>
      </c>
      <c r="AC156" s="208">
        <v>871</v>
      </c>
      <c r="AD156" s="208">
        <v>-28364</v>
      </c>
      <c r="AE156" s="208">
        <v>-293623</v>
      </c>
      <c r="AF156" s="208">
        <v>-6172</v>
      </c>
      <c r="AG156" s="208">
        <v>-299795</v>
      </c>
      <c r="AH156" s="208">
        <v>0</v>
      </c>
      <c r="AI156" s="208">
        <v>0</v>
      </c>
      <c r="AJ156" s="208">
        <v>0</v>
      </c>
      <c r="AK156" s="208">
        <v>-190.62</v>
      </c>
      <c r="AL156" s="208">
        <v>-1321.26</v>
      </c>
      <c r="AM156" s="208">
        <v>-1511.88</v>
      </c>
      <c r="AN156" s="208">
        <v>2693404</v>
      </c>
      <c r="AO156" s="208">
        <v>51263</v>
      </c>
      <c r="AP156" s="208">
        <v>2744667</v>
      </c>
      <c r="AQ156" s="208">
        <v>-40324</v>
      </c>
      <c r="AR156" s="208">
        <v>-1345</v>
      </c>
      <c r="AS156" s="208">
        <v>-41669</v>
      </c>
      <c r="AT156" s="208">
        <v>-11782314</v>
      </c>
      <c r="AU156" s="208">
        <v>-567607</v>
      </c>
      <c r="AV156" s="208">
        <v>-12349921</v>
      </c>
      <c r="AW156" s="208">
        <v>94012</v>
      </c>
      <c r="AX156" s="208">
        <v>-21648</v>
      </c>
      <c r="AY156" s="208">
        <v>72364</v>
      </c>
      <c r="AZ156" s="208">
        <v>-43175</v>
      </c>
      <c r="BA156" s="208">
        <v>-17748</v>
      </c>
      <c r="BB156" s="208">
        <v>-60923</v>
      </c>
      <c r="BC156" s="208">
        <v>-305</v>
      </c>
      <c r="BD156" s="208">
        <v>0</v>
      </c>
      <c r="BE156" s="208">
        <v>-305</v>
      </c>
      <c r="BF156" s="208">
        <v>0</v>
      </c>
      <c r="BG156" s="208">
        <v>0</v>
      </c>
      <c r="BH156" s="208">
        <v>0</v>
      </c>
      <c r="BI156" s="208">
        <v>0</v>
      </c>
      <c r="BJ156" s="208">
        <v>0</v>
      </c>
      <c r="BK156" s="208">
        <v>0</v>
      </c>
      <c r="BL156" s="208">
        <v>-22404327</v>
      </c>
      <c r="BM156" s="208">
        <v>-1072802</v>
      </c>
      <c r="BN156" s="208">
        <v>-23477129</v>
      </c>
      <c r="BO156" s="208">
        <v>-5838</v>
      </c>
      <c r="BP156" s="208">
        <v>0</v>
      </c>
      <c r="BQ156" s="208">
        <v>-5838</v>
      </c>
      <c r="BR156" s="208">
        <v>-73250</v>
      </c>
      <c r="BS156" s="208">
        <v>0</v>
      </c>
      <c r="BT156" s="208">
        <v>-73250</v>
      </c>
      <c r="BU156" s="208">
        <v>-3705400</v>
      </c>
      <c r="BV156" s="208">
        <v>-112757</v>
      </c>
      <c r="BW156" s="208">
        <v>-3818157</v>
      </c>
      <c r="BX156" s="208">
        <v>-60515</v>
      </c>
      <c r="BY156" s="208">
        <v>8096</v>
      </c>
      <c r="BZ156" s="208">
        <v>-52419</v>
      </c>
      <c r="CA156" s="208">
        <v>-3845003</v>
      </c>
      <c r="CB156" s="208">
        <v>-104661</v>
      </c>
      <c r="CC156" s="208">
        <v>-3949664</v>
      </c>
      <c r="CD156" s="208">
        <v>-374275</v>
      </c>
      <c r="CE156" s="208">
        <v>-71838</v>
      </c>
      <c r="CF156" s="208">
        <v>-446113</v>
      </c>
      <c r="CG156" s="208">
        <v>-5595</v>
      </c>
      <c r="CH156" s="208">
        <v>-1465</v>
      </c>
      <c r="CI156" s="208">
        <v>-7060</v>
      </c>
      <c r="CJ156" s="208">
        <v>-222823</v>
      </c>
      <c r="CK156" s="208">
        <v>0</v>
      </c>
      <c r="CL156" s="208">
        <v>-222823</v>
      </c>
      <c r="CM156" s="208">
        <v>-26726</v>
      </c>
      <c r="CN156" s="208">
        <v>0</v>
      </c>
      <c r="CO156" s="208">
        <v>-26726</v>
      </c>
      <c r="CP156" s="208">
        <v>0</v>
      </c>
      <c r="CQ156" s="208">
        <v>0</v>
      </c>
      <c r="CR156" s="208">
        <v>0</v>
      </c>
      <c r="CS156" s="208">
        <v>0</v>
      </c>
      <c r="CT156" s="208">
        <v>0</v>
      </c>
      <c r="CU156" s="208">
        <v>0</v>
      </c>
      <c r="CV156" s="208">
        <v>0</v>
      </c>
      <c r="CW156" s="208">
        <v>0</v>
      </c>
      <c r="CX156" s="208">
        <v>0</v>
      </c>
      <c r="CY156" s="208">
        <v>0</v>
      </c>
      <c r="CZ156" s="208">
        <v>0</v>
      </c>
      <c r="DA156" s="208">
        <v>0</v>
      </c>
      <c r="DB156" s="208">
        <v>0</v>
      </c>
      <c r="DC156" s="208">
        <v>0</v>
      </c>
      <c r="DD156" s="208">
        <v>0</v>
      </c>
      <c r="DE156" s="208">
        <v>0</v>
      </c>
      <c r="DF156" s="208">
        <v>0</v>
      </c>
      <c r="DG156" s="208">
        <v>0</v>
      </c>
      <c r="DH156" s="208">
        <v>-83006</v>
      </c>
      <c r="DI156" s="208">
        <v>-9365</v>
      </c>
      <c r="DJ156" s="208">
        <v>-92371</v>
      </c>
      <c r="DK156" s="208">
        <v>13385</v>
      </c>
      <c r="DL156" s="208">
        <v>0</v>
      </c>
      <c r="DM156" s="208">
        <v>13385</v>
      </c>
      <c r="DN156" s="208">
        <v>-9365</v>
      </c>
      <c r="DO156" s="208">
        <v>0</v>
      </c>
      <c r="DP156" s="208">
        <v>-699040</v>
      </c>
      <c r="DQ156" s="208">
        <v>-82668</v>
      </c>
      <c r="DR156" s="208">
        <v>-781708</v>
      </c>
      <c r="DS156" s="208">
        <v>0</v>
      </c>
      <c r="DT156" s="208">
        <v>0</v>
      </c>
      <c r="DU156" s="208">
        <v>0</v>
      </c>
      <c r="DV156" s="208">
        <v>-10820</v>
      </c>
      <c r="DW156" s="208">
        <v>0</v>
      </c>
      <c r="DX156" s="208">
        <v>-10820</v>
      </c>
      <c r="DY156" s="208">
        <v>3794</v>
      </c>
      <c r="DZ156" s="208">
        <v>0</v>
      </c>
      <c r="EA156" s="208">
        <v>3794</v>
      </c>
      <c r="EB156" s="208">
        <v>0</v>
      </c>
      <c r="EC156" s="208">
        <v>0</v>
      </c>
      <c r="ED156" s="208">
        <v>0</v>
      </c>
      <c r="EE156" s="208">
        <v>0</v>
      </c>
      <c r="EF156" s="208">
        <v>0</v>
      </c>
      <c r="EG156" s="208">
        <v>0</v>
      </c>
      <c r="EH156" s="208">
        <v>0</v>
      </c>
      <c r="EI156" s="208">
        <v>0</v>
      </c>
      <c r="EJ156" s="208">
        <v>0</v>
      </c>
      <c r="EK156" s="208">
        <v>0</v>
      </c>
      <c r="EL156" s="208">
        <v>0</v>
      </c>
      <c r="EM156" s="208">
        <v>0</v>
      </c>
      <c r="EN156" s="208">
        <v>0</v>
      </c>
      <c r="EO156" s="208">
        <v>0</v>
      </c>
      <c r="EP156" s="208">
        <v>0</v>
      </c>
      <c r="EQ156" s="208">
        <v>-1500</v>
      </c>
      <c r="ER156" s="208">
        <v>0</v>
      </c>
      <c r="ES156" s="208">
        <v>-1500</v>
      </c>
      <c r="ET156" s="208">
        <v>0</v>
      </c>
      <c r="EU156" s="208">
        <v>0</v>
      </c>
      <c r="EV156" s="208">
        <v>0</v>
      </c>
      <c r="EW156" s="208">
        <v>-125604</v>
      </c>
      <c r="EX156" s="208">
        <v>-991</v>
      </c>
      <c r="EY156" s="208">
        <v>-126595</v>
      </c>
      <c r="EZ156" s="208">
        <v>-3699</v>
      </c>
      <c r="FA156" s="208">
        <v>0</v>
      </c>
      <c r="FB156" s="208">
        <v>-3699</v>
      </c>
      <c r="FC156" s="208">
        <v>-533320</v>
      </c>
      <c r="FD156" s="208">
        <v>-8533</v>
      </c>
      <c r="FE156" s="208">
        <v>-541853</v>
      </c>
      <c r="FF156" s="208">
        <v>40576</v>
      </c>
      <c r="FG156" s="208">
        <v>56</v>
      </c>
      <c r="FH156" s="208">
        <v>40632</v>
      </c>
      <c r="FI156" s="208">
        <v>-69247</v>
      </c>
      <c r="FJ156" s="208">
        <v>0</v>
      </c>
      <c r="FK156" s="208">
        <v>-69247</v>
      </c>
      <c r="FL156" s="208">
        <v>4805</v>
      </c>
      <c r="FM156" s="208">
        <v>0</v>
      </c>
      <c r="FN156" s="208">
        <v>4805</v>
      </c>
      <c r="FO156" s="208">
        <v>0</v>
      </c>
      <c r="FP156" s="208">
        <v>0</v>
      </c>
      <c r="FQ156" s="208">
        <v>0</v>
      </c>
      <c r="FR156" s="208">
        <v>0</v>
      </c>
      <c r="FS156" s="208">
        <v>0</v>
      </c>
      <c r="FT156" s="208">
        <v>0</v>
      </c>
      <c r="FU156" s="208">
        <v>-695015</v>
      </c>
      <c r="FV156" s="208">
        <v>-9468</v>
      </c>
      <c r="FW156" s="208">
        <v>-704483</v>
      </c>
      <c r="FX156" s="208">
        <v>-4457</v>
      </c>
      <c r="FY156" s="208">
        <v>0</v>
      </c>
      <c r="FZ156" s="208">
        <v>-4457</v>
      </c>
      <c r="GA156" s="208">
        <v>-29772</v>
      </c>
      <c r="GB156" s="208">
        <v>0</v>
      </c>
      <c r="GC156" s="208">
        <v>-29772</v>
      </c>
      <c r="GD156" s="208">
        <v>-34229</v>
      </c>
      <c r="GE156" s="208">
        <v>0</v>
      </c>
      <c r="GF156" s="208">
        <v>-34229</v>
      </c>
      <c r="GG156" s="208">
        <v>141039657</v>
      </c>
      <c r="GH156" s="208">
        <v>3441876</v>
      </c>
      <c r="GI156" s="208">
        <v>144481533</v>
      </c>
      <c r="GJ156" s="208">
        <v>-5804279</v>
      </c>
      <c r="GK156" s="208">
        <v>-114085</v>
      </c>
      <c r="GL156" s="208">
        <v>-5918364</v>
      </c>
      <c r="GM156" s="208">
        <v>-22404327</v>
      </c>
      <c r="GN156" s="208">
        <v>-1072802</v>
      </c>
      <c r="GO156" s="208">
        <v>-23477129</v>
      </c>
      <c r="GP156" s="208">
        <v>-3845003</v>
      </c>
      <c r="GQ156" s="208">
        <v>-104661</v>
      </c>
      <c r="GR156" s="208">
        <v>-3949664</v>
      </c>
      <c r="GS156" s="208">
        <v>-699040</v>
      </c>
      <c r="GT156" s="208">
        <v>-82668</v>
      </c>
      <c r="GU156" s="208">
        <v>-781708</v>
      </c>
      <c r="GV156" s="208">
        <v>-695015</v>
      </c>
      <c r="GW156" s="208">
        <v>-9468</v>
      </c>
      <c r="GX156" s="208">
        <v>-704483</v>
      </c>
      <c r="GY156" s="208">
        <v>-34229</v>
      </c>
      <c r="GZ156" s="208">
        <v>0</v>
      </c>
      <c r="HA156" s="208">
        <v>-34229</v>
      </c>
      <c r="HB156" s="208">
        <v>-33481893</v>
      </c>
      <c r="HC156" s="208">
        <v>-1383684</v>
      </c>
      <c r="HD156" s="208">
        <v>-34865577</v>
      </c>
      <c r="HE156" s="208">
        <v>107557764</v>
      </c>
      <c r="HF156" s="208">
        <v>2058192</v>
      </c>
      <c r="HG156" s="208">
        <v>109615956</v>
      </c>
      <c r="HH156" s="187" t="s">
        <v>742</v>
      </c>
    </row>
    <row r="157" spans="1:216" s="187" customFormat="1" x14ac:dyDescent="0.2">
      <c r="A157" s="187" t="s">
        <v>1811</v>
      </c>
      <c r="B157" s="429" t="s">
        <v>391</v>
      </c>
      <c r="C157" s="429" t="s">
        <v>390</v>
      </c>
      <c r="D157" s="208">
        <v>-758377</v>
      </c>
      <c r="E157" s="208">
        <v>-24850</v>
      </c>
      <c r="F157" s="208">
        <v>-783227</v>
      </c>
      <c r="G157" s="208">
        <v>-7279</v>
      </c>
      <c r="H157" s="208">
        <v>0</v>
      </c>
      <c r="I157" s="208">
        <v>-7279</v>
      </c>
      <c r="J157" s="208">
        <v>195149</v>
      </c>
      <c r="K157" s="208">
        <v>52457</v>
      </c>
      <c r="L157" s="208">
        <v>247606</v>
      </c>
      <c r="M157" s="208">
        <v>-3779</v>
      </c>
      <c r="N157" s="208">
        <v>435</v>
      </c>
      <c r="O157" s="208">
        <v>-3344</v>
      </c>
      <c r="P157" s="208">
        <v>-574286</v>
      </c>
      <c r="Q157" s="208">
        <v>28042</v>
      </c>
      <c r="R157" s="208">
        <v>-546244</v>
      </c>
      <c r="S157" s="208">
        <v>-3701653</v>
      </c>
      <c r="T157" s="208">
        <v>-393557</v>
      </c>
      <c r="U157" s="208">
        <v>-4095210</v>
      </c>
      <c r="V157" s="208">
        <v>0</v>
      </c>
      <c r="W157" s="208">
        <v>0</v>
      </c>
      <c r="X157" s="208">
        <v>0</v>
      </c>
      <c r="Y157" s="208">
        <v>-179135</v>
      </c>
      <c r="Z157" s="208">
        <v>-18064</v>
      </c>
      <c r="AA157" s="208">
        <v>-197199</v>
      </c>
      <c r="AB157" s="208">
        <v>0</v>
      </c>
      <c r="AC157" s="208">
        <v>0</v>
      </c>
      <c r="AD157" s="208">
        <v>0</v>
      </c>
      <c r="AE157" s="208">
        <v>0</v>
      </c>
      <c r="AF157" s="208">
        <v>0</v>
      </c>
      <c r="AG157" s="208">
        <v>0</v>
      </c>
      <c r="AH157" s="208">
        <v>0</v>
      </c>
      <c r="AI157" s="208">
        <v>0</v>
      </c>
      <c r="AJ157" s="208">
        <v>0</v>
      </c>
      <c r="AK157" s="208">
        <v>0</v>
      </c>
      <c r="AL157" s="208">
        <v>0</v>
      </c>
      <c r="AM157" s="208">
        <v>0</v>
      </c>
      <c r="AN157" s="208">
        <v>500941</v>
      </c>
      <c r="AO157" s="208">
        <v>54709</v>
      </c>
      <c r="AP157" s="208">
        <v>555650</v>
      </c>
      <c r="AQ157" s="208">
        <v>-4518</v>
      </c>
      <c r="AR157" s="208">
        <v>745</v>
      </c>
      <c r="AS157" s="208">
        <v>-3773</v>
      </c>
      <c r="AT157" s="208">
        <v>-2852346</v>
      </c>
      <c r="AU157" s="208">
        <v>-185353</v>
      </c>
      <c r="AV157" s="208">
        <v>-3037699</v>
      </c>
      <c r="AW157" s="208">
        <v>-11926</v>
      </c>
      <c r="AX157" s="208">
        <v>6937</v>
      </c>
      <c r="AY157" s="208">
        <v>-4989</v>
      </c>
      <c r="AZ157" s="208">
        <v>-88620</v>
      </c>
      <c r="BA157" s="208">
        <v>0</v>
      </c>
      <c r="BB157" s="208">
        <v>-88620</v>
      </c>
      <c r="BC157" s="208">
        <v>0</v>
      </c>
      <c r="BD157" s="208">
        <v>0</v>
      </c>
      <c r="BE157" s="208">
        <v>0</v>
      </c>
      <c r="BF157" s="208">
        <v>-10014</v>
      </c>
      <c r="BG157" s="208">
        <v>0</v>
      </c>
      <c r="BH157" s="208">
        <v>-10014</v>
      </c>
      <c r="BI157" s="208">
        <v>0</v>
      </c>
      <c r="BJ157" s="208">
        <v>0</v>
      </c>
      <c r="BK157" s="208">
        <v>0</v>
      </c>
      <c r="BL157" s="208">
        <v>-6347271</v>
      </c>
      <c r="BM157" s="208">
        <v>-534583</v>
      </c>
      <c r="BN157" s="208">
        <v>-6881854</v>
      </c>
      <c r="BO157" s="208">
        <v>-20001</v>
      </c>
      <c r="BP157" s="208">
        <v>0</v>
      </c>
      <c r="BQ157" s="208">
        <v>-20001</v>
      </c>
      <c r="BR157" s="208">
        <v>0</v>
      </c>
      <c r="BS157" s="208">
        <v>0</v>
      </c>
      <c r="BT157" s="208">
        <v>0</v>
      </c>
      <c r="BU157" s="208">
        <v>-760037</v>
      </c>
      <c r="BV157" s="208">
        <v>-64022</v>
      </c>
      <c r="BW157" s="208">
        <v>-824059</v>
      </c>
      <c r="BX157" s="208">
        <v>-38540</v>
      </c>
      <c r="BY157" s="208">
        <v>-4428</v>
      </c>
      <c r="BZ157" s="208">
        <v>-42968</v>
      </c>
      <c r="CA157" s="208">
        <v>-818578</v>
      </c>
      <c r="CB157" s="208">
        <v>-68450</v>
      </c>
      <c r="CC157" s="208">
        <v>-887028</v>
      </c>
      <c r="CD157" s="208">
        <v>-162542</v>
      </c>
      <c r="CE157" s="208">
        <v>-8924</v>
      </c>
      <c r="CF157" s="208">
        <v>-171466</v>
      </c>
      <c r="CG157" s="208">
        <v>2140</v>
      </c>
      <c r="CH157" s="208">
        <v>1734</v>
      </c>
      <c r="CI157" s="208">
        <v>3874</v>
      </c>
      <c r="CJ157" s="208">
        <v>-20025</v>
      </c>
      <c r="CK157" s="208">
        <v>0</v>
      </c>
      <c r="CL157" s="208">
        <v>-20025</v>
      </c>
      <c r="CM157" s="208">
        <v>-233</v>
      </c>
      <c r="CN157" s="208">
        <v>0</v>
      </c>
      <c r="CO157" s="208">
        <v>-233</v>
      </c>
      <c r="CP157" s="208">
        <v>-592</v>
      </c>
      <c r="CQ157" s="208">
        <v>0</v>
      </c>
      <c r="CR157" s="208">
        <v>-592</v>
      </c>
      <c r="CS157" s="208">
        <v>0</v>
      </c>
      <c r="CT157" s="208">
        <v>0</v>
      </c>
      <c r="CU157" s="208">
        <v>0</v>
      </c>
      <c r="CV157" s="208">
        <v>0</v>
      </c>
      <c r="CW157" s="208">
        <v>0</v>
      </c>
      <c r="CX157" s="208">
        <v>0</v>
      </c>
      <c r="CY157" s="208">
        <v>0</v>
      </c>
      <c r="CZ157" s="208">
        <v>0</v>
      </c>
      <c r="DA157" s="208">
        <v>0</v>
      </c>
      <c r="DB157" s="208">
        <v>0</v>
      </c>
      <c r="DC157" s="208">
        <v>0</v>
      </c>
      <c r="DD157" s="208">
        <v>0</v>
      </c>
      <c r="DE157" s="208">
        <v>0</v>
      </c>
      <c r="DF157" s="208">
        <v>0</v>
      </c>
      <c r="DG157" s="208">
        <v>0</v>
      </c>
      <c r="DH157" s="208">
        <v>0</v>
      </c>
      <c r="DI157" s="208">
        <v>-353053</v>
      </c>
      <c r="DJ157" s="208">
        <v>-353053</v>
      </c>
      <c r="DK157" s="208">
        <v>0</v>
      </c>
      <c r="DL157" s="208">
        <v>0</v>
      </c>
      <c r="DM157" s="208">
        <v>0</v>
      </c>
      <c r="DN157" s="208">
        <v>-353053</v>
      </c>
      <c r="DO157" s="208">
        <v>0</v>
      </c>
      <c r="DP157" s="208">
        <v>-181252</v>
      </c>
      <c r="DQ157" s="208">
        <v>-360243</v>
      </c>
      <c r="DR157" s="208">
        <v>-541495</v>
      </c>
      <c r="DS157" s="208">
        <v>0</v>
      </c>
      <c r="DT157" s="208">
        <v>0</v>
      </c>
      <c r="DU157" s="208">
        <v>0</v>
      </c>
      <c r="DV157" s="208">
        <v>0</v>
      </c>
      <c r="DW157" s="208">
        <v>0</v>
      </c>
      <c r="DX157" s="208">
        <v>0</v>
      </c>
      <c r="DY157" s="208">
        <v>0</v>
      </c>
      <c r="DZ157" s="208">
        <v>0</v>
      </c>
      <c r="EA157" s="208">
        <v>0</v>
      </c>
      <c r="EB157" s="208">
        <v>0</v>
      </c>
      <c r="EC157" s="208">
        <v>0</v>
      </c>
      <c r="ED157" s="208">
        <v>0</v>
      </c>
      <c r="EE157" s="208">
        <v>0</v>
      </c>
      <c r="EF157" s="208">
        <v>0</v>
      </c>
      <c r="EG157" s="208">
        <v>0</v>
      </c>
      <c r="EH157" s="208">
        <v>0</v>
      </c>
      <c r="EI157" s="208">
        <v>0</v>
      </c>
      <c r="EJ157" s="208">
        <v>0</v>
      </c>
      <c r="EK157" s="208">
        <v>-10014</v>
      </c>
      <c r="EL157" s="208">
        <v>0</v>
      </c>
      <c r="EM157" s="208">
        <v>-10014</v>
      </c>
      <c r="EN157" s="208">
        <v>0</v>
      </c>
      <c r="EO157" s="208">
        <v>0</v>
      </c>
      <c r="EP157" s="208">
        <v>0</v>
      </c>
      <c r="EQ157" s="208">
        <v>0</v>
      </c>
      <c r="ER157" s="208">
        <v>0</v>
      </c>
      <c r="ES157" s="208">
        <v>0</v>
      </c>
      <c r="ET157" s="208">
        <v>0</v>
      </c>
      <c r="EU157" s="208">
        <v>0</v>
      </c>
      <c r="EV157" s="208">
        <v>0</v>
      </c>
      <c r="EW157" s="208">
        <v>-20977</v>
      </c>
      <c r="EX157" s="208">
        <v>0</v>
      </c>
      <c r="EY157" s="208">
        <v>-20977</v>
      </c>
      <c r="EZ157" s="208">
        <v>17</v>
      </c>
      <c r="FA157" s="208">
        <v>0</v>
      </c>
      <c r="FB157" s="208">
        <v>17</v>
      </c>
      <c r="FC157" s="208">
        <v>-76899</v>
      </c>
      <c r="FD157" s="208">
        <v>-7918</v>
      </c>
      <c r="FE157" s="208">
        <v>-84817</v>
      </c>
      <c r="FF157" s="208">
        <v>11530</v>
      </c>
      <c r="FG157" s="208">
        <v>2336</v>
      </c>
      <c r="FH157" s="208">
        <v>13866</v>
      </c>
      <c r="FI157" s="208">
        <v>-30118</v>
      </c>
      <c r="FJ157" s="208">
        <v>-1792</v>
      </c>
      <c r="FK157" s="208">
        <v>-31910</v>
      </c>
      <c r="FL157" s="208">
        <v>-1000</v>
      </c>
      <c r="FM157" s="208">
        <v>0</v>
      </c>
      <c r="FN157" s="208">
        <v>-1000</v>
      </c>
      <c r="FO157" s="208">
        <v>0</v>
      </c>
      <c r="FP157" s="208">
        <v>0</v>
      </c>
      <c r="FQ157" s="208">
        <v>0</v>
      </c>
      <c r="FR157" s="208">
        <v>0</v>
      </c>
      <c r="FS157" s="208">
        <v>0</v>
      </c>
      <c r="FT157" s="208">
        <v>0</v>
      </c>
      <c r="FU157" s="208">
        <v>-127461</v>
      </c>
      <c r="FV157" s="208">
        <v>-7374</v>
      </c>
      <c r="FW157" s="208">
        <v>-134835</v>
      </c>
      <c r="FX157" s="208">
        <v>0</v>
      </c>
      <c r="FY157" s="208">
        <v>0</v>
      </c>
      <c r="FZ157" s="208">
        <v>0</v>
      </c>
      <c r="GA157" s="208">
        <v>0</v>
      </c>
      <c r="GB157" s="208">
        <v>0</v>
      </c>
      <c r="GC157" s="208">
        <v>0</v>
      </c>
      <c r="GD157" s="208">
        <v>0</v>
      </c>
      <c r="GE157" s="208">
        <v>0</v>
      </c>
      <c r="GF157" s="208">
        <v>0</v>
      </c>
      <c r="GG157" s="208">
        <v>30908042</v>
      </c>
      <c r="GH157" s="208">
        <v>3360337</v>
      </c>
      <c r="GI157" s="208">
        <v>34268379</v>
      </c>
      <c r="GJ157" s="208">
        <v>-574286</v>
      </c>
      <c r="GK157" s="208">
        <v>28042</v>
      </c>
      <c r="GL157" s="208">
        <v>-546244</v>
      </c>
      <c r="GM157" s="208">
        <v>-6347271</v>
      </c>
      <c r="GN157" s="208">
        <v>-534583</v>
      </c>
      <c r="GO157" s="208">
        <v>-6881854</v>
      </c>
      <c r="GP157" s="208">
        <v>-818578</v>
      </c>
      <c r="GQ157" s="208">
        <v>-68450</v>
      </c>
      <c r="GR157" s="208">
        <v>-887028</v>
      </c>
      <c r="GS157" s="208">
        <v>-181252</v>
      </c>
      <c r="GT157" s="208">
        <v>-360243</v>
      </c>
      <c r="GU157" s="208">
        <v>-541495</v>
      </c>
      <c r="GV157" s="208">
        <v>-127461</v>
      </c>
      <c r="GW157" s="208">
        <v>-7374</v>
      </c>
      <c r="GX157" s="208">
        <v>-134835</v>
      </c>
      <c r="GY157" s="208">
        <v>0</v>
      </c>
      <c r="GZ157" s="208">
        <v>0</v>
      </c>
      <c r="HA157" s="208">
        <v>0</v>
      </c>
      <c r="HB157" s="208">
        <v>-8048848</v>
      </c>
      <c r="HC157" s="208">
        <v>-942608</v>
      </c>
      <c r="HD157" s="208">
        <v>-8991456</v>
      </c>
      <c r="HE157" s="208">
        <v>22859194</v>
      </c>
      <c r="HF157" s="208">
        <v>2417729</v>
      </c>
      <c r="HG157" s="208">
        <v>25276923</v>
      </c>
      <c r="HH157" s="187" t="s">
        <v>1054</v>
      </c>
    </row>
    <row r="158" spans="1:216" s="187" customFormat="1" x14ac:dyDescent="0.2">
      <c r="B158" s="429" t="s">
        <v>393</v>
      </c>
      <c r="C158" s="429" t="s">
        <v>392</v>
      </c>
      <c r="D158" s="208">
        <v>-6296320</v>
      </c>
      <c r="E158" s="208">
        <v>0</v>
      </c>
      <c r="F158" s="208">
        <v>-6296320</v>
      </c>
      <c r="G158" s="208">
        <v>1671895</v>
      </c>
      <c r="H158" s="208">
        <v>0</v>
      </c>
      <c r="I158" s="208">
        <v>1671895</v>
      </c>
      <c r="J158" s="208">
        <v>786290</v>
      </c>
      <c r="K158" s="208">
        <v>0</v>
      </c>
      <c r="L158" s="208">
        <v>786290</v>
      </c>
      <c r="M158" s="208">
        <v>23104</v>
      </c>
      <c r="N158" s="208">
        <v>0</v>
      </c>
      <c r="O158" s="208">
        <v>23104</v>
      </c>
      <c r="P158" s="208">
        <v>-3815031</v>
      </c>
      <c r="Q158" s="208">
        <v>0</v>
      </c>
      <c r="R158" s="208">
        <v>-3815031</v>
      </c>
      <c r="S158" s="208">
        <v>-7237544</v>
      </c>
      <c r="T158" s="208">
        <v>0</v>
      </c>
      <c r="U158" s="208">
        <v>-7237544</v>
      </c>
      <c r="V158" s="208">
        <v>0</v>
      </c>
      <c r="W158" s="208">
        <v>0</v>
      </c>
      <c r="X158" s="208">
        <v>0</v>
      </c>
      <c r="Y158" s="208">
        <v>-134297</v>
      </c>
      <c r="Z158" s="208">
        <v>0</v>
      </c>
      <c r="AA158" s="208">
        <v>-134297</v>
      </c>
      <c r="AB158" s="208">
        <v>-53600</v>
      </c>
      <c r="AC158" s="208">
        <v>0</v>
      </c>
      <c r="AD158" s="208">
        <v>-53600</v>
      </c>
      <c r="AE158" s="208">
        <v>-76484</v>
      </c>
      <c r="AF158" s="208">
        <v>0</v>
      </c>
      <c r="AG158" s="208">
        <v>-76484</v>
      </c>
      <c r="AH158" s="208">
        <v>0</v>
      </c>
      <c r="AI158" s="208">
        <v>0</v>
      </c>
      <c r="AJ158" s="208">
        <v>0</v>
      </c>
      <c r="AK158" s="208">
        <v>0</v>
      </c>
      <c r="AL158" s="208">
        <v>0</v>
      </c>
      <c r="AM158" s="208">
        <v>0</v>
      </c>
      <c r="AN158" s="208">
        <v>1570206</v>
      </c>
      <c r="AO158" s="208">
        <v>0</v>
      </c>
      <c r="AP158" s="208">
        <v>1570206</v>
      </c>
      <c r="AQ158" s="208">
        <v>-57685</v>
      </c>
      <c r="AR158" s="208">
        <v>0</v>
      </c>
      <c r="AS158" s="208">
        <v>-57685</v>
      </c>
      <c r="AT158" s="208">
        <v>-8743063</v>
      </c>
      <c r="AU158" s="208">
        <v>0</v>
      </c>
      <c r="AV158" s="208">
        <v>-8743063</v>
      </c>
      <c r="AW158" s="208">
        <v>-56070</v>
      </c>
      <c r="AX158" s="208">
        <v>0</v>
      </c>
      <c r="AY158" s="208">
        <v>-56070</v>
      </c>
      <c r="AZ158" s="208">
        <v>0</v>
      </c>
      <c r="BA158" s="208">
        <v>0</v>
      </c>
      <c r="BB158" s="208">
        <v>0</v>
      </c>
      <c r="BC158" s="208">
        <v>0</v>
      </c>
      <c r="BD158" s="208">
        <v>0</v>
      </c>
      <c r="BE158" s="208">
        <v>0</v>
      </c>
      <c r="BF158" s="208">
        <v>0</v>
      </c>
      <c r="BG158" s="208">
        <v>0</v>
      </c>
      <c r="BH158" s="208">
        <v>0</v>
      </c>
      <c r="BI158" s="208">
        <v>0</v>
      </c>
      <c r="BJ158" s="208">
        <v>0</v>
      </c>
      <c r="BK158" s="208">
        <v>0</v>
      </c>
      <c r="BL158" s="208">
        <v>-14658453</v>
      </c>
      <c r="BM158" s="208">
        <v>0</v>
      </c>
      <c r="BN158" s="208">
        <v>-14658453</v>
      </c>
      <c r="BO158" s="208">
        <v>-26014</v>
      </c>
      <c r="BP158" s="208">
        <v>0</v>
      </c>
      <c r="BQ158" s="208">
        <v>-26014</v>
      </c>
      <c r="BR158" s="208">
        <v>0</v>
      </c>
      <c r="BS158" s="208">
        <v>0</v>
      </c>
      <c r="BT158" s="208">
        <v>0</v>
      </c>
      <c r="BU158" s="208">
        <v>-1131378</v>
      </c>
      <c r="BV158" s="208">
        <v>0</v>
      </c>
      <c r="BW158" s="208">
        <v>-1131378</v>
      </c>
      <c r="BX158" s="208">
        <v>-41600</v>
      </c>
      <c r="BY158" s="208">
        <v>0</v>
      </c>
      <c r="BZ158" s="208">
        <v>-41600</v>
      </c>
      <c r="CA158" s="208">
        <v>-1198992</v>
      </c>
      <c r="CB158" s="208">
        <v>0</v>
      </c>
      <c r="CC158" s="208">
        <v>-1198992</v>
      </c>
      <c r="CD158" s="208">
        <v>-697631</v>
      </c>
      <c r="CE158" s="208">
        <v>0</v>
      </c>
      <c r="CF158" s="208">
        <v>-697631</v>
      </c>
      <c r="CG158" s="208">
        <v>1790</v>
      </c>
      <c r="CH158" s="208">
        <v>0</v>
      </c>
      <c r="CI158" s="208">
        <v>1790</v>
      </c>
      <c r="CJ158" s="208">
        <v>0</v>
      </c>
      <c r="CK158" s="208">
        <v>0</v>
      </c>
      <c r="CL158" s="208">
        <v>0</v>
      </c>
      <c r="CM158" s="208">
        <v>0</v>
      </c>
      <c r="CN158" s="208">
        <v>0</v>
      </c>
      <c r="CO158" s="208">
        <v>0</v>
      </c>
      <c r="CP158" s="208">
        <v>0</v>
      </c>
      <c r="CQ158" s="208">
        <v>0</v>
      </c>
      <c r="CR158" s="208">
        <v>0</v>
      </c>
      <c r="CS158" s="208">
        <v>0</v>
      </c>
      <c r="CT158" s="208">
        <v>0</v>
      </c>
      <c r="CU158" s="208">
        <v>0</v>
      </c>
      <c r="CV158" s="208">
        <v>0</v>
      </c>
      <c r="CW158" s="208">
        <v>0</v>
      </c>
      <c r="CX158" s="208">
        <v>0</v>
      </c>
      <c r="CY158" s="208">
        <v>0</v>
      </c>
      <c r="CZ158" s="208">
        <v>0</v>
      </c>
      <c r="DA158" s="208">
        <v>0</v>
      </c>
      <c r="DB158" s="208">
        <v>0</v>
      </c>
      <c r="DC158" s="208">
        <v>0</v>
      </c>
      <c r="DD158" s="208">
        <v>0</v>
      </c>
      <c r="DE158" s="208">
        <v>0</v>
      </c>
      <c r="DF158" s="208">
        <v>0</v>
      </c>
      <c r="DG158" s="208">
        <v>0</v>
      </c>
      <c r="DH158" s="208">
        <v>-1777</v>
      </c>
      <c r="DI158" s="208">
        <v>0</v>
      </c>
      <c r="DJ158" s="208">
        <v>-1777</v>
      </c>
      <c r="DK158" s="208">
        <v>58</v>
      </c>
      <c r="DL158" s="208">
        <v>0</v>
      </c>
      <c r="DM158" s="208">
        <v>58</v>
      </c>
      <c r="DN158" s="208">
        <v>0</v>
      </c>
      <c r="DO158" s="208">
        <v>0</v>
      </c>
      <c r="DP158" s="208">
        <v>-697560</v>
      </c>
      <c r="DQ158" s="208">
        <v>0</v>
      </c>
      <c r="DR158" s="208">
        <v>-697560</v>
      </c>
      <c r="DS158" s="208">
        <v>9882</v>
      </c>
      <c r="DT158" s="208">
        <v>0</v>
      </c>
      <c r="DU158" s="208">
        <v>9882</v>
      </c>
      <c r="DV158" s="208">
        <v>0</v>
      </c>
      <c r="DW158" s="208">
        <v>0</v>
      </c>
      <c r="DX158" s="208">
        <v>0</v>
      </c>
      <c r="DY158" s="208">
        <v>-414</v>
      </c>
      <c r="DZ158" s="208">
        <v>0</v>
      </c>
      <c r="EA158" s="208">
        <v>-414</v>
      </c>
      <c r="EB158" s="208">
        <v>0</v>
      </c>
      <c r="EC158" s="208">
        <v>0</v>
      </c>
      <c r="ED158" s="208">
        <v>0</v>
      </c>
      <c r="EE158" s="208">
        <v>0</v>
      </c>
      <c r="EF158" s="208">
        <v>0</v>
      </c>
      <c r="EG158" s="208">
        <v>0</v>
      </c>
      <c r="EH158" s="208">
        <v>0</v>
      </c>
      <c r="EI158" s="208">
        <v>0</v>
      </c>
      <c r="EJ158" s="208">
        <v>0</v>
      </c>
      <c r="EK158" s="208">
        <v>0</v>
      </c>
      <c r="EL158" s="208">
        <v>0</v>
      </c>
      <c r="EM158" s="208">
        <v>0</v>
      </c>
      <c r="EN158" s="208">
        <v>0</v>
      </c>
      <c r="EO158" s="208">
        <v>0</v>
      </c>
      <c r="EP158" s="208">
        <v>0</v>
      </c>
      <c r="EQ158" s="208">
        <v>0</v>
      </c>
      <c r="ER158" s="208">
        <v>0</v>
      </c>
      <c r="ES158" s="208">
        <v>0</v>
      </c>
      <c r="ET158" s="208">
        <v>0</v>
      </c>
      <c r="EU158" s="208">
        <v>0</v>
      </c>
      <c r="EV158" s="208">
        <v>0</v>
      </c>
      <c r="EW158" s="208">
        <v>-148542</v>
      </c>
      <c r="EX158" s="208">
        <v>0</v>
      </c>
      <c r="EY158" s="208">
        <v>-148542</v>
      </c>
      <c r="EZ158" s="208">
        <v>-2456</v>
      </c>
      <c r="FA158" s="208">
        <v>0</v>
      </c>
      <c r="FB158" s="208">
        <v>-2456</v>
      </c>
      <c r="FC158" s="208">
        <v>-344000</v>
      </c>
      <c r="FD158" s="208">
        <v>0</v>
      </c>
      <c r="FE158" s="208">
        <v>-344000</v>
      </c>
      <c r="FF158" s="208">
        <v>3918</v>
      </c>
      <c r="FG158" s="208">
        <v>0</v>
      </c>
      <c r="FH158" s="208">
        <v>3918</v>
      </c>
      <c r="FI158" s="208">
        <v>-43679</v>
      </c>
      <c r="FJ158" s="208">
        <v>0</v>
      </c>
      <c r="FK158" s="208">
        <v>-43679</v>
      </c>
      <c r="FL158" s="208">
        <v>-2838</v>
      </c>
      <c r="FM158" s="208">
        <v>0</v>
      </c>
      <c r="FN158" s="208">
        <v>-2838</v>
      </c>
      <c r="FO158" s="208">
        <v>0</v>
      </c>
      <c r="FP158" s="208">
        <v>0</v>
      </c>
      <c r="FQ158" s="208">
        <v>0</v>
      </c>
      <c r="FR158" s="208">
        <v>0</v>
      </c>
      <c r="FS158" s="208">
        <v>0</v>
      </c>
      <c r="FT158" s="208">
        <v>0</v>
      </c>
      <c r="FU158" s="208">
        <v>-528129</v>
      </c>
      <c r="FV158" s="208">
        <v>0</v>
      </c>
      <c r="FW158" s="208">
        <v>-528129</v>
      </c>
      <c r="FX158" s="208">
        <v>0</v>
      </c>
      <c r="FY158" s="208">
        <v>0</v>
      </c>
      <c r="FZ158" s="208">
        <v>0</v>
      </c>
      <c r="GA158" s="208">
        <v>0</v>
      </c>
      <c r="GB158" s="208">
        <v>0</v>
      </c>
      <c r="GC158" s="208">
        <v>0</v>
      </c>
      <c r="GD158" s="208">
        <v>0</v>
      </c>
      <c r="GE158" s="208">
        <v>0</v>
      </c>
      <c r="GF158" s="208">
        <v>0</v>
      </c>
      <c r="GG158" s="208">
        <v>82491872</v>
      </c>
      <c r="GH158" s="208">
        <v>0</v>
      </c>
      <c r="GI158" s="208">
        <v>82491872</v>
      </c>
      <c r="GJ158" s="208">
        <v>-3815031</v>
      </c>
      <c r="GK158" s="208">
        <v>0</v>
      </c>
      <c r="GL158" s="208">
        <v>-3815031</v>
      </c>
      <c r="GM158" s="208">
        <v>-14658453</v>
      </c>
      <c r="GN158" s="208">
        <v>0</v>
      </c>
      <c r="GO158" s="208">
        <v>-14658453</v>
      </c>
      <c r="GP158" s="208">
        <v>-1198992</v>
      </c>
      <c r="GQ158" s="208">
        <v>0</v>
      </c>
      <c r="GR158" s="208">
        <v>-1198992</v>
      </c>
      <c r="GS158" s="208">
        <v>-697560</v>
      </c>
      <c r="GT158" s="208">
        <v>0</v>
      </c>
      <c r="GU158" s="208">
        <v>-697560</v>
      </c>
      <c r="GV158" s="208">
        <v>-528129</v>
      </c>
      <c r="GW158" s="208">
        <v>0</v>
      </c>
      <c r="GX158" s="208">
        <v>-528129</v>
      </c>
      <c r="GY158" s="208">
        <v>0</v>
      </c>
      <c r="GZ158" s="208">
        <v>0</v>
      </c>
      <c r="HA158" s="208">
        <v>0</v>
      </c>
      <c r="HB158" s="208">
        <v>-20898165</v>
      </c>
      <c r="HC158" s="208">
        <v>0</v>
      </c>
      <c r="HD158" s="208">
        <v>-20898165</v>
      </c>
      <c r="HE158" s="208">
        <v>61593707</v>
      </c>
      <c r="HF158" s="208">
        <v>0</v>
      </c>
      <c r="HG158" s="208">
        <v>61593707</v>
      </c>
      <c r="HH158" s="187" t="s">
        <v>1057</v>
      </c>
    </row>
    <row r="159" spans="1:216" s="187" customFormat="1" x14ac:dyDescent="0.2">
      <c r="B159" s="429" t="s">
        <v>395</v>
      </c>
      <c r="C159" s="429" t="s">
        <v>394</v>
      </c>
      <c r="D159" s="208">
        <v>-1381801</v>
      </c>
      <c r="E159" s="208">
        <v>0</v>
      </c>
      <c r="F159" s="208">
        <v>-1381801</v>
      </c>
      <c r="G159" s="208">
        <v>148458</v>
      </c>
      <c r="H159" s="208">
        <v>0</v>
      </c>
      <c r="I159" s="208">
        <v>148458</v>
      </c>
      <c r="J159" s="208">
        <v>1016839</v>
      </c>
      <c r="K159" s="208">
        <v>0</v>
      </c>
      <c r="L159" s="208">
        <v>1016839</v>
      </c>
      <c r="M159" s="208">
        <v>-32492</v>
      </c>
      <c r="N159" s="208">
        <v>0</v>
      </c>
      <c r="O159" s="208">
        <v>-32492</v>
      </c>
      <c r="P159" s="208">
        <v>-248996</v>
      </c>
      <c r="Q159" s="208">
        <v>0</v>
      </c>
      <c r="R159" s="208">
        <v>-248996</v>
      </c>
      <c r="S159" s="208">
        <v>-3239920</v>
      </c>
      <c r="T159" s="208">
        <v>0</v>
      </c>
      <c r="U159" s="208">
        <v>-3239920</v>
      </c>
      <c r="V159" s="208">
        <v>-135212</v>
      </c>
      <c r="W159" s="208">
        <v>0</v>
      </c>
      <c r="X159" s="208">
        <v>-135212</v>
      </c>
      <c r="Y159" s="208">
        <v>-142550</v>
      </c>
      <c r="Z159" s="208">
        <v>0</v>
      </c>
      <c r="AA159" s="208">
        <v>-142550</v>
      </c>
      <c r="AB159" s="208">
        <v>-52470</v>
      </c>
      <c r="AC159" s="208">
        <v>0</v>
      </c>
      <c r="AD159" s="208">
        <v>-52470</v>
      </c>
      <c r="AE159" s="208">
        <v>-83062</v>
      </c>
      <c r="AF159" s="208">
        <v>0</v>
      </c>
      <c r="AG159" s="208">
        <v>-83062</v>
      </c>
      <c r="AH159" s="208">
        <v>0</v>
      </c>
      <c r="AI159" s="208">
        <v>0</v>
      </c>
      <c r="AJ159" s="208">
        <v>0</v>
      </c>
      <c r="AK159" s="208">
        <v>-845</v>
      </c>
      <c r="AL159" s="208">
        <v>0</v>
      </c>
      <c r="AM159" s="208">
        <v>-845</v>
      </c>
      <c r="AN159" s="208">
        <v>828667</v>
      </c>
      <c r="AO159" s="208">
        <v>0</v>
      </c>
      <c r="AP159" s="208">
        <v>828667</v>
      </c>
      <c r="AQ159" s="208">
        <v>-7467</v>
      </c>
      <c r="AR159" s="208">
        <v>0</v>
      </c>
      <c r="AS159" s="208">
        <v>-7467</v>
      </c>
      <c r="AT159" s="208">
        <v>-1909104</v>
      </c>
      <c r="AU159" s="208">
        <v>0</v>
      </c>
      <c r="AV159" s="208">
        <v>-1909104</v>
      </c>
      <c r="AW159" s="208">
        <v>-21636</v>
      </c>
      <c r="AX159" s="208">
        <v>0</v>
      </c>
      <c r="AY159" s="208">
        <v>-21636</v>
      </c>
      <c r="AZ159" s="208">
        <v>-53961</v>
      </c>
      <c r="BA159" s="208">
        <v>0</v>
      </c>
      <c r="BB159" s="208">
        <v>-53961</v>
      </c>
      <c r="BC159" s="208">
        <v>0</v>
      </c>
      <c r="BD159" s="208">
        <v>0</v>
      </c>
      <c r="BE159" s="208">
        <v>0</v>
      </c>
      <c r="BF159" s="208">
        <v>-3525</v>
      </c>
      <c r="BG159" s="208">
        <v>0</v>
      </c>
      <c r="BH159" s="208">
        <v>-3525</v>
      </c>
      <c r="BI159" s="208">
        <v>0</v>
      </c>
      <c r="BJ159" s="208">
        <v>0</v>
      </c>
      <c r="BK159" s="208">
        <v>0</v>
      </c>
      <c r="BL159" s="208">
        <v>-4549496</v>
      </c>
      <c r="BM159" s="208">
        <v>0</v>
      </c>
      <c r="BN159" s="208">
        <v>-4549496</v>
      </c>
      <c r="BO159" s="208">
        <v>-149632</v>
      </c>
      <c r="BP159" s="208">
        <v>0</v>
      </c>
      <c r="BQ159" s="208">
        <v>-149632</v>
      </c>
      <c r="BR159" s="208">
        <v>-116892</v>
      </c>
      <c r="BS159" s="208">
        <v>0</v>
      </c>
      <c r="BT159" s="208">
        <v>-116892</v>
      </c>
      <c r="BU159" s="208">
        <v>-1333472</v>
      </c>
      <c r="BV159" s="208">
        <v>0</v>
      </c>
      <c r="BW159" s="208">
        <v>-1333472</v>
      </c>
      <c r="BX159" s="208">
        <v>-30189</v>
      </c>
      <c r="BY159" s="208">
        <v>0</v>
      </c>
      <c r="BZ159" s="208">
        <v>-30189</v>
      </c>
      <c r="CA159" s="208">
        <v>-1630185</v>
      </c>
      <c r="CB159" s="208">
        <v>0</v>
      </c>
      <c r="CC159" s="208">
        <v>-1630185</v>
      </c>
      <c r="CD159" s="208">
        <v>-32539</v>
      </c>
      <c r="CE159" s="208">
        <v>0</v>
      </c>
      <c r="CF159" s="208">
        <v>-32539</v>
      </c>
      <c r="CG159" s="208">
        <v>-1146</v>
      </c>
      <c r="CH159" s="208">
        <v>0</v>
      </c>
      <c r="CI159" s="208">
        <v>-1146</v>
      </c>
      <c r="CJ159" s="208">
        <v>-23472</v>
      </c>
      <c r="CK159" s="208">
        <v>0</v>
      </c>
      <c r="CL159" s="208">
        <v>-23472</v>
      </c>
      <c r="CM159" s="208">
        <v>4902</v>
      </c>
      <c r="CN159" s="208">
        <v>0</v>
      </c>
      <c r="CO159" s="208">
        <v>4902</v>
      </c>
      <c r="CP159" s="208">
        <v>0</v>
      </c>
      <c r="CQ159" s="208">
        <v>0</v>
      </c>
      <c r="CR159" s="208">
        <v>0</v>
      </c>
      <c r="CS159" s="208">
        <v>0</v>
      </c>
      <c r="CT159" s="208">
        <v>0</v>
      </c>
      <c r="CU159" s="208">
        <v>0</v>
      </c>
      <c r="CV159" s="208">
        <v>0</v>
      </c>
      <c r="CW159" s="208">
        <v>0</v>
      </c>
      <c r="CX159" s="208">
        <v>0</v>
      </c>
      <c r="CY159" s="208">
        <v>0</v>
      </c>
      <c r="CZ159" s="208">
        <v>0</v>
      </c>
      <c r="DA159" s="208">
        <v>0</v>
      </c>
      <c r="DB159" s="208">
        <v>0</v>
      </c>
      <c r="DC159" s="208">
        <v>0</v>
      </c>
      <c r="DD159" s="208">
        <v>0</v>
      </c>
      <c r="DE159" s="208">
        <v>0</v>
      </c>
      <c r="DF159" s="208">
        <v>0</v>
      </c>
      <c r="DG159" s="208">
        <v>0</v>
      </c>
      <c r="DH159" s="208">
        <v>0</v>
      </c>
      <c r="DI159" s="208">
        <v>0</v>
      </c>
      <c r="DJ159" s="208">
        <v>0</v>
      </c>
      <c r="DK159" s="208">
        <v>0</v>
      </c>
      <c r="DL159" s="208">
        <v>0</v>
      </c>
      <c r="DM159" s="208">
        <v>0</v>
      </c>
      <c r="DN159" s="208">
        <v>0</v>
      </c>
      <c r="DO159" s="208">
        <v>0</v>
      </c>
      <c r="DP159" s="208">
        <v>-52255</v>
      </c>
      <c r="DQ159" s="208">
        <v>0</v>
      </c>
      <c r="DR159" s="208">
        <v>-52255</v>
      </c>
      <c r="DS159" s="208">
        <v>0</v>
      </c>
      <c r="DT159" s="208">
        <v>0</v>
      </c>
      <c r="DU159" s="208">
        <v>0</v>
      </c>
      <c r="DV159" s="208">
        <v>0</v>
      </c>
      <c r="DW159" s="208">
        <v>0</v>
      </c>
      <c r="DX159" s="208">
        <v>0</v>
      </c>
      <c r="DY159" s="208">
        <v>1540</v>
      </c>
      <c r="DZ159" s="208">
        <v>0</v>
      </c>
      <c r="EA159" s="208">
        <v>1540</v>
      </c>
      <c r="EB159" s="208">
        <v>0</v>
      </c>
      <c r="EC159" s="208">
        <v>0</v>
      </c>
      <c r="ED159" s="208">
        <v>0</v>
      </c>
      <c r="EE159" s="208">
        <v>0</v>
      </c>
      <c r="EF159" s="208">
        <v>0</v>
      </c>
      <c r="EG159" s="208">
        <v>0</v>
      </c>
      <c r="EH159" s="208">
        <v>0</v>
      </c>
      <c r="EI159" s="208">
        <v>0</v>
      </c>
      <c r="EJ159" s="208">
        <v>0</v>
      </c>
      <c r="EK159" s="208">
        <v>-3525</v>
      </c>
      <c r="EL159" s="208">
        <v>0</v>
      </c>
      <c r="EM159" s="208">
        <v>-3525</v>
      </c>
      <c r="EN159" s="208">
        <v>0</v>
      </c>
      <c r="EO159" s="208">
        <v>0</v>
      </c>
      <c r="EP159" s="208">
        <v>0</v>
      </c>
      <c r="EQ159" s="208">
        <v>0</v>
      </c>
      <c r="ER159" s="208">
        <v>0</v>
      </c>
      <c r="ES159" s="208">
        <v>0</v>
      </c>
      <c r="ET159" s="208">
        <v>0</v>
      </c>
      <c r="EU159" s="208">
        <v>0</v>
      </c>
      <c r="EV159" s="208">
        <v>0</v>
      </c>
      <c r="EW159" s="208">
        <v>-25888</v>
      </c>
      <c r="EX159" s="208">
        <v>0</v>
      </c>
      <c r="EY159" s="208">
        <v>-25888</v>
      </c>
      <c r="EZ159" s="208">
        <v>2302</v>
      </c>
      <c r="FA159" s="208">
        <v>0</v>
      </c>
      <c r="FB159" s="208">
        <v>2302</v>
      </c>
      <c r="FC159" s="208">
        <v>-123725</v>
      </c>
      <c r="FD159" s="208">
        <v>0</v>
      </c>
      <c r="FE159" s="208">
        <v>-123725</v>
      </c>
      <c r="FF159" s="208">
        <v>2145</v>
      </c>
      <c r="FG159" s="208">
        <v>0</v>
      </c>
      <c r="FH159" s="208">
        <v>2145</v>
      </c>
      <c r="FI159" s="208">
        <v>-35671</v>
      </c>
      <c r="FJ159" s="208">
        <v>0</v>
      </c>
      <c r="FK159" s="208">
        <v>-35671</v>
      </c>
      <c r="FL159" s="208">
        <v>3019</v>
      </c>
      <c r="FM159" s="208">
        <v>0</v>
      </c>
      <c r="FN159" s="208">
        <v>3019</v>
      </c>
      <c r="FO159" s="208">
        <v>0</v>
      </c>
      <c r="FP159" s="208">
        <v>0</v>
      </c>
      <c r="FQ159" s="208">
        <v>0</v>
      </c>
      <c r="FR159" s="208">
        <v>0</v>
      </c>
      <c r="FS159" s="208">
        <v>0</v>
      </c>
      <c r="FT159" s="208">
        <v>0</v>
      </c>
      <c r="FU159" s="208">
        <v>-179803</v>
      </c>
      <c r="FV159" s="208">
        <v>0</v>
      </c>
      <c r="FW159" s="208">
        <v>-179803</v>
      </c>
      <c r="FX159" s="208">
        <v>0</v>
      </c>
      <c r="FY159" s="208">
        <v>0</v>
      </c>
      <c r="FZ159" s="208">
        <v>0</v>
      </c>
      <c r="GA159" s="208">
        <v>0</v>
      </c>
      <c r="GB159" s="208">
        <v>0</v>
      </c>
      <c r="GC159" s="208">
        <v>0</v>
      </c>
      <c r="GD159" s="208">
        <v>0</v>
      </c>
      <c r="GE159" s="208">
        <v>0</v>
      </c>
      <c r="GF159" s="208">
        <v>0</v>
      </c>
      <c r="GG159" s="208">
        <v>42959355</v>
      </c>
      <c r="GH159" s="208">
        <v>0</v>
      </c>
      <c r="GI159" s="208">
        <v>42959355</v>
      </c>
      <c r="GJ159" s="208">
        <v>-248996</v>
      </c>
      <c r="GK159" s="208">
        <v>0</v>
      </c>
      <c r="GL159" s="208">
        <v>-248996</v>
      </c>
      <c r="GM159" s="208">
        <v>-4549496</v>
      </c>
      <c r="GN159" s="208">
        <v>0</v>
      </c>
      <c r="GO159" s="208">
        <v>-4549496</v>
      </c>
      <c r="GP159" s="208">
        <v>-1630185</v>
      </c>
      <c r="GQ159" s="208">
        <v>0</v>
      </c>
      <c r="GR159" s="208">
        <v>-1630185</v>
      </c>
      <c r="GS159" s="208">
        <v>-52255</v>
      </c>
      <c r="GT159" s="208">
        <v>0</v>
      </c>
      <c r="GU159" s="208">
        <v>-52255</v>
      </c>
      <c r="GV159" s="208">
        <v>-179803</v>
      </c>
      <c r="GW159" s="208">
        <v>0</v>
      </c>
      <c r="GX159" s="208">
        <v>-179803</v>
      </c>
      <c r="GY159" s="208">
        <v>0</v>
      </c>
      <c r="GZ159" s="208">
        <v>0</v>
      </c>
      <c r="HA159" s="208">
        <v>0</v>
      </c>
      <c r="HB159" s="208">
        <v>-6660735</v>
      </c>
      <c r="HC159" s="208">
        <v>0</v>
      </c>
      <c r="HD159" s="208">
        <v>-6660735</v>
      </c>
      <c r="HE159" s="208">
        <v>36298620</v>
      </c>
      <c r="HF159" s="208">
        <v>0</v>
      </c>
      <c r="HG159" s="208">
        <v>36298620</v>
      </c>
      <c r="HH159" s="187" t="s">
        <v>1054</v>
      </c>
    </row>
    <row r="160" spans="1:216" s="187" customFormat="1" x14ac:dyDescent="0.2">
      <c r="B160" s="429" t="s">
        <v>397</v>
      </c>
      <c r="C160" s="429" t="s">
        <v>396</v>
      </c>
      <c r="D160" s="208">
        <v>-535293</v>
      </c>
      <c r="E160" s="208">
        <v>0</v>
      </c>
      <c r="F160" s="208">
        <v>-535293</v>
      </c>
      <c r="G160" s="208">
        <v>-37532</v>
      </c>
      <c r="H160" s="208">
        <v>0</v>
      </c>
      <c r="I160" s="208">
        <v>-37532</v>
      </c>
      <c r="J160" s="208">
        <v>605649</v>
      </c>
      <c r="K160" s="208">
        <v>0</v>
      </c>
      <c r="L160" s="208">
        <v>605649</v>
      </c>
      <c r="M160" s="208">
        <v>1677</v>
      </c>
      <c r="N160" s="208">
        <v>0</v>
      </c>
      <c r="O160" s="208">
        <v>1677</v>
      </c>
      <c r="P160" s="208">
        <v>34501</v>
      </c>
      <c r="Q160" s="208">
        <v>0</v>
      </c>
      <c r="R160" s="208">
        <v>34501</v>
      </c>
      <c r="S160" s="208">
        <v>-3303163</v>
      </c>
      <c r="T160" s="208">
        <v>0</v>
      </c>
      <c r="U160" s="208">
        <v>-3303163</v>
      </c>
      <c r="V160" s="208">
        <v>-24491</v>
      </c>
      <c r="W160" s="208">
        <v>0</v>
      </c>
      <c r="X160" s="208">
        <v>-24491</v>
      </c>
      <c r="Y160" s="208">
        <v>-139747</v>
      </c>
      <c r="Z160" s="208">
        <v>0</v>
      </c>
      <c r="AA160" s="208">
        <v>-139747</v>
      </c>
      <c r="AB160" s="208">
        <v>-27422</v>
      </c>
      <c r="AC160" s="208">
        <v>0</v>
      </c>
      <c r="AD160" s="208">
        <v>-27422</v>
      </c>
      <c r="AE160" s="208">
        <v>-112325</v>
      </c>
      <c r="AF160" s="208">
        <v>0</v>
      </c>
      <c r="AG160" s="208">
        <v>-112325</v>
      </c>
      <c r="AH160" s="208">
        <v>-1918</v>
      </c>
      <c r="AI160" s="208">
        <v>0</v>
      </c>
      <c r="AJ160" s="208">
        <v>-1918</v>
      </c>
      <c r="AK160" s="208">
        <v>2548</v>
      </c>
      <c r="AL160" s="208">
        <v>0</v>
      </c>
      <c r="AM160" s="208">
        <v>2548</v>
      </c>
      <c r="AN160" s="208">
        <v>1098316</v>
      </c>
      <c r="AO160" s="208">
        <v>0</v>
      </c>
      <c r="AP160" s="208">
        <v>1098316</v>
      </c>
      <c r="AQ160" s="208">
        <v>-2059</v>
      </c>
      <c r="AR160" s="208">
        <v>0</v>
      </c>
      <c r="AS160" s="208">
        <v>-2059</v>
      </c>
      <c r="AT160" s="208">
        <v>-5204281</v>
      </c>
      <c r="AU160" s="208">
        <v>0</v>
      </c>
      <c r="AV160" s="208">
        <v>-5204281</v>
      </c>
      <c r="AW160" s="208">
        <v>38132</v>
      </c>
      <c r="AX160" s="208">
        <v>0</v>
      </c>
      <c r="AY160" s="208">
        <v>38132</v>
      </c>
      <c r="AZ160" s="208">
        <v>-72688</v>
      </c>
      <c r="BA160" s="208">
        <v>0</v>
      </c>
      <c r="BB160" s="208">
        <v>-72688</v>
      </c>
      <c r="BC160" s="208">
        <v>-7639</v>
      </c>
      <c r="BD160" s="208">
        <v>0</v>
      </c>
      <c r="BE160" s="208">
        <v>-7639</v>
      </c>
      <c r="BF160" s="208">
        <v>0</v>
      </c>
      <c r="BG160" s="208">
        <v>0</v>
      </c>
      <c r="BH160" s="208">
        <v>0</v>
      </c>
      <c r="BI160" s="208">
        <v>0</v>
      </c>
      <c r="BJ160" s="208">
        <v>0</v>
      </c>
      <c r="BK160" s="208">
        <v>0</v>
      </c>
      <c r="BL160" s="208">
        <v>-7593129</v>
      </c>
      <c r="BM160" s="208">
        <v>0</v>
      </c>
      <c r="BN160" s="208">
        <v>-7593129</v>
      </c>
      <c r="BO160" s="208">
        <v>-3698</v>
      </c>
      <c r="BP160" s="208">
        <v>0</v>
      </c>
      <c r="BQ160" s="208">
        <v>-3698</v>
      </c>
      <c r="BR160" s="208">
        <v>0</v>
      </c>
      <c r="BS160" s="208">
        <v>0</v>
      </c>
      <c r="BT160" s="208">
        <v>0</v>
      </c>
      <c r="BU160" s="208">
        <v>-1972179</v>
      </c>
      <c r="BV160" s="208">
        <v>0</v>
      </c>
      <c r="BW160" s="208">
        <v>-1972179</v>
      </c>
      <c r="BX160" s="208">
        <v>-323744</v>
      </c>
      <c r="BY160" s="208">
        <v>0</v>
      </c>
      <c r="BZ160" s="208">
        <v>-323744</v>
      </c>
      <c r="CA160" s="208">
        <v>-2299621</v>
      </c>
      <c r="CB160" s="208">
        <v>0</v>
      </c>
      <c r="CC160" s="208">
        <v>-2299621</v>
      </c>
      <c r="CD160" s="208">
        <v>-30793</v>
      </c>
      <c r="CE160" s="208">
        <v>0</v>
      </c>
      <c r="CF160" s="208">
        <v>-30793</v>
      </c>
      <c r="CG160" s="208">
        <v>-62</v>
      </c>
      <c r="CH160" s="208">
        <v>0</v>
      </c>
      <c r="CI160" s="208">
        <v>-62</v>
      </c>
      <c r="CJ160" s="208">
        <v>-5976</v>
      </c>
      <c r="CK160" s="208">
        <v>0</v>
      </c>
      <c r="CL160" s="208">
        <v>-5976</v>
      </c>
      <c r="CM160" s="208">
        <v>0</v>
      </c>
      <c r="CN160" s="208">
        <v>0</v>
      </c>
      <c r="CO160" s="208">
        <v>0</v>
      </c>
      <c r="CP160" s="208">
        <v>-4424</v>
      </c>
      <c r="CQ160" s="208">
        <v>0</v>
      </c>
      <c r="CR160" s="208">
        <v>-4424</v>
      </c>
      <c r="CS160" s="208">
        <v>0</v>
      </c>
      <c r="CT160" s="208">
        <v>0</v>
      </c>
      <c r="CU160" s="208">
        <v>0</v>
      </c>
      <c r="CV160" s="208">
        <v>0</v>
      </c>
      <c r="CW160" s="208">
        <v>0</v>
      </c>
      <c r="CX160" s="208">
        <v>0</v>
      </c>
      <c r="CY160" s="208">
        <v>0</v>
      </c>
      <c r="CZ160" s="208">
        <v>0</v>
      </c>
      <c r="DA160" s="208">
        <v>0</v>
      </c>
      <c r="DB160" s="208">
        <v>0</v>
      </c>
      <c r="DC160" s="208">
        <v>0</v>
      </c>
      <c r="DD160" s="208">
        <v>0</v>
      </c>
      <c r="DE160" s="208">
        <v>0</v>
      </c>
      <c r="DF160" s="208">
        <v>0</v>
      </c>
      <c r="DG160" s="208">
        <v>0</v>
      </c>
      <c r="DH160" s="208">
        <v>-46428</v>
      </c>
      <c r="DI160" s="208">
        <v>0</v>
      </c>
      <c r="DJ160" s="208">
        <v>-46428</v>
      </c>
      <c r="DK160" s="208">
        <v>0</v>
      </c>
      <c r="DL160" s="208">
        <v>0</v>
      </c>
      <c r="DM160" s="208">
        <v>0</v>
      </c>
      <c r="DN160" s="208">
        <v>0</v>
      </c>
      <c r="DO160" s="208">
        <v>0</v>
      </c>
      <c r="DP160" s="208">
        <v>-87683</v>
      </c>
      <c r="DQ160" s="208">
        <v>0</v>
      </c>
      <c r="DR160" s="208">
        <v>-87683</v>
      </c>
      <c r="DS160" s="208">
        <v>1380</v>
      </c>
      <c r="DT160" s="208">
        <v>0</v>
      </c>
      <c r="DU160" s="208">
        <v>1380</v>
      </c>
      <c r="DV160" s="208">
        <v>2329</v>
      </c>
      <c r="DW160" s="208">
        <v>0</v>
      </c>
      <c r="DX160" s="208">
        <v>2329</v>
      </c>
      <c r="DY160" s="208">
        <v>0</v>
      </c>
      <c r="DZ160" s="208">
        <v>0</v>
      </c>
      <c r="EA160" s="208">
        <v>0</v>
      </c>
      <c r="EB160" s="208">
        <v>0</v>
      </c>
      <c r="EC160" s="208">
        <v>0</v>
      </c>
      <c r="ED160" s="208">
        <v>0</v>
      </c>
      <c r="EE160" s="208">
        <v>0</v>
      </c>
      <c r="EF160" s="208">
        <v>0</v>
      </c>
      <c r="EG160" s="208">
        <v>0</v>
      </c>
      <c r="EH160" s="208">
        <v>0</v>
      </c>
      <c r="EI160" s="208">
        <v>0</v>
      </c>
      <c r="EJ160" s="208">
        <v>0</v>
      </c>
      <c r="EK160" s="208">
        <v>-3233</v>
      </c>
      <c r="EL160" s="208">
        <v>0</v>
      </c>
      <c r="EM160" s="208">
        <v>-3233</v>
      </c>
      <c r="EN160" s="208">
        <v>0</v>
      </c>
      <c r="EO160" s="208">
        <v>0</v>
      </c>
      <c r="EP160" s="208">
        <v>0</v>
      </c>
      <c r="EQ160" s="208">
        <v>0</v>
      </c>
      <c r="ER160" s="208">
        <v>0</v>
      </c>
      <c r="ES160" s="208">
        <v>0</v>
      </c>
      <c r="ET160" s="208">
        <v>3000</v>
      </c>
      <c r="EU160" s="208">
        <v>0</v>
      </c>
      <c r="EV160" s="208">
        <v>3000</v>
      </c>
      <c r="EW160" s="208">
        <v>-6473</v>
      </c>
      <c r="EX160" s="208">
        <v>0</v>
      </c>
      <c r="EY160" s="208">
        <v>-6473</v>
      </c>
      <c r="EZ160" s="208">
        <v>0</v>
      </c>
      <c r="FA160" s="208">
        <v>0</v>
      </c>
      <c r="FB160" s="208">
        <v>0</v>
      </c>
      <c r="FC160" s="208">
        <v>-93941</v>
      </c>
      <c r="FD160" s="208">
        <v>0</v>
      </c>
      <c r="FE160" s="208">
        <v>-93941</v>
      </c>
      <c r="FF160" s="208">
        <v>-83250</v>
      </c>
      <c r="FG160" s="208">
        <v>0</v>
      </c>
      <c r="FH160" s="208">
        <v>-83250</v>
      </c>
      <c r="FI160" s="208">
        <v>-24500</v>
      </c>
      <c r="FJ160" s="208">
        <v>0</v>
      </c>
      <c r="FK160" s="208">
        <v>-24500</v>
      </c>
      <c r="FL160" s="208">
        <v>0</v>
      </c>
      <c r="FM160" s="208">
        <v>0</v>
      </c>
      <c r="FN160" s="208">
        <v>0</v>
      </c>
      <c r="FO160" s="208">
        <v>0</v>
      </c>
      <c r="FP160" s="208">
        <v>0</v>
      </c>
      <c r="FQ160" s="208">
        <v>0</v>
      </c>
      <c r="FR160" s="208">
        <v>0</v>
      </c>
      <c r="FS160" s="208">
        <v>0</v>
      </c>
      <c r="FT160" s="208">
        <v>0</v>
      </c>
      <c r="FU160" s="208">
        <v>-204688</v>
      </c>
      <c r="FV160" s="208">
        <v>0</v>
      </c>
      <c r="FW160" s="208">
        <v>-204688</v>
      </c>
      <c r="FX160" s="208">
        <v>0</v>
      </c>
      <c r="FY160" s="208">
        <v>0</v>
      </c>
      <c r="FZ160" s="208">
        <v>0</v>
      </c>
      <c r="GA160" s="208">
        <v>0</v>
      </c>
      <c r="GB160" s="208">
        <v>0</v>
      </c>
      <c r="GC160" s="208">
        <v>0</v>
      </c>
      <c r="GD160" s="208">
        <v>0</v>
      </c>
      <c r="GE160" s="208">
        <v>0</v>
      </c>
      <c r="GF160" s="208">
        <v>0</v>
      </c>
      <c r="GG160" s="208">
        <v>53612964</v>
      </c>
      <c r="GH160" s="208">
        <v>0</v>
      </c>
      <c r="GI160" s="208">
        <v>53612964</v>
      </c>
      <c r="GJ160" s="208">
        <v>34501</v>
      </c>
      <c r="GK160" s="208">
        <v>0</v>
      </c>
      <c r="GL160" s="208">
        <v>34501</v>
      </c>
      <c r="GM160" s="208">
        <v>-7593129</v>
      </c>
      <c r="GN160" s="208">
        <v>0</v>
      </c>
      <c r="GO160" s="208">
        <v>-7593129</v>
      </c>
      <c r="GP160" s="208">
        <v>-2299621</v>
      </c>
      <c r="GQ160" s="208">
        <v>0</v>
      </c>
      <c r="GR160" s="208">
        <v>-2299621</v>
      </c>
      <c r="GS160" s="208">
        <v>-87683</v>
      </c>
      <c r="GT160" s="208">
        <v>0</v>
      </c>
      <c r="GU160" s="208">
        <v>-87683</v>
      </c>
      <c r="GV160" s="208">
        <v>-204688</v>
      </c>
      <c r="GW160" s="208">
        <v>0</v>
      </c>
      <c r="GX160" s="208">
        <v>-204688</v>
      </c>
      <c r="GY160" s="208">
        <v>0</v>
      </c>
      <c r="GZ160" s="208">
        <v>0</v>
      </c>
      <c r="HA160" s="208">
        <v>0</v>
      </c>
      <c r="HB160" s="208">
        <v>-10150620</v>
      </c>
      <c r="HC160" s="208">
        <v>0</v>
      </c>
      <c r="HD160" s="208">
        <v>-10150620</v>
      </c>
      <c r="HE160" s="208">
        <v>43462344</v>
      </c>
      <c r="HF160" s="208">
        <v>0</v>
      </c>
      <c r="HG160" s="208">
        <v>43462344</v>
      </c>
      <c r="HH160" s="187" t="s">
        <v>1054</v>
      </c>
    </row>
    <row r="161" spans="2:216" s="187" customFormat="1" x14ac:dyDescent="0.2">
      <c r="B161" s="429" t="s">
        <v>399</v>
      </c>
      <c r="C161" s="429" t="s">
        <v>398</v>
      </c>
      <c r="D161" s="208">
        <v>-4861691</v>
      </c>
      <c r="E161" s="208">
        <v>-308978</v>
      </c>
      <c r="F161" s="208">
        <v>-5170669</v>
      </c>
      <c r="G161" s="208">
        <v>127765</v>
      </c>
      <c r="H161" s="208">
        <v>30604</v>
      </c>
      <c r="I161" s="208">
        <v>158369</v>
      </c>
      <c r="J161" s="208">
        <v>6857524</v>
      </c>
      <c r="K161" s="208">
        <v>1354363</v>
      </c>
      <c r="L161" s="208">
        <v>8211887</v>
      </c>
      <c r="M161" s="208">
        <v>754849</v>
      </c>
      <c r="N161" s="208">
        <v>-149607</v>
      </c>
      <c r="O161" s="208">
        <v>605242</v>
      </c>
      <c r="P161" s="208">
        <v>2878447</v>
      </c>
      <c r="Q161" s="208">
        <v>926382</v>
      </c>
      <c r="R161" s="208">
        <v>3804829</v>
      </c>
      <c r="S161" s="208">
        <v>-13625310</v>
      </c>
      <c r="T161" s="208">
        <v>-1045787</v>
      </c>
      <c r="U161" s="208">
        <v>-14671097</v>
      </c>
      <c r="V161" s="208">
        <v>-78927</v>
      </c>
      <c r="W161" s="208">
        <v>-4479</v>
      </c>
      <c r="X161" s="208">
        <v>-83406</v>
      </c>
      <c r="Y161" s="208">
        <v>-656896</v>
      </c>
      <c r="Z161" s="208">
        <v>-21857</v>
      </c>
      <c r="AA161" s="208">
        <v>-678753</v>
      </c>
      <c r="AB161" s="208">
        <v>-151405</v>
      </c>
      <c r="AC161" s="208">
        <v>-4127</v>
      </c>
      <c r="AD161" s="208">
        <v>-155532</v>
      </c>
      <c r="AE161" s="208">
        <v>-476490</v>
      </c>
      <c r="AF161" s="208">
        <v>-19540</v>
      </c>
      <c r="AG161" s="208">
        <v>-496030</v>
      </c>
      <c r="AH161" s="208">
        <v>-10501</v>
      </c>
      <c r="AI161" s="208">
        <v>-214</v>
      </c>
      <c r="AJ161" s="208">
        <v>-10715</v>
      </c>
      <c r="AK161" s="208">
        <v>-27151</v>
      </c>
      <c r="AL161" s="208">
        <v>3306</v>
      </c>
      <c r="AM161" s="208">
        <v>-23845</v>
      </c>
      <c r="AN161" s="208">
        <v>4657381</v>
      </c>
      <c r="AO161" s="208">
        <v>749291</v>
      </c>
      <c r="AP161" s="208">
        <v>5406672</v>
      </c>
      <c r="AQ161" s="208">
        <v>264377</v>
      </c>
      <c r="AR161" s="208">
        <v>18594</v>
      </c>
      <c r="AS161" s="208">
        <v>282971</v>
      </c>
      <c r="AT161" s="208">
        <v>-19563295</v>
      </c>
      <c r="AU161" s="208">
        <v>-1000860</v>
      </c>
      <c r="AV161" s="208">
        <v>-20564155</v>
      </c>
      <c r="AW161" s="208">
        <v>496799</v>
      </c>
      <c r="AX161" s="208">
        <v>141275</v>
      </c>
      <c r="AY161" s="208">
        <v>638074</v>
      </c>
      <c r="AZ161" s="208">
        <v>-4792</v>
      </c>
      <c r="BA161" s="208">
        <v>0</v>
      </c>
      <c r="BB161" s="208">
        <v>-4792</v>
      </c>
      <c r="BC161" s="208">
        <v>0</v>
      </c>
      <c r="BD161" s="208">
        <v>0</v>
      </c>
      <c r="BE161" s="208">
        <v>0</v>
      </c>
      <c r="BF161" s="208">
        <v>0</v>
      </c>
      <c r="BG161" s="208">
        <v>0</v>
      </c>
      <c r="BH161" s="208">
        <v>0</v>
      </c>
      <c r="BI161" s="208">
        <v>0</v>
      </c>
      <c r="BJ161" s="208">
        <v>0</v>
      </c>
      <c r="BK161" s="208">
        <v>0</v>
      </c>
      <c r="BL161" s="208">
        <v>-28431736</v>
      </c>
      <c r="BM161" s="208">
        <v>-1159344</v>
      </c>
      <c r="BN161" s="208">
        <v>-29591080</v>
      </c>
      <c r="BO161" s="208">
        <v>0</v>
      </c>
      <c r="BP161" s="208">
        <v>0</v>
      </c>
      <c r="BQ161" s="208">
        <v>0</v>
      </c>
      <c r="BR161" s="208">
        <v>-34927</v>
      </c>
      <c r="BS161" s="208">
        <v>0</v>
      </c>
      <c r="BT161" s="208">
        <v>-34927</v>
      </c>
      <c r="BU161" s="208">
        <v>-7346500</v>
      </c>
      <c r="BV161" s="208">
        <v>-6610939</v>
      </c>
      <c r="BW161" s="208">
        <v>-13957439</v>
      </c>
      <c r="BX161" s="208">
        <v>-179205</v>
      </c>
      <c r="BY161" s="208">
        <v>224314</v>
      </c>
      <c r="BZ161" s="208">
        <v>45109</v>
      </c>
      <c r="CA161" s="208">
        <v>-7560632</v>
      </c>
      <c r="CB161" s="208">
        <v>-6386625</v>
      </c>
      <c r="CC161" s="208">
        <v>-13947257</v>
      </c>
      <c r="CD161" s="208">
        <v>-60655</v>
      </c>
      <c r="CE161" s="208">
        <v>-8549</v>
      </c>
      <c r="CF161" s="208">
        <v>-69204</v>
      </c>
      <c r="CG161" s="208">
        <v>-11895</v>
      </c>
      <c r="CH161" s="208">
        <v>-11812</v>
      </c>
      <c r="CI161" s="208">
        <v>-23707</v>
      </c>
      <c r="CJ161" s="208">
        <v>-36469</v>
      </c>
      <c r="CK161" s="208">
        <v>0</v>
      </c>
      <c r="CL161" s="208">
        <v>-36469</v>
      </c>
      <c r="CM161" s="208">
        <v>-51450</v>
      </c>
      <c r="CN161" s="208">
        <v>0</v>
      </c>
      <c r="CO161" s="208">
        <v>-51450</v>
      </c>
      <c r="CP161" s="208">
        <v>0</v>
      </c>
      <c r="CQ161" s="208">
        <v>0</v>
      </c>
      <c r="CR161" s="208">
        <v>0</v>
      </c>
      <c r="CS161" s="208">
        <v>0</v>
      </c>
      <c r="CT161" s="208">
        <v>0</v>
      </c>
      <c r="CU161" s="208">
        <v>0</v>
      </c>
      <c r="CV161" s="208">
        <v>0</v>
      </c>
      <c r="CW161" s="208">
        <v>0</v>
      </c>
      <c r="CX161" s="208">
        <v>0</v>
      </c>
      <c r="CY161" s="208">
        <v>0</v>
      </c>
      <c r="CZ161" s="208">
        <v>0</v>
      </c>
      <c r="DA161" s="208">
        <v>0</v>
      </c>
      <c r="DB161" s="208">
        <v>0</v>
      </c>
      <c r="DC161" s="208">
        <v>0</v>
      </c>
      <c r="DD161" s="208">
        <v>0</v>
      </c>
      <c r="DE161" s="208">
        <v>0</v>
      </c>
      <c r="DF161" s="208">
        <v>0</v>
      </c>
      <c r="DG161" s="208">
        <v>0</v>
      </c>
      <c r="DH161" s="208">
        <v>0</v>
      </c>
      <c r="DI161" s="208">
        <v>-338557</v>
      </c>
      <c r="DJ161" s="208">
        <v>-338557</v>
      </c>
      <c r="DK161" s="208">
        <v>0</v>
      </c>
      <c r="DL161" s="208">
        <v>14211</v>
      </c>
      <c r="DM161" s="208">
        <v>14211</v>
      </c>
      <c r="DN161" s="208">
        <v>-324346</v>
      </c>
      <c r="DO161" s="208">
        <v>0</v>
      </c>
      <c r="DP161" s="208">
        <v>-160469</v>
      </c>
      <c r="DQ161" s="208">
        <v>-344707</v>
      </c>
      <c r="DR161" s="208">
        <v>-505176</v>
      </c>
      <c r="DS161" s="208">
        <v>-639</v>
      </c>
      <c r="DT161" s="208">
        <v>0</v>
      </c>
      <c r="DU161" s="208">
        <v>-639</v>
      </c>
      <c r="DV161" s="208">
        <v>1362</v>
      </c>
      <c r="DW161" s="208">
        <v>0</v>
      </c>
      <c r="DX161" s="208">
        <v>1362</v>
      </c>
      <c r="DY161" s="208">
        <v>11240</v>
      </c>
      <c r="DZ161" s="208">
        <v>0</v>
      </c>
      <c r="EA161" s="208">
        <v>11240</v>
      </c>
      <c r="EB161" s="208">
        <v>0</v>
      </c>
      <c r="EC161" s="208">
        <v>0</v>
      </c>
      <c r="ED161" s="208">
        <v>0</v>
      </c>
      <c r="EE161" s="208">
        <v>0</v>
      </c>
      <c r="EF161" s="208">
        <v>0</v>
      </c>
      <c r="EG161" s="208">
        <v>0</v>
      </c>
      <c r="EH161" s="208">
        <v>452</v>
      </c>
      <c r="EI161" s="208">
        <v>0</v>
      </c>
      <c r="EJ161" s="208">
        <v>452</v>
      </c>
      <c r="EK161" s="208">
        <v>0</v>
      </c>
      <c r="EL161" s="208">
        <v>0</v>
      </c>
      <c r="EM161" s="208">
        <v>0</v>
      </c>
      <c r="EN161" s="208">
        <v>0</v>
      </c>
      <c r="EO161" s="208">
        <v>0</v>
      </c>
      <c r="EP161" s="208">
        <v>0</v>
      </c>
      <c r="EQ161" s="208">
        <v>-1500</v>
      </c>
      <c r="ER161" s="208">
        <v>0</v>
      </c>
      <c r="ES161" s="208">
        <v>-1500</v>
      </c>
      <c r="ET161" s="208">
        <v>0</v>
      </c>
      <c r="EU161" s="208">
        <v>0</v>
      </c>
      <c r="EV161" s="208">
        <v>0</v>
      </c>
      <c r="EW161" s="208">
        <v>-87851</v>
      </c>
      <c r="EX161" s="208">
        <v>-8559</v>
      </c>
      <c r="EY161" s="208">
        <v>-96410</v>
      </c>
      <c r="EZ161" s="208">
        <v>5059</v>
      </c>
      <c r="FA161" s="208">
        <v>87</v>
      </c>
      <c r="FB161" s="208">
        <v>5146</v>
      </c>
      <c r="FC161" s="208">
        <v>-472797</v>
      </c>
      <c r="FD161" s="208">
        <v>-81150</v>
      </c>
      <c r="FE161" s="208">
        <v>-553947</v>
      </c>
      <c r="FF161" s="208">
        <v>26267</v>
      </c>
      <c r="FG161" s="208">
        <v>-541</v>
      </c>
      <c r="FH161" s="208">
        <v>25726</v>
      </c>
      <c r="FI161" s="208">
        <v>-131668</v>
      </c>
      <c r="FJ161" s="208">
        <v>-19397</v>
      </c>
      <c r="FK161" s="208">
        <v>-151065</v>
      </c>
      <c r="FL161" s="208">
        <v>246</v>
      </c>
      <c r="FM161" s="208">
        <v>-1186</v>
      </c>
      <c r="FN161" s="208">
        <v>-940</v>
      </c>
      <c r="FO161" s="208">
        <v>0</v>
      </c>
      <c r="FP161" s="208">
        <v>0</v>
      </c>
      <c r="FQ161" s="208">
        <v>0</v>
      </c>
      <c r="FR161" s="208">
        <v>0</v>
      </c>
      <c r="FS161" s="208">
        <v>0</v>
      </c>
      <c r="FT161" s="208">
        <v>0</v>
      </c>
      <c r="FU161" s="208">
        <v>-649829</v>
      </c>
      <c r="FV161" s="208">
        <v>-110746</v>
      </c>
      <c r="FW161" s="208">
        <v>-760575</v>
      </c>
      <c r="FX161" s="208">
        <v>0</v>
      </c>
      <c r="FY161" s="208">
        <v>0</v>
      </c>
      <c r="FZ161" s="208">
        <v>0</v>
      </c>
      <c r="GA161" s="208">
        <v>0</v>
      </c>
      <c r="GB161" s="208">
        <v>0</v>
      </c>
      <c r="GC161" s="208">
        <v>0</v>
      </c>
      <c r="GD161" s="208">
        <v>0</v>
      </c>
      <c r="GE161" s="208">
        <v>0</v>
      </c>
      <c r="GF161" s="208">
        <v>0</v>
      </c>
      <c r="GG161" s="208">
        <v>220095108</v>
      </c>
      <c r="GH161" s="208">
        <v>33430297</v>
      </c>
      <c r="GI161" s="208">
        <v>253525405</v>
      </c>
      <c r="GJ161" s="208">
        <v>2878447</v>
      </c>
      <c r="GK161" s="208">
        <v>926382</v>
      </c>
      <c r="GL161" s="208">
        <v>3804829</v>
      </c>
      <c r="GM161" s="208">
        <v>-28431736</v>
      </c>
      <c r="GN161" s="208">
        <v>-1159344</v>
      </c>
      <c r="GO161" s="208">
        <v>-29591080</v>
      </c>
      <c r="GP161" s="208">
        <v>-7560632</v>
      </c>
      <c r="GQ161" s="208">
        <v>-6386625</v>
      </c>
      <c r="GR161" s="208">
        <v>-13947257</v>
      </c>
      <c r="GS161" s="208">
        <v>-160469</v>
      </c>
      <c r="GT161" s="208">
        <v>-344707</v>
      </c>
      <c r="GU161" s="208">
        <v>-505176</v>
      </c>
      <c r="GV161" s="208">
        <v>-649829</v>
      </c>
      <c r="GW161" s="208">
        <v>-110746</v>
      </c>
      <c r="GX161" s="208">
        <v>-760575</v>
      </c>
      <c r="GY161" s="208">
        <v>0</v>
      </c>
      <c r="GZ161" s="208">
        <v>0</v>
      </c>
      <c r="HA161" s="208">
        <v>0</v>
      </c>
      <c r="HB161" s="208">
        <v>-33924219</v>
      </c>
      <c r="HC161" s="208">
        <v>-7075040</v>
      </c>
      <c r="HD161" s="208">
        <v>-40999259</v>
      </c>
      <c r="HE161" s="208">
        <v>186170889</v>
      </c>
      <c r="HF161" s="208">
        <v>26355257</v>
      </c>
      <c r="HG161" s="208">
        <v>212526146</v>
      </c>
      <c r="HH161" s="187" t="s">
        <v>1056</v>
      </c>
    </row>
    <row r="162" spans="2:216" s="187" customFormat="1" x14ac:dyDescent="0.2">
      <c r="B162" s="429" t="s">
        <v>401</v>
      </c>
      <c r="C162" s="429" t="s">
        <v>400</v>
      </c>
      <c r="D162" s="208">
        <v>-2646622</v>
      </c>
      <c r="E162" s="208">
        <v>-20795</v>
      </c>
      <c r="F162" s="208">
        <v>-2667417</v>
      </c>
      <c r="G162" s="208">
        <v>-392449</v>
      </c>
      <c r="H162" s="208">
        <v>-3638</v>
      </c>
      <c r="I162" s="208">
        <v>-396087</v>
      </c>
      <c r="J162" s="208">
        <v>2465988</v>
      </c>
      <c r="K162" s="208">
        <v>76813</v>
      </c>
      <c r="L162" s="208">
        <v>2542801</v>
      </c>
      <c r="M162" s="208">
        <v>297560</v>
      </c>
      <c r="N162" s="208">
        <v>-12862</v>
      </c>
      <c r="O162" s="208">
        <v>284698</v>
      </c>
      <c r="P162" s="208">
        <v>-275523</v>
      </c>
      <c r="Q162" s="208">
        <v>39518</v>
      </c>
      <c r="R162" s="208">
        <v>-236005</v>
      </c>
      <c r="S162" s="208">
        <v>-5407040</v>
      </c>
      <c r="T162" s="208">
        <v>-11715</v>
      </c>
      <c r="U162" s="208">
        <v>-5418755</v>
      </c>
      <c r="V162" s="208">
        <v>-7530</v>
      </c>
      <c r="W162" s="208">
        <v>0</v>
      </c>
      <c r="X162" s="208">
        <v>-7530</v>
      </c>
      <c r="Y162" s="208">
        <v>-305206</v>
      </c>
      <c r="Z162" s="208">
        <v>0</v>
      </c>
      <c r="AA162" s="208">
        <v>-305206</v>
      </c>
      <c r="AB162" s="208">
        <v>-110085</v>
      </c>
      <c r="AC162" s="208">
        <v>0</v>
      </c>
      <c r="AD162" s="208">
        <v>-110085</v>
      </c>
      <c r="AE162" s="208">
        <v>-177115</v>
      </c>
      <c r="AF162" s="208">
        <v>0</v>
      </c>
      <c r="AG162" s="208">
        <v>-177115</v>
      </c>
      <c r="AH162" s="208">
        <v>0</v>
      </c>
      <c r="AI162" s="208">
        <v>0</v>
      </c>
      <c r="AJ162" s="208">
        <v>0</v>
      </c>
      <c r="AK162" s="208">
        <v>-1360</v>
      </c>
      <c r="AL162" s="208">
        <v>0</v>
      </c>
      <c r="AM162" s="208">
        <v>-1360</v>
      </c>
      <c r="AN162" s="208">
        <v>1513895</v>
      </c>
      <c r="AO162" s="208">
        <v>100197</v>
      </c>
      <c r="AP162" s="208">
        <v>1614092</v>
      </c>
      <c r="AQ162" s="208">
        <v>-52651</v>
      </c>
      <c r="AR162" s="208">
        <v>-8105</v>
      </c>
      <c r="AS162" s="208">
        <v>-60756</v>
      </c>
      <c r="AT162" s="208">
        <v>-5755295</v>
      </c>
      <c r="AU162" s="208">
        <v>0</v>
      </c>
      <c r="AV162" s="208">
        <v>-5755295</v>
      </c>
      <c r="AW162" s="208">
        <v>-2081</v>
      </c>
      <c r="AX162" s="208">
        <v>0</v>
      </c>
      <c r="AY162" s="208">
        <v>-2081</v>
      </c>
      <c r="AZ162" s="208">
        <v>-44035</v>
      </c>
      <c r="BA162" s="208">
        <v>0</v>
      </c>
      <c r="BB162" s="208">
        <v>-44035</v>
      </c>
      <c r="BC162" s="208">
        <v>0</v>
      </c>
      <c r="BD162" s="208">
        <v>0</v>
      </c>
      <c r="BE162" s="208">
        <v>0</v>
      </c>
      <c r="BF162" s="208">
        <v>0</v>
      </c>
      <c r="BG162" s="208">
        <v>0</v>
      </c>
      <c r="BH162" s="208">
        <v>0</v>
      </c>
      <c r="BI162" s="208">
        <v>0</v>
      </c>
      <c r="BJ162" s="208">
        <v>0</v>
      </c>
      <c r="BK162" s="208">
        <v>0</v>
      </c>
      <c r="BL162" s="208">
        <v>-10052413</v>
      </c>
      <c r="BM162" s="208">
        <v>80377</v>
      </c>
      <c r="BN162" s="208">
        <v>-9972036</v>
      </c>
      <c r="BO162" s="208">
        <v>-31687</v>
      </c>
      <c r="BP162" s="208">
        <v>0</v>
      </c>
      <c r="BQ162" s="208">
        <v>-31687</v>
      </c>
      <c r="BR162" s="208">
        <v>15305</v>
      </c>
      <c r="BS162" s="208">
        <v>0</v>
      </c>
      <c r="BT162" s="208">
        <v>15305</v>
      </c>
      <c r="BU162" s="208">
        <v>-1697740</v>
      </c>
      <c r="BV162" s="208">
        <v>-17044</v>
      </c>
      <c r="BW162" s="208">
        <v>-1714784</v>
      </c>
      <c r="BX162" s="208">
        <v>59449</v>
      </c>
      <c r="BY162" s="208">
        <v>-448</v>
      </c>
      <c r="BZ162" s="208">
        <v>59001</v>
      </c>
      <c r="CA162" s="208">
        <v>-1654673</v>
      </c>
      <c r="CB162" s="208">
        <v>-17492</v>
      </c>
      <c r="CC162" s="208">
        <v>-1672165</v>
      </c>
      <c r="CD162" s="208">
        <v>-167065</v>
      </c>
      <c r="CE162" s="208">
        <v>0</v>
      </c>
      <c r="CF162" s="208">
        <v>-167065</v>
      </c>
      <c r="CG162" s="208">
        <v>-2599</v>
      </c>
      <c r="CH162" s="208">
        <v>0</v>
      </c>
      <c r="CI162" s="208">
        <v>-2599</v>
      </c>
      <c r="CJ162" s="208">
        <v>-86804</v>
      </c>
      <c r="CK162" s="208">
        <v>0</v>
      </c>
      <c r="CL162" s="208">
        <v>-86804</v>
      </c>
      <c r="CM162" s="208">
        <v>18852</v>
      </c>
      <c r="CN162" s="208">
        <v>0</v>
      </c>
      <c r="CO162" s="208">
        <v>18852</v>
      </c>
      <c r="CP162" s="208">
        <v>0</v>
      </c>
      <c r="CQ162" s="208">
        <v>0</v>
      </c>
      <c r="CR162" s="208">
        <v>0</v>
      </c>
      <c r="CS162" s="208">
        <v>0</v>
      </c>
      <c r="CT162" s="208">
        <v>0</v>
      </c>
      <c r="CU162" s="208">
        <v>0</v>
      </c>
      <c r="CV162" s="208">
        <v>0</v>
      </c>
      <c r="CW162" s="208">
        <v>0</v>
      </c>
      <c r="CX162" s="208">
        <v>0</v>
      </c>
      <c r="CY162" s="208">
        <v>0</v>
      </c>
      <c r="CZ162" s="208">
        <v>0</v>
      </c>
      <c r="DA162" s="208">
        <v>0</v>
      </c>
      <c r="DB162" s="208">
        <v>0</v>
      </c>
      <c r="DC162" s="208">
        <v>0</v>
      </c>
      <c r="DD162" s="208">
        <v>0</v>
      </c>
      <c r="DE162" s="208">
        <v>0</v>
      </c>
      <c r="DF162" s="208">
        <v>0</v>
      </c>
      <c r="DG162" s="208">
        <v>0</v>
      </c>
      <c r="DH162" s="208">
        <v>-2069</v>
      </c>
      <c r="DI162" s="208">
        <v>0</v>
      </c>
      <c r="DJ162" s="208">
        <v>-2069</v>
      </c>
      <c r="DK162" s="208">
        <v>0</v>
      </c>
      <c r="DL162" s="208">
        <v>0</v>
      </c>
      <c r="DM162" s="208">
        <v>0</v>
      </c>
      <c r="DN162" s="208">
        <v>0</v>
      </c>
      <c r="DO162" s="208">
        <v>0</v>
      </c>
      <c r="DP162" s="208">
        <v>-239685</v>
      </c>
      <c r="DQ162" s="208">
        <v>0</v>
      </c>
      <c r="DR162" s="208">
        <v>-239685</v>
      </c>
      <c r="DS162" s="208">
        <v>0</v>
      </c>
      <c r="DT162" s="208">
        <v>0</v>
      </c>
      <c r="DU162" s="208">
        <v>0</v>
      </c>
      <c r="DV162" s="208">
        <v>0</v>
      </c>
      <c r="DW162" s="208">
        <v>0</v>
      </c>
      <c r="DX162" s="208">
        <v>0</v>
      </c>
      <c r="DY162" s="208">
        <v>0</v>
      </c>
      <c r="DZ162" s="208">
        <v>0</v>
      </c>
      <c r="EA162" s="208">
        <v>0</v>
      </c>
      <c r="EB162" s="208">
        <v>0</v>
      </c>
      <c r="EC162" s="208">
        <v>0</v>
      </c>
      <c r="ED162" s="208">
        <v>0</v>
      </c>
      <c r="EE162" s="208">
        <v>0</v>
      </c>
      <c r="EF162" s="208">
        <v>0</v>
      </c>
      <c r="EG162" s="208">
        <v>0</v>
      </c>
      <c r="EH162" s="208">
        <v>0</v>
      </c>
      <c r="EI162" s="208">
        <v>0</v>
      </c>
      <c r="EJ162" s="208">
        <v>0</v>
      </c>
      <c r="EK162" s="208">
        <v>0</v>
      </c>
      <c r="EL162" s="208">
        <v>0</v>
      </c>
      <c r="EM162" s="208">
        <v>0</v>
      </c>
      <c r="EN162" s="208">
        <v>0</v>
      </c>
      <c r="EO162" s="208">
        <v>0</v>
      </c>
      <c r="EP162" s="208">
        <v>0</v>
      </c>
      <c r="EQ162" s="208">
        <v>-1500</v>
      </c>
      <c r="ER162" s="208">
        <v>0</v>
      </c>
      <c r="ES162" s="208">
        <v>-1500</v>
      </c>
      <c r="ET162" s="208">
        <v>0</v>
      </c>
      <c r="EU162" s="208">
        <v>0</v>
      </c>
      <c r="EV162" s="208">
        <v>0</v>
      </c>
      <c r="EW162" s="208">
        <v>-39456</v>
      </c>
      <c r="EX162" s="208">
        <v>0</v>
      </c>
      <c r="EY162" s="208">
        <v>-39456</v>
      </c>
      <c r="EZ162" s="208">
        <v>1359</v>
      </c>
      <c r="FA162" s="208">
        <v>0</v>
      </c>
      <c r="FB162" s="208">
        <v>1359</v>
      </c>
      <c r="FC162" s="208">
        <v>-129498</v>
      </c>
      <c r="FD162" s="208">
        <v>-795</v>
      </c>
      <c r="FE162" s="208">
        <v>-130293</v>
      </c>
      <c r="FF162" s="208">
        <v>1934</v>
      </c>
      <c r="FG162" s="208">
        <v>0</v>
      </c>
      <c r="FH162" s="208">
        <v>1934</v>
      </c>
      <c r="FI162" s="208">
        <v>-9156</v>
      </c>
      <c r="FJ162" s="208">
        <v>0</v>
      </c>
      <c r="FK162" s="208">
        <v>-9156</v>
      </c>
      <c r="FL162" s="208">
        <v>-77</v>
      </c>
      <c r="FM162" s="208">
        <v>0</v>
      </c>
      <c r="FN162" s="208">
        <v>-77</v>
      </c>
      <c r="FO162" s="208">
        <v>0</v>
      </c>
      <c r="FP162" s="208">
        <v>0</v>
      </c>
      <c r="FQ162" s="208">
        <v>0</v>
      </c>
      <c r="FR162" s="208">
        <v>0</v>
      </c>
      <c r="FS162" s="208">
        <v>0</v>
      </c>
      <c r="FT162" s="208">
        <v>0</v>
      </c>
      <c r="FU162" s="208">
        <v>-176394</v>
      </c>
      <c r="FV162" s="208">
        <v>-795</v>
      </c>
      <c r="FW162" s="208">
        <v>-177189</v>
      </c>
      <c r="FX162" s="208">
        <v>-92</v>
      </c>
      <c r="FY162" s="208">
        <v>0</v>
      </c>
      <c r="FZ162" s="208">
        <v>-92</v>
      </c>
      <c r="GA162" s="208">
        <v>0</v>
      </c>
      <c r="GB162" s="208">
        <v>0</v>
      </c>
      <c r="GC162" s="208">
        <v>0</v>
      </c>
      <c r="GD162" s="208">
        <v>-92</v>
      </c>
      <c r="GE162" s="208">
        <v>0</v>
      </c>
      <c r="GF162" s="208">
        <v>-92</v>
      </c>
      <c r="GG162" s="208">
        <v>74756368</v>
      </c>
      <c r="GH162" s="208">
        <v>3891800</v>
      </c>
      <c r="GI162" s="208">
        <v>78648168</v>
      </c>
      <c r="GJ162" s="208">
        <v>-275523</v>
      </c>
      <c r="GK162" s="208">
        <v>39518</v>
      </c>
      <c r="GL162" s="208">
        <v>-236005</v>
      </c>
      <c r="GM162" s="208">
        <v>-10052413</v>
      </c>
      <c r="GN162" s="208">
        <v>80377</v>
      </c>
      <c r="GO162" s="208">
        <v>-9972036</v>
      </c>
      <c r="GP162" s="208">
        <v>-1654673</v>
      </c>
      <c r="GQ162" s="208">
        <v>-17492</v>
      </c>
      <c r="GR162" s="208">
        <v>-1672165</v>
      </c>
      <c r="GS162" s="208">
        <v>-239685</v>
      </c>
      <c r="GT162" s="208">
        <v>0</v>
      </c>
      <c r="GU162" s="208">
        <v>-239685</v>
      </c>
      <c r="GV162" s="208">
        <v>-176394</v>
      </c>
      <c r="GW162" s="208">
        <v>-795</v>
      </c>
      <c r="GX162" s="208">
        <v>-177189</v>
      </c>
      <c r="GY162" s="208">
        <v>-92</v>
      </c>
      <c r="GZ162" s="208">
        <v>0</v>
      </c>
      <c r="HA162" s="208">
        <v>-92</v>
      </c>
      <c r="HB162" s="208">
        <v>-12398780</v>
      </c>
      <c r="HC162" s="208">
        <v>101608</v>
      </c>
      <c r="HD162" s="208">
        <v>-12297172</v>
      </c>
      <c r="HE162" s="208">
        <v>62357588</v>
      </c>
      <c r="HF162" s="208">
        <v>3993408</v>
      </c>
      <c r="HG162" s="208">
        <v>66350996</v>
      </c>
      <c r="HH162" s="187" t="s">
        <v>742</v>
      </c>
    </row>
    <row r="163" spans="2:216" s="187" customFormat="1" x14ac:dyDescent="0.2">
      <c r="B163" s="429" t="s">
        <v>403</v>
      </c>
      <c r="C163" s="429" t="s">
        <v>402</v>
      </c>
      <c r="D163" s="208">
        <v>-1044805</v>
      </c>
      <c r="E163" s="208">
        <v>0</v>
      </c>
      <c r="F163" s="208">
        <v>-1044805</v>
      </c>
      <c r="G163" s="208">
        <v>8376</v>
      </c>
      <c r="H163" s="208">
        <v>0</v>
      </c>
      <c r="I163" s="208">
        <v>8376</v>
      </c>
      <c r="J163" s="208">
        <v>2510439</v>
      </c>
      <c r="K163" s="208">
        <v>0</v>
      </c>
      <c r="L163" s="208">
        <v>2510439</v>
      </c>
      <c r="M163" s="208">
        <v>33813</v>
      </c>
      <c r="N163" s="208">
        <v>0</v>
      </c>
      <c r="O163" s="208">
        <v>33813</v>
      </c>
      <c r="P163" s="208">
        <v>1507823</v>
      </c>
      <c r="Q163" s="208">
        <v>0</v>
      </c>
      <c r="R163" s="208">
        <v>1507823</v>
      </c>
      <c r="S163" s="208">
        <v>-4350749</v>
      </c>
      <c r="T163" s="208">
        <v>0</v>
      </c>
      <c r="U163" s="208">
        <v>-4350749</v>
      </c>
      <c r="V163" s="208">
        <v>-6100</v>
      </c>
      <c r="W163" s="208">
        <v>0</v>
      </c>
      <c r="X163" s="208">
        <v>-6100</v>
      </c>
      <c r="Y163" s="208">
        <v>-309207</v>
      </c>
      <c r="Z163" s="208">
        <v>0</v>
      </c>
      <c r="AA163" s="208">
        <v>-309207</v>
      </c>
      <c r="AB163" s="208">
        <v>-78265</v>
      </c>
      <c r="AC163" s="208">
        <v>0</v>
      </c>
      <c r="AD163" s="208">
        <v>-78265</v>
      </c>
      <c r="AE163" s="208">
        <v>-219288</v>
      </c>
      <c r="AF163" s="208">
        <v>0</v>
      </c>
      <c r="AG163" s="208">
        <v>-219288</v>
      </c>
      <c r="AH163" s="208">
        <v>0</v>
      </c>
      <c r="AI163" s="208">
        <v>0</v>
      </c>
      <c r="AJ163" s="208">
        <v>0</v>
      </c>
      <c r="AK163" s="208">
        <v>0</v>
      </c>
      <c r="AL163" s="208">
        <v>0</v>
      </c>
      <c r="AM163" s="208">
        <v>0</v>
      </c>
      <c r="AN163" s="208">
        <v>1315365</v>
      </c>
      <c r="AO163" s="208">
        <v>0</v>
      </c>
      <c r="AP163" s="208">
        <v>1315365</v>
      </c>
      <c r="AQ163" s="208">
        <v>-15737</v>
      </c>
      <c r="AR163" s="208">
        <v>0</v>
      </c>
      <c r="AS163" s="208">
        <v>-15737</v>
      </c>
      <c r="AT163" s="208">
        <v>-4780979</v>
      </c>
      <c r="AU163" s="208">
        <v>0</v>
      </c>
      <c r="AV163" s="208">
        <v>-4780979</v>
      </c>
      <c r="AW163" s="208">
        <v>57858</v>
      </c>
      <c r="AX163" s="208">
        <v>0</v>
      </c>
      <c r="AY163" s="208">
        <v>57858</v>
      </c>
      <c r="AZ163" s="208">
        <v>-111359</v>
      </c>
      <c r="BA163" s="208">
        <v>0</v>
      </c>
      <c r="BB163" s="208">
        <v>-111359</v>
      </c>
      <c r="BC163" s="208">
        <v>-1149</v>
      </c>
      <c r="BD163" s="208">
        <v>0</v>
      </c>
      <c r="BE163" s="208">
        <v>-1149</v>
      </c>
      <c r="BF163" s="208">
        <v>-3204</v>
      </c>
      <c r="BG163" s="208">
        <v>0</v>
      </c>
      <c r="BH163" s="208">
        <v>-3204</v>
      </c>
      <c r="BI163" s="208">
        <v>0</v>
      </c>
      <c r="BJ163" s="208">
        <v>0</v>
      </c>
      <c r="BK163" s="208">
        <v>0</v>
      </c>
      <c r="BL163" s="208">
        <v>-8199161</v>
      </c>
      <c r="BM163" s="208">
        <v>0</v>
      </c>
      <c r="BN163" s="208">
        <v>-8199161</v>
      </c>
      <c r="BO163" s="208">
        <v>-18828</v>
      </c>
      <c r="BP163" s="208">
        <v>0</v>
      </c>
      <c r="BQ163" s="208">
        <v>-18828</v>
      </c>
      <c r="BR163" s="208">
        <v>1557</v>
      </c>
      <c r="BS163" s="208">
        <v>0</v>
      </c>
      <c r="BT163" s="208">
        <v>1557</v>
      </c>
      <c r="BU163" s="208">
        <v>-1887635</v>
      </c>
      <c r="BV163" s="208">
        <v>0</v>
      </c>
      <c r="BW163" s="208">
        <v>-1887635</v>
      </c>
      <c r="BX163" s="208">
        <v>-64548</v>
      </c>
      <c r="BY163" s="208">
        <v>0</v>
      </c>
      <c r="BZ163" s="208">
        <v>-64548</v>
      </c>
      <c r="CA163" s="208">
        <v>-1969454</v>
      </c>
      <c r="CB163" s="208">
        <v>0</v>
      </c>
      <c r="CC163" s="208">
        <v>-1969454</v>
      </c>
      <c r="CD163" s="208">
        <v>-140817</v>
      </c>
      <c r="CE163" s="208">
        <v>0</v>
      </c>
      <c r="CF163" s="208">
        <v>-140817</v>
      </c>
      <c r="CG163" s="208">
        <v>12190</v>
      </c>
      <c r="CH163" s="208">
        <v>0</v>
      </c>
      <c r="CI163" s="208">
        <v>12190</v>
      </c>
      <c r="CJ163" s="208">
        <v>-12046</v>
      </c>
      <c r="CK163" s="208">
        <v>0</v>
      </c>
      <c r="CL163" s="208">
        <v>-12046</v>
      </c>
      <c r="CM163" s="208">
        <v>-82908</v>
      </c>
      <c r="CN163" s="208">
        <v>0</v>
      </c>
      <c r="CO163" s="208">
        <v>-82908</v>
      </c>
      <c r="CP163" s="208">
        <v>-7740</v>
      </c>
      <c r="CQ163" s="208">
        <v>0</v>
      </c>
      <c r="CR163" s="208">
        <v>-7740</v>
      </c>
      <c r="CS163" s="208">
        <v>0</v>
      </c>
      <c r="CT163" s="208">
        <v>0</v>
      </c>
      <c r="CU163" s="208">
        <v>0</v>
      </c>
      <c r="CV163" s="208">
        <v>-3204</v>
      </c>
      <c r="CW163" s="208">
        <v>0</v>
      </c>
      <c r="CX163" s="208">
        <v>-3204</v>
      </c>
      <c r="CY163" s="208">
        <v>0</v>
      </c>
      <c r="CZ163" s="208">
        <v>0</v>
      </c>
      <c r="DA163" s="208">
        <v>0</v>
      </c>
      <c r="DB163" s="208">
        <v>0</v>
      </c>
      <c r="DC163" s="208">
        <v>0</v>
      </c>
      <c r="DD163" s="208">
        <v>0</v>
      </c>
      <c r="DE163" s="208">
        <v>0</v>
      </c>
      <c r="DF163" s="208">
        <v>0</v>
      </c>
      <c r="DG163" s="208">
        <v>0</v>
      </c>
      <c r="DH163" s="208">
        <v>0</v>
      </c>
      <c r="DI163" s="208">
        <v>0</v>
      </c>
      <c r="DJ163" s="208">
        <v>0</v>
      </c>
      <c r="DK163" s="208">
        <v>1866</v>
      </c>
      <c r="DL163" s="208">
        <v>0</v>
      </c>
      <c r="DM163" s="208">
        <v>1866</v>
      </c>
      <c r="DN163" s="208">
        <v>0</v>
      </c>
      <c r="DO163" s="208">
        <v>0</v>
      </c>
      <c r="DP163" s="208">
        <v>-232659</v>
      </c>
      <c r="DQ163" s="208">
        <v>0</v>
      </c>
      <c r="DR163" s="208">
        <v>-232659</v>
      </c>
      <c r="DS163" s="208">
        <v>0</v>
      </c>
      <c r="DT163" s="208">
        <v>0</v>
      </c>
      <c r="DU163" s="208">
        <v>0</v>
      </c>
      <c r="DV163" s="208">
        <v>2662</v>
      </c>
      <c r="DW163" s="208">
        <v>0</v>
      </c>
      <c r="DX163" s="208">
        <v>2662</v>
      </c>
      <c r="DY163" s="208">
        <v>4517</v>
      </c>
      <c r="DZ163" s="208">
        <v>0</v>
      </c>
      <c r="EA163" s="208">
        <v>4517</v>
      </c>
      <c r="EB163" s="208">
        <v>0</v>
      </c>
      <c r="EC163" s="208">
        <v>0</v>
      </c>
      <c r="ED163" s="208">
        <v>0</v>
      </c>
      <c r="EE163" s="208">
        <v>0</v>
      </c>
      <c r="EF163" s="208">
        <v>0</v>
      </c>
      <c r="EG163" s="208">
        <v>0</v>
      </c>
      <c r="EH163" s="208">
        <v>0</v>
      </c>
      <c r="EI163" s="208">
        <v>0</v>
      </c>
      <c r="EJ163" s="208">
        <v>0</v>
      </c>
      <c r="EK163" s="208">
        <v>0</v>
      </c>
      <c r="EL163" s="208">
        <v>0</v>
      </c>
      <c r="EM163" s="208">
        <v>0</v>
      </c>
      <c r="EN163" s="208">
        <v>0</v>
      </c>
      <c r="EO163" s="208">
        <v>0</v>
      </c>
      <c r="EP163" s="208">
        <v>0</v>
      </c>
      <c r="EQ163" s="208">
        <v>-1990</v>
      </c>
      <c r="ER163" s="208">
        <v>0</v>
      </c>
      <c r="ES163" s="208">
        <v>-1990</v>
      </c>
      <c r="ET163" s="208">
        <v>0</v>
      </c>
      <c r="EU163" s="208">
        <v>0</v>
      </c>
      <c r="EV163" s="208">
        <v>0</v>
      </c>
      <c r="EW163" s="208">
        <v>-20394</v>
      </c>
      <c r="EX163" s="208">
        <v>0</v>
      </c>
      <c r="EY163" s="208">
        <v>-20394</v>
      </c>
      <c r="EZ163" s="208">
        <v>-216</v>
      </c>
      <c r="FA163" s="208">
        <v>0</v>
      </c>
      <c r="FB163" s="208">
        <v>-216</v>
      </c>
      <c r="FC163" s="208">
        <v>-119811</v>
      </c>
      <c r="FD163" s="208">
        <v>0</v>
      </c>
      <c r="FE163" s="208">
        <v>-119811</v>
      </c>
      <c r="FF163" s="208">
        <v>-2376</v>
      </c>
      <c r="FG163" s="208">
        <v>0</v>
      </c>
      <c r="FH163" s="208">
        <v>-2376</v>
      </c>
      <c r="FI163" s="208">
        <v>-54803</v>
      </c>
      <c r="FJ163" s="208">
        <v>0</v>
      </c>
      <c r="FK163" s="208">
        <v>-54803</v>
      </c>
      <c r="FL163" s="208">
        <v>1299</v>
      </c>
      <c r="FM163" s="208">
        <v>0</v>
      </c>
      <c r="FN163" s="208">
        <v>1299</v>
      </c>
      <c r="FO163" s="208">
        <v>0</v>
      </c>
      <c r="FP163" s="208">
        <v>0</v>
      </c>
      <c r="FQ163" s="208">
        <v>0</v>
      </c>
      <c r="FR163" s="208">
        <v>0</v>
      </c>
      <c r="FS163" s="208">
        <v>0</v>
      </c>
      <c r="FT163" s="208">
        <v>0</v>
      </c>
      <c r="FU163" s="208">
        <v>-191112</v>
      </c>
      <c r="FV163" s="208">
        <v>0</v>
      </c>
      <c r="FW163" s="208">
        <v>-191112</v>
      </c>
      <c r="FX163" s="208">
        <v>-56000</v>
      </c>
      <c r="FY163" s="208">
        <v>0</v>
      </c>
      <c r="FZ163" s="208">
        <v>-56000</v>
      </c>
      <c r="GA163" s="208">
        <v>-20689</v>
      </c>
      <c r="GB163" s="208">
        <v>0</v>
      </c>
      <c r="GC163" s="208">
        <v>-20689</v>
      </c>
      <c r="GD163" s="208">
        <v>-76689</v>
      </c>
      <c r="GE163" s="208">
        <v>0</v>
      </c>
      <c r="GF163" s="208">
        <v>-76689</v>
      </c>
      <c r="GG163" s="208">
        <v>69180325</v>
      </c>
      <c r="GH163" s="208">
        <v>0</v>
      </c>
      <c r="GI163" s="208">
        <v>69180325</v>
      </c>
      <c r="GJ163" s="208">
        <v>1507823</v>
      </c>
      <c r="GK163" s="208">
        <v>0</v>
      </c>
      <c r="GL163" s="208">
        <v>1507823</v>
      </c>
      <c r="GM163" s="208">
        <v>-8199161</v>
      </c>
      <c r="GN163" s="208">
        <v>0</v>
      </c>
      <c r="GO163" s="208">
        <v>-8199161</v>
      </c>
      <c r="GP163" s="208">
        <v>-1969454</v>
      </c>
      <c r="GQ163" s="208">
        <v>0</v>
      </c>
      <c r="GR163" s="208">
        <v>-1969454</v>
      </c>
      <c r="GS163" s="208">
        <v>-232659</v>
      </c>
      <c r="GT163" s="208">
        <v>0</v>
      </c>
      <c r="GU163" s="208">
        <v>-232659</v>
      </c>
      <c r="GV163" s="208">
        <v>-191112</v>
      </c>
      <c r="GW163" s="208">
        <v>0</v>
      </c>
      <c r="GX163" s="208">
        <v>-191112</v>
      </c>
      <c r="GY163" s="208">
        <v>-76689</v>
      </c>
      <c r="GZ163" s="208">
        <v>0</v>
      </c>
      <c r="HA163" s="208">
        <v>-76689</v>
      </c>
      <c r="HB163" s="208">
        <v>-9161252</v>
      </c>
      <c r="HC163" s="208">
        <v>0</v>
      </c>
      <c r="HD163" s="208">
        <v>-9161252</v>
      </c>
      <c r="HE163" s="208">
        <v>60019073</v>
      </c>
      <c r="HF163" s="208">
        <v>0</v>
      </c>
      <c r="HG163" s="208">
        <v>60019073</v>
      </c>
      <c r="HH163" s="187" t="s">
        <v>1054</v>
      </c>
    </row>
    <row r="164" spans="2:216" s="187" customFormat="1" x14ac:dyDescent="0.2">
      <c r="B164" s="429" t="s">
        <v>405</v>
      </c>
      <c r="C164" s="429" t="s">
        <v>404</v>
      </c>
      <c r="D164" s="208">
        <v>-362489</v>
      </c>
      <c r="E164" s="208">
        <v>0</v>
      </c>
      <c r="F164" s="208">
        <v>-362489</v>
      </c>
      <c r="G164" s="208">
        <v>5680</v>
      </c>
      <c r="H164" s="208">
        <v>0</v>
      </c>
      <c r="I164" s="208">
        <v>5680</v>
      </c>
      <c r="J164" s="208">
        <v>137170</v>
      </c>
      <c r="K164" s="208">
        <v>0</v>
      </c>
      <c r="L164" s="208">
        <v>137170</v>
      </c>
      <c r="M164" s="208">
        <v>-43506</v>
      </c>
      <c r="N164" s="208">
        <v>0</v>
      </c>
      <c r="O164" s="208">
        <v>-43506</v>
      </c>
      <c r="P164" s="208">
        <v>-263145</v>
      </c>
      <c r="Q164" s="208">
        <v>0</v>
      </c>
      <c r="R164" s="208">
        <v>-263145</v>
      </c>
      <c r="S164" s="208">
        <v>-2889244</v>
      </c>
      <c r="T164" s="208">
        <v>0</v>
      </c>
      <c r="U164" s="208">
        <v>-2889244</v>
      </c>
      <c r="V164" s="208">
        <v>-37558</v>
      </c>
      <c r="W164" s="208">
        <v>0</v>
      </c>
      <c r="X164" s="208">
        <v>-37558</v>
      </c>
      <c r="Y164" s="208">
        <v>-95829</v>
      </c>
      <c r="Z164" s="208">
        <v>0</v>
      </c>
      <c r="AA164" s="208">
        <v>-95829</v>
      </c>
      <c r="AB164" s="208">
        <v>-17316</v>
      </c>
      <c r="AC164" s="208">
        <v>0</v>
      </c>
      <c r="AD164" s="208">
        <v>-17316</v>
      </c>
      <c r="AE164" s="208">
        <v>-73032</v>
      </c>
      <c r="AF164" s="208">
        <v>0</v>
      </c>
      <c r="AG164" s="208">
        <v>-73032</v>
      </c>
      <c r="AH164" s="208">
        <v>0</v>
      </c>
      <c r="AI164" s="208">
        <v>0</v>
      </c>
      <c r="AJ164" s="208">
        <v>0</v>
      </c>
      <c r="AK164" s="208">
        <v>-3888</v>
      </c>
      <c r="AL164" s="208">
        <v>0</v>
      </c>
      <c r="AM164" s="208">
        <v>-3888</v>
      </c>
      <c r="AN164" s="208">
        <v>280454</v>
      </c>
      <c r="AO164" s="208">
        <v>0</v>
      </c>
      <c r="AP164" s="208">
        <v>280454</v>
      </c>
      <c r="AQ164" s="208">
        <v>-6328</v>
      </c>
      <c r="AR164" s="208">
        <v>0</v>
      </c>
      <c r="AS164" s="208">
        <v>-6328</v>
      </c>
      <c r="AT164" s="208">
        <v>-872146</v>
      </c>
      <c r="AU164" s="208">
        <v>0</v>
      </c>
      <c r="AV164" s="208">
        <v>-872146</v>
      </c>
      <c r="AW164" s="208">
        <v>-6185.54</v>
      </c>
      <c r="AX164" s="208">
        <v>0</v>
      </c>
      <c r="AY164" s="208">
        <v>-6185.54</v>
      </c>
      <c r="AZ164" s="208">
        <v>-61424</v>
      </c>
      <c r="BA164" s="208">
        <v>0</v>
      </c>
      <c r="BB164" s="208">
        <v>-61424</v>
      </c>
      <c r="BC164" s="208">
        <v>0</v>
      </c>
      <c r="BD164" s="208">
        <v>0</v>
      </c>
      <c r="BE164" s="208">
        <v>0</v>
      </c>
      <c r="BF164" s="208">
        <v>-9093</v>
      </c>
      <c r="BG164" s="208">
        <v>0</v>
      </c>
      <c r="BH164" s="208">
        <v>-9093</v>
      </c>
      <c r="BI164" s="208">
        <v>0.01</v>
      </c>
      <c r="BJ164" s="208">
        <v>0</v>
      </c>
      <c r="BK164" s="208">
        <v>0.01</v>
      </c>
      <c r="BL164" s="208">
        <v>-3659796</v>
      </c>
      <c r="BM164" s="208">
        <v>0</v>
      </c>
      <c r="BN164" s="208">
        <v>-3659796</v>
      </c>
      <c r="BO164" s="208">
        <v>0</v>
      </c>
      <c r="BP164" s="208">
        <v>0</v>
      </c>
      <c r="BQ164" s="208">
        <v>0</v>
      </c>
      <c r="BR164" s="208">
        <v>0</v>
      </c>
      <c r="BS164" s="208">
        <v>0</v>
      </c>
      <c r="BT164" s="208">
        <v>0</v>
      </c>
      <c r="BU164" s="208">
        <v>-512824</v>
      </c>
      <c r="BV164" s="208">
        <v>0</v>
      </c>
      <c r="BW164" s="208">
        <v>-512824</v>
      </c>
      <c r="BX164" s="208">
        <v>-21797</v>
      </c>
      <c r="BY164" s="208">
        <v>0</v>
      </c>
      <c r="BZ164" s="208">
        <v>-21797</v>
      </c>
      <c r="CA164" s="208">
        <v>-534621</v>
      </c>
      <c r="CB164" s="208">
        <v>0</v>
      </c>
      <c r="CC164" s="208">
        <v>-534621</v>
      </c>
      <c r="CD164" s="208">
        <v>-30600</v>
      </c>
      <c r="CE164" s="208">
        <v>0</v>
      </c>
      <c r="CF164" s="208">
        <v>-30600</v>
      </c>
      <c r="CG164" s="208">
        <v>-1142</v>
      </c>
      <c r="CH164" s="208">
        <v>0</v>
      </c>
      <c r="CI164" s="208">
        <v>-1142</v>
      </c>
      <c r="CJ164" s="208">
        <v>-5837</v>
      </c>
      <c r="CK164" s="208">
        <v>0</v>
      </c>
      <c r="CL164" s="208">
        <v>-5837</v>
      </c>
      <c r="CM164" s="208">
        <v>0</v>
      </c>
      <c r="CN164" s="208">
        <v>0</v>
      </c>
      <c r="CO164" s="208">
        <v>0</v>
      </c>
      <c r="CP164" s="208">
        <v>-291</v>
      </c>
      <c r="CQ164" s="208">
        <v>0</v>
      </c>
      <c r="CR164" s="208">
        <v>-291</v>
      </c>
      <c r="CS164" s="208">
        <v>0</v>
      </c>
      <c r="CT164" s="208">
        <v>0</v>
      </c>
      <c r="CU164" s="208">
        <v>0</v>
      </c>
      <c r="CV164" s="208">
        <v>0</v>
      </c>
      <c r="CW164" s="208">
        <v>0</v>
      </c>
      <c r="CX164" s="208">
        <v>0</v>
      </c>
      <c r="CY164" s="208">
        <v>0</v>
      </c>
      <c r="CZ164" s="208">
        <v>0</v>
      </c>
      <c r="DA164" s="208">
        <v>0</v>
      </c>
      <c r="DB164" s="208">
        <v>0</v>
      </c>
      <c r="DC164" s="208">
        <v>0</v>
      </c>
      <c r="DD164" s="208">
        <v>0</v>
      </c>
      <c r="DE164" s="208">
        <v>0</v>
      </c>
      <c r="DF164" s="208">
        <v>0</v>
      </c>
      <c r="DG164" s="208">
        <v>0</v>
      </c>
      <c r="DH164" s="208">
        <v>0</v>
      </c>
      <c r="DI164" s="208">
        <v>0</v>
      </c>
      <c r="DJ164" s="208">
        <v>0</v>
      </c>
      <c r="DK164" s="208">
        <v>0</v>
      </c>
      <c r="DL164" s="208">
        <v>0</v>
      </c>
      <c r="DM164" s="208">
        <v>0</v>
      </c>
      <c r="DN164" s="208">
        <v>0</v>
      </c>
      <c r="DO164" s="208">
        <v>0</v>
      </c>
      <c r="DP164" s="208">
        <v>-37870</v>
      </c>
      <c r="DQ164" s="208">
        <v>0</v>
      </c>
      <c r="DR164" s="208">
        <v>-37870</v>
      </c>
      <c r="DS164" s="208">
        <v>0</v>
      </c>
      <c r="DT164" s="208">
        <v>0</v>
      </c>
      <c r="DU164" s="208">
        <v>0</v>
      </c>
      <c r="DV164" s="208">
        <v>0</v>
      </c>
      <c r="DW164" s="208">
        <v>0</v>
      </c>
      <c r="DX164" s="208">
        <v>0</v>
      </c>
      <c r="DY164" s="208">
        <v>239</v>
      </c>
      <c r="DZ164" s="208">
        <v>0</v>
      </c>
      <c r="EA164" s="208">
        <v>239</v>
      </c>
      <c r="EB164" s="208">
        <v>0</v>
      </c>
      <c r="EC164" s="208">
        <v>0</v>
      </c>
      <c r="ED164" s="208">
        <v>0</v>
      </c>
      <c r="EE164" s="208">
        <v>0</v>
      </c>
      <c r="EF164" s="208">
        <v>0</v>
      </c>
      <c r="EG164" s="208">
        <v>0</v>
      </c>
      <c r="EH164" s="208">
        <v>0</v>
      </c>
      <c r="EI164" s="208">
        <v>0</v>
      </c>
      <c r="EJ164" s="208">
        <v>0</v>
      </c>
      <c r="EK164" s="208">
        <v>-9093</v>
      </c>
      <c r="EL164" s="208">
        <v>0</v>
      </c>
      <c r="EM164" s="208">
        <v>-9093</v>
      </c>
      <c r="EN164" s="208">
        <v>0</v>
      </c>
      <c r="EO164" s="208">
        <v>0</v>
      </c>
      <c r="EP164" s="208">
        <v>0</v>
      </c>
      <c r="EQ164" s="208">
        <v>0</v>
      </c>
      <c r="ER164" s="208">
        <v>0</v>
      </c>
      <c r="ES164" s="208">
        <v>0</v>
      </c>
      <c r="ET164" s="208">
        <v>0</v>
      </c>
      <c r="EU164" s="208">
        <v>0</v>
      </c>
      <c r="EV164" s="208">
        <v>0</v>
      </c>
      <c r="EW164" s="208">
        <v>-11958</v>
      </c>
      <c r="EX164" s="208">
        <v>0</v>
      </c>
      <c r="EY164" s="208">
        <v>-11958</v>
      </c>
      <c r="EZ164" s="208">
        <v>-1214</v>
      </c>
      <c r="FA164" s="208">
        <v>0</v>
      </c>
      <c r="FB164" s="208">
        <v>-1214</v>
      </c>
      <c r="FC164" s="208">
        <v>-55313</v>
      </c>
      <c r="FD164" s="208">
        <v>0</v>
      </c>
      <c r="FE164" s="208">
        <v>-55313</v>
      </c>
      <c r="FF164" s="208">
        <v>9599</v>
      </c>
      <c r="FG164" s="208">
        <v>0</v>
      </c>
      <c r="FH164" s="208">
        <v>9599</v>
      </c>
      <c r="FI164" s="208">
        <v>-37300</v>
      </c>
      <c r="FJ164" s="208">
        <v>0</v>
      </c>
      <c r="FK164" s="208">
        <v>-37300</v>
      </c>
      <c r="FL164" s="208">
        <v>-756</v>
      </c>
      <c r="FM164" s="208">
        <v>0</v>
      </c>
      <c r="FN164" s="208">
        <v>-756</v>
      </c>
      <c r="FO164" s="208">
        <v>0</v>
      </c>
      <c r="FP164" s="208">
        <v>0</v>
      </c>
      <c r="FQ164" s="208">
        <v>0</v>
      </c>
      <c r="FR164" s="208">
        <v>0</v>
      </c>
      <c r="FS164" s="208">
        <v>0</v>
      </c>
      <c r="FT164" s="208">
        <v>0</v>
      </c>
      <c r="FU164" s="208">
        <v>-105796</v>
      </c>
      <c r="FV164" s="208">
        <v>0</v>
      </c>
      <c r="FW164" s="208">
        <v>-105796</v>
      </c>
      <c r="FX164" s="208">
        <v>0</v>
      </c>
      <c r="FY164" s="208">
        <v>0</v>
      </c>
      <c r="FZ164" s="208">
        <v>0</v>
      </c>
      <c r="GA164" s="208">
        <v>0</v>
      </c>
      <c r="GB164" s="208">
        <v>0</v>
      </c>
      <c r="GC164" s="208">
        <v>0</v>
      </c>
      <c r="GD164" s="208">
        <v>0</v>
      </c>
      <c r="GE164" s="208">
        <v>0</v>
      </c>
      <c r="GF164" s="208">
        <v>0</v>
      </c>
      <c r="GG164" s="208">
        <v>18831340</v>
      </c>
      <c r="GH164" s="208">
        <v>0</v>
      </c>
      <c r="GI164" s="208">
        <v>18831340</v>
      </c>
      <c r="GJ164" s="208">
        <v>-263145</v>
      </c>
      <c r="GK164" s="208">
        <v>0</v>
      </c>
      <c r="GL164" s="208">
        <v>-263145</v>
      </c>
      <c r="GM164" s="208">
        <v>-3659796</v>
      </c>
      <c r="GN164" s="208">
        <v>0</v>
      </c>
      <c r="GO164" s="208">
        <v>-3659796</v>
      </c>
      <c r="GP164" s="208">
        <v>-534621</v>
      </c>
      <c r="GQ164" s="208">
        <v>0</v>
      </c>
      <c r="GR164" s="208">
        <v>-534621</v>
      </c>
      <c r="GS164" s="208">
        <v>-37870</v>
      </c>
      <c r="GT164" s="208">
        <v>0</v>
      </c>
      <c r="GU164" s="208">
        <v>-37870</v>
      </c>
      <c r="GV164" s="208">
        <v>-105796</v>
      </c>
      <c r="GW164" s="208">
        <v>0</v>
      </c>
      <c r="GX164" s="208">
        <v>-105796</v>
      </c>
      <c r="GY164" s="208">
        <v>0</v>
      </c>
      <c r="GZ164" s="208">
        <v>0</v>
      </c>
      <c r="HA164" s="208">
        <v>0</v>
      </c>
      <c r="HB164" s="208">
        <v>-4601228</v>
      </c>
      <c r="HC164" s="208">
        <v>0</v>
      </c>
      <c r="HD164" s="208">
        <v>-4601228</v>
      </c>
      <c r="HE164" s="208">
        <v>14230112</v>
      </c>
      <c r="HF164" s="208">
        <v>0</v>
      </c>
      <c r="HG164" s="208">
        <v>14230112</v>
      </c>
      <c r="HH164" s="187" t="s">
        <v>1054</v>
      </c>
    </row>
    <row r="165" spans="2:216" s="187" customFormat="1" x14ac:dyDescent="0.2">
      <c r="B165" s="429" t="s">
        <v>407</v>
      </c>
      <c r="C165" s="429" t="s">
        <v>406</v>
      </c>
      <c r="D165" s="208">
        <v>-542270</v>
      </c>
      <c r="E165" s="208">
        <v>0</v>
      </c>
      <c r="F165" s="208">
        <v>-542270</v>
      </c>
      <c r="G165" s="208">
        <v>11449</v>
      </c>
      <c r="H165" s="208">
        <v>0</v>
      </c>
      <c r="I165" s="208">
        <v>11449</v>
      </c>
      <c r="J165" s="208">
        <v>259798</v>
      </c>
      <c r="K165" s="208">
        <v>0</v>
      </c>
      <c r="L165" s="208">
        <v>259798</v>
      </c>
      <c r="M165" s="208">
        <v>4464</v>
      </c>
      <c r="N165" s="208">
        <v>0</v>
      </c>
      <c r="O165" s="208">
        <v>4464</v>
      </c>
      <c r="P165" s="208">
        <v>-266559</v>
      </c>
      <c r="Q165" s="208">
        <v>0</v>
      </c>
      <c r="R165" s="208">
        <v>-266559</v>
      </c>
      <c r="S165" s="208">
        <v>-3544812</v>
      </c>
      <c r="T165" s="208">
        <v>0</v>
      </c>
      <c r="U165" s="208">
        <v>-3544812</v>
      </c>
      <c r="V165" s="208">
        <v>0</v>
      </c>
      <c r="W165" s="208">
        <v>0</v>
      </c>
      <c r="X165" s="208">
        <v>0</v>
      </c>
      <c r="Y165" s="208">
        <v>-182663</v>
      </c>
      <c r="Z165" s="208">
        <v>0</v>
      </c>
      <c r="AA165" s="208">
        <v>-182663</v>
      </c>
      <c r="AB165" s="208">
        <v>-50838</v>
      </c>
      <c r="AC165" s="208">
        <v>0</v>
      </c>
      <c r="AD165" s="208">
        <v>-50838</v>
      </c>
      <c r="AE165" s="208">
        <v>-116042</v>
      </c>
      <c r="AF165" s="208">
        <v>0</v>
      </c>
      <c r="AG165" s="208">
        <v>-116042</v>
      </c>
      <c r="AH165" s="208">
        <v>0</v>
      </c>
      <c r="AI165" s="208">
        <v>0</v>
      </c>
      <c r="AJ165" s="208">
        <v>0</v>
      </c>
      <c r="AK165" s="208">
        <v>2664</v>
      </c>
      <c r="AL165" s="208">
        <v>0</v>
      </c>
      <c r="AM165" s="208">
        <v>2664</v>
      </c>
      <c r="AN165" s="208">
        <v>358231</v>
      </c>
      <c r="AO165" s="208">
        <v>0</v>
      </c>
      <c r="AP165" s="208">
        <v>358231</v>
      </c>
      <c r="AQ165" s="208">
        <v>-7794</v>
      </c>
      <c r="AR165" s="208">
        <v>0</v>
      </c>
      <c r="AS165" s="208">
        <v>-7794</v>
      </c>
      <c r="AT165" s="208">
        <v>-2048516</v>
      </c>
      <c r="AU165" s="208">
        <v>0</v>
      </c>
      <c r="AV165" s="208">
        <v>-2048516</v>
      </c>
      <c r="AW165" s="208">
        <v>-11668</v>
      </c>
      <c r="AX165" s="208">
        <v>0</v>
      </c>
      <c r="AY165" s="208">
        <v>-11668</v>
      </c>
      <c r="AZ165" s="208">
        <v>-151747</v>
      </c>
      <c r="BA165" s="208">
        <v>0</v>
      </c>
      <c r="BB165" s="208">
        <v>-151747</v>
      </c>
      <c r="BC165" s="208">
        <v>0</v>
      </c>
      <c r="BD165" s="208">
        <v>0</v>
      </c>
      <c r="BE165" s="208">
        <v>0</v>
      </c>
      <c r="BF165" s="208">
        <v>-34904</v>
      </c>
      <c r="BG165" s="208">
        <v>0</v>
      </c>
      <c r="BH165" s="208">
        <v>-34904</v>
      </c>
      <c r="BI165" s="208">
        <v>829</v>
      </c>
      <c r="BJ165" s="208">
        <v>0</v>
      </c>
      <c r="BK165" s="208">
        <v>829</v>
      </c>
      <c r="BL165" s="208">
        <v>-5623044</v>
      </c>
      <c r="BM165" s="208">
        <v>0</v>
      </c>
      <c r="BN165" s="208">
        <v>-5623044</v>
      </c>
      <c r="BO165" s="208">
        <v>0</v>
      </c>
      <c r="BP165" s="208">
        <v>0</v>
      </c>
      <c r="BQ165" s="208">
        <v>0</v>
      </c>
      <c r="BR165" s="208">
        <v>0</v>
      </c>
      <c r="BS165" s="208">
        <v>0</v>
      </c>
      <c r="BT165" s="208">
        <v>0</v>
      </c>
      <c r="BU165" s="208">
        <v>-577980</v>
      </c>
      <c r="BV165" s="208">
        <v>0</v>
      </c>
      <c r="BW165" s="208">
        <v>-577980</v>
      </c>
      <c r="BX165" s="208">
        <v>-162767</v>
      </c>
      <c r="BY165" s="208">
        <v>0</v>
      </c>
      <c r="BZ165" s="208">
        <v>-162767</v>
      </c>
      <c r="CA165" s="208">
        <v>-740747</v>
      </c>
      <c r="CB165" s="208">
        <v>0</v>
      </c>
      <c r="CC165" s="208">
        <v>-740747</v>
      </c>
      <c r="CD165" s="208">
        <v>-84182</v>
      </c>
      <c r="CE165" s="208">
        <v>0</v>
      </c>
      <c r="CF165" s="208">
        <v>-84182</v>
      </c>
      <c r="CG165" s="208">
        <v>-2337</v>
      </c>
      <c r="CH165" s="208">
        <v>0</v>
      </c>
      <c r="CI165" s="208">
        <v>-2337</v>
      </c>
      <c r="CJ165" s="208">
        <v>-41511</v>
      </c>
      <c r="CK165" s="208">
        <v>0</v>
      </c>
      <c r="CL165" s="208">
        <v>-41511</v>
      </c>
      <c r="CM165" s="208">
        <v>0</v>
      </c>
      <c r="CN165" s="208">
        <v>0</v>
      </c>
      <c r="CO165" s="208">
        <v>0</v>
      </c>
      <c r="CP165" s="208">
        <v>-37839</v>
      </c>
      <c r="CQ165" s="208">
        <v>0</v>
      </c>
      <c r="CR165" s="208">
        <v>-37839</v>
      </c>
      <c r="CS165" s="208">
        <v>0</v>
      </c>
      <c r="CT165" s="208">
        <v>0</v>
      </c>
      <c r="CU165" s="208">
        <v>0</v>
      </c>
      <c r="CV165" s="208">
        <v>0</v>
      </c>
      <c r="CW165" s="208">
        <v>0</v>
      </c>
      <c r="CX165" s="208">
        <v>0</v>
      </c>
      <c r="CY165" s="208">
        <v>0</v>
      </c>
      <c r="CZ165" s="208">
        <v>0</v>
      </c>
      <c r="DA165" s="208">
        <v>0</v>
      </c>
      <c r="DB165" s="208">
        <v>0</v>
      </c>
      <c r="DC165" s="208">
        <v>0</v>
      </c>
      <c r="DD165" s="208">
        <v>0</v>
      </c>
      <c r="DE165" s="208">
        <v>-24</v>
      </c>
      <c r="DF165" s="208">
        <v>0</v>
      </c>
      <c r="DG165" s="208">
        <v>-24</v>
      </c>
      <c r="DH165" s="208">
        <v>0</v>
      </c>
      <c r="DI165" s="208">
        <v>0</v>
      </c>
      <c r="DJ165" s="208">
        <v>0</v>
      </c>
      <c r="DK165" s="208">
        <v>0</v>
      </c>
      <c r="DL165" s="208">
        <v>0</v>
      </c>
      <c r="DM165" s="208">
        <v>0</v>
      </c>
      <c r="DN165" s="208">
        <v>0</v>
      </c>
      <c r="DO165" s="208">
        <v>0</v>
      </c>
      <c r="DP165" s="208">
        <v>-165893</v>
      </c>
      <c r="DQ165" s="208">
        <v>0</v>
      </c>
      <c r="DR165" s="208">
        <v>-165893</v>
      </c>
      <c r="DS165" s="208">
        <v>0</v>
      </c>
      <c r="DT165" s="208">
        <v>0</v>
      </c>
      <c r="DU165" s="208">
        <v>0</v>
      </c>
      <c r="DV165" s="208">
        <v>0</v>
      </c>
      <c r="DW165" s="208">
        <v>0</v>
      </c>
      <c r="DX165" s="208">
        <v>0</v>
      </c>
      <c r="DY165" s="208">
        <v>11590</v>
      </c>
      <c r="DZ165" s="208">
        <v>0</v>
      </c>
      <c r="EA165" s="208">
        <v>11590</v>
      </c>
      <c r="EB165" s="208">
        <v>0</v>
      </c>
      <c r="EC165" s="208">
        <v>0</v>
      </c>
      <c r="ED165" s="208">
        <v>0</v>
      </c>
      <c r="EE165" s="208">
        <v>1898</v>
      </c>
      <c r="EF165" s="208">
        <v>0</v>
      </c>
      <c r="EG165" s="208">
        <v>1898</v>
      </c>
      <c r="EH165" s="208">
        <v>0</v>
      </c>
      <c r="EI165" s="208">
        <v>0</v>
      </c>
      <c r="EJ165" s="208">
        <v>0</v>
      </c>
      <c r="EK165" s="208">
        <v>-38547</v>
      </c>
      <c r="EL165" s="208">
        <v>0</v>
      </c>
      <c r="EM165" s="208">
        <v>-38547</v>
      </c>
      <c r="EN165" s="208">
        <v>829</v>
      </c>
      <c r="EO165" s="208">
        <v>0</v>
      </c>
      <c r="EP165" s="208">
        <v>829</v>
      </c>
      <c r="EQ165" s="208">
        <v>0</v>
      </c>
      <c r="ER165" s="208">
        <v>0</v>
      </c>
      <c r="ES165" s="208">
        <v>0</v>
      </c>
      <c r="ET165" s="208">
        <v>0</v>
      </c>
      <c r="EU165" s="208">
        <v>0</v>
      </c>
      <c r="EV165" s="208">
        <v>0</v>
      </c>
      <c r="EW165" s="208">
        <v>-24982</v>
      </c>
      <c r="EX165" s="208">
        <v>0</v>
      </c>
      <c r="EY165" s="208">
        <v>-24982</v>
      </c>
      <c r="EZ165" s="208">
        <v>-269</v>
      </c>
      <c r="FA165" s="208">
        <v>0</v>
      </c>
      <c r="FB165" s="208">
        <v>-269</v>
      </c>
      <c r="FC165" s="208">
        <v>-59944</v>
      </c>
      <c r="FD165" s="208">
        <v>0</v>
      </c>
      <c r="FE165" s="208">
        <v>-59944</v>
      </c>
      <c r="FF165" s="208">
        <v>792</v>
      </c>
      <c r="FG165" s="208">
        <v>0</v>
      </c>
      <c r="FH165" s="208">
        <v>792</v>
      </c>
      <c r="FI165" s="208">
        <v>-45569</v>
      </c>
      <c r="FJ165" s="208">
        <v>0</v>
      </c>
      <c r="FK165" s="208">
        <v>-45569</v>
      </c>
      <c r="FL165" s="208">
        <v>-126</v>
      </c>
      <c r="FM165" s="208">
        <v>0</v>
      </c>
      <c r="FN165" s="208">
        <v>-126</v>
      </c>
      <c r="FO165" s="208">
        <v>0</v>
      </c>
      <c r="FP165" s="208">
        <v>0</v>
      </c>
      <c r="FQ165" s="208">
        <v>0</v>
      </c>
      <c r="FR165" s="208">
        <v>0</v>
      </c>
      <c r="FS165" s="208">
        <v>0</v>
      </c>
      <c r="FT165" s="208">
        <v>0</v>
      </c>
      <c r="FU165" s="208">
        <v>-154328</v>
      </c>
      <c r="FV165" s="208">
        <v>0</v>
      </c>
      <c r="FW165" s="208">
        <v>-154328</v>
      </c>
      <c r="FX165" s="208">
        <v>0</v>
      </c>
      <c r="FY165" s="208">
        <v>0</v>
      </c>
      <c r="FZ165" s="208">
        <v>0</v>
      </c>
      <c r="GA165" s="208">
        <v>0</v>
      </c>
      <c r="GB165" s="208">
        <v>0</v>
      </c>
      <c r="GC165" s="208">
        <v>0</v>
      </c>
      <c r="GD165" s="208">
        <v>0</v>
      </c>
      <c r="GE165" s="208">
        <v>0</v>
      </c>
      <c r="GF165" s="208">
        <v>0</v>
      </c>
      <c r="GG165" s="208">
        <v>22226212</v>
      </c>
      <c r="GH165" s="208">
        <v>0</v>
      </c>
      <c r="GI165" s="208">
        <v>22226212</v>
      </c>
      <c r="GJ165" s="208">
        <v>-266559</v>
      </c>
      <c r="GK165" s="208">
        <v>0</v>
      </c>
      <c r="GL165" s="208">
        <v>-266559</v>
      </c>
      <c r="GM165" s="208">
        <v>-5623044</v>
      </c>
      <c r="GN165" s="208">
        <v>0</v>
      </c>
      <c r="GO165" s="208">
        <v>-5623044</v>
      </c>
      <c r="GP165" s="208">
        <v>-740747</v>
      </c>
      <c r="GQ165" s="208">
        <v>0</v>
      </c>
      <c r="GR165" s="208">
        <v>-740747</v>
      </c>
      <c r="GS165" s="208">
        <v>-165893</v>
      </c>
      <c r="GT165" s="208">
        <v>0</v>
      </c>
      <c r="GU165" s="208">
        <v>-165893</v>
      </c>
      <c r="GV165" s="208">
        <v>-154328</v>
      </c>
      <c r="GW165" s="208">
        <v>0</v>
      </c>
      <c r="GX165" s="208">
        <v>-154328</v>
      </c>
      <c r="GY165" s="208">
        <v>0</v>
      </c>
      <c r="GZ165" s="208">
        <v>0</v>
      </c>
      <c r="HA165" s="208">
        <v>0</v>
      </c>
      <c r="HB165" s="208">
        <v>-6950571</v>
      </c>
      <c r="HC165" s="208">
        <v>0</v>
      </c>
      <c r="HD165" s="208">
        <v>-6950571</v>
      </c>
      <c r="HE165" s="208">
        <v>15275641</v>
      </c>
      <c r="HF165" s="208">
        <v>0</v>
      </c>
      <c r="HG165" s="208">
        <v>15275641</v>
      </c>
      <c r="HH165" s="187" t="s">
        <v>1054</v>
      </c>
    </row>
    <row r="166" spans="2:216" s="187" customFormat="1" x14ac:dyDescent="0.2">
      <c r="B166" s="429" t="s">
        <v>409</v>
      </c>
      <c r="C166" s="429" t="s">
        <v>408</v>
      </c>
      <c r="D166" s="208">
        <v>-4936747</v>
      </c>
      <c r="E166" s="208">
        <v>-98692</v>
      </c>
      <c r="F166" s="208">
        <v>-5035439</v>
      </c>
      <c r="G166" s="208">
        <v>-603306</v>
      </c>
      <c r="H166" s="208">
        <v>812</v>
      </c>
      <c r="I166" s="208">
        <v>-602494</v>
      </c>
      <c r="J166" s="208">
        <v>6690897</v>
      </c>
      <c r="K166" s="208">
        <v>350252</v>
      </c>
      <c r="L166" s="208">
        <v>7041149</v>
      </c>
      <c r="M166" s="208">
        <v>-46690</v>
      </c>
      <c r="N166" s="208">
        <v>23912</v>
      </c>
      <c r="O166" s="208">
        <v>-22778</v>
      </c>
      <c r="P166" s="208">
        <v>1104154</v>
      </c>
      <c r="Q166" s="208">
        <v>276284</v>
      </c>
      <c r="R166" s="208">
        <v>1380438</v>
      </c>
      <c r="S166" s="208">
        <v>-18660977</v>
      </c>
      <c r="T166" s="208">
        <v>-183351</v>
      </c>
      <c r="U166" s="208">
        <v>-18844328</v>
      </c>
      <c r="V166" s="208">
        <v>-1983</v>
      </c>
      <c r="W166" s="208">
        <v>0</v>
      </c>
      <c r="X166" s="208">
        <v>-1983</v>
      </c>
      <c r="Y166" s="208">
        <v>-875989</v>
      </c>
      <c r="Z166" s="208">
        <v>-38876</v>
      </c>
      <c r="AA166" s="208">
        <v>-914865</v>
      </c>
      <c r="AB166" s="208">
        <v>-729560</v>
      </c>
      <c r="AC166" s="208">
        <v>-24205</v>
      </c>
      <c r="AD166" s="208">
        <v>-753765</v>
      </c>
      <c r="AE166" s="208">
        <v>-140863</v>
      </c>
      <c r="AF166" s="208">
        <v>-14671</v>
      </c>
      <c r="AG166" s="208">
        <v>-155534</v>
      </c>
      <c r="AH166" s="208">
        <v>-4664</v>
      </c>
      <c r="AI166" s="208">
        <v>0</v>
      </c>
      <c r="AJ166" s="208">
        <v>-4664</v>
      </c>
      <c r="AK166" s="208">
        <v>-901</v>
      </c>
      <c r="AL166" s="208">
        <v>0</v>
      </c>
      <c r="AM166" s="208">
        <v>-901</v>
      </c>
      <c r="AN166" s="208">
        <v>9000838</v>
      </c>
      <c r="AO166" s="208">
        <v>328452</v>
      </c>
      <c r="AP166" s="208">
        <v>9329290</v>
      </c>
      <c r="AQ166" s="208">
        <v>-340295</v>
      </c>
      <c r="AR166" s="208">
        <v>5833</v>
      </c>
      <c r="AS166" s="208">
        <v>-334462</v>
      </c>
      <c r="AT166" s="208">
        <v>-30055899</v>
      </c>
      <c r="AU166" s="208">
        <v>-347116</v>
      </c>
      <c r="AV166" s="208">
        <v>-30403015</v>
      </c>
      <c r="AW166" s="208">
        <v>920286</v>
      </c>
      <c r="AX166" s="208">
        <v>20526</v>
      </c>
      <c r="AY166" s="208">
        <v>940812</v>
      </c>
      <c r="AZ166" s="208">
        <v>-110724</v>
      </c>
      <c r="BA166" s="208">
        <v>0</v>
      </c>
      <c r="BB166" s="208">
        <v>-110724</v>
      </c>
      <c r="BC166" s="208">
        <v>0</v>
      </c>
      <c r="BD166" s="208">
        <v>0</v>
      </c>
      <c r="BE166" s="208">
        <v>0</v>
      </c>
      <c r="BF166" s="208">
        <v>0</v>
      </c>
      <c r="BG166" s="208">
        <v>0</v>
      </c>
      <c r="BH166" s="208">
        <v>0</v>
      </c>
      <c r="BI166" s="208">
        <v>0</v>
      </c>
      <c r="BJ166" s="208">
        <v>0</v>
      </c>
      <c r="BK166" s="208">
        <v>0</v>
      </c>
      <c r="BL166" s="208">
        <v>-40122760</v>
      </c>
      <c r="BM166" s="208">
        <v>-214532</v>
      </c>
      <c r="BN166" s="208">
        <v>-40337292</v>
      </c>
      <c r="BO166" s="208">
        <v>0</v>
      </c>
      <c r="BP166" s="208">
        <v>0</v>
      </c>
      <c r="BQ166" s="208">
        <v>0</v>
      </c>
      <c r="BR166" s="208">
        <v>-58042</v>
      </c>
      <c r="BS166" s="208">
        <v>0</v>
      </c>
      <c r="BT166" s="208">
        <v>-58042</v>
      </c>
      <c r="BU166" s="208">
        <v>-23222319</v>
      </c>
      <c r="BV166" s="208">
        <v>-280398</v>
      </c>
      <c r="BW166" s="208">
        <v>-23502717</v>
      </c>
      <c r="BX166" s="208">
        <v>-1954399</v>
      </c>
      <c r="BY166" s="208">
        <v>397566</v>
      </c>
      <c r="BZ166" s="208">
        <v>-1556833</v>
      </c>
      <c r="CA166" s="208">
        <v>-25234760</v>
      </c>
      <c r="CB166" s="208">
        <v>117168</v>
      </c>
      <c r="CC166" s="208">
        <v>-25117592</v>
      </c>
      <c r="CD166" s="208">
        <v>-1006471</v>
      </c>
      <c r="CE166" s="208">
        <v>-1356</v>
      </c>
      <c r="CF166" s="208">
        <v>-1007827</v>
      </c>
      <c r="CG166" s="208">
        <v>-28494</v>
      </c>
      <c r="CH166" s="208">
        <v>0</v>
      </c>
      <c r="CI166" s="208">
        <v>-28494</v>
      </c>
      <c r="CJ166" s="208">
        <v>-1454165</v>
      </c>
      <c r="CK166" s="208">
        <v>0</v>
      </c>
      <c r="CL166" s="208">
        <v>-1454165</v>
      </c>
      <c r="CM166" s="208">
        <v>-13378</v>
      </c>
      <c r="CN166" s="208">
        <v>0</v>
      </c>
      <c r="CO166" s="208">
        <v>-13378</v>
      </c>
      <c r="CP166" s="208">
        <v>0</v>
      </c>
      <c r="CQ166" s="208">
        <v>0</v>
      </c>
      <c r="CR166" s="208">
        <v>0</v>
      </c>
      <c r="CS166" s="208">
        <v>0</v>
      </c>
      <c r="CT166" s="208">
        <v>0</v>
      </c>
      <c r="CU166" s="208">
        <v>0</v>
      </c>
      <c r="CV166" s="208">
        <v>0</v>
      </c>
      <c r="CW166" s="208">
        <v>0</v>
      </c>
      <c r="CX166" s="208">
        <v>0</v>
      </c>
      <c r="CY166" s="208">
        <v>0</v>
      </c>
      <c r="CZ166" s="208">
        <v>0</v>
      </c>
      <c r="DA166" s="208">
        <v>0</v>
      </c>
      <c r="DB166" s="208">
        <v>0</v>
      </c>
      <c r="DC166" s="208">
        <v>0</v>
      </c>
      <c r="DD166" s="208">
        <v>0</v>
      </c>
      <c r="DE166" s="208">
        <v>0</v>
      </c>
      <c r="DF166" s="208">
        <v>0</v>
      </c>
      <c r="DG166" s="208">
        <v>0</v>
      </c>
      <c r="DH166" s="208">
        <v>-234</v>
      </c>
      <c r="DI166" s="208">
        <v>-1225507</v>
      </c>
      <c r="DJ166" s="208">
        <v>-1225741</v>
      </c>
      <c r="DK166" s="208">
        <v>-2587</v>
      </c>
      <c r="DL166" s="208">
        <v>-309764</v>
      </c>
      <c r="DM166" s="208">
        <v>-312351</v>
      </c>
      <c r="DN166" s="208">
        <v>-1535271</v>
      </c>
      <c r="DO166" s="208">
        <v>0</v>
      </c>
      <c r="DP166" s="208">
        <v>-2505329</v>
      </c>
      <c r="DQ166" s="208">
        <v>-1536627</v>
      </c>
      <c r="DR166" s="208">
        <v>-4041956</v>
      </c>
      <c r="DS166" s="208">
        <v>21467</v>
      </c>
      <c r="DT166" s="208">
        <v>0</v>
      </c>
      <c r="DU166" s="208">
        <v>21467</v>
      </c>
      <c r="DV166" s="208">
        <v>19759</v>
      </c>
      <c r="DW166" s="208">
        <v>0</v>
      </c>
      <c r="DX166" s="208">
        <v>19759</v>
      </c>
      <c r="DY166" s="208">
        <v>0</v>
      </c>
      <c r="DZ166" s="208">
        <v>0</v>
      </c>
      <c r="EA166" s="208">
        <v>0</v>
      </c>
      <c r="EB166" s="208">
        <v>0</v>
      </c>
      <c r="EC166" s="208">
        <v>0</v>
      </c>
      <c r="ED166" s="208">
        <v>0</v>
      </c>
      <c r="EE166" s="208">
        <v>0</v>
      </c>
      <c r="EF166" s="208">
        <v>0</v>
      </c>
      <c r="EG166" s="208">
        <v>0</v>
      </c>
      <c r="EH166" s="208">
        <v>0</v>
      </c>
      <c r="EI166" s="208">
        <v>0</v>
      </c>
      <c r="EJ166" s="208">
        <v>0</v>
      </c>
      <c r="EK166" s="208">
        <v>0</v>
      </c>
      <c r="EL166" s="208">
        <v>0</v>
      </c>
      <c r="EM166" s="208">
        <v>0</v>
      </c>
      <c r="EN166" s="208">
        <v>0</v>
      </c>
      <c r="EO166" s="208">
        <v>0</v>
      </c>
      <c r="EP166" s="208">
        <v>0</v>
      </c>
      <c r="EQ166" s="208">
        <v>0</v>
      </c>
      <c r="ER166" s="208">
        <v>0</v>
      </c>
      <c r="ES166" s="208">
        <v>0</v>
      </c>
      <c r="ET166" s="208">
        <v>0</v>
      </c>
      <c r="EU166" s="208">
        <v>0</v>
      </c>
      <c r="EV166" s="208">
        <v>0</v>
      </c>
      <c r="EW166" s="208">
        <v>-156629</v>
      </c>
      <c r="EX166" s="208">
        <v>-924</v>
      </c>
      <c r="EY166" s="208">
        <v>-157553</v>
      </c>
      <c r="EZ166" s="208">
        <v>-2225</v>
      </c>
      <c r="FA166" s="208">
        <v>-159</v>
      </c>
      <c r="FB166" s="208">
        <v>-2384</v>
      </c>
      <c r="FC166" s="208">
        <v>-724359</v>
      </c>
      <c r="FD166" s="208">
        <v>-7737</v>
      </c>
      <c r="FE166" s="208">
        <v>-732096</v>
      </c>
      <c r="FF166" s="208">
        <v>20755</v>
      </c>
      <c r="FG166" s="208">
        <v>-2959</v>
      </c>
      <c r="FH166" s="208">
        <v>17796</v>
      </c>
      <c r="FI166" s="208">
        <v>-129238</v>
      </c>
      <c r="FJ166" s="208">
        <v>-1000</v>
      </c>
      <c r="FK166" s="208">
        <v>-130238</v>
      </c>
      <c r="FL166" s="208">
        <v>526</v>
      </c>
      <c r="FM166" s="208">
        <v>0</v>
      </c>
      <c r="FN166" s="208">
        <v>526</v>
      </c>
      <c r="FO166" s="208">
        <v>0</v>
      </c>
      <c r="FP166" s="208">
        <v>0</v>
      </c>
      <c r="FQ166" s="208">
        <v>0</v>
      </c>
      <c r="FR166" s="208">
        <v>0</v>
      </c>
      <c r="FS166" s="208">
        <v>0</v>
      </c>
      <c r="FT166" s="208">
        <v>0</v>
      </c>
      <c r="FU166" s="208">
        <v>-949944</v>
      </c>
      <c r="FV166" s="208">
        <v>-12779</v>
      </c>
      <c r="FW166" s="208">
        <v>-962723</v>
      </c>
      <c r="FX166" s="208">
        <v>-1641</v>
      </c>
      <c r="FY166" s="208">
        <v>0</v>
      </c>
      <c r="FZ166" s="208">
        <v>-1641</v>
      </c>
      <c r="GA166" s="208">
        <v>-3332</v>
      </c>
      <c r="GB166" s="208">
        <v>0</v>
      </c>
      <c r="GC166" s="208">
        <v>-3332</v>
      </c>
      <c r="GD166" s="208">
        <v>-4973</v>
      </c>
      <c r="GE166" s="208">
        <v>0</v>
      </c>
      <c r="GF166" s="208">
        <v>-4973</v>
      </c>
      <c r="GG166" s="208">
        <v>405262876</v>
      </c>
      <c r="GH166" s="208">
        <v>14652859</v>
      </c>
      <c r="GI166" s="208">
        <v>419915735</v>
      </c>
      <c r="GJ166" s="208">
        <v>1104154</v>
      </c>
      <c r="GK166" s="208">
        <v>276284</v>
      </c>
      <c r="GL166" s="208">
        <v>1380438</v>
      </c>
      <c r="GM166" s="208">
        <v>-40122760</v>
      </c>
      <c r="GN166" s="208">
        <v>-214532</v>
      </c>
      <c r="GO166" s="208">
        <v>-40337292</v>
      </c>
      <c r="GP166" s="208">
        <v>-25234760</v>
      </c>
      <c r="GQ166" s="208">
        <v>117168</v>
      </c>
      <c r="GR166" s="208">
        <v>-25117592</v>
      </c>
      <c r="GS166" s="208">
        <v>-2505329</v>
      </c>
      <c r="GT166" s="208">
        <v>-1536627</v>
      </c>
      <c r="GU166" s="208">
        <v>-4041956</v>
      </c>
      <c r="GV166" s="208">
        <v>-949944</v>
      </c>
      <c r="GW166" s="208">
        <v>-12779</v>
      </c>
      <c r="GX166" s="208">
        <v>-962723</v>
      </c>
      <c r="GY166" s="208">
        <v>-4973</v>
      </c>
      <c r="GZ166" s="208">
        <v>0</v>
      </c>
      <c r="HA166" s="208">
        <v>-4973</v>
      </c>
      <c r="HB166" s="208">
        <v>-67713612</v>
      </c>
      <c r="HC166" s="208">
        <v>-1370486</v>
      </c>
      <c r="HD166" s="208">
        <v>-69084098</v>
      </c>
      <c r="HE166" s="208">
        <v>337549264</v>
      </c>
      <c r="HF166" s="208">
        <v>13282373</v>
      </c>
      <c r="HG166" s="208">
        <v>350831637</v>
      </c>
      <c r="HH166" s="187" t="s">
        <v>1056</v>
      </c>
    </row>
    <row r="167" spans="2:216" s="187" customFormat="1" x14ac:dyDescent="0.2">
      <c r="B167" s="429" t="s">
        <v>411</v>
      </c>
      <c r="C167" s="429" t="s">
        <v>410</v>
      </c>
      <c r="D167" s="208">
        <v>-715943</v>
      </c>
      <c r="E167" s="208">
        <v>0</v>
      </c>
      <c r="F167" s="208">
        <v>-715943</v>
      </c>
      <c r="G167" s="208">
        <v>26515</v>
      </c>
      <c r="H167" s="208">
        <v>0</v>
      </c>
      <c r="I167" s="208">
        <v>26515</v>
      </c>
      <c r="J167" s="208">
        <v>640397</v>
      </c>
      <c r="K167" s="208">
        <v>0</v>
      </c>
      <c r="L167" s="208">
        <v>640397</v>
      </c>
      <c r="M167" s="208">
        <v>16276</v>
      </c>
      <c r="N167" s="208">
        <v>0</v>
      </c>
      <c r="O167" s="208">
        <v>16276</v>
      </c>
      <c r="P167" s="208">
        <v>-32755</v>
      </c>
      <c r="Q167" s="208">
        <v>0</v>
      </c>
      <c r="R167" s="208">
        <v>-32755</v>
      </c>
      <c r="S167" s="208">
        <v>-3033805</v>
      </c>
      <c r="T167" s="208">
        <v>0</v>
      </c>
      <c r="U167" s="208">
        <v>-3033805</v>
      </c>
      <c r="V167" s="208">
        <v>-7321</v>
      </c>
      <c r="W167" s="208">
        <v>0</v>
      </c>
      <c r="X167" s="208">
        <v>-7321</v>
      </c>
      <c r="Y167" s="208">
        <v>-105539</v>
      </c>
      <c r="Z167" s="208">
        <v>0</v>
      </c>
      <c r="AA167" s="208">
        <v>-105539</v>
      </c>
      <c r="AB167" s="208">
        <v>-33630</v>
      </c>
      <c r="AC167" s="208">
        <v>0</v>
      </c>
      <c r="AD167" s="208">
        <v>-33630</v>
      </c>
      <c r="AE167" s="208">
        <v>-71909</v>
      </c>
      <c r="AF167" s="208">
        <v>0</v>
      </c>
      <c r="AG167" s="208">
        <v>-71909</v>
      </c>
      <c r="AH167" s="208">
        <v>0</v>
      </c>
      <c r="AI167" s="208">
        <v>0</v>
      </c>
      <c r="AJ167" s="208">
        <v>0</v>
      </c>
      <c r="AK167" s="208">
        <v>3162</v>
      </c>
      <c r="AL167" s="208">
        <v>0</v>
      </c>
      <c r="AM167" s="208">
        <v>3162</v>
      </c>
      <c r="AN167" s="208">
        <v>667451</v>
      </c>
      <c r="AO167" s="208">
        <v>0</v>
      </c>
      <c r="AP167" s="208">
        <v>667451</v>
      </c>
      <c r="AQ167" s="208">
        <v>563</v>
      </c>
      <c r="AR167" s="208">
        <v>0</v>
      </c>
      <c r="AS167" s="208">
        <v>563</v>
      </c>
      <c r="AT167" s="208">
        <v>-2373183</v>
      </c>
      <c r="AU167" s="208">
        <v>0</v>
      </c>
      <c r="AV167" s="208">
        <v>-2373183</v>
      </c>
      <c r="AW167" s="208">
        <v>29103</v>
      </c>
      <c r="AX167" s="208">
        <v>0</v>
      </c>
      <c r="AY167" s="208">
        <v>29103</v>
      </c>
      <c r="AZ167" s="208">
        <v>-14544</v>
      </c>
      <c r="BA167" s="208">
        <v>0</v>
      </c>
      <c r="BB167" s="208">
        <v>-14544</v>
      </c>
      <c r="BC167" s="208">
        <v>0</v>
      </c>
      <c r="BD167" s="208">
        <v>0</v>
      </c>
      <c r="BE167" s="208">
        <v>0</v>
      </c>
      <c r="BF167" s="208">
        <v>0</v>
      </c>
      <c r="BG167" s="208">
        <v>0</v>
      </c>
      <c r="BH167" s="208">
        <v>0</v>
      </c>
      <c r="BI167" s="208">
        <v>0</v>
      </c>
      <c r="BJ167" s="208">
        <v>0</v>
      </c>
      <c r="BK167" s="208">
        <v>0</v>
      </c>
      <c r="BL167" s="208">
        <v>-4829954</v>
      </c>
      <c r="BM167" s="208">
        <v>0</v>
      </c>
      <c r="BN167" s="208">
        <v>-4829954</v>
      </c>
      <c r="BO167" s="208">
        <v>-2247</v>
      </c>
      <c r="BP167" s="208">
        <v>0</v>
      </c>
      <c r="BQ167" s="208">
        <v>-2247</v>
      </c>
      <c r="BR167" s="208">
        <v>0</v>
      </c>
      <c r="BS167" s="208">
        <v>0</v>
      </c>
      <c r="BT167" s="208">
        <v>0</v>
      </c>
      <c r="BU167" s="208">
        <v>-1026523</v>
      </c>
      <c r="BV167" s="208">
        <v>0</v>
      </c>
      <c r="BW167" s="208">
        <v>-1026523</v>
      </c>
      <c r="BX167" s="208">
        <v>-163752</v>
      </c>
      <c r="BY167" s="208">
        <v>0</v>
      </c>
      <c r="BZ167" s="208">
        <v>-163752</v>
      </c>
      <c r="CA167" s="208">
        <v>-1192522</v>
      </c>
      <c r="CB167" s="208">
        <v>0</v>
      </c>
      <c r="CC167" s="208">
        <v>-1192522</v>
      </c>
      <c r="CD167" s="208">
        <v>-6835</v>
      </c>
      <c r="CE167" s="208">
        <v>0</v>
      </c>
      <c r="CF167" s="208">
        <v>-6835</v>
      </c>
      <c r="CG167" s="208">
        <v>515</v>
      </c>
      <c r="CH167" s="208">
        <v>0</v>
      </c>
      <c r="CI167" s="208">
        <v>515</v>
      </c>
      <c r="CJ167" s="208">
        <v>-106341</v>
      </c>
      <c r="CK167" s="208">
        <v>0</v>
      </c>
      <c r="CL167" s="208">
        <v>-106341</v>
      </c>
      <c r="CM167" s="208">
        <v>7584</v>
      </c>
      <c r="CN167" s="208">
        <v>0</v>
      </c>
      <c r="CO167" s="208">
        <v>7584</v>
      </c>
      <c r="CP167" s="208">
        <v>0</v>
      </c>
      <c r="CQ167" s="208">
        <v>0</v>
      </c>
      <c r="CR167" s="208">
        <v>0</v>
      </c>
      <c r="CS167" s="208">
        <v>0</v>
      </c>
      <c r="CT167" s="208">
        <v>0</v>
      </c>
      <c r="CU167" s="208">
        <v>0</v>
      </c>
      <c r="CV167" s="208">
        <v>0</v>
      </c>
      <c r="CW167" s="208">
        <v>0</v>
      </c>
      <c r="CX167" s="208">
        <v>0</v>
      </c>
      <c r="CY167" s="208">
        <v>0</v>
      </c>
      <c r="CZ167" s="208">
        <v>0</v>
      </c>
      <c r="DA167" s="208">
        <v>0</v>
      </c>
      <c r="DB167" s="208">
        <v>0</v>
      </c>
      <c r="DC167" s="208">
        <v>0</v>
      </c>
      <c r="DD167" s="208">
        <v>0</v>
      </c>
      <c r="DE167" s="208">
        <v>0</v>
      </c>
      <c r="DF167" s="208">
        <v>0</v>
      </c>
      <c r="DG167" s="208">
        <v>0</v>
      </c>
      <c r="DH167" s="208">
        <v>0</v>
      </c>
      <c r="DI167" s="208">
        <v>0</v>
      </c>
      <c r="DJ167" s="208">
        <v>0</v>
      </c>
      <c r="DK167" s="208">
        <v>0</v>
      </c>
      <c r="DL167" s="208">
        <v>0</v>
      </c>
      <c r="DM167" s="208">
        <v>0</v>
      </c>
      <c r="DN167" s="208">
        <v>0</v>
      </c>
      <c r="DO167" s="208">
        <v>0</v>
      </c>
      <c r="DP167" s="208">
        <v>-105077</v>
      </c>
      <c r="DQ167" s="208">
        <v>0</v>
      </c>
      <c r="DR167" s="208">
        <v>-105077</v>
      </c>
      <c r="DS167" s="208">
        <v>0</v>
      </c>
      <c r="DT167" s="208">
        <v>0</v>
      </c>
      <c r="DU167" s="208">
        <v>0</v>
      </c>
      <c r="DV167" s="208">
        <v>0</v>
      </c>
      <c r="DW167" s="208">
        <v>0</v>
      </c>
      <c r="DX167" s="208">
        <v>0</v>
      </c>
      <c r="DY167" s="208">
        <v>-1500</v>
      </c>
      <c r="DZ167" s="208">
        <v>0</v>
      </c>
      <c r="EA167" s="208">
        <v>-1500</v>
      </c>
      <c r="EB167" s="208">
        <v>0</v>
      </c>
      <c r="EC167" s="208">
        <v>0</v>
      </c>
      <c r="ED167" s="208">
        <v>0</v>
      </c>
      <c r="EE167" s="208">
        <v>0</v>
      </c>
      <c r="EF167" s="208">
        <v>0</v>
      </c>
      <c r="EG167" s="208">
        <v>0</v>
      </c>
      <c r="EH167" s="208">
        <v>0</v>
      </c>
      <c r="EI167" s="208">
        <v>0</v>
      </c>
      <c r="EJ167" s="208">
        <v>0</v>
      </c>
      <c r="EK167" s="208">
        <v>0</v>
      </c>
      <c r="EL167" s="208">
        <v>0</v>
      </c>
      <c r="EM167" s="208">
        <v>0</v>
      </c>
      <c r="EN167" s="208">
        <v>0</v>
      </c>
      <c r="EO167" s="208">
        <v>0</v>
      </c>
      <c r="EP167" s="208">
        <v>0</v>
      </c>
      <c r="EQ167" s="208">
        <v>-1500</v>
      </c>
      <c r="ER167" s="208">
        <v>0</v>
      </c>
      <c r="ES167" s="208">
        <v>-1500</v>
      </c>
      <c r="ET167" s="208">
        <v>0</v>
      </c>
      <c r="EU167" s="208">
        <v>0</v>
      </c>
      <c r="EV167" s="208">
        <v>0</v>
      </c>
      <c r="EW167" s="208">
        <v>-6186</v>
      </c>
      <c r="EX167" s="208">
        <v>0</v>
      </c>
      <c r="EY167" s="208">
        <v>-6186</v>
      </c>
      <c r="EZ167" s="208">
        <v>-2284</v>
      </c>
      <c r="FA167" s="208">
        <v>0</v>
      </c>
      <c r="FB167" s="208">
        <v>-2284</v>
      </c>
      <c r="FC167" s="208">
        <v>-79038</v>
      </c>
      <c r="FD167" s="208">
        <v>0</v>
      </c>
      <c r="FE167" s="208">
        <v>-79038</v>
      </c>
      <c r="FF167" s="208">
        <v>0</v>
      </c>
      <c r="FG167" s="208">
        <v>0</v>
      </c>
      <c r="FH167" s="208">
        <v>0</v>
      </c>
      <c r="FI167" s="208">
        <v>-20923</v>
      </c>
      <c r="FJ167" s="208">
        <v>0</v>
      </c>
      <c r="FK167" s="208">
        <v>-20923</v>
      </c>
      <c r="FL167" s="208">
        <v>-47</v>
      </c>
      <c r="FM167" s="208">
        <v>0</v>
      </c>
      <c r="FN167" s="208">
        <v>-47</v>
      </c>
      <c r="FO167" s="208">
        <v>0</v>
      </c>
      <c r="FP167" s="208">
        <v>0</v>
      </c>
      <c r="FQ167" s="208">
        <v>0</v>
      </c>
      <c r="FR167" s="208">
        <v>0</v>
      </c>
      <c r="FS167" s="208">
        <v>0</v>
      </c>
      <c r="FT167" s="208">
        <v>0</v>
      </c>
      <c r="FU167" s="208">
        <v>-111478</v>
      </c>
      <c r="FV167" s="208">
        <v>0</v>
      </c>
      <c r="FW167" s="208">
        <v>-111478</v>
      </c>
      <c r="FX167" s="208">
        <v>-28845</v>
      </c>
      <c r="FY167" s="208">
        <v>0</v>
      </c>
      <c r="FZ167" s="208">
        <v>-28845</v>
      </c>
      <c r="GA167" s="208">
        <v>0</v>
      </c>
      <c r="GB167" s="208">
        <v>0</v>
      </c>
      <c r="GC167" s="208">
        <v>0</v>
      </c>
      <c r="GD167" s="208">
        <v>-28845</v>
      </c>
      <c r="GE167" s="208">
        <v>0</v>
      </c>
      <c r="GF167" s="208">
        <v>-28845</v>
      </c>
      <c r="GG167" s="208">
        <v>35662425</v>
      </c>
      <c r="GH167" s="208">
        <v>0</v>
      </c>
      <c r="GI167" s="208">
        <v>35662425</v>
      </c>
      <c r="GJ167" s="208">
        <v>-32755</v>
      </c>
      <c r="GK167" s="208">
        <v>0</v>
      </c>
      <c r="GL167" s="208">
        <v>-32755</v>
      </c>
      <c r="GM167" s="208">
        <v>-4829954</v>
      </c>
      <c r="GN167" s="208">
        <v>0</v>
      </c>
      <c r="GO167" s="208">
        <v>-4829954</v>
      </c>
      <c r="GP167" s="208">
        <v>-1192522</v>
      </c>
      <c r="GQ167" s="208">
        <v>0</v>
      </c>
      <c r="GR167" s="208">
        <v>-1192522</v>
      </c>
      <c r="GS167" s="208">
        <v>-105077</v>
      </c>
      <c r="GT167" s="208">
        <v>0</v>
      </c>
      <c r="GU167" s="208">
        <v>-105077</v>
      </c>
      <c r="GV167" s="208">
        <v>-111478</v>
      </c>
      <c r="GW167" s="208">
        <v>0</v>
      </c>
      <c r="GX167" s="208">
        <v>-111478</v>
      </c>
      <c r="GY167" s="208">
        <v>-28845</v>
      </c>
      <c r="GZ167" s="208">
        <v>0</v>
      </c>
      <c r="HA167" s="208">
        <v>-28845</v>
      </c>
      <c r="HB167" s="208">
        <v>-6300631</v>
      </c>
      <c r="HC167" s="208">
        <v>0</v>
      </c>
      <c r="HD167" s="208">
        <v>-6300631</v>
      </c>
      <c r="HE167" s="208">
        <v>29361794</v>
      </c>
      <c r="HF167" s="208">
        <v>0</v>
      </c>
      <c r="HG167" s="208">
        <v>29361794</v>
      </c>
      <c r="HH167" s="187" t="s">
        <v>1054</v>
      </c>
    </row>
    <row r="168" spans="2:216" s="187" customFormat="1" x14ac:dyDescent="0.2">
      <c r="B168" s="429" t="s">
        <v>413</v>
      </c>
      <c r="C168" s="429" t="s">
        <v>412</v>
      </c>
      <c r="D168" s="208">
        <v>-1952821</v>
      </c>
      <c r="E168" s="208">
        <v>0</v>
      </c>
      <c r="F168" s="208">
        <v>-1952821</v>
      </c>
      <c r="G168" s="208">
        <v>-195720</v>
      </c>
      <c r="H168" s="208">
        <v>0</v>
      </c>
      <c r="I168" s="208">
        <v>-195720</v>
      </c>
      <c r="J168" s="208">
        <v>4297044</v>
      </c>
      <c r="K168" s="208">
        <v>0</v>
      </c>
      <c r="L168" s="208">
        <v>4297044</v>
      </c>
      <c r="M168" s="208">
        <v>-527548</v>
      </c>
      <c r="N168" s="208">
        <v>0</v>
      </c>
      <c r="O168" s="208">
        <v>-527548</v>
      </c>
      <c r="P168" s="208">
        <v>1620955</v>
      </c>
      <c r="Q168" s="208">
        <v>0</v>
      </c>
      <c r="R168" s="208">
        <v>1620955</v>
      </c>
      <c r="S168" s="208">
        <v>-6865297</v>
      </c>
      <c r="T168" s="208">
        <v>0</v>
      </c>
      <c r="U168" s="208">
        <v>-6865297</v>
      </c>
      <c r="V168" s="208">
        <v>-6372</v>
      </c>
      <c r="W168" s="208">
        <v>0</v>
      </c>
      <c r="X168" s="208">
        <v>-6372</v>
      </c>
      <c r="Y168" s="208">
        <v>-203626</v>
      </c>
      <c r="Z168" s="208">
        <v>0</v>
      </c>
      <c r="AA168" s="208">
        <v>-203626</v>
      </c>
      <c r="AB168" s="208">
        <v>-33023</v>
      </c>
      <c r="AC168" s="208">
        <v>0</v>
      </c>
      <c r="AD168" s="208">
        <v>-33023</v>
      </c>
      <c r="AE168" s="208">
        <v>-170603</v>
      </c>
      <c r="AF168" s="208">
        <v>0</v>
      </c>
      <c r="AG168" s="208">
        <v>-170603</v>
      </c>
      <c r="AH168" s="208">
        <v>-1789</v>
      </c>
      <c r="AI168" s="208">
        <v>0</v>
      </c>
      <c r="AJ168" s="208">
        <v>-1789</v>
      </c>
      <c r="AK168" s="208">
        <v>4774</v>
      </c>
      <c r="AL168" s="208">
        <v>0</v>
      </c>
      <c r="AM168" s="208">
        <v>4774</v>
      </c>
      <c r="AN168" s="208">
        <v>2275990</v>
      </c>
      <c r="AO168" s="208">
        <v>0</v>
      </c>
      <c r="AP168" s="208">
        <v>2275990</v>
      </c>
      <c r="AQ168" s="208">
        <v>347871</v>
      </c>
      <c r="AR168" s="208">
        <v>0</v>
      </c>
      <c r="AS168" s="208">
        <v>347871</v>
      </c>
      <c r="AT168" s="208">
        <v>-8905591</v>
      </c>
      <c r="AU168" s="208">
        <v>0</v>
      </c>
      <c r="AV168" s="208">
        <v>-8905591</v>
      </c>
      <c r="AW168" s="208">
        <v>1591288</v>
      </c>
      <c r="AX168" s="208">
        <v>0</v>
      </c>
      <c r="AY168" s="208">
        <v>1591288</v>
      </c>
      <c r="AZ168" s="208">
        <v>-107962</v>
      </c>
      <c r="BA168" s="208">
        <v>0</v>
      </c>
      <c r="BB168" s="208">
        <v>-107962</v>
      </c>
      <c r="BC168" s="208">
        <v>0</v>
      </c>
      <c r="BD168" s="208">
        <v>0</v>
      </c>
      <c r="BE168" s="208">
        <v>0</v>
      </c>
      <c r="BF168" s="208">
        <v>-1003</v>
      </c>
      <c r="BG168" s="208">
        <v>0</v>
      </c>
      <c r="BH168" s="208">
        <v>-1003</v>
      </c>
      <c r="BI168" s="208">
        <v>0</v>
      </c>
      <c r="BJ168" s="208">
        <v>0</v>
      </c>
      <c r="BK168" s="208">
        <v>0</v>
      </c>
      <c r="BL168" s="208">
        <v>-11868330</v>
      </c>
      <c r="BM168" s="208">
        <v>0</v>
      </c>
      <c r="BN168" s="208">
        <v>-11868330</v>
      </c>
      <c r="BO168" s="208">
        <v>-667981</v>
      </c>
      <c r="BP168" s="208">
        <v>0</v>
      </c>
      <c r="BQ168" s="208">
        <v>-667981</v>
      </c>
      <c r="BR168" s="208">
        <v>-3271</v>
      </c>
      <c r="BS168" s="208">
        <v>0</v>
      </c>
      <c r="BT168" s="208">
        <v>-3271</v>
      </c>
      <c r="BU168" s="208">
        <v>-2803984</v>
      </c>
      <c r="BV168" s="208">
        <v>0</v>
      </c>
      <c r="BW168" s="208">
        <v>-2803984</v>
      </c>
      <c r="BX168" s="208">
        <v>-55182</v>
      </c>
      <c r="BY168" s="208">
        <v>0</v>
      </c>
      <c r="BZ168" s="208">
        <v>-55182</v>
      </c>
      <c r="CA168" s="208">
        <v>-3530418</v>
      </c>
      <c r="CB168" s="208">
        <v>0</v>
      </c>
      <c r="CC168" s="208">
        <v>-3530418</v>
      </c>
      <c r="CD168" s="208">
        <v>-92760</v>
      </c>
      <c r="CE168" s="208">
        <v>0</v>
      </c>
      <c r="CF168" s="208">
        <v>-92760</v>
      </c>
      <c r="CG168" s="208">
        <v>254330</v>
      </c>
      <c r="CH168" s="208">
        <v>0</v>
      </c>
      <c r="CI168" s="208">
        <v>254330</v>
      </c>
      <c r="CJ168" s="208">
        <v>-71589</v>
      </c>
      <c r="CK168" s="208">
        <v>0</v>
      </c>
      <c r="CL168" s="208">
        <v>-71589</v>
      </c>
      <c r="CM168" s="208">
        <v>3341</v>
      </c>
      <c r="CN168" s="208">
        <v>0</v>
      </c>
      <c r="CO168" s="208">
        <v>3341</v>
      </c>
      <c r="CP168" s="208">
        <v>0</v>
      </c>
      <c r="CQ168" s="208">
        <v>0</v>
      </c>
      <c r="CR168" s="208">
        <v>0</v>
      </c>
      <c r="CS168" s="208">
        <v>0</v>
      </c>
      <c r="CT168" s="208">
        <v>0</v>
      </c>
      <c r="CU168" s="208">
        <v>0</v>
      </c>
      <c r="CV168" s="208">
        <v>0</v>
      </c>
      <c r="CW168" s="208">
        <v>0</v>
      </c>
      <c r="CX168" s="208">
        <v>0</v>
      </c>
      <c r="CY168" s="208">
        <v>0</v>
      </c>
      <c r="CZ168" s="208">
        <v>0</v>
      </c>
      <c r="DA168" s="208">
        <v>0</v>
      </c>
      <c r="DB168" s="208">
        <v>0</v>
      </c>
      <c r="DC168" s="208">
        <v>0</v>
      </c>
      <c r="DD168" s="208">
        <v>0</v>
      </c>
      <c r="DE168" s="208">
        <v>0</v>
      </c>
      <c r="DF168" s="208">
        <v>0</v>
      </c>
      <c r="DG168" s="208">
        <v>0</v>
      </c>
      <c r="DH168" s="208">
        <v>0</v>
      </c>
      <c r="DI168" s="208">
        <v>0</v>
      </c>
      <c r="DJ168" s="208">
        <v>0</v>
      </c>
      <c r="DK168" s="208">
        <v>0</v>
      </c>
      <c r="DL168" s="208">
        <v>0</v>
      </c>
      <c r="DM168" s="208">
        <v>0</v>
      </c>
      <c r="DN168" s="208">
        <v>0</v>
      </c>
      <c r="DO168" s="208">
        <v>0</v>
      </c>
      <c r="DP168" s="208">
        <v>93322</v>
      </c>
      <c r="DQ168" s="208">
        <v>0</v>
      </c>
      <c r="DR168" s="208">
        <v>93322</v>
      </c>
      <c r="DS168" s="208">
        <v>249</v>
      </c>
      <c r="DT168" s="208">
        <v>0</v>
      </c>
      <c r="DU168" s="208">
        <v>249</v>
      </c>
      <c r="DV168" s="208">
        <v>0</v>
      </c>
      <c r="DW168" s="208">
        <v>0</v>
      </c>
      <c r="DX168" s="208">
        <v>0</v>
      </c>
      <c r="DY168" s="208">
        <v>-1400</v>
      </c>
      <c r="DZ168" s="208">
        <v>0</v>
      </c>
      <c r="EA168" s="208">
        <v>-1400</v>
      </c>
      <c r="EB168" s="208">
        <v>0</v>
      </c>
      <c r="EC168" s="208">
        <v>0</v>
      </c>
      <c r="ED168" s="208">
        <v>0</v>
      </c>
      <c r="EE168" s="208">
        <v>0</v>
      </c>
      <c r="EF168" s="208">
        <v>0</v>
      </c>
      <c r="EG168" s="208">
        <v>0</v>
      </c>
      <c r="EH168" s="208">
        <v>0</v>
      </c>
      <c r="EI168" s="208">
        <v>0</v>
      </c>
      <c r="EJ168" s="208">
        <v>0</v>
      </c>
      <c r="EK168" s="208">
        <v>-1003</v>
      </c>
      <c r="EL168" s="208">
        <v>0</v>
      </c>
      <c r="EM168" s="208">
        <v>-1003</v>
      </c>
      <c r="EN168" s="208">
        <v>0</v>
      </c>
      <c r="EO168" s="208">
        <v>0</v>
      </c>
      <c r="EP168" s="208">
        <v>0</v>
      </c>
      <c r="EQ168" s="208">
        <v>-1500</v>
      </c>
      <c r="ER168" s="208">
        <v>0</v>
      </c>
      <c r="ES168" s="208">
        <v>-1500</v>
      </c>
      <c r="ET168" s="208">
        <v>0</v>
      </c>
      <c r="EU168" s="208">
        <v>0</v>
      </c>
      <c r="EV168" s="208">
        <v>0</v>
      </c>
      <c r="EW168" s="208">
        <v>-29625</v>
      </c>
      <c r="EX168" s="208">
        <v>0</v>
      </c>
      <c r="EY168" s="208">
        <v>-29625</v>
      </c>
      <c r="EZ168" s="208">
        <v>1200</v>
      </c>
      <c r="FA168" s="208">
        <v>0</v>
      </c>
      <c r="FB168" s="208">
        <v>1200</v>
      </c>
      <c r="FC168" s="208">
        <v>-259022</v>
      </c>
      <c r="FD168" s="208">
        <v>0</v>
      </c>
      <c r="FE168" s="208">
        <v>-259022</v>
      </c>
      <c r="FF168" s="208">
        <v>-5617</v>
      </c>
      <c r="FG168" s="208">
        <v>0</v>
      </c>
      <c r="FH168" s="208">
        <v>-5617</v>
      </c>
      <c r="FI168" s="208">
        <v>-68989</v>
      </c>
      <c r="FJ168" s="208">
        <v>0</v>
      </c>
      <c r="FK168" s="208">
        <v>-68989</v>
      </c>
      <c r="FL168" s="208">
        <v>-1011</v>
      </c>
      <c r="FM168" s="208">
        <v>0</v>
      </c>
      <c r="FN168" s="208">
        <v>-1011</v>
      </c>
      <c r="FO168" s="208">
        <v>0</v>
      </c>
      <c r="FP168" s="208">
        <v>0</v>
      </c>
      <c r="FQ168" s="208">
        <v>0</v>
      </c>
      <c r="FR168" s="208">
        <v>0</v>
      </c>
      <c r="FS168" s="208">
        <v>0</v>
      </c>
      <c r="FT168" s="208">
        <v>0</v>
      </c>
      <c r="FU168" s="208">
        <v>-366718</v>
      </c>
      <c r="FV168" s="208">
        <v>0</v>
      </c>
      <c r="FW168" s="208">
        <v>-366718</v>
      </c>
      <c r="FX168" s="208">
        <v>-9445</v>
      </c>
      <c r="FY168" s="208">
        <v>0</v>
      </c>
      <c r="FZ168" s="208">
        <v>-9445</v>
      </c>
      <c r="GA168" s="208">
        <v>0</v>
      </c>
      <c r="GB168" s="208">
        <v>0</v>
      </c>
      <c r="GC168" s="208">
        <v>0</v>
      </c>
      <c r="GD168" s="208">
        <v>-9445</v>
      </c>
      <c r="GE168" s="208">
        <v>0</v>
      </c>
      <c r="GF168" s="208">
        <v>-9445</v>
      </c>
      <c r="GG168" s="208">
        <v>103833940</v>
      </c>
      <c r="GH168" s="208">
        <v>34358</v>
      </c>
      <c r="GI168" s="208">
        <v>103868298</v>
      </c>
      <c r="GJ168" s="208">
        <v>1620955</v>
      </c>
      <c r="GK168" s="208">
        <v>0</v>
      </c>
      <c r="GL168" s="208">
        <v>1620955</v>
      </c>
      <c r="GM168" s="208">
        <v>-11868330</v>
      </c>
      <c r="GN168" s="208">
        <v>0</v>
      </c>
      <c r="GO168" s="208">
        <v>-11868330</v>
      </c>
      <c r="GP168" s="208">
        <v>-3530418</v>
      </c>
      <c r="GQ168" s="208">
        <v>0</v>
      </c>
      <c r="GR168" s="208">
        <v>-3530418</v>
      </c>
      <c r="GS168" s="208">
        <v>93322</v>
      </c>
      <c r="GT168" s="208">
        <v>0</v>
      </c>
      <c r="GU168" s="208">
        <v>93322</v>
      </c>
      <c r="GV168" s="208">
        <v>-366718</v>
      </c>
      <c r="GW168" s="208">
        <v>0</v>
      </c>
      <c r="GX168" s="208">
        <v>-366718</v>
      </c>
      <c r="GY168" s="208">
        <v>-9445</v>
      </c>
      <c r="GZ168" s="208">
        <v>0</v>
      </c>
      <c r="HA168" s="208">
        <v>-9445</v>
      </c>
      <c r="HB168" s="208">
        <v>-14060634</v>
      </c>
      <c r="HC168" s="208">
        <v>0</v>
      </c>
      <c r="HD168" s="208">
        <v>-14060634</v>
      </c>
      <c r="HE168" s="208">
        <v>89773306</v>
      </c>
      <c r="HF168" s="208">
        <v>34358</v>
      </c>
      <c r="HG168" s="208">
        <v>89807664</v>
      </c>
      <c r="HH168" s="187" t="s">
        <v>742</v>
      </c>
    </row>
    <row r="169" spans="2:216" s="187" customFormat="1" x14ac:dyDescent="0.2">
      <c r="B169" s="429" t="s">
        <v>415</v>
      </c>
      <c r="C169" s="429" t="s">
        <v>414</v>
      </c>
      <c r="D169" s="208">
        <v>-619595</v>
      </c>
      <c r="E169" s="208">
        <v>0</v>
      </c>
      <c r="F169" s="208">
        <v>-619595</v>
      </c>
      <c r="G169" s="208">
        <v>20444</v>
      </c>
      <c r="H169" s="208">
        <v>0</v>
      </c>
      <c r="I169" s="208">
        <v>20444</v>
      </c>
      <c r="J169" s="208">
        <v>147098</v>
      </c>
      <c r="K169" s="208">
        <v>0</v>
      </c>
      <c r="L169" s="208">
        <v>147098</v>
      </c>
      <c r="M169" s="208">
        <v>184</v>
      </c>
      <c r="N169" s="208">
        <v>0</v>
      </c>
      <c r="O169" s="208">
        <v>184</v>
      </c>
      <c r="P169" s="208">
        <v>-451869</v>
      </c>
      <c r="Q169" s="208">
        <v>0</v>
      </c>
      <c r="R169" s="208">
        <v>-451869</v>
      </c>
      <c r="S169" s="208">
        <v>-1780582</v>
      </c>
      <c r="T169" s="208">
        <v>0</v>
      </c>
      <c r="U169" s="208">
        <v>-1780582</v>
      </c>
      <c r="V169" s="208">
        <v>-8703</v>
      </c>
      <c r="W169" s="208">
        <v>0</v>
      </c>
      <c r="X169" s="208">
        <v>-8703</v>
      </c>
      <c r="Y169" s="208">
        <v>-85142</v>
      </c>
      <c r="Z169" s="208">
        <v>0</v>
      </c>
      <c r="AA169" s="208">
        <v>-85142</v>
      </c>
      <c r="AB169" s="208">
        <v>-41639</v>
      </c>
      <c r="AC169" s="208">
        <v>0</v>
      </c>
      <c r="AD169" s="208">
        <v>-41639</v>
      </c>
      <c r="AE169" s="208">
        <v>-40757</v>
      </c>
      <c r="AF169" s="208">
        <v>0</v>
      </c>
      <c r="AG169" s="208">
        <v>-40757</v>
      </c>
      <c r="AH169" s="208">
        <v>0</v>
      </c>
      <c r="AI169" s="208">
        <v>0</v>
      </c>
      <c r="AJ169" s="208">
        <v>0</v>
      </c>
      <c r="AK169" s="208">
        <v>0</v>
      </c>
      <c r="AL169" s="208">
        <v>0</v>
      </c>
      <c r="AM169" s="208">
        <v>0</v>
      </c>
      <c r="AN169" s="208">
        <v>332263</v>
      </c>
      <c r="AO169" s="208">
        <v>0</v>
      </c>
      <c r="AP169" s="208">
        <v>332263</v>
      </c>
      <c r="AQ169" s="208">
        <v>1458</v>
      </c>
      <c r="AR169" s="208">
        <v>0</v>
      </c>
      <c r="AS169" s="208">
        <v>1458</v>
      </c>
      <c r="AT169" s="208">
        <v>-1415117</v>
      </c>
      <c r="AU169" s="208">
        <v>0</v>
      </c>
      <c r="AV169" s="208">
        <v>-1415117</v>
      </c>
      <c r="AW169" s="208">
        <v>-21405</v>
      </c>
      <c r="AX169" s="208">
        <v>0</v>
      </c>
      <c r="AY169" s="208">
        <v>-21405</v>
      </c>
      <c r="AZ169" s="208">
        <v>-36594</v>
      </c>
      <c r="BA169" s="208">
        <v>0</v>
      </c>
      <c r="BB169" s="208">
        <v>-36594</v>
      </c>
      <c r="BC169" s="208">
        <v>0</v>
      </c>
      <c r="BD169" s="208">
        <v>0</v>
      </c>
      <c r="BE169" s="208">
        <v>0</v>
      </c>
      <c r="BF169" s="208">
        <v>-20502</v>
      </c>
      <c r="BG169" s="208">
        <v>0</v>
      </c>
      <c r="BH169" s="208">
        <v>-20502</v>
      </c>
      <c r="BI169" s="208">
        <v>0</v>
      </c>
      <c r="BJ169" s="208">
        <v>0</v>
      </c>
      <c r="BK169" s="208">
        <v>0</v>
      </c>
      <c r="BL169" s="208">
        <v>-3025621</v>
      </c>
      <c r="BM169" s="208">
        <v>0</v>
      </c>
      <c r="BN169" s="208">
        <v>-3025621</v>
      </c>
      <c r="BO169" s="208">
        <v>0</v>
      </c>
      <c r="BP169" s="208">
        <v>0</v>
      </c>
      <c r="BQ169" s="208">
        <v>0</v>
      </c>
      <c r="BR169" s="208">
        <v>0</v>
      </c>
      <c r="BS169" s="208">
        <v>0</v>
      </c>
      <c r="BT169" s="208">
        <v>0</v>
      </c>
      <c r="BU169" s="208">
        <v>-304443</v>
      </c>
      <c r="BV169" s="208">
        <v>0</v>
      </c>
      <c r="BW169" s="208">
        <v>-304443</v>
      </c>
      <c r="BX169" s="208">
        <v>-34410</v>
      </c>
      <c r="BY169" s="208">
        <v>0</v>
      </c>
      <c r="BZ169" s="208">
        <v>-34410</v>
      </c>
      <c r="CA169" s="208">
        <v>-338853</v>
      </c>
      <c r="CB169" s="208">
        <v>0</v>
      </c>
      <c r="CC169" s="208">
        <v>-338853</v>
      </c>
      <c r="CD169" s="208">
        <v>-50785</v>
      </c>
      <c r="CE169" s="208">
        <v>0</v>
      </c>
      <c r="CF169" s="208">
        <v>-50785</v>
      </c>
      <c r="CG169" s="208">
        <v>-2636</v>
      </c>
      <c r="CH169" s="208">
        <v>0</v>
      </c>
      <c r="CI169" s="208">
        <v>-2636</v>
      </c>
      <c r="CJ169" s="208">
        <v>-34194</v>
      </c>
      <c r="CK169" s="208">
        <v>0</v>
      </c>
      <c r="CL169" s="208">
        <v>-34194</v>
      </c>
      <c r="CM169" s="208">
        <v>0</v>
      </c>
      <c r="CN169" s="208">
        <v>0</v>
      </c>
      <c r="CO169" s="208">
        <v>0</v>
      </c>
      <c r="CP169" s="208">
        <v>-428</v>
      </c>
      <c r="CQ169" s="208">
        <v>0</v>
      </c>
      <c r="CR169" s="208">
        <v>-428</v>
      </c>
      <c r="CS169" s="208">
        <v>0</v>
      </c>
      <c r="CT169" s="208">
        <v>0</v>
      </c>
      <c r="CU169" s="208">
        <v>0</v>
      </c>
      <c r="CV169" s="208">
        <v>0</v>
      </c>
      <c r="CW169" s="208">
        <v>0</v>
      </c>
      <c r="CX169" s="208">
        <v>0</v>
      </c>
      <c r="CY169" s="208">
        <v>0</v>
      </c>
      <c r="CZ169" s="208">
        <v>0</v>
      </c>
      <c r="DA169" s="208">
        <v>0</v>
      </c>
      <c r="DB169" s="208">
        <v>0</v>
      </c>
      <c r="DC169" s="208">
        <v>0</v>
      </c>
      <c r="DD169" s="208">
        <v>0</v>
      </c>
      <c r="DE169" s="208">
        <v>0</v>
      </c>
      <c r="DF169" s="208">
        <v>0</v>
      </c>
      <c r="DG169" s="208">
        <v>0</v>
      </c>
      <c r="DH169" s="208">
        <v>0</v>
      </c>
      <c r="DI169" s="208">
        <v>0</v>
      </c>
      <c r="DJ169" s="208">
        <v>0</v>
      </c>
      <c r="DK169" s="208">
        <v>0</v>
      </c>
      <c r="DL169" s="208">
        <v>0</v>
      </c>
      <c r="DM169" s="208">
        <v>0</v>
      </c>
      <c r="DN169" s="208">
        <v>0</v>
      </c>
      <c r="DO169" s="208">
        <v>0</v>
      </c>
      <c r="DP169" s="208">
        <v>-88043</v>
      </c>
      <c r="DQ169" s="208">
        <v>0</v>
      </c>
      <c r="DR169" s="208">
        <v>-88043</v>
      </c>
      <c r="DS169" s="208">
        <v>0</v>
      </c>
      <c r="DT169" s="208">
        <v>0</v>
      </c>
      <c r="DU169" s="208">
        <v>0</v>
      </c>
      <c r="DV169" s="208">
        <v>0</v>
      </c>
      <c r="DW169" s="208">
        <v>0</v>
      </c>
      <c r="DX169" s="208">
        <v>0</v>
      </c>
      <c r="DY169" s="208">
        <v>258</v>
      </c>
      <c r="DZ169" s="208">
        <v>0</v>
      </c>
      <c r="EA169" s="208">
        <v>258</v>
      </c>
      <c r="EB169" s="208">
        <v>0</v>
      </c>
      <c r="EC169" s="208">
        <v>0</v>
      </c>
      <c r="ED169" s="208">
        <v>0</v>
      </c>
      <c r="EE169" s="208">
        <v>0</v>
      </c>
      <c r="EF169" s="208">
        <v>0</v>
      </c>
      <c r="EG169" s="208">
        <v>0</v>
      </c>
      <c r="EH169" s="208">
        <v>0</v>
      </c>
      <c r="EI169" s="208">
        <v>0</v>
      </c>
      <c r="EJ169" s="208">
        <v>0</v>
      </c>
      <c r="EK169" s="208">
        <v>-22999</v>
      </c>
      <c r="EL169" s="208">
        <v>0</v>
      </c>
      <c r="EM169" s="208">
        <v>-22999</v>
      </c>
      <c r="EN169" s="208">
        <v>0</v>
      </c>
      <c r="EO169" s="208">
        <v>0</v>
      </c>
      <c r="EP169" s="208">
        <v>0</v>
      </c>
      <c r="EQ169" s="208">
        <v>-945</v>
      </c>
      <c r="ER169" s="208">
        <v>0</v>
      </c>
      <c r="ES169" s="208">
        <v>-945</v>
      </c>
      <c r="ET169" s="208">
        <v>0</v>
      </c>
      <c r="EU169" s="208">
        <v>0</v>
      </c>
      <c r="EV169" s="208">
        <v>0</v>
      </c>
      <c r="EW169" s="208">
        <v>-15793</v>
      </c>
      <c r="EX169" s="208">
        <v>0</v>
      </c>
      <c r="EY169" s="208">
        <v>-15793</v>
      </c>
      <c r="EZ169" s="208">
        <v>-80</v>
      </c>
      <c r="FA169" s="208">
        <v>0</v>
      </c>
      <c r="FB169" s="208">
        <v>-80</v>
      </c>
      <c r="FC169" s="208">
        <v>-70573</v>
      </c>
      <c r="FD169" s="208">
        <v>0</v>
      </c>
      <c r="FE169" s="208">
        <v>-70573</v>
      </c>
      <c r="FF169" s="208">
        <v>2008</v>
      </c>
      <c r="FG169" s="208">
        <v>0</v>
      </c>
      <c r="FH169" s="208">
        <v>2008</v>
      </c>
      <c r="FI169" s="208">
        <v>-24912</v>
      </c>
      <c r="FJ169" s="208">
        <v>0</v>
      </c>
      <c r="FK169" s="208">
        <v>-24912</v>
      </c>
      <c r="FL169" s="208">
        <v>1441</v>
      </c>
      <c r="FM169" s="208">
        <v>0</v>
      </c>
      <c r="FN169" s="208">
        <v>1441</v>
      </c>
      <c r="FO169" s="208">
        <v>0</v>
      </c>
      <c r="FP169" s="208">
        <v>0</v>
      </c>
      <c r="FQ169" s="208">
        <v>0</v>
      </c>
      <c r="FR169" s="208">
        <v>0</v>
      </c>
      <c r="FS169" s="208">
        <v>0</v>
      </c>
      <c r="FT169" s="208">
        <v>0</v>
      </c>
      <c r="FU169" s="208">
        <v>-131595</v>
      </c>
      <c r="FV169" s="208">
        <v>0</v>
      </c>
      <c r="FW169" s="208">
        <v>-131595</v>
      </c>
      <c r="FX169" s="208">
        <v>0</v>
      </c>
      <c r="FY169" s="208">
        <v>0</v>
      </c>
      <c r="FZ169" s="208">
        <v>0</v>
      </c>
      <c r="GA169" s="208">
        <v>0</v>
      </c>
      <c r="GB169" s="208">
        <v>0</v>
      </c>
      <c r="GC169" s="208">
        <v>0</v>
      </c>
      <c r="GD169" s="208">
        <v>0</v>
      </c>
      <c r="GE169" s="208">
        <v>0</v>
      </c>
      <c r="GF169" s="208">
        <v>0</v>
      </c>
      <c r="GG169" s="208">
        <v>18592702</v>
      </c>
      <c r="GH169" s="208">
        <v>0</v>
      </c>
      <c r="GI169" s="208">
        <v>18592702</v>
      </c>
      <c r="GJ169" s="208">
        <v>-451869</v>
      </c>
      <c r="GK169" s="208">
        <v>0</v>
      </c>
      <c r="GL169" s="208">
        <v>-451869</v>
      </c>
      <c r="GM169" s="208">
        <v>-3025621</v>
      </c>
      <c r="GN169" s="208">
        <v>0</v>
      </c>
      <c r="GO169" s="208">
        <v>-3025621</v>
      </c>
      <c r="GP169" s="208">
        <v>-338853</v>
      </c>
      <c r="GQ169" s="208">
        <v>0</v>
      </c>
      <c r="GR169" s="208">
        <v>-338853</v>
      </c>
      <c r="GS169" s="208">
        <v>-88043</v>
      </c>
      <c r="GT169" s="208">
        <v>0</v>
      </c>
      <c r="GU169" s="208">
        <v>-88043</v>
      </c>
      <c r="GV169" s="208">
        <v>-131595</v>
      </c>
      <c r="GW169" s="208">
        <v>0</v>
      </c>
      <c r="GX169" s="208">
        <v>-131595</v>
      </c>
      <c r="GY169" s="208">
        <v>0</v>
      </c>
      <c r="GZ169" s="208">
        <v>0</v>
      </c>
      <c r="HA169" s="208">
        <v>0</v>
      </c>
      <c r="HB169" s="208">
        <v>-4035981</v>
      </c>
      <c r="HC169" s="208">
        <v>0</v>
      </c>
      <c r="HD169" s="208">
        <v>-4035981</v>
      </c>
      <c r="HE169" s="208">
        <v>14556721</v>
      </c>
      <c r="HF169" s="208">
        <v>0</v>
      </c>
      <c r="HG169" s="208">
        <v>14556721</v>
      </c>
      <c r="HH169" s="187" t="s">
        <v>1054</v>
      </c>
    </row>
    <row r="170" spans="2:216" s="187" customFormat="1" x14ac:dyDescent="0.2">
      <c r="B170" s="429" t="s">
        <v>417</v>
      </c>
      <c r="C170" s="429" t="s">
        <v>416</v>
      </c>
      <c r="D170" s="208">
        <v>-1412734</v>
      </c>
      <c r="E170" s="208">
        <v>0</v>
      </c>
      <c r="F170" s="208">
        <v>-1412734</v>
      </c>
      <c r="G170" s="208">
        <v>-38426</v>
      </c>
      <c r="H170" s="208">
        <v>0</v>
      </c>
      <c r="I170" s="208">
        <v>-38426</v>
      </c>
      <c r="J170" s="208">
        <v>824266</v>
      </c>
      <c r="K170" s="208">
        <v>0</v>
      </c>
      <c r="L170" s="208">
        <v>824266</v>
      </c>
      <c r="M170" s="208">
        <v>-81369</v>
      </c>
      <c r="N170" s="208">
        <v>0</v>
      </c>
      <c r="O170" s="208">
        <v>-81369</v>
      </c>
      <c r="P170" s="208">
        <v>-708263</v>
      </c>
      <c r="Q170" s="208">
        <v>0</v>
      </c>
      <c r="R170" s="208">
        <v>-708263</v>
      </c>
      <c r="S170" s="208">
        <v>-5055046</v>
      </c>
      <c r="T170" s="208">
        <v>0</v>
      </c>
      <c r="U170" s="208">
        <v>-5055046</v>
      </c>
      <c r="V170" s="208">
        <v>-706</v>
      </c>
      <c r="W170" s="208">
        <v>0</v>
      </c>
      <c r="X170" s="208">
        <v>-706</v>
      </c>
      <c r="Y170" s="208">
        <v>-104173</v>
      </c>
      <c r="Z170" s="208">
        <v>0</v>
      </c>
      <c r="AA170" s="208">
        <v>-104173</v>
      </c>
      <c r="AB170" s="208">
        <v>-30775</v>
      </c>
      <c r="AC170" s="208">
        <v>0</v>
      </c>
      <c r="AD170" s="208">
        <v>-30775</v>
      </c>
      <c r="AE170" s="208">
        <v>-67530</v>
      </c>
      <c r="AF170" s="208">
        <v>0</v>
      </c>
      <c r="AG170" s="208">
        <v>-67530</v>
      </c>
      <c r="AH170" s="208">
        <v>0</v>
      </c>
      <c r="AI170" s="208">
        <v>0</v>
      </c>
      <c r="AJ170" s="208">
        <v>0</v>
      </c>
      <c r="AK170" s="208">
        <v>0</v>
      </c>
      <c r="AL170" s="208">
        <v>0</v>
      </c>
      <c r="AM170" s="208">
        <v>0</v>
      </c>
      <c r="AN170" s="208">
        <v>777675</v>
      </c>
      <c r="AO170" s="208">
        <v>0</v>
      </c>
      <c r="AP170" s="208">
        <v>777675</v>
      </c>
      <c r="AQ170" s="208">
        <v>-3278</v>
      </c>
      <c r="AR170" s="208">
        <v>0</v>
      </c>
      <c r="AS170" s="208">
        <v>-3278</v>
      </c>
      <c r="AT170" s="208">
        <v>-3404471</v>
      </c>
      <c r="AU170" s="208">
        <v>0</v>
      </c>
      <c r="AV170" s="208">
        <v>-3404471</v>
      </c>
      <c r="AW170" s="208">
        <v>8736</v>
      </c>
      <c r="AX170" s="208">
        <v>0</v>
      </c>
      <c r="AY170" s="208">
        <v>8736</v>
      </c>
      <c r="AZ170" s="208">
        <v>-42198</v>
      </c>
      <c r="BA170" s="208">
        <v>0</v>
      </c>
      <c r="BB170" s="208">
        <v>-42198</v>
      </c>
      <c r="BC170" s="208">
        <v>0</v>
      </c>
      <c r="BD170" s="208">
        <v>0</v>
      </c>
      <c r="BE170" s="208">
        <v>0</v>
      </c>
      <c r="BF170" s="208">
        <v>-20066</v>
      </c>
      <c r="BG170" s="208">
        <v>0</v>
      </c>
      <c r="BH170" s="208">
        <v>-20066</v>
      </c>
      <c r="BI170" s="208">
        <v>0</v>
      </c>
      <c r="BJ170" s="208">
        <v>0</v>
      </c>
      <c r="BK170" s="208">
        <v>0</v>
      </c>
      <c r="BL170" s="208">
        <v>-7842821</v>
      </c>
      <c r="BM170" s="208">
        <v>0</v>
      </c>
      <c r="BN170" s="208">
        <v>-7842821</v>
      </c>
      <c r="BO170" s="208">
        <v>-8288</v>
      </c>
      <c r="BP170" s="208">
        <v>0</v>
      </c>
      <c r="BQ170" s="208">
        <v>-8288</v>
      </c>
      <c r="BR170" s="208">
        <v>0</v>
      </c>
      <c r="BS170" s="208">
        <v>0</v>
      </c>
      <c r="BT170" s="208">
        <v>0</v>
      </c>
      <c r="BU170" s="208">
        <v>-1116029</v>
      </c>
      <c r="BV170" s="208">
        <v>0</v>
      </c>
      <c r="BW170" s="208">
        <v>-1116029</v>
      </c>
      <c r="BX170" s="208">
        <v>-73849</v>
      </c>
      <c r="BY170" s="208">
        <v>0</v>
      </c>
      <c r="BZ170" s="208">
        <v>-73849</v>
      </c>
      <c r="CA170" s="208">
        <v>-1198166</v>
      </c>
      <c r="CB170" s="208">
        <v>0</v>
      </c>
      <c r="CC170" s="208">
        <v>-1198166</v>
      </c>
      <c r="CD170" s="208">
        <v>-47937</v>
      </c>
      <c r="CE170" s="208">
        <v>0</v>
      </c>
      <c r="CF170" s="208">
        <v>-47937</v>
      </c>
      <c r="CG170" s="208">
        <v>1852</v>
      </c>
      <c r="CH170" s="208">
        <v>0</v>
      </c>
      <c r="CI170" s="208">
        <v>1852</v>
      </c>
      <c r="CJ170" s="208">
        <v>-27377</v>
      </c>
      <c r="CK170" s="208">
        <v>0</v>
      </c>
      <c r="CL170" s="208">
        <v>-27377</v>
      </c>
      <c r="CM170" s="208">
        <v>0</v>
      </c>
      <c r="CN170" s="208">
        <v>0</v>
      </c>
      <c r="CO170" s="208">
        <v>0</v>
      </c>
      <c r="CP170" s="208">
        <v>-4863</v>
      </c>
      <c r="CQ170" s="208">
        <v>0</v>
      </c>
      <c r="CR170" s="208">
        <v>-4863</v>
      </c>
      <c r="CS170" s="208">
        <v>0</v>
      </c>
      <c r="CT170" s="208">
        <v>0</v>
      </c>
      <c r="CU170" s="208">
        <v>0</v>
      </c>
      <c r="CV170" s="208">
        <v>0</v>
      </c>
      <c r="CW170" s="208">
        <v>0</v>
      </c>
      <c r="CX170" s="208">
        <v>0</v>
      </c>
      <c r="CY170" s="208">
        <v>0</v>
      </c>
      <c r="CZ170" s="208">
        <v>0</v>
      </c>
      <c r="DA170" s="208">
        <v>0</v>
      </c>
      <c r="DB170" s="208">
        <v>-13252</v>
      </c>
      <c r="DC170" s="208">
        <v>0</v>
      </c>
      <c r="DD170" s="208">
        <v>-13252</v>
      </c>
      <c r="DE170" s="208">
        <v>0</v>
      </c>
      <c r="DF170" s="208">
        <v>0</v>
      </c>
      <c r="DG170" s="208">
        <v>0</v>
      </c>
      <c r="DH170" s="208">
        <v>0</v>
      </c>
      <c r="DI170" s="208">
        <v>0</v>
      </c>
      <c r="DJ170" s="208">
        <v>0</v>
      </c>
      <c r="DK170" s="208">
        <v>0</v>
      </c>
      <c r="DL170" s="208">
        <v>0</v>
      </c>
      <c r="DM170" s="208">
        <v>0</v>
      </c>
      <c r="DN170" s="208">
        <v>0</v>
      </c>
      <c r="DO170" s="208">
        <v>0</v>
      </c>
      <c r="DP170" s="208">
        <v>-91577</v>
      </c>
      <c r="DQ170" s="208">
        <v>0</v>
      </c>
      <c r="DR170" s="208">
        <v>-91577</v>
      </c>
      <c r="DS170" s="208">
        <v>0</v>
      </c>
      <c r="DT170" s="208">
        <v>0</v>
      </c>
      <c r="DU170" s="208">
        <v>0</v>
      </c>
      <c r="DV170" s="208">
        <v>0</v>
      </c>
      <c r="DW170" s="208">
        <v>0</v>
      </c>
      <c r="DX170" s="208">
        <v>0</v>
      </c>
      <c r="DY170" s="208">
        <v>0</v>
      </c>
      <c r="DZ170" s="208">
        <v>0</v>
      </c>
      <c r="EA170" s="208">
        <v>0</v>
      </c>
      <c r="EB170" s="208">
        <v>0</v>
      </c>
      <c r="EC170" s="208">
        <v>0</v>
      </c>
      <c r="ED170" s="208">
        <v>0</v>
      </c>
      <c r="EE170" s="208">
        <v>0</v>
      </c>
      <c r="EF170" s="208">
        <v>0</v>
      </c>
      <c r="EG170" s="208">
        <v>0</v>
      </c>
      <c r="EH170" s="208">
        <v>8</v>
      </c>
      <c r="EI170" s="208">
        <v>0</v>
      </c>
      <c r="EJ170" s="208">
        <v>8</v>
      </c>
      <c r="EK170" s="208">
        <v>-20066</v>
      </c>
      <c r="EL170" s="208">
        <v>0</v>
      </c>
      <c r="EM170" s="208">
        <v>-20066</v>
      </c>
      <c r="EN170" s="208">
        <v>0</v>
      </c>
      <c r="EO170" s="208">
        <v>0</v>
      </c>
      <c r="EP170" s="208">
        <v>0</v>
      </c>
      <c r="EQ170" s="208">
        <v>0</v>
      </c>
      <c r="ER170" s="208">
        <v>0</v>
      </c>
      <c r="ES170" s="208">
        <v>0</v>
      </c>
      <c r="ET170" s="208">
        <v>0</v>
      </c>
      <c r="EU170" s="208">
        <v>0</v>
      </c>
      <c r="EV170" s="208">
        <v>0</v>
      </c>
      <c r="EW170" s="208">
        <v>-48130</v>
      </c>
      <c r="EX170" s="208">
        <v>0</v>
      </c>
      <c r="EY170" s="208">
        <v>-48130</v>
      </c>
      <c r="EZ170" s="208">
        <v>1124</v>
      </c>
      <c r="FA170" s="208">
        <v>0</v>
      </c>
      <c r="FB170" s="208">
        <v>1124</v>
      </c>
      <c r="FC170" s="208">
        <v>-53972</v>
      </c>
      <c r="FD170" s="208">
        <v>0</v>
      </c>
      <c r="FE170" s="208">
        <v>-53972</v>
      </c>
      <c r="FF170" s="208">
        <v>-9655</v>
      </c>
      <c r="FG170" s="208">
        <v>0</v>
      </c>
      <c r="FH170" s="208">
        <v>-9655</v>
      </c>
      <c r="FI170" s="208">
        <v>-48603</v>
      </c>
      <c r="FJ170" s="208">
        <v>0</v>
      </c>
      <c r="FK170" s="208">
        <v>-48603</v>
      </c>
      <c r="FL170" s="208">
        <v>-1041</v>
      </c>
      <c r="FM170" s="208">
        <v>0</v>
      </c>
      <c r="FN170" s="208">
        <v>-1041</v>
      </c>
      <c r="FO170" s="208">
        <v>0</v>
      </c>
      <c r="FP170" s="208">
        <v>0</v>
      </c>
      <c r="FQ170" s="208">
        <v>0</v>
      </c>
      <c r="FR170" s="208">
        <v>0</v>
      </c>
      <c r="FS170" s="208">
        <v>0</v>
      </c>
      <c r="FT170" s="208">
        <v>0</v>
      </c>
      <c r="FU170" s="208">
        <v>-180335</v>
      </c>
      <c r="FV170" s="208">
        <v>0</v>
      </c>
      <c r="FW170" s="208">
        <v>-180335</v>
      </c>
      <c r="FX170" s="208">
        <v>-4512</v>
      </c>
      <c r="FY170" s="208">
        <v>0</v>
      </c>
      <c r="FZ170" s="208">
        <v>-4512</v>
      </c>
      <c r="GA170" s="208">
        <v>0</v>
      </c>
      <c r="GB170" s="208">
        <v>0</v>
      </c>
      <c r="GC170" s="208">
        <v>0</v>
      </c>
      <c r="GD170" s="208">
        <v>-4512</v>
      </c>
      <c r="GE170" s="208">
        <v>0</v>
      </c>
      <c r="GF170" s="208">
        <v>-4512</v>
      </c>
      <c r="GG170" s="208">
        <v>45402304</v>
      </c>
      <c r="GH170" s="208">
        <v>0</v>
      </c>
      <c r="GI170" s="208">
        <v>45402304</v>
      </c>
      <c r="GJ170" s="208">
        <v>-708263</v>
      </c>
      <c r="GK170" s="208">
        <v>0</v>
      </c>
      <c r="GL170" s="208">
        <v>-708263</v>
      </c>
      <c r="GM170" s="208">
        <v>-7842821</v>
      </c>
      <c r="GN170" s="208">
        <v>0</v>
      </c>
      <c r="GO170" s="208">
        <v>-7842821</v>
      </c>
      <c r="GP170" s="208">
        <v>-1198166</v>
      </c>
      <c r="GQ170" s="208">
        <v>0</v>
      </c>
      <c r="GR170" s="208">
        <v>-1198166</v>
      </c>
      <c r="GS170" s="208">
        <v>-91577</v>
      </c>
      <c r="GT170" s="208">
        <v>0</v>
      </c>
      <c r="GU170" s="208">
        <v>-91577</v>
      </c>
      <c r="GV170" s="208">
        <v>-180335</v>
      </c>
      <c r="GW170" s="208">
        <v>0</v>
      </c>
      <c r="GX170" s="208">
        <v>-180335</v>
      </c>
      <c r="GY170" s="208">
        <v>-4512</v>
      </c>
      <c r="GZ170" s="208">
        <v>0</v>
      </c>
      <c r="HA170" s="208">
        <v>-4512</v>
      </c>
      <c r="HB170" s="208">
        <v>-10025674</v>
      </c>
      <c r="HC170" s="208">
        <v>0</v>
      </c>
      <c r="HD170" s="208">
        <v>-10025674</v>
      </c>
      <c r="HE170" s="208">
        <v>35376630</v>
      </c>
      <c r="HF170" s="208">
        <v>0</v>
      </c>
      <c r="HG170" s="208">
        <v>35376630</v>
      </c>
      <c r="HH170" s="187" t="s">
        <v>1054</v>
      </c>
    </row>
    <row r="171" spans="2:216" s="187" customFormat="1" x14ac:dyDescent="0.2">
      <c r="B171" s="429" t="s">
        <v>419</v>
      </c>
      <c r="C171" s="429" t="s">
        <v>418</v>
      </c>
      <c r="D171" s="208">
        <v>-885184</v>
      </c>
      <c r="E171" s="208">
        <v>0</v>
      </c>
      <c r="F171" s="208">
        <v>-885184</v>
      </c>
      <c r="G171" s="208">
        <v>62407</v>
      </c>
      <c r="H171" s="208">
        <v>0</v>
      </c>
      <c r="I171" s="208">
        <v>62407</v>
      </c>
      <c r="J171" s="208">
        <v>1717534</v>
      </c>
      <c r="K171" s="208">
        <v>0</v>
      </c>
      <c r="L171" s="208">
        <v>1717534</v>
      </c>
      <c r="M171" s="208">
        <v>-2575</v>
      </c>
      <c r="N171" s="208">
        <v>0</v>
      </c>
      <c r="O171" s="208">
        <v>-2575</v>
      </c>
      <c r="P171" s="208">
        <v>892182</v>
      </c>
      <c r="Q171" s="208">
        <v>0</v>
      </c>
      <c r="R171" s="208">
        <v>892182</v>
      </c>
      <c r="S171" s="208">
        <v>-4775712</v>
      </c>
      <c r="T171" s="208">
        <v>0</v>
      </c>
      <c r="U171" s="208">
        <v>-4775712</v>
      </c>
      <c r="V171" s="208">
        <v>0</v>
      </c>
      <c r="W171" s="208">
        <v>0</v>
      </c>
      <c r="X171" s="208">
        <v>0</v>
      </c>
      <c r="Y171" s="208">
        <v>4027</v>
      </c>
      <c r="Z171" s="208">
        <v>0</v>
      </c>
      <c r="AA171" s="208">
        <v>4027</v>
      </c>
      <c r="AB171" s="208">
        <v>28817</v>
      </c>
      <c r="AC171" s="208">
        <v>0</v>
      </c>
      <c r="AD171" s="208">
        <v>28817</v>
      </c>
      <c r="AE171" s="208">
        <v>-24789</v>
      </c>
      <c r="AF171" s="208">
        <v>0</v>
      </c>
      <c r="AG171" s="208">
        <v>-24789</v>
      </c>
      <c r="AH171" s="208">
        <v>0</v>
      </c>
      <c r="AI171" s="208">
        <v>0</v>
      </c>
      <c r="AJ171" s="208">
        <v>0</v>
      </c>
      <c r="AK171" s="208">
        <v>0</v>
      </c>
      <c r="AL171" s="208">
        <v>0</v>
      </c>
      <c r="AM171" s="208">
        <v>0</v>
      </c>
      <c r="AN171" s="208">
        <v>2134446</v>
      </c>
      <c r="AO171" s="208">
        <v>0</v>
      </c>
      <c r="AP171" s="208">
        <v>2134446</v>
      </c>
      <c r="AQ171" s="208">
        <v>-19582</v>
      </c>
      <c r="AR171" s="208">
        <v>0</v>
      </c>
      <c r="AS171" s="208">
        <v>-19582</v>
      </c>
      <c r="AT171" s="208">
        <v>-6057116</v>
      </c>
      <c r="AU171" s="208">
        <v>0</v>
      </c>
      <c r="AV171" s="208">
        <v>-6057116</v>
      </c>
      <c r="AW171" s="208">
        <v>-73493</v>
      </c>
      <c r="AX171" s="208">
        <v>0</v>
      </c>
      <c r="AY171" s="208">
        <v>-73493</v>
      </c>
      <c r="AZ171" s="208">
        <v>-116627</v>
      </c>
      <c r="BA171" s="208">
        <v>0</v>
      </c>
      <c r="BB171" s="208">
        <v>-116627</v>
      </c>
      <c r="BC171" s="208">
        <v>0</v>
      </c>
      <c r="BD171" s="208">
        <v>0</v>
      </c>
      <c r="BE171" s="208">
        <v>0</v>
      </c>
      <c r="BF171" s="208">
        <v>0</v>
      </c>
      <c r="BG171" s="208">
        <v>0</v>
      </c>
      <c r="BH171" s="208">
        <v>0</v>
      </c>
      <c r="BI171" s="208">
        <v>0</v>
      </c>
      <c r="BJ171" s="208">
        <v>0</v>
      </c>
      <c r="BK171" s="208">
        <v>0</v>
      </c>
      <c r="BL171" s="208">
        <v>-8904057</v>
      </c>
      <c r="BM171" s="208">
        <v>0</v>
      </c>
      <c r="BN171" s="208">
        <v>-8904057</v>
      </c>
      <c r="BO171" s="208">
        <v>0</v>
      </c>
      <c r="BP171" s="208">
        <v>0</v>
      </c>
      <c r="BQ171" s="208">
        <v>0</v>
      </c>
      <c r="BR171" s="208">
        <v>0</v>
      </c>
      <c r="BS171" s="208">
        <v>0</v>
      </c>
      <c r="BT171" s="208">
        <v>0</v>
      </c>
      <c r="BU171" s="208">
        <v>-1785030</v>
      </c>
      <c r="BV171" s="208">
        <v>0</v>
      </c>
      <c r="BW171" s="208">
        <v>-1785030</v>
      </c>
      <c r="BX171" s="208">
        <v>-160221</v>
      </c>
      <c r="BY171" s="208">
        <v>0</v>
      </c>
      <c r="BZ171" s="208">
        <v>-160221</v>
      </c>
      <c r="CA171" s="208">
        <v>-1945251</v>
      </c>
      <c r="CB171" s="208">
        <v>0</v>
      </c>
      <c r="CC171" s="208">
        <v>-1945251</v>
      </c>
      <c r="CD171" s="208">
        <v>-406145</v>
      </c>
      <c r="CE171" s="208">
        <v>0</v>
      </c>
      <c r="CF171" s="208">
        <v>-406145</v>
      </c>
      <c r="CG171" s="208">
        <v>-897</v>
      </c>
      <c r="CH171" s="208">
        <v>0</v>
      </c>
      <c r="CI171" s="208">
        <v>-897</v>
      </c>
      <c r="CJ171" s="208">
        <v>-99045</v>
      </c>
      <c r="CK171" s="208">
        <v>0</v>
      </c>
      <c r="CL171" s="208">
        <v>-99045</v>
      </c>
      <c r="CM171" s="208">
        <v>381</v>
      </c>
      <c r="CN171" s="208">
        <v>0</v>
      </c>
      <c r="CO171" s="208">
        <v>381</v>
      </c>
      <c r="CP171" s="208">
        <v>-2487</v>
      </c>
      <c r="CQ171" s="208">
        <v>0</v>
      </c>
      <c r="CR171" s="208">
        <v>-2487</v>
      </c>
      <c r="CS171" s="208">
        <v>0</v>
      </c>
      <c r="CT171" s="208">
        <v>0</v>
      </c>
      <c r="CU171" s="208">
        <v>0</v>
      </c>
      <c r="CV171" s="208">
        <v>0</v>
      </c>
      <c r="CW171" s="208">
        <v>0</v>
      </c>
      <c r="CX171" s="208">
        <v>0</v>
      </c>
      <c r="CY171" s="208">
        <v>0</v>
      </c>
      <c r="CZ171" s="208">
        <v>0</v>
      </c>
      <c r="DA171" s="208">
        <v>0</v>
      </c>
      <c r="DB171" s="208">
        <v>0</v>
      </c>
      <c r="DC171" s="208">
        <v>0</v>
      </c>
      <c r="DD171" s="208">
        <v>0</v>
      </c>
      <c r="DE171" s="208">
        <v>0</v>
      </c>
      <c r="DF171" s="208">
        <v>0</v>
      </c>
      <c r="DG171" s="208">
        <v>0</v>
      </c>
      <c r="DH171" s="208">
        <v>0</v>
      </c>
      <c r="DI171" s="208">
        <v>0</v>
      </c>
      <c r="DJ171" s="208">
        <v>0</v>
      </c>
      <c r="DK171" s="208">
        <v>0</v>
      </c>
      <c r="DL171" s="208">
        <v>0</v>
      </c>
      <c r="DM171" s="208">
        <v>0</v>
      </c>
      <c r="DN171" s="208">
        <v>0</v>
      </c>
      <c r="DO171" s="208">
        <v>0</v>
      </c>
      <c r="DP171" s="208">
        <v>-508193</v>
      </c>
      <c r="DQ171" s="208">
        <v>0</v>
      </c>
      <c r="DR171" s="208">
        <v>-508193</v>
      </c>
      <c r="DS171" s="208">
        <v>0</v>
      </c>
      <c r="DT171" s="208">
        <v>0</v>
      </c>
      <c r="DU171" s="208">
        <v>0</v>
      </c>
      <c r="DV171" s="208">
        <v>0</v>
      </c>
      <c r="DW171" s="208">
        <v>0</v>
      </c>
      <c r="DX171" s="208">
        <v>0</v>
      </c>
      <c r="DY171" s="208">
        <v>2377</v>
      </c>
      <c r="DZ171" s="208">
        <v>0</v>
      </c>
      <c r="EA171" s="208">
        <v>2377</v>
      </c>
      <c r="EB171" s="208">
        <v>0</v>
      </c>
      <c r="EC171" s="208">
        <v>0</v>
      </c>
      <c r="ED171" s="208">
        <v>0</v>
      </c>
      <c r="EE171" s="208">
        <v>0</v>
      </c>
      <c r="EF171" s="208">
        <v>0</v>
      </c>
      <c r="EG171" s="208">
        <v>0</v>
      </c>
      <c r="EH171" s="208">
        <v>0</v>
      </c>
      <c r="EI171" s="208">
        <v>0</v>
      </c>
      <c r="EJ171" s="208">
        <v>0</v>
      </c>
      <c r="EK171" s="208">
        <v>0</v>
      </c>
      <c r="EL171" s="208">
        <v>0</v>
      </c>
      <c r="EM171" s="208">
        <v>0</v>
      </c>
      <c r="EN171" s="208">
        <v>0</v>
      </c>
      <c r="EO171" s="208">
        <v>0</v>
      </c>
      <c r="EP171" s="208">
        <v>0</v>
      </c>
      <c r="EQ171" s="208">
        <v>0</v>
      </c>
      <c r="ER171" s="208">
        <v>0</v>
      </c>
      <c r="ES171" s="208">
        <v>0</v>
      </c>
      <c r="ET171" s="208">
        <v>0</v>
      </c>
      <c r="EU171" s="208">
        <v>0</v>
      </c>
      <c r="EV171" s="208">
        <v>0</v>
      </c>
      <c r="EW171" s="208">
        <v>-23015</v>
      </c>
      <c r="EX171" s="208">
        <v>0</v>
      </c>
      <c r="EY171" s="208">
        <v>-23015</v>
      </c>
      <c r="EZ171" s="208">
        <v>18.170000000000002</v>
      </c>
      <c r="FA171" s="208">
        <v>0</v>
      </c>
      <c r="FB171" s="208">
        <v>18.170000000000002</v>
      </c>
      <c r="FC171" s="208">
        <v>-208952</v>
      </c>
      <c r="FD171" s="208">
        <v>0</v>
      </c>
      <c r="FE171" s="208">
        <v>-208952</v>
      </c>
      <c r="FF171" s="208">
        <v>3097</v>
      </c>
      <c r="FG171" s="208">
        <v>0</v>
      </c>
      <c r="FH171" s="208">
        <v>3097</v>
      </c>
      <c r="FI171" s="208">
        <v>-17476</v>
      </c>
      <c r="FJ171" s="208">
        <v>0</v>
      </c>
      <c r="FK171" s="208">
        <v>-17476</v>
      </c>
      <c r="FL171" s="208">
        <v>1304</v>
      </c>
      <c r="FM171" s="208">
        <v>0</v>
      </c>
      <c r="FN171" s="208">
        <v>1304</v>
      </c>
      <c r="FO171" s="208">
        <v>0</v>
      </c>
      <c r="FP171" s="208">
        <v>0</v>
      </c>
      <c r="FQ171" s="208">
        <v>0</v>
      </c>
      <c r="FR171" s="208">
        <v>0</v>
      </c>
      <c r="FS171" s="208">
        <v>0</v>
      </c>
      <c r="FT171" s="208">
        <v>0</v>
      </c>
      <c r="FU171" s="208">
        <v>-242647</v>
      </c>
      <c r="FV171" s="208">
        <v>0</v>
      </c>
      <c r="FW171" s="208">
        <v>-242647</v>
      </c>
      <c r="FX171" s="208">
        <v>-3881</v>
      </c>
      <c r="FY171" s="208">
        <v>0</v>
      </c>
      <c r="FZ171" s="208">
        <v>-3881</v>
      </c>
      <c r="GA171" s="208">
        <v>0</v>
      </c>
      <c r="GB171" s="208">
        <v>0</v>
      </c>
      <c r="GC171" s="208">
        <v>0</v>
      </c>
      <c r="GD171" s="208">
        <v>-3881</v>
      </c>
      <c r="GE171" s="208">
        <v>0</v>
      </c>
      <c r="GF171" s="208">
        <v>-3881</v>
      </c>
      <c r="GG171" s="208">
        <v>101536292</v>
      </c>
      <c r="GH171" s="208">
        <v>0</v>
      </c>
      <c r="GI171" s="208">
        <v>101536292</v>
      </c>
      <c r="GJ171" s="208">
        <v>892182</v>
      </c>
      <c r="GK171" s="208">
        <v>0</v>
      </c>
      <c r="GL171" s="208">
        <v>892182</v>
      </c>
      <c r="GM171" s="208">
        <v>-8904057</v>
      </c>
      <c r="GN171" s="208">
        <v>0</v>
      </c>
      <c r="GO171" s="208">
        <v>-8904057</v>
      </c>
      <c r="GP171" s="208">
        <v>-1945251</v>
      </c>
      <c r="GQ171" s="208">
        <v>0</v>
      </c>
      <c r="GR171" s="208">
        <v>-1945251</v>
      </c>
      <c r="GS171" s="208">
        <v>-508193</v>
      </c>
      <c r="GT171" s="208">
        <v>0</v>
      </c>
      <c r="GU171" s="208">
        <v>-508193</v>
      </c>
      <c r="GV171" s="208">
        <v>-242647</v>
      </c>
      <c r="GW171" s="208">
        <v>0</v>
      </c>
      <c r="GX171" s="208">
        <v>-242647</v>
      </c>
      <c r="GY171" s="208">
        <v>-3881</v>
      </c>
      <c r="GZ171" s="208">
        <v>0</v>
      </c>
      <c r="HA171" s="208">
        <v>-3881</v>
      </c>
      <c r="HB171" s="208">
        <v>-10711847</v>
      </c>
      <c r="HC171" s="208">
        <v>0</v>
      </c>
      <c r="HD171" s="208">
        <v>-10711847</v>
      </c>
      <c r="HE171" s="208">
        <v>90824445</v>
      </c>
      <c r="HF171" s="208">
        <v>0</v>
      </c>
      <c r="HG171" s="208">
        <v>90824445</v>
      </c>
      <c r="HH171" s="187" t="s">
        <v>1055</v>
      </c>
    </row>
    <row r="172" spans="2:216" s="187" customFormat="1" x14ac:dyDescent="0.2">
      <c r="B172" s="429" t="s">
        <v>421</v>
      </c>
      <c r="C172" s="429" t="s">
        <v>420</v>
      </c>
      <c r="D172" s="208">
        <v>-563030</v>
      </c>
      <c r="E172" s="208">
        <v>0</v>
      </c>
      <c r="F172" s="208">
        <v>-563030</v>
      </c>
      <c r="G172" s="208">
        <v>7198.6</v>
      </c>
      <c r="H172" s="208">
        <v>0</v>
      </c>
      <c r="I172" s="208">
        <v>7198.6</v>
      </c>
      <c r="J172" s="208">
        <v>308073</v>
      </c>
      <c r="K172" s="208">
        <v>0</v>
      </c>
      <c r="L172" s="208">
        <v>308073</v>
      </c>
      <c r="M172" s="208">
        <v>-34056</v>
      </c>
      <c r="N172" s="208">
        <v>0</v>
      </c>
      <c r="O172" s="208">
        <v>-34056</v>
      </c>
      <c r="P172" s="208">
        <v>-281814</v>
      </c>
      <c r="Q172" s="208">
        <v>0</v>
      </c>
      <c r="R172" s="208">
        <v>-281814</v>
      </c>
      <c r="S172" s="208">
        <v>-3532305</v>
      </c>
      <c r="T172" s="208">
        <v>0</v>
      </c>
      <c r="U172" s="208">
        <v>-3532305</v>
      </c>
      <c r="V172" s="208">
        <v>0</v>
      </c>
      <c r="W172" s="208">
        <v>0</v>
      </c>
      <c r="X172" s="208">
        <v>0</v>
      </c>
      <c r="Y172" s="208">
        <v>-121687</v>
      </c>
      <c r="Z172" s="208">
        <v>0</v>
      </c>
      <c r="AA172" s="208">
        <v>-121687</v>
      </c>
      <c r="AB172" s="208">
        <v>-30811</v>
      </c>
      <c r="AC172" s="208">
        <v>0</v>
      </c>
      <c r="AD172" s="208">
        <v>-30811</v>
      </c>
      <c r="AE172" s="208">
        <v>-87068</v>
      </c>
      <c r="AF172" s="208">
        <v>0</v>
      </c>
      <c r="AG172" s="208">
        <v>-87068</v>
      </c>
      <c r="AH172" s="208">
        <v>-10789</v>
      </c>
      <c r="AI172" s="208">
        <v>0</v>
      </c>
      <c r="AJ172" s="208">
        <v>-10789</v>
      </c>
      <c r="AK172" s="208">
        <v>-4632</v>
      </c>
      <c r="AL172" s="208">
        <v>0</v>
      </c>
      <c r="AM172" s="208">
        <v>-4632</v>
      </c>
      <c r="AN172" s="208">
        <v>290128</v>
      </c>
      <c r="AO172" s="208">
        <v>0</v>
      </c>
      <c r="AP172" s="208">
        <v>290128</v>
      </c>
      <c r="AQ172" s="208">
        <v>3961</v>
      </c>
      <c r="AR172" s="208">
        <v>0</v>
      </c>
      <c r="AS172" s="208">
        <v>3961</v>
      </c>
      <c r="AT172" s="208">
        <v>-1513080</v>
      </c>
      <c r="AU172" s="208">
        <v>0</v>
      </c>
      <c r="AV172" s="208">
        <v>-1513080</v>
      </c>
      <c r="AW172" s="208">
        <v>-17328</v>
      </c>
      <c r="AX172" s="208">
        <v>0</v>
      </c>
      <c r="AY172" s="208">
        <v>-17328</v>
      </c>
      <c r="AZ172" s="208">
        <v>-34273</v>
      </c>
      <c r="BA172" s="208">
        <v>0</v>
      </c>
      <c r="BB172" s="208">
        <v>-34273</v>
      </c>
      <c r="BC172" s="208">
        <v>0</v>
      </c>
      <c r="BD172" s="208">
        <v>0</v>
      </c>
      <c r="BE172" s="208">
        <v>0</v>
      </c>
      <c r="BF172" s="208">
        <v>-28169</v>
      </c>
      <c r="BG172" s="208">
        <v>0</v>
      </c>
      <c r="BH172" s="208">
        <v>-28169</v>
      </c>
      <c r="BI172" s="208">
        <v>-2869</v>
      </c>
      <c r="BJ172" s="208">
        <v>0</v>
      </c>
      <c r="BK172" s="208">
        <v>-2869</v>
      </c>
      <c r="BL172" s="208">
        <v>-4955622</v>
      </c>
      <c r="BM172" s="208">
        <v>0</v>
      </c>
      <c r="BN172" s="208">
        <v>-4955622</v>
      </c>
      <c r="BO172" s="208">
        <v>-770</v>
      </c>
      <c r="BP172" s="208">
        <v>0</v>
      </c>
      <c r="BQ172" s="208">
        <v>-770</v>
      </c>
      <c r="BR172" s="208">
        <v>-1369</v>
      </c>
      <c r="BS172" s="208">
        <v>0</v>
      </c>
      <c r="BT172" s="208">
        <v>-1369</v>
      </c>
      <c r="BU172" s="208">
        <v>-371397</v>
      </c>
      <c r="BV172" s="208">
        <v>0</v>
      </c>
      <c r="BW172" s="208">
        <v>-371397</v>
      </c>
      <c r="BX172" s="208">
        <v>-39383</v>
      </c>
      <c r="BY172" s="208">
        <v>0</v>
      </c>
      <c r="BZ172" s="208">
        <v>-39383</v>
      </c>
      <c r="CA172" s="208">
        <v>-412919</v>
      </c>
      <c r="CB172" s="208">
        <v>0</v>
      </c>
      <c r="CC172" s="208">
        <v>-412919</v>
      </c>
      <c r="CD172" s="208">
        <v>-65492</v>
      </c>
      <c r="CE172" s="208">
        <v>0</v>
      </c>
      <c r="CF172" s="208">
        <v>-65492</v>
      </c>
      <c r="CG172" s="208">
        <v>-234</v>
      </c>
      <c r="CH172" s="208">
        <v>0</v>
      </c>
      <c r="CI172" s="208">
        <v>-234</v>
      </c>
      <c r="CJ172" s="208">
        <v>-1830</v>
      </c>
      <c r="CK172" s="208">
        <v>0</v>
      </c>
      <c r="CL172" s="208">
        <v>-1830</v>
      </c>
      <c r="CM172" s="208">
        <v>-1777</v>
      </c>
      <c r="CN172" s="208">
        <v>0</v>
      </c>
      <c r="CO172" s="208">
        <v>-1777</v>
      </c>
      <c r="CP172" s="208">
        <v>0</v>
      </c>
      <c r="CQ172" s="208">
        <v>0</v>
      </c>
      <c r="CR172" s="208">
        <v>0</v>
      </c>
      <c r="CS172" s="208">
        <v>0</v>
      </c>
      <c r="CT172" s="208">
        <v>0</v>
      </c>
      <c r="CU172" s="208">
        <v>0</v>
      </c>
      <c r="CV172" s="208">
        <v>0</v>
      </c>
      <c r="CW172" s="208">
        <v>0</v>
      </c>
      <c r="CX172" s="208">
        <v>0</v>
      </c>
      <c r="CY172" s="208">
        <v>0</v>
      </c>
      <c r="CZ172" s="208">
        <v>0</v>
      </c>
      <c r="DA172" s="208">
        <v>0</v>
      </c>
      <c r="DB172" s="208">
        <v>0</v>
      </c>
      <c r="DC172" s="208">
        <v>0</v>
      </c>
      <c r="DD172" s="208">
        <v>0</v>
      </c>
      <c r="DE172" s="208">
        <v>0</v>
      </c>
      <c r="DF172" s="208">
        <v>0</v>
      </c>
      <c r="DG172" s="208">
        <v>0</v>
      </c>
      <c r="DH172" s="208">
        <v>-500</v>
      </c>
      <c r="DI172" s="208">
        <v>0</v>
      </c>
      <c r="DJ172" s="208">
        <v>-500</v>
      </c>
      <c r="DK172" s="208">
        <v>0</v>
      </c>
      <c r="DL172" s="208">
        <v>0</v>
      </c>
      <c r="DM172" s="208">
        <v>0</v>
      </c>
      <c r="DN172" s="208">
        <v>0</v>
      </c>
      <c r="DO172" s="208">
        <v>0</v>
      </c>
      <c r="DP172" s="208">
        <v>-69833</v>
      </c>
      <c r="DQ172" s="208">
        <v>0</v>
      </c>
      <c r="DR172" s="208">
        <v>-69833</v>
      </c>
      <c r="DS172" s="208">
        <v>0</v>
      </c>
      <c r="DT172" s="208">
        <v>0</v>
      </c>
      <c r="DU172" s="208">
        <v>0</v>
      </c>
      <c r="DV172" s="208">
        <v>0</v>
      </c>
      <c r="DW172" s="208">
        <v>0</v>
      </c>
      <c r="DX172" s="208">
        <v>0</v>
      </c>
      <c r="DY172" s="208">
        <v>0</v>
      </c>
      <c r="DZ172" s="208">
        <v>0</v>
      </c>
      <c r="EA172" s="208">
        <v>0</v>
      </c>
      <c r="EB172" s="208">
        <v>0</v>
      </c>
      <c r="EC172" s="208">
        <v>0</v>
      </c>
      <c r="ED172" s="208">
        <v>0</v>
      </c>
      <c r="EE172" s="208">
        <v>0</v>
      </c>
      <c r="EF172" s="208">
        <v>0</v>
      </c>
      <c r="EG172" s="208">
        <v>0</v>
      </c>
      <c r="EH172" s="208">
        <v>0</v>
      </c>
      <c r="EI172" s="208">
        <v>0</v>
      </c>
      <c r="EJ172" s="208">
        <v>0</v>
      </c>
      <c r="EK172" s="208">
        <v>-28169</v>
      </c>
      <c r="EL172" s="208">
        <v>0</v>
      </c>
      <c r="EM172" s="208">
        <v>-28169</v>
      </c>
      <c r="EN172" s="208">
        <v>-2869</v>
      </c>
      <c r="EO172" s="208">
        <v>0</v>
      </c>
      <c r="EP172" s="208">
        <v>-2869</v>
      </c>
      <c r="EQ172" s="208">
        <v>0</v>
      </c>
      <c r="ER172" s="208">
        <v>0</v>
      </c>
      <c r="ES172" s="208">
        <v>0</v>
      </c>
      <c r="ET172" s="208">
        <v>0</v>
      </c>
      <c r="EU172" s="208">
        <v>0</v>
      </c>
      <c r="EV172" s="208">
        <v>0</v>
      </c>
      <c r="EW172" s="208">
        <v>-25276</v>
      </c>
      <c r="EX172" s="208">
        <v>0</v>
      </c>
      <c r="EY172" s="208">
        <v>-25276</v>
      </c>
      <c r="EZ172" s="208">
        <v>0</v>
      </c>
      <c r="FA172" s="208">
        <v>0</v>
      </c>
      <c r="FB172" s="208">
        <v>0</v>
      </c>
      <c r="FC172" s="208">
        <v>-55848</v>
      </c>
      <c r="FD172" s="208">
        <v>0</v>
      </c>
      <c r="FE172" s="208">
        <v>-55848</v>
      </c>
      <c r="FF172" s="208">
        <v>-1042.71</v>
      </c>
      <c r="FG172" s="208">
        <v>0</v>
      </c>
      <c r="FH172" s="208">
        <v>-1042.71</v>
      </c>
      <c r="FI172" s="208">
        <v>-37561</v>
      </c>
      <c r="FJ172" s="208">
        <v>0</v>
      </c>
      <c r="FK172" s="208">
        <v>-37561</v>
      </c>
      <c r="FL172" s="208">
        <v>-693</v>
      </c>
      <c r="FM172" s="208">
        <v>0</v>
      </c>
      <c r="FN172" s="208">
        <v>-693</v>
      </c>
      <c r="FO172" s="208">
        <v>0</v>
      </c>
      <c r="FP172" s="208">
        <v>0</v>
      </c>
      <c r="FQ172" s="208">
        <v>0</v>
      </c>
      <c r="FR172" s="208">
        <v>0</v>
      </c>
      <c r="FS172" s="208">
        <v>0</v>
      </c>
      <c r="FT172" s="208">
        <v>0</v>
      </c>
      <c r="FU172" s="208">
        <v>-151459</v>
      </c>
      <c r="FV172" s="208">
        <v>0</v>
      </c>
      <c r="FW172" s="208">
        <v>-151459</v>
      </c>
      <c r="FX172" s="208">
        <v>0</v>
      </c>
      <c r="FY172" s="208">
        <v>0</v>
      </c>
      <c r="FZ172" s="208">
        <v>0</v>
      </c>
      <c r="GA172" s="208">
        <v>0</v>
      </c>
      <c r="GB172" s="208">
        <v>0</v>
      </c>
      <c r="GC172" s="208">
        <v>0</v>
      </c>
      <c r="GD172" s="208">
        <v>0</v>
      </c>
      <c r="GE172" s="208">
        <v>0</v>
      </c>
      <c r="GF172" s="208">
        <v>0</v>
      </c>
      <c r="GG172" s="208">
        <v>21008516</v>
      </c>
      <c r="GH172" s="208">
        <v>0</v>
      </c>
      <c r="GI172" s="208">
        <v>21008516</v>
      </c>
      <c r="GJ172" s="208">
        <v>-281814</v>
      </c>
      <c r="GK172" s="208">
        <v>0</v>
      </c>
      <c r="GL172" s="208">
        <v>-281814</v>
      </c>
      <c r="GM172" s="208">
        <v>-4955622</v>
      </c>
      <c r="GN172" s="208">
        <v>0</v>
      </c>
      <c r="GO172" s="208">
        <v>-4955622</v>
      </c>
      <c r="GP172" s="208">
        <v>-412919</v>
      </c>
      <c r="GQ172" s="208">
        <v>0</v>
      </c>
      <c r="GR172" s="208">
        <v>-412919</v>
      </c>
      <c r="GS172" s="208">
        <v>-69833</v>
      </c>
      <c r="GT172" s="208">
        <v>0</v>
      </c>
      <c r="GU172" s="208">
        <v>-69833</v>
      </c>
      <c r="GV172" s="208">
        <v>-151459</v>
      </c>
      <c r="GW172" s="208">
        <v>0</v>
      </c>
      <c r="GX172" s="208">
        <v>-151459</v>
      </c>
      <c r="GY172" s="208">
        <v>0</v>
      </c>
      <c r="GZ172" s="208">
        <v>0</v>
      </c>
      <c r="HA172" s="208">
        <v>0</v>
      </c>
      <c r="HB172" s="208">
        <v>-5871647</v>
      </c>
      <c r="HC172" s="208">
        <v>0</v>
      </c>
      <c r="HD172" s="208">
        <v>-5871647</v>
      </c>
      <c r="HE172" s="208">
        <v>15136869</v>
      </c>
      <c r="HF172" s="208">
        <v>0</v>
      </c>
      <c r="HG172" s="208">
        <v>15136869</v>
      </c>
      <c r="HH172" s="187" t="s">
        <v>1054</v>
      </c>
    </row>
    <row r="173" spans="2:216" s="187" customFormat="1" x14ac:dyDescent="0.2">
      <c r="B173" s="429" t="s">
        <v>423</v>
      </c>
      <c r="C173" s="429" t="s">
        <v>422</v>
      </c>
      <c r="D173" s="208">
        <v>-733230</v>
      </c>
      <c r="E173" s="208">
        <v>0</v>
      </c>
      <c r="F173" s="208">
        <v>-733230</v>
      </c>
      <c r="G173" s="208">
        <v>20877</v>
      </c>
      <c r="H173" s="208">
        <v>0</v>
      </c>
      <c r="I173" s="208">
        <v>20877</v>
      </c>
      <c r="J173" s="208">
        <v>335051</v>
      </c>
      <c r="K173" s="208">
        <v>0</v>
      </c>
      <c r="L173" s="208">
        <v>335051</v>
      </c>
      <c r="M173" s="208">
        <v>37704</v>
      </c>
      <c r="N173" s="208">
        <v>0</v>
      </c>
      <c r="O173" s="208">
        <v>37704</v>
      </c>
      <c r="P173" s="208">
        <v>-339598</v>
      </c>
      <c r="Q173" s="208">
        <v>0</v>
      </c>
      <c r="R173" s="208">
        <v>-339598</v>
      </c>
      <c r="S173" s="208">
        <v>-3365723</v>
      </c>
      <c r="T173" s="208">
        <v>0</v>
      </c>
      <c r="U173" s="208">
        <v>-3365723</v>
      </c>
      <c r="V173" s="208">
        <v>-17974</v>
      </c>
      <c r="W173" s="208">
        <v>0</v>
      </c>
      <c r="X173" s="208">
        <v>-17974</v>
      </c>
      <c r="Y173" s="208">
        <v>-128810</v>
      </c>
      <c r="Z173" s="208">
        <v>0</v>
      </c>
      <c r="AA173" s="208">
        <v>-128810</v>
      </c>
      <c r="AB173" s="208">
        <v>-52160</v>
      </c>
      <c r="AC173" s="208">
        <v>0</v>
      </c>
      <c r="AD173" s="208">
        <v>-52160</v>
      </c>
      <c r="AE173" s="208">
        <v>-66720</v>
      </c>
      <c r="AF173" s="208">
        <v>0</v>
      </c>
      <c r="AG173" s="208">
        <v>-66720</v>
      </c>
      <c r="AH173" s="208">
        <v>3279</v>
      </c>
      <c r="AI173" s="208">
        <v>0</v>
      </c>
      <c r="AJ173" s="208">
        <v>3279</v>
      </c>
      <c r="AK173" s="208">
        <v>-5306</v>
      </c>
      <c r="AL173" s="208">
        <v>0</v>
      </c>
      <c r="AM173" s="208">
        <v>-5306</v>
      </c>
      <c r="AN173" s="208">
        <v>484012</v>
      </c>
      <c r="AO173" s="208">
        <v>0</v>
      </c>
      <c r="AP173" s="208">
        <v>484012</v>
      </c>
      <c r="AQ173" s="208">
        <v>9625</v>
      </c>
      <c r="AR173" s="208">
        <v>0</v>
      </c>
      <c r="AS173" s="208">
        <v>9625</v>
      </c>
      <c r="AT173" s="208">
        <v>-1525189</v>
      </c>
      <c r="AU173" s="208">
        <v>0</v>
      </c>
      <c r="AV173" s="208">
        <v>-1525189</v>
      </c>
      <c r="AW173" s="208">
        <v>-85677</v>
      </c>
      <c r="AX173" s="208">
        <v>0</v>
      </c>
      <c r="AY173" s="208">
        <v>-85677</v>
      </c>
      <c r="AZ173" s="208">
        <v>-46624</v>
      </c>
      <c r="BA173" s="208">
        <v>0</v>
      </c>
      <c r="BB173" s="208">
        <v>-46624</v>
      </c>
      <c r="BC173" s="208">
        <v>0</v>
      </c>
      <c r="BD173" s="208">
        <v>0</v>
      </c>
      <c r="BE173" s="208">
        <v>0</v>
      </c>
      <c r="BF173" s="208">
        <v>-55138</v>
      </c>
      <c r="BG173" s="208">
        <v>0</v>
      </c>
      <c r="BH173" s="208">
        <v>-55138</v>
      </c>
      <c r="BI173" s="208">
        <v>-965</v>
      </c>
      <c r="BJ173" s="208">
        <v>0</v>
      </c>
      <c r="BK173" s="208">
        <v>-965</v>
      </c>
      <c r="BL173" s="208">
        <v>-4714489</v>
      </c>
      <c r="BM173" s="208">
        <v>0</v>
      </c>
      <c r="BN173" s="208">
        <v>-4714489</v>
      </c>
      <c r="BO173" s="208">
        <v>-18525</v>
      </c>
      <c r="BP173" s="208">
        <v>0</v>
      </c>
      <c r="BQ173" s="208">
        <v>-18525</v>
      </c>
      <c r="BR173" s="208">
        <v>0</v>
      </c>
      <c r="BS173" s="208">
        <v>0</v>
      </c>
      <c r="BT173" s="208">
        <v>0</v>
      </c>
      <c r="BU173" s="208">
        <v>-672833</v>
      </c>
      <c r="BV173" s="208">
        <v>0</v>
      </c>
      <c r="BW173" s="208">
        <v>-672833</v>
      </c>
      <c r="BX173" s="208">
        <v>58355</v>
      </c>
      <c r="BY173" s="208">
        <v>0</v>
      </c>
      <c r="BZ173" s="208">
        <v>58355</v>
      </c>
      <c r="CA173" s="208">
        <v>-633003</v>
      </c>
      <c r="CB173" s="208">
        <v>0</v>
      </c>
      <c r="CC173" s="208">
        <v>-633003</v>
      </c>
      <c r="CD173" s="208">
        <v>-170979</v>
      </c>
      <c r="CE173" s="208">
        <v>0</v>
      </c>
      <c r="CF173" s="208">
        <v>-170979</v>
      </c>
      <c r="CG173" s="208">
        <v>-554.49</v>
      </c>
      <c r="CH173" s="208">
        <v>0</v>
      </c>
      <c r="CI173" s="208">
        <v>-554.49</v>
      </c>
      <c r="CJ173" s="208">
        <v>-36802</v>
      </c>
      <c r="CK173" s="208">
        <v>0</v>
      </c>
      <c r="CL173" s="208">
        <v>-36802</v>
      </c>
      <c r="CM173" s="208">
        <v>-1219</v>
      </c>
      <c r="CN173" s="208">
        <v>0</v>
      </c>
      <c r="CO173" s="208">
        <v>-1219</v>
      </c>
      <c r="CP173" s="208">
        <v>-9073</v>
      </c>
      <c r="CQ173" s="208">
        <v>0</v>
      </c>
      <c r="CR173" s="208">
        <v>-9073</v>
      </c>
      <c r="CS173" s="208">
        <v>0</v>
      </c>
      <c r="CT173" s="208">
        <v>0</v>
      </c>
      <c r="CU173" s="208">
        <v>0</v>
      </c>
      <c r="CV173" s="208">
        <v>0</v>
      </c>
      <c r="CW173" s="208">
        <v>0</v>
      </c>
      <c r="CX173" s="208">
        <v>0</v>
      </c>
      <c r="CY173" s="208">
        <v>149</v>
      </c>
      <c r="CZ173" s="208">
        <v>0</v>
      </c>
      <c r="DA173" s="208">
        <v>149</v>
      </c>
      <c r="DB173" s="208">
        <v>-19629</v>
      </c>
      <c r="DC173" s="208">
        <v>0</v>
      </c>
      <c r="DD173" s="208">
        <v>-19629</v>
      </c>
      <c r="DE173" s="208">
        <v>0</v>
      </c>
      <c r="DF173" s="208">
        <v>0</v>
      </c>
      <c r="DG173" s="208">
        <v>0</v>
      </c>
      <c r="DH173" s="208">
        <v>0</v>
      </c>
      <c r="DI173" s="208">
        <v>0</v>
      </c>
      <c r="DJ173" s="208">
        <v>0</v>
      </c>
      <c r="DK173" s="208">
        <v>0</v>
      </c>
      <c r="DL173" s="208">
        <v>0</v>
      </c>
      <c r="DM173" s="208">
        <v>0</v>
      </c>
      <c r="DN173" s="208">
        <v>0</v>
      </c>
      <c r="DO173" s="208">
        <v>0</v>
      </c>
      <c r="DP173" s="208">
        <v>-238107</v>
      </c>
      <c r="DQ173" s="208">
        <v>0</v>
      </c>
      <c r="DR173" s="208">
        <v>-238107</v>
      </c>
      <c r="DS173" s="208">
        <v>0</v>
      </c>
      <c r="DT173" s="208">
        <v>0</v>
      </c>
      <c r="DU173" s="208">
        <v>0</v>
      </c>
      <c r="DV173" s="208">
        <v>0</v>
      </c>
      <c r="DW173" s="208">
        <v>0</v>
      </c>
      <c r="DX173" s="208">
        <v>0</v>
      </c>
      <c r="DY173" s="208">
        <v>15</v>
      </c>
      <c r="DZ173" s="208">
        <v>0</v>
      </c>
      <c r="EA173" s="208">
        <v>15</v>
      </c>
      <c r="EB173" s="208">
        <v>0</v>
      </c>
      <c r="EC173" s="208">
        <v>0</v>
      </c>
      <c r="ED173" s="208">
        <v>0</v>
      </c>
      <c r="EE173" s="208">
        <v>0</v>
      </c>
      <c r="EF173" s="208">
        <v>0</v>
      </c>
      <c r="EG173" s="208">
        <v>0</v>
      </c>
      <c r="EH173" s="208">
        <v>0</v>
      </c>
      <c r="EI173" s="208">
        <v>0</v>
      </c>
      <c r="EJ173" s="208">
        <v>0</v>
      </c>
      <c r="EK173" s="208">
        <v>-55138</v>
      </c>
      <c r="EL173" s="208">
        <v>0</v>
      </c>
      <c r="EM173" s="208">
        <v>-55138</v>
      </c>
      <c r="EN173" s="208">
        <v>-965</v>
      </c>
      <c r="EO173" s="208">
        <v>0</v>
      </c>
      <c r="EP173" s="208">
        <v>-965</v>
      </c>
      <c r="EQ173" s="208">
        <v>0</v>
      </c>
      <c r="ER173" s="208">
        <v>0</v>
      </c>
      <c r="ES173" s="208">
        <v>0</v>
      </c>
      <c r="ET173" s="208">
        <v>0</v>
      </c>
      <c r="EU173" s="208">
        <v>0</v>
      </c>
      <c r="EV173" s="208">
        <v>0</v>
      </c>
      <c r="EW173" s="208">
        <v>-60623</v>
      </c>
      <c r="EX173" s="208">
        <v>0</v>
      </c>
      <c r="EY173" s="208">
        <v>-60623</v>
      </c>
      <c r="EZ173" s="208">
        <v>1668</v>
      </c>
      <c r="FA173" s="208">
        <v>0</v>
      </c>
      <c r="FB173" s="208">
        <v>1668</v>
      </c>
      <c r="FC173" s="208">
        <v>-117879</v>
      </c>
      <c r="FD173" s="208">
        <v>0</v>
      </c>
      <c r="FE173" s="208">
        <v>-117879</v>
      </c>
      <c r="FF173" s="208">
        <v>-2190</v>
      </c>
      <c r="FG173" s="208">
        <v>0</v>
      </c>
      <c r="FH173" s="208">
        <v>-2190</v>
      </c>
      <c r="FI173" s="208">
        <v>-38232</v>
      </c>
      <c r="FJ173" s="208">
        <v>0</v>
      </c>
      <c r="FK173" s="208">
        <v>-38232</v>
      </c>
      <c r="FL173" s="208">
        <v>805</v>
      </c>
      <c r="FM173" s="208">
        <v>0</v>
      </c>
      <c r="FN173" s="208">
        <v>805</v>
      </c>
      <c r="FO173" s="208">
        <v>0</v>
      </c>
      <c r="FP173" s="208">
        <v>0</v>
      </c>
      <c r="FQ173" s="208">
        <v>0</v>
      </c>
      <c r="FR173" s="208">
        <v>0</v>
      </c>
      <c r="FS173" s="208">
        <v>0</v>
      </c>
      <c r="FT173" s="208">
        <v>0</v>
      </c>
      <c r="FU173" s="208">
        <v>-272539</v>
      </c>
      <c r="FV173" s="208">
        <v>0</v>
      </c>
      <c r="FW173" s="208">
        <v>-272539</v>
      </c>
      <c r="FX173" s="208">
        <v>0</v>
      </c>
      <c r="FY173" s="208">
        <v>0</v>
      </c>
      <c r="FZ173" s="208">
        <v>0</v>
      </c>
      <c r="GA173" s="208">
        <v>0</v>
      </c>
      <c r="GB173" s="208">
        <v>0</v>
      </c>
      <c r="GC173" s="208">
        <v>0</v>
      </c>
      <c r="GD173" s="208">
        <v>0</v>
      </c>
      <c r="GE173" s="208">
        <v>0</v>
      </c>
      <c r="GF173" s="208">
        <v>0</v>
      </c>
      <c r="GG173" s="208">
        <v>28867323</v>
      </c>
      <c r="GH173" s="208">
        <v>0</v>
      </c>
      <c r="GI173" s="208">
        <v>28867323</v>
      </c>
      <c r="GJ173" s="208">
        <v>-339598</v>
      </c>
      <c r="GK173" s="208">
        <v>0</v>
      </c>
      <c r="GL173" s="208">
        <v>-339598</v>
      </c>
      <c r="GM173" s="208">
        <v>-4714489</v>
      </c>
      <c r="GN173" s="208">
        <v>0</v>
      </c>
      <c r="GO173" s="208">
        <v>-4714489</v>
      </c>
      <c r="GP173" s="208">
        <v>-633003</v>
      </c>
      <c r="GQ173" s="208">
        <v>0</v>
      </c>
      <c r="GR173" s="208">
        <v>-633003</v>
      </c>
      <c r="GS173" s="208">
        <v>-238107</v>
      </c>
      <c r="GT173" s="208">
        <v>0</v>
      </c>
      <c r="GU173" s="208">
        <v>-238107</v>
      </c>
      <c r="GV173" s="208">
        <v>-272539</v>
      </c>
      <c r="GW173" s="208">
        <v>0</v>
      </c>
      <c r="GX173" s="208">
        <v>-272539</v>
      </c>
      <c r="GY173" s="208">
        <v>0</v>
      </c>
      <c r="GZ173" s="208">
        <v>0</v>
      </c>
      <c r="HA173" s="208">
        <v>0</v>
      </c>
      <c r="HB173" s="208">
        <v>-6197736</v>
      </c>
      <c r="HC173" s="208">
        <v>0</v>
      </c>
      <c r="HD173" s="208">
        <v>-6197736</v>
      </c>
      <c r="HE173" s="208">
        <v>22669587</v>
      </c>
      <c r="HF173" s="208">
        <v>0</v>
      </c>
      <c r="HG173" s="208">
        <v>22669587</v>
      </c>
      <c r="HH173" s="187" t="s">
        <v>1054</v>
      </c>
    </row>
    <row r="174" spans="2:216" s="187" customFormat="1" x14ac:dyDescent="0.2">
      <c r="B174" s="429" t="s">
        <v>425</v>
      </c>
      <c r="C174" s="429" t="s">
        <v>424</v>
      </c>
      <c r="D174" s="208">
        <v>-1326086</v>
      </c>
      <c r="E174" s="208">
        <v>0</v>
      </c>
      <c r="F174" s="208">
        <v>-1326086</v>
      </c>
      <c r="G174" s="208">
        <v>41230</v>
      </c>
      <c r="H174" s="208">
        <v>0</v>
      </c>
      <c r="I174" s="208">
        <v>41230</v>
      </c>
      <c r="J174" s="208">
        <v>521220</v>
      </c>
      <c r="K174" s="208">
        <v>0</v>
      </c>
      <c r="L174" s="208">
        <v>521220</v>
      </c>
      <c r="M174" s="208">
        <v>-12085</v>
      </c>
      <c r="N174" s="208">
        <v>0</v>
      </c>
      <c r="O174" s="208">
        <v>-12085</v>
      </c>
      <c r="P174" s="208">
        <v>-775721</v>
      </c>
      <c r="Q174" s="208">
        <v>0</v>
      </c>
      <c r="R174" s="208">
        <v>-775721</v>
      </c>
      <c r="S174" s="208">
        <v>-4313543</v>
      </c>
      <c r="T174" s="208">
        <v>0</v>
      </c>
      <c r="U174" s="208">
        <v>-4313543</v>
      </c>
      <c r="V174" s="208">
        <v>0</v>
      </c>
      <c r="W174" s="208">
        <v>0</v>
      </c>
      <c r="X174" s="208">
        <v>0</v>
      </c>
      <c r="Y174" s="208">
        <v>-187275</v>
      </c>
      <c r="Z174" s="208">
        <v>0</v>
      </c>
      <c r="AA174" s="208">
        <v>-187275</v>
      </c>
      <c r="AB174" s="208">
        <v>-40741</v>
      </c>
      <c r="AC174" s="208">
        <v>0</v>
      </c>
      <c r="AD174" s="208">
        <v>-40741</v>
      </c>
      <c r="AE174" s="208">
        <v>-140972</v>
      </c>
      <c r="AF174" s="208">
        <v>0</v>
      </c>
      <c r="AG174" s="208">
        <v>-140972</v>
      </c>
      <c r="AH174" s="208">
        <v>0</v>
      </c>
      <c r="AI174" s="208">
        <v>0</v>
      </c>
      <c r="AJ174" s="208">
        <v>0</v>
      </c>
      <c r="AK174" s="208">
        <v>0</v>
      </c>
      <c r="AL174" s="208">
        <v>0</v>
      </c>
      <c r="AM174" s="208">
        <v>0</v>
      </c>
      <c r="AN174" s="208">
        <v>1005200</v>
      </c>
      <c r="AO174" s="208">
        <v>0</v>
      </c>
      <c r="AP174" s="208">
        <v>1005200</v>
      </c>
      <c r="AQ174" s="208">
        <v>-5878</v>
      </c>
      <c r="AR174" s="208">
        <v>0</v>
      </c>
      <c r="AS174" s="208">
        <v>-5878</v>
      </c>
      <c r="AT174" s="208">
        <v>-4120763</v>
      </c>
      <c r="AU174" s="208">
        <v>0</v>
      </c>
      <c r="AV174" s="208">
        <v>-4120763</v>
      </c>
      <c r="AW174" s="208">
        <v>-17784</v>
      </c>
      <c r="AX174" s="208">
        <v>0</v>
      </c>
      <c r="AY174" s="208">
        <v>-17784</v>
      </c>
      <c r="AZ174" s="208">
        <v>-54831</v>
      </c>
      <c r="BA174" s="208">
        <v>0</v>
      </c>
      <c r="BB174" s="208">
        <v>-54831</v>
      </c>
      <c r="BC174" s="208">
        <v>0</v>
      </c>
      <c r="BD174" s="208">
        <v>0</v>
      </c>
      <c r="BE174" s="208">
        <v>0</v>
      </c>
      <c r="BF174" s="208">
        <v>-3513</v>
      </c>
      <c r="BG174" s="208">
        <v>0</v>
      </c>
      <c r="BH174" s="208">
        <v>-3513</v>
      </c>
      <c r="BI174" s="208">
        <v>1639</v>
      </c>
      <c r="BJ174" s="208">
        <v>0</v>
      </c>
      <c r="BK174" s="208">
        <v>1639</v>
      </c>
      <c r="BL174" s="208">
        <v>-7696748</v>
      </c>
      <c r="BM174" s="208">
        <v>0</v>
      </c>
      <c r="BN174" s="208">
        <v>-7696748</v>
      </c>
      <c r="BO174" s="208">
        <v>0</v>
      </c>
      <c r="BP174" s="208">
        <v>0</v>
      </c>
      <c r="BQ174" s="208">
        <v>0</v>
      </c>
      <c r="BR174" s="208">
        <v>-762</v>
      </c>
      <c r="BS174" s="208">
        <v>0</v>
      </c>
      <c r="BT174" s="208">
        <v>-762</v>
      </c>
      <c r="BU174" s="208">
        <v>-1094537</v>
      </c>
      <c r="BV174" s="208">
        <v>0</v>
      </c>
      <c r="BW174" s="208">
        <v>-1094537</v>
      </c>
      <c r="BX174" s="208">
        <v>-130119</v>
      </c>
      <c r="BY174" s="208">
        <v>0</v>
      </c>
      <c r="BZ174" s="208">
        <v>-130119</v>
      </c>
      <c r="CA174" s="208">
        <v>-1225418</v>
      </c>
      <c r="CB174" s="208">
        <v>0</v>
      </c>
      <c r="CC174" s="208">
        <v>-1225418</v>
      </c>
      <c r="CD174" s="208">
        <v>-90773</v>
      </c>
      <c r="CE174" s="208">
        <v>0</v>
      </c>
      <c r="CF174" s="208">
        <v>-90773</v>
      </c>
      <c r="CG174" s="208">
        <v>41</v>
      </c>
      <c r="CH174" s="208">
        <v>0</v>
      </c>
      <c r="CI174" s="208">
        <v>41</v>
      </c>
      <c r="CJ174" s="208">
        <v>-708326</v>
      </c>
      <c r="CK174" s="208">
        <v>0</v>
      </c>
      <c r="CL174" s="208">
        <v>-708326</v>
      </c>
      <c r="CM174" s="208">
        <v>0</v>
      </c>
      <c r="CN174" s="208">
        <v>0</v>
      </c>
      <c r="CO174" s="208">
        <v>0</v>
      </c>
      <c r="CP174" s="208">
        <v>-3831</v>
      </c>
      <c r="CQ174" s="208">
        <v>0</v>
      </c>
      <c r="CR174" s="208">
        <v>-3831</v>
      </c>
      <c r="CS174" s="208">
        <v>0</v>
      </c>
      <c r="CT174" s="208">
        <v>0</v>
      </c>
      <c r="CU174" s="208">
        <v>0</v>
      </c>
      <c r="CV174" s="208">
        <v>0</v>
      </c>
      <c r="CW174" s="208">
        <v>0</v>
      </c>
      <c r="CX174" s="208">
        <v>0</v>
      </c>
      <c r="CY174" s="208">
        <v>0</v>
      </c>
      <c r="CZ174" s="208">
        <v>0</v>
      </c>
      <c r="DA174" s="208">
        <v>0</v>
      </c>
      <c r="DB174" s="208">
        <v>0</v>
      </c>
      <c r="DC174" s="208">
        <v>0</v>
      </c>
      <c r="DD174" s="208">
        <v>0</v>
      </c>
      <c r="DE174" s="208">
        <v>0</v>
      </c>
      <c r="DF174" s="208">
        <v>0</v>
      </c>
      <c r="DG174" s="208">
        <v>0</v>
      </c>
      <c r="DH174" s="208">
        <v>0</v>
      </c>
      <c r="DI174" s="208">
        <v>0</v>
      </c>
      <c r="DJ174" s="208">
        <v>0</v>
      </c>
      <c r="DK174" s="208">
        <v>0</v>
      </c>
      <c r="DL174" s="208">
        <v>0</v>
      </c>
      <c r="DM174" s="208">
        <v>0</v>
      </c>
      <c r="DN174" s="208">
        <v>0</v>
      </c>
      <c r="DO174" s="208">
        <v>0</v>
      </c>
      <c r="DP174" s="208">
        <v>-802889</v>
      </c>
      <c r="DQ174" s="208">
        <v>0</v>
      </c>
      <c r="DR174" s="208">
        <v>-802889</v>
      </c>
      <c r="DS174" s="208">
        <v>0</v>
      </c>
      <c r="DT174" s="208">
        <v>0</v>
      </c>
      <c r="DU174" s="208">
        <v>0</v>
      </c>
      <c r="DV174" s="208">
        <v>0</v>
      </c>
      <c r="DW174" s="208">
        <v>0</v>
      </c>
      <c r="DX174" s="208">
        <v>0</v>
      </c>
      <c r="DY174" s="208">
        <v>0</v>
      </c>
      <c r="DZ174" s="208">
        <v>0</v>
      </c>
      <c r="EA174" s="208">
        <v>0</v>
      </c>
      <c r="EB174" s="208">
        <v>0</v>
      </c>
      <c r="EC174" s="208">
        <v>0</v>
      </c>
      <c r="ED174" s="208">
        <v>0</v>
      </c>
      <c r="EE174" s="208">
        <v>0</v>
      </c>
      <c r="EF174" s="208">
        <v>0</v>
      </c>
      <c r="EG174" s="208">
        <v>0</v>
      </c>
      <c r="EH174" s="208">
        <v>0</v>
      </c>
      <c r="EI174" s="208">
        <v>0</v>
      </c>
      <c r="EJ174" s="208">
        <v>0</v>
      </c>
      <c r="EK174" s="208">
        <v>-6651</v>
      </c>
      <c r="EL174" s="208">
        <v>0</v>
      </c>
      <c r="EM174" s="208">
        <v>-6651</v>
      </c>
      <c r="EN174" s="208">
        <v>0</v>
      </c>
      <c r="EO174" s="208">
        <v>0</v>
      </c>
      <c r="EP174" s="208">
        <v>0</v>
      </c>
      <c r="EQ174" s="208">
        <v>0</v>
      </c>
      <c r="ER174" s="208">
        <v>0</v>
      </c>
      <c r="ES174" s="208">
        <v>0</v>
      </c>
      <c r="ET174" s="208">
        <v>0</v>
      </c>
      <c r="EU174" s="208">
        <v>0</v>
      </c>
      <c r="EV174" s="208">
        <v>0</v>
      </c>
      <c r="EW174" s="208">
        <v>-56943</v>
      </c>
      <c r="EX174" s="208">
        <v>0</v>
      </c>
      <c r="EY174" s="208">
        <v>-56943</v>
      </c>
      <c r="EZ174" s="208">
        <v>-1529</v>
      </c>
      <c r="FA174" s="208">
        <v>0</v>
      </c>
      <c r="FB174" s="208">
        <v>-1529</v>
      </c>
      <c r="FC174" s="208">
        <v>-180161</v>
      </c>
      <c r="FD174" s="208">
        <v>0</v>
      </c>
      <c r="FE174" s="208">
        <v>-180161</v>
      </c>
      <c r="FF174" s="208">
        <v>-83474</v>
      </c>
      <c r="FG174" s="208">
        <v>0</v>
      </c>
      <c r="FH174" s="208">
        <v>-83474</v>
      </c>
      <c r="FI174" s="208">
        <v>-40110</v>
      </c>
      <c r="FJ174" s="208">
        <v>0</v>
      </c>
      <c r="FK174" s="208">
        <v>-40110</v>
      </c>
      <c r="FL174" s="208">
        <v>-2466</v>
      </c>
      <c r="FM174" s="208">
        <v>0</v>
      </c>
      <c r="FN174" s="208">
        <v>-2466</v>
      </c>
      <c r="FO174" s="208">
        <v>0</v>
      </c>
      <c r="FP174" s="208">
        <v>0</v>
      </c>
      <c r="FQ174" s="208">
        <v>0</v>
      </c>
      <c r="FR174" s="208">
        <v>0</v>
      </c>
      <c r="FS174" s="208">
        <v>0</v>
      </c>
      <c r="FT174" s="208">
        <v>0</v>
      </c>
      <c r="FU174" s="208">
        <v>-371334</v>
      </c>
      <c r="FV174" s="208">
        <v>0</v>
      </c>
      <c r="FW174" s="208">
        <v>-371334</v>
      </c>
      <c r="FX174" s="208">
        <v>-3081</v>
      </c>
      <c r="FY174" s="208">
        <v>0</v>
      </c>
      <c r="FZ174" s="208">
        <v>-3081</v>
      </c>
      <c r="GA174" s="208">
        <v>24</v>
      </c>
      <c r="GB174" s="208">
        <v>0</v>
      </c>
      <c r="GC174" s="208">
        <v>24</v>
      </c>
      <c r="GD174" s="208">
        <v>-3057</v>
      </c>
      <c r="GE174" s="208">
        <v>0</v>
      </c>
      <c r="GF174" s="208">
        <v>-3057</v>
      </c>
      <c r="GG174" s="208">
        <v>57003847</v>
      </c>
      <c r="GH174" s="208">
        <v>0</v>
      </c>
      <c r="GI174" s="208">
        <v>57003847</v>
      </c>
      <c r="GJ174" s="208">
        <v>-775721</v>
      </c>
      <c r="GK174" s="208">
        <v>0</v>
      </c>
      <c r="GL174" s="208">
        <v>-775721</v>
      </c>
      <c r="GM174" s="208">
        <v>-7696748</v>
      </c>
      <c r="GN174" s="208">
        <v>0</v>
      </c>
      <c r="GO174" s="208">
        <v>-7696748</v>
      </c>
      <c r="GP174" s="208">
        <v>-1225418</v>
      </c>
      <c r="GQ174" s="208">
        <v>0</v>
      </c>
      <c r="GR174" s="208">
        <v>-1225418</v>
      </c>
      <c r="GS174" s="208">
        <v>-802889</v>
      </c>
      <c r="GT174" s="208">
        <v>0</v>
      </c>
      <c r="GU174" s="208">
        <v>-802889</v>
      </c>
      <c r="GV174" s="208">
        <v>-371334</v>
      </c>
      <c r="GW174" s="208">
        <v>0</v>
      </c>
      <c r="GX174" s="208">
        <v>-371334</v>
      </c>
      <c r="GY174" s="208">
        <v>-3057</v>
      </c>
      <c r="GZ174" s="208">
        <v>0</v>
      </c>
      <c r="HA174" s="208">
        <v>-3057</v>
      </c>
      <c r="HB174" s="208">
        <v>-10875167</v>
      </c>
      <c r="HC174" s="208">
        <v>0</v>
      </c>
      <c r="HD174" s="208">
        <v>-10875167</v>
      </c>
      <c r="HE174" s="208">
        <v>46128680</v>
      </c>
      <c r="HF174" s="208">
        <v>0</v>
      </c>
      <c r="HG174" s="208">
        <v>46128680</v>
      </c>
      <c r="HH174" s="187" t="s">
        <v>1054</v>
      </c>
    </row>
    <row r="175" spans="2:216" s="187" customFormat="1" x14ac:dyDescent="0.2">
      <c r="B175" s="429" t="s">
        <v>427</v>
      </c>
      <c r="C175" s="429" t="s">
        <v>426</v>
      </c>
      <c r="D175" s="208">
        <v>-728105</v>
      </c>
      <c r="E175" s="208">
        <v>-84408</v>
      </c>
      <c r="F175" s="208">
        <v>-812513</v>
      </c>
      <c r="G175" s="208">
        <v>11333</v>
      </c>
      <c r="H175" s="208">
        <v>-272</v>
      </c>
      <c r="I175" s="208">
        <v>11061</v>
      </c>
      <c r="J175" s="208">
        <v>4364037</v>
      </c>
      <c r="K175" s="208">
        <v>414732</v>
      </c>
      <c r="L175" s="208">
        <v>4778769</v>
      </c>
      <c r="M175" s="208">
        <v>-84425</v>
      </c>
      <c r="N175" s="208">
        <v>-1419</v>
      </c>
      <c r="O175" s="208">
        <v>-85844</v>
      </c>
      <c r="P175" s="208">
        <v>3562840</v>
      </c>
      <c r="Q175" s="208">
        <v>328633</v>
      </c>
      <c r="R175" s="208">
        <v>3891473</v>
      </c>
      <c r="S175" s="208">
        <v>-3467132</v>
      </c>
      <c r="T175" s="208">
        <v>-235853</v>
      </c>
      <c r="U175" s="208">
        <v>-3702985</v>
      </c>
      <c r="V175" s="208">
        <v>-11258</v>
      </c>
      <c r="W175" s="208">
        <v>-630</v>
      </c>
      <c r="X175" s="208">
        <v>-11888</v>
      </c>
      <c r="Y175" s="208">
        <v>-202143</v>
      </c>
      <c r="Z175" s="208">
        <v>-14385</v>
      </c>
      <c r="AA175" s="208">
        <v>-216528</v>
      </c>
      <c r="AB175" s="208">
        <v>-68433</v>
      </c>
      <c r="AC175" s="208">
        <v>0</v>
      </c>
      <c r="AD175" s="208">
        <v>-68433</v>
      </c>
      <c r="AE175" s="208">
        <v>-126355</v>
      </c>
      <c r="AF175" s="208">
        <v>-14679</v>
      </c>
      <c r="AG175" s="208">
        <v>-141034</v>
      </c>
      <c r="AH175" s="208">
        <v>-1879</v>
      </c>
      <c r="AI175" s="208">
        <v>-377</v>
      </c>
      <c r="AJ175" s="208">
        <v>-2256</v>
      </c>
      <c r="AK175" s="208">
        <v>-84</v>
      </c>
      <c r="AL175" s="208">
        <v>0</v>
      </c>
      <c r="AM175" s="208">
        <v>-84</v>
      </c>
      <c r="AN175" s="208">
        <v>872120</v>
      </c>
      <c r="AO175" s="208">
        <v>56907</v>
      </c>
      <c r="AP175" s="208">
        <v>929027</v>
      </c>
      <c r="AQ175" s="208">
        <v>41981</v>
      </c>
      <c r="AR175" s="208">
        <v>1892</v>
      </c>
      <c r="AS175" s="208">
        <v>43873</v>
      </c>
      <c r="AT175" s="208">
        <v>-6389479</v>
      </c>
      <c r="AU175" s="208">
        <v>-87051</v>
      </c>
      <c r="AV175" s="208">
        <v>-6476530</v>
      </c>
      <c r="AW175" s="208">
        <v>243598</v>
      </c>
      <c r="AX175" s="208">
        <v>-1358</v>
      </c>
      <c r="AY175" s="208">
        <v>242240</v>
      </c>
      <c r="AZ175" s="208">
        <v>-52122</v>
      </c>
      <c r="BA175" s="208">
        <v>0</v>
      </c>
      <c r="BB175" s="208">
        <v>-52122</v>
      </c>
      <c r="BC175" s="208">
        <v>0</v>
      </c>
      <c r="BD175" s="208">
        <v>0</v>
      </c>
      <c r="BE175" s="208">
        <v>0</v>
      </c>
      <c r="BF175" s="208">
        <v>0</v>
      </c>
      <c r="BG175" s="208">
        <v>0</v>
      </c>
      <c r="BH175" s="208">
        <v>0</v>
      </c>
      <c r="BI175" s="208">
        <v>0</v>
      </c>
      <c r="BJ175" s="208">
        <v>0</v>
      </c>
      <c r="BK175" s="208">
        <v>0</v>
      </c>
      <c r="BL175" s="208">
        <v>-8953177</v>
      </c>
      <c r="BM175" s="208">
        <v>-279848</v>
      </c>
      <c r="BN175" s="208">
        <v>-9233025</v>
      </c>
      <c r="BO175" s="208">
        <v>-22143</v>
      </c>
      <c r="BP175" s="208">
        <v>0</v>
      </c>
      <c r="BQ175" s="208">
        <v>-22143</v>
      </c>
      <c r="BR175" s="208">
        <v>-53793</v>
      </c>
      <c r="BS175" s="208">
        <v>0</v>
      </c>
      <c r="BT175" s="208">
        <v>-53793</v>
      </c>
      <c r="BU175" s="208">
        <v>-1346786</v>
      </c>
      <c r="BV175" s="208">
        <v>-401998</v>
      </c>
      <c r="BW175" s="208">
        <v>-1748784</v>
      </c>
      <c r="BX175" s="208">
        <v>66118</v>
      </c>
      <c r="BY175" s="208">
        <v>-1459</v>
      </c>
      <c r="BZ175" s="208">
        <v>64659</v>
      </c>
      <c r="CA175" s="208">
        <v>-1356604</v>
      </c>
      <c r="CB175" s="208">
        <v>-403457</v>
      </c>
      <c r="CC175" s="208">
        <v>-1760061</v>
      </c>
      <c r="CD175" s="208">
        <v>-11709</v>
      </c>
      <c r="CE175" s="208">
        <v>0</v>
      </c>
      <c r="CF175" s="208">
        <v>-11709</v>
      </c>
      <c r="CG175" s="208">
        <v>-14563</v>
      </c>
      <c r="CH175" s="208">
        <v>0</v>
      </c>
      <c r="CI175" s="208">
        <v>-14563</v>
      </c>
      <c r="CJ175" s="208">
        <v>-8808</v>
      </c>
      <c r="CK175" s="208">
        <v>0</v>
      </c>
      <c r="CL175" s="208">
        <v>-8808</v>
      </c>
      <c r="CM175" s="208">
        <v>2147</v>
      </c>
      <c r="CN175" s="208">
        <v>0</v>
      </c>
      <c r="CO175" s="208">
        <v>2147</v>
      </c>
      <c r="CP175" s="208">
        <v>-7218</v>
      </c>
      <c r="CQ175" s="208">
        <v>0</v>
      </c>
      <c r="CR175" s="208">
        <v>-7218</v>
      </c>
      <c r="CS175" s="208">
        <v>0</v>
      </c>
      <c r="CT175" s="208">
        <v>0</v>
      </c>
      <c r="CU175" s="208">
        <v>0</v>
      </c>
      <c r="CV175" s="208">
        <v>0</v>
      </c>
      <c r="CW175" s="208">
        <v>0</v>
      </c>
      <c r="CX175" s="208">
        <v>0</v>
      </c>
      <c r="CY175" s="208">
        <v>0</v>
      </c>
      <c r="CZ175" s="208">
        <v>0</v>
      </c>
      <c r="DA175" s="208">
        <v>0</v>
      </c>
      <c r="DB175" s="208">
        <v>0</v>
      </c>
      <c r="DC175" s="208">
        <v>0</v>
      </c>
      <c r="DD175" s="208">
        <v>0</v>
      </c>
      <c r="DE175" s="208">
        <v>0</v>
      </c>
      <c r="DF175" s="208">
        <v>0</v>
      </c>
      <c r="DG175" s="208">
        <v>0</v>
      </c>
      <c r="DH175" s="208">
        <v>0</v>
      </c>
      <c r="DI175" s="208">
        <v>-122532</v>
      </c>
      <c r="DJ175" s="208">
        <v>-122532</v>
      </c>
      <c r="DK175" s="208">
        <v>0</v>
      </c>
      <c r="DL175" s="208">
        <v>-1449</v>
      </c>
      <c r="DM175" s="208">
        <v>-1449</v>
      </c>
      <c r="DN175" s="208">
        <v>-123981</v>
      </c>
      <c r="DO175" s="208">
        <v>0</v>
      </c>
      <c r="DP175" s="208">
        <v>-40151</v>
      </c>
      <c r="DQ175" s="208">
        <v>-123981</v>
      </c>
      <c r="DR175" s="208">
        <v>-164132</v>
      </c>
      <c r="DS175" s="208">
        <v>0</v>
      </c>
      <c r="DT175" s="208">
        <v>0</v>
      </c>
      <c r="DU175" s="208">
        <v>0</v>
      </c>
      <c r="DV175" s="208">
        <v>4645</v>
      </c>
      <c r="DW175" s="208">
        <v>0</v>
      </c>
      <c r="DX175" s="208">
        <v>4645</v>
      </c>
      <c r="DY175" s="208">
        <v>0</v>
      </c>
      <c r="DZ175" s="208">
        <v>0</v>
      </c>
      <c r="EA175" s="208">
        <v>0</v>
      </c>
      <c r="EB175" s="208">
        <v>0</v>
      </c>
      <c r="EC175" s="208">
        <v>0</v>
      </c>
      <c r="ED175" s="208">
        <v>0</v>
      </c>
      <c r="EE175" s="208">
        <v>0</v>
      </c>
      <c r="EF175" s="208">
        <v>0</v>
      </c>
      <c r="EG175" s="208">
        <v>0</v>
      </c>
      <c r="EH175" s="208">
        <v>0</v>
      </c>
      <c r="EI175" s="208">
        <v>0</v>
      </c>
      <c r="EJ175" s="208">
        <v>0</v>
      </c>
      <c r="EK175" s="208">
        <v>0</v>
      </c>
      <c r="EL175" s="208">
        <v>0</v>
      </c>
      <c r="EM175" s="208">
        <v>0</v>
      </c>
      <c r="EN175" s="208">
        <v>0</v>
      </c>
      <c r="EO175" s="208">
        <v>0</v>
      </c>
      <c r="EP175" s="208">
        <v>0</v>
      </c>
      <c r="EQ175" s="208">
        <v>-1500</v>
      </c>
      <c r="ER175" s="208">
        <v>0</v>
      </c>
      <c r="ES175" s="208">
        <v>-1500</v>
      </c>
      <c r="ET175" s="208">
        <v>0</v>
      </c>
      <c r="EU175" s="208">
        <v>0</v>
      </c>
      <c r="EV175" s="208">
        <v>0</v>
      </c>
      <c r="EW175" s="208">
        <v>-9533</v>
      </c>
      <c r="EX175" s="208">
        <v>-1014</v>
      </c>
      <c r="EY175" s="208">
        <v>-10547</v>
      </c>
      <c r="EZ175" s="208">
        <v>0</v>
      </c>
      <c r="FA175" s="208">
        <v>0</v>
      </c>
      <c r="FB175" s="208">
        <v>0</v>
      </c>
      <c r="FC175" s="208">
        <v>-80226</v>
      </c>
      <c r="FD175" s="208">
        <v>-9152</v>
      </c>
      <c r="FE175" s="208">
        <v>-89378</v>
      </c>
      <c r="FF175" s="208">
        <v>4618</v>
      </c>
      <c r="FG175" s="208">
        <v>0</v>
      </c>
      <c r="FH175" s="208">
        <v>4618</v>
      </c>
      <c r="FI175" s="208">
        <v>-6986</v>
      </c>
      <c r="FJ175" s="208">
        <v>-5915</v>
      </c>
      <c r="FK175" s="208">
        <v>-12901</v>
      </c>
      <c r="FL175" s="208">
        <v>0</v>
      </c>
      <c r="FM175" s="208">
        <v>-400</v>
      </c>
      <c r="FN175" s="208">
        <v>-400</v>
      </c>
      <c r="FO175" s="208">
        <v>0</v>
      </c>
      <c r="FP175" s="208">
        <v>0</v>
      </c>
      <c r="FQ175" s="208">
        <v>0</v>
      </c>
      <c r="FR175" s="208">
        <v>0</v>
      </c>
      <c r="FS175" s="208">
        <v>0</v>
      </c>
      <c r="FT175" s="208">
        <v>0</v>
      </c>
      <c r="FU175" s="208">
        <v>-88982</v>
      </c>
      <c r="FV175" s="208">
        <v>-16481</v>
      </c>
      <c r="FW175" s="208">
        <v>-105463</v>
      </c>
      <c r="FX175" s="208">
        <v>-196713</v>
      </c>
      <c r="FY175" s="208">
        <v>0</v>
      </c>
      <c r="FZ175" s="208">
        <v>-196713</v>
      </c>
      <c r="GA175" s="208">
        <v>-6840</v>
      </c>
      <c r="GB175" s="208">
        <v>0</v>
      </c>
      <c r="GC175" s="208">
        <v>-6840</v>
      </c>
      <c r="GD175" s="208">
        <v>-203553</v>
      </c>
      <c r="GE175" s="208">
        <v>0</v>
      </c>
      <c r="GF175" s="208">
        <v>-203553</v>
      </c>
      <c r="GG175" s="208">
        <v>45653252</v>
      </c>
      <c r="GH175" s="208">
        <v>3562997</v>
      </c>
      <c r="GI175" s="208">
        <v>49216249</v>
      </c>
      <c r="GJ175" s="208">
        <v>3562840</v>
      </c>
      <c r="GK175" s="208">
        <v>328633</v>
      </c>
      <c r="GL175" s="208">
        <v>3891473</v>
      </c>
      <c r="GM175" s="208">
        <v>-8953177</v>
      </c>
      <c r="GN175" s="208">
        <v>-279848</v>
      </c>
      <c r="GO175" s="208">
        <v>-9233025</v>
      </c>
      <c r="GP175" s="208">
        <v>-1356604</v>
      </c>
      <c r="GQ175" s="208">
        <v>-403457</v>
      </c>
      <c r="GR175" s="208">
        <v>-1760061</v>
      </c>
      <c r="GS175" s="208">
        <v>-40151</v>
      </c>
      <c r="GT175" s="208">
        <v>-123981</v>
      </c>
      <c r="GU175" s="208">
        <v>-164132</v>
      </c>
      <c r="GV175" s="208">
        <v>-88982</v>
      </c>
      <c r="GW175" s="208">
        <v>-16481</v>
      </c>
      <c r="GX175" s="208">
        <v>-105463</v>
      </c>
      <c r="GY175" s="208">
        <v>-203553</v>
      </c>
      <c r="GZ175" s="208">
        <v>0</v>
      </c>
      <c r="HA175" s="208">
        <v>-203553</v>
      </c>
      <c r="HB175" s="208">
        <v>-7079627</v>
      </c>
      <c r="HC175" s="208">
        <v>-495134</v>
      </c>
      <c r="HD175" s="208">
        <v>-7574761</v>
      </c>
      <c r="HE175" s="208">
        <v>38573625</v>
      </c>
      <c r="HF175" s="208">
        <v>3067863</v>
      </c>
      <c r="HG175" s="208">
        <v>41641488</v>
      </c>
      <c r="HH175" s="187" t="s">
        <v>742</v>
      </c>
    </row>
    <row r="176" spans="2:216" s="187" customFormat="1" x14ac:dyDescent="0.2">
      <c r="B176" s="429" t="s">
        <v>429</v>
      </c>
      <c r="C176" s="429" t="s">
        <v>428</v>
      </c>
      <c r="D176" s="208">
        <v>-2243629</v>
      </c>
      <c r="E176" s="208">
        <v>0</v>
      </c>
      <c r="F176" s="208">
        <v>-2243629</v>
      </c>
      <c r="G176" s="208">
        <v>124775</v>
      </c>
      <c r="H176" s="208">
        <v>0</v>
      </c>
      <c r="I176" s="208">
        <v>124775</v>
      </c>
      <c r="J176" s="208">
        <v>2378343</v>
      </c>
      <c r="K176" s="208">
        <v>0</v>
      </c>
      <c r="L176" s="208">
        <v>2378343</v>
      </c>
      <c r="M176" s="208">
        <v>626809</v>
      </c>
      <c r="N176" s="208">
        <v>0</v>
      </c>
      <c r="O176" s="208">
        <v>626809</v>
      </c>
      <c r="P176" s="208">
        <v>886298</v>
      </c>
      <c r="Q176" s="208">
        <v>0</v>
      </c>
      <c r="R176" s="208">
        <v>886298</v>
      </c>
      <c r="S176" s="208">
        <v>-6743024</v>
      </c>
      <c r="T176" s="208">
        <v>0</v>
      </c>
      <c r="U176" s="208">
        <v>-6743024</v>
      </c>
      <c r="V176" s="208">
        <v>-38278</v>
      </c>
      <c r="W176" s="208">
        <v>0</v>
      </c>
      <c r="X176" s="208">
        <v>-38278</v>
      </c>
      <c r="Y176" s="208">
        <v>-294503</v>
      </c>
      <c r="Z176" s="208">
        <v>0</v>
      </c>
      <c r="AA176" s="208">
        <v>-294503</v>
      </c>
      <c r="AB176" s="208">
        <v>0</v>
      </c>
      <c r="AC176" s="208">
        <v>0</v>
      </c>
      <c r="AD176" s="208">
        <v>0</v>
      </c>
      <c r="AE176" s="208">
        <v>0</v>
      </c>
      <c r="AF176" s="208">
        <v>0</v>
      </c>
      <c r="AG176" s="208">
        <v>0</v>
      </c>
      <c r="AH176" s="208">
        <v>2573</v>
      </c>
      <c r="AI176" s="208">
        <v>0</v>
      </c>
      <c r="AJ176" s="208">
        <v>2573</v>
      </c>
      <c r="AK176" s="208">
        <v>0</v>
      </c>
      <c r="AL176" s="208">
        <v>0</v>
      </c>
      <c r="AM176" s="208">
        <v>0</v>
      </c>
      <c r="AN176" s="208">
        <v>4517067</v>
      </c>
      <c r="AO176" s="208">
        <v>0</v>
      </c>
      <c r="AP176" s="208">
        <v>4517067</v>
      </c>
      <c r="AQ176" s="208">
        <v>-78921</v>
      </c>
      <c r="AR176" s="208">
        <v>0</v>
      </c>
      <c r="AS176" s="208">
        <v>-78921</v>
      </c>
      <c r="AT176" s="208">
        <v>-10979112</v>
      </c>
      <c r="AU176" s="208">
        <v>0</v>
      </c>
      <c r="AV176" s="208">
        <v>-10979112</v>
      </c>
      <c r="AW176" s="208">
        <v>-149429</v>
      </c>
      <c r="AX176" s="208">
        <v>0</v>
      </c>
      <c r="AY176" s="208">
        <v>-149429</v>
      </c>
      <c r="AZ176" s="208">
        <v>-58534</v>
      </c>
      <c r="BA176" s="208">
        <v>0</v>
      </c>
      <c r="BB176" s="208">
        <v>-58534</v>
      </c>
      <c r="BC176" s="208">
        <v>0</v>
      </c>
      <c r="BD176" s="208">
        <v>0</v>
      </c>
      <c r="BE176" s="208">
        <v>0</v>
      </c>
      <c r="BF176" s="208">
        <v>-12743</v>
      </c>
      <c r="BG176" s="208">
        <v>0</v>
      </c>
      <c r="BH176" s="208">
        <v>-12743</v>
      </c>
      <c r="BI176" s="208">
        <v>0</v>
      </c>
      <c r="BJ176" s="208">
        <v>0</v>
      </c>
      <c r="BK176" s="208">
        <v>0</v>
      </c>
      <c r="BL176" s="208">
        <v>-13799199</v>
      </c>
      <c r="BM176" s="208">
        <v>0</v>
      </c>
      <c r="BN176" s="208">
        <v>-13799199</v>
      </c>
      <c r="BO176" s="208">
        <v>-1860</v>
      </c>
      <c r="BP176" s="208">
        <v>0</v>
      </c>
      <c r="BQ176" s="208">
        <v>-1860</v>
      </c>
      <c r="BR176" s="208">
        <v>0</v>
      </c>
      <c r="BS176" s="208">
        <v>0</v>
      </c>
      <c r="BT176" s="208">
        <v>0</v>
      </c>
      <c r="BU176" s="208">
        <v>-6059450</v>
      </c>
      <c r="BV176" s="208">
        <v>0</v>
      </c>
      <c r="BW176" s="208">
        <v>-6059450</v>
      </c>
      <c r="BX176" s="208">
        <v>148197</v>
      </c>
      <c r="BY176" s="208">
        <v>0</v>
      </c>
      <c r="BZ176" s="208">
        <v>148197</v>
      </c>
      <c r="CA176" s="208">
        <v>-5913113</v>
      </c>
      <c r="CB176" s="208">
        <v>0</v>
      </c>
      <c r="CC176" s="208">
        <v>-5913113</v>
      </c>
      <c r="CD176" s="208">
        <v>-512926</v>
      </c>
      <c r="CE176" s="208">
        <v>0</v>
      </c>
      <c r="CF176" s="208">
        <v>-512926</v>
      </c>
      <c r="CG176" s="208">
        <v>-10749</v>
      </c>
      <c r="CH176" s="208">
        <v>0</v>
      </c>
      <c r="CI176" s="208">
        <v>-10749</v>
      </c>
      <c r="CJ176" s="208">
        <v>0</v>
      </c>
      <c r="CK176" s="208">
        <v>0</v>
      </c>
      <c r="CL176" s="208">
        <v>0</v>
      </c>
      <c r="CM176" s="208">
        <v>0</v>
      </c>
      <c r="CN176" s="208">
        <v>0</v>
      </c>
      <c r="CO176" s="208">
        <v>0</v>
      </c>
      <c r="CP176" s="208">
        <v>-9712</v>
      </c>
      <c r="CQ176" s="208">
        <v>0</v>
      </c>
      <c r="CR176" s="208">
        <v>-9712</v>
      </c>
      <c r="CS176" s="208">
        <v>0</v>
      </c>
      <c r="CT176" s="208">
        <v>0</v>
      </c>
      <c r="CU176" s="208">
        <v>0</v>
      </c>
      <c r="CV176" s="208">
        <v>0</v>
      </c>
      <c r="CW176" s="208">
        <v>0</v>
      </c>
      <c r="CX176" s="208">
        <v>0</v>
      </c>
      <c r="CY176" s="208">
        <v>0</v>
      </c>
      <c r="CZ176" s="208">
        <v>0</v>
      </c>
      <c r="DA176" s="208">
        <v>0</v>
      </c>
      <c r="DB176" s="208">
        <v>0</v>
      </c>
      <c r="DC176" s="208">
        <v>0</v>
      </c>
      <c r="DD176" s="208">
        <v>0</v>
      </c>
      <c r="DE176" s="208">
        <v>0</v>
      </c>
      <c r="DF176" s="208">
        <v>0</v>
      </c>
      <c r="DG176" s="208">
        <v>0</v>
      </c>
      <c r="DH176" s="208">
        <v>-16440</v>
      </c>
      <c r="DI176" s="208">
        <v>0</v>
      </c>
      <c r="DJ176" s="208">
        <v>-16440</v>
      </c>
      <c r="DK176" s="208">
        <v>0</v>
      </c>
      <c r="DL176" s="208">
        <v>0</v>
      </c>
      <c r="DM176" s="208">
        <v>0</v>
      </c>
      <c r="DN176" s="208">
        <v>0</v>
      </c>
      <c r="DO176" s="208">
        <v>0</v>
      </c>
      <c r="DP176" s="208">
        <v>-549827</v>
      </c>
      <c r="DQ176" s="208">
        <v>0</v>
      </c>
      <c r="DR176" s="208">
        <v>-549827</v>
      </c>
      <c r="DS176" s="208">
        <v>0</v>
      </c>
      <c r="DT176" s="208">
        <v>0</v>
      </c>
      <c r="DU176" s="208">
        <v>0</v>
      </c>
      <c r="DV176" s="208">
        <v>0</v>
      </c>
      <c r="DW176" s="208">
        <v>0</v>
      </c>
      <c r="DX176" s="208">
        <v>0</v>
      </c>
      <c r="DY176" s="208">
        <v>-317</v>
      </c>
      <c r="DZ176" s="208">
        <v>0</v>
      </c>
      <c r="EA176" s="208">
        <v>-317</v>
      </c>
      <c r="EB176" s="208">
        <v>0</v>
      </c>
      <c r="EC176" s="208">
        <v>0</v>
      </c>
      <c r="ED176" s="208">
        <v>0</v>
      </c>
      <c r="EE176" s="208">
        <v>0</v>
      </c>
      <c r="EF176" s="208">
        <v>0</v>
      </c>
      <c r="EG176" s="208">
        <v>0</v>
      </c>
      <c r="EH176" s="208">
        <v>0</v>
      </c>
      <c r="EI176" s="208">
        <v>0</v>
      </c>
      <c r="EJ176" s="208">
        <v>0</v>
      </c>
      <c r="EK176" s="208">
        <v>-13565</v>
      </c>
      <c r="EL176" s="208">
        <v>0</v>
      </c>
      <c r="EM176" s="208">
        <v>-13565</v>
      </c>
      <c r="EN176" s="208">
        <v>0</v>
      </c>
      <c r="EO176" s="208">
        <v>0</v>
      </c>
      <c r="EP176" s="208">
        <v>0</v>
      </c>
      <c r="EQ176" s="208">
        <v>-238</v>
      </c>
      <c r="ER176" s="208">
        <v>0</v>
      </c>
      <c r="ES176" s="208">
        <v>-238</v>
      </c>
      <c r="ET176" s="208">
        <v>0</v>
      </c>
      <c r="EU176" s="208">
        <v>0</v>
      </c>
      <c r="EV176" s="208">
        <v>0</v>
      </c>
      <c r="EW176" s="208">
        <v>-60136</v>
      </c>
      <c r="EX176" s="208">
        <v>0</v>
      </c>
      <c r="EY176" s="208">
        <v>-60136</v>
      </c>
      <c r="EZ176" s="208">
        <v>0</v>
      </c>
      <c r="FA176" s="208">
        <v>0</v>
      </c>
      <c r="FB176" s="208">
        <v>0</v>
      </c>
      <c r="FC176" s="208">
        <v>-364245</v>
      </c>
      <c r="FD176" s="208">
        <v>0</v>
      </c>
      <c r="FE176" s="208">
        <v>-364245</v>
      </c>
      <c r="FF176" s="208">
        <v>-78879</v>
      </c>
      <c r="FG176" s="208">
        <v>0</v>
      </c>
      <c r="FH176" s="208">
        <v>-78879</v>
      </c>
      <c r="FI176" s="208">
        <v>-46055</v>
      </c>
      <c r="FJ176" s="208">
        <v>0</v>
      </c>
      <c r="FK176" s="208">
        <v>-46055</v>
      </c>
      <c r="FL176" s="208">
        <v>0</v>
      </c>
      <c r="FM176" s="208">
        <v>0</v>
      </c>
      <c r="FN176" s="208">
        <v>0</v>
      </c>
      <c r="FO176" s="208">
        <v>0</v>
      </c>
      <c r="FP176" s="208">
        <v>0</v>
      </c>
      <c r="FQ176" s="208">
        <v>0</v>
      </c>
      <c r="FR176" s="208">
        <v>0</v>
      </c>
      <c r="FS176" s="208">
        <v>0</v>
      </c>
      <c r="FT176" s="208">
        <v>0</v>
      </c>
      <c r="FU176" s="208">
        <v>-563435</v>
      </c>
      <c r="FV176" s="208">
        <v>0</v>
      </c>
      <c r="FW176" s="208">
        <v>-563435</v>
      </c>
      <c r="FX176" s="208">
        <v>-2034</v>
      </c>
      <c r="FY176" s="208">
        <v>0</v>
      </c>
      <c r="FZ176" s="208">
        <v>-2034</v>
      </c>
      <c r="GA176" s="208">
        <v>-17618</v>
      </c>
      <c r="GB176" s="208">
        <v>0</v>
      </c>
      <c r="GC176" s="208">
        <v>-17618</v>
      </c>
      <c r="GD176" s="208">
        <v>-19652</v>
      </c>
      <c r="GE176" s="208">
        <v>0</v>
      </c>
      <c r="GF176" s="208">
        <v>-19652</v>
      </c>
      <c r="GG176" s="208">
        <v>192485640</v>
      </c>
      <c r="GH176" s="208">
        <v>0</v>
      </c>
      <c r="GI176" s="208">
        <v>192485640</v>
      </c>
      <c r="GJ176" s="208">
        <v>886298</v>
      </c>
      <c r="GK176" s="208">
        <v>0</v>
      </c>
      <c r="GL176" s="208">
        <v>886298</v>
      </c>
      <c r="GM176" s="208">
        <v>-13799199</v>
      </c>
      <c r="GN176" s="208">
        <v>0</v>
      </c>
      <c r="GO176" s="208">
        <v>-13799199</v>
      </c>
      <c r="GP176" s="208">
        <v>-5913113</v>
      </c>
      <c r="GQ176" s="208">
        <v>0</v>
      </c>
      <c r="GR176" s="208">
        <v>-5913113</v>
      </c>
      <c r="GS176" s="208">
        <v>-549827</v>
      </c>
      <c r="GT176" s="208">
        <v>0</v>
      </c>
      <c r="GU176" s="208">
        <v>-549827</v>
      </c>
      <c r="GV176" s="208">
        <v>-563435</v>
      </c>
      <c r="GW176" s="208">
        <v>0</v>
      </c>
      <c r="GX176" s="208">
        <v>-563435</v>
      </c>
      <c r="GY176" s="208">
        <v>-19652</v>
      </c>
      <c r="GZ176" s="208">
        <v>0</v>
      </c>
      <c r="HA176" s="208">
        <v>-19652</v>
      </c>
      <c r="HB176" s="208">
        <v>-19958928</v>
      </c>
      <c r="HC176" s="208">
        <v>0</v>
      </c>
      <c r="HD176" s="208">
        <v>-19958928</v>
      </c>
      <c r="HE176" s="208">
        <v>172526712</v>
      </c>
      <c r="HF176" s="208">
        <v>0</v>
      </c>
      <c r="HG176" s="208">
        <v>172526712</v>
      </c>
      <c r="HH176" s="187" t="s">
        <v>742</v>
      </c>
    </row>
    <row r="177" spans="1:216" s="187" customFormat="1" x14ac:dyDescent="0.2">
      <c r="A177" s="188"/>
      <c r="B177" s="429" t="s">
        <v>431</v>
      </c>
      <c r="C177" s="429" t="s">
        <v>430</v>
      </c>
      <c r="D177" s="208">
        <v>-1436414</v>
      </c>
      <c r="E177" s="208">
        <v>0</v>
      </c>
      <c r="F177" s="208">
        <v>-1436414</v>
      </c>
      <c r="G177" s="208">
        <v>196578</v>
      </c>
      <c r="H177" s="208">
        <v>0</v>
      </c>
      <c r="I177" s="208">
        <v>196578</v>
      </c>
      <c r="J177" s="208">
        <v>395548</v>
      </c>
      <c r="K177" s="208">
        <v>0</v>
      </c>
      <c r="L177" s="208">
        <v>395548</v>
      </c>
      <c r="M177" s="208">
        <v>-49527</v>
      </c>
      <c r="N177" s="208">
        <v>0</v>
      </c>
      <c r="O177" s="208">
        <v>-49527</v>
      </c>
      <c r="P177" s="208">
        <v>-893815</v>
      </c>
      <c r="Q177" s="208">
        <v>0</v>
      </c>
      <c r="R177" s="208">
        <v>-893815</v>
      </c>
      <c r="S177" s="208">
        <v>-3133855</v>
      </c>
      <c r="T177" s="208">
        <v>0</v>
      </c>
      <c r="U177" s="208">
        <v>-3133855</v>
      </c>
      <c r="V177" s="208">
        <v>-20887</v>
      </c>
      <c r="W177" s="208">
        <v>0</v>
      </c>
      <c r="X177" s="208">
        <v>-20887</v>
      </c>
      <c r="Y177" s="208">
        <v>-85223</v>
      </c>
      <c r="Z177" s="208">
        <v>0</v>
      </c>
      <c r="AA177" s="208">
        <v>-85223</v>
      </c>
      <c r="AB177" s="208">
        <v>-31224</v>
      </c>
      <c r="AC177" s="208">
        <v>0</v>
      </c>
      <c r="AD177" s="208">
        <v>-31224</v>
      </c>
      <c r="AE177" s="208">
        <v>-54808</v>
      </c>
      <c r="AF177" s="208">
        <v>0</v>
      </c>
      <c r="AG177" s="208">
        <v>-54808</v>
      </c>
      <c r="AH177" s="208">
        <v>0</v>
      </c>
      <c r="AI177" s="208">
        <v>0</v>
      </c>
      <c r="AJ177" s="208">
        <v>0</v>
      </c>
      <c r="AK177" s="208">
        <v>3487</v>
      </c>
      <c r="AL177" s="208">
        <v>0</v>
      </c>
      <c r="AM177" s="208">
        <v>3487</v>
      </c>
      <c r="AN177" s="208">
        <v>992107</v>
      </c>
      <c r="AO177" s="208">
        <v>0</v>
      </c>
      <c r="AP177" s="208">
        <v>992107</v>
      </c>
      <c r="AQ177" s="208">
        <v>-56002</v>
      </c>
      <c r="AR177" s="208">
        <v>0</v>
      </c>
      <c r="AS177" s="208">
        <v>-56002</v>
      </c>
      <c r="AT177" s="208">
        <v>-2842899</v>
      </c>
      <c r="AU177" s="208">
        <v>0</v>
      </c>
      <c r="AV177" s="208">
        <v>-2842899</v>
      </c>
      <c r="AW177" s="208">
        <v>-54225</v>
      </c>
      <c r="AX177" s="208">
        <v>0</v>
      </c>
      <c r="AY177" s="208">
        <v>-54225</v>
      </c>
      <c r="AZ177" s="208">
        <v>-40749</v>
      </c>
      <c r="BA177" s="208">
        <v>0</v>
      </c>
      <c r="BB177" s="208">
        <v>-40749</v>
      </c>
      <c r="BC177" s="208">
        <v>0</v>
      </c>
      <c r="BD177" s="208">
        <v>0</v>
      </c>
      <c r="BE177" s="208">
        <v>0</v>
      </c>
      <c r="BF177" s="208">
        <v>-6821</v>
      </c>
      <c r="BG177" s="208">
        <v>0</v>
      </c>
      <c r="BH177" s="208">
        <v>-6821</v>
      </c>
      <c r="BI177" s="208">
        <v>0</v>
      </c>
      <c r="BJ177" s="208">
        <v>0</v>
      </c>
      <c r="BK177" s="208">
        <v>0</v>
      </c>
      <c r="BL177" s="208">
        <v>-5227667</v>
      </c>
      <c r="BM177" s="208">
        <v>0</v>
      </c>
      <c r="BN177" s="208">
        <v>-5227667</v>
      </c>
      <c r="BO177" s="208">
        <v>-7129</v>
      </c>
      <c r="BP177" s="208">
        <v>0</v>
      </c>
      <c r="BQ177" s="208">
        <v>-7129</v>
      </c>
      <c r="BR177" s="208">
        <v>-13409</v>
      </c>
      <c r="BS177" s="208">
        <v>0</v>
      </c>
      <c r="BT177" s="208">
        <v>-13409</v>
      </c>
      <c r="BU177" s="208">
        <v>-1423909</v>
      </c>
      <c r="BV177" s="208">
        <v>0</v>
      </c>
      <c r="BW177" s="208">
        <v>-1423909</v>
      </c>
      <c r="BX177" s="208">
        <v>221848</v>
      </c>
      <c r="BY177" s="208">
        <v>0</v>
      </c>
      <c r="BZ177" s="208">
        <v>221848</v>
      </c>
      <c r="CA177" s="208">
        <v>-1222599</v>
      </c>
      <c r="CB177" s="208">
        <v>0</v>
      </c>
      <c r="CC177" s="208">
        <v>-1222599</v>
      </c>
      <c r="CD177" s="208">
        <v>-23061</v>
      </c>
      <c r="CE177" s="208">
        <v>0</v>
      </c>
      <c r="CF177" s="208">
        <v>-23061</v>
      </c>
      <c r="CG177" s="208">
        <v>159</v>
      </c>
      <c r="CH177" s="208">
        <v>0</v>
      </c>
      <c r="CI177" s="208">
        <v>159</v>
      </c>
      <c r="CJ177" s="208">
        <v>-10392</v>
      </c>
      <c r="CK177" s="208">
        <v>0</v>
      </c>
      <c r="CL177" s="208">
        <v>-10392</v>
      </c>
      <c r="CM177" s="208">
        <v>-45</v>
      </c>
      <c r="CN177" s="208">
        <v>0</v>
      </c>
      <c r="CO177" s="208">
        <v>-45</v>
      </c>
      <c r="CP177" s="208">
        <v>-3051</v>
      </c>
      <c r="CQ177" s="208">
        <v>0</v>
      </c>
      <c r="CR177" s="208">
        <v>-3051</v>
      </c>
      <c r="CS177" s="208">
        <v>0</v>
      </c>
      <c r="CT177" s="208">
        <v>0</v>
      </c>
      <c r="CU177" s="208">
        <v>0</v>
      </c>
      <c r="CV177" s="208">
        <v>-6821</v>
      </c>
      <c r="CW177" s="208">
        <v>0</v>
      </c>
      <c r="CX177" s="208">
        <v>-6821</v>
      </c>
      <c r="CY177" s="208">
        <v>0</v>
      </c>
      <c r="CZ177" s="208">
        <v>0</v>
      </c>
      <c r="DA177" s="208">
        <v>0</v>
      </c>
      <c r="DB177" s="208">
        <v>-16537</v>
      </c>
      <c r="DC177" s="208">
        <v>0</v>
      </c>
      <c r="DD177" s="208">
        <v>-16537</v>
      </c>
      <c r="DE177" s="208">
        <v>-8533</v>
      </c>
      <c r="DF177" s="208">
        <v>0</v>
      </c>
      <c r="DG177" s="208">
        <v>-8533</v>
      </c>
      <c r="DH177" s="208">
        <v>0</v>
      </c>
      <c r="DI177" s="208">
        <v>0</v>
      </c>
      <c r="DJ177" s="208">
        <v>0</v>
      </c>
      <c r="DK177" s="208">
        <v>0</v>
      </c>
      <c r="DL177" s="208">
        <v>0</v>
      </c>
      <c r="DM177" s="208">
        <v>0</v>
      </c>
      <c r="DN177" s="208">
        <v>0</v>
      </c>
      <c r="DO177" s="208">
        <v>0</v>
      </c>
      <c r="DP177" s="208">
        <v>-68281</v>
      </c>
      <c r="DQ177" s="208">
        <v>0</v>
      </c>
      <c r="DR177" s="208">
        <v>-68281</v>
      </c>
      <c r="DS177" s="208">
        <v>0</v>
      </c>
      <c r="DT177" s="208">
        <v>0</v>
      </c>
      <c r="DU177" s="208">
        <v>0</v>
      </c>
      <c r="DV177" s="208">
        <v>0</v>
      </c>
      <c r="DW177" s="208">
        <v>0</v>
      </c>
      <c r="DX177" s="208">
        <v>0</v>
      </c>
      <c r="DY177" s="208">
        <v>0</v>
      </c>
      <c r="DZ177" s="208">
        <v>0</v>
      </c>
      <c r="EA177" s="208">
        <v>0</v>
      </c>
      <c r="EB177" s="208">
        <v>0</v>
      </c>
      <c r="EC177" s="208">
        <v>0</v>
      </c>
      <c r="ED177" s="208">
        <v>0</v>
      </c>
      <c r="EE177" s="208">
        <v>0</v>
      </c>
      <c r="EF177" s="208">
        <v>0</v>
      </c>
      <c r="EG177" s="208">
        <v>0</v>
      </c>
      <c r="EH177" s="208">
        <v>0</v>
      </c>
      <c r="EI177" s="208">
        <v>0</v>
      </c>
      <c r="EJ177" s="208">
        <v>0</v>
      </c>
      <c r="EK177" s="208">
        <v>0</v>
      </c>
      <c r="EL177" s="208">
        <v>0</v>
      </c>
      <c r="EM177" s="208">
        <v>0</v>
      </c>
      <c r="EN177" s="208">
        <v>0</v>
      </c>
      <c r="EO177" s="208">
        <v>0</v>
      </c>
      <c r="EP177" s="208">
        <v>0</v>
      </c>
      <c r="EQ177" s="208">
        <v>0</v>
      </c>
      <c r="ER177" s="208">
        <v>0</v>
      </c>
      <c r="ES177" s="208">
        <v>0</v>
      </c>
      <c r="ET177" s="208">
        <v>0</v>
      </c>
      <c r="EU177" s="208">
        <v>0</v>
      </c>
      <c r="EV177" s="208">
        <v>0</v>
      </c>
      <c r="EW177" s="208">
        <v>-46956</v>
      </c>
      <c r="EX177" s="208">
        <v>0</v>
      </c>
      <c r="EY177" s="208">
        <v>-46956</v>
      </c>
      <c r="EZ177" s="208">
        <v>-21.74</v>
      </c>
      <c r="FA177" s="208">
        <v>0</v>
      </c>
      <c r="FB177" s="208">
        <v>-21.74</v>
      </c>
      <c r="FC177" s="208">
        <v>-173999</v>
      </c>
      <c r="FD177" s="208">
        <v>0</v>
      </c>
      <c r="FE177" s="208">
        <v>-173999</v>
      </c>
      <c r="FF177" s="208">
        <v>7683</v>
      </c>
      <c r="FG177" s="208">
        <v>0</v>
      </c>
      <c r="FH177" s="208">
        <v>7683</v>
      </c>
      <c r="FI177" s="208">
        <v>-34822</v>
      </c>
      <c r="FJ177" s="208">
        <v>0</v>
      </c>
      <c r="FK177" s="208">
        <v>-34822</v>
      </c>
      <c r="FL177" s="208">
        <v>0</v>
      </c>
      <c r="FM177" s="208">
        <v>0</v>
      </c>
      <c r="FN177" s="208">
        <v>0</v>
      </c>
      <c r="FO177" s="208">
        <v>0</v>
      </c>
      <c r="FP177" s="208">
        <v>0</v>
      </c>
      <c r="FQ177" s="208">
        <v>0</v>
      </c>
      <c r="FR177" s="208">
        <v>0</v>
      </c>
      <c r="FS177" s="208">
        <v>0</v>
      </c>
      <c r="FT177" s="208">
        <v>0</v>
      </c>
      <c r="FU177" s="208">
        <v>-248116</v>
      </c>
      <c r="FV177" s="208">
        <v>0</v>
      </c>
      <c r="FW177" s="208">
        <v>-248116</v>
      </c>
      <c r="FX177" s="208">
        <v>0</v>
      </c>
      <c r="FY177" s="208">
        <v>0</v>
      </c>
      <c r="FZ177" s="208">
        <v>0</v>
      </c>
      <c r="GA177" s="208">
        <v>0</v>
      </c>
      <c r="GB177" s="208">
        <v>0</v>
      </c>
      <c r="GC177" s="208">
        <v>0</v>
      </c>
      <c r="GD177" s="208">
        <v>0</v>
      </c>
      <c r="GE177" s="208">
        <v>0</v>
      </c>
      <c r="GF177" s="208">
        <v>0</v>
      </c>
      <c r="GG177" s="208">
        <v>48239482</v>
      </c>
      <c r="GH177" s="208">
        <v>0</v>
      </c>
      <c r="GI177" s="208">
        <v>48239482</v>
      </c>
      <c r="GJ177" s="208">
        <v>-893815</v>
      </c>
      <c r="GK177" s="208">
        <v>0</v>
      </c>
      <c r="GL177" s="208">
        <v>-893815</v>
      </c>
      <c r="GM177" s="208">
        <v>-5227667</v>
      </c>
      <c r="GN177" s="208">
        <v>0</v>
      </c>
      <c r="GO177" s="208">
        <v>-5227667</v>
      </c>
      <c r="GP177" s="208">
        <v>-1222599</v>
      </c>
      <c r="GQ177" s="208">
        <v>0</v>
      </c>
      <c r="GR177" s="208">
        <v>-1222599</v>
      </c>
      <c r="GS177" s="208">
        <v>-68281</v>
      </c>
      <c r="GT177" s="208">
        <v>0</v>
      </c>
      <c r="GU177" s="208">
        <v>-68281</v>
      </c>
      <c r="GV177" s="208">
        <v>-248116</v>
      </c>
      <c r="GW177" s="208">
        <v>0</v>
      </c>
      <c r="GX177" s="208">
        <v>-248116</v>
      </c>
      <c r="GY177" s="208">
        <v>0</v>
      </c>
      <c r="GZ177" s="208">
        <v>0</v>
      </c>
      <c r="HA177" s="208">
        <v>0</v>
      </c>
      <c r="HB177" s="208">
        <v>-7660478</v>
      </c>
      <c r="HC177" s="208">
        <v>0</v>
      </c>
      <c r="HD177" s="208">
        <v>-7660478</v>
      </c>
      <c r="HE177" s="208">
        <v>40579004</v>
      </c>
      <c r="HF177" s="208">
        <v>0</v>
      </c>
      <c r="HG177" s="208">
        <v>40579004</v>
      </c>
      <c r="HH177" s="187" t="s">
        <v>1054</v>
      </c>
    </row>
    <row r="178" spans="1:216" s="187" customFormat="1" x14ac:dyDescent="0.2">
      <c r="B178" s="429" t="s">
        <v>433</v>
      </c>
      <c r="C178" s="429" t="s">
        <v>432</v>
      </c>
      <c r="D178" s="208">
        <v>-1600184</v>
      </c>
      <c r="E178" s="208">
        <v>0</v>
      </c>
      <c r="F178" s="208">
        <v>-1600184</v>
      </c>
      <c r="G178" s="208">
        <v>-239472</v>
      </c>
      <c r="H178" s="208">
        <v>0</v>
      </c>
      <c r="I178" s="208">
        <v>-239472</v>
      </c>
      <c r="J178" s="208">
        <v>783252</v>
      </c>
      <c r="K178" s="208">
        <v>0</v>
      </c>
      <c r="L178" s="208">
        <v>783252</v>
      </c>
      <c r="M178" s="208">
        <v>-63651</v>
      </c>
      <c r="N178" s="208">
        <v>0</v>
      </c>
      <c r="O178" s="208">
        <v>-63651</v>
      </c>
      <c r="P178" s="208">
        <v>-1120055</v>
      </c>
      <c r="Q178" s="208">
        <v>0</v>
      </c>
      <c r="R178" s="208">
        <v>-1120055</v>
      </c>
      <c r="S178" s="208">
        <v>-7589255</v>
      </c>
      <c r="T178" s="208">
        <v>0</v>
      </c>
      <c r="U178" s="208">
        <v>-7589255</v>
      </c>
      <c r="V178" s="208">
        <v>-32517</v>
      </c>
      <c r="W178" s="208">
        <v>0</v>
      </c>
      <c r="X178" s="208">
        <v>-32517</v>
      </c>
      <c r="Y178" s="208">
        <v>-189619.64</v>
      </c>
      <c r="Z178" s="208">
        <v>0</v>
      </c>
      <c r="AA178" s="208">
        <v>-189619.64</v>
      </c>
      <c r="AB178" s="208">
        <v>-58755</v>
      </c>
      <c r="AC178" s="208">
        <v>0</v>
      </c>
      <c r="AD178" s="208">
        <v>-58755</v>
      </c>
      <c r="AE178" s="208">
        <v>-130231</v>
      </c>
      <c r="AF178" s="208">
        <v>0</v>
      </c>
      <c r="AG178" s="208">
        <v>-130231</v>
      </c>
      <c r="AH178" s="208">
        <v>0</v>
      </c>
      <c r="AI178" s="208">
        <v>0</v>
      </c>
      <c r="AJ178" s="208">
        <v>0</v>
      </c>
      <c r="AK178" s="208">
        <v>-634</v>
      </c>
      <c r="AL178" s="208">
        <v>0</v>
      </c>
      <c r="AM178" s="208">
        <v>-634</v>
      </c>
      <c r="AN178" s="208">
        <v>1479248</v>
      </c>
      <c r="AO178" s="208">
        <v>0</v>
      </c>
      <c r="AP178" s="208">
        <v>1479248</v>
      </c>
      <c r="AQ178" s="208">
        <v>-29141</v>
      </c>
      <c r="AR178" s="208">
        <v>0</v>
      </c>
      <c r="AS178" s="208">
        <v>-29141</v>
      </c>
      <c r="AT178" s="208">
        <v>-3780692</v>
      </c>
      <c r="AU178" s="208">
        <v>0</v>
      </c>
      <c r="AV178" s="208">
        <v>-3780692</v>
      </c>
      <c r="AW178" s="208">
        <v>316</v>
      </c>
      <c r="AX178" s="208">
        <v>0</v>
      </c>
      <c r="AY178" s="208">
        <v>316</v>
      </c>
      <c r="AZ178" s="208">
        <v>-53285</v>
      </c>
      <c r="BA178" s="208">
        <v>0</v>
      </c>
      <c r="BB178" s="208">
        <v>-53285</v>
      </c>
      <c r="BC178" s="208">
        <v>0</v>
      </c>
      <c r="BD178" s="208">
        <v>0</v>
      </c>
      <c r="BE178" s="208">
        <v>0</v>
      </c>
      <c r="BF178" s="208">
        <v>-11095</v>
      </c>
      <c r="BG178" s="208">
        <v>0</v>
      </c>
      <c r="BH178" s="208">
        <v>-11095</v>
      </c>
      <c r="BI178" s="208">
        <v>0</v>
      </c>
      <c r="BJ178" s="208">
        <v>0</v>
      </c>
      <c r="BK178" s="208">
        <v>0</v>
      </c>
      <c r="BL178" s="208">
        <v>-10173524</v>
      </c>
      <c r="BM178" s="208">
        <v>0</v>
      </c>
      <c r="BN178" s="208">
        <v>-10173524</v>
      </c>
      <c r="BO178" s="208">
        <v>-149840</v>
      </c>
      <c r="BP178" s="208">
        <v>0</v>
      </c>
      <c r="BQ178" s="208">
        <v>-149840</v>
      </c>
      <c r="BR178" s="208">
        <v>-217806</v>
      </c>
      <c r="BS178" s="208">
        <v>0</v>
      </c>
      <c r="BT178" s="208">
        <v>-217806</v>
      </c>
      <c r="BU178" s="208">
        <v>-1069495</v>
      </c>
      <c r="BV178" s="208">
        <v>0</v>
      </c>
      <c r="BW178" s="208">
        <v>-1069495</v>
      </c>
      <c r="BX178" s="208">
        <v>360131</v>
      </c>
      <c r="BY178" s="208">
        <v>0</v>
      </c>
      <c r="BZ178" s="208">
        <v>360131</v>
      </c>
      <c r="CA178" s="208">
        <v>-1077010</v>
      </c>
      <c r="CB178" s="208">
        <v>0</v>
      </c>
      <c r="CC178" s="208">
        <v>-1077010</v>
      </c>
      <c r="CD178" s="208">
        <v>-99008</v>
      </c>
      <c r="CE178" s="208">
        <v>0</v>
      </c>
      <c r="CF178" s="208">
        <v>-99008</v>
      </c>
      <c r="CG178" s="208">
        <v>-354</v>
      </c>
      <c r="CH178" s="208">
        <v>0</v>
      </c>
      <c r="CI178" s="208">
        <v>-354</v>
      </c>
      <c r="CJ178" s="208">
        <v>-52896</v>
      </c>
      <c r="CK178" s="208">
        <v>0</v>
      </c>
      <c r="CL178" s="208">
        <v>-52896</v>
      </c>
      <c r="CM178" s="208">
        <v>-19979</v>
      </c>
      <c r="CN178" s="208">
        <v>0</v>
      </c>
      <c r="CO178" s="208">
        <v>-19979</v>
      </c>
      <c r="CP178" s="208">
        <v>0</v>
      </c>
      <c r="CQ178" s="208">
        <v>0</v>
      </c>
      <c r="CR178" s="208">
        <v>0</v>
      </c>
      <c r="CS178" s="208">
        <v>0</v>
      </c>
      <c r="CT178" s="208">
        <v>0</v>
      </c>
      <c r="CU178" s="208">
        <v>0</v>
      </c>
      <c r="CV178" s="208">
        <v>0</v>
      </c>
      <c r="CW178" s="208">
        <v>0</v>
      </c>
      <c r="CX178" s="208">
        <v>0</v>
      </c>
      <c r="CY178" s="208">
        <v>0</v>
      </c>
      <c r="CZ178" s="208">
        <v>0</v>
      </c>
      <c r="DA178" s="208">
        <v>0</v>
      </c>
      <c r="DB178" s="208">
        <v>0</v>
      </c>
      <c r="DC178" s="208">
        <v>0</v>
      </c>
      <c r="DD178" s="208">
        <v>0</v>
      </c>
      <c r="DE178" s="208">
        <v>0</v>
      </c>
      <c r="DF178" s="208">
        <v>0</v>
      </c>
      <c r="DG178" s="208">
        <v>0</v>
      </c>
      <c r="DH178" s="208">
        <v>-7378</v>
      </c>
      <c r="DI178" s="208">
        <v>0</v>
      </c>
      <c r="DJ178" s="208">
        <v>-7378</v>
      </c>
      <c r="DK178" s="208">
        <v>0</v>
      </c>
      <c r="DL178" s="208">
        <v>0</v>
      </c>
      <c r="DM178" s="208">
        <v>0</v>
      </c>
      <c r="DN178" s="208">
        <v>0</v>
      </c>
      <c r="DO178" s="208">
        <v>0</v>
      </c>
      <c r="DP178" s="208">
        <v>-179615</v>
      </c>
      <c r="DQ178" s="208">
        <v>0</v>
      </c>
      <c r="DR178" s="208">
        <v>-179615</v>
      </c>
      <c r="DS178" s="208">
        <v>0</v>
      </c>
      <c r="DT178" s="208">
        <v>0</v>
      </c>
      <c r="DU178" s="208">
        <v>0</v>
      </c>
      <c r="DV178" s="208">
        <v>0</v>
      </c>
      <c r="DW178" s="208">
        <v>0</v>
      </c>
      <c r="DX178" s="208">
        <v>0</v>
      </c>
      <c r="DY178" s="208">
        <v>0</v>
      </c>
      <c r="DZ178" s="208">
        <v>0</v>
      </c>
      <c r="EA178" s="208">
        <v>0</v>
      </c>
      <c r="EB178" s="208">
        <v>0</v>
      </c>
      <c r="EC178" s="208">
        <v>0</v>
      </c>
      <c r="ED178" s="208">
        <v>0</v>
      </c>
      <c r="EE178" s="208">
        <v>0</v>
      </c>
      <c r="EF178" s="208">
        <v>0</v>
      </c>
      <c r="EG178" s="208">
        <v>0</v>
      </c>
      <c r="EH178" s="208">
        <v>0</v>
      </c>
      <c r="EI178" s="208">
        <v>0</v>
      </c>
      <c r="EJ178" s="208">
        <v>0</v>
      </c>
      <c r="EK178" s="208">
        <v>-11095</v>
      </c>
      <c r="EL178" s="208">
        <v>0</v>
      </c>
      <c r="EM178" s="208">
        <v>-11095</v>
      </c>
      <c r="EN178" s="208">
        <v>0</v>
      </c>
      <c r="EO178" s="208">
        <v>0</v>
      </c>
      <c r="EP178" s="208">
        <v>0</v>
      </c>
      <c r="EQ178" s="208">
        <v>0</v>
      </c>
      <c r="ER178" s="208">
        <v>0</v>
      </c>
      <c r="ES178" s="208">
        <v>0</v>
      </c>
      <c r="ET178" s="208">
        <v>0</v>
      </c>
      <c r="EU178" s="208">
        <v>0</v>
      </c>
      <c r="EV178" s="208">
        <v>0</v>
      </c>
      <c r="EW178" s="208">
        <v>-23228</v>
      </c>
      <c r="EX178" s="208">
        <v>0</v>
      </c>
      <c r="EY178" s="208">
        <v>-23228</v>
      </c>
      <c r="EZ178" s="208">
        <v>-1004</v>
      </c>
      <c r="FA178" s="208">
        <v>0</v>
      </c>
      <c r="FB178" s="208">
        <v>-1004</v>
      </c>
      <c r="FC178" s="208">
        <v>-201043</v>
      </c>
      <c r="FD178" s="208">
        <v>0</v>
      </c>
      <c r="FE178" s="208">
        <v>-201043</v>
      </c>
      <c r="FF178" s="208">
        <v>5126</v>
      </c>
      <c r="FG178" s="208">
        <v>0</v>
      </c>
      <c r="FH178" s="208">
        <v>5126</v>
      </c>
      <c r="FI178" s="208">
        <v>-85282</v>
      </c>
      <c r="FJ178" s="208">
        <v>0</v>
      </c>
      <c r="FK178" s="208">
        <v>-85282</v>
      </c>
      <c r="FL178" s="208">
        <v>-3523</v>
      </c>
      <c r="FM178" s="208">
        <v>0</v>
      </c>
      <c r="FN178" s="208">
        <v>-3523</v>
      </c>
      <c r="FO178" s="208">
        <v>0</v>
      </c>
      <c r="FP178" s="208">
        <v>0</v>
      </c>
      <c r="FQ178" s="208">
        <v>0</v>
      </c>
      <c r="FR178" s="208">
        <v>0</v>
      </c>
      <c r="FS178" s="208">
        <v>0</v>
      </c>
      <c r="FT178" s="208">
        <v>0</v>
      </c>
      <c r="FU178" s="208">
        <v>-320049</v>
      </c>
      <c r="FV178" s="208">
        <v>0</v>
      </c>
      <c r="FW178" s="208">
        <v>-320049</v>
      </c>
      <c r="FX178" s="208">
        <v>0</v>
      </c>
      <c r="FY178" s="208">
        <v>0</v>
      </c>
      <c r="FZ178" s="208">
        <v>0</v>
      </c>
      <c r="GA178" s="208">
        <v>0</v>
      </c>
      <c r="GB178" s="208">
        <v>0</v>
      </c>
      <c r="GC178" s="208">
        <v>0</v>
      </c>
      <c r="GD178" s="208">
        <v>0</v>
      </c>
      <c r="GE178" s="208">
        <v>0</v>
      </c>
      <c r="GF178" s="208">
        <v>0</v>
      </c>
      <c r="GG178" s="208">
        <v>79681557</v>
      </c>
      <c r="GH178" s="208">
        <v>0</v>
      </c>
      <c r="GI178" s="208">
        <v>79681557</v>
      </c>
      <c r="GJ178" s="208">
        <v>-1120055</v>
      </c>
      <c r="GK178" s="208">
        <v>0</v>
      </c>
      <c r="GL178" s="208">
        <v>-1120055</v>
      </c>
      <c r="GM178" s="208">
        <v>-10173524</v>
      </c>
      <c r="GN178" s="208">
        <v>0</v>
      </c>
      <c r="GO178" s="208">
        <v>-10173524</v>
      </c>
      <c r="GP178" s="208">
        <v>-1077010</v>
      </c>
      <c r="GQ178" s="208">
        <v>0</v>
      </c>
      <c r="GR178" s="208">
        <v>-1077010</v>
      </c>
      <c r="GS178" s="208">
        <v>-179615</v>
      </c>
      <c r="GT178" s="208">
        <v>0</v>
      </c>
      <c r="GU178" s="208">
        <v>-179615</v>
      </c>
      <c r="GV178" s="208">
        <v>-320049</v>
      </c>
      <c r="GW178" s="208">
        <v>0</v>
      </c>
      <c r="GX178" s="208">
        <v>-320049</v>
      </c>
      <c r="GY178" s="208">
        <v>0</v>
      </c>
      <c r="GZ178" s="208">
        <v>0</v>
      </c>
      <c r="HA178" s="208">
        <v>0</v>
      </c>
      <c r="HB178" s="208">
        <v>-12870253</v>
      </c>
      <c r="HC178" s="208">
        <v>0</v>
      </c>
      <c r="HD178" s="208">
        <v>-12870253</v>
      </c>
      <c r="HE178" s="208">
        <v>66811304</v>
      </c>
      <c r="HF178" s="208">
        <v>0</v>
      </c>
      <c r="HG178" s="208">
        <v>66811304</v>
      </c>
      <c r="HH178" s="187" t="s">
        <v>1054</v>
      </c>
    </row>
    <row r="179" spans="1:216" s="187" customFormat="1" x14ac:dyDescent="0.2">
      <c r="B179" s="429" t="s">
        <v>435</v>
      </c>
      <c r="C179" s="429" t="s">
        <v>434</v>
      </c>
      <c r="D179" s="208">
        <v>-1493376</v>
      </c>
      <c r="E179" s="208">
        <v>0</v>
      </c>
      <c r="F179" s="208">
        <v>-1493376</v>
      </c>
      <c r="G179" s="208">
        <v>-46673</v>
      </c>
      <c r="H179" s="208">
        <v>0</v>
      </c>
      <c r="I179" s="208">
        <v>-46673</v>
      </c>
      <c r="J179" s="208">
        <v>245590</v>
      </c>
      <c r="K179" s="208">
        <v>0</v>
      </c>
      <c r="L179" s="208">
        <v>245590</v>
      </c>
      <c r="M179" s="208">
        <v>-20070</v>
      </c>
      <c r="N179" s="208">
        <v>0</v>
      </c>
      <c r="O179" s="208">
        <v>-20070</v>
      </c>
      <c r="P179" s="208">
        <v>-1314529</v>
      </c>
      <c r="Q179" s="208">
        <v>0</v>
      </c>
      <c r="R179" s="208">
        <v>-1314529</v>
      </c>
      <c r="S179" s="208">
        <v>-4408729</v>
      </c>
      <c r="T179" s="208">
        <v>0</v>
      </c>
      <c r="U179" s="208">
        <v>-4408729</v>
      </c>
      <c r="V179" s="208">
        <v>0</v>
      </c>
      <c r="W179" s="208">
        <v>0</v>
      </c>
      <c r="X179" s="208">
        <v>0</v>
      </c>
      <c r="Y179" s="208">
        <v>-242200</v>
      </c>
      <c r="Z179" s="208">
        <v>0</v>
      </c>
      <c r="AA179" s="208">
        <v>-242200</v>
      </c>
      <c r="AB179" s="208">
        <v>-84919</v>
      </c>
      <c r="AC179" s="208">
        <v>0</v>
      </c>
      <c r="AD179" s="208">
        <v>-84919</v>
      </c>
      <c r="AE179" s="208">
        <v>-157281</v>
      </c>
      <c r="AF179" s="208">
        <v>0</v>
      </c>
      <c r="AG179" s="208">
        <v>-157281</v>
      </c>
      <c r="AH179" s="208">
        <v>0</v>
      </c>
      <c r="AI179" s="208">
        <v>0</v>
      </c>
      <c r="AJ179" s="208">
        <v>0</v>
      </c>
      <c r="AK179" s="208">
        <v>0</v>
      </c>
      <c r="AL179" s="208">
        <v>0</v>
      </c>
      <c r="AM179" s="208">
        <v>0</v>
      </c>
      <c r="AN179" s="208">
        <v>993098</v>
      </c>
      <c r="AO179" s="208">
        <v>0</v>
      </c>
      <c r="AP179" s="208">
        <v>993098</v>
      </c>
      <c r="AQ179" s="208">
        <v>2173</v>
      </c>
      <c r="AR179" s="208">
        <v>0</v>
      </c>
      <c r="AS179" s="208">
        <v>2173</v>
      </c>
      <c r="AT179" s="208">
        <v>-2074541</v>
      </c>
      <c r="AU179" s="208">
        <v>0</v>
      </c>
      <c r="AV179" s="208">
        <v>-2074541</v>
      </c>
      <c r="AW179" s="208">
        <v>-66684</v>
      </c>
      <c r="AX179" s="208">
        <v>0</v>
      </c>
      <c r="AY179" s="208">
        <v>-66684</v>
      </c>
      <c r="AZ179" s="208">
        <v>-80602</v>
      </c>
      <c r="BA179" s="208">
        <v>0</v>
      </c>
      <c r="BB179" s="208">
        <v>-80602</v>
      </c>
      <c r="BC179" s="208">
        <v>3450</v>
      </c>
      <c r="BD179" s="208">
        <v>0</v>
      </c>
      <c r="BE179" s="208">
        <v>3450</v>
      </c>
      <c r="BF179" s="208">
        <v>-26859</v>
      </c>
      <c r="BG179" s="208">
        <v>0</v>
      </c>
      <c r="BH179" s="208">
        <v>-26859</v>
      </c>
      <c r="BI179" s="208">
        <v>0</v>
      </c>
      <c r="BJ179" s="208">
        <v>0</v>
      </c>
      <c r="BK179" s="208">
        <v>0</v>
      </c>
      <c r="BL179" s="208">
        <v>-5900894</v>
      </c>
      <c r="BM179" s="208">
        <v>0</v>
      </c>
      <c r="BN179" s="208">
        <v>-5900894</v>
      </c>
      <c r="BO179" s="208">
        <v>-70064</v>
      </c>
      <c r="BP179" s="208">
        <v>0</v>
      </c>
      <c r="BQ179" s="208">
        <v>-70064</v>
      </c>
      <c r="BR179" s="208">
        <v>0</v>
      </c>
      <c r="BS179" s="208">
        <v>0</v>
      </c>
      <c r="BT179" s="208">
        <v>0</v>
      </c>
      <c r="BU179" s="208">
        <v>-977867</v>
      </c>
      <c r="BV179" s="208">
        <v>0</v>
      </c>
      <c r="BW179" s="208">
        <v>-977867</v>
      </c>
      <c r="BX179" s="208">
        <v>3129</v>
      </c>
      <c r="BY179" s="208">
        <v>0</v>
      </c>
      <c r="BZ179" s="208">
        <v>3129</v>
      </c>
      <c r="CA179" s="208">
        <v>-1044802</v>
      </c>
      <c r="CB179" s="208">
        <v>0</v>
      </c>
      <c r="CC179" s="208">
        <v>-1044802</v>
      </c>
      <c r="CD179" s="208">
        <v>-68483</v>
      </c>
      <c r="CE179" s="208">
        <v>0</v>
      </c>
      <c r="CF179" s="208">
        <v>-68483</v>
      </c>
      <c r="CG179" s="208">
        <v>-5333</v>
      </c>
      <c r="CH179" s="208">
        <v>0</v>
      </c>
      <c r="CI179" s="208">
        <v>-5333</v>
      </c>
      <c r="CJ179" s="208">
        <v>-266682</v>
      </c>
      <c r="CK179" s="208">
        <v>0</v>
      </c>
      <c r="CL179" s="208">
        <v>-266682</v>
      </c>
      <c r="CM179" s="208">
        <v>-992</v>
      </c>
      <c r="CN179" s="208">
        <v>0</v>
      </c>
      <c r="CO179" s="208">
        <v>-992</v>
      </c>
      <c r="CP179" s="208">
        <v>0</v>
      </c>
      <c r="CQ179" s="208">
        <v>0</v>
      </c>
      <c r="CR179" s="208">
        <v>0</v>
      </c>
      <c r="CS179" s="208">
        <v>0</v>
      </c>
      <c r="CT179" s="208">
        <v>0</v>
      </c>
      <c r="CU179" s="208">
        <v>0</v>
      </c>
      <c r="CV179" s="208">
        <v>0</v>
      </c>
      <c r="CW179" s="208">
        <v>0</v>
      </c>
      <c r="CX179" s="208">
        <v>0</v>
      </c>
      <c r="CY179" s="208">
        <v>0</v>
      </c>
      <c r="CZ179" s="208">
        <v>0</v>
      </c>
      <c r="DA179" s="208">
        <v>0</v>
      </c>
      <c r="DB179" s="208">
        <v>0</v>
      </c>
      <c r="DC179" s="208">
        <v>0</v>
      </c>
      <c r="DD179" s="208">
        <v>0</v>
      </c>
      <c r="DE179" s="208">
        <v>0</v>
      </c>
      <c r="DF179" s="208">
        <v>0</v>
      </c>
      <c r="DG179" s="208">
        <v>0</v>
      </c>
      <c r="DH179" s="208">
        <v>0</v>
      </c>
      <c r="DI179" s="208">
        <v>0</v>
      </c>
      <c r="DJ179" s="208">
        <v>0</v>
      </c>
      <c r="DK179" s="208">
        <v>0</v>
      </c>
      <c r="DL179" s="208">
        <v>0</v>
      </c>
      <c r="DM179" s="208">
        <v>0</v>
      </c>
      <c r="DN179" s="208">
        <v>0</v>
      </c>
      <c r="DO179" s="208">
        <v>0</v>
      </c>
      <c r="DP179" s="208">
        <v>-341490</v>
      </c>
      <c r="DQ179" s="208">
        <v>0</v>
      </c>
      <c r="DR179" s="208">
        <v>-341490</v>
      </c>
      <c r="DS179" s="208">
        <v>0</v>
      </c>
      <c r="DT179" s="208">
        <v>0</v>
      </c>
      <c r="DU179" s="208">
        <v>0</v>
      </c>
      <c r="DV179" s="208">
        <v>0</v>
      </c>
      <c r="DW179" s="208">
        <v>0</v>
      </c>
      <c r="DX179" s="208">
        <v>0</v>
      </c>
      <c r="DY179" s="208">
        <v>0</v>
      </c>
      <c r="DZ179" s="208">
        <v>0</v>
      </c>
      <c r="EA179" s="208">
        <v>0</v>
      </c>
      <c r="EB179" s="208">
        <v>0</v>
      </c>
      <c r="EC179" s="208">
        <v>0</v>
      </c>
      <c r="ED179" s="208">
        <v>0</v>
      </c>
      <c r="EE179" s="208">
        <v>0</v>
      </c>
      <c r="EF179" s="208">
        <v>0</v>
      </c>
      <c r="EG179" s="208">
        <v>0</v>
      </c>
      <c r="EH179" s="208">
        <v>0</v>
      </c>
      <c r="EI179" s="208">
        <v>0</v>
      </c>
      <c r="EJ179" s="208">
        <v>0</v>
      </c>
      <c r="EK179" s="208">
        <v>-17914</v>
      </c>
      <c r="EL179" s="208">
        <v>0</v>
      </c>
      <c r="EM179" s="208">
        <v>-17914</v>
      </c>
      <c r="EN179" s="208">
        <v>0</v>
      </c>
      <c r="EO179" s="208">
        <v>0</v>
      </c>
      <c r="EP179" s="208">
        <v>0</v>
      </c>
      <c r="EQ179" s="208">
        <v>-1500</v>
      </c>
      <c r="ER179" s="208">
        <v>0</v>
      </c>
      <c r="ES179" s="208">
        <v>-1500</v>
      </c>
      <c r="ET179" s="208">
        <v>0</v>
      </c>
      <c r="EU179" s="208">
        <v>0</v>
      </c>
      <c r="EV179" s="208">
        <v>0</v>
      </c>
      <c r="EW179" s="208">
        <v>-27266</v>
      </c>
      <c r="EX179" s="208">
        <v>0</v>
      </c>
      <c r="EY179" s="208">
        <v>-27266</v>
      </c>
      <c r="EZ179" s="208">
        <v>0</v>
      </c>
      <c r="FA179" s="208">
        <v>0</v>
      </c>
      <c r="FB179" s="208">
        <v>0</v>
      </c>
      <c r="FC179" s="208">
        <v>-38917</v>
      </c>
      <c r="FD179" s="208">
        <v>0</v>
      </c>
      <c r="FE179" s="208">
        <v>-38917</v>
      </c>
      <c r="FF179" s="208">
        <v>0</v>
      </c>
      <c r="FG179" s="208">
        <v>0</v>
      </c>
      <c r="FH179" s="208">
        <v>0</v>
      </c>
      <c r="FI179" s="208">
        <v>-45112</v>
      </c>
      <c r="FJ179" s="208">
        <v>0</v>
      </c>
      <c r="FK179" s="208">
        <v>-45112</v>
      </c>
      <c r="FL179" s="208">
        <v>0</v>
      </c>
      <c r="FM179" s="208">
        <v>0</v>
      </c>
      <c r="FN179" s="208">
        <v>0</v>
      </c>
      <c r="FO179" s="208">
        <v>0</v>
      </c>
      <c r="FP179" s="208">
        <v>0</v>
      </c>
      <c r="FQ179" s="208">
        <v>0</v>
      </c>
      <c r="FR179" s="208">
        <v>0</v>
      </c>
      <c r="FS179" s="208">
        <v>0</v>
      </c>
      <c r="FT179" s="208">
        <v>0</v>
      </c>
      <c r="FU179" s="208">
        <v>-130709</v>
      </c>
      <c r="FV179" s="208">
        <v>0</v>
      </c>
      <c r="FW179" s="208">
        <v>-130709</v>
      </c>
      <c r="FX179" s="208">
        <v>-56529</v>
      </c>
      <c r="FY179" s="208">
        <v>0</v>
      </c>
      <c r="FZ179" s="208">
        <v>-56529</v>
      </c>
      <c r="GA179" s="208">
        <v>-709</v>
      </c>
      <c r="GB179" s="208">
        <v>0</v>
      </c>
      <c r="GC179" s="208">
        <v>-709</v>
      </c>
      <c r="GD179" s="208">
        <v>-57238</v>
      </c>
      <c r="GE179" s="208">
        <v>0</v>
      </c>
      <c r="GF179" s="208">
        <v>-57238</v>
      </c>
      <c r="GG179" s="208">
        <v>51249512</v>
      </c>
      <c r="GH179" s="208">
        <v>0</v>
      </c>
      <c r="GI179" s="208">
        <v>51249512</v>
      </c>
      <c r="GJ179" s="208">
        <v>-1314529</v>
      </c>
      <c r="GK179" s="208">
        <v>0</v>
      </c>
      <c r="GL179" s="208">
        <v>-1314529</v>
      </c>
      <c r="GM179" s="208">
        <v>-5900894</v>
      </c>
      <c r="GN179" s="208">
        <v>0</v>
      </c>
      <c r="GO179" s="208">
        <v>-5900894</v>
      </c>
      <c r="GP179" s="208">
        <v>-1044802</v>
      </c>
      <c r="GQ179" s="208">
        <v>0</v>
      </c>
      <c r="GR179" s="208">
        <v>-1044802</v>
      </c>
      <c r="GS179" s="208">
        <v>-341490</v>
      </c>
      <c r="GT179" s="208">
        <v>0</v>
      </c>
      <c r="GU179" s="208">
        <v>-341490</v>
      </c>
      <c r="GV179" s="208">
        <v>-130709</v>
      </c>
      <c r="GW179" s="208">
        <v>0</v>
      </c>
      <c r="GX179" s="208">
        <v>-130709</v>
      </c>
      <c r="GY179" s="208">
        <v>-57238</v>
      </c>
      <c r="GZ179" s="208">
        <v>0</v>
      </c>
      <c r="HA179" s="208">
        <v>-57238</v>
      </c>
      <c r="HB179" s="208">
        <v>-8789662</v>
      </c>
      <c r="HC179" s="208">
        <v>0</v>
      </c>
      <c r="HD179" s="208">
        <v>-8789662</v>
      </c>
      <c r="HE179" s="208">
        <v>42459850</v>
      </c>
      <c r="HF179" s="208">
        <v>0</v>
      </c>
      <c r="HG179" s="208">
        <v>42459850</v>
      </c>
      <c r="HH179" s="187" t="s">
        <v>1054</v>
      </c>
    </row>
    <row r="180" spans="1:216" s="187" customFormat="1" x14ac:dyDescent="0.2">
      <c r="B180" s="429" t="s">
        <v>437</v>
      </c>
      <c r="C180" s="429" t="s">
        <v>970</v>
      </c>
      <c r="D180" s="208">
        <v>-2230301</v>
      </c>
      <c r="E180" s="208">
        <v>-32491</v>
      </c>
      <c r="F180" s="208">
        <v>-2262792</v>
      </c>
      <c r="G180" s="208">
        <v>119195</v>
      </c>
      <c r="H180" s="208">
        <v>2672</v>
      </c>
      <c r="I180" s="208">
        <v>121867</v>
      </c>
      <c r="J180" s="208">
        <v>8057611</v>
      </c>
      <c r="K180" s="208">
        <v>734558</v>
      </c>
      <c r="L180" s="208">
        <v>8792169</v>
      </c>
      <c r="M180" s="208">
        <v>-683419</v>
      </c>
      <c r="N180" s="208">
        <v>2710</v>
      </c>
      <c r="O180" s="208">
        <v>-680709</v>
      </c>
      <c r="P180" s="208">
        <v>5263086</v>
      </c>
      <c r="Q180" s="208">
        <v>707449</v>
      </c>
      <c r="R180" s="208">
        <v>5970535</v>
      </c>
      <c r="S180" s="208">
        <v>-8812645</v>
      </c>
      <c r="T180" s="208">
        <v>-46269</v>
      </c>
      <c r="U180" s="208">
        <v>-8858914</v>
      </c>
      <c r="V180" s="208">
        <v>-38660</v>
      </c>
      <c r="W180" s="208">
        <v>-641</v>
      </c>
      <c r="X180" s="208">
        <v>-39301</v>
      </c>
      <c r="Y180" s="208">
        <v>-424078</v>
      </c>
      <c r="Z180" s="208">
        <v>196</v>
      </c>
      <c r="AA180" s="208">
        <v>-423882</v>
      </c>
      <c r="AB180" s="208">
        <v>-100614</v>
      </c>
      <c r="AC180" s="208">
        <v>0</v>
      </c>
      <c r="AD180" s="208">
        <v>-100614</v>
      </c>
      <c r="AE180" s="208">
        <v>-323464</v>
      </c>
      <c r="AF180" s="208">
        <v>196</v>
      </c>
      <c r="AG180" s="208">
        <v>-323268</v>
      </c>
      <c r="AH180" s="208">
        <v>-5538</v>
      </c>
      <c r="AI180" s="208">
        <v>0</v>
      </c>
      <c r="AJ180" s="208">
        <v>-5538</v>
      </c>
      <c r="AK180" s="208">
        <v>4754</v>
      </c>
      <c r="AL180" s="208">
        <v>0</v>
      </c>
      <c r="AM180" s="208">
        <v>4754</v>
      </c>
      <c r="AN180" s="208">
        <v>3720535</v>
      </c>
      <c r="AO180" s="208">
        <v>207970</v>
      </c>
      <c r="AP180" s="208">
        <v>3928505</v>
      </c>
      <c r="AQ180" s="208">
        <v>85626</v>
      </c>
      <c r="AR180" s="208">
        <v>-476</v>
      </c>
      <c r="AS180" s="208">
        <v>85150</v>
      </c>
      <c r="AT180" s="208">
        <v>-16090347</v>
      </c>
      <c r="AU180" s="208">
        <v>-845383</v>
      </c>
      <c r="AV180" s="208">
        <v>-16935730</v>
      </c>
      <c r="AW180" s="208">
        <v>-328546</v>
      </c>
      <c r="AX180" s="208">
        <v>-5354</v>
      </c>
      <c r="AY180" s="208">
        <v>-333900</v>
      </c>
      <c r="AZ180" s="208">
        <v>-143321</v>
      </c>
      <c r="BA180" s="208">
        <v>0</v>
      </c>
      <c r="BB180" s="208">
        <v>-143321</v>
      </c>
      <c r="BC180" s="208">
        <v>-185</v>
      </c>
      <c r="BD180" s="208">
        <v>0</v>
      </c>
      <c r="BE180" s="208">
        <v>-185</v>
      </c>
      <c r="BF180" s="208">
        <v>-1512</v>
      </c>
      <c r="BG180" s="208">
        <v>0</v>
      </c>
      <c r="BH180" s="208">
        <v>-1512</v>
      </c>
      <c r="BI180" s="208">
        <v>0</v>
      </c>
      <c r="BJ180" s="208">
        <v>0</v>
      </c>
      <c r="BK180" s="208">
        <v>0</v>
      </c>
      <c r="BL180" s="208">
        <v>-21994473</v>
      </c>
      <c r="BM180" s="208">
        <v>-689316</v>
      </c>
      <c r="BN180" s="208">
        <v>-22683789</v>
      </c>
      <c r="BO180" s="208">
        <v>-13488</v>
      </c>
      <c r="BP180" s="208">
        <v>0</v>
      </c>
      <c r="BQ180" s="208">
        <v>-13488</v>
      </c>
      <c r="BR180" s="208">
        <v>-142866</v>
      </c>
      <c r="BS180" s="208">
        <v>0</v>
      </c>
      <c r="BT180" s="208">
        <v>-142866</v>
      </c>
      <c r="BU180" s="208">
        <v>-7012037</v>
      </c>
      <c r="BV180" s="208">
        <v>-628904</v>
      </c>
      <c r="BW180" s="208">
        <v>-7640941</v>
      </c>
      <c r="BX180" s="208">
        <v>-438105</v>
      </c>
      <c r="BY180" s="208">
        <v>-1793</v>
      </c>
      <c r="BZ180" s="208">
        <v>-439898</v>
      </c>
      <c r="CA180" s="208">
        <v>-7606496</v>
      </c>
      <c r="CB180" s="208">
        <v>-630697</v>
      </c>
      <c r="CC180" s="208">
        <v>-8237193</v>
      </c>
      <c r="CD180" s="208">
        <v>-235112</v>
      </c>
      <c r="CE180" s="208">
        <v>-1143</v>
      </c>
      <c r="CF180" s="208">
        <v>-236255</v>
      </c>
      <c r="CG180" s="208">
        <v>-797</v>
      </c>
      <c r="CH180" s="208">
        <v>0</v>
      </c>
      <c r="CI180" s="208">
        <v>-797</v>
      </c>
      <c r="CJ180" s="208">
        <v>-818564</v>
      </c>
      <c r="CK180" s="208">
        <v>0</v>
      </c>
      <c r="CL180" s="208">
        <v>-818564</v>
      </c>
      <c r="CM180" s="208">
        <v>35107</v>
      </c>
      <c r="CN180" s="208">
        <v>0</v>
      </c>
      <c r="CO180" s="208">
        <v>35107</v>
      </c>
      <c r="CP180" s="208">
        <v>-4112</v>
      </c>
      <c r="CQ180" s="208">
        <v>0</v>
      </c>
      <c r="CR180" s="208">
        <v>-4112</v>
      </c>
      <c r="CS180" s="208">
        <v>0</v>
      </c>
      <c r="CT180" s="208">
        <v>0</v>
      </c>
      <c r="CU180" s="208">
        <v>0</v>
      </c>
      <c r="CV180" s="208">
        <v>0</v>
      </c>
      <c r="CW180" s="208">
        <v>0</v>
      </c>
      <c r="CX180" s="208">
        <v>0</v>
      </c>
      <c r="CY180" s="208">
        <v>0</v>
      </c>
      <c r="CZ180" s="208">
        <v>0</v>
      </c>
      <c r="DA180" s="208">
        <v>0</v>
      </c>
      <c r="DB180" s="208">
        <v>0</v>
      </c>
      <c r="DC180" s="208">
        <v>0</v>
      </c>
      <c r="DD180" s="208">
        <v>0</v>
      </c>
      <c r="DE180" s="208">
        <v>0</v>
      </c>
      <c r="DF180" s="208">
        <v>0</v>
      </c>
      <c r="DG180" s="208">
        <v>0</v>
      </c>
      <c r="DH180" s="208">
        <v>0</v>
      </c>
      <c r="DI180" s="208">
        <v>0</v>
      </c>
      <c r="DJ180" s="208">
        <v>0</v>
      </c>
      <c r="DK180" s="208">
        <v>0</v>
      </c>
      <c r="DL180" s="208">
        <v>0</v>
      </c>
      <c r="DM180" s="208">
        <v>0</v>
      </c>
      <c r="DN180" s="208">
        <v>0</v>
      </c>
      <c r="DO180" s="208">
        <v>0</v>
      </c>
      <c r="DP180" s="208">
        <v>-1023478</v>
      </c>
      <c r="DQ180" s="208">
        <v>-1143</v>
      </c>
      <c r="DR180" s="208">
        <v>-1024621</v>
      </c>
      <c r="DS180" s="208">
        <v>-1500</v>
      </c>
      <c r="DT180" s="208">
        <v>0</v>
      </c>
      <c r="DU180" s="208">
        <v>-1500</v>
      </c>
      <c r="DV180" s="208">
        <v>0</v>
      </c>
      <c r="DW180" s="208">
        <v>0</v>
      </c>
      <c r="DX180" s="208">
        <v>0</v>
      </c>
      <c r="DY180" s="208">
        <v>0</v>
      </c>
      <c r="DZ180" s="208">
        <v>0</v>
      </c>
      <c r="EA180" s="208">
        <v>0</v>
      </c>
      <c r="EB180" s="208">
        <v>0</v>
      </c>
      <c r="EC180" s="208">
        <v>0</v>
      </c>
      <c r="ED180" s="208">
        <v>0</v>
      </c>
      <c r="EE180" s="208">
        <v>0</v>
      </c>
      <c r="EF180" s="208">
        <v>0</v>
      </c>
      <c r="EG180" s="208">
        <v>0</v>
      </c>
      <c r="EH180" s="208">
        <v>0</v>
      </c>
      <c r="EI180" s="208">
        <v>0</v>
      </c>
      <c r="EJ180" s="208">
        <v>0</v>
      </c>
      <c r="EK180" s="208">
        <v>0</v>
      </c>
      <c r="EL180" s="208">
        <v>0</v>
      </c>
      <c r="EM180" s="208">
        <v>0</v>
      </c>
      <c r="EN180" s="208">
        <v>0</v>
      </c>
      <c r="EO180" s="208">
        <v>0</v>
      </c>
      <c r="EP180" s="208">
        <v>0</v>
      </c>
      <c r="EQ180" s="208">
        <v>0</v>
      </c>
      <c r="ER180" s="208">
        <v>0</v>
      </c>
      <c r="ES180" s="208">
        <v>0</v>
      </c>
      <c r="ET180" s="208">
        <v>0</v>
      </c>
      <c r="EU180" s="208">
        <v>0</v>
      </c>
      <c r="EV180" s="208">
        <v>0</v>
      </c>
      <c r="EW180" s="208">
        <v>-42279</v>
      </c>
      <c r="EX180" s="208">
        <v>0</v>
      </c>
      <c r="EY180" s="208">
        <v>-42279</v>
      </c>
      <c r="EZ180" s="208">
        <v>4115</v>
      </c>
      <c r="FA180" s="208">
        <v>0</v>
      </c>
      <c r="FB180" s="208">
        <v>4115</v>
      </c>
      <c r="FC180" s="208">
        <v>-253282</v>
      </c>
      <c r="FD180" s="208">
        <v>-26838</v>
      </c>
      <c r="FE180" s="208">
        <v>-280120</v>
      </c>
      <c r="FF180" s="208">
        <v>32143</v>
      </c>
      <c r="FG180" s="208">
        <v>12344</v>
      </c>
      <c r="FH180" s="208">
        <v>44487</v>
      </c>
      <c r="FI180" s="208">
        <v>-85921</v>
      </c>
      <c r="FJ180" s="208">
        <v>-3000</v>
      </c>
      <c r="FK180" s="208">
        <v>-88921</v>
      </c>
      <c r="FL180" s="208">
        <v>2281</v>
      </c>
      <c r="FM180" s="208">
        <v>0</v>
      </c>
      <c r="FN180" s="208">
        <v>2281</v>
      </c>
      <c r="FO180" s="208">
        <v>0</v>
      </c>
      <c r="FP180" s="208">
        <v>0</v>
      </c>
      <c r="FQ180" s="208">
        <v>0</v>
      </c>
      <c r="FR180" s="208">
        <v>0</v>
      </c>
      <c r="FS180" s="208">
        <v>0</v>
      </c>
      <c r="FT180" s="208">
        <v>0</v>
      </c>
      <c r="FU180" s="208">
        <v>-344443</v>
      </c>
      <c r="FV180" s="208">
        <v>-17494</v>
      </c>
      <c r="FW180" s="208">
        <v>-361937</v>
      </c>
      <c r="FX180" s="208">
        <v>0</v>
      </c>
      <c r="FY180" s="208">
        <v>0</v>
      </c>
      <c r="FZ180" s="208">
        <v>0</v>
      </c>
      <c r="GA180" s="208">
        <v>0</v>
      </c>
      <c r="GB180" s="208">
        <v>0</v>
      </c>
      <c r="GC180" s="208">
        <v>0</v>
      </c>
      <c r="GD180" s="208">
        <v>0</v>
      </c>
      <c r="GE180" s="208">
        <v>0</v>
      </c>
      <c r="GF180" s="208">
        <v>0</v>
      </c>
      <c r="GG180" s="208">
        <v>169292527</v>
      </c>
      <c r="GH180" s="208">
        <v>8630016</v>
      </c>
      <c r="GI180" s="208">
        <v>177922543</v>
      </c>
      <c r="GJ180" s="208">
        <v>5263086</v>
      </c>
      <c r="GK180" s="208">
        <v>707449</v>
      </c>
      <c r="GL180" s="208">
        <v>5970535</v>
      </c>
      <c r="GM180" s="208">
        <v>-21994473</v>
      </c>
      <c r="GN180" s="208">
        <v>-689316</v>
      </c>
      <c r="GO180" s="208">
        <v>-22683789</v>
      </c>
      <c r="GP180" s="208">
        <v>-7606496</v>
      </c>
      <c r="GQ180" s="208">
        <v>-630697</v>
      </c>
      <c r="GR180" s="208">
        <v>-8237193</v>
      </c>
      <c r="GS180" s="208">
        <v>-1023478</v>
      </c>
      <c r="GT180" s="208">
        <v>-1143</v>
      </c>
      <c r="GU180" s="208">
        <v>-1024621</v>
      </c>
      <c r="GV180" s="208">
        <v>-344443</v>
      </c>
      <c r="GW180" s="208">
        <v>-17494</v>
      </c>
      <c r="GX180" s="208">
        <v>-361937</v>
      </c>
      <c r="GY180" s="208">
        <v>0</v>
      </c>
      <c r="GZ180" s="208">
        <v>0</v>
      </c>
      <c r="HA180" s="208">
        <v>0</v>
      </c>
      <c r="HB180" s="208">
        <v>-25705804</v>
      </c>
      <c r="HC180" s="208">
        <v>-631201</v>
      </c>
      <c r="HD180" s="208">
        <v>-26337005</v>
      </c>
      <c r="HE180" s="208">
        <v>143586723</v>
      </c>
      <c r="HF180" s="208">
        <v>7998815</v>
      </c>
      <c r="HG180" s="208">
        <v>151585538</v>
      </c>
      <c r="HH180" s="187" t="s">
        <v>1056</v>
      </c>
    </row>
    <row r="181" spans="1:216" s="187" customFormat="1" x14ac:dyDescent="0.2">
      <c r="B181" s="429" t="s">
        <v>439</v>
      </c>
      <c r="C181" s="429" t="s">
        <v>438</v>
      </c>
      <c r="D181" s="208">
        <v>-792384</v>
      </c>
      <c r="E181" s="208">
        <v>0</v>
      </c>
      <c r="F181" s="208">
        <v>-792384</v>
      </c>
      <c r="G181" s="208">
        <v>27540</v>
      </c>
      <c r="H181" s="208">
        <v>0</v>
      </c>
      <c r="I181" s="208">
        <v>27540</v>
      </c>
      <c r="J181" s="208">
        <v>923344</v>
      </c>
      <c r="K181" s="208">
        <v>0</v>
      </c>
      <c r="L181" s="208">
        <v>923344</v>
      </c>
      <c r="M181" s="208">
        <v>-136116</v>
      </c>
      <c r="N181" s="208">
        <v>0</v>
      </c>
      <c r="O181" s="208">
        <v>-136116</v>
      </c>
      <c r="P181" s="208">
        <v>22384</v>
      </c>
      <c r="Q181" s="208">
        <v>0</v>
      </c>
      <c r="R181" s="208">
        <v>22384</v>
      </c>
      <c r="S181" s="208">
        <v>-3729678</v>
      </c>
      <c r="T181" s="208">
        <v>0</v>
      </c>
      <c r="U181" s="208">
        <v>-3729678</v>
      </c>
      <c r="V181" s="208">
        <v>0</v>
      </c>
      <c r="W181" s="208">
        <v>0</v>
      </c>
      <c r="X181" s="208">
        <v>0</v>
      </c>
      <c r="Y181" s="208">
        <v>-108925</v>
      </c>
      <c r="Z181" s="208">
        <v>0</v>
      </c>
      <c r="AA181" s="208">
        <v>-108925</v>
      </c>
      <c r="AB181" s="208">
        <v>0</v>
      </c>
      <c r="AC181" s="208">
        <v>0</v>
      </c>
      <c r="AD181" s="208">
        <v>0</v>
      </c>
      <c r="AE181" s="208">
        <v>-108925</v>
      </c>
      <c r="AF181" s="208">
        <v>0</v>
      </c>
      <c r="AG181" s="208">
        <v>-108925</v>
      </c>
      <c r="AH181" s="208">
        <v>0</v>
      </c>
      <c r="AI181" s="208">
        <v>0</v>
      </c>
      <c r="AJ181" s="208">
        <v>0</v>
      </c>
      <c r="AK181" s="208">
        <v>0</v>
      </c>
      <c r="AL181" s="208">
        <v>0</v>
      </c>
      <c r="AM181" s="208">
        <v>0</v>
      </c>
      <c r="AN181" s="208">
        <v>816143</v>
      </c>
      <c r="AO181" s="208">
        <v>0</v>
      </c>
      <c r="AP181" s="208">
        <v>816143</v>
      </c>
      <c r="AQ181" s="208">
        <v>-25751</v>
      </c>
      <c r="AR181" s="208">
        <v>0</v>
      </c>
      <c r="AS181" s="208">
        <v>-25751</v>
      </c>
      <c r="AT181" s="208">
        <v>-3745510</v>
      </c>
      <c r="AU181" s="208">
        <v>0</v>
      </c>
      <c r="AV181" s="208">
        <v>-3745510</v>
      </c>
      <c r="AW181" s="208">
        <v>-1926</v>
      </c>
      <c r="AX181" s="208">
        <v>0</v>
      </c>
      <c r="AY181" s="208">
        <v>-1926</v>
      </c>
      <c r="AZ181" s="208">
        <v>-25035</v>
      </c>
      <c r="BA181" s="208">
        <v>0</v>
      </c>
      <c r="BB181" s="208">
        <v>-25035</v>
      </c>
      <c r="BC181" s="208">
        <v>0</v>
      </c>
      <c r="BD181" s="208">
        <v>0</v>
      </c>
      <c r="BE181" s="208">
        <v>0</v>
      </c>
      <c r="BF181" s="208">
        <v>0</v>
      </c>
      <c r="BG181" s="208">
        <v>0</v>
      </c>
      <c r="BH181" s="208">
        <v>0</v>
      </c>
      <c r="BI181" s="208">
        <v>0</v>
      </c>
      <c r="BJ181" s="208">
        <v>0</v>
      </c>
      <c r="BK181" s="208">
        <v>0</v>
      </c>
      <c r="BL181" s="208">
        <v>-6820682</v>
      </c>
      <c r="BM181" s="208">
        <v>0</v>
      </c>
      <c r="BN181" s="208">
        <v>-6820682</v>
      </c>
      <c r="BO181" s="208">
        <v>-51119</v>
      </c>
      <c r="BP181" s="208">
        <v>0</v>
      </c>
      <c r="BQ181" s="208">
        <v>-51119</v>
      </c>
      <c r="BR181" s="208">
        <v>-8376</v>
      </c>
      <c r="BS181" s="208">
        <v>0</v>
      </c>
      <c r="BT181" s="208">
        <v>-8376</v>
      </c>
      <c r="BU181" s="208">
        <v>-872703</v>
      </c>
      <c r="BV181" s="208">
        <v>0</v>
      </c>
      <c r="BW181" s="208">
        <v>-872703</v>
      </c>
      <c r="BX181" s="208">
        <v>-121211</v>
      </c>
      <c r="BY181" s="208">
        <v>0</v>
      </c>
      <c r="BZ181" s="208">
        <v>-121211</v>
      </c>
      <c r="CA181" s="208">
        <v>-1053409</v>
      </c>
      <c r="CB181" s="208">
        <v>0</v>
      </c>
      <c r="CC181" s="208">
        <v>-1053409</v>
      </c>
      <c r="CD181" s="208">
        <v>-18305</v>
      </c>
      <c r="CE181" s="208">
        <v>0</v>
      </c>
      <c r="CF181" s="208">
        <v>-18305</v>
      </c>
      <c r="CG181" s="208">
        <v>-109</v>
      </c>
      <c r="CH181" s="208">
        <v>0</v>
      </c>
      <c r="CI181" s="208">
        <v>-109</v>
      </c>
      <c r="CJ181" s="208">
        <v>-18858</v>
      </c>
      <c r="CK181" s="208">
        <v>0</v>
      </c>
      <c r="CL181" s="208">
        <v>-18858</v>
      </c>
      <c r="CM181" s="208">
        <v>-432</v>
      </c>
      <c r="CN181" s="208">
        <v>0</v>
      </c>
      <c r="CO181" s="208">
        <v>-432</v>
      </c>
      <c r="CP181" s="208">
        <v>-311</v>
      </c>
      <c r="CQ181" s="208">
        <v>0</v>
      </c>
      <c r="CR181" s="208">
        <v>-311</v>
      </c>
      <c r="CS181" s="208">
        <v>0</v>
      </c>
      <c r="CT181" s="208">
        <v>0</v>
      </c>
      <c r="CU181" s="208">
        <v>0</v>
      </c>
      <c r="CV181" s="208">
        <v>0</v>
      </c>
      <c r="CW181" s="208">
        <v>0</v>
      </c>
      <c r="CX181" s="208">
        <v>0</v>
      </c>
      <c r="CY181" s="208">
        <v>0</v>
      </c>
      <c r="CZ181" s="208">
        <v>0</v>
      </c>
      <c r="DA181" s="208">
        <v>0</v>
      </c>
      <c r="DB181" s="208">
        <v>0</v>
      </c>
      <c r="DC181" s="208">
        <v>0</v>
      </c>
      <c r="DD181" s="208">
        <v>0</v>
      </c>
      <c r="DE181" s="208">
        <v>0</v>
      </c>
      <c r="DF181" s="208">
        <v>0</v>
      </c>
      <c r="DG181" s="208">
        <v>0</v>
      </c>
      <c r="DH181" s="208">
        <v>0</v>
      </c>
      <c r="DI181" s="208">
        <v>0</v>
      </c>
      <c r="DJ181" s="208">
        <v>0</v>
      </c>
      <c r="DK181" s="208">
        <v>0</v>
      </c>
      <c r="DL181" s="208">
        <v>0</v>
      </c>
      <c r="DM181" s="208">
        <v>0</v>
      </c>
      <c r="DN181" s="208">
        <v>0</v>
      </c>
      <c r="DO181" s="208">
        <v>0</v>
      </c>
      <c r="DP181" s="208">
        <v>-38015</v>
      </c>
      <c r="DQ181" s="208">
        <v>0</v>
      </c>
      <c r="DR181" s="208">
        <v>-38015</v>
      </c>
      <c r="DS181" s="208">
        <v>0</v>
      </c>
      <c r="DT181" s="208">
        <v>0</v>
      </c>
      <c r="DU181" s="208">
        <v>0</v>
      </c>
      <c r="DV181" s="208">
        <v>0</v>
      </c>
      <c r="DW181" s="208">
        <v>0</v>
      </c>
      <c r="DX181" s="208">
        <v>0</v>
      </c>
      <c r="DY181" s="208">
        <v>618</v>
      </c>
      <c r="DZ181" s="208">
        <v>0</v>
      </c>
      <c r="EA181" s="208">
        <v>618</v>
      </c>
      <c r="EB181" s="208">
        <v>0</v>
      </c>
      <c r="EC181" s="208">
        <v>0</v>
      </c>
      <c r="ED181" s="208">
        <v>0</v>
      </c>
      <c r="EE181" s="208">
        <v>0</v>
      </c>
      <c r="EF181" s="208">
        <v>0</v>
      </c>
      <c r="EG181" s="208">
        <v>0</v>
      </c>
      <c r="EH181" s="208">
        <v>0</v>
      </c>
      <c r="EI181" s="208">
        <v>0</v>
      </c>
      <c r="EJ181" s="208">
        <v>0</v>
      </c>
      <c r="EK181" s="208">
        <v>-3835</v>
      </c>
      <c r="EL181" s="208">
        <v>0</v>
      </c>
      <c r="EM181" s="208">
        <v>-3835</v>
      </c>
      <c r="EN181" s="208">
        <v>0</v>
      </c>
      <c r="EO181" s="208">
        <v>0</v>
      </c>
      <c r="EP181" s="208">
        <v>0</v>
      </c>
      <c r="EQ181" s="208">
        <v>0</v>
      </c>
      <c r="ER181" s="208">
        <v>0</v>
      </c>
      <c r="ES181" s="208">
        <v>0</v>
      </c>
      <c r="ET181" s="208">
        <v>0</v>
      </c>
      <c r="EU181" s="208">
        <v>0</v>
      </c>
      <c r="EV181" s="208">
        <v>0</v>
      </c>
      <c r="EW181" s="208">
        <v>-21266</v>
      </c>
      <c r="EX181" s="208">
        <v>0</v>
      </c>
      <c r="EY181" s="208">
        <v>-21266</v>
      </c>
      <c r="EZ181" s="208">
        <v>0</v>
      </c>
      <c r="FA181" s="208">
        <v>0</v>
      </c>
      <c r="FB181" s="208">
        <v>0</v>
      </c>
      <c r="FC181" s="208">
        <v>-131127</v>
      </c>
      <c r="FD181" s="208">
        <v>0</v>
      </c>
      <c r="FE181" s="208">
        <v>-131127</v>
      </c>
      <c r="FF181" s="208">
        <v>0</v>
      </c>
      <c r="FG181" s="208">
        <v>0</v>
      </c>
      <c r="FH181" s="208">
        <v>0</v>
      </c>
      <c r="FI181" s="208">
        <v>-41784</v>
      </c>
      <c r="FJ181" s="208">
        <v>0</v>
      </c>
      <c r="FK181" s="208">
        <v>-41784</v>
      </c>
      <c r="FL181" s="208">
        <v>-619</v>
      </c>
      <c r="FM181" s="208">
        <v>0</v>
      </c>
      <c r="FN181" s="208">
        <v>-619</v>
      </c>
      <c r="FO181" s="208">
        <v>0</v>
      </c>
      <c r="FP181" s="208">
        <v>0</v>
      </c>
      <c r="FQ181" s="208">
        <v>0</v>
      </c>
      <c r="FR181" s="208">
        <v>0</v>
      </c>
      <c r="FS181" s="208">
        <v>0</v>
      </c>
      <c r="FT181" s="208">
        <v>0</v>
      </c>
      <c r="FU181" s="208">
        <v>-198013</v>
      </c>
      <c r="FV181" s="208">
        <v>0</v>
      </c>
      <c r="FW181" s="208">
        <v>-198013</v>
      </c>
      <c r="FX181" s="208">
        <v>0</v>
      </c>
      <c r="FY181" s="208">
        <v>0</v>
      </c>
      <c r="FZ181" s="208">
        <v>0</v>
      </c>
      <c r="GA181" s="208">
        <v>0</v>
      </c>
      <c r="GB181" s="208">
        <v>0</v>
      </c>
      <c r="GC181" s="208">
        <v>0</v>
      </c>
      <c r="GD181" s="208">
        <v>0</v>
      </c>
      <c r="GE181" s="208">
        <v>0</v>
      </c>
      <c r="GF181" s="208">
        <v>0</v>
      </c>
      <c r="GG181" s="208">
        <v>41813009</v>
      </c>
      <c r="GH181" s="208">
        <v>0</v>
      </c>
      <c r="GI181" s="208">
        <v>41813009</v>
      </c>
      <c r="GJ181" s="208">
        <v>22384</v>
      </c>
      <c r="GK181" s="208">
        <v>0</v>
      </c>
      <c r="GL181" s="208">
        <v>22384</v>
      </c>
      <c r="GM181" s="208">
        <v>-6820682</v>
      </c>
      <c r="GN181" s="208">
        <v>0</v>
      </c>
      <c r="GO181" s="208">
        <v>-6820682</v>
      </c>
      <c r="GP181" s="208">
        <v>-1053409</v>
      </c>
      <c r="GQ181" s="208">
        <v>0</v>
      </c>
      <c r="GR181" s="208">
        <v>-1053409</v>
      </c>
      <c r="GS181" s="208">
        <v>-38015</v>
      </c>
      <c r="GT181" s="208">
        <v>0</v>
      </c>
      <c r="GU181" s="208">
        <v>-38015</v>
      </c>
      <c r="GV181" s="208">
        <v>-198013</v>
      </c>
      <c r="GW181" s="208">
        <v>0</v>
      </c>
      <c r="GX181" s="208">
        <v>-198013</v>
      </c>
      <c r="GY181" s="208">
        <v>0</v>
      </c>
      <c r="GZ181" s="208">
        <v>0</v>
      </c>
      <c r="HA181" s="208">
        <v>0</v>
      </c>
      <c r="HB181" s="208">
        <v>-8087735</v>
      </c>
      <c r="HC181" s="208">
        <v>0</v>
      </c>
      <c r="HD181" s="208">
        <v>-8087735</v>
      </c>
      <c r="HE181" s="208">
        <v>33725274</v>
      </c>
      <c r="HF181" s="208">
        <v>0</v>
      </c>
      <c r="HG181" s="208">
        <v>33725274</v>
      </c>
      <c r="HH181" s="187" t="s">
        <v>1054</v>
      </c>
    </row>
    <row r="182" spans="1:216" s="187" customFormat="1" x14ac:dyDescent="0.2">
      <c r="B182" s="429" t="s">
        <v>441</v>
      </c>
      <c r="C182" s="429" t="s">
        <v>440</v>
      </c>
      <c r="D182" s="208">
        <v>-3650342</v>
      </c>
      <c r="E182" s="208">
        <v>-33101</v>
      </c>
      <c r="F182" s="208">
        <v>-3683443</v>
      </c>
      <c r="G182" s="208">
        <v>-55507</v>
      </c>
      <c r="H182" s="208">
        <v>0</v>
      </c>
      <c r="I182" s="208">
        <v>-55507</v>
      </c>
      <c r="J182" s="208">
        <v>2156881</v>
      </c>
      <c r="K182" s="208">
        <v>12141</v>
      </c>
      <c r="L182" s="208">
        <v>2169022</v>
      </c>
      <c r="M182" s="208">
        <v>11273</v>
      </c>
      <c r="N182" s="208">
        <v>27054</v>
      </c>
      <c r="O182" s="208">
        <v>38327</v>
      </c>
      <c r="P182" s="208">
        <v>-1537695</v>
      </c>
      <c r="Q182" s="208">
        <v>6094</v>
      </c>
      <c r="R182" s="208">
        <v>-1531601</v>
      </c>
      <c r="S182" s="208">
        <v>-8580987</v>
      </c>
      <c r="T182" s="208">
        <v>-15108</v>
      </c>
      <c r="U182" s="208">
        <v>-8596095</v>
      </c>
      <c r="V182" s="208">
        <v>0</v>
      </c>
      <c r="W182" s="208">
        <v>0</v>
      </c>
      <c r="X182" s="208">
        <v>0</v>
      </c>
      <c r="Y182" s="208">
        <v>-442286</v>
      </c>
      <c r="Z182" s="208">
        <v>-1154</v>
      </c>
      <c r="AA182" s="208">
        <v>-443440</v>
      </c>
      <c r="AB182" s="208">
        <v>-154021</v>
      </c>
      <c r="AC182" s="208">
        <v>0</v>
      </c>
      <c r="AD182" s="208">
        <v>-154021</v>
      </c>
      <c r="AE182" s="208">
        <v>-288265</v>
      </c>
      <c r="AF182" s="208">
        <v>0</v>
      </c>
      <c r="AG182" s="208">
        <v>-288265</v>
      </c>
      <c r="AH182" s="208">
        <v>0</v>
      </c>
      <c r="AI182" s="208">
        <v>0</v>
      </c>
      <c r="AJ182" s="208">
        <v>0</v>
      </c>
      <c r="AK182" s="208">
        <v>0</v>
      </c>
      <c r="AL182" s="208">
        <v>0</v>
      </c>
      <c r="AM182" s="208">
        <v>0</v>
      </c>
      <c r="AN182" s="208">
        <v>3996884</v>
      </c>
      <c r="AO182" s="208">
        <v>64962</v>
      </c>
      <c r="AP182" s="208">
        <v>4061846</v>
      </c>
      <c r="AQ182" s="208">
        <v>-91677</v>
      </c>
      <c r="AR182" s="208">
        <v>4361</v>
      </c>
      <c r="AS182" s="208">
        <v>-87316</v>
      </c>
      <c r="AT182" s="208">
        <v>-13474884</v>
      </c>
      <c r="AU182" s="208">
        <v>-116308</v>
      </c>
      <c r="AV182" s="208">
        <v>-13591192</v>
      </c>
      <c r="AW182" s="208">
        <v>-300084</v>
      </c>
      <c r="AX182" s="208">
        <v>-48918</v>
      </c>
      <c r="AY182" s="208">
        <v>-349002</v>
      </c>
      <c r="AZ182" s="208">
        <v>0</v>
      </c>
      <c r="BA182" s="208">
        <v>0</v>
      </c>
      <c r="BB182" s="208">
        <v>0</v>
      </c>
      <c r="BC182" s="208">
        <v>0</v>
      </c>
      <c r="BD182" s="208">
        <v>0</v>
      </c>
      <c r="BE182" s="208">
        <v>0</v>
      </c>
      <c r="BF182" s="208">
        <v>0</v>
      </c>
      <c r="BG182" s="208">
        <v>0</v>
      </c>
      <c r="BH182" s="208">
        <v>0</v>
      </c>
      <c r="BI182" s="208">
        <v>0</v>
      </c>
      <c r="BJ182" s="208">
        <v>0</v>
      </c>
      <c r="BK182" s="208">
        <v>0</v>
      </c>
      <c r="BL182" s="208">
        <v>-18893034</v>
      </c>
      <c r="BM182" s="208">
        <v>-112165</v>
      </c>
      <c r="BN182" s="208">
        <v>-19005199</v>
      </c>
      <c r="BO182" s="208">
        <v>-188221</v>
      </c>
      <c r="BP182" s="208">
        <v>0</v>
      </c>
      <c r="BQ182" s="208">
        <v>-188221</v>
      </c>
      <c r="BR182" s="208">
        <v>-19248</v>
      </c>
      <c r="BS182" s="208">
        <v>0</v>
      </c>
      <c r="BT182" s="208">
        <v>-19248</v>
      </c>
      <c r="BU182" s="208">
        <v>-5677315</v>
      </c>
      <c r="BV182" s="208">
        <v>-101036</v>
      </c>
      <c r="BW182" s="208">
        <v>-5778351</v>
      </c>
      <c r="BX182" s="208">
        <v>169950</v>
      </c>
      <c r="BY182" s="208">
        <v>-10035</v>
      </c>
      <c r="BZ182" s="208">
        <v>159915</v>
      </c>
      <c r="CA182" s="208">
        <v>-5714834</v>
      </c>
      <c r="CB182" s="208">
        <v>-111071</v>
      </c>
      <c r="CC182" s="208">
        <v>-5825905</v>
      </c>
      <c r="CD182" s="208">
        <v>0</v>
      </c>
      <c r="CE182" s="208">
        <v>0</v>
      </c>
      <c r="CF182" s="208">
        <v>0</v>
      </c>
      <c r="CG182" s="208">
        <v>0</v>
      </c>
      <c r="CH182" s="208">
        <v>0</v>
      </c>
      <c r="CI182" s="208">
        <v>0</v>
      </c>
      <c r="CJ182" s="208">
        <v>0</v>
      </c>
      <c r="CK182" s="208">
        <v>0</v>
      </c>
      <c r="CL182" s="208">
        <v>0</v>
      </c>
      <c r="CM182" s="208">
        <v>0</v>
      </c>
      <c r="CN182" s="208">
        <v>0</v>
      </c>
      <c r="CO182" s="208">
        <v>0</v>
      </c>
      <c r="CP182" s="208">
        <v>0</v>
      </c>
      <c r="CQ182" s="208">
        <v>0</v>
      </c>
      <c r="CR182" s="208">
        <v>0</v>
      </c>
      <c r="CS182" s="208">
        <v>0</v>
      </c>
      <c r="CT182" s="208">
        <v>0</v>
      </c>
      <c r="CU182" s="208">
        <v>0</v>
      </c>
      <c r="CV182" s="208">
        <v>0</v>
      </c>
      <c r="CW182" s="208">
        <v>0</v>
      </c>
      <c r="CX182" s="208">
        <v>0</v>
      </c>
      <c r="CY182" s="208">
        <v>0</v>
      </c>
      <c r="CZ182" s="208">
        <v>0</v>
      </c>
      <c r="DA182" s="208">
        <v>0</v>
      </c>
      <c r="DB182" s="208">
        <v>0</v>
      </c>
      <c r="DC182" s="208">
        <v>0</v>
      </c>
      <c r="DD182" s="208">
        <v>0</v>
      </c>
      <c r="DE182" s="208">
        <v>0</v>
      </c>
      <c r="DF182" s="208">
        <v>0</v>
      </c>
      <c r="DG182" s="208">
        <v>0</v>
      </c>
      <c r="DH182" s="208">
        <v>0</v>
      </c>
      <c r="DI182" s="208">
        <v>-470377</v>
      </c>
      <c r="DJ182" s="208">
        <v>-470377</v>
      </c>
      <c r="DK182" s="208">
        <v>0</v>
      </c>
      <c r="DL182" s="208">
        <v>-48449</v>
      </c>
      <c r="DM182" s="208">
        <v>-48449</v>
      </c>
      <c r="DN182" s="208">
        <v>-518826</v>
      </c>
      <c r="DO182" s="208">
        <v>0</v>
      </c>
      <c r="DP182" s="208">
        <v>0</v>
      </c>
      <c r="DQ182" s="208">
        <v>-518826</v>
      </c>
      <c r="DR182" s="208">
        <v>-518826</v>
      </c>
      <c r="DS182" s="208">
        <v>0</v>
      </c>
      <c r="DT182" s="208">
        <v>0</v>
      </c>
      <c r="DU182" s="208">
        <v>0</v>
      </c>
      <c r="DV182" s="208">
        <v>0</v>
      </c>
      <c r="DW182" s="208">
        <v>0</v>
      </c>
      <c r="DX182" s="208">
        <v>0</v>
      </c>
      <c r="DY182" s="208">
        <v>0</v>
      </c>
      <c r="DZ182" s="208">
        <v>0</v>
      </c>
      <c r="EA182" s="208">
        <v>0</v>
      </c>
      <c r="EB182" s="208">
        <v>0</v>
      </c>
      <c r="EC182" s="208">
        <v>0</v>
      </c>
      <c r="ED182" s="208">
        <v>0</v>
      </c>
      <c r="EE182" s="208">
        <v>0</v>
      </c>
      <c r="EF182" s="208">
        <v>0</v>
      </c>
      <c r="EG182" s="208">
        <v>0</v>
      </c>
      <c r="EH182" s="208">
        <v>301</v>
      </c>
      <c r="EI182" s="208">
        <v>0</v>
      </c>
      <c r="EJ182" s="208">
        <v>301</v>
      </c>
      <c r="EK182" s="208">
        <v>0</v>
      </c>
      <c r="EL182" s="208">
        <v>0</v>
      </c>
      <c r="EM182" s="208">
        <v>0</v>
      </c>
      <c r="EN182" s="208">
        <v>0</v>
      </c>
      <c r="EO182" s="208">
        <v>0</v>
      </c>
      <c r="EP182" s="208">
        <v>0</v>
      </c>
      <c r="EQ182" s="208">
        <v>0</v>
      </c>
      <c r="ER182" s="208">
        <v>0</v>
      </c>
      <c r="ES182" s="208">
        <v>0</v>
      </c>
      <c r="ET182" s="208">
        <v>0</v>
      </c>
      <c r="EU182" s="208">
        <v>0</v>
      </c>
      <c r="EV182" s="208">
        <v>0</v>
      </c>
      <c r="EW182" s="208">
        <v>-66755</v>
      </c>
      <c r="EX182" s="208">
        <v>-337</v>
      </c>
      <c r="EY182" s="208">
        <v>-67092</v>
      </c>
      <c r="EZ182" s="208">
        <v>9771</v>
      </c>
      <c r="FA182" s="208">
        <v>0</v>
      </c>
      <c r="FB182" s="208">
        <v>9771</v>
      </c>
      <c r="FC182" s="208">
        <v>-670076</v>
      </c>
      <c r="FD182" s="208">
        <v>-989</v>
      </c>
      <c r="FE182" s="208">
        <v>-671065</v>
      </c>
      <c r="FF182" s="208">
        <v>17070</v>
      </c>
      <c r="FG182" s="208">
        <v>0</v>
      </c>
      <c r="FH182" s="208">
        <v>17070</v>
      </c>
      <c r="FI182" s="208">
        <v>-14750</v>
      </c>
      <c r="FJ182" s="208">
        <v>0</v>
      </c>
      <c r="FK182" s="208">
        <v>-14750</v>
      </c>
      <c r="FL182" s="208">
        <v>1000</v>
      </c>
      <c r="FM182" s="208">
        <v>0</v>
      </c>
      <c r="FN182" s="208">
        <v>1000</v>
      </c>
      <c r="FO182" s="208">
        <v>0</v>
      </c>
      <c r="FP182" s="208">
        <v>0</v>
      </c>
      <c r="FQ182" s="208">
        <v>0</v>
      </c>
      <c r="FR182" s="208">
        <v>0</v>
      </c>
      <c r="FS182" s="208">
        <v>0</v>
      </c>
      <c r="FT182" s="208">
        <v>0</v>
      </c>
      <c r="FU182" s="208">
        <v>-723439</v>
      </c>
      <c r="FV182" s="208">
        <v>-1326</v>
      </c>
      <c r="FW182" s="208">
        <v>-724765</v>
      </c>
      <c r="FX182" s="208">
        <v>0</v>
      </c>
      <c r="FY182" s="208">
        <v>0</v>
      </c>
      <c r="FZ182" s="208">
        <v>0</v>
      </c>
      <c r="GA182" s="208">
        <v>0</v>
      </c>
      <c r="GB182" s="208">
        <v>0</v>
      </c>
      <c r="GC182" s="208">
        <v>0</v>
      </c>
      <c r="GD182" s="208">
        <v>0</v>
      </c>
      <c r="GE182" s="208">
        <v>0</v>
      </c>
      <c r="GF182" s="208">
        <v>0</v>
      </c>
      <c r="GG182" s="208">
        <v>176122658</v>
      </c>
      <c r="GH182" s="208">
        <v>2614819</v>
      </c>
      <c r="GI182" s="208">
        <v>178737477</v>
      </c>
      <c r="GJ182" s="208">
        <v>-1537695</v>
      </c>
      <c r="GK182" s="208">
        <v>6094</v>
      </c>
      <c r="GL182" s="208">
        <v>-1531601</v>
      </c>
      <c r="GM182" s="208">
        <v>-18893034</v>
      </c>
      <c r="GN182" s="208">
        <v>-112165</v>
      </c>
      <c r="GO182" s="208">
        <v>-19005199</v>
      </c>
      <c r="GP182" s="208">
        <v>-5714834</v>
      </c>
      <c r="GQ182" s="208">
        <v>-111071</v>
      </c>
      <c r="GR182" s="208">
        <v>-5825905</v>
      </c>
      <c r="GS182" s="208">
        <v>0</v>
      </c>
      <c r="GT182" s="208">
        <v>-518826</v>
      </c>
      <c r="GU182" s="208">
        <v>-518826</v>
      </c>
      <c r="GV182" s="208">
        <v>-723439</v>
      </c>
      <c r="GW182" s="208">
        <v>-1326</v>
      </c>
      <c r="GX182" s="208">
        <v>-724765</v>
      </c>
      <c r="GY182" s="208">
        <v>0</v>
      </c>
      <c r="GZ182" s="208">
        <v>0</v>
      </c>
      <c r="HA182" s="208">
        <v>0</v>
      </c>
      <c r="HB182" s="208">
        <v>-26869002</v>
      </c>
      <c r="HC182" s="208">
        <v>-737294</v>
      </c>
      <c r="HD182" s="208">
        <v>-27606296</v>
      </c>
      <c r="HE182" s="208">
        <v>149253656</v>
      </c>
      <c r="HF182" s="208">
        <v>1877525</v>
      </c>
      <c r="HG182" s="208">
        <v>151131181</v>
      </c>
      <c r="HH182" s="187" t="s">
        <v>1055</v>
      </c>
    </row>
    <row r="183" spans="1:216" s="187" customFormat="1" x14ac:dyDescent="0.2">
      <c r="B183" s="429" t="s">
        <v>443</v>
      </c>
      <c r="C183" s="429" t="s">
        <v>442</v>
      </c>
      <c r="D183" s="208">
        <v>-1024529</v>
      </c>
      <c r="E183" s="208">
        <v>0</v>
      </c>
      <c r="F183" s="208">
        <v>-1024529</v>
      </c>
      <c r="G183" s="208">
        <v>35424</v>
      </c>
      <c r="H183" s="208">
        <v>0</v>
      </c>
      <c r="I183" s="208">
        <v>35424</v>
      </c>
      <c r="J183" s="208">
        <v>1546072</v>
      </c>
      <c r="K183" s="208">
        <v>0</v>
      </c>
      <c r="L183" s="208">
        <v>1546072</v>
      </c>
      <c r="M183" s="208">
        <v>3675</v>
      </c>
      <c r="N183" s="208">
        <v>0</v>
      </c>
      <c r="O183" s="208">
        <v>3675</v>
      </c>
      <c r="P183" s="208">
        <v>560642</v>
      </c>
      <c r="Q183" s="208">
        <v>0</v>
      </c>
      <c r="R183" s="208">
        <v>560642</v>
      </c>
      <c r="S183" s="208">
        <v>-7476002</v>
      </c>
      <c r="T183" s="208">
        <v>0</v>
      </c>
      <c r="U183" s="208">
        <v>-7476002</v>
      </c>
      <c r="V183" s="208">
        <v>-17976</v>
      </c>
      <c r="W183" s="208">
        <v>0</v>
      </c>
      <c r="X183" s="208">
        <v>-17976</v>
      </c>
      <c r="Y183" s="208">
        <v>-305454</v>
      </c>
      <c r="Z183" s="208">
        <v>0</v>
      </c>
      <c r="AA183" s="208">
        <v>-305454</v>
      </c>
      <c r="AB183" s="208">
        <v>-85361</v>
      </c>
      <c r="AC183" s="208">
        <v>0</v>
      </c>
      <c r="AD183" s="208">
        <v>-85361</v>
      </c>
      <c r="AE183" s="208">
        <v>-210190</v>
      </c>
      <c r="AF183" s="208">
        <v>0</v>
      </c>
      <c r="AG183" s="208">
        <v>-210190</v>
      </c>
      <c r="AH183" s="208">
        <v>0</v>
      </c>
      <c r="AI183" s="208">
        <v>0</v>
      </c>
      <c r="AJ183" s="208">
        <v>0</v>
      </c>
      <c r="AK183" s="208">
        <v>0</v>
      </c>
      <c r="AL183" s="208">
        <v>0</v>
      </c>
      <c r="AM183" s="208">
        <v>0</v>
      </c>
      <c r="AN183" s="208">
        <v>648046</v>
      </c>
      <c r="AO183" s="208">
        <v>0</v>
      </c>
      <c r="AP183" s="208">
        <v>648046</v>
      </c>
      <c r="AQ183" s="208">
        <v>-2553</v>
      </c>
      <c r="AR183" s="208">
        <v>0</v>
      </c>
      <c r="AS183" s="208">
        <v>-2553</v>
      </c>
      <c r="AT183" s="208">
        <v>-2695824</v>
      </c>
      <c r="AU183" s="208">
        <v>0</v>
      </c>
      <c r="AV183" s="208">
        <v>-2695824</v>
      </c>
      <c r="AW183" s="208">
        <v>27334</v>
      </c>
      <c r="AX183" s="208">
        <v>0</v>
      </c>
      <c r="AY183" s="208">
        <v>27334</v>
      </c>
      <c r="AZ183" s="208">
        <v>-125554</v>
      </c>
      <c r="BA183" s="208">
        <v>0</v>
      </c>
      <c r="BB183" s="208">
        <v>-125554</v>
      </c>
      <c r="BC183" s="208">
        <v>527</v>
      </c>
      <c r="BD183" s="208">
        <v>0</v>
      </c>
      <c r="BE183" s="208">
        <v>527</v>
      </c>
      <c r="BF183" s="208">
        <v>-29252</v>
      </c>
      <c r="BG183" s="208">
        <v>0</v>
      </c>
      <c r="BH183" s="208">
        <v>-29252</v>
      </c>
      <c r="BI183" s="208">
        <v>0</v>
      </c>
      <c r="BJ183" s="208">
        <v>0</v>
      </c>
      <c r="BK183" s="208">
        <v>0</v>
      </c>
      <c r="BL183" s="208">
        <v>-9958732</v>
      </c>
      <c r="BM183" s="208">
        <v>0</v>
      </c>
      <c r="BN183" s="208">
        <v>-9958732</v>
      </c>
      <c r="BO183" s="208">
        <v>-132</v>
      </c>
      <c r="BP183" s="208">
        <v>0</v>
      </c>
      <c r="BQ183" s="208">
        <v>-132</v>
      </c>
      <c r="BR183" s="208">
        <v>-1368</v>
      </c>
      <c r="BS183" s="208">
        <v>0</v>
      </c>
      <c r="BT183" s="208">
        <v>-1368</v>
      </c>
      <c r="BU183" s="208">
        <v>-743891</v>
      </c>
      <c r="BV183" s="208">
        <v>0</v>
      </c>
      <c r="BW183" s="208">
        <v>-743891</v>
      </c>
      <c r="BX183" s="208">
        <v>-62217</v>
      </c>
      <c r="BY183" s="208">
        <v>0</v>
      </c>
      <c r="BZ183" s="208">
        <v>-62217</v>
      </c>
      <c r="CA183" s="208">
        <v>-807608</v>
      </c>
      <c r="CB183" s="208">
        <v>0</v>
      </c>
      <c r="CC183" s="208">
        <v>-807608</v>
      </c>
      <c r="CD183" s="208">
        <v>-110588</v>
      </c>
      <c r="CE183" s="208">
        <v>0</v>
      </c>
      <c r="CF183" s="208">
        <v>-110588</v>
      </c>
      <c r="CG183" s="208">
        <v>379</v>
      </c>
      <c r="CH183" s="208">
        <v>0</v>
      </c>
      <c r="CI183" s="208">
        <v>379</v>
      </c>
      <c r="CJ183" s="208">
        <v>-105570</v>
      </c>
      <c r="CK183" s="208">
        <v>0</v>
      </c>
      <c r="CL183" s="208">
        <v>-105570</v>
      </c>
      <c r="CM183" s="208">
        <v>97</v>
      </c>
      <c r="CN183" s="208">
        <v>0</v>
      </c>
      <c r="CO183" s="208">
        <v>97</v>
      </c>
      <c r="CP183" s="208">
        <v>-9003</v>
      </c>
      <c r="CQ183" s="208">
        <v>0</v>
      </c>
      <c r="CR183" s="208">
        <v>-9003</v>
      </c>
      <c r="CS183" s="208">
        <v>39</v>
      </c>
      <c r="CT183" s="208">
        <v>0</v>
      </c>
      <c r="CU183" s="208">
        <v>39</v>
      </c>
      <c r="CV183" s="208">
        <v>0</v>
      </c>
      <c r="CW183" s="208">
        <v>0</v>
      </c>
      <c r="CX183" s="208">
        <v>0</v>
      </c>
      <c r="CY183" s="208">
        <v>0</v>
      </c>
      <c r="CZ183" s="208">
        <v>0</v>
      </c>
      <c r="DA183" s="208">
        <v>0</v>
      </c>
      <c r="DB183" s="208">
        <v>-8481</v>
      </c>
      <c r="DC183" s="208">
        <v>0</v>
      </c>
      <c r="DD183" s="208">
        <v>-8481</v>
      </c>
      <c r="DE183" s="208">
        <v>0</v>
      </c>
      <c r="DF183" s="208">
        <v>0</v>
      </c>
      <c r="DG183" s="208">
        <v>0</v>
      </c>
      <c r="DH183" s="208">
        <v>0</v>
      </c>
      <c r="DI183" s="208">
        <v>0</v>
      </c>
      <c r="DJ183" s="208">
        <v>0</v>
      </c>
      <c r="DK183" s="208">
        <v>0</v>
      </c>
      <c r="DL183" s="208">
        <v>0</v>
      </c>
      <c r="DM183" s="208">
        <v>0</v>
      </c>
      <c r="DN183" s="208">
        <v>0</v>
      </c>
      <c r="DO183" s="208">
        <v>0</v>
      </c>
      <c r="DP183" s="208">
        <v>-233127</v>
      </c>
      <c r="DQ183" s="208">
        <v>0</v>
      </c>
      <c r="DR183" s="208">
        <v>-233127</v>
      </c>
      <c r="DS183" s="208">
        <v>0</v>
      </c>
      <c r="DT183" s="208">
        <v>0</v>
      </c>
      <c r="DU183" s="208">
        <v>0</v>
      </c>
      <c r="DV183" s="208">
        <v>3310</v>
      </c>
      <c r="DW183" s="208">
        <v>0</v>
      </c>
      <c r="DX183" s="208">
        <v>3310</v>
      </c>
      <c r="DY183" s="208">
        <v>0</v>
      </c>
      <c r="DZ183" s="208">
        <v>0</v>
      </c>
      <c r="EA183" s="208">
        <v>0</v>
      </c>
      <c r="EB183" s="208">
        <v>0</v>
      </c>
      <c r="EC183" s="208">
        <v>0</v>
      </c>
      <c r="ED183" s="208">
        <v>0</v>
      </c>
      <c r="EE183" s="208">
        <v>0</v>
      </c>
      <c r="EF183" s="208">
        <v>0</v>
      </c>
      <c r="EG183" s="208">
        <v>0</v>
      </c>
      <c r="EH183" s="208">
        <v>1344</v>
      </c>
      <c r="EI183" s="208">
        <v>0</v>
      </c>
      <c r="EJ183" s="208">
        <v>1344</v>
      </c>
      <c r="EK183" s="208">
        <v>-29252</v>
      </c>
      <c r="EL183" s="208">
        <v>0</v>
      </c>
      <c r="EM183" s="208">
        <v>-29252</v>
      </c>
      <c r="EN183" s="208">
        <v>0</v>
      </c>
      <c r="EO183" s="208">
        <v>0</v>
      </c>
      <c r="EP183" s="208">
        <v>0</v>
      </c>
      <c r="EQ183" s="208">
        <v>-3000</v>
      </c>
      <c r="ER183" s="208">
        <v>0</v>
      </c>
      <c r="ES183" s="208">
        <v>-3000</v>
      </c>
      <c r="ET183" s="208">
        <v>0</v>
      </c>
      <c r="EU183" s="208">
        <v>0</v>
      </c>
      <c r="EV183" s="208">
        <v>0</v>
      </c>
      <c r="EW183" s="208">
        <v>-20121</v>
      </c>
      <c r="EX183" s="208">
        <v>0</v>
      </c>
      <c r="EY183" s="208">
        <v>-20121</v>
      </c>
      <c r="EZ183" s="208">
        <v>1888</v>
      </c>
      <c r="FA183" s="208">
        <v>0</v>
      </c>
      <c r="FB183" s="208">
        <v>1888</v>
      </c>
      <c r="FC183" s="208">
        <v>-113872</v>
      </c>
      <c r="FD183" s="208">
        <v>0</v>
      </c>
      <c r="FE183" s="208">
        <v>-113872</v>
      </c>
      <c r="FF183" s="208">
        <v>16698</v>
      </c>
      <c r="FG183" s="208">
        <v>0</v>
      </c>
      <c r="FH183" s="208">
        <v>16698</v>
      </c>
      <c r="FI183" s="208">
        <v>-67422</v>
      </c>
      <c r="FJ183" s="208">
        <v>0</v>
      </c>
      <c r="FK183" s="208">
        <v>-67422</v>
      </c>
      <c r="FL183" s="208">
        <v>1341</v>
      </c>
      <c r="FM183" s="208">
        <v>0</v>
      </c>
      <c r="FN183" s="208">
        <v>1341</v>
      </c>
      <c r="FO183" s="208">
        <v>0</v>
      </c>
      <c r="FP183" s="208">
        <v>0</v>
      </c>
      <c r="FQ183" s="208">
        <v>0</v>
      </c>
      <c r="FR183" s="208">
        <v>0</v>
      </c>
      <c r="FS183" s="208">
        <v>0</v>
      </c>
      <c r="FT183" s="208">
        <v>0</v>
      </c>
      <c r="FU183" s="208">
        <v>-209086</v>
      </c>
      <c r="FV183" s="208">
        <v>0</v>
      </c>
      <c r="FW183" s="208">
        <v>-209086</v>
      </c>
      <c r="FX183" s="208">
        <v>0</v>
      </c>
      <c r="FY183" s="208">
        <v>0</v>
      </c>
      <c r="FZ183" s="208">
        <v>0</v>
      </c>
      <c r="GA183" s="208">
        <v>0</v>
      </c>
      <c r="GB183" s="208">
        <v>0</v>
      </c>
      <c r="GC183" s="208">
        <v>0</v>
      </c>
      <c r="GD183" s="208">
        <v>0</v>
      </c>
      <c r="GE183" s="208">
        <v>0</v>
      </c>
      <c r="GF183" s="208">
        <v>0</v>
      </c>
      <c r="GG183" s="208">
        <v>43320150</v>
      </c>
      <c r="GH183" s="208">
        <v>0</v>
      </c>
      <c r="GI183" s="208">
        <v>43320150</v>
      </c>
      <c r="GJ183" s="208">
        <v>560642</v>
      </c>
      <c r="GK183" s="208">
        <v>0</v>
      </c>
      <c r="GL183" s="208">
        <v>560642</v>
      </c>
      <c r="GM183" s="208">
        <v>-9958732</v>
      </c>
      <c r="GN183" s="208">
        <v>0</v>
      </c>
      <c r="GO183" s="208">
        <v>-9958732</v>
      </c>
      <c r="GP183" s="208">
        <v>-807608</v>
      </c>
      <c r="GQ183" s="208">
        <v>0</v>
      </c>
      <c r="GR183" s="208">
        <v>-807608</v>
      </c>
      <c r="GS183" s="208">
        <v>-233127</v>
      </c>
      <c r="GT183" s="208">
        <v>0</v>
      </c>
      <c r="GU183" s="208">
        <v>-233127</v>
      </c>
      <c r="GV183" s="208">
        <v>-209086</v>
      </c>
      <c r="GW183" s="208">
        <v>0</v>
      </c>
      <c r="GX183" s="208">
        <v>-209086</v>
      </c>
      <c r="GY183" s="208">
        <v>0</v>
      </c>
      <c r="GZ183" s="208">
        <v>0</v>
      </c>
      <c r="HA183" s="208">
        <v>0</v>
      </c>
      <c r="HB183" s="208">
        <v>-10647911</v>
      </c>
      <c r="HC183" s="208">
        <v>0</v>
      </c>
      <c r="HD183" s="208">
        <v>-10647911</v>
      </c>
      <c r="HE183" s="208">
        <v>32672239</v>
      </c>
      <c r="HF183" s="208">
        <v>0</v>
      </c>
      <c r="HG183" s="208">
        <v>32672239</v>
      </c>
      <c r="HH183" s="187" t="s">
        <v>1054</v>
      </c>
    </row>
    <row r="184" spans="1:216" s="187" customFormat="1" x14ac:dyDescent="0.2">
      <c r="B184" s="429" t="s">
        <v>445</v>
      </c>
      <c r="C184" s="429" t="s">
        <v>444</v>
      </c>
      <c r="D184" s="208">
        <v>-533015</v>
      </c>
      <c r="E184" s="208">
        <v>0</v>
      </c>
      <c r="F184" s="208">
        <v>-533015</v>
      </c>
      <c r="G184" s="208">
        <v>8085</v>
      </c>
      <c r="H184" s="208">
        <v>0</v>
      </c>
      <c r="I184" s="208">
        <v>8085</v>
      </c>
      <c r="J184" s="208">
        <v>394699</v>
      </c>
      <c r="K184" s="208">
        <v>0</v>
      </c>
      <c r="L184" s="208">
        <v>394699</v>
      </c>
      <c r="M184" s="208">
        <v>-8011</v>
      </c>
      <c r="N184" s="208">
        <v>0</v>
      </c>
      <c r="O184" s="208">
        <v>-8011</v>
      </c>
      <c r="P184" s="208">
        <v>-138242</v>
      </c>
      <c r="Q184" s="208">
        <v>0</v>
      </c>
      <c r="R184" s="208">
        <v>-138242</v>
      </c>
      <c r="S184" s="208">
        <v>-3113183</v>
      </c>
      <c r="T184" s="208">
        <v>0</v>
      </c>
      <c r="U184" s="208">
        <v>-3113183</v>
      </c>
      <c r="V184" s="208">
        <v>-291</v>
      </c>
      <c r="W184" s="208">
        <v>0</v>
      </c>
      <c r="X184" s="208">
        <v>-291</v>
      </c>
      <c r="Y184" s="208">
        <v>-146361</v>
      </c>
      <c r="Z184" s="208">
        <v>0</v>
      </c>
      <c r="AA184" s="208">
        <v>-146361</v>
      </c>
      <c r="AB184" s="208">
        <v>-56858</v>
      </c>
      <c r="AC184" s="208">
        <v>0</v>
      </c>
      <c r="AD184" s="208">
        <v>-56858</v>
      </c>
      <c r="AE184" s="208">
        <v>-79670</v>
      </c>
      <c r="AF184" s="208">
        <v>0</v>
      </c>
      <c r="AG184" s="208">
        <v>-79670</v>
      </c>
      <c r="AH184" s="208">
        <v>0</v>
      </c>
      <c r="AI184" s="208">
        <v>0</v>
      </c>
      <c r="AJ184" s="208">
        <v>0</v>
      </c>
      <c r="AK184" s="208">
        <v>0</v>
      </c>
      <c r="AL184" s="208">
        <v>0</v>
      </c>
      <c r="AM184" s="208">
        <v>0</v>
      </c>
      <c r="AN184" s="208">
        <v>306855</v>
      </c>
      <c r="AO184" s="208">
        <v>0</v>
      </c>
      <c r="AP184" s="208">
        <v>306855</v>
      </c>
      <c r="AQ184" s="208">
        <v>846</v>
      </c>
      <c r="AR184" s="208">
        <v>0</v>
      </c>
      <c r="AS184" s="208">
        <v>846</v>
      </c>
      <c r="AT184" s="208">
        <v>-2838899</v>
      </c>
      <c r="AU184" s="208">
        <v>0</v>
      </c>
      <c r="AV184" s="208">
        <v>-2838899</v>
      </c>
      <c r="AW184" s="208">
        <v>-52960</v>
      </c>
      <c r="AX184" s="208">
        <v>0</v>
      </c>
      <c r="AY184" s="208">
        <v>-52960</v>
      </c>
      <c r="AZ184" s="208">
        <v>-101104</v>
      </c>
      <c r="BA184" s="208">
        <v>0</v>
      </c>
      <c r="BB184" s="208">
        <v>-101104</v>
      </c>
      <c r="BC184" s="208">
        <v>0</v>
      </c>
      <c r="BD184" s="208">
        <v>0</v>
      </c>
      <c r="BE184" s="208">
        <v>0</v>
      </c>
      <c r="BF184" s="208">
        <v>-24833</v>
      </c>
      <c r="BG184" s="208">
        <v>0</v>
      </c>
      <c r="BH184" s="208">
        <v>-24833</v>
      </c>
      <c r="BI184" s="208">
        <v>0</v>
      </c>
      <c r="BJ184" s="208">
        <v>0</v>
      </c>
      <c r="BK184" s="208">
        <v>0</v>
      </c>
      <c r="BL184" s="208">
        <v>-5969639</v>
      </c>
      <c r="BM184" s="208">
        <v>0</v>
      </c>
      <c r="BN184" s="208">
        <v>-5969639</v>
      </c>
      <c r="BO184" s="208">
        <v>-23144</v>
      </c>
      <c r="BP184" s="208">
        <v>0</v>
      </c>
      <c r="BQ184" s="208">
        <v>-23144</v>
      </c>
      <c r="BR184" s="208">
        <v>-130</v>
      </c>
      <c r="BS184" s="208">
        <v>0</v>
      </c>
      <c r="BT184" s="208">
        <v>-130</v>
      </c>
      <c r="BU184" s="208">
        <v>-499075</v>
      </c>
      <c r="BV184" s="208">
        <v>0</v>
      </c>
      <c r="BW184" s="208">
        <v>-499075</v>
      </c>
      <c r="BX184" s="208">
        <v>59035</v>
      </c>
      <c r="BY184" s="208">
        <v>0</v>
      </c>
      <c r="BZ184" s="208">
        <v>59035</v>
      </c>
      <c r="CA184" s="208">
        <v>-463314</v>
      </c>
      <c r="CB184" s="208">
        <v>0</v>
      </c>
      <c r="CC184" s="208">
        <v>-463314</v>
      </c>
      <c r="CD184" s="208">
        <v>-35551</v>
      </c>
      <c r="CE184" s="208">
        <v>0</v>
      </c>
      <c r="CF184" s="208">
        <v>-35551</v>
      </c>
      <c r="CG184" s="208">
        <v>0</v>
      </c>
      <c r="CH184" s="208">
        <v>0</v>
      </c>
      <c r="CI184" s="208">
        <v>0</v>
      </c>
      <c r="CJ184" s="208">
        <v>-2705</v>
      </c>
      <c r="CK184" s="208">
        <v>0</v>
      </c>
      <c r="CL184" s="208">
        <v>-2705</v>
      </c>
      <c r="CM184" s="208">
        <v>-10152</v>
      </c>
      <c r="CN184" s="208">
        <v>0</v>
      </c>
      <c r="CO184" s="208">
        <v>-10152</v>
      </c>
      <c r="CP184" s="208">
        <v>-23565</v>
      </c>
      <c r="CQ184" s="208">
        <v>0</v>
      </c>
      <c r="CR184" s="208">
        <v>-23565</v>
      </c>
      <c r="CS184" s="208">
        <v>0</v>
      </c>
      <c r="CT184" s="208">
        <v>0</v>
      </c>
      <c r="CU184" s="208">
        <v>0</v>
      </c>
      <c r="CV184" s="208">
        <v>0</v>
      </c>
      <c r="CW184" s="208">
        <v>0</v>
      </c>
      <c r="CX184" s="208">
        <v>0</v>
      </c>
      <c r="CY184" s="208">
        <v>0</v>
      </c>
      <c r="CZ184" s="208">
        <v>0</v>
      </c>
      <c r="DA184" s="208">
        <v>0</v>
      </c>
      <c r="DB184" s="208">
        <v>0</v>
      </c>
      <c r="DC184" s="208">
        <v>0</v>
      </c>
      <c r="DD184" s="208">
        <v>0</v>
      </c>
      <c r="DE184" s="208">
        <v>0</v>
      </c>
      <c r="DF184" s="208">
        <v>0</v>
      </c>
      <c r="DG184" s="208">
        <v>0</v>
      </c>
      <c r="DH184" s="208">
        <v>0</v>
      </c>
      <c r="DI184" s="208">
        <v>0</v>
      </c>
      <c r="DJ184" s="208">
        <v>0</v>
      </c>
      <c r="DK184" s="208">
        <v>0</v>
      </c>
      <c r="DL184" s="208">
        <v>0</v>
      </c>
      <c r="DM184" s="208">
        <v>0</v>
      </c>
      <c r="DN184" s="208">
        <v>0</v>
      </c>
      <c r="DO184" s="208">
        <v>0</v>
      </c>
      <c r="DP184" s="208">
        <v>-71973</v>
      </c>
      <c r="DQ184" s="208">
        <v>0</v>
      </c>
      <c r="DR184" s="208">
        <v>-71973</v>
      </c>
      <c r="DS184" s="208">
        <v>0</v>
      </c>
      <c r="DT184" s="208">
        <v>0</v>
      </c>
      <c r="DU184" s="208">
        <v>0</v>
      </c>
      <c r="DV184" s="208">
        <v>0</v>
      </c>
      <c r="DW184" s="208">
        <v>0</v>
      </c>
      <c r="DX184" s="208">
        <v>0</v>
      </c>
      <c r="DY184" s="208">
        <v>0</v>
      </c>
      <c r="DZ184" s="208">
        <v>0</v>
      </c>
      <c r="EA184" s="208">
        <v>0</v>
      </c>
      <c r="EB184" s="208">
        <v>0</v>
      </c>
      <c r="EC184" s="208">
        <v>0</v>
      </c>
      <c r="ED184" s="208">
        <v>0</v>
      </c>
      <c r="EE184" s="208">
        <v>0</v>
      </c>
      <c r="EF184" s="208">
        <v>0</v>
      </c>
      <c r="EG184" s="208">
        <v>0</v>
      </c>
      <c r="EH184" s="208">
        <v>-1650</v>
      </c>
      <c r="EI184" s="208">
        <v>0</v>
      </c>
      <c r="EJ184" s="208">
        <v>-1650</v>
      </c>
      <c r="EK184" s="208">
        <v>-26350</v>
      </c>
      <c r="EL184" s="208">
        <v>0</v>
      </c>
      <c r="EM184" s="208">
        <v>-26350</v>
      </c>
      <c r="EN184" s="208">
        <v>-2491</v>
      </c>
      <c r="EO184" s="208">
        <v>0</v>
      </c>
      <c r="EP184" s="208">
        <v>-2491</v>
      </c>
      <c r="EQ184" s="208">
        <v>0</v>
      </c>
      <c r="ER184" s="208">
        <v>0</v>
      </c>
      <c r="ES184" s="208">
        <v>0</v>
      </c>
      <c r="ET184" s="208">
        <v>0</v>
      </c>
      <c r="EU184" s="208">
        <v>0</v>
      </c>
      <c r="EV184" s="208">
        <v>0</v>
      </c>
      <c r="EW184" s="208">
        <v>-14997</v>
      </c>
      <c r="EX184" s="208">
        <v>0</v>
      </c>
      <c r="EY184" s="208">
        <v>-14997</v>
      </c>
      <c r="EZ184" s="208">
        <v>-440</v>
      </c>
      <c r="FA184" s="208">
        <v>0</v>
      </c>
      <c r="FB184" s="208">
        <v>-440</v>
      </c>
      <c r="FC184" s="208">
        <v>-65963</v>
      </c>
      <c r="FD184" s="208">
        <v>0</v>
      </c>
      <c r="FE184" s="208">
        <v>-65963</v>
      </c>
      <c r="FF184" s="208">
        <v>6143</v>
      </c>
      <c r="FG184" s="208">
        <v>0</v>
      </c>
      <c r="FH184" s="208">
        <v>6143</v>
      </c>
      <c r="FI184" s="208">
        <v>-36910</v>
      </c>
      <c r="FJ184" s="208">
        <v>0</v>
      </c>
      <c r="FK184" s="208">
        <v>-36910</v>
      </c>
      <c r="FL184" s="208">
        <v>-537</v>
      </c>
      <c r="FM184" s="208">
        <v>0</v>
      </c>
      <c r="FN184" s="208">
        <v>-537</v>
      </c>
      <c r="FO184" s="208">
        <v>0</v>
      </c>
      <c r="FP184" s="208">
        <v>0</v>
      </c>
      <c r="FQ184" s="208">
        <v>0</v>
      </c>
      <c r="FR184" s="208">
        <v>0</v>
      </c>
      <c r="FS184" s="208">
        <v>0</v>
      </c>
      <c r="FT184" s="208">
        <v>0</v>
      </c>
      <c r="FU184" s="208">
        <v>-143195</v>
      </c>
      <c r="FV184" s="208">
        <v>0</v>
      </c>
      <c r="FW184" s="208">
        <v>-143195</v>
      </c>
      <c r="FX184" s="208">
        <v>0</v>
      </c>
      <c r="FY184" s="208">
        <v>0</v>
      </c>
      <c r="FZ184" s="208">
        <v>0</v>
      </c>
      <c r="GA184" s="208">
        <v>0</v>
      </c>
      <c r="GB184" s="208">
        <v>0</v>
      </c>
      <c r="GC184" s="208">
        <v>0</v>
      </c>
      <c r="GD184" s="208">
        <v>0</v>
      </c>
      <c r="GE184" s="208">
        <v>0</v>
      </c>
      <c r="GF184" s="208">
        <v>0</v>
      </c>
      <c r="GG184" s="208">
        <v>20985979</v>
      </c>
      <c r="GH184" s="208">
        <v>0</v>
      </c>
      <c r="GI184" s="208">
        <v>20985979</v>
      </c>
      <c r="GJ184" s="208">
        <v>-138242</v>
      </c>
      <c r="GK184" s="208">
        <v>0</v>
      </c>
      <c r="GL184" s="208">
        <v>-138242</v>
      </c>
      <c r="GM184" s="208">
        <v>-5969639</v>
      </c>
      <c r="GN184" s="208">
        <v>0</v>
      </c>
      <c r="GO184" s="208">
        <v>-5969639</v>
      </c>
      <c r="GP184" s="208">
        <v>-463314</v>
      </c>
      <c r="GQ184" s="208">
        <v>0</v>
      </c>
      <c r="GR184" s="208">
        <v>-463314</v>
      </c>
      <c r="GS184" s="208">
        <v>-71973</v>
      </c>
      <c r="GT184" s="208">
        <v>0</v>
      </c>
      <c r="GU184" s="208">
        <v>-71973</v>
      </c>
      <c r="GV184" s="208">
        <v>-143195</v>
      </c>
      <c r="GW184" s="208">
        <v>0</v>
      </c>
      <c r="GX184" s="208">
        <v>-143195</v>
      </c>
      <c r="GY184" s="208">
        <v>0</v>
      </c>
      <c r="GZ184" s="208">
        <v>0</v>
      </c>
      <c r="HA184" s="208">
        <v>0</v>
      </c>
      <c r="HB184" s="208">
        <v>-6786363</v>
      </c>
      <c r="HC184" s="208">
        <v>0</v>
      </c>
      <c r="HD184" s="208">
        <v>-6786363</v>
      </c>
      <c r="HE184" s="208">
        <v>14199616</v>
      </c>
      <c r="HF184" s="208">
        <v>0</v>
      </c>
      <c r="HG184" s="208">
        <v>14199616</v>
      </c>
      <c r="HH184" s="187" t="s">
        <v>1054</v>
      </c>
    </row>
    <row r="185" spans="1:216" s="187" customFormat="1" x14ac:dyDescent="0.2">
      <c r="B185" s="429" t="s">
        <v>447</v>
      </c>
      <c r="C185" s="429" t="s">
        <v>446</v>
      </c>
      <c r="D185" s="208">
        <v>-753930</v>
      </c>
      <c r="E185" s="208">
        <v>0</v>
      </c>
      <c r="F185" s="208">
        <v>-753930</v>
      </c>
      <c r="G185" s="208">
        <v>3885</v>
      </c>
      <c r="H185" s="208">
        <v>0</v>
      </c>
      <c r="I185" s="208">
        <v>3885</v>
      </c>
      <c r="J185" s="208">
        <v>145784</v>
      </c>
      <c r="K185" s="208">
        <v>0</v>
      </c>
      <c r="L185" s="208">
        <v>145784</v>
      </c>
      <c r="M185" s="208">
        <v>1720</v>
      </c>
      <c r="N185" s="208">
        <v>0</v>
      </c>
      <c r="O185" s="208">
        <v>1720</v>
      </c>
      <c r="P185" s="208">
        <v>-602541</v>
      </c>
      <c r="Q185" s="208">
        <v>0</v>
      </c>
      <c r="R185" s="208">
        <v>-602541</v>
      </c>
      <c r="S185" s="208">
        <v>-2937515</v>
      </c>
      <c r="T185" s="208">
        <v>0</v>
      </c>
      <c r="U185" s="208">
        <v>-2937515</v>
      </c>
      <c r="V185" s="208">
        <v>-7348</v>
      </c>
      <c r="W185" s="208">
        <v>0</v>
      </c>
      <c r="X185" s="208">
        <v>-7348</v>
      </c>
      <c r="Y185" s="208">
        <v>-165278</v>
      </c>
      <c r="Z185" s="208">
        <v>0</v>
      </c>
      <c r="AA185" s="208">
        <v>-165278</v>
      </c>
      <c r="AB185" s="208">
        <v>-45667</v>
      </c>
      <c r="AC185" s="208">
        <v>0</v>
      </c>
      <c r="AD185" s="208">
        <v>-45667</v>
      </c>
      <c r="AE185" s="208">
        <v>-119611</v>
      </c>
      <c r="AF185" s="208">
        <v>0</v>
      </c>
      <c r="AG185" s="208">
        <v>-119611</v>
      </c>
      <c r="AH185" s="208">
        <v>0</v>
      </c>
      <c r="AI185" s="208">
        <v>0</v>
      </c>
      <c r="AJ185" s="208">
        <v>0</v>
      </c>
      <c r="AK185" s="208">
        <v>0</v>
      </c>
      <c r="AL185" s="208">
        <v>0</v>
      </c>
      <c r="AM185" s="208">
        <v>0</v>
      </c>
      <c r="AN185" s="208">
        <v>334353</v>
      </c>
      <c r="AO185" s="208">
        <v>0</v>
      </c>
      <c r="AP185" s="208">
        <v>334353</v>
      </c>
      <c r="AQ185" s="208">
        <v>-4693</v>
      </c>
      <c r="AR185" s="208">
        <v>0</v>
      </c>
      <c r="AS185" s="208">
        <v>-4693</v>
      </c>
      <c r="AT185" s="208">
        <v>-823071</v>
      </c>
      <c r="AU185" s="208">
        <v>0</v>
      </c>
      <c r="AV185" s="208">
        <v>-823071</v>
      </c>
      <c r="AW185" s="208">
        <v>3692</v>
      </c>
      <c r="AX185" s="208">
        <v>0</v>
      </c>
      <c r="AY185" s="208">
        <v>3692</v>
      </c>
      <c r="AZ185" s="208">
        <v>-18505</v>
      </c>
      <c r="BA185" s="208">
        <v>0</v>
      </c>
      <c r="BB185" s="208">
        <v>-18505</v>
      </c>
      <c r="BC185" s="208">
        <v>4354</v>
      </c>
      <c r="BD185" s="208">
        <v>0</v>
      </c>
      <c r="BE185" s="208">
        <v>4354</v>
      </c>
      <c r="BF185" s="208">
        <v>-1165</v>
      </c>
      <c r="BG185" s="208">
        <v>0</v>
      </c>
      <c r="BH185" s="208">
        <v>-1165</v>
      </c>
      <c r="BI185" s="208">
        <v>0</v>
      </c>
      <c r="BJ185" s="208">
        <v>0</v>
      </c>
      <c r="BK185" s="208">
        <v>0</v>
      </c>
      <c r="BL185" s="208">
        <v>-3607828</v>
      </c>
      <c r="BM185" s="208">
        <v>0</v>
      </c>
      <c r="BN185" s="208">
        <v>-3607828</v>
      </c>
      <c r="BO185" s="208">
        <v>-90237</v>
      </c>
      <c r="BP185" s="208">
        <v>0</v>
      </c>
      <c r="BQ185" s="208">
        <v>-90237</v>
      </c>
      <c r="BR185" s="208">
        <v>-396142</v>
      </c>
      <c r="BS185" s="208">
        <v>0</v>
      </c>
      <c r="BT185" s="208">
        <v>-396142</v>
      </c>
      <c r="BU185" s="208">
        <v>-680538</v>
      </c>
      <c r="BV185" s="208">
        <v>0</v>
      </c>
      <c r="BW185" s="208">
        <v>-680538</v>
      </c>
      <c r="BX185" s="208">
        <v>-119711</v>
      </c>
      <c r="BY185" s="208">
        <v>0</v>
      </c>
      <c r="BZ185" s="208">
        <v>-119711</v>
      </c>
      <c r="CA185" s="208">
        <v>-1286628</v>
      </c>
      <c r="CB185" s="208">
        <v>0</v>
      </c>
      <c r="CC185" s="208">
        <v>-1286628</v>
      </c>
      <c r="CD185" s="208">
        <v>-35817</v>
      </c>
      <c r="CE185" s="208">
        <v>0</v>
      </c>
      <c r="CF185" s="208">
        <v>-35817</v>
      </c>
      <c r="CG185" s="208">
        <v>690</v>
      </c>
      <c r="CH185" s="208">
        <v>0</v>
      </c>
      <c r="CI185" s="208">
        <v>690</v>
      </c>
      <c r="CJ185" s="208">
        <v>-11830</v>
      </c>
      <c r="CK185" s="208">
        <v>0</v>
      </c>
      <c r="CL185" s="208">
        <v>-11830</v>
      </c>
      <c r="CM185" s="208">
        <v>1106</v>
      </c>
      <c r="CN185" s="208">
        <v>0</v>
      </c>
      <c r="CO185" s="208">
        <v>1106</v>
      </c>
      <c r="CP185" s="208">
        <v>-227</v>
      </c>
      <c r="CQ185" s="208">
        <v>0</v>
      </c>
      <c r="CR185" s="208">
        <v>-227</v>
      </c>
      <c r="CS185" s="208">
        <v>0</v>
      </c>
      <c r="CT185" s="208">
        <v>0</v>
      </c>
      <c r="CU185" s="208">
        <v>0</v>
      </c>
      <c r="CV185" s="208">
        <v>0</v>
      </c>
      <c r="CW185" s="208">
        <v>0</v>
      </c>
      <c r="CX185" s="208">
        <v>0</v>
      </c>
      <c r="CY185" s="208">
        <v>0</v>
      </c>
      <c r="CZ185" s="208">
        <v>0</v>
      </c>
      <c r="DA185" s="208">
        <v>0</v>
      </c>
      <c r="DB185" s="208">
        <v>0</v>
      </c>
      <c r="DC185" s="208">
        <v>0</v>
      </c>
      <c r="DD185" s="208">
        <v>0</v>
      </c>
      <c r="DE185" s="208">
        <v>0</v>
      </c>
      <c r="DF185" s="208">
        <v>0</v>
      </c>
      <c r="DG185" s="208">
        <v>0</v>
      </c>
      <c r="DH185" s="208">
        <v>0</v>
      </c>
      <c r="DI185" s="208">
        <v>0</v>
      </c>
      <c r="DJ185" s="208">
        <v>0</v>
      </c>
      <c r="DK185" s="208">
        <v>0</v>
      </c>
      <c r="DL185" s="208">
        <v>0</v>
      </c>
      <c r="DM185" s="208">
        <v>0</v>
      </c>
      <c r="DN185" s="208">
        <v>0</v>
      </c>
      <c r="DO185" s="208">
        <v>0</v>
      </c>
      <c r="DP185" s="208">
        <v>-46078</v>
      </c>
      <c r="DQ185" s="208">
        <v>0</v>
      </c>
      <c r="DR185" s="208">
        <v>-46078</v>
      </c>
      <c r="DS185" s="208">
        <v>0</v>
      </c>
      <c r="DT185" s="208">
        <v>0</v>
      </c>
      <c r="DU185" s="208">
        <v>0</v>
      </c>
      <c r="DV185" s="208">
        <v>0</v>
      </c>
      <c r="DW185" s="208">
        <v>0</v>
      </c>
      <c r="DX185" s="208">
        <v>0</v>
      </c>
      <c r="DY185" s="208">
        <v>0</v>
      </c>
      <c r="DZ185" s="208">
        <v>0</v>
      </c>
      <c r="EA185" s="208">
        <v>0</v>
      </c>
      <c r="EB185" s="208">
        <v>0</v>
      </c>
      <c r="EC185" s="208">
        <v>0</v>
      </c>
      <c r="ED185" s="208">
        <v>0</v>
      </c>
      <c r="EE185" s="208">
        <v>0</v>
      </c>
      <c r="EF185" s="208">
        <v>0</v>
      </c>
      <c r="EG185" s="208">
        <v>0</v>
      </c>
      <c r="EH185" s="208">
        <v>0</v>
      </c>
      <c r="EI185" s="208">
        <v>0</v>
      </c>
      <c r="EJ185" s="208">
        <v>0</v>
      </c>
      <c r="EK185" s="208">
        <v>-1165</v>
      </c>
      <c r="EL185" s="208">
        <v>0</v>
      </c>
      <c r="EM185" s="208">
        <v>-1165</v>
      </c>
      <c r="EN185" s="208">
        <v>0</v>
      </c>
      <c r="EO185" s="208">
        <v>0</v>
      </c>
      <c r="EP185" s="208">
        <v>0</v>
      </c>
      <c r="EQ185" s="208">
        <v>0</v>
      </c>
      <c r="ER185" s="208">
        <v>0</v>
      </c>
      <c r="ES185" s="208">
        <v>0</v>
      </c>
      <c r="ET185" s="208">
        <v>0</v>
      </c>
      <c r="EU185" s="208">
        <v>0</v>
      </c>
      <c r="EV185" s="208">
        <v>0</v>
      </c>
      <c r="EW185" s="208">
        <v>-24157</v>
      </c>
      <c r="EX185" s="208">
        <v>0</v>
      </c>
      <c r="EY185" s="208">
        <v>-24157</v>
      </c>
      <c r="EZ185" s="208">
        <v>-3474</v>
      </c>
      <c r="FA185" s="208">
        <v>0</v>
      </c>
      <c r="FB185" s="208">
        <v>-3474</v>
      </c>
      <c r="FC185" s="208">
        <v>-72059</v>
      </c>
      <c r="FD185" s="208">
        <v>0</v>
      </c>
      <c r="FE185" s="208">
        <v>-72059</v>
      </c>
      <c r="FF185" s="208">
        <v>15908</v>
      </c>
      <c r="FG185" s="208">
        <v>0</v>
      </c>
      <c r="FH185" s="208">
        <v>15908</v>
      </c>
      <c r="FI185" s="208">
        <v>-47714</v>
      </c>
      <c r="FJ185" s="208">
        <v>0</v>
      </c>
      <c r="FK185" s="208">
        <v>-47714</v>
      </c>
      <c r="FL185" s="208">
        <v>1764</v>
      </c>
      <c r="FM185" s="208">
        <v>0</v>
      </c>
      <c r="FN185" s="208">
        <v>1764</v>
      </c>
      <c r="FO185" s="208">
        <v>0</v>
      </c>
      <c r="FP185" s="208">
        <v>0</v>
      </c>
      <c r="FQ185" s="208">
        <v>0</v>
      </c>
      <c r="FR185" s="208">
        <v>0</v>
      </c>
      <c r="FS185" s="208">
        <v>0</v>
      </c>
      <c r="FT185" s="208">
        <v>0</v>
      </c>
      <c r="FU185" s="208">
        <v>-130897</v>
      </c>
      <c r="FV185" s="208">
        <v>0</v>
      </c>
      <c r="FW185" s="208">
        <v>-130897</v>
      </c>
      <c r="FX185" s="208">
        <v>0</v>
      </c>
      <c r="FY185" s="208">
        <v>0</v>
      </c>
      <c r="FZ185" s="208">
        <v>0</v>
      </c>
      <c r="GA185" s="208">
        <v>0</v>
      </c>
      <c r="GB185" s="208">
        <v>0</v>
      </c>
      <c r="GC185" s="208">
        <v>0</v>
      </c>
      <c r="GD185" s="208">
        <v>0</v>
      </c>
      <c r="GE185" s="208">
        <v>0</v>
      </c>
      <c r="GF185" s="208">
        <v>0</v>
      </c>
      <c r="GG185" s="208">
        <v>21839899</v>
      </c>
      <c r="GH185" s="208">
        <v>0</v>
      </c>
      <c r="GI185" s="208">
        <v>21839899</v>
      </c>
      <c r="GJ185" s="208">
        <v>-602541</v>
      </c>
      <c r="GK185" s="208">
        <v>0</v>
      </c>
      <c r="GL185" s="208">
        <v>-602541</v>
      </c>
      <c r="GM185" s="208">
        <v>-3607828</v>
      </c>
      <c r="GN185" s="208">
        <v>0</v>
      </c>
      <c r="GO185" s="208">
        <v>-3607828</v>
      </c>
      <c r="GP185" s="208">
        <v>-1286628</v>
      </c>
      <c r="GQ185" s="208">
        <v>0</v>
      </c>
      <c r="GR185" s="208">
        <v>-1286628</v>
      </c>
      <c r="GS185" s="208">
        <v>-46078</v>
      </c>
      <c r="GT185" s="208">
        <v>0</v>
      </c>
      <c r="GU185" s="208">
        <v>-46078</v>
      </c>
      <c r="GV185" s="208">
        <v>-130897</v>
      </c>
      <c r="GW185" s="208">
        <v>0</v>
      </c>
      <c r="GX185" s="208">
        <v>-130897</v>
      </c>
      <c r="GY185" s="208">
        <v>0</v>
      </c>
      <c r="GZ185" s="208">
        <v>0</v>
      </c>
      <c r="HA185" s="208">
        <v>0</v>
      </c>
      <c r="HB185" s="208">
        <v>-5673972</v>
      </c>
      <c r="HC185" s="208">
        <v>0</v>
      </c>
      <c r="HD185" s="208">
        <v>-5673972</v>
      </c>
      <c r="HE185" s="208">
        <v>16165927</v>
      </c>
      <c r="HF185" s="208">
        <v>0</v>
      </c>
      <c r="HG185" s="208">
        <v>16165927</v>
      </c>
      <c r="HH185" s="187" t="s">
        <v>1054</v>
      </c>
    </row>
    <row r="186" spans="1:216" s="187" customFormat="1" x14ac:dyDescent="0.2">
      <c r="B186" s="429" t="s">
        <v>449</v>
      </c>
      <c r="C186" s="429" t="s">
        <v>448</v>
      </c>
      <c r="D186" s="208">
        <v>-1613255</v>
      </c>
      <c r="E186" s="208">
        <v>0</v>
      </c>
      <c r="F186" s="208">
        <v>-1613255</v>
      </c>
      <c r="G186" s="208">
        <v>-88816</v>
      </c>
      <c r="H186" s="208">
        <v>0</v>
      </c>
      <c r="I186" s="208">
        <v>-88816</v>
      </c>
      <c r="J186" s="208">
        <v>5661370</v>
      </c>
      <c r="K186" s="208">
        <v>0</v>
      </c>
      <c r="L186" s="208">
        <v>5661370</v>
      </c>
      <c r="M186" s="208">
        <v>-1770444</v>
      </c>
      <c r="N186" s="208">
        <v>0</v>
      </c>
      <c r="O186" s="208">
        <v>-1770444</v>
      </c>
      <c r="P186" s="208">
        <v>2188855</v>
      </c>
      <c r="Q186" s="208">
        <v>0</v>
      </c>
      <c r="R186" s="208">
        <v>2188855</v>
      </c>
      <c r="S186" s="208">
        <v>-5062922</v>
      </c>
      <c r="T186" s="208">
        <v>0</v>
      </c>
      <c r="U186" s="208">
        <v>-5062922</v>
      </c>
      <c r="V186" s="208">
        <v>-36189</v>
      </c>
      <c r="W186" s="208">
        <v>0</v>
      </c>
      <c r="X186" s="208">
        <v>-36189</v>
      </c>
      <c r="Y186" s="208">
        <v>-229990</v>
      </c>
      <c r="Z186" s="208">
        <v>0</v>
      </c>
      <c r="AA186" s="208">
        <v>-229990</v>
      </c>
      <c r="AB186" s="208">
        <v>-68132</v>
      </c>
      <c r="AC186" s="208">
        <v>0</v>
      </c>
      <c r="AD186" s="208">
        <v>-68132</v>
      </c>
      <c r="AE186" s="208">
        <v>-192262</v>
      </c>
      <c r="AF186" s="208">
        <v>0</v>
      </c>
      <c r="AG186" s="208">
        <v>-192262</v>
      </c>
      <c r="AH186" s="208">
        <v>15176</v>
      </c>
      <c r="AI186" s="208">
        <v>0</v>
      </c>
      <c r="AJ186" s="208">
        <v>15176</v>
      </c>
      <c r="AK186" s="208">
        <v>17081</v>
      </c>
      <c r="AL186" s="208">
        <v>0</v>
      </c>
      <c r="AM186" s="208">
        <v>17081</v>
      </c>
      <c r="AN186" s="208">
        <v>1485909</v>
      </c>
      <c r="AO186" s="208">
        <v>0</v>
      </c>
      <c r="AP186" s="208">
        <v>1485909</v>
      </c>
      <c r="AQ186" s="208">
        <v>39172</v>
      </c>
      <c r="AR186" s="208">
        <v>0</v>
      </c>
      <c r="AS186" s="208">
        <v>39172</v>
      </c>
      <c r="AT186" s="208">
        <v>-4342010</v>
      </c>
      <c r="AU186" s="208">
        <v>0</v>
      </c>
      <c r="AV186" s="208">
        <v>-4342010</v>
      </c>
      <c r="AW186" s="208">
        <v>-84718</v>
      </c>
      <c r="AX186" s="208">
        <v>0</v>
      </c>
      <c r="AY186" s="208">
        <v>-84718</v>
      </c>
      <c r="AZ186" s="208">
        <v>-96561</v>
      </c>
      <c r="BA186" s="208">
        <v>0</v>
      </c>
      <c r="BB186" s="208">
        <v>-96561</v>
      </c>
      <c r="BC186" s="208">
        <v>0</v>
      </c>
      <c r="BD186" s="208">
        <v>0</v>
      </c>
      <c r="BE186" s="208">
        <v>0</v>
      </c>
      <c r="BF186" s="208">
        <v>-576</v>
      </c>
      <c r="BG186" s="208">
        <v>0</v>
      </c>
      <c r="BH186" s="208">
        <v>-576</v>
      </c>
      <c r="BI186" s="208">
        <v>0</v>
      </c>
      <c r="BJ186" s="208">
        <v>0</v>
      </c>
      <c r="BK186" s="208">
        <v>0</v>
      </c>
      <c r="BL186" s="208">
        <v>-8291696</v>
      </c>
      <c r="BM186" s="208">
        <v>0</v>
      </c>
      <c r="BN186" s="208">
        <v>-8291696</v>
      </c>
      <c r="BO186" s="208">
        <v>-751893</v>
      </c>
      <c r="BP186" s="208">
        <v>0</v>
      </c>
      <c r="BQ186" s="208">
        <v>-751893</v>
      </c>
      <c r="BR186" s="208">
        <v>-22350</v>
      </c>
      <c r="BS186" s="208">
        <v>0</v>
      </c>
      <c r="BT186" s="208">
        <v>-22350</v>
      </c>
      <c r="BU186" s="208">
        <v>-2088002</v>
      </c>
      <c r="BV186" s="208">
        <v>0</v>
      </c>
      <c r="BW186" s="208">
        <v>-2088002</v>
      </c>
      <c r="BX186" s="208">
        <v>61726</v>
      </c>
      <c r="BY186" s="208">
        <v>0</v>
      </c>
      <c r="BZ186" s="208">
        <v>61726</v>
      </c>
      <c r="CA186" s="208">
        <v>-2800519</v>
      </c>
      <c r="CB186" s="208">
        <v>0</v>
      </c>
      <c r="CC186" s="208">
        <v>-2800519</v>
      </c>
      <c r="CD186" s="208">
        <v>-81104</v>
      </c>
      <c r="CE186" s="208">
        <v>0</v>
      </c>
      <c r="CF186" s="208">
        <v>-81104</v>
      </c>
      <c r="CG186" s="208">
        <v>13690</v>
      </c>
      <c r="CH186" s="208">
        <v>0</v>
      </c>
      <c r="CI186" s="208">
        <v>13690</v>
      </c>
      <c r="CJ186" s="208">
        <v>-231628</v>
      </c>
      <c r="CK186" s="208">
        <v>0</v>
      </c>
      <c r="CL186" s="208">
        <v>-231628</v>
      </c>
      <c r="CM186" s="208">
        <v>-25386</v>
      </c>
      <c r="CN186" s="208">
        <v>0</v>
      </c>
      <c r="CO186" s="208">
        <v>-25386</v>
      </c>
      <c r="CP186" s="208">
        <v>-2264</v>
      </c>
      <c r="CQ186" s="208">
        <v>0</v>
      </c>
      <c r="CR186" s="208">
        <v>-2264</v>
      </c>
      <c r="CS186" s="208">
        <v>0</v>
      </c>
      <c r="CT186" s="208">
        <v>0</v>
      </c>
      <c r="CU186" s="208">
        <v>0</v>
      </c>
      <c r="CV186" s="208">
        <v>0</v>
      </c>
      <c r="CW186" s="208">
        <v>0</v>
      </c>
      <c r="CX186" s="208">
        <v>0</v>
      </c>
      <c r="CY186" s="208">
        <v>0</v>
      </c>
      <c r="CZ186" s="208">
        <v>0</v>
      </c>
      <c r="DA186" s="208">
        <v>0</v>
      </c>
      <c r="DB186" s="208">
        <v>0</v>
      </c>
      <c r="DC186" s="208">
        <v>0</v>
      </c>
      <c r="DD186" s="208">
        <v>0</v>
      </c>
      <c r="DE186" s="208">
        <v>0</v>
      </c>
      <c r="DF186" s="208">
        <v>0</v>
      </c>
      <c r="DG186" s="208">
        <v>0</v>
      </c>
      <c r="DH186" s="208">
        <v>-82979</v>
      </c>
      <c r="DI186" s="208">
        <v>-131547</v>
      </c>
      <c r="DJ186" s="208">
        <v>-214526</v>
      </c>
      <c r="DK186" s="208">
        <v>0</v>
      </c>
      <c r="DL186" s="208">
        <v>6287</v>
      </c>
      <c r="DM186" s="208">
        <v>6287</v>
      </c>
      <c r="DN186" s="208">
        <v>-125260</v>
      </c>
      <c r="DO186" s="208">
        <v>0</v>
      </c>
      <c r="DP186" s="208">
        <v>-409671</v>
      </c>
      <c r="DQ186" s="208">
        <v>-125260</v>
      </c>
      <c r="DR186" s="208">
        <v>-534931</v>
      </c>
      <c r="DS186" s="208">
        <v>0</v>
      </c>
      <c r="DT186" s="208">
        <v>0</v>
      </c>
      <c r="DU186" s="208">
        <v>0</v>
      </c>
      <c r="DV186" s="208">
        <v>-3258</v>
      </c>
      <c r="DW186" s="208">
        <v>0</v>
      </c>
      <c r="DX186" s="208">
        <v>-3258</v>
      </c>
      <c r="DY186" s="208">
        <v>1245</v>
      </c>
      <c r="DZ186" s="208">
        <v>0</v>
      </c>
      <c r="EA186" s="208">
        <v>1245</v>
      </c>
      <c r="EB186" s="208">
        <v>0</v>
      </c>
      <c r="EC186" s="208">
        <v>0</v>
      </c>
      <c r="ED186" s="208">
        <v>0</v>
      </c>
      <c r="EE186" s="208">
        <v>1742</v>
      </c>
      <c r="EF186" s="208">
        <v>0</v>
      </c>
      <c r="EG186" s="208">
        <v>1742</v>
      </c>
      <c r="EH186" s="208">
        <v>0</v>
      </c>
      <c r="EI186" s="208">
        <v>0</v>
      </c>
      <c r="EJ186" s="208">
        <v>0</v>
      </c>
      <c r="EK186" s="208">
        <v>-576</v>
      </c>
      <c r="EL186" s="208">
        <v>0</v>
      </c>
      <c r="EM186" s="208">
        <v>-576</v>
      </c>
      <c r="EN186" s="208">
        <v>0</v>
      </c>
      <c r="EO186" s="208">
        <v>0</v>
      </c>
      <c r="EP186" s="208">
        <v>0</v>
      </c>
      <c r="EQ186" s="208">
        <v>-1500</v>
      </c>
      <c r="ER186" s="208">
        <v>0</v>
      </c>
      <c r="ES186" s="208">
        <v>-1500</v>
      </c>
      <c r="ET186" s="208">
        <v>0</v>
      </c>
      <c r="EU186" s="208">
        <v>0</v>
      </c>
      <c r="EV186" s="208">
        <v>0</v>
      </c>
      <c r="EW186" s="208">
        <v>-17887</v>
      </c>
      <c r="EX186" s="208">
        <v>0</v>
      </c>
      <c r="EY186" s="208">
        <v>-17887</v>
      </c>
      <c r="EZ186" s="208">
        <v>705</v>
      </c>
      <c r="FA186" s="208">
        <v>0</v>
      </c>
      <c r="FB186" s="208">
        <v>705</v>
      </c>
      <c r="FC186" s="208">
        <v>-117002</v>
      </c>
      <c r="FD186" s="208">
        <v>0</v>
      </c>
      <c r="FE186" s="208">
        <v>-117002</v>
      </c>
      <c r="FF186" s="208">
        <v>1879</v>
      </c>
      <c r="FG186" s="208">
        <v>0</v>
      </c>
      <c r="FH186" s="208">
        <v>1879</v>
      </c>
      <c r="FI186" s="208">
        <v>-41627</v>
      </c>
      <c r="FJ186" s="208">
        <v>0</v>
      </c>
      <c r="FK186" s="208">
        <v>-41627</v>
      </c>
      <c r="FL186" s="208">
        <v>2578</v>
      </c>
      <c r="FM186" s="208">
        <v>0</v>
      </c>
      <c r="FN186" s="208">
        <v>2578</v>
      </c>
      <c r="FO186" s="208">
        <v>0</v>
      </c>
      <c r="FP186" s="208">
        <v>0</v>
      </c>
      <c r="FQ186" s="208">
        <v>0</v>
      </c>
      <c r="FR186" s="208">
        <v>0</v>
      </c>
      <c r="FS186" s="208">
        <v>0</v>
      </c>
      <c r="FT186" s="208">
        <v>0</v>
      </c>
      <c r="FU186" s="208">
        <v>-173701</v>
      </c>
      <c r="FV186" s="208">
        <v>0</v>
      </c>
      <c r="FW186" s="208">
        <v>-173701</v>
      </c>
      <c r="FX186" s="208">
        <v>0</v>
      </c>
      <c r="FY186" s="208">
        <v>0</v>
      </c>
      <c r="FZ186" s="208">
        <v>0</v>
      </c>
      <c r="GA186" s="208">
        <v>0</v>
      </c>
      <c r="GB186" s="208">
        <v>0</v>
      </c>
      <c r="GC186" s="208">
        <v>0</v>
      </c>
      <c r="GD186" s="208">
        <v>0</v>
      </c>
      <c r="GE186" s="208">
        <v>0</v>
      </c>
      <c r="GF186" s="208">
        <v>0</v>
      </c>
      <c r="GG186" s="208">
        <v>70493236</v>
      </c>
      <c r="GH186" s="208">
        <v>125260</v>
      </c>
      <c r="GI186" s="208">
        <v>70618496</v>
      </c>
      <c r="GJ186" s="208">
        <v>2188855</v>
      </c>
      <c r="GK186" s="208">
        <v>0</v>
      </c>
      <c r="GL186" s="208">
        <v>2188855</v>
      </c>
      <c r="GM186" s="208">
        <v>-8291696</v>
      </c>
      <c r="GN186" s="208">
        <v>0</v>
      </c>
      <c r="GO186" s="208">
        <v>-8291696</v>
      </c>
      <c r="GP186" s="208">
        <v>-2800519</v>
      </c>
      <c r="GQ186" s="208">
        <v>0</v>
      </c>
      <c r="GR186" s="208">
        <v>-2800519</v>
      </c>
      <c r="GS186" s="208">
        <v>-409671</v>
      </c>
      <c r="GT186" s="208">
        <v>-125260</v>
      </c>
      <c r="GU186" s="208">
        <v>-534931</v>
      </c>
      <c r="GV186" s="208">
        <v>-173701</v>
      </c>
      <c r="GW186" s="208">
        <v>0</v>
      </c>
      <c r="GX186" s="208">
        <v>-173701</v>
      </c>
      <c r="GY186" s="208">
        <v>0</v>
      </c>
      <c r="GZ186" s="208">
        <v>0</v>
      </c>
      <c r="HA186" s="208">
        <v>0</v>
      </c>
      <c r="HB186" s="208">
        <v>-9486732</v>
      </c>
      <c r="HC186" s="208">
        <v>-125260</v>
      </c>
      <c r="HD186" s="208">
        <v>-9611992</v>
      </c>
      <c r="HE186" s="208">
        <v>61006504</v>
      </c>
      <c r="HF186" s="208">
        <v>0</v>
      </c>
      <c r="HG186" s="208">
        <v>61006504</v>
      </c>
      <c r="HH186" s="187" t="s">
        <v>742</v>
      </c>
    </row>
    <row r="187" spans="1:216" s="187" customFormat="1" x14ac:dyDescent="0.2">
      <c r="A187" s="188"/>
      <c r="B187" s="429" t="s">
        <v>451</v>
      </c>
      <c r="C187" s="429" t="s">
        <v>450</v>
      </c>
      <c r="D187" s="208">
        <v>-1004274</v>
      </c>
      <c r="E187" s="208">
        <v>0</v>
      </c>
      <c r="F187" s="208">
        <v>-1004274</v>
      </c>
      <c r="G187" s="208">
        <v>10780</v>
      </c>
      <c r="H187" s="208">
        <v>0</v>
      </c>
      <c r="I187" s="208">
        <v>10780</v>
      </c>
      <c r="J187" s="208">
        <v>618510</v>
      </c>
      <c r="K187" s="208">
        <v>0</v>
      </c>
      <c r="L187" s="208">
        <v>618510</v>
      </c>
      <c r="M187" s="208">
        <v>-63206</v>
      </c>
      <c r="N187" s="208">
        <v>0</v>
      </c>
      <c r="O187" s="208">
        <v>-63206</v>
      </c>
      <c r="P187" s="208">
        <v>-438190</v>
      </c>
      <c r="Q187" s="208">
        <v>0</v>
      </c>
      <c r="R187" s="208">
        <v>-438190</v>
      </c>
      <c r="S187" s="208">
        <v>-4675496</v>
      </c>
      <c r="T187" s="208">
        <v>0</v>
      </c>
      <c r="U187" s="208">
        <v>-4675496</v>
      </c>
      <c r="V187" s="208">
        <v>0</v>
      </c>
      <c r="W187" s="208">
        <v>0</v>
      </c>
      <c r="X187" s="208">
        <v>0</v>
      </c>
      <c r="Y187" s="208">
        <v>-306594</v>
      </c>
      <c r="Z187" s="208">
        <v>0</v>
      </c>
      <c r="AA187" s="208">
        <v>-306594</v>
      </c>
      <c r="AB187" s="208">
        <v>-66832</v>
      </c>
      <c r="AC187" s="208">
        <v>0</v>
      </c>
      <c r="AD187" s="208">
        <v>-66832</v>
      </c>
      <c r="AE187" s="208">
        <v>-222813</v>
      </c>
      <c r="AF187" s="208">
        <v>0</v>
      </c>
      <c r="AG187" s="208">
        <v>-222813</v>
      </c>
      <c r="AH187" s="208">
        <v>0</v>
      </c>
      <c r="AI187" s="208">
        <v>0</v>
      </c>
      <c r="AJ187" s="208">
        <v>0</v>
      </c>
      <c r="AK187" s="208">
        <v>0</v>
      </c>
      <c r="AL187" s="208">
        <v>0</v>
      </c>
      <c r="AM187" s="208">
        <v>0</v>
      </c>
      <c r="AN187" s="208">
        <v>754330</v>
      </c>
      <c r="AO187" s="208">
        <v>0</v>
      </c>
      <c r="AP187" s="208">
        <v>754330</v>
      </c>
      <c r="AQ187" s="208">
        <v>-12412</v>
      </c>
      <c r="AR187" s="208">
        <v>0</v>
      </c>
      <c r="AS187" s="208">
        <v>-12412</v>
      </c>
      <c r="AT187" s="208">
        <v>-3239890</v>
      </c>
      <c r="AU187" s="208">
        <v>0</v>
      </c>
      <c r="AV187" s="208">
        <v>-3239890</v>
      </c>
      <c r="AW187" s="208">
        <v>41387</v>
      </c>
      <c r="AX187" s="208">
        <v>0</v>
      </c>
      <c r="AY187" s="208">
        <v>41387</v>
      </c>
      <c r="AZ187" s="208">
        <v>-37121</v>
      </c>
      <c r="BA187" s="208">
        <v>0</v>
      </c>
      <c r="BB187" s="208">
        <v>-37121</v>
      </c>
      <c r="BC187" s="208">
        <v>-140</v>
      </c>
      <c r="BD187" s="208">
        <v>0</v>
      </c>
      <c r="BE187" s="208">
        <v>-140</v>
      </c>
      <c r="BF187" s="208">
        <v>-18817</v>
      </c>
      <c r="BG187" s="208">
        <v>0</v>
      </c>
      <c r="BH187" s="208">
        <v>-18817</v>
      </c>
      <c r="BI187" s="208">
        <v>27</v>
      </c>
      <c r="BJ187" s="208">
        <v>0</v>
      </c>
      <c r="BK187" s="208">
        <v>27</v>
      </c>
      <c r="BL187" s="208">
        <v>-7494726</v>
      </c>
      <c r="BM187" s="208">
        <v>0</v>
      </c>
      <c r="BN187" s="208">
        <v>-7494726</v>
      </c>
      <c r="BO187" s="208">
        <v>-42291</v>
      </c>
      <c r="BP187" s="208">
        <v>0</v>
      </c>
      <c r="BQ187" s="208">
        <v>-42291</v>
      </c>
      <c r="BR187" s="208">
        <v>18882</v>
      </c>
      <c r="BS187" s="208">
        <v>0</v>
      </c>
      <c r="BT187" s="208">
        <v>18882</v>
      </c>
      <c r="BU187" s="208">
        <v>-1399222</v>
      </c>
      <c r="BV187" s="208">
        <v>0</v>
      </c>
      <c r="BW187" s="208">
        <v>-1399222</v>
      </c>
      <c r="BX187" s="208">
        <v>-11991</v>
      </c>
      <c r="BY187" s="208">
        <v>0</v>
      </c>
      <c r="BZ187" s="208">
        <v>-11991</v>
      </c>
      <c r="CA187" s="208">
        <v>-1434622</v>
      </c>
      <c r="CB187" s="208">
        <v>0</v>
      </c>
      <c r="CC187" s="208">
        <v>-1434622</v>
      </c>
      <c r="CD187" s="208">
        <v>-181621</v>
      </c>
      <c r="CE187" s="208">
        <v>0</v>
      </c>
      <c r="CF187" s="208">
        <v>-181621</v>
      </c>
      <c r="CG187" s="208">
        <v>-2044</v>
      </c>
      <c r="CH187" s="208">
        <v>0</v>
      </c>
      <c r="CI187" s="208">
        <v>-2044</v>
      </c>
      <c r="CJ187" s="208">
        <v>-103785</v>
      </c>
      <c r="CK187" s="208">
        <v>0</v>
      </c>
      <c r="CL187" s="208">
        <v>-103785</v>
      </c>
      <c r="CM187" s="208">
        <v>-297</v>
      </c>
      <c r="CN187" s="208">
        <v>0</v>
      </c>
      <c r="CO187" s="208">
        <v>-297</v>
      </c>
      <c r="CP187" s="208">
        <v>-7749</v>
      </c>
      <c r="CQ187" s="208">
        <v>0</v>
      </c>
      <c r="CR187" s="208">
        <v>-7749</v>
      </c>
      <c r="CS187" s="208">
        <v>0</v>
      </c>
      <c r="CT187" s="208">
        <v>0</v>
      </c>
      <c r="CU187" s="208">
        <v>0</v>
      </c>
      <c r="CV187" s="208">
        <v>0</v>
      </c>
      <c r="CW187" s="208">
        <v>0</v>
      </c>
      <c r="CX187" s="208">
        <v>0</v>
      </c>
      <c r="CY187" s="208">
        <v>0</v>
      </c>
      <c r="CZ187" s="208">
        <v>0</v>
      </c>
      <c r="DA187" s="208">
        <v>0</v>
      </c>
      <c r="DB187" s="208">
        <v>0</v>
      </c>
      <c r="DC187" s="208">
        <v>0</v>
      </c>
      <c r="DD187" s="208">
        <v>0</v>
      </c>
      <c r="DE187" s="208">
        <v>0</v>
      </c>
      <c r="DF187" s="208">
        <v>0</v>
      </c>
      <c r="DG187" s="208">
        <v>0</v>
      </c>
      <c r="DH187" s="208">
        <v>0</v>
      </c>
      <c r="DI187" s="208">
        <v>0</v>
      </c>
      <c r="DJ187" s="208">
        <v>0</v>
      </c>
      <c r="DK187" s="208">
        <v>0</v>
      </c>
      <c r="DL187" s="208">
        <v>0</v>
      </c>
      <c r="DM187" s="208">
        <v>0</v>
      </c>
      <c r="DN187" s="208">
        <v>0</v>
      </c>
      <c r="DO187" s="208">
        <v>0</v>
      </c>
      <c r="DP187" s="208">
        <v>-295496</v>
      </c>
      <c r="DQ187" s="208">
        <v>0</v>
      </c>
      <c r="DR187" s="208">
        <v>-295496</v>
      </c>
      <c r="DS187" s="208">
        <v>0</v>
      </c>
      <c r="DT187" s="208">
        <v>0</v>
      </c>
      <c r="DU187" s="208">
        <v>0</v>
      </c>
      <c r="DV187" s="208">
        <v>0</v>
      </c>
      <c r="DW187" s="208">
        <v>0</v>
      </c>
      <c r="DX187" s="208">
        <v>0</v>
      </c>
      <c r="DY187" s="208">
        <v>0</v>
      </c>
      <c r="DZ187" s="208">
        <v>0</v>
      </c>
      <c r="EA187" s="208">
        <v>0</v>
      </c>
      <c r="EB187" s="208">
        <v>0</v>
      </c>
      <c r="EC187" s="208">
        <v>0</v>
      </c>
      <c r="ED187" s="208">
        <v>0</v>
      </c>
      <c r="EE187" s="208">
        <v>0</v>
      </c>
      <c r="EF187" s="208">
        <v>0</v>
      </c>
      <c r="EG187" s="208">
        <v>0</v>
      </c>
      <c r="EH187" s="208">
        <v>0</v>
      </c>
      <c r="EI187" s="208">
        <v>0</v>
      </c>
      <c r="EJ187" s="208">
        <v>0</v>
      </c>
      <c r="EK187" s="208">
        <v>-1171</v>
      </c>
      <c r="EL187" s="208">
        <v>0</v>
      </c>
      <c r="EM187" s="208">
        <v>-1171</v>
      </c>
      <c r="EN187" s="208">
        <v>3011</v>
      </c>
      <c r="EO187" s="208">
        <v>0</v>
      </c>
      <c r="EP187" s="208">
        <v>3011</v>
      </c>
      <c r="EQ187" s="208">
        <v>0</v>
      </c>
      <c r="ER187" s="208">
        <v>0</v>
      </c>
      <c r="ES187" s="208">
        <v>0</v>
      </c>
      <c r="ET187" s="208">
        <v>0</v>
      </c>
      <c r="EU187" s="208">
        <v>0</v>
      </c>
      <c r="EV187" s="208">
        <v>0</v>
      </c>
      <c r="EW187" s="208">
        <v>-17996</v>
      </c>
      <c r="EX187" s="208">
        <v>0</v>
      </c>
      <c r="EY187" s="208">
        <v>-17996</v>
      </c>
      <c r="EZ187" s="208">
        <v>-558</v>
      </c>
      <c r="FA187" s="208">
        <v>0</v>
      </c>
      <c r="FB187" s="208">
        <v>-558</v>
      </c>
      <c r="FC187" s="208">
        <v>-150735</v>
      </c>
      <c r="FD187" s="208">
        <v>0</v>
      </c>
      <c r="FE187" s="208">
        <v>-150735</v>
      </c>
      <c r="FF187" s="208">
        <v>1773</v>
      </c>
      <c r="FG187" s="208">
        <v>0</v>
      </c>
      <c r="FH187" s="208">
        <v>1773</v>
      </c>
      <c r="FI187" s="208">
        <v>-33425</v>
      </c>
      <c r="FJ187" s="208">
        <v>0</v>
      </c>
      <c r="FK187" s="208">
        <v>-33425</v>
      </c>
      <c r="FL187" s="208">
        <v>1000</v>
      </c>
      <c r="FM187" s="208">
        <v>0</v>
      </c>
      <c r="FN187" s="208">
        <v>1000</v>
      </c>
      <c r="FO187" s="208">
        <v>0</v>
      </c>
      <c r="FP187" s="208">
        <v>0</v>
      </c>
      <c r="FQ187" s="208">
        <v>0</v>
      </c>
      <c r="FR187" s="208">
        <v>0</v>
      </c>
      <c r="FS187" s="208">
        <v>0</v>
      </c>
      <c r="FT187" s="208">
        <v>0</v>
      </c>
      <c r="FU187" s="208">
        <v>-198101</v>
      </c>
      <c r="FV187" s="208">
        <v>0</v>
      </c>
      <c r="FW187" s="208">
        <v>-198101</v>
      </c>
      <c r="FX187" s="208">
        <v>0</v>
      </c>
      <c r="FY187" s="208">
        <v>0</v>
      </c>
      <c r="FZ187" s="208">
        <v>0</v>
      </c>
      <c r="GA187" s="208">
        <v>0</v>
      </c>
      <c r="GB187" s="208">
        <v>0</v>
      </c>
      <c r="GC187" s="208">
        <v>0</v>
      </c>
      <c r="GD187" s="208">
        <v>0</v>
      </c>
      <c r="GE187" s="208">
        <v>0</v>
      </c>
      <c r="GF187" s="208">
        <v>0</v>
      </c>
      <c r="GG187" s="208">
        <v>47426771</v>
      </c>
      <c r="GH187" s="208">
        <v>0</v>
      </c>
      <c r="GI187" s="208">
        <v>47426771</v>
      </c>
      <c r="GJ187" s="208">
        <v>-438190</v>
      </c>
      <c r="GK187" s="208">
        <v>0</v>
      </c>
      <c r="GL187" s="208">
        <v>-438190</v>
      </c>
      <c r="GM187" s="208">
        <v>-7494726</v>
      </c>
      <c r="GN187" s="208">
        <v>0</v>
      </c>
      <c r="GO187" s="208">
        <v>-7494726</v>
      </c>
      <c r="GP187" s="208">
        <v>-1434622</v>
      </c>
      <c r="GQ187" s="208">
        <v>0</v>
      </c>
      <c r="GR187" s="208">
        <v>-1434622</v>
      </c>
      <c r="GS187" s="208">
        <v>-295496</v>
      </c>
      <c r="GT187" s="208">
        <v>0</v>
      </c>
      <c r="GU187" s="208">
        <v>-295496</v>
      </c>
      <c r="GV187" s="208">
        <v>-198101</v>
      </c>
      <c r="GW187" s="208">
        <v>0</v>
      </c>
      <c r="GX187" s="208">
        <v>-198101</v>
      </c>
      <c r="GY187" s="208">
        <v>0</v>
      </c>
      <c r="GZ187" s="208">
        <v>0</v>
      </c>
      <c r="HA187" s="208">
        <v>0</v>
      </c>
      <c r="HB187" s="208">
        <v>-9861135</v>
      </c>
      <c r="HC187" s="208">
        <v>0</v>
      </c>
      <c r="HD187" s="208">
        <v>-9861135</v>
      </c>
      <c r="HE187" s="208">
        <v>37565636</v>
      </c>
      <c r="HF187" s="208">
        <v>0</v>
      </c>
      <c r="HG187" s="208">
        <v>37565636</v>
      </c>
      <c r="HH187" s="187" t="s">
        <v>1054</v>
      </c>
    </row>
    <row r="188" spans="1:216" s="187" customFormat="1" x14ac:dyDescent="0.2">
      <c r="B188" s="429" t="s">
        <v>453</v>
      </c>
      <c r="C188" s="429" t="s">
        <v>452</v>
      </c>
      <c r="D188" s="208">
        <v>-1059773</v>
      </c>
      <c r="E188" s="208">
        <v>0</v>
      </c>
      <c r="F188" s="208">
        <v>-1059773</v>
      </c>
      <c r="G188" s="208">
        <v>-122494</v>
      </c>
      <c r="H188" s="208">
        <v>0</v>
      </c>
      <c r="I188" s="208">
        <v>-122494</v>
      </c>
      <c r="J188" s="208">
        <v>220036</v>
      </c>
      <c r="K188" s="208">
        <v>0</v>
      </c>
      <c r="L188" s="208">
        <v>220036</v>
      </c>
      <c r="M188" s="208">
        <v>-14720</v>
      </c>
      <c r="N188" s="208">
        <v>0</v>
      </c>
      <c r="O188" s="208">
        <v>-14720</v>
      </c>
      <c r="P188" s="208">
        <v>-976951</v>
      </c>
      <c r="Q188" s="208">
        <v>0</v>
      </c>
      <c r="R188" s="208">
        <v>-976951</v>
      </c>
      <c r="S188" s="208">
        <v>-3687565</v>
      </c>
      <c r="T188" s="208">
        <v>0</v>
      </c>
      <c r="U188" s="208">
        <v>-3687565</v>
      </c>
      <c r="V188" s="208">
        <v>-15453</v>
      </c>
      <c r="W188" s="208">
        <v>0</v>
      </c>
      <c r="X188" s="208">
        <v>-15453</v>
      </c>
      <c r="Y188" s="208">
        <v>-83858</v>
      </c>
      <c r="Z188" s="208">
        <v>0</v>
      </c>
      <c r="AA188" s="208">
        <v>-83858</v>
      </c>
      <c r="AB188" s="208">
        <v>-16504</v>
      </c>
      <c r="AC188" s="208">
        <v>0</v>
      </c>
      <c r="AD188" s="208">
        <v>-16504</v>
      </c>
      <c r="AE188" s="208">
        <v>-67354</v>
      </c>
      <c r="AF188" s="208">
        <v>0</v>
      </c>
      <c r="AG188" s="208">
        <v>-67354</v>
      </c>
      <c r="AH188" s="208">
        <v>0</v>
      </c>
      <c r="AI188" s="208">
        <v>0</v>
      </c>
      <c r="AJ188" s="208">
        <v>0</v>
      </c>
      <c r="AK188" s="208">
        <v>-1146</v>
      </c>
      <c r="AL188" s="208">
        <v>0</v>
      </c>
      <c r="AM188" s="208">
        <v>-1146</v>
      </c>
      <c r="AN188" s="208">
        <v>620302</v>
      </c>
      <c r="AO188" s="208">
        <v>0</v>
      </c>
      <c r="AP188" s="208">
        <v>620302</v>
      </c>
      <c r="AQ188" s="208">
        <v>635</v>
      </c>
      <c r="AR188" s="208">
        <v>0</v>
      </c>
      <c r="AS188" s="208">
        <v>635</v>
      </c>
      <c r="AT188" s="208">
        <v>-2030633</v>
      </c>
      <c r="AU188" s="208">
        <v>0</v>
      </c>
      <c r="AV188" s="208">
        <v>-2030633</v>
      </c>
      <c r="AW188" s="208">
        <v>-18272</v>
      </c>
      <c r="AX188" s="208">
        <v>0</v>
      </c>
      <c r="AY188" s="208">
        <v>-18272</v>
      </c>
      <c r="AZ188" s="208">
        <v>-43005</v>
      </c>
      <c r="BA188" s="208">
        <v>0</v>
      </c>
      <c r="BB188" s="208">
        <v>-43005</v>
      </c>
      <c r="BC188" s="208">
        <v>0</v>
      </c>
      <c r="BD188" s="208">
        <v>0</v>
      </c>
      <c r="BE188" s="208">
        <v>0</v>
      </c>
      <c r="BF188" s="208">
        <v>-22797</v>
      </c>
      <c r="BG188" s="208">
        <v>0</v>
      </c>
      <c r="BH188" s="208">
        <v>-22797</v>
      </c>
      <c r="BI188" s="208">
        <v>0</v>
      </c>
      <c r="BJ188" s="208">
        <v>0</v>
      </c>
      <c r="BK188" s="208">
        <v>0</v>
      </c>
      <c r="BL188" s="208">
        <v>-5265193</v>
      </c>
      <c r="BM188" s="208">
        <v>0</v>
      </c>
      <c r="BN188" s="208">
        <v>-5265193</v>
      </c>
      <c r="BO188" s="208">
        <v>-690</v>
      </c>
      <c r="BP188" s="208">
        <v>0</v>
      </c>
      <c r="BQ188" s="208">
        <v>-690</v>
      </c>
      <c r="BR188" s="208">
        <v>0</v>
      </c>
      <c r="BS188" s="208">
        <v>0</v>
      </c>
      <c r="BT188" s="208">
        <v>0</v>
      </c>
      <c r="BU188" s="208">
        <v>-792983</v>
      </c>
      <c r="BV188" s="208">
        <v>0</v>
      </c>
      <c r="BW188" s="208">
        <v>-792983</v>
      </c>
      <c r="BX188" s="208">
        <v>10343</v>
      </c>
      <c r="BY188" s="208">
        <v>0</v>
      </c>
      <c r="BZ188" s="208">
        <v>10343</v>
      </c>
      <c r="CA188" s="208">
        <v>-783330</v>
      </c>
      <c r="CB188" s="208">
        <v>0</v>
      </c>
      <c r="CC188" s="208">
        <v>-783330</v>
      </c>
      <c r="CD188" s="208">
        <v>-123922</v>
      </c>
      <c r="CE188" s="208">
        <v>0</v>
      </c>
      <c r="CF188" s="208">
        <v>-123922</v>
      </c>
      <c r="CG188" s="208">
        <v>-11063</v>
      </c>
      <c r="CH188" s="208">
        <v>0</v>
      </c>
      <c r="CI188" s="208">
        <v>-11063</v>
      </c>
      <c r="CJ188" s="208">
        <v>-10800</v>
      </c>
      <c r="CK188" s="208">
        <v>0</v>
      </c>
      <c r="CL188" s="208">
        <v>-10800</v>
      </c>
      <c r="CM188" s="208">
        <v>0</v>
      </c>
      <c r="CN188" s="208">
        <v>0</v>
      </c>
      <c r="CO188" s="208">
        <v>0</v>
      </c>
      <c r="CP188" s="208">
        <v>-97</v>
      </c>
      <c r="CQ188" s="208">
        <v>0</v>
      </c>
      <c r="CR188" s="208">
        <v>-97</v>
      </c>
      <c r="CS188" s="208">
        <v>0</v>
      </c>
      <c r="CT188" s="208">
        <v>0</v>
      </c>
      <c r="CU188" s="208">
        <v>0</v>
      </c>
      <c r="CV188" s="208">
        <v>0</v>
      </c>
      <c r="CW188" s="208">
        <v>0</v>
      </c>
      <c r="CX188" s="208">
        <v>0</v>
      </c>
      <c r="CY188" s="208">
        <v>0</v>
      </c>
      <c r="CZ188" s="208">
        <v>0</v>
      </c>
      <c r="DA188" s="208">
        <v>0</v>
      </c>
      <c r="DB188" s="208">
        <v>-22796</v>
      </c>
      <c r="DC188" s="208">
        <v>0</v>
      </c>
      <c r="DD188" s="208">
        <v>-22796</v>
      </c>
      <c r="DE188" s="208">
        <v>0</v>
      </c>
      <c r="DF188" s="208">
        <v>0</v>
      </c>
      <c r="DG188" s="208">
        <v>0</v>
      </c>
      <c r="DH188" s="208">
        <v>-108934</v>
      </c>
      <c r="DI188" s="208">
        <v>0</v>
      </c>
      <c r="DJ188" s="208">
        <v>-108934</v>
      </c>
      <c r="DK188" s="208">
        <v>0</v>
      </c>
      <c r="DL188" s="208">
        <v>0</v>
      </c>
      <c r="DM188" s="208">
        <v>0</v>
      </c>
      <c r="DN188" s="208">
        <v>0</v>
      </c>
      <c r="DO188" s="208">
        <v>0</v>
      </c>
      <c r="DP188" s="208">
        <v>-277612</v>
      </c>
      <c r="DQ188" s="208">
        <v>0</v>
      </c>
      <c r="DR188" s="208">
        <v>-277612</v>
      </c>
      <c r="DS188" s="208">
        <v>0</v>
      </c>
      <c r="DT188" s="208">
        <v>0</v>
      </c>
      <c r="DU188" s="208">
        <v>0</v>
      </c>
      <c r="DV188" s="208">
        <v>0</v>
      </c>
      <c r="DW188" s="208">
        <v>0</v>
      </c>
      <c r="DX188" s="208">
        <v>0</v>
      </c>
      <c r="DY188" s="208">
        <v>0</v>
      </c>
      <c r="DZ188" s="208">
        <v>0</v>
      </c>
      <c r="EA188" s="208">
        <v>0</v>
      </c>
      <c r="EB188" s="208">
        <v>0</v>
      </c>
      <c r="EC188" s="208">
        <v>0</v>
      </c>
      <c r="ED188" s="208">
        <v>0</v>
      </c>
      <c r="EE188" s="208">
        <v>0</v>
      </c>
      <c r="EF188" s="208">
        <v>0</v>
      </c>
      <c r="EG188" s="208">
        <v>0</v>
      </c>
      <c r="EH188" s="208">
        <v>0</v>
      </c>
      <c r="EI188" s="208">
        <v>0</v>
      </c>
      <c r="EJ188" s="208">
        <v>0</v>
      </c>
      <c r="EK188" s="208">
        <v>-6276</v>
      </c>
      <c r="EL188" s="208">
        <v>0</v>
      </c>
      <c r="EM188" s="208">
        <v>-6276</v>
      </c>
      <c r="EN188" s="208">
        <v>826</v>
      </c>
      <c r="EO188" s="208">
        <v>0</v>
      </c>
      <c r="EP188" s="208">
        <v>826</v>
      </c>
      <c r="EQ188" s="208">
        <v>0</v>
      </c>
      <c r="ER188" s="208">
        <v>0</v>
      </c>
      <c r="ES188" s="208">
        <v>0</v>
      </c>
      <c r="ET188" s="208">
        <v>0</v>
      </c>
      <c r="EU188" s="208">
        <v>0</v>
      </c>
      <c r="EV188" s="208">
        <v>0</v>
      </c>
      <c r="EW188" s="208">
        <v>-23635</v>
      </c>
      <c r="EX188" s="208">
        <v>0</v>
      </c>
      <c r="EY188" s="208">
        <v>-23635</v>
      </c>
      <c r="EZ188" s="208">
        <v>2115</v>
      </c>
      <c r="FA188" s="208">
        <v>0</v>
      </c>
      <c r="FB188" s="208">
        <v>2115</v>
      </c>
      <c r="FC188" s="208">
        <v>-90567</v>
      </c>
      <c r="FD188" s="208">
        <v>0</v>
      </c>
      <c r="FE188" s="208">
        <v>-90567</v>
      </c>
      <c r="FF188" s="208">
        <v>-65157</v>
      </c>
      <c r="FG188" s="208">
        <v>0</v>
      </c>
      <c r="FH188" s="208">
        <v>-65157</v>
      </c>
      <c r="FI188" s="208">
        <v>-23000</v>
      </c>
      <c r="FJ188" s="208">
        <v>0</v>
      </c>
      <c r="FK188" s="208">
        <v>-23000</v>
      </c>
      <c r="FL188" s="208">
        <v>0</v>
      </c>
      <c r="FM188" s="208">
        <v>0</v>
      </c>
      <c r="FN188" s="208">
        <v>0</v>
      </c>
      <c r="FO188" s="208">
        <v>0</v>
      </c>
      <c r="FP188" s="208">
        <v>0</v>
      </c>
      <c r="FQ188" s="208">
        <v>0</v>
      </c>
      <c r="FR188" s="208">
        <v>0</v>
      </c>
      <c r="FS188" s="208">
        <v>0</v>
      </c>
      <c r="FT188" s="208">
        <v>0</v>
      </c>
      <c r="FU188" s="208">
        <v>-205694</v>
      </c>
      <c r="FV188" s="208">
        <v>0</v>
      </c>
      <c r="FW188" s="208">
        <v>-205694</v>
      </c>
      <c r="FX188" s="208">
        <v>-444</v>
      </c>
      <c r="FY188" s="208">
        <v>0</v>
      </c>
      <c r="FZ188" s="208">
        <v>-444</v>
      </c>
      <c r="GA188" s="208">
        <v>0</v>
      </c>
      <c r="GB188" s="208">
        <v>0</v>
      </c>
      <c r="GC188" s="208">
        <v>0</v>
      </c>
      <c r="GD188" s="208">
        <v>-444</v>
      </c>
      <c r="GE188" s="208">
        <v>0</v>
      </c>
      <c r="GF188" s="208">
        <v>-444</v>
      </c>
      <c r="GG188" s="208">
        <v>33989187</v>
      </c>
      <c r="GH188" s="208">
        <v>0</v>
      </c>
      <c r="GI188" s="208">
        <v>33989187</v>
      </c>
      <c r="GJ188" s="208">
        <v>-976951</v>
      </c>
      <c r="GK188" s="208">
        <v>0</v>
      </c>
      <c r="GL188" s="208">
        <v>-976951</v>
      </c>
      <c r="GM188" s="208">
        <v>-5265193</v>
      </c>
      <c r="GN188" s="208">
        <v>0</v>
      </c>
      <c r="GO188" s="208">
        <v>-5265193</v>
      </c>
      <c r="GP188" s="208">
        <v>-783330</v>
      </c>
      <c r="GQ188" s="208">
        <v>0</v>
      </c>
      <c r="GR188" s="208">
        <v>-783330</v>
      </c>
      <c r="GS188" s="208">
        <v>-277612</v>
      </c>
      <c r="GT188" s="208">
        <v>0</v>
      </c>
      <c r="GU188" s="208">
        <v>-277612</v>
      </c>
      <c r="GV188" s="208">
        <v>-205694</v>
      </c>
      <c r="GW188" s="208">
        <v>0</v>
      </c>
      <c r="GX188" s="208">
        <v>-205694</v>
      </c>
      <c r="GY188" s="208">
        <v>-444</v>
      </c>
      <c r="GZ188" s="208">
        <v>0</v>
      </c>
      <c r="HA188" s="208">
        <v>-444</v>
      </c>
      <c r="HB188" s="208">
        <v>-7509224</v>
      </c>
      <c r="HC188" s="208">
        <v>0</v>
      </c>
      <c r="HD188" s="208">
        <v>-7509224</v>
      </c>
      <c r="HE188" s="208">
        <v>26479963</v>
      </c>
      <c r="HF188" s="208">
        <v>0</v>
      </c>
      <c r="HG188" s="208">
        <v>26479963</v>
      </c>
      <c r="HH188" s="187" t="s">
        <v>1054</v>
      </c>
    </row>
    <row r="189" spans="1:216" s="187" customFormat="1" x14ac:dyDescent="0.2">
      <c r="B189" s="429" t="s">
        <v>455</v>
      </c>
      <c r="C189" s="429" t="s">
        <v>454</v>
      </c>
      <c r="D189" s="208">
        <v>-995693</v>
      </c>
      <c r="E189" s="208">
        <v>-22267</v>
      </c>
      <c r="F189" s="208">
        <v>-1017960</v>
      </c>
      <c r="G189" s="208">
        <v>315376</v>
      </c>
      <c r="H189" s="208">
        <v>-4796</v>
      </c>
      <c r="I189" s="208">
        <v>310580</v>
      </c>
      <c r="J189" s="208">
        <v>6326506</v>
      </c>
      <c r="K189" s="208">
        <v>9621</v>
      </c>
      <c r="L189" s="208">
        <v>6336127</v>
      </c>
      <c r="M189" s="208">
        <v>46147</v>
      </c>
      <c r="N189" s="208">
        <v>7680</v>
      </c>
      <c r="O189" s="208">
        <v>53827</v>
      </c>
      <c r="P189" s="208">
        <v>5692336</v>
      </c>
      <c r="Q189" s="208">
        <v>-9762</v>
      </c>
      <c r="R189" s="208">
        <v>5682574</v>
      </c>
      <c r="S189" s="208">
        <v>-5653695</v>
      </c>
      <c r="T189" s="208">
        <v>-9192</v>
      </c>
      <c r="U189" s="208">
        <v>-5662887</v>
      </c>
      <c r="V189" s="208">
        <v>-25772</v>
      </c>
      <c r="W189" s="208">
        <v>0</v>
      </c>
      <c r="X189" s="208">
        <v>-25772</v>
      </c>
      <c r="Y189" s="208">
        <v>-244242</v>
      </c>
      <c r="Z189" s="208">
        <v>0</v>
      </c>
      <c r="AA189" s="208">
        <v>-244242</v>
      </c>
      <c r="AB189" s="208">
        <v>-64364</v>
      </c>
      <c r="AC189" s="208">
        <v>0</v>
      </c>
      <c r="AD189" s="208">
        <v>-64364</v>
      </c>
      <c r="AE189" s="208">
        <v>-177735</v>
      </c>
      <c r="AF189" s="208">
        <v>0</v>
      </c>
      <c r="AG189" s="208">
        <v>-177735</v>
      </c>
      <c r="AH189" s="208">
        <v>-1063</v>
      </c>
      <c r="AI189" s="208">
        <v>0</v>
      </c>
      <c r="AJ189" s="208">
        <v>-1063</v>
      </c>
      <c r="AK189" s="208">
        <v>-63</v>
      </c>
      <c r="AL189" s="208">
        <v>0</v>
      </c>
      <c r="AM189" s="208">
        <v>-63</v>
      </c>
      <c r="AN189" s="208">
        <v>2016096</v>
      </c>
      <c r="AO189" s="208">
        <v>0</v>
      </c>
      <c r="AP189" s="208">
        <v>2016096</v>
      </c>
      <c r="AQ189" s="208">
        <v>-12308</v>
      </c>
      <c r="AR189" s="208">
        <v>0</v>
      </c>
      <c r="AS189" s="208">
        <v>-12308</v>
      </c>
      <c r="AT189" s="208">
        <v>-2678368</v>
      </c>
      <c r="AU189" s="208">
        <v>0</v>
      </c>
      <c r="AV189" s="208">
        <v>-2678368</v>
      </c>
      <c r="AW189" s="208">
        <v>-6058</v>
      </c>
      <c r="AX189" s="208">
        <v>0</v>
      </c>
      <c r="AY189" s="208">
        <v>-6058</v>
      </c>
      <c r="AZ189" s="208">
        <v>-46949</v>
      </c>
      <c r="BA189" s="208">
        <v>0</v>
      </c>
      <c r="BB189" s="208">
        <v>-46949</v>
      </c>
      <c r="BC189" s="208">
        <v>-57</v>
      </c>
      <c r="BD189" s="208">
        <v>0</v>
      </c>
      <c r="BE189" s="208">
        <v>-57</v>
      </c>
      <c r="BF189" s="208">
        <v>-12535</v>
      </c>
      <c r="BG189" s="208">
        <v>0</v>
      </c>
      <c r="BH189" s="208">
        <v>-12535</v>
      </c>
      <c r="BI189" s="208">
        <v>-2237</v>
      </c>
      <c r="BJ189" s="208">
        <v>0</v>
      </c>
      <c r="BK189" s="208">
        <v>-2237</v>
      </c>
      <c r="BL189" s="208">
        <v>-6640353</v>
      </c>
      <c r="BM189" s="208">
        <v>-9192</v>
      </c>
      <c r="BN189" s="208">
        <v>-6649545</v>
      </c>
      <c r="BO189" s="208">
        <v>0</v>
      </c>
      <c r="BP189" s="208">
        <v>0</v>
      </c>
      <c r="BQ189" s="208">
        <v>0</v>
      </c>
      <c r="BR189" s="208">
        <v>-43651</v>
      </c>
      <c r="BS189" s="208">
        <v>0</v>
      </c>
      <c r="BT189" s="208">
        <v>-43651</v>
      </c>
      <c r="BU189" s="208">
        <v>-2212401</v>
      </c>
      <c r="BV189" s="208">
        <v>-1000790</v>
      </c>
      <c r="BW189" s="208">
        <v>-3213191</v>
      </c>
      <c r="BX189" s="208">
        <v>-192356</v>
      </c>
      <c r="BY189" s="208">
        <v>-7</v>
      </c>
      <c r="BZ189" s="208">
        <v>-192363</v>
      </c>
      <c r="CA189" s="208">
        <v>-2448408</v>
      </c>
      <c r="CB189" s="208">
        <v>-1000797</v>
      </c>
      <c r="CC189" s="208">
        <v>-3449205</v>
      </c>
      <c r="CD189" s="208">
        <v>-92979</v>
      </c>
      <c r="CE189" s="208">
        <v>0</v>
      </c>
      <c r="CF189" s="208">
        <v>-92979</v>
      </c>
      <c r="CG189" s="208">
        <v>-919</v>
      </c>
      <c r="CH189" s="208">
        <v>0</v>
      </c>
      <c r="CI189" s="208">
        <v>-919</v>
      </c>
      <c r="CJ189" s="208">
        <v>-105255</v>
      </c>
      <c r="CK189" s="208">
        <v>0</v>
      </c>
      <c r="CL189" s="208">
        <v>-105255</v>
      </c>
      <c r="CM189" s="208">
        <v>1054</v>
      </c>
      <c r="CN189" s="208">
        <v>0</v>
      </c>
      <c r="CO189" s="208">
        <v>1054</v>
      </c>
      <c r="CP189" s="208">
        <v>-6932</v>
      </c>
      <c r="CQ189" s="208">
        <v>0</v>
      </c>
      <c r="CR189" s="208">
        <v>-6932</v>
      </c>
      <c r="CS189" s="208">
        <v>-14</v>
      </c>
      <c r="CT189" s="208">
        <v>0</v>
      </c>
      <c r="CU189" s="208">
        <v>-14</v>
      </c>
      <c r="CV189" s="208">
        <v>0</v>
      </c>
      <c r="CW189" s="208">
        <v>0</v>
      </c>
      <c r="CX189" s="208">
        <v>0</v>
      </c>
      <c r="CY189" s="208">
        <v>-2237</v>
      </c>
      <c r="CZ189" s="208">
        <v>0</v>
      </c>
      <c r="DA189" s="208">
        <v>-2237</v>
      </c>
      <c r="DB189" s="208">
        <v>0</v>
      </c>
      <c r="DC189" s="208">
        <v>0</v>
      </c>
      <c r="DD189" s="208">
        <v>0</v>
      </c>
      <c r="DE189" s="208">
        <v>0</v>
      </c>
      <c r="DF189" s="208">
        <v>0</v>
      </c>
      <c r="DG189" s="208">
        <v>0</v>
      </c>
      <c r="DH189" s="208">
        <v>0</v>
      </c>
      <c r="DI189" s="208">
        <v>-80679</v>
      </c>
      <c r="DJ189" s="208">
        <v>-80679</v>
      </c>
      <c r="DK189" s="208">
        <v>0</v>
      </c>
      <c r="DL189" s="208">
        <v>-54021</v>
      </c>
      <c r="DM189" s="208">
        <v>-54021</v>
      </c>
      <c r="DN189" s="208">
        <v>-134700</v>
      </c>
      <c r="DO189" s="208">
        <v>0</v>
      </c>
      <c r="DP189" s="208">
        <v>-207282</v>
      </c>
      <c r="DQ189" s="208">
        <v>-134700</v>
      </c>
      <c r="DR189" s="208">
        <v>-341982</v>
      </c>
      <c r="DS189" s="208">
        <v>0</v>
      </c>
      <c r="DT189" s="208">
        <v>0</v>
      </c>
      <c r="DU189" s="208">
        <v>0</v>
      </c>
      <c r="DV189" s="208">
        <v>824</v>
      </c>
      <c r="DW189" s="208">
        <v>0</v>
      </c>
      <c r="DX189" s="208">
        <v>824</v>
      </c>
      <c r="DY189" s="208">
        <v>-909</v>
      </c>
      <c r="DZ189" s="208">
        <v>0</v>
      </c>
      <c r="EA189" s="208">
        <v>-909</v>
      </c>
      <c r="EB189" s="208">
        <v>0</v>
      </c>
      <c r="EC189" s="208">
        <v>0</v>
      </c>
      <c r="ED189" s="208">
        <v>0</v>
      </c>
      <c r="EE189" s="208">
        <v>5517</v>
      </c>
      <c r="EF189" s="208">
        <v>0</v>
      </c>
      <c r="EG189" s="208">
        <v>5517</v>
      </c>
      <c r="EH189" s="208">
        <v>0</v>
      </c>
      <c r="EI189" s="208">
        <v>0</v>
      </c>
      <c r="EJ189" s="208">
        <v>0</v>
      </c>
      <c r="EK189" s="208">
        <v>-12535</v>
      </c>
      <c r="EL189" s="208">
        <v>0</v>
      </c>
      <c r="EM189" s="208">
        <v>-12535</v>
      </c>
      <c r="EN189" s="208">
        <v>0</v>
      </c>
      <c r="EO189" s="208">
        <v>0</v>
      </c>
      <c r="EP189" s="208">
        <v>0</v>
      </c>
      <c r="EQ189" s="208">
        <v>-1599</v>
      </c>
      <c r="ER189" s="208">
        <v>0</v>
      </c>
      <c r="ES189" s="208">
        <v>-1599</v>
      </c>
      <c r="ET189" s="208">
        <v>0</v>
      </c>
      <c r="EU189" s="208">
        <v>0</v>
      </c>
      <c r="EV189" s="208">
        <v>0</v>
      </c>
      <c r="EW189" s="208">
        <v>-29374</v>
      </c>
      <c r="EX189" s="208">
        <v>0</v>
      </c>
      <c r="EY189" s="208">
        <v>-29374</v>
      </c>
      <c r="EZ189" s="208">
        <v>-2552</v>
      </c>
      <c r="FA189" s="208">
        <v>0</v>
      </c>
      <c r="FB189" s="208">
        <v>-2552</v>
      </c>
      <c r="FC189" s="208">
        <v>-131194</v>
      </c>
      <c r="FD189" s="208">
        <v>0</v>
      </c>
      <c r="FE189" s="208">
        <v>-131194</v>
      </c>
      <c r="FF189" s="208">
        <v>2040</v>
      </c>
      <c r="FG189" s="208">
        <v>0</v>
      </c>
      <c r="FH189" s="208">
        <v>2040</v>
      </c>
      <c r="FI189" s="208">
        <v>-54197</v>
      </c>
      <c r="FJ189" s="208">
        <v>0</v>
      </c>
      <c r="FK189" s="208">
        <v>-54197</v>
      </c>
      <c r="FL189" s="208">
        <v>874</v>
      </c>
      <c r="FM189" s="208">
        <v>0</v>
      </c>
      <c r="FN189" s="208">
        <v>874</v>
      </c>
      <c r="FO189" s="208">
        <v>0</v>
      </c>
      <c r="FP189" s="208">
        <v>0</v>
      </c>
      <c r="FQ189" s="208">
        <v>0</v>
      </c>
      <c r="FR189" s="208">
        <v>0</v>
      </c>
      <c r="FS189" s="208">
        <v>0</v>
      </c>
      <c r="FT189" s="208">
        <v>0</v>
      </c>
      <c r="FU189" s="208">
        <v>-223105</v>
      </c>
      <c r="FV189" s="208">
        <v>0</v>
      </c>
      <c r="FW189" s="208">
        <v>-223105</v>
      </c>
      <c r="FX189" s="208">
        <v>-2197</v>
      </c>
      <c r="FY189" s="208">
        <v>0</v>
      </c>
      <c r="FZ189" s="208">
        <v>-2197</v>
      </c>
      <c r="GA189" s="208">
        <v>-2763</v>
      </c>
      <c r="GB189" s="208">
        <v>0</v>
      </c>
      <c r="GC189" s="208">
        <v>-2763</v>
      </c>
      <c r="GD189" s="208">
        <v>-4960</v>
      </c>
      <c r="GE189" s="208">
        <v>0</v>
      </c>
      <c r="GF189" s="208">
        <v>-4960</v>
      </c>
      <c r="GG189" s="208">
        <v>89540707</v>
      </c>
      <c r="GH189" s="208">
        <v>3127223</v>
      </c>
      <c r="GI189" s="208">
        <v>92667930</v>
      </c>
      <c r="GJ189" s="208">
        <v>5692336</v>
      </c>
      <c r="GK189" s="208">
        <v>-9762</v>
      </c>
      <c r="GL189" s="208">
        <v>5682574</v>
      </c>
      <c r="GM189" s="208">
        <v>-6640353</v>
      </c>
      <c r="GN189" s="208">
        <v>-9192</v>
      </c>
      <c r="GO189" s="208">
        <v>-6649545</v>
      </c>
      <c r="GP189" s="208">
        <v>-2448408</v>
      </c>
      <c r="GQ189" s="208">
        <v>-1000797</v>
      </c>
      <c r="GR189" s="208">
        <v>-3449205</v>
      </c>
      <c r="GS189" s="208">
        <v>-207282</v>
      </c>
      <c r="GT189" s="208">
        <v>-134700</v>
      </c>
      <c r="GU189" s="208">
        <v>-341982</v>
      </c>
      <c r="GV189" s="208">
        <v>-223105</v>
      </c>
      <c r="GW189" s="208">
        <v>0</v>
      </c>
      <c r="GX189" s="208">
        <v>-223105</v>
      </c>
      <c r="GY189" s="208">
        <v>-4960</v>
      </c>
      <c r="GZ189" s="208">
        <v>0</v>
      </c>
      <c r="HA189" s="208">
        <v>-4960</v>
      </c>
      <c r="HB189" s="208">
        <v>-3831772</v>
      </c>
      <c r="HC189" s="208">
        <v>-1154451</v>
      </c>
      <c r="HD189" s="208">
        <v>-4986223</v>
      </c>
      <c r="HE189" s="208">
        <v>85708935</v>
      </c>
      <c r="HF189" s="208">
        <v>1972772</v>
      </c>
      <c r="HG189" s="208">
        <v>87681707</v>
      </c>
      <c r="HH189" s="187" t="s">
        <v>742</v>
      </c>
    </row>
    <row r="190" spans="1:216" s="187" customFormat="1" x14ac:dyDescent="0.2">
      <c r="B190" s="429" t="s">
        <v>457</v>
      </c>
      <c r="C190" s="429" t="s">
        <v>456</v>
      </c>
      <c r="D190" s="208">
        <v>-2194824</v>
      </c>
      <c r="E190" s="208">
        <v>-55217</v>
      </c>
      <c r="F190" s="208">
        <v>-2250041</v>
      </c>
      <c r="G190" s="208">
        <v>17499</v>
      </c>
      <c r="H190" s="208">
        <v>0</v>
      </c>
      <c r="I190" s="208">
        <v>17499</v>
      </c>
      <c r="J190" s="208">
        <v>311254</v>
      </c>
      <c r="K190" s="208">
        <v>0</v>
      </c>
      <c r="L190" s="208">
        <v>311254</v>
      </c>
      <c r="M190" s="208">
        <v>-4902</v>
      </c>
      <c r="N190" s="208">
        <v>0</v>
      </c>
      <c r="O190" s="208">
        <v>-4902</v>
      </c>
      <c r="P190" s="208">
        <v>-1870973</v>
      </c>
      <c r="Q190" s="208">
        <v>-55217</v>
      </c>
      <c r="R190" s="208">
        <v>-1926190</v>
      </c>
      <c r="S190" s="208">
        <v>-6910401</v>
      </c>
      <c r="T190" s="208">
        <v>-55019</v>
      </c>
      <c r="U190" s="208">
        <v>-6965420</v>
      </c>
      <c r="V190" s="208">
        <v>-7727</v>
      </c>
      <c r="W190" s="208">
        <v>0</v>
      </c>
      <c r="X190" s="208">
        <v>-7727</v>
      </c>
      <c r="Y190" s="208">
        <v>-245555</v>
      </c>
      <c r="Z190" s="208">
        <v>-1681</v>
      </c>
      <c r="AA190" s="208">
        <v>-247236</v>
      </c>
      <c r="AB190" s="208">
        <v>-72274</v>
      </c>
      <c r="AC190" s="208">
        <v>0</v>
      </c>
      <c r="AD190" s="208">
        <v>-72274</v>
      </c>
      <c r="AE190" s="208">
        <v>-167323</v>
      </c>
      <c r="AF190" s="208">
        <v>-1681</v>
      </c>
      <c r="AG190" s="208">
        <v>-169004</v>
      </c>
      <c r="AH190" s="208">
        <v>0</v>
      </c>
      <c r="AI190" s="208">
        <v>0</v>
      </c>
      <c r="AJ190" s="208">
        <v>0</v>
      </c>
      <c r="AK190" s="208">
        <v>0</v>
      </c>
      <c r="AL190" s="208">
        <v>0</v>
      </c>
      <c r="AM190" s="208">
        <v>0</v>
      </c>
      <c r="AN190" s="208">
        <v>540253</v>
      </c>
      <c r="AO190" s="208">
        <v>5241</v>
      </c>
      <c r="AP190" s="208">
        <v>545494</v>
      </c>
      <c r="AQ190" s="208">
        <v>-225</v>
      </c>
      <c r="AR190" s="208">
        <v>0</v>
      </c>
      <c r="AS190" s="208">
        <v>-225</v>
      </c>
      <c r="AT190" s="208">
        <v>-2192528</v>
      </c>
      <c r="AU190" s="208">
        <v>0</v>
      </c>
      <c r="AV190" s="208">
        <v>-2192528</v>
      </c>
      <c r="AW190" s="208">
        <v>-15281</v>
      </c>
      <c r="AX190" s="208">
        <v>0</v>
      </c>
      <c r="AY190" s="208">
        <v>-15281</v>
      </c>
      <c r="AZ190" s="208">
        <v>-39375</v>
      </c>
      <c r="BA190" s="208">
        <v>0</v>
      </c>
      <c r="BB190" s="208">
        <v>-39375</v>
      </c>
      <c r="BC190" s="208">
        <v>-16</v>
      </c>
      <c r="BD190" s="208">
        <v>0</v>
      </c>
      <c r="BE190" s="208">
        <v>-16</v>
      </c>
      <c r="BF190" s="208">
        <v>-78418</v>
      </c>
      <c r="BG190" s="208">
        <v>0</v>
      </c>
      <c r="BH190" s="208">
        <v>-78418</v>
      </c>
      <c r="BI190" s="208">
        <v>-5936</v>
      </c>
      <c r="BJ190" s="208">
        <v>0</v>
      </c>
      <c r="BK190" s="208">
        <v>-5936</v>
      </c>
      <c r="BL190" s="208">
        <v>-8947482</v>
      </c>
      <c r="BM190" s="208">
        <v>-51459</v>
      </c>
      <c r="BN190" s="208">
        <v>-8998941</v>
      </c>
      <c r="BO190" s="208">
        <v>0</v>
      </c>
      <c r="BP190" s="208">
        <v>0</v>
      </c>
      <c r="BQ190" s="208">
        <v>0</v>
      </c>
      <c r="BR190" s="208">
        <v>0</v>
      </c>
      <c r="BS190" s="208">
        <v>0</v>
      </c>
      <c r="BT190" s="208">
        <v>0</v>
      </c>
      <c r="BU190" s="208">
        <v>-472371</v>
      </c>
      <c r="BV190" s="208">
        <v>-31412</v>
      </c>
      <c r="BW190" s="208">
        <v>-503783</v>
      </c>
      <c r="BX190" s="208">
        <v>17477</v>
      </c>
      <c r="BY190" s="208">
        <v>0</v>
      </c>
      <c r="BZ190" s="208">
        <v>17477</v>
      </c>
      <c r="CA190" s="208">
        <v>-454894</v>
      </c>
      <c r="CB190" s="208">
        <v>-31412</v>
      </c>
      <c r="CC190" s="208">
        <v>-486306</v>
      </c>
      <c r="CD190" s="208">
        <v>-5216</v>
      </c>
      <c r="CE190" s="208">
        <v>0</v>
      </c>
      <c r="CF190" s="208">
        <v>-5216</v>
      </c>
      <c r="CG190" s="208">
        <v>245</v>
      </c>
      <c r="CH190" s="208">
        <v>0</v>
      </c>
      <c r="CI190" s="208">
        <v>245</v>
      </c>
      <c r="CJ190" s="208">
        <v>0</v>
      </c>
      <c r="CK190" s="208">
        <v>0</v>
      </c>
      <c r="CL190" s="208">
        <v>0</v>
      </c>
      <c r="CM190" s="208">
        <v>0</v>
      </c>
      <c r="CN190" s="208">
        <v>0</v>
      </c>
      <c r="CO190" s="208">
        <v>0</v>
      </c>
      <c r="CP190" s="208">
        <v>0</v>
      </c>
      <c r="CQ190" s="208">
        <v>0</v>
      </c>
      <c r="CR190" s="208">
        <v>0</v>
      </c>
      <c r="CS190" s="208">
        <v>0</v>
      </c>
      <c r="CT190" s="208">
        <v>0</v>
      </c>
      <c r="CU190" s="208">
        <v>0</v>
      </c>
      <c r="CV190" s="208">
        <v>-3780</v>
      </c>
      <c r="CW190" s="208">
        <v>0</v>
      </c>
      <c r="CX190" s="208">
        <v>-3780</v>
      </c>
      <c r="CY190" s="208">
        <v>0</v>
      </c>
      <c r="CZ190" s="208">
        <v>0</v>
      </c>
      <c r="DA190" s="208">
        <v>0</v>
      </c>
      <c r="DB190" s="208">
        <v>0</v>
      </c>
      <c r="DC190" s="208">
        <v>0</v>
      </c>
      <c r="DD190" s="208">
        <v>0</v>
      </c>
      <c r="DE190" s="208">
        <v>0</v>
      </c>
      <c r="DF190" s="208">
        <v>0</v>
      </c>
      <c r="DG190" s="208">
        <v>0</v>
      </c>
      <c r="DH190" s="208">
        <v>0</v>
      </c>
      <c r="DI190" s="208">
        <v>-197553</v>
      </c>
      <c r="DJ190" s="208">
        <v>-197553</v>
      </c>
      <c r="DK190" s="208">
        <v>0</v>
      </c>
      <c r="DL190" s="208">
        <v>-56</v>
      </c>
      <c r="DM190" s="208">
        <v>-56</v>
      </c>
      <c r="DN190" s="208">
        <v>-197609</v>
      </c>
      <c r="DO190" s="208">
        <v>0</v>
      </c>
      <c r="DP190" s="208">
        <v>-8751</v>
      </c>
      <c r="DQ190" s="208">
        <v>-197609</v>
      </c>
      <c r="DR190" s="208">
        <v>-206360</v>
      </c>
      <c r="DS190" s="208">
        <v>0</v>
      </c>
      <c r="DT190" s="208">
        <v>0</v>
      </c>
      <c r="DU190" s="208">
        <v>0</v>
      </c>
      <c r="DV190" s="208">
        <v>1021</v>
      </c>
      <c r="DW190" s="208">
        <v>0</v>
      </c>
      <c r="DX190" s="208">
        <v>1021</v>
      </c>
      <c r="DY190" s="208">
        <v>2431</v>
      </c>
      <c r="DZ190" s="208">
        <v>0</v>
      </c>
      <c r="EA190" s="208">
        <v>2431</v>
      </c>
      <c r="EB190" s="208">
        <v>0</v>
      </c>
      <c r="EC190" s="208">
        <v>0</v>
      </c>
      <c r="ED190" s="208">
        <v>0</v>
      </c>
      <c r="EE190" s="208">
        <v>242</v>
      </c>
      <c r="EF190" s="208">
        <v>0</v>
      </c>
      <c r="EG190" s="208">
        <v>242</v>
      </c>
      <c r="EH190" s="208">
        <v>3098</v>
      </c>
      <c r="EI190" s="208">
        <v>0</v>
      </c>
      <c r="EJ190" s="208">
        <v>3098</v>
      </c>
      <c r="EK190" s="208">
        <v>-78418</v>
      </c>
      <c r="EL190" s="208">
        <v>0</v>
      </c>
      <c r="EM190" s="208">
        <v>-78418</v>
      </c>
      <c r="EN190" s="208">
        <v>-1250</v>
      </c>
      <c r="EO190" s="208">
        <v>0</v>
      </c>
      <c r="EP190" s="208">
        <v>-1250</v>
      </c>
      <c r="EQ190" s="208">
        <v>-1500</v>
      </c>
      <c r="ER190" s="208">
        <v>0</v>
      </c>
      <c r="ES190" s="208">
        <v>-1500</v>
      </c>
      <c r="ET190" s="208">
        <v>0</v>
      </c>
      <c r="EU190" s="208">
        <v>0</v>
      </c>
      <c r="EV190" s="208">
        <v>0</v>
      </c>
      <c r="EW190" s="208">
        <v>-87802</v>
      </c>
      <c r="EX190" s="208">
        <v>0</v>
      </c>
      <c r="EY190" s="208">
        <v>-87802</v>
      </c>
      <c r="EZ190" s="208">
        <v>3012</v>
      </c>
      <c r="FA190" s="208">
        <v>0</v>
      </c>
      <c r="FB190" s="208">
        <v>3012</v>
      </c>
      <c r="FC190" s="208">
        <v>-282175</v>
      </c>
      <c r="FD190" s="208">
        <v>0</v>
      </c>
      <c r="FE190" s="208">
        <v>-282175</v>
      </c>
      <c r="FF190" s="208">
        <v>23082</v>
      </c>
      <c r="FG190" s="208">
        <v>0</v>
      </c>
      <c r="FH190" s="208">
        <v>23082</v>
      </c>
      <c r="FI190" s="208">
        <v>-57134</v>
      </c>
      <c r="FJ190" s="208">
        <v>0</v>
      </c>
      <c r="FK190" s="208">
        <v>-57134</v>
      </c>
      <c r="FL190" s="208">
        <v>1600</v>
      </c>
      <c r="FM190" s="208">
        <v>0</v>
      </c>
      <c r="FN190" s="208">
        <v>1600</v>
      </c>
      <c r="FO190" s="208">
        <v>0</v>
      </c>
      <c r="FP190" s="208">
        <v>0</v>
      </c>
      <c r="FQ190" s="208">
        <v>0</v>
      </c>
      <c r="FR190" s="208">
        <v>0</v>
      </c>
      <c r="FS190" s="208">
        <v>0</v>
      </c>
      <c r="FT190" s="208">
        <v>0</v>
      </c>
      <c r="FU190" s="208">
        <v>-473793</v>
      </c>
      <c r="FV190" s="208">
        <v>0</v>
      </c>
      <c r="FW190" s="208">
        <v>-473793</v>
      </c>
      <c r="FX190" s="208">
        <v>0</v>
      </c>
      <c r="FY190" s="208">
        <v>0</v>
      </c>
      <c r="FZ190" s="208">
        <v>0</v>
      </c>
      <c r="GA190" s="208">
        <v>0</v>
      </c>
      <c r="GB190" s="208">
        <v>0</v>
      </c>
      <c r="GC190" s="208">
        <v>0</v>
      </c>
      <c r="GD190" s="208">
        <v>0</v>
      </c>
      <c r="GE190" s="208">
        <v>0</v>
      </c>
      <c r="GF190" s="208">
        <v>0</v>
      </c>
      <c r="GG190" s="208">
        <v>38918905</v>
      </c>
      <c r="GH190" s="208">
        <v>345971</v>
      </c>
      <c r="GI190" s="208">
        <v>39264876</v>
      </c>
      <c r="GJ190" s="208">
        <v>-1870973</v>
      </c>
      <c r="GK190" s="208">
        <v>-55217</v>
      </c>
      <c r="GL190" s="208">
        <v>-1926190</v>
      </c>
      <c r="GM190" s="208">
        <v>-8947482</v>
      </c>
      <c r="GN190" s="208">
        <v>-51459</v>
      </c>
      <c r="GO190" s="208">
        <v>-8998941</v>
      </c>
      <c r="GP190" s="208">
        <v>-454894</v>
      </c>
      <c r="GQ190" s="208">
        <v>-31412</v>
      </c>
      <c r="GR190" s="208">
        <v>-486306</v>
      </c>
      <c r="GS190" s="208">
        <v>-8751</v>
      </c>
      <c r="GT190" s="208">
        <v>-197609</v>
      </c>
      <c r="GU190" s="208">
        <v>-206360</v>
      </c>
      <c r="GV190" s="208">
        <v>-473793</v>
      </c>
      <c r="GW190" s="208">
        <v>0</v>
      </c>
      <c r="GX190" s="208">
        <v>-473793</v>
      </c>
      <c r="GY190" s="208">
        <v>0</v>
      </c>
      <c r="GZ190" s="208">
        <v>0</v>
      </c>
      <c r="HA190" s="208">
        <v>0</v>
      </c>
      <c r="HB190" s="208">
        <v>-11755893</v>
      </c>
      <c r="HC190" s="208">
        <v>-335697</v>
      </c>
      <c r="HD190" s="208">
        <v>-12091590</v>
      </c>
      <c r="HE190" s="208">
        <v>27163012</v>
      </c>
      <c r="HF190" s="208">
        <v>10274</v>
      </c>
      <c r="HG190" s="208">
        <v>27173286</v>
      </c>
      <c r="HH190" s="187" t="s">
        <v>1054</v>
      </c>
    </row>
    <row r="191" spans="1:216" s="187" customFormat="1" x14ac:dyDescent="0.2">
      <c r="B191" s="429" t="s">
        <v>459</v>
      </c>
      <c r="C191" s="429" t="s">
        <v>458</v>
      </c>
      <c r="D191" s="208">
        <v>-786221</v>
      </c>
      <c r="E191" s="208">
        <v>-1365</v>
      </c>
      <c r="F191" s="208">
        <v>-787586</v>
      </c>
      <c r="G191" s="208">
        <v>23034</v>
      </c>
      <c r="H191" s="208">
        <v>-1796</v>
      </c>
      <c r="I191" s="208">
        <v>21238</v>
      </c>
      <c r="J191" s="208">
        <v>1314199</v>
      </c>
      <c r="K191" s="208">
        <v>80503</v>
      </c>
      <c r="L191" s="208">
        <v>1394702</v>
      </c>
      <c r="M191" s="208">
        <v>89882</v>
      </c>
      <c r="N191" s="208">
        <v>-2010</v>
      </c>
      <c r="O191" s="208">
        <v>87872</v>
      </c>
      <c r="P191" s="208">
        <v>640894</v>
      </c>
      <c r="Q191" s="208">
        <v>75332</v>
      </c>
      <c r="R191" s="208">
        <v>716226</v>
      </c>
      <c r="S191" s="208">
        <v>-6647599</v>
      </c>
      <c r="T191" s="208">
        <v>-75238</v>
      </c>
      <c r="U191" s="208">
        <v>-6722837</v>
      </c>
      <c r="V191" s="208">
        <v>-20623</v>
      </c>
      <c r="W191" s="208">
        <v>0</v>
      </c>
      <c r="X191" s="208">
        <v>-20623</v>
      </c>
      <c r="Y191" s="208">
        <v>-323612</v>
      </c>
      <c r="Z191" s="208">
        <v>-351</v>
      </c>
      <c r="AA191" s="208">
        <v>-323963</v>
      </c>
      <c r="AB191" s="208">
        <v>-78650</v>
      </c>
      <c r="AC191" s="208">
        <v>152</v>
      </c>
      <c r="AD191" s="208">
        <v>-78498</v>
      </c>
      <c r="AE191" s="208">
        <v>-244962</v>
      </c>
      <c r="AF191" s="208">
        <v>-503</v>
      </c>
      <c r="AG191" s="208">
        <v>-245465</v>
      </c>
      <c r="AH191" s="208">
        <v>-588</v>
      </c>
      <c r="AI191" s="208">
        <v>0</v>
      </c>
      <c r="AJ191" s="208">
        <v>-588</v>
      </c>
      <c r="AK191" s="208">
        <v>-6</v>
      </c>
      <c r="AL191" s="208">
        <v>0</v>
      </c>
      <c r="AM191" s="208">
        <v>-6</v>
      </c>
      <c r="AN191" s="208">
        <v>1431468</v>
      </c>
      <c r="AO191" s="208">
        <v>23772</v>
      </c>
      <c r="AP191" s="208">
        <v>1455240</v>
      </c>
      <c r="AQ191" s="208">
        <v>368228</v>
      </c>
      <c r="AR191" s="208">
        <v>14052</v>
      </c>
      <c r="AS191" s="208">
        <v>382280</v>
      </c>
      <c r="AT191" s="208">
        <v>-5783995</v>
      </c>
      <c r="AU191" s="208">
        <v>-343776</v>
      </c>
      <c r="AV191" s="208">
        <v>-6127771</v>
      </c>
      <c r="AW191" s="208">
        <v>-35695</v>
      </c>
      <c r="AX191" s="208">
        <v>-27111</v>
      </c>
      <c r="AY191" s="208">
        <v>-62806</v>
      </c>
      <c r="AZ191" s="208">
        <v>-98936</v>
      </c>
      <c r="BA191" s="208">
        <v>0</v>
      </c>
      <c r="BB191" s="208">
        <v>-98936</v>
      </c>
      <c r="BC191" s="208">
        <v>0</v>
      </c>
      <c r="BD191" s="208">
        <v>0</v>
      </c>
      <c r="BE191" s="208">
        <v>0</v>
      </c>
      <c r="BF191" s="208">
        <v>-9386</v>
      </c>
      <c r="BG191" s="208">
        <v>0</v>
      </c>
      <c r="BH191" s="208">
        <v>-9386</v>
      </c>
      <c r="BI191" s="208">
        <v>2864</v>
      </c>
      <c r="BJ191" s="208">
        <v>0</v>
      </c>
      <c r="BK191" s="208">
        <v>2864</v>
      </c>
      <c r="BL191" s="208">
        <v>-11096663</v>
      </c>
      <c r="BM191" s="208">
        <v>-408652</v>
      </c>
      <c r="BN191" s="208">
        <v>-11505315</v>
      </c>
      <c r="BO191" s="208">
        <v>-241389</v>
      </c>
      <c r="BP191" s="208">
        <v>0</v>
      </c>
      <c r="BQ191" s="208">
        <v>-241389</v>
      </c>
      <c r="BR191" s="208">
        <v>-13075</v>
      </c>
      <c r="BS191" s="208">
        <v>0</v>
      </c>
      <c r="BT191" s="208">
        <v>-13075</v>
      </c>
      <c r="BU191" s="208">
        <v>-1568224</v>
      </c>
      <c r="BV191" s="208">
        <v>-38166</v>
      </c>
      <c r="BW191" s="208">
        <v>-1606390</v>
      </c>
      <c r="BX191" s="208">
        <v>245915</v>
      </c>
      <c r="BY191" s="208">
        <v>819</v>
      </c>
      <c r="BZ191" s="208">
        <v>246734</v>
      </c>
      <c r="CA191" s="208">
        <v>-1576773</v>
      </c>
      <c r="CB191" s="208">
        <v>-37347</v>
      </c>
      <c r="CC191" s="208">
        <v>-1614120</v>
      </c>
      <c r="CD191" s="208">
        <v>-72588</v>
      </c>
      <c r="CE191" s="208">
        <v>0</v>
      </c>
      <c r="CF191" s="208">
        <v>-72588</v>
      </c>
      <c r="CG191" s="208">
        <v>0</v>
      </c>
      <c r="CH191" s="208">
        <v>0</v>
      </c>
      <c r="CI191" s="208">
        <v>0</v>
      </c>
      <c r="CJ191" s="208">
        <v>-321670</v>
      </c>
      <c r="CK191" s="208">
        <v>0</v>
      </c>
      <c r="CL191" s="208">
        <v>-321670</v>
      </c>
      <c r="CM191" s="208">
        <v>-5827</v>
      </c>
      <c r="CN191" s="208">
        <v>0</v>
      </c>
      <c r="CO191" s="208">
        <v>-5827</v>
      </c>
      <c r="CP191" s="208">
        <v>0</v>
      </c>
      <c r="CQ191" s="208">
        <v>0</v>
      </c>
      <c r="CR191" s="208">
        <v>0</v>
      </c>
      <c r="CS191" s="208">
        <v>0</v>
      </c>
      <c r="CT191" s="208">
        <v>0</v>
      </c>
      <c r="CU191" s="208">
        <v>0</v>
      </c>
      <c r="CV191" s="208">
        <v>0</v>
      </c>
      <c r="CW191" s="208">
        <v>0</v>
      </c>
      <c r="CX191" s="208">
        <v>0</v>
      </c>
      <c r="CY191" s="208">
        <v>0</v>
      </c>
      <c r="CZ191" s="208">
        <v>0</v>
      </c>
      <c r="DA191" s="208">
        <v>0</v>
      </c>
      <c r="DB191" s="208">
        <v>0</v>
      </c>
      <c r="DC191" s="208">
        <v>0</v>
      </c>
      <c r="DD191" s="208">
        <v>0</v>
      </c>
      <c r="DE191" s="208">
        <v>0</v>
      </c>
      <c r="DF191" s="208">
        <v>0</v>
      </c>
      <c r="DG191" s="208">
        <v>0</v>
      </c>
      <c r="DH191" s="208">
        <v>-3521</v>
      </c>
      <c r="DI191" s="208">
        <v>0</v>
      </c>
      <c r="DJ191" s="208">
        <v>-3521</v>
      </c>
      <c r="DK191" s="208">
        <v>0</v>
      </c>
      <c r="DL191" s="208">
        <v>0</v>
      </c>
      <c r="DM191" s="208">
        <v>0</v>
      </c>
      <c r="DN191" s="208">
        <v>0</v>
      </c>
      <c r="DO191" s="208">
        <v>0</v>
      </c>
      <c r="DP191" s="208">
        <v>-403606</v>
      </c>
      <c r="DQ191" s="208">
        <v>0</v>
      </c>
      <c r="DR191" s="208">
        <v>-403606</v>
      </c>
      <c r="DS191" s="208">
        <v>0</v>
      </c>
      <c r="DT191" s="208">
        <v>0</v>
      </c>
      <c r="DU191" s="208">
        <v>0</v>
      </c>
      <c r="DV191" s="208">
        <v>0</v>
      </c>
      <c r="DW191" s="208">
        <v>0</v>
      </c>
      <c r="DX191" s="208">
        <v>0</v>
      </c>
      <c r="DY191" s="208">
        <v>-539</v>
      </c>
      <c r="DZ191" s="208">
        <v>0</v>
      </c>
      <c r="EA191" s="208">
        <v>-539</v>
      </c>
      <c r="EB191" s="208">
        <v>0</v>
      </c>
      <c r="EC191" s="208">
        <v>0</v>
      </c>
      <c r="ED191" s="208">
        <v>0</v>
      </c>
      <c r="EE191" s="208">
        <v>0</v>
      </c>
      <c r="EF191" s="208">
        <v>0</v>
      </c>
      <c r="EG191" s="208">
        <v>0</v>
      </c>
      <c r="EH191" s="208">
        <v>0</v>
      </c>
      <c r="EI191" s="208">
        <v>0</v>
      </c>
      <c r="EJ191" s="208">
        <v>0</v>
      </c>
      <c r="EK191" s="208">
        <v>-9387</v>
      </c>
      <c r="EL191" s="208">
        <v>0</v>
      </c>
      <c r="EM191" s="208">
        <v>-9387</v>
      </c>
      <c r="EN191" s="208">
        <v>0</v>
      </c>
      <c r="EO191" s="208">
        <v>0</v>
      </c>
      <c r="EP191" s="208">
        <v>0</v>
      </c>
      <c r="EQ191" s="208">
        <v>-1500</v>
      </c>
      <c r="ER191" s="208">
        <v>0</v>
      </c>
      <c r="ES191" s="208">
        <v>-1500</v>
      </c>
      <c r="ET191" s="208">
        <v>0</v>
      </c>
      <c r="EU191" s="208">
        <v>0</v>
      </c>
      <c r="EV191" s="208">
        <v>0</v>
      </c>
      <c r="EW191" s="208">
        <v>-26284</v>
      </c>
      <c r="EX191" s="208">
        <v>0</v>
      </c>
      <c r="EY191" s="208">
        <v>-26284</v>
      </c>
      <c r="EZ191" s="208">
        <v>259</v>
      </c>
      <c r="FA191" s="208">
        <v>0</v>
      </c>
      <c r="FB191" s="208">
        <v>259</v>
      </c>
      <c r="FC191" s="208">
        <v>-127172</v>
      </c>
      <c r="FD191" s="208">
        <v>-1061</v>
      </c>
      <c r="FE191" s="208">
        <v>-128233</v>
      </c>
      <c r="FF191" s="208">
        <v>2216</v>
      </c>
      <c r="FG191" s="208">
        <v>0</v>
      </c>
      <c r="FH191" s="208">
        <v>2216</v>
      </c>
      <c r="FI191" s="208">
        <v>-55647</v>
      </c>
      <c r="FJ191" s="208">
        <v>0</v>
      </c>
      <c r="FK191" s="208">
        <v>-55647</v>
      </c>
      <c r="FL191" s="208">
        <v>1153</v>
      </c>
      <c r="FM191" s="208">
        <v>0</v>
      </c>
      <c r="FN191" s="208">
        <v>1153</v>
      </c>
      <c r="FO191" s="208">
        <v>0</v>
      </c>
      <c r="FP191" s="208">
        <v>0</v>
      </c>
      <c r="FQ191" s="208">
        <v>0</v>
      </c>
      <c r="FR191" s="208">
        <v>0</v>
      </c>
      <c r="FS191" s="208">
        <v>0</v>
      </c>
      <c r="FT191" s="208">
        <v>0</v>
      </c>
      <c r="FU191" s="208">
        <v>-216901</v>
      </c>
      <c r="FV191" s="208">
        <v>-1061</v>
      </c>
      <c r="FW191" s="208">
        <v>-217962</v>
      </c>
      <c r="FX191" s="208">
        <v>0</v>
      </c>
      <c r="FY191" s="208">
        <v>0</v>
      </c>
      <c r="FZ191" s="208">
        <v>0</v>
      </c>
      <c r="GA191" s="208">
        <v>0</v>
      </c>
      <c r="GB191" s="208">
        <v>0</v>
      </c>
      <c r="GC191" s="208">
        <v>0</v>
      </c>
      <c r="GD191" s="208">
        <v>0</v>
      </c>
      <c r="GE191" s="208">
        <v>0</v>
      </c>
      <c r="GF191" s="208">
        <v>0</v>
      </c>
      <c r="GG191" s="208">
        <v>75396768</v>
      </c>
      <c r="GH191" s="208">
        <v>1186981</v>
      </c>
      <c r="GI191" s="208">
        <v>76583749</v>
      </c>
      <c r="GJ191" s="208">
        <v>640894</v>
      </c>
      <c r="GK191" s="208">
        <v>75332</v>
      </c>
      <c r="GL191" s="208">
        <v>716226</v>
      </c>
      <c r="GM191" s="208">
        <v>-11096663</v>
      </c>
      <c r="GN191" s="208">
        <v>-408652</v>
      </c>
      <c r="GO191" s="208">
        <v>-11505315</v>
      </c>
      <c r="GP191" s="208">
        <v>-1576773</v>
      </c>
      <c r="GQ191" s="208">
        <v>-37347</v>
      </c>
      <c r="GR191" s="208">
        <v>-1614120</v>
      </c>
      <c r="GS191" s="208">
        <v>-403606</v>
      </c>
      <c r="GT191" s="208">
        <v>0</v>
      </c>
      <c r="GU191" s="208">
        <v>-403606</v>
      </c>
      <c r="GV191" s="208">
        <v>-216901</v>
      </c>
      <c r="GW191" s="208">
        <v>-1061</v>
      </c>
      <c r="GX191" s="208">
        <v>-217962</v>
      </c>
      <c r="GY191" s="208">
        <v>0</v>
      </c>
      <c r="GZ191" s="208">
        <v>0</v>
      </c>
      <c r="HA191" s="208">
        <v>0</v>
      </c>
      <c r="HB191" s="208">
        <v>-12653049</v>
      </c>
      <c r="HC191" s="208">
        <v>-371728</v>
      </c>
      <c r="HD191" s="208">
        <v>-13024777</v>
      </c>
      <c r="HE191" s="208">
        <v>62743719</v>
      </c>
      <c r="HF191" s="208">
        <v>815253</v>
      </c>
      <c r="HG191" s="208">
        <v>63558972</v>
      </c>
      <c r="HH191" s="187" t="s">
        <v>742</v>
      </c>
    </row>
    <row r="192" spans="1:216" s="187" customFormat="1" x14ac:dyDescent="0.2">
      <c r="B192" s="429" t="s">
        <v>461</v>
      </c>
      <c r="C192" s="429" t="s">
        <v>460</v>
      </c>
      <c r="D192" s="208">
        <v>-1349379</v>
      </c>
      <c r="E192" s="208">
        <v>-13262</v>
      </c>
      <c r="F192" s="208">
        <v>-1362641</v>
      </c>
      <c r="G192" s="208">
        <v>23875</v>
      </c>
      <c r="H192" s="208">
        <v>0</v>
      </c>
      <c r="I192" s="208">
        <v>23875</v>
      </c>
      <c r="J192" s="208">
        <v>2478798</v>
      </c>
      <c r="K192" s="208">
        <v>0</v>
      </c>
      <c r="L192" s="208">
        <v>2478798</v>
      </c>
      <c r="M192" s="208">
        <v>-90343</v>
      </c>
      <c r="N192" s="208">
        <v>0</v>
      </c>
      <c r="O192" s="208">
        <v>-90343</v>
      </c>
      <c r="P192" s="208">
        <v>1062951</v>
      </c>
      <c r="Q192" s="208">
        <v>-13262</v>
      </c>
      <c r="R192" s="208">
        <v>1049689</v>
      </c>
      <c r="S192" s="208">
        <v>-6089515</v>
      </c>
      <c r="T192" s="208">
        <v>-16970</v>
      </c>
      <c r="U192" s="208">
        <v>-6106485</v>
      </c>
      <c r="V192" s="208">
        <v>-34424</v>
      </c>
      <c r="W192" s="208">
        <v>0</v>
      </c>
      <c r="X192" s="208">
        <v>-34424</v>
      </c>
      <c r="Y192" s="208">
        <v>-238303</v>
      </c>
      <c r="Z192" s="208">
        <v>0</v>
      </c>
      <c r="AA192" s="208">
        <v>-238303</v>
      </c>
      <c r="AB192" s="208">
        <v>-35834</v>
      </c>
      <c r="AC192" s="208">
        <v>0</v>
      </c>
      <c r="AD192" s="208">
        <v>-35834</v>
      </c>
      <c r="AE192" s="208">
        <v>-194736</v>
      </c>
      <c r="AF192" s="208">
        <v>0</v>
      </c>
      <c r="AG192" s="208">
        <v>-194736</v>
      </c>
      <c r="AH192" s="208">
        <v>-222</v>
      </c>
      <c r="AI192" s="208">
        <v>0</v>
      </c>
      <c r="AJ192" s="208">
        <v>-222</v>
      </c>
      <c r="AK192" s="208">
        <v>-3426</v>
      </c>
      <c r="AL192" s="208">
        <v>0</v>
      </c>
      <c r="AM192" s="208">
        <v>-3426</v>
      </c>
      <c r="AN192" s="208">
        <v>1407778</v>
      </c>
      <c r="AO192" s="208">
        <v>18959</v>
      </c>
      <c r="AP192" s="208">
        <v>1426737</v>
      </c>
      <c r="AQ192" s="208">
        <v>-11524</v>
      </c>
      <c r="AR192" s="208">
        <v>-4420</v>
      </c>
      <c r="AS192" s="208">
        <v>-15944</v>
      </c>
      <c r="AT192" s="208">
        <v>-4658660</v>
      </c>
      <c r="AU192" s="208">
        <v>0</v>
      </c>
      <c r="AV192" s="208">
        <v>-4658660</v>
      </c>
      <c r="AW192" s="208">
        <v>37335</v>
      </c>
      <c r="AX192" s="208">
        <v>0</v>
      </c>
      <c r="AY192" s="208">
        <v>37335</v>
      </c>
      <c r="AZ192" s="208">
        <v>-64957</v>
      </c>
      <c r="BA192" s="208">
        <v>0</v>
      </c>
      <c r="BB192" s="208">
        <v>-64957</v>
      </c>
      <c r="BC192" s="208">
        <v>0</v>
      </c>
      <c r="BD192" s="208">
        <v>0</v>
      </c>
      <c r="BE192" s="208">
        <v>0</v>
      </c>
      <c r="BF192" s="208">
        <v>0</v>
      </c>
      <c r="BG192" s="208">
        <v>0</v>
      </c>
      <c r="BH192" s="208">
        <v>0</v>
      </c>
      <c r="BI192" s="208">
        <v>0</v>
      </c>
      <c r="BJ192" s="208">
        <v>0</v>
      </c>
      <c r="BK192" s="208">
        <v>0</v>
      </c>
      <c r="BL192" s="208">
        <v>-9617846</v>
      </c>
      <c r="BM192" s="208">
        <v>-2431</v>
      </c>
      <c r="BN192" s="208">
        <v>-9620277</v>
      </c>
      <c r="BO192" s="208">
        <v>-10937</v>
      </c>
      <c r="BP192" s="208">
        <v>0</v>
      </c>
      <c r="BQ192" s="208">
        <v>-10937</v>
      </c>
      <c r="BR192" s="208">
        <v>-9602</v>
      </c>
      <c r="BS192" s="208">
        <v>4304</v>
      </c>
      <c r="BT192" s="208">
        <v>-5298</v>
      </c>
      <c r="BU192" s="208">
        <v>-3090884</v>
      </c>
      <c r="BV192" s="208">
        <v>-6030</v>
      </c>
      <c r="BW192" s="208">
        <v>-3096914</v>
      </c>
      <c r="BX192" s="208">
        <v>-324763</v>
      </c>
      <c r="BY192" s="208">
        <v>0</v>
      </c>
      <c r="BZ192" s="208">
        <v>-324763</v>
      </c>
      <c r="CA192" s="208">
        <v>-3436186</v>
      </c>
      <c r="CB192" s="208">
        <v>-1726</v>
      </c>
      <c r="CC192" s="208">
        <v>-3437912</v>
      </c>
      <c r="CD192" s="208">
        <v>-342039</v>
      </c>
      <c r="CE192" s="208">
        <v>0</v>
      </c>
      <c r="CF192" s="208">
        <v>-342039</v>
      </c>
      <c r="CG192" s="208">
        <v>-9463</v>
      </c>
      <c r="CH192" s="208">
        <v>0</v>
      </c>
      <c r="CI192" s="208">
        <v>-9463</v>
      </c>
      <c r="CJ192" s="208">
        <v>-19676</v>
      </c>
      <c r="CK192" s="208">
        <v>0</v>
      </c>
      <c r="CL192" s="208">
        <v>-19676</v>
      </c>
      <c r="CM192" s="208">
        <v>892</v>
      </c>
      <c r="CN192" s="208">
        <v>0</v>
      </c>
      <c r="CO192" s="208">
        <v>892</v>
      </c>
      <c r="CP192" s="208">
        <v>-16239</v>
      </c>
      <c r="CQ192" s="208">
        <v>0</v>
      </c>
      <c r="CR192" s="208">
        <v>-16239</v>
      </c>
      <c r="CS192" s="208">
        <v>0</v>
      </c>
      <c r="CT192" s="208">
        <v>0</v>
      </c>
      <c r="CU192" s="208">
        <v>0</v>
      </c>
      <c r="CV192" s="208">
        <v>0</v>
      </c>
      <c r="CW192" s="208">
        <v>0</v>
      </c>
      <c r="CX192" s="208">
        <v>0</v>
      </c>
      <c r="CY192" s="208">
        <v>0</v>
      </c>
      <c r="CZ192" s="208">
        <v>0</v>
      </c>
      <c r="DA192" s="208">
        <v>0</v>
      </c>
      <c r="DB192" s="208">
        <v>0</v>
      </c>
      <c r="DC192" s="208">
        <v>0</v>
      </c>
      <c r="DD192" s="208">
        <v>0</v>
      </c>
      <c r="DE192" s="208">
        <v>0</v>
      </c>
      <c r="DF192" s="208">
        <v>0</v>
      </c>
      <c r="DG192" s="208">
        <v>0</v>
      </c>
      <c r="DH192" s="208">
        <v>-84213</v>
      </c>
      <c r="DI192" s="208">
        <v>-22629</v>
      </c>
      <c r="DJ192" s="208">
        <v>-106842</v>
      </c>
      <c r="DK192" s="208">
        <v>-49712</v>
      </c>
      <c r="DL192" s="208">
        <v>-11184</v>
      </c>
      <c r="DM192" s="208">
        <v>-60896</v>
      </c>
      <c r="DN192" s="208">
        <v>-33813</v>
      </c>
      <c r="DO192" s="208">
        <v>0</v>
      </c>
      <c r="DP192" s="208">
        <v>-520450</v>
      </c>
      <c r="DQ192" s="208">
        <v>-33813</v>
      </c>
      <c r="DR192" s="208">
        <v>-554263</v>
      </c>
      <c r="DS192" s="208">
        <v>0</v>
      </c>
      <c r="DT192" s="208">
        <v>0</v>
      </c>
      <c r="DU192" s="208">
        <v>0</v>
      </c>
      <c r="DV192" s="208">
        <v>2471</v>
      </c>
      <c r="DW192" s="208">
        <v>0</v>
      </c>
      <c r="DX192" s="208">
        <v>2471</v>
      </c>
      <c r="DY192" s="208">
        <v>1049</v>
      </c>
      <c r="DZ192" s="208">
        <v>0</v>
      </c>
      <c r="EA192" s="208">
        <v>1049</v>
      </c>
      <c r="EB192" s="208">
        <v>0</v>
      </c>
      <c r="EC192" s="208">
        <v>0</v>
      </c>
      <c r="ED192" s="208">
        <v>0</v>
      </c>
      <c r="EE192" s="208">
        <v>0</v>
      </c>
      <c r="EF192" s="208">
        <v>0</v>
      </c>
      <c r="EG192" s="208">
        <v>0</v>
      </c>
      <c r="EH192" s="208">
        <v>0</v>
      </c>
      <c r="EI192" s="208">
        <v>0</v>
      </c>
      <c r="EJ192" s="208">
        <v>0</v>
      </c>
      <c r="EK192" s="208">
        <v>0</v>
      </c>
      <c r="EL192" s="208">
        <v>0</v>
      </c>
      <c r="EM192" s="208">
        <v>0</v>
      </c>
      <c r="EN192" s="208">
        <v>0</v>
      </c>
      <c r="EO192" s="208">
        <v>0</v>
      </c>
      <c r="EP192" s="208">
        <v>0</v>
      </c>
      <c r="EQ192" s="208">
        <v>0</v>
      </c>
      <c r="ER192" s="208">
        <v>0</v>
      </c>
      <c r="ES192" s="208">
        <v>0</v>
      </c>
      <c r="ET192" s="208">
        <v>0</v>
      </c>
      <c r="EU192" s="208">
        <v>0</v>
      </c>
      <c r="EV192" s="208">
        <v>0</v>
      </c>
      <c r="EW192" s="208">
        <v>-29615</v>
      </c>
      <c r="EX192" s="208">
        <v>0</v>
      </c>
      <c r="EY192" s="208">
        <v>-29615</v>
      </c>
      <c r="EZ192" s="208">
        <v>92</v>
      </c>
      <c r="FA192" s="208">
        <v>0</v>
      </c>
      <c r="FB192" s="208">
        <v>92</v>
      </c>
      <c r="FC192" s="208">
        <v>-141328</v>
      </c>
      <c r="FD192" s="208">
        <v>0</v>
      </c>
      <c r="FE192" s="208">
        <v>-141328</v>
      </c>
      <c r="FF192" s="208">
        <v>8303</v>
      </c>
      <c r="FG192" s="208">
        <v>0</v>
      </c>
      <c r="FH192" s="208">
        <v>8303</v>
      </c>
      <c r="FI192" s="208">
        <v>-71364</v>
      </c>
      <c r="FJ192" s="208">
        <v>0</v>
      </c>
      <c r="FK192" s="208">
        <v>-71364</v>
      </c>
      <c r="FL192" s="208">
        <v>726</v>
      </c>
      <c r="FM192" s="208">
        <v>0</v>
      </c>
      <c r="FN192" s="208">
        <v>726</v>
      </c>
      <c r="FO192" s="208">
        <v>0</v>
      </c>
      <c r="FP192" s="208">
        <v>0</v>
      </c>
      <c r="FQ192" s="208">
        <v>0</v>
      </c>
      <c r="FR192" s="208">
        <v>0</v>
      </c>
      <c r="FS192" s="208">
        <v>0</v>
      </c>
      <c r="FT192" s="208">
        <v>0</v>
      </c>
      <c r="FU192" s="208">
        <v>-229666</v>
      </c>
      <c r="FV192" s="208">
        <v>0</v>
      </c>
      <c r="FW192" s="208">
        <v>-229666</v>
      </c>
      <c r="FX192" s="208">
        <v>0</v>
      </c>
      <c r="FY192" s="208">
        <v>0</v>
      </c>
      <c r="FZ192" s="208">
        <v>0</v>
      </c>
      <c r="GA192" s="208">
        <v>0</v>
      </c>
      <c r="GB192" s="208">
        <v>0</v>
      </c>
      <c r="GC192" s="208">
        <v>0</v>
      </c>
      <c r="GD192" s="208">
        <v>0</v>
      </c>
      <c r="GE192" s="208">
        <v>0</v>
      </c>
      <c r="GF192" s="208">
        <v>0</v>
      </c>
      <c r="GG192" s="208">
        <v>69612308</v>
      </c>
      <c r="GH192" s="208">
        <v>624940</v>
      </c>
      <c r="GI192" s="208">
        <v>70237248</v>
      </c>
      <c r="GJ192" s="208">
        <v>1062951</v>
      </c>
      <c r="GK192" s="208">
        <v>-13262</v>
      </c>
      <c r="GL192" s="208">
        <v>1049689</v>
      </c>
      <c r="GM192" s="208">
        <v>-9617846</v>
      </c>
      <c r="GN192" s="208">
        <v>-2431</v>
      </c>
      <c r="GO192" s="208">
        <v>-9620277</v>
      </c>
      <c r="GP192" s="208">
        <v>-3436186</v>
      </c>
      <c r="GQ192" s="208">
        <v>-1726</v>
      </c>
      <c r="GR192" s="208">
        <v>-3437912</v>
      </c>
      <c r="GS192" s="208">
        <v>-520450</v>
      </c>
      <c r="GT192" s="208">
        <v>-33813</v>
      </c>
      <c r="GU192" s="208">
        <v>-554263</v>
      </c>
      <c r="GV192" s="208">
        <v>-229666</v>
      </c>
      <c r="GW192" s="208">
        <v>0</v>
      </c>
      <c r="GX192" s="208">
        <v>-229666</v>
      </c>
      <c r="GY192" s="208">
        <v>0</v>
      </c>
      <c r="GZ192" s="208">
        <v>0</v>
      </c>
      <c r="HA192" s="208">
        <v>0</v>
      </c>
      <c r="HB192" s="208">
        <v>-12741197</v>
      </c>
      <c r="HC192" s="208">
        <v>-51232</v>
      </c>
      <c r="HD192" s="208">
        <v>-12792429</v>
      </c>
      <c r="HE192" s="208">
        <v>56871111</v>
      </c>
      <c r="HF192" s="208">
        <v>573708</v>
      </c>
      <c r="HG192" s="208">
        <v>57444819</v>
      </c>
      <c r="HH192" s="187" t="s">
        <v>1056</v>
      </c>
    </row>
    <row r="193" spans="1:216" s="187" customFormat="1" x14ac:dyDescent="0.2">
      <c r="A193" s="188"/>
      <c r="B193" s="429" t="s">
        <v>463</v>
      </c>
      <c r="C193" s="429" t="s">
        <v>462</v>
      </c>
      <c r="D193" s="208">
        <v>-525581</v>
      </c>
      <c r="E193" s="208">
        <v>0</v>
      </c>
      <c r="F193" s="208">
        <v>-525581</v>
      </c>
      <c r="G193" s="208">
        <v>8092</v>
      </c>
      <c r="H193" s="208">
        <v>0</v>
      </c>
      <c r="I193" s="208">
        <v>8092</v>
      </c>
      <c r="J193" s="208">
        <v>492145</v>
      </c>
      <c r="K193" s="208">
        <v>0</v>
      </c>
      <c r="L193" s="208">
        <v>492145</v>
      </c>
      <c r="M193" s="208">
        <v>34685</v>
      </c>
      <c r="N193" s="208">
        <v>0</v>
      </c>
      <c r="O193" s="208">
        <v>34685</v>
      </c>
      <c r="P193" s="208">
        <v>9341</v>
      </c>
      <c r="Q193" s="208">
        <v>0</v>
      </c>
      <c r="R193" s="208">
        <v>9341</v>
      </c>
      <c r="S193" s="208">
        <v>-2354941</v>
      </c>
      <c r="T193" s="208">
        <v>0</v>
      </c>
      <c r="U193" s="208">
        <v>-2354941</v>
      </c>
      <c r="V193" s="208">
        <v>0</v>
      </c>
      <c r="W193" s="208">
        <v>0</v>
      </c>
      <c r="X193" s="208">
        <v>0</v>
      </c>
      <c r="Y193" s="208">
        <v>-27691</v>
      </c>
      <c r="Z193" s="208">
        <v>0</v>
      </c>
      <c r="AA193" s="208">
        <v>-27691</v>
      </c>
      <c r="AB193" s="208">
        <v>-1149</v>
      </c>
      <c r="AC193" s="208">
        <v>0</v>
      </c>
      <c r="AD193" s="208">
        <v>-1149</v>
      </c>
      <c r="AE193" s="208">
        <v>-26542</v>
      </c>
      <c r="AF193" s="208">
        <v>0</v>
      </c>
      <c r="AG193" s="208">
        <v>-26542</v>
      </c>
      <c r="AH193" s="208">
        <v>0</v>
      </c>
      <c r="AI193" s="208">
        <v>0</v>
      </c>
      <c r="AJ193" s="208">
        <v>0</v>
      </c>
      <c r="AK193" s="208">
        <v>0</v>
      </c>
      <c r="AL193" s="208">
        <v>0</v>
      </c>
      <c r="AM193" s="208">
        <v>0</v>
      </c>
      <c r="AN193" s="208">
        <v>1277967</v>
      </c>
      <c r="AO193" s="208">
        <v>0</v>
      </c>
      <c r="AP193" s="208">
        <v>1277967</v>
      </c>
      <c r="AQ193" s="208">
        <v>-12281</v>
      </c>
      <c r="AR193" s="208">
        <v>0</v>
      </c>
      <c r="AS193" s="208">
        <v>-12281</v>
      </c>
      <c r="AT193" s="208">
        <v>-1000045</v>
      </c>
      <c r="AU193" s="208">
        <v>0</v>
      </c>
      <c r="AV193" s="208">
        <v>-1000045</v>
      </c>
      <c r="AW193" s="208">
        <v>-11057</v>
      </c>
      <c r="AX193" s="208">
        <v>0</v>
      </c>
      <c r="AY193" s="208">
        <v>-11057</v>
      </c>
      <c r="AZ193" s="208">
        <v>-31562</v>
      </c>
      <c r="BA193" s="208">
        <v>0</v>
      </c>
      <c r="BB193" s="208">
        <v>-31562</v>
      </c>
      <c r="BC193" s="208">
        <v>0</v>
      </c>
      <c r="BD193" s="208">
        <v>0</v>
      </c>
      <c r="BE193" s="208">
        <v>0</v>
      </c>
      <c r="BF193" s="208">
        <v>-10520</v>
      </c>
      <c r="BG193" s="208">
        <v>0</v>
      </c>
      <c r="BH193" s="208">
        <v>-10520</v>
      </c>
      <c r="BI193" s="208">
        <v>0</v>
      </c>
      <c r="BJ193" s="208">
        <v>0</v>
      </c>
      <c r="BK193" s="208">
        <v>0</v>
      </c>
      <c r="BL193" s="208">
        <v>-2170130</v>
      </c>
      <c r="BM193" s="208">
        <v>0</v>
      </c>
      <c r="BN193" s="208">
        <v>-2170130</v>
      </c>
      <c r="BO193" s="208">
        <v>0</v>
      </c>
      <c r="BP193" s="208">
        <v>0</v>
      </c>
      <c r="BQ193" s="208">
        <v>0</v>
      </c>
      <c r="BR193" s="208">
        <v>-68</v>
      </c>
      <c r="BS193" s="208">
        <v>0</v>
      </c>
      <c r="BT193" s="208">
        <v>-68</v>
      </c>
      <c r="BU193" s="208">
        <v>-1223601</v>
      </c>
      <c r="BV193" s="208">
        <v>0</v>
      </c>
      <c r="BW193" s="208">
        <v>-1223601</v>
      </c>
      <c r="BX193" s="208">
        <v>-40773</v>
      </c>
      <c r="BY193" s="208">
        <v>0</v>
      </c>
      <c r="BZ193" s="208">
        <v>-40773</v>
      </c>
      <c r="CA193" s="208">
        <v>-1264442</v>
      </c>
      <c r="CB193" s="208">
        <v>0</v>
      </c>
      <c r="CC193" s="208">
        <v>-1264442</v>
      </c>
      <c r="CD193" s="208">
        <v>-11817</v>
      </c>
      <c r="CE193" s="208">
        <v>0</v>
      </c>
      <c r="CF193" s="208">
        <v>-11817</v>
      </c>
      <c r="CG193" s="208">
        <v>-65</v>
      </c>
      <c r="CH193" s="208">
        <v>0</v>
      </c>
      <c r="CI193" s="208">
        <v>-65</v>
      </c>
      <c r="CJ193" s="208">
        <v>-18603</v>
      </c>
      <c r="CK193" s="208">
        <v>0</v>
      </c>
      <c r="CL193" s="208">
        <v>-18603</v>
      </c>
      <c r="CM193" s="208">
        <v>0</v>
      </c>
      <c r="CN193" s="208">
        <v>0</v>
      </c>
      <c r="CO193" s="208">
        <v>0</v>
      </c>
      <c r="CP193" s="208">
        <v>-1267</v>
      </c>
      <c r="CQ193" s="208">
        <v>0</v>
      </c>
      <c r="CR193" s="208">
        <v>-1267</v>
      </c>
      <c r="CS193" s="208">
        <v>-146</v>
      </c>
      <c r="CT193" s="208">
        <v>0</v>
      </c>
      <c r="CU193" s="208">
        <v>-146</v>
      </c>
      <c r="CV193" s="208">
        <v>0</v>
      </c>
      <c r="CW193" s="208">
        <v>0</v>
      </c>
      <c r="CX193" s="208">
        <v>0</v>
      </c>
      <c r="CY193" s="208">
        <v>0</v>
      </c>
      <c r="CZ193" s="208">
        <v>0</v>
      </c>
      <c r="DA193" s="208">
        <v>0</v>
      </c>
      <c r="DB193" s="208">
        <v>0</v>
      </c>
      <c r="DC193" s="208">
        <v>0</v>
      </c>
      <c r="DD193" s="208">
        <v>0</v>
      </c>
      <c r="DE193" s="208">
        <v>0</v>
      </c>
      <c r="DF193" s="208">
        <v>0</v>
      </c>
      <c r="DG193" s="208">
        <v>0</v>
      </c>
      <c r="DH193" s="208">
        <v>0</v>
      </c>
      <c r="DI193" s="208">
        <v>0</v>
      </c>
      <c r="DJ193" s="208">
        <v>0</v>
      </c>
      <c r="DK193" s="208">
        <v>0</v>
      </c>
      <c r="DL193" s="208">
        <v>0</v>
      </c>
      <c r="DM193" s="208">
        <v>0</v>
      </c>
      <c r="DN193" s="208">
        <v>0</v>
      </c>
      <c r="DO193" s="208">
        <v>0</v>
      </c>
      <c r="DP193" s="208">
        <v>-31898</v>
      </c>
      <c r="DQ193" s="208">
        <v>0</v>
      </c>
      <c r="DR193" s="208">
        <v>-31898</v>
      </c>
      <c r="DS193" s="208">
        <v>0</v>
      </c>
      <c r="DT193" s="208">
        <v>0</v>
      </c>
      <c r="DU193" s="208">
        <v>0</v>
      </c>
      <c r="DV193" s="208">
        <v>0</v>
      </c>
      <c r="DW193" s="208">
        <v>0</v>
      </c>
      <c r="DX193" s="208">
        <v>0</v>
      </c>
      <c r="DY193" s="208">
        <v>-2303</v>
      </c>
      <c r="DZ193" s="208">
        <v>0</v>
      </c>
      <c r="EA193" s="208">
        <v>-2303</v>
      </c>
      <c r="EB193" s="208">
        <v>0</v>
      </c>
      <c r="EC193" s="208">
        <v>0</v>
      </c>
      <c r="ED193" s="208">
        <v>0</v>
      </c>
      <c r="EE193" s="208">
        <v>0</v>
      </c>
      <c r="EF193" s="208">
        <v>0</v>
      </c>
      <c r="EG193" s="208">
        <v>0</v>
      </c>
      <c r="EH193" s="208">
        <v>0</v>
      </c>
      <c r="EI193" s="208">
        <v>0</v>
      </c>
      <c r="EJ193" s="208">
        <v>0</v>
      </c>
      <c r="EK193" s="208">
        <v>-10520</v>
      </c>
      <c r="EL193" s="208">
        <v>0</v>
      </c>
      <c r="EM193" s="208">
        <v>-10520</v>
      </c>
      <c r="EN193" s="208">
        <v>0</v>
      </c>
      <c r="EO193" s="208">
        <v>0</v>
      </c>
      <c r="EP193" s="208">
        <v>0</v>
      </c>
      <c r="EQ193" s="208">
        <v>0</v>
      </c>
      <c r="ER193" s="208">
        <v>0</v>
      </c>
      <c r="ES193" s="208">
        <v>0</v>
      </c>
      <c r="ET193" s="208">
        <v>0</v>
      </c>
      <c r="EU193" s="208">
        <v>0</v>
      </c>
      <c r="EV193" s="208">
        <v>0</v>
      </c>
      <c r="EW193" s="208">
        <v>-10761.97</v>
      </c>
      <c r="EX193" s="208">
        <v>0</v>
      </c>
      <c r="EY193" s="208">
        <v>-10761.97</v>
      </c>
      <c r="EZ193" s="208">
        <v>-3443</v>
      </c>
      <c r="FA193" s="208">
        <v>0</v>
      </c>
      <c r="FB193" s="208">
        <v>-3443</v>
      </c>
      <c r="FC193" s="208">
        <v>-68618.44</v>
      </c>
      <c r="FD193" s="208">
        <v>0</v>
      </c>
      <c r="FE193" s="208">
        <v>-68618.44</v>
      </c>
      <c r="FF193" s="208">
        <v>-40365</v>
      </c>
      <c r="FG193" s="208">
        <v>0</v>
      </c>
      <c r="FH193" s="208">
        <v>-40365</v>
      </c>
      <c r="FI193" s="208">
        <v>-43205.48</v>
      </c>
      <c r="FJ193" s="208">
        <v>0</v>
      </c>
      <c r="FK193" s="208">
        <v>-43205.48</v>
      </c>
      <c r="FL193" s="208">
        <v>2109</v>
      </c>
      <c r="FM193" s="208">
        <v>0</v>
      </c>
      <c r="FN193" s="208">
        <v>2109</v>
      </c>
      <c r="FO193" s="208">
        <v>0</v>
      </c>
      <c r="FP193" s="208">
        <v>0</v>
      </c>
      <c r="FQ193" s="208">
        <v>0</v>
      </c>
      <c r="FR193" s="208">
        <v>0</v>
      </c>
      <c r="FS193" s="208">
        <v>0</v>
      </c>
      <c r="FT193" s="208">
        <v>0</v>
      </c>
      <c r="FU193" s="208">
        <v>-177108</v>
      </c>
      <c r="FV193" s="208">
        <v>0</v>
      </c>
      <c r="FW193" s="208">
        <v>-177108</v>
      </c>
      <c r="FX193" s="208">
        <v>0</v>
      </c>
      <c r="FY193" s="208">
        <v>0</v>
      </c>
      <c r="FZ193" s="208">
        <v>0</v>
      </c>
      <c r="GA193" s="208">
        <v>0</v>
      </c>
      <c r="GB193" s="208">
        <v>0</v>
      </c>
      <c r="GC193" s="208">
        <v>0</v>
      </c>
      <c r="GD193" s="208">
        <v>0</v>
      </c>
      <c r="GE193" s="208">
        <v>0</v>
      </c>
      <c r="GF193" s="208">
        <v>0</v>
      </c>
      <c r="GG193" s="208">
        <v>55163222</v>
      </c>
      <c r="GH193" s="208">
        <v>0</v>
      </c>
      <c r="GI193" s="208">
        <v>55163222</v>
      </c>
      <c r="GJ193" s="208">
        <v>9341</v>
      </c>
      <c r="GK193" s="208">
        <v>0</v>
      </c>
      <c r="GL193" s="208">
        <v>9341</v>
      </c>
      <c r="GM193" s="208">
        <v>-2170130</v>
      </c>
      <c r="GN193" s="208">
        <v>0</v>
      </c>
      <c r="GO193" s="208">
        <v>-2170130</v>
      </c>
      <c r="GP193" s="208">
        <v>-1264442</v>
      </c>
      <c r="GQ193" s="208">
        <v>0</v>
      </c>
      <c r="GR193" s="208">
        <v>-1264442</v>
      </c>
      <c r="GS193" s="208">
        <v>-31898</v>
      </c>
      <c r="GT193" s="208">
        <v>0</v>
      </c>
      <c r="GU193" s="208">
        <v>-31898</v>
      </c>
      <c r="GV193" s="208">
        <v>-177108</v>
      </c>
      <c r="GW193" s="208">
        <v>0</v>
      </c>
      <c r="GX193" s="208">
        <v>-177108</v>
      </c>
      <c r="GY193" s="208">
        <v>0</v>
      </c>
      <c r="GZ193" s="208">
        <v>0</v>
      </c>
      <c r="HA193" s="208">
        <v>0</v>
      </c>
      <c r="HB193" s="208">
        <v>-3634237</v>
      </c>
      <c r="HC193" s="208">
        <v>0</v>
      </c>
      <c r="HD193" s="208">
        <v>-3634237</v>
      </c>
      <c r="HE193" s="208">
        <v>51528985</v>
      </c>
      <c r="HF193" s="208">
        <v>0</v>
      </c>
      <c r="HG193" s="208">
        <v>51528985</v>
      </c>
      <c r="HH193" s="187" t="s">
        <v>1054</v>
      </c>
    </row>
    <row r="194" spans="1:216" s="187" customFormat="1" x14ac:dyDescent="0.2">
      <c r="B194" s="429" t="s">
        <v>465</v>
      </c>
      <c r="C194" s="429" t="s">
        <v>464</v>
      </c>
      <c r="D194" s="208">
        <v>-816252</v>
      </c>
      <c r="E194" s="208">
        <v>0</v>
      </c>
      <c r="F194" s="208">
        <v>-816252</v>
      </c>
      <c r="G194" s="208">
        <v>56994</v>
      </c>
      <c r="H194" s="208">
        <v>0</v>
      </c>
      <c r="I194" s="208">
        <v>56994</v>
      </c>
      <c r="J194" s="208">
        <v>319958</v>
      </c>
      <c r="K194" s="208">
        <v>0</v>
      </c>
      <c r="L194" s="208">
        <v>319958</v>
      </c>
      <c r="M194" s="208">
        <v>62131</v>
      </c>
      <c r="N194" s="208">
        <v>0</v>
      </c>
      <c r="O194" s="208">
        <v>62131</v>
      </c>
      <c r="P194" s="208">
        <v>-377169</v>
      </c>
      <c r="Q194" s="208">
        <v>0</v>
      </c>
      <c r="R194" s="208">
        <v>-377169</v>
      </c>
      <c r="S194" s="208">
        <v>-3180816</v>
      </c>
      <c r="T194" s="208">
        <v>0</v>
      </c>
      <c r="U194" s="208">
        <v>-3180816</v>
      </c>
      <c r="V194" s="208">
        <v>-9275</v>
      </c>
      <c r="W194" s="208">
        <v>0</v>
      </c>
      <c r="X194" s="208">
        <v>-9275</v>
      </c>
      <c r="Y194" s="208">
        <v>-134867</v>
      </c>
      <c r="Z194" s="208">
        <v>0</v>
      </c>
      <c r="AA194" s="208">
        <v>-134867</v>
      </c>
      <c r="AB194" s="208">
        <v>-44619.49</v>
      </c>
      <c r="AC194" s="208">
        <v>0</v>
      </c>
      <c r="AD194" s="208">
        <v>-44619.49</v>
      </c>
      <c r="AE194" s="208">
        <v>-81510</v>
      </c>
      <c r="AF194" s="208">
        <v>0</v>
      </c>
      <c r="AG194" s="208">
        <v>-81510</v>
      </c>
      <c r="AH194" s="208">
        <v>-6425</v>
      </c>
      <c r="AI194" s="208">
        <v>0</v>
      </c>
      <c r="AJ194" s="208">
        <v>-6425</v>
      </c>
      <c r="AK194" s="208">
        <v>2401</v>
      </c>
      <c r="AL194" s="208">
        <v>0</v>
      </c>
      <c r="AM194" s="208">
        <v>2401</v>
      </c>
      <c r="AN194" s="208">
        <v>1452685</v>
      </c>
      <c r="AO194" s="208">
        <v>0</v>
      </c>
      <c r="AP194" s="208">
        <v>1452685</v>
      </c>
      <c r="AQ194" s="208">
        <v>-2759</v>
      </c>
      <c r="AR194" s="208">
        <v>0</v>
      </c>
      <c r="AS194" s="208">
        <v>-2759</v>
      </c>
      <c r="AT194" s="208">
        <v>-1709030</v>
      </c>
      <c r="AU194" s="208">
        <v>0</v>
      </c>
      <c r="AV194" s="208">
        <v>-1709030</v>
      </c>
      <c r="AW194" s="208">
        <v>76275</v>
      </c>
      <c r="AX194" s="208">
        <v>0</v>
      </c>
      <c r="AY194" s="208">
        <v>76275</v>
      </c>
      <c r="AZ194" s="208">
        <v>-24009</v>
      </c>
      <c r="BA194" s="208">
        <v>0</v>
      </c>
      <c r="BB194" s="208">
        <v>-24009</v>
      </c>
      <c r="BC194" s="208">
        <v>0</v>
      </c>
      <c r="BD194" s="208">
        <v>0</v>
      </c>
      <c r="BE194" s="208">
        <v>0</v>
      </c>
      <c r="BF194" s="208">
        <v>-7572</v>
      </c>
      <c r="BG194" s="208">
        <v>0</v>
      </c>
      <c r="BH194" s="208">
        <v>-7572</v>
      </c>
      <c r="BI194" s="208">
        <v>0</v>
      </c>
      <c r="BJ194" s="208">
        <v>0</v>
      </c>
      <c r="BK194" s="208">
        <v>0</v>
      </c>
      <c r="BL194" s="208">
        <v>-3530093</v>
      </c>
      <c r="BM194" s="208">
        <v>0</v>
      </c>
      <c r="BN194" s="208">
        <v>-3530093</v>
      </c>
      <c r="BO194" s="208">
        <v>-127435</v>
      </c>
      <c r="BP194" s="208">
        <v>0</v>
      </c>
      <c r="BQ194" s="208">
        <v>-127435</v>
      </c>
      <c r="BR194" s="208">
        <v>-73367</v>
      </c>
      <c r="BS194" s="208">
        <v>0</v>
      </c>
      <c r="BT194" s="208">
        <v>-73367</v>
      </c>
      <c r="BU194" s="208">
        <v>-1466064</v>
      </c>
      <c r="BV194" s="208">
        <v>0</v>
      </c>
      <c r="BW194" s="208">
        <v>-1466064</v>
      </c>
      <c r="BX194" s="208">
        <v>-121293</v>
      </c>
      <c r="BY194" s="208">
        <v>0</v>
      </c>
      <c r="BZ194" s="208">
        <v>-121293</v>
      </c>
      <c r="CA194" s="208">
        <v>-1788159</v>
      </c>
      <c r="CB194" s="208">
        <v>0</v>
      </c>
      <c r="CC194" s="208">
        <v>-1788159</v>
      </c>
      <c r="CD194" s="208">
        <v>-66917</v>
      </c>
      <c r="CE194" s="208">
        <v>0</v>
      </c>
      <c r="CF194" s="208">
        <v>-66917</v>
      </c>
      <c r="CG194" s="208">
        <v>31</v>
      </c>
      <c r="CH194" s="208">
        <v>0</v>
      </c>
      <c r="CI194" s="208">
        <v>31</v>
      </c>
      <c r="CJ194" s="208">
        <v>-96891</v>
      </c>
      <c r="CK194" s="208">
        <v>0</v>
      </c>
      <c r="CL194" s="208">
        <v>-96891</v>
      </c>
      <c r="CM194" s="208">
        <v>0</v>
      </c>
      <c r="CN194" s="208">
        <v>0</v>
      </c>
      <c r="CO194" s="208">
        <v>0</v>
      </c>
      <c r="CP194" s="208">
        <v>-1660</v>
      </c>
      <c r="CQ194" s="208">
        <v>0</v>
      </c>
      <c r="CR194" s="208">
        <v>-1660</v>
      </c>
      <c r="CS194" s="208">
        <v>0</v>
      </c>
      <c r="CT194" s="208">
        <v>0</v>
      </c>
      <c r="CU194" s="208">
        <v>0</v>
      </c>
      <c r="CV194" s="208">
        <v>0</v>
      </c>
      <c r="CW194" s="208">
        <v>0</v>
      </c>
      <c r="CX194" s="208">
        <v>0</v>
      </c>
      <c r="CY194" s="208">
        <v>0</v>
      </c>
      <c r="CZ194" s="208">
        <v>0</v>
      </c>
      <c r="DA194" s="208">
        <v>0</v>
      </c>
      <c r="DB194" s="208">
        <v>0</v>
      </c>
      <c r="DC194" s="208">
        <v>0</v>
      </c>
      <c r="DD194" s="208">
        <v>0</v>
      </c>
      <c r="DE194" s="208">
        <v>0</v>
      </c>
      <c r="DF194" s="208">
        <v>0</v>
      </c>
      <c r="DG194" s="208">
        <v>0</v>
      </c>
      <c r="DH194" s="208">
        <v>0</v>
      </c>
      <c r="DI194" s="208">
        <v>0</v>
      </c>
      <c r="DJ194" s="208">
        <v>0</v>
      </c>
      <c r="DK194" s="208">
        <v>0</v>
      </c>
      <c r="DL194" s="208">
        <v>0</v>
      </c>
      <c r="DM194" s="208">
        <v>0</v>
      </c>
      <c r="DN194" s="208">
        <v>0</v>
      </c>
      <c r="DO194" s="208">
        <v>0</v>
      </c>
      <c r="DP194" s="208">
        <v>-165437</v>
      </c>
      <c r="DQ194" s="208">
        <v>0</v>
      </c>
      <c r="DR194" s="208">
        <v>-165437</v>
      </c>
      <c r="DS194" s="208">
        <v>0</v>
      </c>
      <c r="DT194" s="208">
        <v>0</v>
      </c>
      <c r="DU194" s="208">
        <v>0</v>
      </c>
      <c r="DV194" s="208">
        <v>0</v>
      </c>
      <c r="DW194" s="208">
        <v>0</v>
      </c>
      <c r="DX194" s="208">
        <v>0</v>
      </c>
      <c r="DY194" s="208">
        <v>2403</v>
      </c>
      <c r="DZ194" s="208">
        <v>0</v>
      </c>
      <c r="EA194" s="208">
        <v>2403</v>
      </c>
      <c r="EB194" s="208">
        <v>0</v>
      </c>
      <c r="EC194" s="208">
        <v>0</v>
      </c>
      <c r="ED194" s="208">
        <v>0</v>
      </c>
      <c r="EE194" s="208">
        <v>0</v>
      </c>
      <c r="EF194" s="208">
        <v>0</v>
      </c>
      <c r="EG194" s="208">
        <v>0</v>
      </c>
      <c r="EH194" s="208">
        <v>0</v>
      </c>
      <c r="EI194" s="208">
        <v>0</v>
      </c>
      <c r="EJ194" s="208">
        <v>0</v>
      </c>
      <c r="EK194" s="208">
        <v>-7572</v>
      </c>
      <c r="EL194" s="208">
        <v>0</v>
      </c>
      <c r="EM194" s="208">
        <v>-7572</v>
      </c>
      <c r="EN194" s="208">
        <v>0</v>
      </c>
      <c r="EO194" s="208">
        <v>0</v>
      </c>
      <c r="EP194" s="208">
        <v>0</v>
      </c>
      <c r="EQ194" s="208">
        <v>-1500</v>
      </c>
      <c r="ER194" s="208">
        <v>0</v>
      </c>
      <c r="ES194" s="208">
        <v>-1500</v>
      </c>
      <c r="ET194" s="208">
        <v>0</v>
      </c>
      <c r="EU194" s="208">
        <v>0</v>
      </c>
      <c r="EV194" s="208">
        <v>0</v>
      </c>
      <c r="EW194" s="208">
        <v>-23663</v>
      </c>
      <c r="EX194" s="208">
        <v>0</v>
      </c>
      <c r="EY194" s="208">
        <v>-23663</v>
      </c>
      <c r="EZ194" s="208">
        <v>-1320.3</v>
      </c>
      <c r="FA194" s="208">
        <v>0</v>
      </c>
      <c r="FB194" s="208">
        <v>-1320.3</v>
      </c>
      <c r="FC194" s="208">
        <v>-132265</v>
      </c>
      <c r="FD194" s="208">
        <v>0</v>
      </c>
      <c r="FE194" s="208">
        <v>-132265</v>
      </c>
      <c r="FF194" s="208">
        <v>-3729</v>
      </c>
      <c r="FG194" s="208">
        <v>0</v>
      </c>
      <c r="FH194" s="208">
        <v>-3729</v>
      </c>
      <c r="FI194" s="208">
        <v>-29269</v>
      </c>
      <c r="FJ194" s="208">
        <v>0</v>
      </c>
      <c r="FK194" s="208">
        <v>-29269</v>
      </c>
      <c r="FL194" s="208">
        <v>-430</v>
      </c>
      <c r="FM194" s="208">
        <v>0</v>
      </c>
      <c r="FN194" s="208">
        <v>-430</v>
      </c>
      <c r="FO194" s="208">
        <v>0</v>
      </c>
      <c r="FP194" s="208">
        <v>0</v>
      </c>
      <c r="FQ194" s="208">
        <v>0</v>
      </c>
      <c r="FR194" s="208">
        <v>0</v>
      </c>
      <c r="FS194" s="208">
        <v>0</v>
      </c>
      <c r="FT194" s="208">
        <v>0</v>
      </c>
      <c r="FU194" s="208">
        <v>-197345</v>
      </c>
      <c r="FV194" s="208">
        <v>0</v>
      </c>
      <c r="FW194" s="208">
        <v>-197345</v>
      </c>
      <c r="FX194" s="208">
        <v>0</v>
      </c>
      <c r="FY194" s="208">
        <v>0</v>
      </c>
      <c r="FZ194" s="208">
        <v>0</v>
      </c>
      <c r="GA194" s="208">
        <v>0</v>
      </c>
      <c r="GB194" s="208">
        <v>0</v>
      </c>
      <c r="GC194" s="208">
        <v>0</v>
      </c>
      <c r="GD194" s="208">
        <v>0</v>
      </c>
      <c r="GE194" s="208">
        <v>0</v>
      </c>
      <c r="GF194" s="208">
        <v>0</v>
      </c>
      <c r="GG194" s="208">
        <v>67303309</v>
      </c>
      <c r="GH194" s="208">
        <v>0</v>
      </c>
      <c r="GI194" s="208">
        <v>67303309</v>
      </c>
      <c r="GJ194" s="208">
        <v>-377169</v>
      </c>
      <c r="GK194" s="208">
        <v>0</v>
      </c>
      <c r="GL194" s="208">
        <v>-377169</v>
      </c>
      <c r="GM194" s="208">
        <v>-3530093</v>
      </c>
      <c r="GN194" s="208">
        <v>0</v>
      </c>
      <c r="GO194" s="208">
        <v>-3530093</v>
      </c>
      <c r="GP194" s="208">
        <v>-1788159</v>
      </c>
      <c r="GQ194" s="208">
        <v>0</v>
      </c>
      <c r="GR194" s="208">
        <v>-1788159</v>
      </c>
      <c r="GS194" s="208">
        <v>-165437</v>
      </c>
      <c r="GT194" s="208">
        <v>0</v>
      </c>
      <c r="GU194" s="208">
        <v>-165437</v>
      </c>
      <c r="GV194" s="208">
        <v>-197345</v>
      </c>
      <c r="GW194" s="208">
        <v>0</v>
      </c>
      <c r="GX194" s="208">
        <v>-197345</v>
      </c>
      <c r="GY194" s="208">
        <v>0</v>
      </c>
      <c r="GZ194" s="208">
        <v>0</v>
      </c>
      <c r="HA194" s="208">
        <v>0</v>
      </c>
      <c r="HB194" s="208">
        <v>-6058203</v>
      </c>
      <c r="HC194" s="208">
        <v>0</v>
      </c>
      <c r="HD194" s="208">
        <v>-6058203</v>
      </c>
      <c r="HE194" s="208">
        <v>61245106</v>
      </c>
      <c r="HF194" s="208">
        <v>0</v>
      </c>
      <c r="HG194" s="208">
        <v>61245106</v>
      </c>
      <c r="HH194" s="187" t="s">
        <v>1054</v>
      </c>
    </row>
    <row r="195" spans="1:216" s="187" customFormat="1" x14ac:dyDescent="0.2">
      <c r="A195" s="188" t="s">
        <v>1817</v>
      </c>
      <c r="B195" s="429" t="s">
        <v>467</v>
      </c>
      <c r="C195" s="429" t="s">
        <v>466</v>
      </c>
      <c r="D195" s="208">
        <v>-1228780</v>
      </c>
      <c r="E195" s="208">
        <v>-6753</v>
      </c>
      <c r="F195" s="208">
        <v>-1235533</v>
      </c>
      <c r="G195" s="208">
        <v>30411</v>
      </c>
      <c r="H195" s="208">
        <v>868</v>
      </c>
      <c r="I195" s="208">
        <v>31279</v>
      </c>
      <c r="J195" s="208">
        <v>3084150</v>
      </c>
      <c r="K195" s="208">
        <v>191236</v>
      </c>
      <c r="L195" s="208">
        <v>3275386</v>
      </c>
      <c r="M195" s="208">
        <v>91218</v>
      </c>
      <c r="N195" s="208">
        <v>4</v>
      </c>
      <c r="O195" s="208">
        <v>91222</v>
      </c>
      <c r="P195" s="208">
        <v>1976999</v>
      </c>
      <c r="Q195" s="208">
        <v>185355</v>
      </c>
      <c r="R195" s="208">
        <v>2162354</v>
      </c>
      <c r="S195" s="208">
        <v>-5762068</v>
      </c>
      <c r="T195" s="208">
        <v>-119485</v>
      </c>
      <c r="U195" s="208">
        <v>-5881553</v>
      </c>
      <c r="V195" s="208">
        <v>0</v>
      </c>
      <c r="W195" s="208">
        <v>0</v>
      </c>
      <c r="X195" s="208">
        <v>0</v>
      </c>
      <c r="Y195" s="208">
        <v>-183638</v>
      </c>
      <c r="Z195" s="208">
        <v>-4092</v>
      </c>
      <c r="AA195" s="208">
        <v>-187730</v>
      </c>
      <c r="AB195" s="208">
        <v>13740</v>
      </c>
      <c r="AC195" s="208">
        <v>14093</v>
      </c>
      <c r="AD195" s="208">
        <v>27833</v>
      </c>
      <c r="AE195" s="208">
        <v>-197378</v>
      </c>
      <c r="AF195" s="208">
        <v>-18185</v>
      </c>
      <c r="AG195" s="208">
        <v>-215563</v>
      </c>
      <c r="AH195" s="208">
        <v>0</v>
      </c>
      <c r="AI195" s="208">
        <v>0</v>
      </c>
      <c r="AJ195" s="208">
        <v>0</v>
      </c>
      <c r="AK195" s="208">
        <v>0</v>
      </c>
      <c r="AL195" s="208">
        <v>0</v>
      </c>
      <c r="AM195" s="208">
        <v>0</v>
      </c>
      <c r="AN195" s="208">
        <v>2409539</v>
      </c>
      <c r="AO195" s="208">
        <v>97936</v>
      </c>
      <c r="AP195" s="208">
        <v>2507475</v>
      </c>
      <c r="AQ195" s="208">
        <v>-28459</v>
      </c>
      <c r="AR195" s="208">
        <v>-305</v>
      </c>
      <c r="AS195" s="208">
        <v>-28764</v>
      </c>
      <c r="AT195" s="208">
        <v>-8725792</v>
      </c>
      <c r="AU195" s="208">
        <v>-75241</v>
      </c>
      <c r="AV195" s="208">
        <v>-8801033</v>
      </c>
      <c r="AW195" s="208">
        <v>-489184</v>
      </c>
      <c r="AX195" s="208">
        <v>0</v>
      </c>
      <c r="AY195" s="208">
        <v>-489184</v>
      </c>
      <c r="AZ195" s="208">
        <v>-16654</v>
      </c>
      <c r="BA195" s="208">
        <v>0</v>
      </c>
      <c r="BB195" s="208">
        <v>-16654</v>
      </c>
      <c r="BC195" s="208">
        <v>0</v>
      </c>
      <c r="BD195" s="208">
        <v>0</v>
      </c>
      <c r="BE195" s="208">
        <v>0</v>
      </c>
      <c r="BF195" s="208">
        <v>0</v>
      </c>
      <c r="BG195" s="208">
        <v>0</v>
      </c>
      <c r="BH195" s="208">
        <v>0</v>
      </c>
      <c r="BI195" s="208">
        <v>0</v>
      </c>
      <c r="BJ195" s="208">
        <v>0</v>
      </c>
      <c r="BK195" s="208">
        <v>0</v>
      </c>
      <c r="BL195" s="208">
        <v>-12796256</v>
      </c>
      <c r="BM195" s="208">
        <v>-101187</v>
      </c>
      <c r="BN195" s="208">
        <v>-12897443</v>
      </c>
      <c r="BO195" s="208">
        <v>-203109</v>
      </c>
      <c r="BP195" s="208">
        <v>0</v>
      </c>
      <c r="BQ195" s="208">
        <v>-203109</v>
      </c>
      <c r="BR195" s="208">
        <v>-16251</v>
      </c>
      <c r="BS195" s="208">
        <v>0</v>
      </c>
      <c r="BT195" s="208">
        <v>-16251</v>
      </c>
      <c r="BU195" s="208">
        <v>-3034121</v>
      </c>
      <c r="BV195" s="208">
        <v>-57209</v>
      </c>
      <c r="BW195" s="208">
        <v>-3091330</v>
      </c>
      <c r="BX195" s="208">
        <v>-438299</v>
      </c>
      <c r="BY195" s="208">
        <v>-2329</v>
      </c>
      <c r="BZ195" s="208">
        <v>-440628</v>
      </c>
      <c r="CA195" s="208">
        <v>-3691780</v>
      </c>
      <c r="CB195" s="208">
        <v>-59538</v>
      </c>
      <c r="CC195" s="208">
        <v>-3751318</v>
      </c>
      <c r="CD195" s="208">
        <v>-251244</v>
      </c>
      <c r="CE195" s="208">
        <v>-2778</v>
      </c>
      <c r="CF195" s="208">
        <v>-254022</v>
      </c>
      <c r="CG195" s="208">
        <v>-9380</v>
      </c>
      <c r="CH195" s="208">
        <v>0</v>
      </c>
      <c r="CI195" s="208">
        <v>-9380</v>
      </c>
      <c r="CJ195" s="208">
        <v>-194281</v>
      </c>
      <c r="CK195" s="208">
        <v>0</v>
      </c>
      <c r="CL195" s="208">
        <v>-194281</v>
      </c>
      <c r="CM195" s="208">
        <v>68920</v>
      </c>
      <c r="CN195" s="208">
        <v>0</v>
      </c>
      <c r="CO195" s="208">
        <v>68920</v>
      </c>
      <c r="CP195" s="208">
        <v>-3177</v>
      </c>
      <c r="CQ195" s="208">
        <v>0</v>
      </c>
      <c r="CR195" s="208">
        <v>-3177</v>
      </c>
      <c r="CS195" s="208">
        <v>0</v>
      </c>
      <c r="CT195" s="208">
        <v>0</v>
      </c>
      <c r="CU195" s="208">
        <v>0</v>
      </c>
      <c r="CV195" s="208">
        <v>0</v>
      </c>
      <c r="CW195" s="208">
        <v>0</v>
      </c>
      <c r="CX195" s="208">
        <v>0</v>
      </c>
      <c r="CY195" s="208">
        <v>0</v>
      </c>
      <c r="CZ195" s="208">
        <v>0</v>
      </c>
      <c r="DA195" s="208">
        <v>0</v>
      </c>
      <c r="DB195" s="208">
        <v>0</v>
      </c>
      <c r="DC195" s="208">
        <v>0</v>
      </c>
      <c r="DD195" s="208">
        <v>0</v>
      </c>
      <c r="DE195" s="208">
        <v>0</v>
      </c>
      <c r="DF195" s="208">
        <v>0</v>
      </c>
      <c r="DG195" s="208">
        <v>0</v>
      </c>
      <c r="DH195" s="208">
        <v>0</v>
      </c>
      <c r="DI195" s="208">
        <v>-651303</v>
      </c>
      <c r="DJ195" s="208">
        <v>-651303</v>
      </c>
      <c r="DK195" s="208">
        <v>0</v>
      </c>
      <c r="DL195" s="208">
        <v>55055</v>
      </c>
      <c r="DM195" s="208">
        <v>55055</v>
      </c>
      <c r="DN195" s="208">
        <v>-596248</v>
      </c>
      <c r="DO195" s="208">
        <v>0</v>
      </c>
      <c r="DP195" s="208">
        <v>-389162</v>
      </c>
      <c r="DQ195" s="208">
        <v>-599026</v>
      </c>
      <c r="DR195" s="208">
        <v>-988188</v>
      </c>
      <c r="DS195" s="208">
        <v>0</v>
      </c>
      <c r="DT195" s="208">
        <v>0</v>
      </c>
      <c r="DU195" s="208">
        <v>0</v>
      </c>
      <c r="DV195" s="208">
        <v>-962</v>
      </c>
      <c r="DW195" s="208">
        <v>0</v>
      </c>
      <c r="DX195" s="208">
        <v>-962</v>
      </c>
      <c r="DY195" s="208">
        <v>0</v>
      </c>
      <c r="DZ195" s="208">
        <v>0</v>
      </c>
      <c r="EA195" s="208">
        <v>0</v>
      </c>
      <c r="EB195" s="208">
        <v>0</v>
      </c>
      <c r="EC195" s="208">
        <v>0</v>
      </c>
      <c r="ED195" s="208">
        <v>0</v>
      </c>
      <c r="EE195" s="208">
        <v>0</v>
      </c>
      <c r="EF195" s="208">
        <v>0</v>
      </c>
      <c r="EG195" s="208">
        <v>0</v>
      </c>
      <c r="EH195" s="208">
        <v>0</v>
      </c>
      <c r="EI195" s="208">
        <v>0</v>
      </c>
      <c r="EJ195" s="208">
        <v>0</v>
      </c>
      <c r="EK195" s="208">
        <v>0</v>
      </c>
      <c r="EL195" s="208">
        <v>0</v>
      </c>
      <c r="EM195" s="208">
        <v>0</v>
      </c>
      <c r="EN195" s="208">
        <v>0</v>
      </c>
      <c r="EO195" s="208">
        <v>0</v>
      </c>
      <c r="EP195" s="208">
        <v>0</v>
      </c>
      <c r="EQ195" s="208">
        <v>-440</v>
      </c>
      <c r="ER195" s="208">
        <v>0</v>
      </c>
      <c r="ES195" s="208">
        <v>-440</v>
      </c>
      <c r="ET195" s="208">
        <v>0</v>
      </c>
      <c r="EU195" s="208">
        <v>0</v>
      </c>
      <c r="EV195" s="208">
        <v>0</v>
      </c>
      <c r="EW195" s="208">
        <v>-6710</v>
      </c>
      <c r="EX195" s="208">
        <v>0</v>
      </c>
      <c r="EY195" s="208">
        <v>-6710</v>
      </c>
      <c r="EZ195" s="208">
        <v>765</v>
      </c>
      <c r="FA195" s="208">
        <v>1416</v>
      </c>
      <c r="FB195" s="208">
        <v>2181</v>
      </c>
      <c r="FC195" s="208">
        <v>-63129</v>
      </c>
      <c r="FD195" s="208">
        <v>-4197</v>
      </c>
      <c r="FE195" s="208">
        <v>-67326</v>
      </c>
      <c r="FF195" s="208">
        <v>1546</v>
      </c>
      <c r="FG195" s="208">
        <v>0</v>
      </c>
      <c r="FH195" s="208">
        <v>1546</v>
      </c>
      <c r="FI195" s="208">
        <v>-41287</v>
      </c>
      <c r="FJ195" s="208">
        <v>0</v>
      </c>
      <c r="FK195" s="208">
        <v>-41287</v>
      </c>
      <c r="FL195" s="208">
        <v>1627</v>
      </c>
      <c r="FM195" s="208">
        <v>0</v>
      </c>
      <c r="FN195" s="208">
        <v>1627</v>
      </c>
      <c r="FO195" s="208">
        <v>0</v>
      </c>
      <c r="FP195" s="208">
        <v>0</v>
      </c>
      <c r="FQ195" s="208">
        <v>0</v>
      </c>
      <c r="FR195" s="208">
        <v>0</v>
      </c>
      <c r="FS195" s="208">
        <v>0</v>
      </c>
      <c r="FT195" s="208">
        <v>0</v>
      </c>
      <c r="FU195" s="208">
        <v>-108590</v>
      </c>
      <c r="FV195" s="208">
        <v>-2781</v>
      </c>
      <c r="FW195" s="208">
        <v>-111371</v>
      </c>
      <c r="FX195" s="208">
        <v>0</v>
      </c>
      <c r="FY195" s="208">
        <v>0</v>
      </c>
      <c r="FZ195" s="208">
        <v>0</v>
      </c>
      <c r="GA195" s="208">
        <v>0</v>
      </c>
      <c r="GB195" s="208">
        <v>0</v>
      </c>
      <c r="GC195" s="208">
        <v>0</v>
      </c>
      <c r="GD195" s="208">
        <v>0</v>
      </c>
      <c r="GE195" s="208">
        <v>0</v>
      </c>
      <c r="GF195" s="208">
        <v>0</v>
      </c>
      <c r="GG195" s="208">
        <v>112893237</v>
      </c>
      <c r="GH195" s="208">
        <v>5367774</v>
      </c>
      <c r="GI195" s="208">
        <v>118261011</v>
      </c>
      <c r="GJ195" s="208">
        <v>1976999</v>
      </c>
      <c r="GK195" s="208">
        <v>185355</v>
      </c>
      <c r="GL195" s="208">
        <v>2162354</v>
      </c>
      <c r="GM195" s="208">
        <v>-12796256</v>
      </c>
      <c r="GN195" s="208">
        <v>-101187</v>
      </c>
      <c r="GO195" s="208">
        <v>-12897443</v>
      </c>
      <c r="GP195" s="208">
        <v>-3691780</v>
      </c>
      <c r="GQ195" s="208">
        <v>-59538</v>
      </c>
      <c r="GR195" s="208">
        <v>-3751318</v>
      </c>
      <c r="GS195" s="208">
        <v>-389162</v>
      </c>
      <c r="GT195" s="208">
        <v>-599026</v>
      </c>
      <c r="GU195" s="208">
        <v>-988188</v>
      </c>
      <c r="GV195" s="208">
        <v>-108590</v>
      </c>
      <c r="GW195" s="208">
        <v>-2781</v>
      </c>
      <c r="GX195" s="208">
        <v>-111371</v>
      </c>
      <c r="GY195" s="208">
        <v>0</v>
      </c>
      <c r="GZ195" s="208">
        <v>0</v>
      </c>
      <c r="HA195" s="208">
        <v>0</v>
      </c>
      <c r="HB195" s="208">
        <v>-15008789</v>
      </c>
      <c r="HC195" s="208">
        <v>-577177</v>
      </c>
      <c r="HD195" s="208">
        <v>-15585966</v>
      </c>
      <c r="HE195" s="208">
        <v>97884448</v>
      </c>
      <c r="HF195" s="208">
        <v>4790597</v>
      </c>
      <c r="HG195" s="208">
        <v>102675045</v>
      </c>
      <c r="HH195" s="187" t="s">
        <v>1054</v>
      </c>
    </row>
    <row r="196" spans="1:216" s="187" customFormat="1" x14ac:dyDescent="0.2">
      <c r="B196" s="429" t="s">
        <v>469</v>
      </c>
      <c r="C196" s="429" t="s">
        <v>468</v>
      </c>
      <c r="D196" s="208">
        <v>-4104337</v>
      </c>
      <c r="E196" s="208">
        <v>-21988</v>
      </c>
      <c r="F196" s="208">
        <v>-4126325</v>
      </c>
      <c r="G196" s="208">
        <v>145727</v>
      </c>
      <c r="H196" s="208">
        <v>0</v>
      </c>
      <c r="I196" s="208">
        <v>145727</v>
      </c>
      <c r="J196" s="208">
        <v>1863044</v>
      </c>
      <c r="K196" s="208">
        <v>0</v>
      </c>
      <c r="L196" s="208">
        <v>1863044</v>
      </c>
      <c r="M196" s="208">
        <v>-290632</v>
      </c>
      <c r="N196" s="208">
        <v>0</v>
      </c>
      <c r="O196" s="208">
        <v>-290632</v>
      </c>
      <c r="P196" s="208">
        <v>-2386198</v>
      </c>
      <c r="Q196" s="208">
        <v>-21988</v>
      </c>
      <c r="R196" s="208">
        <v>-2408186</v>
      </c>
      <c r="S196" s="208">
        <v>-12747057</v>
      </c>
      <c r="T196" s="208">
        <v>-15044</v>
      </c>
      <c r="U196" s="208">
        <v>-12762101</v>
      </c>
      <c r="V196" s="208">
        <v>-94476</v>
      </c>
      <c r="W196" s="208">
        <v>-402</v>
      </c>
      <c r="X196" s="208">
        <v>-94878</v>
      </c>
      <c r="Y196" s="208">
        <v>-360272</v>
      </c>
      <c r="Z196" s="208">
        <v>2324</v>
      </c>
      <c r="AA196" s="208">
        <v>-357948</v>
      </c>
      <c r="AB196" s="208">
        <v>-83638</v>
      </c>
      <c r="AC196" s="208">
        <v>0</v>
      </c>
      <c r="AD196" s="208">
        <v>-83638</v>
      </c>
      <c r="AE196" s="208">
        <v>-228587</v>
      </c>
      <c r="AF196" s="208">
        <v>2324</v>
      </c>
      <c r="AG196" s="208">
        <v>-226263</v>
      </c>
      <c r="AH196" s="208">
        <v>-3567</v>
      </c>
      <c r="AI196" s="208">
        <v>0</v>
      </c>
      <c r="AJ196" s="208">
        <v>-3567</v>
      </c>
      <c r="AK196" s="208">
        <v>-19202</v>
      </c>
      <c r="AL196" s="208">
        <v>0</v>
      </c>
      <c r="AM196" s="208">
        <v>-19202</v>
      </c>
      <c r="AN196" s="208">
        <v>1794257</v>
      </c>
      <c r="AO196" s="208">
        <v>5891</v>
      </c>
      <c r="AP196" s="208">
        <v>1800148</v>
      </c>
      <c r="AQ196" s="208">
        <v>-70715</v>
      </c>
      <c r="AR196" s="208">
        <v>94</v>
      </c>
      <c r="AS196" s="208">
        <v>-70621</v>
      </c>
      <c r="AT196" s="208">
        <v>-7002889</v>
      </c>
      <c r="AU196" s="208">
        <v>0</v>
      </c>
      <c r="AV196" s="208">
        <v>-7002889</v>
      </c>
      <c r="AW196" s="208">
        <v>6249</v>
      </c>
      <c r="AX196" s="208">
        <v>0</v>
      </c>
      <c r="AY196" s="208">
        <v>6249</v>
      </c>
      <c r="AZ196" s="208">
        <v>-153135</v>
      </c>
      <c r="BA196" s="208">
        <v>0</v>
      </c>
      <c r="BB196" s="208">
        <v>-153135</v>
      </c>
      <c r="BC196" s="208">
        <v>-304</v>
      </c>
      <c r="BD196" s="208">
        <v>0</v>
      </c>
      <c r="BE196" s="208">
        <v>-304</v>
      </c>
      <c r="BF196" s="208">
        <v>-82609</v>
      </c>
      <c r="BG196" s="208">
        <v>0</v>
      </c>
      <c r="BH196" s="208">
        <v>-82609</v>
      </c>
      <c r="BI196" s="208">
        <v>12</v>
      </c>
      <c r="BJ196" s="208">
        <v>0</v>
      </c>
      <c r="BK196" s="208">
        <v>12</v>
      </c>
      <c r="BL196" s="208">
        <v>-18616463</v>
      </c>
      <c r="BM196" s="208">
        <v>-6735</v>
      </c>
      <c r="BN196" s="208">
        <v>-18623198</v>
      </c>
      <c r="BO196" s="208">
        <v>0</v>
      </c>
      <c r="BP196" s="208">
        <v>-7359</v>
      </c>
      <c r="BQ196" s="208">
        <v>-7359</v>
      </c>
      <c r="BR196" s="208">
        <v>-1385</v>
      </c>
      <c r="BS196" s="208">
        <v>-264</v>
      </c>
      <c r="BT196" s="208">
        <v>-1649</v>
      </c>
      <c r="BU196" s="208">
        <v>-2781434</v>
      </c>
      <c r="BV196" s="208">
        <v>0</v>
      </c>
      <c r="BW196" s="208">
        <v>-2781434</v>
      </c>
      <c r="BX196" s="208">
        <v>-51490</v>
      </c>
      <c r="BY196" s="208">
        <v>0</v>
      </c>
      <c r="BZ196" s="208">
        <v>-51490</v>
      </c>
      <c r="CA196" s="208">
        <v>-2834309</v>
      </c>
      <c r="CB196" s="208">
        <v>-7623</v>
      </c>
      <c r="CC196" s="208">
        <v>-2841932</v>
      </c>
      <c r="CD196" s="208">
        <v>-650972</v>
      </c>
      <c r="CE196" s="208">
        <v>0</v>
      </c>
      <c r="CF196" s="208">
        <v>-650972</v>
      </c>
      <c r="CG196" s="208">
        <v>-1578</v>
      </c>
      <c r="CH196" s="208">
        <v>0</v>
      </c>
      <c r="CI196" s="208">
        <v>-1578</v>
      </c>
      <c r="CJ196" s="208">
        <v>-416874</v>
      </c>
      <c r="CK196" s="208">
        <v>0</v>
      </c>
      <c r="CL196" s="208">
        <v>-416874</v>
      </c>
      <c r="CM196" s="208">
        <v>32425</v>
      </c>
      <c r="CN196" s="208">
        <v>0</v>
      </c>
      <c r="CO196" s="208">
        <v>32425</v>
      </c>
      <c r="CP196" s="208">
        <v>-22110</v>
      </c>
      <c r="CQ196" s="208">
        <v>0</v>
      </c>
      <c r="CR196" s="208">
        <v>-22110</v>
      </c>
      <c r="CS196" s="208">
        <v>-761</v>
      </c>
      <c r="CT196" s="208">
        <v>0</v>
      </c>
      <c r="CU196" s="208">
        <v>-761</v>
      </c>
      <c r="CV196" s="208">
        <v>0</v>
      </c>
      <c r="CW196" s="208">
        <v>0</v>
      </c>
      <c r="CX196" s="208">
        <v>0</v>
      </c>
      <c r="CY196" s="208">
        <v>-549</v>
      </c>
      <c r="CZ196" s="208">
        <v>0</v>
      </c>
      <c r="DA196" s="208">
        <v>-549</v>
      </c>
      <c r="DB196" s="208">
        <v>-27766</v>
      </c>
      <c r="DC196" s="208">
        <v>0</v>
      </c>
      <c r="DD196" s="208">
        <v>-27766</v>
      </c>
      <c r="DE196" s="208">
        <v>998</v>
      </c>
      <c r="DF196" s="208">
        <v>0</v>
      </c>
      <c r="DG196" s="208">
        <v>998</v>
      </c>
      <c r="DH196" s="208">
        <v>-174836</v>
      </c>
      <c r="DI196" s="208">
        <v>-100059</v>
      </c>
      <c r="DJ196" s="208">
        <v>-274895</v>
      </c>
      <c r="DK196" s="208">
        <v>-28695</v>
      </c>
      <c r="DL196" s="208">
        <v>-10117</v>
      </c>
      <c r="DM196" s="208">
        <v>-38812</v>
      </c>
      <c r="DN196" s="208">
        <v>-110176</v>
      </c>
      <c r="DO196" s="208">
        <v>0</v>
      </c>
      <c r="DP196" s="208">
        <v>-1290718</v>
      </c>
      <c r="DQ196" s="208">
        <v>-110176</v>
      </c>
      <c r="DR196" s="208">
        <v>-1400894</v>
      </c>
      <c r="DS196" s="208">
        <v>0</v>
      </c>
      <c r="DT196" s="208">
        <v>0</v>
      </c>
      <c r="DU196" s="208">
        <v>0</v>
      </c>
      <c r="DV196" s="208">
        <v>-3838</v>
      </c>
      <c r="DW196" s="208">
        <v>0</v>
      </c>
      <c r="DX196" s="208">
        <v>-3838</v>
      </c>
      <c r="DY196" s="208">
        <v>5978</v>
      </c>
      <c r="DZ196" s="208">
        <v>0</v>
      </c>
      <c r="EA196" s="208">
        <v>5978</v>
      </c>
      <c r="EB196" s="208">
        <v>-20596</v>
      </c>
      <c r="EC196" s="208">
        <v>0</v>
      </c>
      <c r="ED196" s="208">
        <v>-20596</v>
      </c>
      <c r="EE196" s="208">
        <v>3757</v>
      </c>
      <c r="EF196" s="208">
        <v>0</v>
      </c>
      <c r="EG196" s="208">
        <v>3757</v>
      </c>
      <c r="EH196" s="208">
        <v>0</v>
      </c>
      <c r="EI196" s="208">
        <v>0</v>
      </c>
      <c r="EJ196" s="208">
        <v>0</v>
      </c>
      <c r="EK196" s="208">
        <v>-82608</v>
      </c>
      <c r="EL196" s="208">
        <v>0</v>
      </c>
      <c r="EM196" s="208">
        <v>-82608</v>
      </c>
      <c r="EN196" s="208">
        <v>12</v>
      </c>
      <c r="EO196" s="208">
        <v>0</v>
      </c>
      <c r="EP196" s="208">
        <v>12</v>
      </c>
      <c r="EQ196" s="208">
        <v>-1500</v>
      </c>
      <c r="ER196" s="208">
        <v>0</v>
      </c>
      <c r="ES196" s="208">
        <v>-1500</v>
      </c>
      <c r="ET196" s="208">
        <v>0</v>
      </c>
      <c r="EU196" s="208">
        <v>0</v>
      </c>
      <c r="EV196" s="208">
        <v>0</v>
      </c>
      <c r="EW196" s="208">
        <v>-104663</v>
      </c>
      <c r="EX196" s="208">
        <v>0</v>
      </c>
      <c r="EY196" s="208">
        <v>-104663</v>
      </c>
      <c r="EZ196" s="208">
        <v>-1038</v>
      </c>
      <c r="FA196" s="208">
        <v>0</v>
      </c>
      <c r="FB196" s="208">
        <v>-1038</v>
      </c>
      <c r="FC196" s="208">
        <v>-446377</v>
      </c>
      <c r="FD196" s="208">
        <v>0</v>
      </c>
      <c r="FE196" s="208">
        <v>-446377</v>
      </c>
      <c r="FF196" s="208">
        <v>17682</v>
      </c>
      <c r="FG196" s="208">
        <v>0</v>
      </c>
      <c r="FH196" s="208">
        <v>17682</v>
      </c>
      <c r="FI196" s="208">
        <v>-184223</v>
      </c>
      <c r="FJ196" s="208">
        <v>0</v>
      </c>
      <c r="FK196" s="208">
        <v>-184223</v>
      </c>
      <c r="FL196" s="208">
        <v>-3512</v>
      </c>
      <c r="FM196" s="208">
        <v>0</v>
      </c>
      <c r="FN196" s="208">
        <v>-3512</v>
      </c>
      <c r="FO196" s="208">
        <v>0</v>
      </c>
      <c r="FP196" s="208">
        <v>0</v>
      </c>
      <c r="FQ196" s="208">
        <v>0</v>
      </c>
      <c r="FR196" s="208">
        <v>0</v>
      </c>
      <c r="FS196" s="208">
        <v>0</v>
      </c>
      <c r="FT196" s="208">
        <v>0</v>
      </c>
      <c r="FU196" s="208">
        <v>-820926</v>
      </c>
      <c r="FV196" s="208">
        <v>0</v>
      </c>
      <c r="FW196" s="208">
        <v>-820926</v>
      </c>
      <c r="FX196" s="208">
        <v>-316</v>
      </c>
      <c r="FY196" s="208">
        <v>0</v>
      </c>
      <c r="FZ196" s="208">
        <v>-316</v>
      </c>
      <c r="GA196" s="208">
        <v>-26101</v>
      </c>
      <c r="GB196" s="208">
        <v>0</v>
      </c>
      <c r="GC196" s="208">
        <v>-26101</v>
      </c>
      <c r="GD196" s="208">
        <v>-26417</v>
      </c>
      <c r="GE196" s="208">
        <v>0</v>
      </c>
      <c r="GF196" s="208">
        <v>-26417</v>
      </c>
      <c r="GG196" s="208">
        <v>104539055</v>
      </c>
      <c r="GH196" s="208">
        <v>403408</v>
      </c>
      <c r="GI196" s="208">
        <v>104942463</v>
      </c>
      <c r="GJ196" s="208">
        <v>-2386198</v>
      </c>
      <c r="GK196" s="208">
        <v>-21988</v>
      </c>
      <c r="GL196" s="208">
        <v>-2408186</v>
      </c>
      <c r="GM196" s="208">
        <v>-18616463</v>
      </c>
      <c r="GN196" s="208">
        <v>-6735</v>
      </c>
      <c r="GO196" s="208">
        <v>-18623198</v>
      </c>
      <c r="GP196" s="208">
        <v>-2834309</v>
      </c>
      <c r="GQ196" s="208">
        <v>-7623</v>
      </c>
      <c r="GR196" s="208">
        <v>-2841932</v>
      </c>
      <c r="GS196" s="208">
        <v>-1290718</v>
      </c>
      <c r="GT196" s="208">
        <v>-110176</v>
      </c>
      <c r="GU196" s="208">
        <v>-1400894</v>
      </c>
      <c r="GV196" s="208">
        <v>-820926</v>
      </c>
      <c r="GW196" s="208">
        <v>0</v>
      </c>
      <c r="GX196" s="208">
        <v>-820926</v>
      </c>
      <c r="GY196" s="208">
        <v>-26417</v>
      </c>
      <c r="GZ196" s="208">
        <v>0</v>
      </c>
      <c r="HA196" s="208">
        <v>-26417</v>
      </c>
      <c r="HB196" s="208">
        <v>-25975031</v>
      </c>
      <c r="HC196" s="208">
        <v>-146522</v>
      </c>
      <c r="HD196" s="208">
        <v>-26121553</v>
      </c>
      <c r="HE196" s="208">
        <v>78564024</v>
      </c>
      <c r="HF196" s="208">
        <v>256886</v>
      </c>
      <c r="HG196" s="208">
        <v>78820910</v>
      </c>
      <c r="HH196" s="187" t="s">
        <v>742</v>
      </c>
    </row>
    <row r="197" spans="1:216" s="187" customFormat="1" x14ac:dyDescent="0.2">
      <c r="B197" s="429" t="s">
        <v>471</v>
      </c>
      <c r="C197" s="429" t="s">
        <v>470</v>
      </c>
      <c r="D197" s="208">
        <v>-1816171</v>
      </c>
      <c r="E197" s="208">
        <v>0</v>
      </c>
      <c r="F197" s="208">
        <v>-1816171</v>
      </c>
      <c r="G197" s="208">
        <v>99589</v>
      </c>
      <c r="H197" s="208">
        <v>0</v>
      </c>
      <c r="I197" s="208">
        <v>99589</v>
      </c>
      <c r="J197" s="208">
        <v>2435832</v>
      </c>
      <c r="K197" s="208">
        <v>0</v>
      </c>
      <c r="L197" s="208">
        <v>2435832</v>
      </c>
      <c r="M197" s="208">
        <v>-51708</v>
      </c>
      <c r="N197" s="208">
        <v>0</v>
      </c>
      <c r="O197" s="208">
        <v>-51708</v>
      </c>
      <c r="P197" s="208">
        <v>667542</v>
      </c>
      <c r="Q197" s="208">
        <v>0</v>
      </c>
      <c r="R197" s="208">
        <v>667542</v>
      </c>
      <c r="S197" s="208">
        <v>-5838090</v>
      </c>
      <c r="T197" s="208">
        <v>0</v>
      </c>
      <c r="U197" s="208">
        <v>-5838090</v>
      </c>
      <c r="V197" s="208">
        <v>-23394</v>
      </c>
      <c r="W197" s="208">
        <v>0</v>
      </c>
      <c r="X197" s="208">
        <v>-23394</v>
      </c>
      <c r="Y197" s="208">
        <v>-175375</v>
      </c>
      <c r="Z197" s="208">
        <v>0</v>
      </c>
      <c r="AA197" s="208">
        <v>-175375</v>
      </c>
      <c r="AB197" s="208">
        <v>-32258</v>
      </c>
      <c r="AC197" s="208">
        <v>0</v>
      </c>
      <c r="AD197" s="208">
        <v>-32258</v>
      </c>
      <c r="AE197" s="208">
        <v>-141525</v>
      </c>
      <c r="AF197" s="208">
        <v>0</v>
      </c>
      <c r="AG197" s="208">
        <v>-141525</v>
      </c>
      <c r="AH197" s="208">
        <v>5459</v>
      </c>
      <c r="AI197" s="208">
        <v>0</v>
      </c>
      <c r="AJ197" s="208">
        <v>5459</v>
      </c>
      <c r="AK197" s="208">
        <v>5494</v>
      </c>
      <c r="AL197" s="208">
        <v>0</v>
      </c>
      <c r="AM197" s="208">
        <v>5494</v>
      </c>
      <c r="AN197" s="208">
        <v>1918649</v>
      </c>
      <c r="AO197" s="208">
        <v>0</v>
      </c>
      <c r="AP197" s="208">
        <v>1918649</v>
      </c>
      <c r="AQ197" s="208">
        <v>15825</v>
      </c>
      <c r="AR197" s="208">
        <v>0</v>
      </c>
      <c r="AS197" s="208">
        <v>15825</v>
      </c>
      <c r="AT197" s="208">
        <v>-7169719</v>
      </c>
      <c r="AU197" s="208">
        <v>0</v>
      </c>
      <c r="AV197" s="208">
        <v>-7169719</v>
      </c>
      <c r="AW197" s="208">
        <v>76718</v>
      </c>
      <c r="AX197" s="208">
        <v>0</v>
      </c>
      <c r="AY197" s="208">
        <v>76718</v>
      </c>
      <c r="AZ197" s="208">
        <v>-24729</v>
      </c>
      <c r="BA197" s="208">
        <v>0</v>
      </c>
      <c r="BB197" s="208">
        <v>-24729</v>
      </c>
      <c r="BC197" s="208">
        <v>0</v>
      </c>
      <c r="BD197" s="208">
        <v>0</v>
      </c>
      <c r="BE197" s="208">
        <v>0</v>
      </c>
      <c r="BF197" s="208">
        <v>0</v>
      </c>
      <c r="BG197" s="208">
        <v>0</v>
      </c>
      <c r="BH197" s="208">
        <v>0</v>
      </c>
      <c r="BI197" s="208">
        <v>0</v>
      </c>
      <c r="BJ197" s="208">
        <v>0</v>
      </c>
      <c r="BK197" s="208">
        <v>0</v>
      </c>
      <c r="BL197" s="208">
        <v>-11196721</v>
      </c>
      <c r="BM197" s="208">
        <v>0</v>
      </c>
      <c r="BN197" s="208">
        <v>-11196721</v>
      </c>
      <c r="BO197" s="208">
        <v>-27570</v>
      </c>
      <c r="BP197" s="208">
        <v>0</v>
      </c>
      <c r="BQ197" s="208">
        <v>-27570</v>
      </c>
      <c r="BR197" s="208">
        <v>-30480</v>
      </c>
      <c r="BS197" s="208">
        <v>0</v>
      </c>
      <c r="BT197" s="208">
        <v>-30480</v>
      </c>
      <c r="BU197" s="208">
        <v>-4006451</v>
      </c>
      <c r="BV197" s="208">
        <v>0</v>
      </c>
      <c r="BW197" s="208">
        <v>-4006451</v>
      </c>
      <c r="BX197" s="208">
        <v>-115764</v>
      </c>
      <c r="BY197" s="208">
        <v>0</v>
      </c>
      <c r="BZ197" s="208">
        <v>-115764</v>
      </c>
      <c r="CA197" s="208">
        <v>-4180265</v>
      </c>
      <c r="CB197" s="208">
        <v>0</v>
      </c>
      <c r="CC197" s="208">
        <v>-4180265</v>
      </c>
      <c r="CD197" s="208">
        <v>-105854</v>
      </c>
      <c r="CE197" s="208">
        <v>0</v>
      </c>
      <c r="CF197" s="208">
        <v>-105854</v>
      </c>
      <c r="CG197" s="208">
        <v>-2447</v>
      </c>
      <c r="CH197" s="208">
        <v>0</v>
      </c>
      <c r="CI197" s="208">
        <v>-2447</v>
      </c>
      <c r="CJ197" s="208">
        <v>-76780</v>
      </c>
      <c r="CK197" s="208">
        <v>0</v>
      </c>
      <c r="CL197" s="208">
        <v>-76780</v>
      </c>
      <c r="CM197" s="208">
        <v>-11123</v>
      </c>
      <c r="CN197" s="208">
        <v>0</v>
      </c>
      <c r="CO197" s="208">
        <v>-11123</v>
      </c>
      <c r="CP197" s="208">
        <v>0</v>
      </c>
      <c r="CQ197" s="208">
        <v>0</v>
      </c>
      <c r="CR197" s="208">
        <v>0</v>
      </c>
      <c r="CS197" s="208">
        <v>0</v>
      </c>
      <c r="CT197" s="208">
        <v>0</v>
      </c>
      <c r="CU197" s="208">
        <v>0</v>
      </c>
      <c r="CV197" s="208">
        <v>0</v>
      </c>
      <c r="CW197" s="208">
        <v>0</v>
      </c>
      <c r="CX197" s="208">
        <v>0</v>
      </c>
      <c r="CY197" s="208">
        <v>0</v>
      </c>
      <c r="CZ197" s="208">
        <v>0</v>
      </c>
      <c r="DA197" s="208">
        <v>0</v>
      </c>
      <c r="DB197" s="208">
        <v>0</v>
      </c>
      <c r="DC197" s="208">
        <v>0</v>
      </c>
      <c r="DD197" s="208">
        <v>0</v>
      </c>
      <c r="DE197" s="208">
        <v>0</v>
      </c>
      <c r="DF197" s="208">
        <v>0</v>
      </c>
      <c r="DG197" s="208">
        <v>0</v>
      </c>
      <c r="DH197" s="208">
        <v>0</v>
      </c>
      <c r="DI197" s="208">
        <v>0</v>
      </c>
      <c r="DJ197" s="208">
        <v>0</v>
      </c>
      <c r="DK197" s="208">
        <v>0</v>
      </c>
      <c r="DL197" s="208">
        <v>0</v>
      </c>
      <c r="DM197" s="208">
        <v>0</v>
      </c>
      <c r="DN197" s="208">
        <v>0</v>
      </c>
      <c r="DO197" s="208">
        <v>0</v>
      </c>
      <c r="DP197" s="208">
        <v>-196204</v>
      </c>
      <c r="DQ197" s="208">
        <v>0</v>
      </c>
      <c r="DR197" s="208">
        <v>-196204</v>
      </c>
      <c r="DS197" s="208">
        <v>0</v>
      </c>
      <c r="DT197" s="208">
        <v>0</v>
      </c>
      <c r="DU197" s="208">
        <v>0</v>
      </c>
      <c r="DV197" s="208">
        <v>-76697</v>
      </c>
      <c r="DW197" s="208">
        <v>0</v>
      </c>
      <c r="DX197" s="208">
        <v>-76697</v>
      </c>
      <c r="DY197" s="208">
        <v>0</v>
      </c>
      <c r="DZ197" s="208">
        <v>0</v>
      </c>
      <c r="EA197" s="208">
        <v>0</v>
      </c>
      <c r="EB197" s="208">
        <v>0</v>
      </c>
      <c r="EC197" s="208">
        <v>0</v>
      </c>
      <c r="ED197" s="208">
        <v>0</v>
      </c>
      <c r="EE197" s="208">
        <v>0</v>
      </c>
      <c r="EF197" s="208">
        <v>0</v>
      </c>
      <c r="EG197" s="208">
        <v>0</v>
      </c>
      <c r="EH197" s="208">
        <v>0</v>
      </c>
      <c r="EI197" s="208">
        <v>0</v>
      </c>
      <c r="EJ197" s="208">
        <v>0</v>
      </c>
      <c r="EK197" s="208">
        <v>0</v>
      </c>
      <c r="EL197" s="208">
        <v>0</v>
      </c>
      <c r="EM197" s="208">
        <v>0</v>
      </c>
      <c r="EN197" s="208">
        <v>0</v>
      </c>
      <c r="EO197" s="208">
        <v>0</v>
      </c>
      <c r="EP197" s="208">
        <v>0</v>
      </c>
      <c r="EQ197" s="208">
        <v>0</v>
      </c>
      <c r="ER197" s="208">
        <v>0</v>
      </c>
      <c r="ES197" s="208">
        <v>0</v>
      </c>
      <c r="ET197" s="208">
        <v>0</v>
      </c>
      <c r="EU197" s="208">
        <v>0</v>
      </c>
      <c r="EV197" s="208">
        <v>0</v>
      </c>
      <c r="EW197" s="208">
        <v>-20963</v>
      </c>
      <c r="EX197" s="208">
        <v>0</v>
      </c>
      <c r="EY197" s="208">
        <v>-20963</v>
      </c>
      <c r="EZ197" s="208">
        <v>2185</v>
      </c>
      <c r="FA197" s="208">
        <v>0</v>
      </c>
      <c r="FB197" s="208">
        <v>2185</v>
      </c>
      <c r="FC197" s="208">
        <v>-224328</v>
      </c>
      <c r="FD197" s="208">
        <v>0</v>
      </c>
      <c r="FE197" s="208">
        <v>-224328</v>
      </c>
      <c r="FF197" s="208">
        <v>7523</v>
      </c>
      <c r="FG197" s="208">
        <v>0</v>
      </c>
      <c r="FH197" s="208">
        <v>7523</v>
      </c>
      <c r="FI197" s="208">
        <v>-77934</v>
      </c>
      <c r="FJ197" s="208">
        <v>0</v>
      </c>
      <c r="FK197" s="208">
        <v>-77934</v>
      </c>
      <c r="FL197" s="208">
        <v>-381</v>
      </c>
      <c r="FM197" s="208">
        <v>0</v>
      </c>
      <c r="FN197" s="208">
        <v>-381</v>
      </c>
      <c r="FO197" s="208">
        <v>0</v>
      </c>
      <c r="FP197" s="208">
        <v>0</v>
      </c>
      <c r="FQ197" s="208">
        <v>0</v>
      </c>
      <c r="FR197" s="208">
        <v>0</v>
      </c>
      <c r="FS197" s="208">
        <v>0</v>
      </c>
      <c r="FT197" s="208">
        <v>0</v>
      </c>
      <c r="FU197" s="208">
        <v>-390595</v>
      </c>
      <c r="FV197" s="208">
        <v>0</v>
      </c>
      <c r="FW197" s="208">
        <v>-390595</v>
      </c>
      <c r="FX197" s="208">
        <v>0</v>
      </c>
      <c r="FY197" s="208">
        <v>0</v>
      </c>
      <c r="FZ197" s="208">
        <v>0</v>
      </c>
      <c r="GA197" s="208">
        <v>0</v>
      </c>
      <c r="GB197" s="208">
        <v>0</v>
      </c>
      <c r="GC197" s="208">
        <v>0</v>
      </c>
      <c r="GD197" s="208">
        <v>0</v>
      </c>
      <c r="GE197" s="208">
        <v>0</v>
      </c>
      <c r="GF197" s="208">
        <v>0</v>
      </c>
      <c r="GG197" s="208">
        <v>95186531</v>
      </c>
      <c r="GH197" s="208">
        <v>0</v>
      </c>
      <c r="GI197" s="208">
        <v>95186531</v>
      </c>
      <c r="GJ197" s="208">
        <v>667542</v>
      </c>
      <c r="GK197" s="208">
        <v>0</v>
      </c>
      <c r="GL197" s="208">
        <v>667542</v>
      </c>
      <c r="GM197" s="208">
        <v>-11196721</v>
      </c>
      <c r="GN197" s="208">
        <v>0</v>
      </c>
      <c r="GO197" s="208">
        <v>-11196721</v>
      </c>
      <c r="GP197" s="208">
        <v>-4180265</v>
      </c>
      <c r="GQ197" s="208">
        <v>0</v>
      </c>
      <c r="GR197" s="208">
        <v>-4180265</v>
      </c>
      <c r="GS197" s="208">
        <v>-196204</v>
      </c>
      <c r="GT197" s="208">
        <v>0</v>
      </c>
      <c r="GU197" s="208">
        <v>-196204</v>
      </c>
      <c r="GV197" s="208">
        <v>-390595</v>
      </c>
      <c r="GW197" s="208">
        <v>0</v>
      </c>
      <c r="GX197" s="208">
        <v>-390595</v>
      </c>
      <c r="GY197" s="208">
        <v>0</v>
      </c>
      <c r="GZ197" s="208">
        <v>0</v>
      </c>
      <c r="HA197" s="208">
        <v>0</v>
      </c>
      <c r="HB197" s="208">
        <v>-15296243</v>
      </c>
      <c r="HC197" s="208">
        <v>0</v>
      </c>
      <c r="HD197" s="208">
        <v>-15296243</v>
      </c>
      <c r="HE197" s="208">
        <v>79890288</v>
      </c>
      <c r="HF197" s="208">
        <v>0</v>
      </c>
      <c r="HG197" s="208">
        <v>79890288</v>
      </c>
      <c r="HH197" s="187" t="s">
        <v>1054</v>
      </c>
    </row>
    <row r="198" spans="1:216" s="187" customFormat="1" x14ac:dyDescent="0.2">
      <c r="B198" s="429" t="s">
        <v>473</v>
      </c>
      <c r="C198" s="429" t="s">
        <v>472</v>
      </c>
      <c r="D198" s="208">
        <v>-6189022</v>
      </c>
      <c r="E198" s="208">
        <v>-240204</v>
      </c>
      <c r="F198" s="208">
        <v>-6429226</v>
      </c>
      <c r="G198" s="208">
        <v>-553023</v>
      </c>
      <c r="H198" s="208">
        <v>7619</v>
      </c>
      <c r="I198" s="208">
        <v>-545404</v>
      </c>
      <c r="J198" s="208">
        <v>2049683</v>
      </c>
      <c r="K198" s="208">
        <v>30288</v>
      </c>
      <c r="L198" s="208">
        <v>2079971</v>
      </c>
      <c r="M198" s="208">
        <v>48299</v>
      </c>
      <c r="N198" s="208">
        <v>1977</v>
      </c>
      <c r="O198" s="208">
        <v>50276</v>
      </c>
      <c r="P198" s="208">
        <v>-4644063</v>
      </c>
      <c r="Q198" s="208">
        <v>-200320</v>
      </c>
      <c r="R198" s="208">
        <v>-4844383</v>
      </c>
      <c r="S198" s="208">
        <v>-8275034</v>
      </c>
      <c r="T198" s="208">
        <v>-599921</v>
      </c>
      <c r="U198" s="208">
        <v>-8874955</v>
      </c>
      <c r="V198" s="208">
        <v>-34540</v>
      </c>
      <c r="W198" s="208">
        <v>-2872</v>
      </c>
      <c r="X198" s="208">
        <v>-37412</v>
      </c>
      <c r="Y198" s="208">
        <v>-204334</v>
      </c>
      <c r="Z198" s="208">
        <v>-11620</v>
      </c>
      <c r="AA198" s="208">
        <v>-215954</v>
      </c>
      <c r="AB198" s="208">
        <v>-29362</v>
      </c>
      <c r="AC198" s="208">
        <v>-515</v>
      </c>
      <c r="AD198" s="208">
        <v>-29877</v>
      </c>
      <c r="AE198" s="208">
        <v>-174972</v>
      </c>
      <c r="AF198" s="208">
        <v>-11105</v>
      </c>
      <c r="AG198" s="208">
        <v>-186077</v>
      </c>
      <c r="AH198" s="208">
        <v>1049</v>
      </c>
      <c r="AI198" s="208">
        <v>-233</v>
      </c>
      <c r="AJ198" s="208">
        <v>816</v>
      </c>
      <c r="AK198" s="208">
        <v>-2726</v>
      </c>
      <c r="AL198" s="208">
        <v>1263</v>
      </c>
      <c r="AM198" s="208">
        <v>-1463</v>
      </c>
      <c r="AN198" s="208">
        <v>3460247</v>
      </c>
      <c r="AO198" s="208">
        <v>260449</v>
      </c>
      <c r="AP198" s="208">
        <v>3720696</v>
      </c>
      <c r="AQ198" s="208">
        <v>10803</v>
      </c>
      <c r="AR198" s="208">
        <v>813</v>
      </c>
      <c r="AS198" s="208">
        <v>11616</v>
      </c>
      <c r="AT198" s="208">
        <v>-15693702</v>
      </c>
      <c r="AU198" s="208">
        <v>-772350</v>
      </c>
      <c r="AV198" s="208">
        <v>-16466052</v>
      </c>
      <c r="AW198" s="208">
        <v>296189</v>
      </c>
      <c r="AX198" s="208">
        <v>-66250</v>
      </c>
      <c r="AY198" s="208">
        <v>229939</v>
      </c>
      <c r="AZ198" s="208">
        <v>-66698</v>
      </c>
      <c r="BA198" s="208">
        <v>0</v>
      </c>
      <c r="BB198" s="208">
        <v>-66698</v>
      </c>
      <c r="BC198" s="208">
        <v>0</v>
      </c>
      <c r="BD198" s="208">
        <v>0</v>
      </c>
      <c r="BE198" s="208">
        <v>0</v>
      </c>
      <c r="BF198" s="208">
        <v>0</v>
      </c>
      <c r="BG198" s="208">
        <v>0</v>
      </c>
      <c r="BH198" s="208">
        <v>0</v>
      </c>
      <c r="BI198" s="208">
        <v>0</v>
      </c>
      <c r="BJ198" s="208">
        <v>0</v>
      </c>
      <c r="BK198" s="208">
        <v>0</v>
      </c>
      <c r="BL198" s="208">
        <v>-20472529</v>
      </c>
      <c r="BM198" s="208">
        <v>-1188879</v>
      </c>
      <c r="BN198" s="208">
        <v>-21661408</v>
      </c>
      <c r="BO198" s="208">
        <v>-13900</v>
      </c>
      <c r="BP198" s="208">
        <v>0</v>
      </c>
      <c r="BQ198" s="208">
        <v>-13900</v>
      </c>
      <c r="BR198" s="208">
        <v>-669321</v>
      </c>
      <c r="BS198" s="208">
        <v>0</v>
      </c>
      <c r="BT198" s="208">
        <v>-669321</v>
      </c>
      <c r="BU198" s="208">
        <v>-6292582</v>
      </c>
      <c r="BV198" s="208">
        <v>-420272</v>
      </c>
      <c r="BW198" s="208">
        <v>-6712854</v>
      </c>
      <c r="BX198" s="208">
        <v>-387232</v>
      </c>
      <c r="BY198" s="208">
        <v>-1879</v>
      </c>
      <c r="BZ198" s="208">
        <v>-389111</v>
      </c>
      <c r="CA198" s="208">
        <v>-7363035</v>
      </c>
      <c r="CB198" s="208">
        <v>-422151</v>
      </c>
      <c r="CC198" s="208">
        <v>-7785186</v>
      </c>
      <c r="CD198" s="208">
        <v>-182814</v>
      </c>
      <c r="CE198" s="208">
        <v>-10818</v>
      </c>
      <c r="CF198" s="208">
        <v>-193632</v>
      </c>
      <c r="CG198" s="208">
        <v>-1651</v>
      </c>
      <c r="CH198" s="208">
        <v>-2099</v>
      </c>
      <c r="CI198" s="208">
        <v>-3750</v>
      </c>
      <c r="CJ198" s="208">
        <v>-330752</v>
      </c>
      <c r="CK198" s="208">
        <v>-247033</v>
      </c>
      <c r="CL198" s="208">
        <v>-577785</v>
      </c>
      <c r="CM198" s="208">
        <v>29043</v>
      </c>
      <c r="CN198" s="208">
        <v>55664</v>
      </c>
      <c r="CO198" s="208">
        <v>84707</v>
      </c>
      <c r="CP198" s="208">
        <v>-838</v>
      </c>
      <c r="CQ198" s="208">
        <v>0</v>
      </c>
      <c r="CR198" s="208">
        <v>-838</v>
      </c>
      <c r="CS198" s="208">
        <v>0</v>
      </c>
      <c r="CT198" s="208">
        <v>0</v>
      </c>
      <c r="CU198" s="208">
        <v>0</v>
      </c>
      <c r="CV198" s="208">
        <v>0</v>
      </c>
      <c r="CW198" s="208">
        <v>0</v>
      </c>
      <c r="CX198" s="208">
        <v>0</v>
      </c>
      <c r="CY198" s="208">
        <v>0</v>
      </c>
      <c r="CZ198" s="208">
        <v>0</v>
      </c>
      <c r="DA198" s="208">
        <v>0</v>
      </c>
      <c r="DB198" s="208">
        <v>0</v>
      </c>
      <c r="DC198" s="208">
        <v>0</v>
      </c>
      <c r="DD198" s="208">
        <v>0</v>
      </c>
      <c r="DE198" s="208">
        <v>0</v>
      </c>
      <c r="DF198" s="208">
        <v>0</v>
      </c>
      <c r="DG198" s="208">
        <v>0</v>
      </c>
      <c r="DH198" s="208">
        <v>0</v>
      </c>
      <c r="DI198" s="208">
        <v>0</v>
      </c>
      <c r="DJ198" s="208">
        <v>0</v>
      </c>
      <c r="DK198" s="208">
        <v>0</v>
      </c>
      <c r="DL198" s="208">
        <v>0</v>
      </c>
      <c r="DM198" s="208">
        <v>0</v>
      </c>
      <c r="DN198" s="208">
        <v>0</v>
      </c>
      <c r="DO198" s="208">
        <v>0</v>
      </c>
      <c r="DP198" s="208">
        <v>-487012</v>
      </c>
      <c r="DQ198" s="208">
        <v>-204286</v>
      </c>
      <c r="DR198" s="208">
        <v>-691298</v>
      </c>
      <c r="DS198" s="208">
        <v>0</v>
      </c>
      <c r="DT198" s="208">
        <v>0</v>
      </c>
      <c r="DU198" s="208">
        <v>0</v>
      </c>
      <c r="DV198" s="208">
        <v>0</v>
      </c>
      <c r="DW198" s="208">
        <v>0</v>
      </c>
      <c r="DX198" s="208">
        <v>0</v>
      </c>
      <c r="DY198" s="208">
        <v>6987</v>
      </c>
      <c r="DZ198" s="208">
        <v>2500</v>
      </c>
      <c r="EA198" s="208">
        <v>9487</v>
      </c>
      <c r="EB198" s="208">
        <v>0</v>
      </c>
      <c r="EC198" s="208">
        <v>0</v>
      </c>
      <c r="ED198" s="208">
        <v>0</v>
      </c>
      <c r="EE198" s="208">
        <v>0</v>
      </c>
      <c r="EF198" s="208">
        <v>0</v>
      </c>
      <c r="EG198" s="208">
        <v>0</v>
      </c>
      <c r="EH198" s="208">
        <v>0</v>
      </c>
      <c r="EI198" s="208">
        <v>0</v>
      </c>
      <c r="EJ198" s="208">
        <v>0</v>
      </c>
      <c r="EK198" s="208">
        <v>0</v>
      </c>
      <c r="EL198" s="208">
        <v>0</v>
      </c>
      <c r="EM198" s="208">
        <v>0</v>
      </c>
      <c r="EN198" s="208">
        <v>0</v>
      </c>
      <c r="EO198" s="208">
        <v>0</v>
      </c>
      <c r="EP198" s="208">
        <v>0</v>
      </c>
      <c r="EQ198" s="208">
        <v>-640</v>
      </c>
      <c r="ER198" s="208">
        <v>0</v>
      </c>
      <c r="ES198" s="208">
        <v>-640</v>
      </c>
      <c r="ET198" s="208">
        <v>0</v>
      </c>
      <c r="EU198" s="208">
        <v>0</v>
      </c>
      <c r="EV198" s="208">
        <v>0</v>
      </c>
      <c r="EW198" s="208">
        <v>-76593</v>
      </c>
      <c r="EX198" s="208">
        <v>-5808</v>
      </c>
      <c r="EY198" s="208">
        <v>-82401</v>
      </c>
      <c r="EZ198" s="208">
        <v>10523</v>
      </c>
      <c r="FA198" s="208">
        <v>300</v>
      </c>
      <c r="FB198" s="208">
        <v>10823</v>
      </c>
      <c r="FC198" s="208">
        <v>0</v>
      </c>
      <c r="FD198" s="208">
        <v>0</v>
      </c>
      <c r="FE198" s="208">
        <v>0</v>
      </c>
      <c r="FF198" s="208">
        <v>30649</v>
      </c>
      <c r="FG198" s="208">
        <v>298</v>
      </c>
      <c r="FH198" s="208">
        <v>30947</v>
      </c>
      <c r="FI198" s="208">
        <v>-65865</v>
      </c>
      <c r="FJ198" s="208">
        <v>-16490</v>
      </c>
      <c r="FK198" s="208">
        <v>-82355</v>
      </c>
      <c r="FL198" s="208">
        <v>1666</v>
      </c>
      <c r="FM198" s="208">
        <v>105</v>
      </c>
      <c r="FN198" s="208">
        <v>1771</v>
      </c>
      <c r="FO198" s="208">
        <v>0</v>
      </c>
      <c r="FP198" s="208">
        <v>0</v>
      </c>
      <c r="FQ198" s="208">
        <v>0</v>
      </c>
      <c r="FR198" s="208">
        <v>0</v>
      </c>
      <c r="FS198" s="208">
        <v>0</v>
      </c>
      <c r="FT198" s="208">
        <v>0</v>
      </c>
      <c r="FU198" s="208">
        <v>-93273</v>
      </c>
      <c r="FV198" s="208">
        <v>-19095</v>
      </c>
      <c r="FW198" s="208">
        <v>-112368</v>
      </c>
      <c r="FX198" s="208">
        <v>0</v>
      </c>
      <c r="FY198" s="208">
        <v>0</v>
      </c>
      <c r="FZ198" s="208">
        <v>0</v>
      </c>
      <c r="GA198" s="208">
        <v>0</v>
      </c>
      <c r="GB198" s="208">
        <v>0</v>
      </c>
      <c r="GC198" s="208">
        <v>0</v>
      </c>
      <c r="GD198" s="208">
        <v>0</v>
      </c>
      <c r="GE198" s="208">
        <v>0</v>
      </c>
      <c r="GF198" s="208">
        <v>0</v>
      </c>
      <c r="GG198" s="208">
        <v>161109130</v>
      </c>
      <c r="GH198" s="208">
        <v>12745644</v>
      </c>
      <c r="GI198" s="208">
        <v>173854774</v>
      </c>
      <c r="GJ198" s="208">
        <v>-4644063</v>
      </c>
      <c r="GK198" s="208">
        <v>-200320</v>
      </c>
      <c r="GL198" s="208">
        <v>-4844383</v>
      </c>
      <c r="GM198" s="208">
        <v>-20472529</v>
      </c>
      <c r="GN198" s="208">
        <v>-1188879</v>
      </c>
      <c r="GO198" s="208">
        <v>-21661408</v>
      </c>
      <c r="GP198" s="208">
        <v>-7363035</v>
      </c>
      <c r="GQ198" s="208">
        <v>-422151</v>
      </c>
      <c r="GR198" s="208">
        <v>-7785186</v>
      </c>
      <c r="GS198" s="208">
        <v>-487012</v>
      </c>
      <c r="GT198" s="208">
        <v>-204286</v>
      </c>
      <c r="GU198" s="208">
        <v>-691298</v>
      </c>
      <c r="GV198" s="208">
        <v>-93273</v>
      </c>
      <c r="GW198" s="208">
        <v>-19095</v>
      </c>
      <c r="GX198" s="208">
        <v>-112368</v>
      </c>
      <c r="GY198" s="208">
        <v>0</v>
      </c>
      <c r="GZ198" s="208">
        <v>0</v>
      </c>
      <c r="HA198" s="208">
        <v>0</v>
      </c>
      <c r="HB198" s="208">
        <v>-33059912</v>
      </c>
      <c r="HC198" s="208">
        <v>-2034731</v>
      </c>
      <c r="HD198" s="208">
        <v>-35094643</v>
      </c>
      <c r="HE198" s="208">
        <v>128049218</v>
      </c>
      <c r="HF198" s="208">
        <v>10710913</v>
      </c>
      <c r="HG198" s="208">
        <v>138760131</v>
      </c>
      <c r="HH198" s="187" t="s">
        <v>742</v>
      </c>
    </row>
    <row r="199" spans="1:216" s="187" customFormat="1" x14ac:dyDescent="0.2">
      <c r="B199" s="429" t="s">
        <v>475</v>
      </c>
      <c r="C199" s="429" t="s">
        <v>474</v>
      </c>
      <c r="D199" s="208">
        <v>-405414</v>
      </c>
      <c r="E199" s="208">
        <v>0</v>
      </c>
      <c r="F199" s="208">
        <v>-405414</v>
      </c>
      <c r="G199" s="208">
        <v>-20055</v>
      </c>
      <c r="H199" s="208">
        <v>0</v>
      </c>
      <c r="I199" s="208">
        <v>-20055</v>
      </c>
      <c r="J199" s="208">
        <v>905318</v>
      </c>
      <c r="K199" s="208">
        <v>0</v>
      </c>
      <c r="L199" s="208">
        <v>905318</v>
      </c>
      <c r="M199" s="208">
        <v>-79660</v>
      </c>
      <c r="N199" s="208">
        <v>0</v>
      </c>
      <c r="O199" s="208">
        <v>-79660</v>
      </c>
      <c r="P199" s="208">
        <v>400189</v>
      </c>
      <c r="Q199" s="208">
        <v>0</v>
      </c>
      <c r="R199" s="208">
        <v>400189</v>
      </c>
      <c r="S199" s="208">
        <v>-3547934</v>
      </c>
      <c r="T199" s="208">
        <v>0</v>
      </c>
      <c r="U199" s="208">
        <v>-3547934</v>
      </c>
      <c r="V199" s="208">
        <v>0</v>
      </c>
      <c r="W199" s="208">
        <v>0</v>
      </c>
      <c r="X199" s="208">
        <v>0</v>
      </c>
      <c r="Y199" s="208">
        <v>-26591</v>
      </c>
      <c r="Z199" s="208">
        <v>0</v>
      </c>
      <c r="AA199" s="208">
        <v>-26591</v>
      </c>
      <c r="AB199" s="208">
        <v>3411</v>
      </c>
      <c r="AC199" s="208">
        <v>0</v>
      </c>
      <c r="AD199" s="208">
        <v>3411</v>
      </c>
      <c r="AE199" s="208">
        <v>-31017</v>
      </c>
      <c r="AF199" s="208">
        <v>0</v>
      </c>
      <c r="AG199" s="208">
        <v>-31017</v>
      </c>
      <c r="AH199" s="208">
        <v>0</v>
      </c>
      <c r="AI199" s="208">
        <v>0</v>
      </c>
      <c r="AJ199" s="208">
        <v>0</v>
      </c>
      <c r="AK199" s="208">
        <v>0</v>
      </c>
      <c r="AL199" s="208">
        <v>0</v>
      </c>
      <c r="AM199" s="208">
        <v>0</v>
      </c>
      <c r="AN199" s="208">
        <v>762473</v>
      </c>
      <c r="AO199" s="208">
        <v>0</v>
      </c>
      <c r="AP199" s="208">
        <v>762473</v>
      </c>
      <c r="AQ199" s="208">
        <v>-9237</v>
      </c>
      <c r="AR199" s="208">
        <v>0</v>
      </c>
      <c r="AS199" s="208">
        <v>-9237</v>
      </c>
      <c r="AT199" s="208">
        <v>-2236897</v>
      </c>
      <c r="AU199" s="208">
        <v>0</v>
      </c>
      <c r="AV199" s="208">
        <v>-2236897</v>
      </c>
      <c r="AW199" s="208">
        <v>46908</v>
      </c>
      <c r="AX199" s="208">
        <v>0</v>
      </c>
      <c r="AY199" s="208">
        <v>46908</v>
      </c>
      <c r="AZ199" s="208">
        <v>-14557</v>
      </c>
      <c r="BA199" s="208">
        <v>0</v>
      </c>
      <c r="BB199" s="208">
        <v>-14557</v>
      </c>
      <c r="BC199" s="208">
        <v>0</v>
      </c>
      <c r="BD199" s="208">
        <v>0</v>
      </c>
      <c r="BE199" s="208">
        <v>0</v>
      </c>
      <c r="BF199" s="208">
        <v>0</v>
      </c>
      <c r="BG199" s="208">
        <v>0</v>
      </c>
      <c r="BH199" s="208">
        <v>0</v>
      </c>
      <c r="BI199" s="208">
        <v>0</v>
      </c>
      <c r="BJ199" s="208">
        <v>0</v>
      </c>
      <c r="BK199" s="208">
        <v>0</v>
      </c>
      <c r="BL199" s="208">
        <v>-5025835</v>
      </c>
      <c r="BM199" s="208">
        <v>0</v>
      </c>
      <c r="BN199" s="208">
        <v>-5025835</v>
      </c>
      <c r="BO199" s="208">
        <v>0</v>
      </c>
      <c r="BP199" s="208">
        <v>0</v>
      </c>
      <c r="BQ199" s="208">
        <v>0</v>
      </c>
      <c r="BR199" s="208">
        <v>0</v>
      </c>
      <c r="BS199" s="208">
        <v>0</v>
      </c>
      <c r="BT199" s="208">
        <v>0</v>
      </c>
      <c r="BU199" s="208">
        <v>-1215131</v>
      </c>
      <c r="BV199" s="208">
        <v>0</v>
      </c>
      <c r="BW199" s="208">
        <v>-1215131</v>
      </c>
      <c r="BX199" s="208">
        <v>152696</v>
      </c>
      <c r="BY199" s="208">
        <v>0</v>
      </c>
      <c r="BZ199" s="208">
        <v>152696</v>
      </c>
      <c r="CA199" s="208">
        <v>-1062435</v>
      </c>
      <c r="CB199" s="208">
        <v>0</v>
      </c>
      <c r="CC199" s="208">
        <v>-1062435</v>
      </c>
      <c r="CD199" s="208">
        <v>-9233</v>
      </c>
      <c r="CE199" s="208">
        <v>0</v>
      </c>
      <c r="CF199" s="208">
        <v>-9233</v>
      </c>
      <c r="CG199" s="208">
        <v>0</v>
      </c>
      <c r="CH199" s="208">
        <v>0</v>
      </c>
      <c r="CI199" s="208">
        <v>0</v>
      </c>
      <c r="CJ199" s="208">
        <v>-11075</v>
      </c>
      <c r="CK199" s="208">
        <v>0</v>
      </c>
      <c r="CL199" s="208">
        <v>-11075</v>
      </c>
      <c r="CM199" s="208">
        <v>0</v>
      </c>
      <c r="CN199" s="208">
        <v>0</v>
      </c>
      <c r="CO199" s="208">
        <v>0</v>
      </c>
      <c r="CP199" s="208">
        <v>0</v>
      </c>
      <c r="CQ199" s="208">
        <v>0</v>
      </c>
      <c r="CR199" s="208">
        <v>0</v>
      </c>
      <c r="CS199" s="208">
        <v>0</v>
      </c>
      <c r="CT199" s="208">
        <v>0</v>
      </c>
      <c r="CU199" s="208">
        <v>0</v>
      </c>
      <c r="CV199" s="208">
        <v>0</v>
      </c>
      <c r="CW199" s="208">
        <v>0</v>
      </c>
      <c r="CX199" s="208">
        <v>0</v>
      </c>
      <c r="CY199" s="208">
        <v>0</v>
      </c>
      <c r="CZ199" s="208">
        <v>0</v>
      </c>
      <c r="DA199" s="208">
        <v>0</v>
      </c>
      <c r="DB199" s="208">
        <v>0</v>
      </c>
      <c r="DC199" s="208">
        <v>0</v>
      </c>
      <c r="DD199" s="208">
        <v>0</v>
      </c>
      <c r="DE199" s="208">
        <v>0</v>
      </c>
      <c r="DF199" s="208">
        <v>0</v>
      </c>
      <c r="DG199" s="208">
        <v>0</v>
      </c>
      <c r="DH199" s="208">
        <v>0</v>
      </c>
      <c r="DI199" s="208">
        <v>0</v>
      </c>
      <c r="DJ199" s="208">
        <v>0</v>
      </c>
      <c r="DK199" s="208">
        <v>0</v>
      </c>
      <c r="DL199" s="208">
        <v>0</v>
      </c>
      <c r="DM199" s="208">
        <v>0</v>
      </c>
      <c r="DN199" s="208">
        <v>0</v>
      </c>
      <c r="DO199" s="208">
        <v>0</v>
      </c>
      <c r="DP199" s="208">
        <v>-20308</v>
      </c>
      <c r="DQ199" s="208">
        <v>0</v>
      </c>
      <c r="DR199" s="208">
        <v>-20308</v>
      </c>
      <c r="DS199" s="208">
        <v>21957</v>
      </c>
      <c r="DT199" s="208">
        <v>0</v>
      </c>
      <c r="DU199" s="208">
        <v>21957</v>
      </c>
      <c r="DV199" s="208">
        <v>0</v>
      </c>
      <c r="DW199" s="208">
        <v>0</v>
      </c>
      <c r="DX199" s="208">
        <v>0</v>
      </c>
      <c r="DY199" s="208">
        <v>0</v>
      </c>
      <c r="DZ199" s="208">
        <v>0</v>
      </c>
      <c r="EA199" s="208">
        <v>0</v>
      </c>
      <c r="EB199" s="208">
        <v>0</v>
      </c>
      <c r="EC199" s="208">
        <v>0</v>
      </c>
      <c r="ED199" s="208">
        <v>0</v>
      </c>
      <c r="EE199" s="208">
        <v>0</v>
      </c>
      <c r="EF199" s="208">
        <v>0</v>
      </c>
      <c r="EG199" s="208">
        <v>0</v>
      </c>
      <c r="EH199" s="208">
        <v>0</v>
      </c>
      <c r="EI199" s="208">
        <v>0</v>
      </c>
      <c r="EJ199" s="208">
        <v>0</v>
      </c>
      <c r="EK199" s="208">
        <v>0</v>
      </c>
      <c r="EL199" s="208">
        <v>0</v>
      </c>
      <c r="EM199" s="208">
        <v>0</v>
      </c>
      <c r="EN199" s="208">
        <v>0</v>
      </c>
      <c r="EO199" s="208">
        <v>0</v>
      </c>
      <c r="EP199" s="208">
        <v>0</v>
      </c>
      <c r="EQ199" s="208">
        <v>0</v>
      </c>
      <c r="ER199" s="208">
        <v>0</v>
      </c>
      <c r="ES199" s="208">
        <v>0</v>
      </c>
      <c r="ET199" s="208">
        <v>0</v>
      </c>
      <c r="EU199" s="208">
        <v>0</v>
      </c>
      <c r="EV199" s="208">
        <v>0</v>
      </c>
      <c r="EW199" s="208">
        <v>-10851</v>
      </c>
      <c r="EX199" s="208">
        <v>0</v>
      </c>
      <c r="EY199" s="208">
        <v>-10851</v>
      </c>
      <c r="EZ199" s="208">
        <v>0</v>
      </c>
      <c r="FA199" s="208">
        <v>0</v>
      </c>
      <c r="FB199" s="208">
        <v>0</v>
      </c>
      <c r="FC199" s="208">
        <v>-64193</v>
      </c>
      <c r="FD199" s="208">
        <v>0</v>
      </c>
      <c r="FE199" s="208">
        <v>-64193</v>
      </c>
      <c r="FF199" s="208">
        <v>4759</v>
      </c>
      <c r="FG199" s="208">
        <v>0</v>
      </c>
      <c r="FH199" s="208">
        <v>4759</v>
      </c>
      <c r="FI199" s="208">
        <v>-22090</v>
      </c>
      <c r="FJ199" s="208">
        <v>0</v>
      </c>
      <c r="FK199" s="208">
        <v>-22090</v>
      </c>
      <c r="FL199" s="208">
        <v>-219</v>
      </c>
      <c r="FM199" s="208">
        <v>0</v>
      </c>
      <c r="FN199" s="208">
        <v>-219</v>
      </c>
      <c r="FO199" s="208">
        <v>0</v>
      </c>
      <c r="FP199" s="208">
        <v>0</v>
      </c>
      <c r="FQ199" s="208">
        <v>0</v>
      </c>
      <c r="FR199" s="208">
        <v>0</v>
      </c>
      <c r="FS199" s="208">
        <v>0</v>
      </c>
      <c r="FT199" s="208">
        <v>0</v>
      </c>
      <c r="FU199" s="208">
        <v>-70637</v>
      </c>
      <c r="FV199" s="208">
        <v>0</v>
      </c>
      <c r="FW199" s="208">
        <v>-70637</v>
      </c>
      <c r="FX199" s="208">
        <v>0</v>
      </c>
      <c r="FY199" s="208">
        <v>0</v>
      </c>
      <c r="FZ199" s="208">
        <v>0</v>
      </c>
      <c r="GA199" s="208">
        <v>0</v>
      </c>
      <c r="GB199" s="208">
        <v>0</v>
      </c>
      <c r="GC199" s="208">
        <v>0</v>
      </c>
      <c r="GD199" s="208">
        <v>0</v>
      </c>
      <c r="GE199" s="208">
        <v>0</v>
      </c>
      <c r="GF199" s="208">
        <v>0</v>
      </c>
      <c r="GG199" s="208">
        <v>41685514</v>
      </c>
      <c r="GH199" s="208">
        <v>0</v>
      </c>
      <c r="GI199" s="208">
        <v>41685514</v>
      </c>
      <c r="GJ199" s="208">
        <v>400189</v>
      </c>
      <c r="GK199" s="208">
        <v>0</v>
      </c>
      <c r="GL199" s="208">
        <v>400189</v>
      </c>
      <c r="GM199" s="208">
        <v>-5025835</v>
      </c>
      <c r="GN199" s="208">
        <v>0</v>
      </c>
      <c r="GO199" s="208">
        <v>-5025835</v>
      </c>
      <c r="GP199" s="208">
        <v>-1062435</v>
      </c>
      <c r="GQ199" s="208">
        <v>0</v>
      </c>
      <c r="GR199" s="208">
        <v>-1062435</v>
      </c>
      <c r="GS199" s="208">
        <v>-20308</v>
      </c>
      <c r="GT199" s="208">
        <v>0</v>
      </c>
      <c r="GU199" s="208">
        <v>-20308</v>
      </c>
      <c r="GV199" s="208">
        <v>-70637</v>
      </c>
      <c r="GW199" s="208">
        <v>0</v>
      </c>
      <c r="GX199" s="208">
        <v>-70637</v>
      </c>
      <c r="GY199" s="208">
        <v>0</v>
      </c>
      <c r="GZ199" s="208">
        <v>0</v>
      </c>
      <c r="HA199" s="208">
        <v>0</v>
      </c>
      <c r="HB199" s="208">
        <v>-5779026</v>
      </c>
      <c r="HC199" s="208">
        <v>0</v>
      </c>
      <c r="HD199" s="208">
        <v>-5779026</v>
      </c>
      <c r="HE199" s="208">
        <v>35906488</v>
      </c>
      <c r="HF199" s="208">
        <v>0</v>
      </c>
      <c r="HG199" s="208">
        <v>35906488</v>
      </c>
      <c r="HH199" s="187" t="s">
        <v>1054</v>
      </c>
    </row>
    <row r="200" spans="1:216" s="187" customFormat="1" x14ac:dyDescent="0.2">
      <c r="B200" s="429" t="s">
        <v>477</v>
      </c>
      <c r="C200" s="429" t="s">
        <v>476</v>
      </c>
      <c r="D200" s="208">
        <v>-390043</v>
      </c>
      <c r="E200" s="208">
        <v>0</v>
      </c>
      <c r="F200" s="208">
        <v>-390043</v>
      </c>
      <c r="G200" s="208">
        <v>168</v>
      </c>
      <c r="H200" s="208">
        <v>0</v>
      </c>
      <c r="I200" s="208">
        <v>168</v>
      </c>
      <c r="J200" s="208">
        <v>56273</v>
      </c>
      <c r="K200" s="208">
        <v>0</v>
      </c>
      <c r="L200" s="208">
        <v>56273</v>
      </c>
      <c r="M200" s="208">
        <v>2423</v>
      </c>
      <c r="N200" s="208">
        <v>0</v>
      </c>
      <c r="O200" s="208">
        <v>2423</v>
      </c>
      <c r="P200" s="208">
        <v>-331179</v>
      </c>
      <c r="Q200" s="208">
        <v>0</v>
      </c>
      <c r="R200" s="208">
        <v>-331179</v>
      </c>
      <c r="S200" s="208">
        <v>-1815945</v>
      </c>
      <c r="T200" s="208">
        <v>0</v>
      </c>
      <c r="U200" s="208">
        <v>-1815945</v>
      </c>
      <c r="V200" s="208">
        <v>-17999</v>
      </c>
      <c r="W200" s="208">
        <v>0</v>
      </c>
      <c r="X200" s="208">
        <v>-17999</v>
      </c>
      <c r="Y200" s="208">
        <v>-33271</v>
      </c>
      <c r="Z200" s="208">
        <v>0</v>
      </c>
      <c r="AA200" s="208">
        <v>-33271</v>
      </c>
      <c r="AB200" s="208">
        <v>-1276</v>
      </c>
      <c r="AC200" s="208">
        <v>0</v>
      </c>
      <c r="AD200" s="208">
        <v>-1276</v>
      </c>
      <c r="AE200" s="208">
        <v>-31995</v>
      </c>
      <c r="AF200" s="208">
        <v>0</v>
      </c>
      <c r="AG200" s="208">
        <v>-31995</v>
      </c>
      <c r="AH200" s="208">
        <v>0</v>
      </c>
      <c r="AI200" s="208">
        <v>0</v>
      </c>
      <c r="AJ200" s="208">
        <v>0</v>
      </c>
      <c r="AK200" s="208">
        <v>-90</v>
      </c>
      <c r="AL200" s="208">
        <v>0</v>
      </c>
      <c r="AM200" s="208">
        <v>-90</v>
      </c>
      <c r="AN200" s="208">
        <v>279415</v>
      </c>
      <c r="AO200" s="208">
        <v>0</v>
      </c>
      <c r="AP200" s="208">
        <v>279415</v>
      </c>
      <c r="AQ200" s="208">
        <v>-3675</v>
      </c>
      <c r="AR200" s="208">
        <v>0</v>
      </c>
      <c r="AS200" s="208">
        <v>-3675</v>
      </c>
      <c r="AT200" s="208">
        <v>-1863766</v>
      </c>
      <c r="AU200" s="208">
        <v>0</v>
      </c>
      <c r="AV200" s="208">
        <v>-1863766</v>
      </c>
      <c r="AW200" s="208">
        <v>-9128</v>
      </c>
      <c r="AX200" s="208">
        <v>0</v>
      </c>
      <c r="AY200" s="208">
        <v>-9128</v>
      </c>
      <c r="AZ200" s="208">
        <v>0</v>
      </c>
      <c r="BA200" s="208">
        <v>0</v>
      </c>
      <c r="BB200" s="208">
        <v>0</v>
      </c>
      <c r="BC200" s="208">
        <v>0</v>
      </c>
      <c r="BD200" s="208">
        <v>0</v>
      </c>
      <c r="BE200" s="208">
        <v>0</v>
      </c>
      <c r="BF200" s="208">
        <v>0</v>
      </c>
      <c r="BG200" s="208">
        <v>0</v>
      </c>
      <c r="BH200" s="208">
        <v>0</v>
      </c>
      <c r="BI200" s="208">
        <v>0</v>
      </c>
      <c r="BJ200" s="208">
        <v>0</v>
      </c>
      <c r="BK200" s="208">
        <v>0</v>
      </c>
      <c r="BL200" s="208">
        <v>-3446370</v>
      </c>
      <c r="BM200" s="208">
        <v>0</v>
      </c>
      <c r="BN200" s="208">
        <v>-3446370</v>
      </c>
      <c r="BO200" s="208">
        <v>0</v>
      </c>
      <c r="BP200" s="208">
        <v>0</v>
      </c>
      <c r="BQ200" s="208">
        <v>0</v>
      </c>
      <c r="BR200" s="208">
        <v>0</v>
      </c>
      <c r="BS200" s="208">
        <v>0</v>
      </c>
      <c r="BT200" s="208">
        <v>0</v>
      </c>
      <c r="BU200" s="208">
        <v>-261514</v>
      </c>
      <c r="BV200" s="208">
        <v>0</v>
      </c>
      <c r="BW200" s="208">
        <v>-261514</v>
      </c>
      <c r="BX200" s="208">
        <v>-40212</v>
      </c>
      <c r="BY200" s="208">
        <v>0</v>
      </c>
      <c r="BZ200" s="208">
        <v>-40212</v>
      </c>
      <c r="CA200" s="208">
        <v>-301726</v>
      </c>
      <c r="CB200" s="208">
        <v>0</v>
      </c>
      <c r="CC200" s="208">
        <v>-301726</v>
      </c>
      <c r="CD200" s="208">
        <v>-100059</v>
      </c>
      <c r="CE200" s="208">
        <v>0</v>
      </c>
      <c r="CF200" s="208">
        <v>-100059</v>
      </c>
      <c r="CG200" s="208">
        <v>-35392</v>
      </c>
      <c r="CH200" s="208">
        <v>0</v>
      </c>
      <c r="CI200" s="208">
        <v>-35392</v>
      </c>
      <c r="CJ200" s="208">
        <v>-13470</v>
      </c>
      <c r="CK200" s="208">
        <v>0</v>
      </c>
      <c r="CL200" s="208">
        <v>-13470</v>
      </c>
      <c r="CM200" s="208">
        <v>0</v>
      </c>
      <c r="CN200" s="208">
        <v>0</v>
      </c>
      <c r="CO200" s="208">
        <v>0</v>
      </c>
      <c r="CP200" s="208">
        <v>0</v>
      </c>
      <c r="CQ200" s="208">
        <v>0</v>
      </c>
      <c r="CR200" s="208">
        <v>0</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-148921</v>
      </c>
      <c r="DQ200" s="208">
        <v>0</v>
      </c>
      <c r="DR200" s="208">
        <v>-148921</v>
      </c>
      <c r="DS200" s="208">
        <v>0</v>
      </c>
      <c r="DT200" s="208">
        <v>0</v>
      </c>
      <c r="DU200" s="208">
        <v>0</v>
      </c>
      <c r="DV200" s="208">
        <v>0</v>
      </c>
      <c r="DW200" s="208">
        <v>0</v>
      </c>
      <c r="DX200" s="208">
        <v>0</v>
      </c>
      <c r="DY200" s="208">
        <v>1500</v>
      </c>
      <c r="DZ200" s="208">
        <v>0</v>
      </c>
      <c r="EA200" s="208">
        <v>1500</v>
      </c>
      <c r="EB200" s="208">
        <v>0</v>
      </c>
      <c r="EC200" s="208">
        <v>0</v>
      </c>
      <c r="ED200" s="208">
        <v>0</v>
      </c>
      <c r="EE200" s="208">
        <v>0</v>
      </c>
      <c r="EF200" s="208">
        <v>0</v>
      </c>
      <c r="EG200" s="208">
        <v>0</v>
      </c>
      <c r="EH200" s="208">
        <v>0</v>
      </c>
      <c r="EI200" s="208">
        <v>0</v>
      </c>
      <c r="EJ200" s="208">
        <v>0</v>
      </c>
      <c r="EK200" s="208">
        <v>0</v>
      </c>
      <c r="EL200" s="208">
        <v>0</v>
      </c>
      <c r="EM200" s="208">
        <v>0</v>
      </c>
      <c r="EN200" s="208">
        <v>0</v>
      </c>
      <c r="EO200" s="208">
        <v>0</v>
      </c>
      <c r="EP200" s="208">
        <v>0</v>
      </c>
      <c r="EQ200" s="208">
        <v>0</v>
      </c>
      <c r="ER200" s="208">
        <v>0</v>
      </c>
      <c r="ES200" s="208">
        <v>0</v>
      </c>
      <c r="ET200" s="208">
        <v>0</v>
      </c>
      <c r="EU200" s="208">
        <v>0</v>
      </c>
      <c r="EV200" s="208">
        <v>0</v>
      </c>
      <c r="EW200" s="208">
        <v>-2187</v>
      </c>
      <c r="EX200" s="208">
        <v>0</v>
      </c>
      <c r="EY200" s="208">
        <v>-2187</v>
      </c>
      <c r="EZ200" s="208">
        <v>0</v>
      </c>
      <c r="FA200" s="208">
        <v>0</v>
      </c>
      <c r="FB200" s="208">
        <v>0</v>
      </c>
      <c r="FC200" s="208">
        <v>-47881</v>
      </c>
      <c r="FD200" s="208">
        <v>0</v>
      </c>
      <c r="FE200" s="208">
        <v>-47881</v>
      </c>
      <c r="FF200" s="208">
        <v>-1903</v>
      </c>
      <c r="FG200" s="208">
        <v>0</v>
      </c>
      <c r="FH200" s="208">
        <v>-1903</v>
      </c>
      <c r="FI200" s="208">
        <v>-9000</v>
      </c>
      <c r="FJ200" s="208">
        <v>0</v>
      </c>
      <c r="FK200" s="208">
        <v>-9000</v>
      </c>
      <c r="FL200" s="208">
        <v>0</v>
      </c>
      <c r="FM200" s="208">
        <v>0</v>
      </c>
      <c r="FN200" s="208">
        <v>0</v>
      </c>
      <c r="FO200" s="208">
        <v>0</v>
      </c>
      <c r="FP200" s="208">
        <v>0</v>
      </c>
      <c r="FQ200" s="208">
        <v>0</v>
      </c>
      <c r="FR200" s="208">
        <v>0</v>
      </c>
      <c r="FS200" s="208">
        <v>0</v>
      </c>
      <c r="FT200" s="208">
        <v>0</v>
      </c>
      <c r="FU200" s="208">
        <v>-59471</v>
      </c>
      <c r="FV200" s="208">
        <v>0</v>
      </c>
      <c r="FW200" s="208">
        <v>-59471</v>
      </c>
      <c r="FX200" s="208">
        <v>0</v>
      </c>
      <c r="FY200" s="208">
        <v>0</v>
      </c>
      <c r="FZ200" s="208">
        <v>0</v>
      </c>
      <c r="GA200" s="208">
        <v>0</v>
      </c>
      <c r="GB200" s="208">
        <v>0</v>
      </c>
      <c r="GC200" s="208">
        <v>0</v>
      </c>
      <c r="GD200" s="208">
        <v>0</v>
      </c>
      <c r="GE200" s="208">
        <v>0</v>
      </c>
      <c r="GF200" s="208">
        <v>0</v>
      </c>
      <c r="GG200" s="208">
        <v>16347277</v>
      </c>
      <c r="GH200" s="208">
        <v>0</v>
      </c>
      <c r="GI200" s="208">
        <v>16347277</v>
      </c>
      <c r="GJ200" s="208">
        <v>-331179</v>
      </c>
      <c r="GK200" s="208">
        <v>0</v>
      </c>
      <c r="GL200" s="208">
        <v>-331179</v>
      </c>
      <c r="GM200" s="208">
        <v>-3446370</v>
      </c>
      <c r="GN200" s="208">
        <v>0</v>
      </c>
      <c r="GO200" s="208">
        <v>-3446370</v>
      </c>
      <c r="GP200" s="208">
        <v>-301726</v>
      </c>
      <c r="GQ200" s="208">
        <v>0</v>
      </c>
      <c r="GR200" s="208">
        <v>-301726</v>
      </c>
      <c r="GS200" s="208">
        <v>-148921</v>
      </c>
      <c r="GT200" s="208">
        <v>0</v>
      </c>
      <c r="GU200" s="208">
        <v>-148921</v>
      </c>
      <c r="GV200" s="208">
        <v>-59471</v>
      </c>
      <c r="GW200" s="208">
        <v>0</v>
      </c>
      <c r="GX200" s="208">
        <v>-59471</v>
      </c>
      <c r="GY200" s="208">
        <v>0</v>
      </c>
      <c r="GZ200" s="208">
        <v>0</v>
      </c>
      <c r="HA200" s="208">
        <v>0</v>
      </c>
      <c r="HB200" s="208">
        <v>-4287667</v>
      </c>
      <c r="HC200" s="208">
        <v>0</v>
      </c>
      <c r="HD200" s="208">
        <v>-4287667</v>
      </c>
      <c r="HE200" s="208">
        <v>12059610</v>
      </c>
      <c r="HF200" s="208">
        <v>0</v>
      </c>
      <c r="HG200" s="208">
        <v>12059610</v>
      </c>
      <c r="HH200" s="187" t="s">
        <v>1054</v>
      </c>
    </row>
    <row r="201" spans="1:216" s="187" customFormat="1" x14ac:dyDescent="0.2">
      <c r="B201" s="429" t="s">
        <v>479</v>
      </c>
      <c r="C201" s="429" t="s">
        <v>478</v>
      </c>
      <c r="D201" s="208">
        <v>-1358861</v>
      </c>
      <c r="E201" s="208">
        <v>0</v>
      </c>
      <c r="F201" s="208">
        <v>-1358861</v>
      </c>
      <c r="G201" s="208">
        <v>109998</v>
      </c>
      <c r="H201" s="208">
        <v>0</v>
      </c>
      <c r="I201" s="208">
        <v>109998</v>
      </c>
      <c r="J201" s="208">
        <v>3124675</v>
      </c>
      <c r="K201" s="208">
        <v>0</v>
      </c>
      <c r="L201" s="208">
        <v>3124675</v>
      </c>
      <c r="M201" s="208">
        <v>-5024</v>
      </c>
      <c r="N201" s="208">
        <v>0</v>
      </c>
      <c r="O201" s="208">
        <v>-5024</v>
      </c>
      <c r="P201" s="208">
        <v>1870788</v>
      </c>
      <c r="Q201" s="208">
        <v>0</v>
      </c>
      <c r="R201" s="208">
        <v>1870788</v>
      </c>
      <c r="S201" s="208">
        <v>-9683808</v>
      </c>
      <c r="T201" s="208">
        <v>0</v>
      </c>
      <c r="U201" s="208">
        <v>-9683808</v>
      </c>
      <c r="V201" s="208">
        <v>0</v>
      </c>
      <c r="W201" s="208">
        <v>0</v>
      </c>
      <c r="X201" s="208">
        <v>0</v>
      </c>
      <c r="Y201" s="208">
        <v>-280494</v>
      </c>
      <c r="Z201" s="208">
        <v>0</v>
      </c>
      <c r="AA201" s="208">
        <v>-280494</v>
      </c>
      <c r="AB201" s="208">
        <v>-100512</v>
      </c>
      <c r="AC201" s="208">
        <v>0</v>
      </c>
      <c r="AD201" s="208">
        <v>-100512</v>
      </c>
      <c r="AE201" s="208">
        <v>-171526.01</v>
      </c>
      <c r="AF201" s="208">
        <v>0</v>
      </c>
      <c r="AG201" s="208">
        <v>-171526.01</v>
      </c>
      <c r="AH201" s="208">
        <v>0</v>
      </c>
      <c r="AI201" s="208">
        <v>0</v>
      </c>
      <c r="AJ201" s="208">
        <v>0</v>
      </c>
      <c r="AK201" s="208">
        <v>0</v>
      </c>
      <c r="AL201" s="208">
        <v>0</v>
      </c>
      <c r="AM201" s="208">
        <v>0</v>
      </c>
      <c r="AN201" s="208">
        <v>1338955</v>
      </c>
      <c r="AO201" s="208">
        <v>0</v>
      </c>
      <c r="AP201" s="208">
        <v>1338955</v>
      </c>
      <c r="AQ201" s="208">
        <v>-42856</v>
      </c>
      <c r="AR201" s="208">
        <v>0</v>
      </c>
      <c r="AS201" s="208">
        <v>-42856</v>
      </c>
      <c r="AT201" s="208">
        <v>-6340920</v>
      </c>
      <c r="AU201" s="208">
        <v>0</v>
      </c>
      <c r="AV201" s="208">
        <v>-6340920</v>
      </c>
      <c r="AW201" s="208">
        <v>68404</v>
      </c>
      <c r="AX201" s="208">
        <v>0</v>
      </c>
      <c r="AY201" s="208">
        <v>68404</v>
      </c>
      <c r="AZ201" s="208">
        <v>-90512</v>
      </c>
      <c r="BA201" s="208">
        <v>0</v>
      </c>
      <c r="BB201" s="208">
        <v>-90512</v>
      </c>
      <c r="BC201" s="208">
        <v>-3995</v>
      </c>
      <c r="BD201" s="208">
        <v>0</v>
      </c>
      <c r="BE201" s="208">
        <v>-3995</v>
      </c>
      <c r="BF201" s="208">
        <v>-4311</v>
      </c>
      <c r="BG201" s="208">
        <v>0</v>
      </c>
      <c r="BH201" s="208">
        <v>-4311</v>
      </c>
      <c r="BI201" s="208">
        <v>0</v>
      </c>
      <c r="BJ201" s="208">
        <v>0</v>
      </c>
      <c r="BK201" s="208">
        <v>0</v>
      </c>
      <c r="BL201" s="208">
        <v>-15039537</v>
      </c>
      <c r="BM201" s="208">
        <v>0</v>
      </c>
      <c r="BN201" s="208">
        <v>-15039537</v>
      </c>
      <c r="BO201" s="208">
        <v>0</v>
      </c>
      <c r="BP201" s="208">
        <v>0</v>
      </c>
      <c r="BQ201" s="208">
        <v>0</v>
      </c>
      <c r="BR201" s="208">
        <v>0</v>
      </c>
      <c r="BS201" s="208">
        <v>0</v>
      </c>
      <c r="BT201" s="208">
        <v>0</v>
      </c>
      <c r="BU201" s="208">
        <v>-2113514</v>
      </c>
      <c r="BV201" s="208">
        <v>0</v>
      </c>
      <c r="BW201" s="208">
        <v>-2113514</v>
      </c>
      <c r="BX201" s="208">
        <v>528477</v>
      </c>
      <c r="BY201" s="208">
        <v>0</v>
      </c>
      <c r="BZ201" s="208">
        <v>528477</v>
      </c>
      <c r="CA201" s="208">
        <v>-1585037</v>
      </c>
      <c r="CB201" s="208">
        <v>0</v>
      </c>
      <c r="CC201" s="208">
        <v>-1585037</v>
      </c>
      <c r="CD201" s="208">
        <v>-270604</v>
      </c>
      <c r="CE201" s="208">
        <v>0</v>
      </c>
      <c r="CF201" s="208">
        <v>-270604</v>
      </c>
      <c r="CG201" s="208">
        <v>-6852</v>
      </c>
      <c r="CH201" s="208">
        <v>0</v>
      </c>
      <c r="CI201" s="208">
        <v>-6852</v>
      </c>
      <c r="CJ201" s="208">
        <v>-170853</v>
      </c>
      <c r="CK201" s="208">
        <v>0</v>
      </c>
      <c r="CL201" s="208">
        <v>-170853</v>
      </c>
      <c r="CM201" s="208">
        <v>1056</v>
      </c>
      <c r="CN201" s="208">
        <v>0</v>
      </c>
      <c r="CO201" s="208">
        <v>1056</v>
      </c>
      <c r="CP201" s="208">
        <v>-1210</v>
      </c>
      <c r="CQ201" s="208">
        <v>0</v>
      </c>
      <c r="CR201" s="208">
        <v>-1210</v>
      </c>
      <c r="CS201" s="208">
        <v>0</v>
      </c>
      <c r="CT201" s="208">
        <v>0</v>
      </c>
      <c r="CU201" s="208">
        <v>0</v>
      </c>
      <c r="CV201" s="208">
        <v>-884</v>
      </c>
      <c r="CW201" s="208">
        <v>0</v>
      </c>
      <c r="CX201" s="208">
        <v>-884</v>
      </c>
      <c r="CY201" s="208">
        <v>0</v>
      </c>
      <c r="CZ201" s="208">
        <v>0</v>
      </c>
      <c r="DA201" s="208">
        <v>0</v>
      </c>
      <c r="DB201" s="208">
        <v>0</v>
      </c>
      <c r="DC201" s="208">
        <v>0</v>
      </c>
      <c r="DD201" s="208">
        <v>0</v>
      </c>
      <c r="DE201" s="208">
        <v>0</v>
      </c>
      <c r="DF201" s="208">
        <v>0</v>
      </c>
      <c r="DG201" s="208">
        <v>0</v>
      </c>
      <c r="DH201" s="208">
        <v>0</v>
      </c>
      <c r="DI201" s="208">
        <v>0</v>
      </c>
      <c r="DJ201" s="208">
        <v>0</v>
      </c>
      <c r="DK201" s="208">
        <v>0</v>
      </c>
      <c r="DL201" s="208">
        <v>0</v>
      </c>
      <c r="DM201" s="208">
        <v>0</v>
      </c>
      <c r="DN201" s="208">
        <v>0</v>
      </c>
      <c r="DO201" s="208">
        <v>0</v>
      </c>
      <c r="DP201" s="208">
        <v>-449347</v>
      </c>
      <c r="DQ201" s="208">
        <v>0</v>
      </c>
      <c r="DR201" s="208">
        <v>-449347</v>
      </c>
      <c r="DS201" s="208">
        <v>2454</v>
      </c>
      <c r="DT201" s="208">
        <v>0</v>
      </c>
      <c r="DU201" s="208">
        <v>2454</v>
      </c>
      <c r="DV201" s="208">
        <v>0</v>
      </c>
      <c r="DW201" s="208">
        <v>0</v>
      </c>
      <c r="DX201" s="208">
        <v>0</v>
      </c>
      <c r="DY201" s="208">
        <v>1529</v>
      </c>
      <c r="DZ201" s="208">
        <v>0</v>
      </c>
      <c r="EA201" s="208">
        <v>1529</v>
      </c>
      <c r="EB201" s="208">
        <v>0</v>
      </c>
      <c r="EC201" s="208">
        <v>0</v>
      </c>
      <c r="ED201" s="208">
        <v>0</v>
      </c>
      <c r="EE201" s="208">
        <v>0</v>
      </c>
      <c r="EF201" s="208">
        <v>0</v>
      </c>
      <c r="EG201" s="208">
        <v>0</v>
      </c>
      <c r="EH201" s="208">
        <v>0</v>
      </c>
      <c r="EI201" s="208">
        <v>0</v>
      </c>
      <c r="EJ201" s="208">
        <v>0</v>
      </c>
      <c r="EK201" s="208">
        <v>0</v>
      </c>
      <c r="EL201" s="208">
        <v>0</v>
      </c>
      <c r="EM201" s="208">
        <v>0</v>
      </c>
      <c r="EN201" s="208">
        <v>0</v>
      </c>
      <c r="EO201" s="208">
        <v>0</v>
      </c>
      <c r="EP201" s="208">
        <v>0</v>
      </c>
      <c r="EQ201" s="208">
        <v>0</v>
      </c>
      <c r="ER201" s="208">
        <v>0</v>
      </c>
      <c r="ES201" s="208">
        <v>0</v>
      </c>
      <c r="ET201" s="208">
        <v>0</v>
      </c>
      <c r="EU201" s="208">
        <v>0</v>
      </c>
      <c r="EV201" s="208">
        <v>0</v>
      </c>
      <c r="EW201" s="208">
        <v>-16420</v>
      </c>
      <c r="EX201" s="208">
        <v>0</v>
      </c>
      <c r="EY201" s="208">
        <v>-16420</v>
      </c>
      <c r="EZ201" s="208">
        <v>-2135</v>
      </c>
      <c r="FA201" s="208">
        <v>0</v>
      </c>
      <c r="FB201" s="208">
        <v>-2135</v>
      </c>
      <c r="FC201" s="208">
        <v>-170420</v>
      </c>
      <c r="FD201" s="208">
        <v>0</v>
      </c>
      <c r="FE201" s="208">
        <v>-170420</v>
      </c>
      <c r="FF201" s="208">
        <v>-22179</v>
      </c>
      <c r="FG201" s="208">
        <v>0</v>
      </c>
      <c r="FH201" s="208">
        <v>-22179</v>
      </c>
      <c r="FI201" s="208">
        <v>-75597</v>
      </c>
      <c r="FJ201" s="208">
        <v>0</v>
      </c>
      <c r="FK201" s="208">
        <v>-75597</v>
      </c>
      <c r="FL201" s="208">
        <v>1819</v>
      </c>
      <c r="FM201" s="208">
        <v>0</v>
      </c>
      <c r="FN201" s="208">
        <v>1819</v>
      </c>
      <c r="FO201" s="208">
        <v>0</v>
      </c>
      <c r="FP201" s="208">
        <v>0</v>
      </c>
      <c r="FQ201" s="208">
        <v>0</v>
      </c>
      <c r="FR201" s="208">
        <v>0</v>
      </c>
      <c r="FS201" s="208">
        <v>0</v>
      </c>
      <c r="FT201" s="208">
        <v>0</v>
      </c>
      <c r="FU201" s="208">
        <v>-280949</v>
      </c>
      <c r="FV201" s="208">
        <v>0</v>
      </c>
      <c r="FW201" s="208">
        <v>-280949</v>
      </c>
      <c r="FX201" s="208">
        <v>0</v>
      </c>
      <c r="FY201" s="208">
        <v>0</v>
      </c>
      <c r="FZ201" s="208">
        <v>0</v>
      </c>
      <c r="GA201" s="208">
        <v>-65785</v>
      </c>
      <c r="GB201" s="208">
        <v>0</v>
      </c>
      <c r="GC201" s="208">
        <v>-65785</v>
      </c>
      <c r="GD201" s="208">
        <v>-65785</v>
      </c>
      <c r="GE201" s="208">
        <v>0</v>
      </c>
      <c r="GF201" s="208">
        <v>-65785</v>
      </c>
      <c r="GG201" s="208">
        <v>73981006</v>
      </c>
      <c r="GH201" s="208">
        <v>0</v>
      </c>
      <c r="GI201" s="208">
        <v>73981006</v>
      </c>
      <c r="GJ201" s="208">
        <v>1870788</v>
      </c>
      <c r="GK201" s="208">
        <v>0</v>
      </c>
      <c r="GL201" s="208">
        <v>1870788</v>
      </c>
      <c r="GM201" s="208">
        <v>-15039537</v>
      </c>
      <c r="GN201" s="208">
        <v>0</v>
      </c>
      <c r="GO201" s="208">
        <v>-15039537</v>
      </c>
      <c r="GP201" s="208">
        <v>-1585037</v>
      </c>
      <c r="GQ201" s="208">
        <v>0</v>
      </c>
      <c r="GR201" s="208">
        <v>-1585037</v>
      </c>
      <c r="GS201" s="208">
        <v>-449347</v>
      </c>
      <c r="GT201" s="208">
        <v>0</v>
      </c>
      <c r="GU201" s="208">
        <v>-449347</v>
      </c>
      <c r="GV201" s="208">
        <v>-280949</v>
      </c>
      <c r="GW201" s="208">
        <v>0</v>
      </c>
      <c r="GX201" s="208">
        <v>-280949</v>
      </c>
      <c r="GY201" s="208">
        <v>-65785</v>
      </c>
      <c r="GZ201" s="208">
        <v>0</v>
      </c>
      <c r="HA201" s="208">
        <v>-65785</v>
      </c>
      <c r="HB201" s="208">
        <v>-15549867</v>
      </c>
      <c r="HC201" s="208">
        <v>0</v>
      </c>
      <c r="HD201" s="208">
        <v>-15549867</v>
      </c>
      <c r="HE201" s="208">
        <v>58431139</v>
      </c>
      <c r="HF201" s="208">
        <v>0</v>
      </c>
      <c r="HG201" s="208">
        <v>58431139</v>
      </c>
      <c r="HH201" s="187" t="s">
        <v>1056</v>
      </c>
    </row>
    <row r="202" spans="1:216" s="187" customFormat="1" x14ac:dyDescent="0.2">
      <c r="B202" s="429" t="s">
        <v>481</v>
      </c>
      <c r="C202" s="429" t="s">
        <v>480</v>
      </c>
      <c r="D202" s="208">
        <v>-1574328</v>
      </c>
      <c r="E202" s="208">
        <v>0</v>
      </c>
      <c r="F202" s="208">
        <v>-1574328</v>
      </c>
      <c r="G202" s="208">
        <v>26703</v>
      </c>
      <c r="H202" s="208">
        <v>0</v>
      </c>
      <c r="I202" s="208">
        <v>26703</v>
      </c>
      <c r="J202" s="208">
        <v>1823849</v>
      </c>
      <c r="K202" s="208">
        <v>0</v>
      </c>
      <c r="L202" s="208">
        <v>1823849</v>
      </c>
      <c r="M202" s="208">
        <v>-125160</v>
      </c>
      <c r="N202" s="208">
        <v>0</v>
      </c>
      <c r="O202" s="208">
        <v>-125160</v>
      </c>
      <c r="P202" s="208">
        <v>151064</v>
      </c>
      <c r="Q202" s="208">
        <v>0</v>
      </c>
      <c r="R202" s="208">
        <v>151064</v>
      </c>
      <c r="S202" s="208">
        <v>-2241355</v>
      </c>
      <c r="T202" s="208">
        <v>0</v>
      </c>
      <c r="U202" s="208">
        <v>-2241355</v>
      </c>
      <c r="V202" s="208">
        <v>-3427</v>
      </c>
      <c r="W202" s="208">
        <v>0</v>
      </c>
      <c r="X202" s="208">
        <v>-3427</v>
      </c>
      <c r="Y202" s="208">
        <v>-83788</v>
      </c>
      <c r="Z202" s="208">
        <v>0</v>
      </c>
      <c r="AA202" s="208">
        <v>-83788</v>
      </c>
      <c r="AB202" s="208">
        <v>-21340</v>
      </c>
      <c r="AC202" s="208">
        <v>0</v>
      </c>
      <c r="AD202" s="208">
        <v>-21340</v>
      </c>
      <c r="AE202" s="208">
        <v>-59519</v>
      </c>
      <c r="AF202" s="208">
        <v>0</v>
      </c>
      <c r="AG202" s="208">
        <v>-59519</v>
      </c>
      <c r="AH202" s="208">
        <v>0</v>
      </c>
      <c r="AI202" s="208">
        <v>0</v>
      </c>
      <c r="AJ202" s="208">
        <v>0</v>
      </c>
      <c r="AK202" s="208">
        <v>-2190</v>
      </c>
      <c r="AL202" s="208">
        <v>0</v>
      </c>
      <c r="AM202" s="208">
        <v>-2190</v>
      </c>
      <c r="AN202" s="208">
        <v>3152624</v>
      </c>
      <c r="AO202" s="208">
        <v>0</v>
      </c>
      <c r="AP202" s="208">
        <v>3152624</v>
      </c>
      <c r="AQ202" s="208">
        <v>36195</v>
      </c>
      <c r="AR202" s="208">
        <v>0</v>
      </c>
      <c r="AS202" s="208">
        <v>36195</v>
      </c>
      <c r="AT202" s="208">
        <v>-27380009</v>
      </c>
      <c r="AU202" s="208">
        <v>0</v>
      </c>
      <c r="AV202" s="208">
        <v>-27380009</v>
      </c>
      <c r="AW202" s="208">
        <v>-635615</v>
      </c>
      <c r="AX202" s="208">
        <v>0</v>
      </c>
      <c r="AY202" s="208">
        <v>-635615</v>
      </c>
      <c r="AZ202" s="208">
        <v>-34727</v>
      </c>
      <c r="BA202" s="208">
        <v>0</v>
      </c>
      <c r="BB202" s="208">
        <v>-34727</v>
      </c>
      <c r="BC202" s="208">
        <v>0</v>
      </c>
      <c r="BD202" s="208">
        <v>0</v>
      </c>
      <c r="BE202" s="208">
        <v>0</v>
      </c>
      <c r="BF202" s="208">
        <v>0</v>
      </c>
      <c r="BG202" s="208">
        <v>0</v>
      </c>
      <c r="BH202" s="208">
        <v>0</v>
      </c>
      <c r="BI202" s="208">
        <v>0</v>
      </c>
      <c r="BJ202" s="208">
        <v>0</v>
      </c>
      <c r="BK202" s="208">
        <v>0</v>
      </c>
      <c r="BL202" s="208">
        <v>-27186675</v>
      </c>
      <c r="BM202" s="208">
        <v>0</v>
      </c>
      <c r="BN202" s="208">
        <v>-27186675</v>
      </c>
      <c r="BO202" s="208">
        <v>-18229</v>
      </c>
      <c r="BP202" s="208">
        <v>0</v>
      </c>
      <c r="BQ202" s="208">
        <v>-18229</v>
      </c>
      <c r="BR202" s="208">
        <v>141484</v>
      </c>
      <c r="BS202" s="208">
        <v>0</v>
      </c>
      <c r="BT202" s="208">
        <v>141484</v>
      </c>
      <c r="BU202" s="208">
        <v>-2646315</v>
      </c>
      <c r="BV202" s="208">
        <v>0</v>
      </c>
      <c r="BW202" s="208">
        <v>-2646315</v>
      </c>
      <c r="BX202" s="208">
        <v>-286557</v>
      </c>
      <c r="BY202" s="208">
        <v>0</v>
      </c>
      <c r="BZ202" s="208">
        <v>-286557</v>
      </c>
      <c r="CA202" s="208">
        <v>-2809617</v>
      </c>
      <c r="CB202" s="208">
        <v>0</v>
      </c>
      <c r="CC202" s="208">
        <v>-2809617</v>
      </c>
      <c r="CD202" s="208">
        <v>0</v>
      </c>
      <c r="CE202" s="208">
        <v>0</v>
      </c>
      <c r="CF202" s="208">
        <v>0</v>
      </c>
      <c r="CG202" s="208">
        <v>0</v>
      </c>
      <c r="CH202" s="208">
        <v>0</v>
      </c>
      <c r="CI202" s="208">
        <v>0</v>
      </c>
      <c r="CJ202" s="208">
        <v>-40501</v>
      </c>
      <c r="CK202" s="208">
        <v>0</v>
      </c>
      <c r="CL202" s="208">
        <v>-40501</v>
      </c>
      <c r="CM202" s="208">
        <v>483</v>
      </c>
      <c r="CN202" s="208">
        <v>0</v>
      </c>
      <c r="CO202" s="208">
        <v>483</v>
      </c>
      <c r="CP202" s="208">
        <v>0</v>
      </c>
      <c r="CQ202" s="208">
        <v>0</v>
      </c>
      <c r="CR202" s="208">
        <v>0</v>
      </c>
      <c r="CS202" s="208">
        <v>0</v>
      </c>
      <c r="CT202" s="208">
        <v>0</v>
      </c>
      <c r="CU202" s="208">
        <v>0</v>
      </c>
      <c r="CV202" s="208">
        <v>0</v>
      </c>
      <c r="CW202" s="208">
        <v>0</v>
      </c>
      <c r="CX202" s="208">
        <v>0</v>
      </c>
      <c r="CY202" s="208">
        <v>0</v>
      </c>
      <c r="CZ202" s="208">
        <v>0</v>
      </c>
      <c r="DA202" s="208">
        <v>0</v>
      </c>
      <c r="DB202" s="208">
        <v>0</v>
      </c>
      <c r="DC202" s="208">
        <v>0</v>
      </c>
      <c r="DD202" s="208">
        <v>0</v>
      </c>
      <c r="DE202" s="208">
        <v>0</v>
      </c>
      <c r="DF202" s="208">
        <v>0</v>
      </c>
      <c r="DG202" s="208">
        <v>0</v>
      </c>
      <c r="DH202" s="208">
        <v>0</v>
      </c>
      <c r="DI202" s="208">
        <v>0</v>
      </c>
      <c r="DJ202" s="208">
        <v>0</v>
      </c>
      <c r="DK202" s="208">
        <v>0</v>
      </c>
      <c r="DL202" s="208">
        <v>0</v>
      </c>
      <c r="DM202" s="208">
        <v>0</v>
      </c>
      <c r="DN202" s="208">
        <v>0</v>
      </c>
      <c r="DO202" s="208">
        <v>0</v>
      </c>
      <c r="DP202" s="208">
        <v>-40018</v>
      </c>
      <c r="DQ202" s="208">
        <v>0</v>
      </c>
      <c r="DR202" s="208">
        <v>-40018</v>
      </c>
      <c r="DS202" s="208">
        <v>0</v>
      </c>
      <c r="DT202" s="208">
        <v>0</v>
      </c>
      <c r="DU202" s="208">
        <v>0</v>
      </c>
      <c r="DV202" s="208">
        <v>0</v>
      </c>
      <c r="DW202" s="208">
        <v>0</v>
      </c>
      <c r="DX202" s="208">
        <v>0</v>
      </c>
      <c r="DY202" s="208">
        <v>0</v>
      </c>
      <c r="DZ202" s="208">
        <v>0</v>
      </c>
      <c r="EA202" s="208">
        <v>0</v>
      </c>
      <c r="EB202" s="208">
        <v>0</v>
      </c>
      <c r="EC202" s="208">
        <v>0</v>
      </c>
      <c r="ED202" s="208">
        <v>0</v>
      </c>
      <c r="EE202" s="208">
        <v>0</v>
      </c>
      <c r="EF202" s="208">
        <v>0</v>
      </c>
      <c r="EG202" s="208">
        <v>0</v>
      </c>
      <c r="EH202" s="208">
        <v>0</v>
      </c>
      <c r="EI202" s="208">
        <v>0</v>
      </c>
      <c r="EJ202" s="208">
        <v>0</v>
      </c>
      <c r="EK202" s="208">
        <v>0</v>
      </c>
      <c r="EL202" s="208">
        <v>0</v>
      </c>
      <c r="EM202" s="208">
        <v>0</v>
      </c>
      <c r="EN202" s="208">
        <v>0</v>
      </c>
      <c r="EO202" s="208">
        <v>0</v>
      </c>
      <c r="EP202" s="208">
        <v>0</v>
      </c>
      <c r="EQ202" s="208">
        <v>-1500</v>
      </c>
      <c r="ER202" s="208">
        <v>0</v>
      </c>
      <c r="ES202" s="208">
        <v>-1500</v>
      </c>
      <c r="ET202" s="208">
        <v>0</v>
      </c>
      <c r="EU202" s="208">
        <v>0</v>
      </c>
      <c r="EV202" s="208">
        <v>0</v>
      </c>
      <c r="EW202" s="208">
        <v>-5248</v>
      </c>
      <c r="EX202" s="208">
        <v>0</v>
      </c>
      <c r="EY202" s="208">
        <v>-5248</v>
      </c>
      <c r="EZ202" s="208">
        <v>0</v>
      </c>
      <c r="FA202" s="208">
        <v>0</v>
      </c>
      <c r="FB202" s="208">
        <v>0</v>
      </c>
      <c r="FC202" s="208">
        <v>-230774</v>
      </c>
      <c r="FD202" s="208">
        <v>0</v>
      </c>
      <c r="FE202" s="208">
        <v>-230774</v>
      </c>
      <c r="FF202" s="208">
        <v>0</v>
      </c>
      <c r="FG202" s="208">
        <v>0</v>
      </c>
      <c r="FH202" s="208">
        <v>0</v>
      </c>
      <c r="FI202" s="208">
        <v>-77436</v>
      </c>
      <c r="FJ202" s="208">
        <v>0</v>
      </c>
      <c r="FK202" s="208">
        <v>-77436</v>
      </c>
      <c r="FL202" s="208">
        <v>719</v>
      </c>
      <c r="FM202" s="208">
        <v>0</v>
      </c>
      <c r="FN202" s="208">
        <v>719</v>
      </c>
      <c r="FO202" s="208">
        <v>0</v>
      </c>
      <c r="FP202" s="208">
        <v>0</v>
      </c>
      <c r="FQ202" s="208">
        <v>0</v>
      </c>
      <c r="FR202" s="208">
        <v>0</v>
      </c>
      <c r="FS202" s="208">
        <v>0</v>
      </c>
      <c r="FT202" s="208">
        <v>0</v>
      </c>
      <c r="FU202" s="208">
        <v>-314239</v>
      </c>
      <c r="FV202" s="208">
        <v>0</v>
      </c>
      <c r="FW202" s="208">
        <v>-314239</v>
      </c>
      <c r="FX202" s="208">
        <v>0</v>
      </c>
      <c r="FY202" s="208">
        <v>0</v>
      </c>
      <c r="FZ202" s="208">
        <v>0</v>
      </c>
      <c r="GA202" s="208">
        <v>0</v>
      </c>
      <c r="GB202" s="208">
        <v>0</v>
      </c>
      <c r="GC202" s="208">
        <v>0</v>
      </c>
      <c r="GD202" s="208">
        <v>0</v>
      </c>
      <c r="GE202" s="208">
        <v>0</v>
      </c>
      <c r="GF202" s="208">
        <v>0</v>
      </c>
      <c r="GG202" s="208">
        <v>136909656</v>
      </c>
      <c r="GH202" s="208">
        <v>0</v>
      </c>
      <c r="GI202" s="208">
        <v>136909656</v>
      </c>
      <c r="GJ202" s="208">
        <v>151064</v>
      </c>
      <c r="GK202" s="208">
        <v>0</v>
      </c>
      <c r="GL202" s="208">
        <v>151064</v>
      </c>
      <c r="GM202" s="208">
        <v>-27186675</v>
      </c>
      <c r="GN202" s="208">
        <v>0</v>
      </c>
      <c r="GO202" s="208">
        <v>-27186675</v>
      </c>
      <c r="GP202" s="208">
        <v>-2809617</v>
      </c>
      <c r="GQ202" s="208">
        <v>0</v>
      </c>
      <c r="GR202" s="208">
        <v>-2809617</v>
      </c>
      <c r="GS202" s="208">
        <v>-40018</v>
      </c>
      <c r="GT202" s="208">
        <v>0</v>
      </c>
      <c r="GU202" s="208">
        <v>-40018</v>
      </c>
      <c r="GV202" s="208">
        <v>-314239</v>
      </c>
      <c r="GW202" s="208">
        <v>0</v>
      </c>
      <c r="GX202" s="208">
        <v>-314239</v>
      </c>
      <c r="GY202" s="208">
        <v>0</v>
      </c>
      <c r="GZ202" s="208">
        <v>0</v>
      </c>
      <c r="HA202" s="208">
        <v>0</v>
      </c>
      <c r="HB202" s="208">
        <v>-30199485</v>
      </c>
      <c r="HC202" s="208">
        <v>0</v>
      </c>
      <c r="HD202" s="208">
        <v>-30199485</v>
      </c>
      <c r="HE202" s="208">
        <v>106710171</v>
      </c>
      <c r="HF202" s="208">
        <v>0</v>
      </c>
      <c r="HG202" s="208">
        <v>106710171</v>
      </c>
      <c r="HH202" s="187" t="s">
        <v>1054</v>
      </c>
    </row>
    <row r="203" spans="1:216" s="187" customFormat="1" x14ac:dyDescent="0.2">
      <c r="B203" s="429" t="s">
        <v>483</v>
      </c>
      <c r="C203" s="429" t="s">
        <v>482</v>
      </c>
      <c r="D203" s="208">
        <v>-369071</v>
      </c>
      <c r="E203" s="208">
        <v>0</v>
      </c>
      <c r="F203" s="208">
        <v>-369071</v>
      </c>
      <c r="G203" s="208">
        <v>23108</v>
      </c>
      <c r="H203" s="208">
        <v>0</v>
      </c>
      <c r="I203" s="208">
        <v>23108</v>
      </c>
      <c r="J203" s="208">
        <v>503959</v>
      </c>
      <c r="K203" s="208">
        <v>0</v>
      </c>
      <c r="L203" s="208">
        <v>503959</v>
      </c>
      <c r="M203" s="208">
        <v>-18802</v>
      </c>
      <c r="N203" s="208">
        <v>0</v>
      </c>
      <c r="O203" s="208">
        <v>-18802</v>
      </c>
      <c r="P203" s="208">
        <v>139194</v>
      </c>
      <c r="Q203" s="208">
        <v>0</v>
      </c>
      <c r="R203" s="208">
        <v>139194</v>
      </c>
      <c r="S203" s="208">
        <v>-3765294</v>
      </c>
      <c r="T203" s="208">
        <v>0</v>
      </c>
      <c r="U203" s="208">
        <v>-3765294</v>
      </c>
      <c r="V203" s="208">
        <v>-13565</v>
      </c>
      <c r="W203" s="208">
        <v>0</v>
      </c>
      <c r="X203" s="208">
        <v>-13565</v>
      </c>
      <c r="Y203" s="208">
        <v>-20927</v>
      </c>
      <c r="Z203" s="208">
        <v>0</v>
      </c>
      <c r="AA203" s="208">
        <v>-20927</v>
      </c>
      <c r="AB203" s="208">
        <v>8657</v>
      </c>
      <c r="AC203" s="208">
        <v>0</v>
      </c>
      <c r="AD203" s="208">
        <v>8657</v>
      </c>
      <c r="AE203" s="208">
        <v>-22677</v>
      </c>
      <c r="AF203" s="208">
        <v>0</v>
      </c>
      <c r="AG203" s="208">
        <v>-22677</v>
      </c>
      <c r="AH203" s="208">
        <v>-5317</v>
      </c>
      <c r="AI203" s="208">
        <v>0</v>
      </c>
      <c r="AJ203" s="208">
        <v>-5317</v>
      </c>
      <c r="AK203" s="208">
        <v>-1590</v>
      </c>
      <c r="AL203" s="208">
        <v>0</v>
      </c>
      <c r="AM203" s="208">
        <v>-1590</v>
      </c>
      <c r="AN203" s="208">
        <v>420623</v>
      </c>
      <c r="AO203" s="208">
        <v>0</v>
      </c>
      <c r="AP203" s="208">
        <v>420623</v>
      </c>
      <c r="AQ203" s="208">
        <v>0</v>
      </c>
      <c r="AR203" s="208">
        <v>0</v>
      </c>
      <c r="AS203" s="208">
        <v>0</v>
      </c>
      <c r="AT203" s="208">
        <v>-1342894</v>
      </c>
      <c r="AU203" s="208">
        <v>0</v>
      </c>
      <c r="AV203" s="208">
        <v>-1342894</v>
      </c>
      <c r="AW203" s="208">
        <v>-74217</v>
      </c>
      <c r="AX203" s="208">
        <v>0</v>
      </c>
      <c r="AY203" s="208">
        <v>-74217</v>
      </c>
      <c r="AZ203" s="208">
        <v>-769</v>
      </c>
      <c r="BA203" s="208">
        <v>0</v>
      </c>
      <c r="BB203" s="208">
        <v>-769</v>
      </c>
      <c r="BC203" s="208">
        <v>0</v>
      </c>
      <c r="BD203" s="208">
        <v>0</v>
      </c>
      <c r="BE203" s="208">
        <v>0</v>
      </c>
      <c r="BF203" s="208">
        <v>0</v>
      </c>
      <c r="BG203" s="208">
        <v>0</v>
      </c>
      <c r="BH203" s="208">
        <v>0</v>
      </c>
      <c r="BI203" s="208">
        <v>0</v>
      </c>
      <c r="BJ203" s="208">
        <v>0</v>
      </c>
      <c r="BK203" s="208">
        <v>0</v>
      </c>
      <c r="BL203" s="208">
        <v>-4783478</v>
      </c>
      <c r="BM203" s="208">
        <v>0</v>
      </c>
      <c r="BN203" s="208">
        <v>-4783478</v>
      </c>
      <c r="BO203" s="208">
        <v>0</v>
      </c>
      <c r="BP203" s="208">
        <v>0</v>
      </c>
      <c r="BQ203" s="208">
        <v>0</v>
      </c>
      <c r="BR203" s="208">
        <v>342</v>
      </c>
      <c r="BS203" s="208">
        <v>0</v>
      </c>
      <c r="BT203" s="208">
        <v>342</v>
      </c>
      <c r="BU203" s="208">
        <v>-763811</v>
      </c>
      <c r="BV203" s="208">
        <v>0</v>
      </c>
      <c r="BW203" s="208">
        <v>-763811</v>
      </c>
      <c r="BX203" s="208">
        <v>11689</v>
      </c>
      <c r="BY203" s="208">
        <v>0</v>
      </c>
      <c r="BZ203" s="208">
        <v>11689</v>
      </c>
      <c r="CA203" s="208">
        <v>-751780</v>
      </c>
      <c r="CB203" s="208">
        <v>0</v>
      </c>
      <c r="CC203" s="208">
        <v>-751780</v>
      </c>
      <c r="CD203" s="208">
        <v>-151236</v>
      </c>
      <c r="CE203" s="208">
        <v>0</v>
      </c>
      <c r="CF203" s="208">
        <v>-151236</v>
      </c>
      <c r="CG203" s="208">
        <v>-19012</v>
      </c>
      <c r="CH203" s="208">
        <v>0</v>
      </c>
      <c r="CI203" s="208">
        <v>-19012</v>
      </c>
      <c r="CJ203" s="208">
        <v>-74875</v>
      </c>
      <c r="CK203" s="208">
        <v>0</v>
      </c>
      <c r="CL203" s="208">
        <v>-74875</v>
      </c>
      <c r="CM203" s="208">
        <v>19595</v>
      </c>
      <c r="CN203" s="208">
        <v>0</v>
      </c>
      <c r="CO203" s="208">
        <v>19595</v>
      </c>
      <c r="CP203" s="208">
        <v>0</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0</v>
      </c>
      <c r="DI203" s="208">
        <v>0</v>
      </c>
      <c r="DJ203" s="208">
        <v>0</v>
      </c>
      <c r="DK203" s="208">
        <v>0</v>
      </c>
      <c r="DL203" s="208">
        <v>0</v>
      </c>
      <c r="DM203" s="208">
        <v>0</v>
      </c>
      <c r="DN203" s="208">
        <v>0</v>
      </c>
      <c r="DO203" s="208">
        <v>0</v>
      </c>
      <c r="DP203" s="208">
        <v>-225528</v>
      </c>
      <c r="DQ203" s="208">
        <v>0</v>
      </c>
      <c r="DR203" s="208">
        <v>-225528</v>
      </c>
      <c r="DS203" s="208">
        <v>0</v>
      </c>
      <c r="DT203" s="208">
        <v>0</v>
      </c>
      <c r="DU203" s="208">
        <v>0</v>
      </c>
      <c r="DV203" s="208">
        <v>0</v>
      </c>
      <c r="DW203" s="208">
        <v>0</v>
      </c>
      <c r="DX203" s="208">
        <v>0</v>
      </c>
      <c r="DY203" s="208">
        <v>0</v>
      </c>
      <c r="DZ203" s="208">
        <v>0</v>
      </c>
      <c r="EA203" s="208">
        <v>0</v>
      </c>
      <c r="EB203" s="208">
        <v>0</v>
      </c>
      <c r="EC203" s="208">
        <v>0</v>
      </c>
      <c r="ED203" s="208">
        <v>0</v>
      </c>
      <c r="EE203" s="208">
        <v>0</v>
      </c>
      <c r="EF203" s="208">
        <v>0</v>
      </c>
      <c r="EG203" s="208">
        <v>0</v>
      </c>
      <c r="EH203" s="208">
        <v>0</v>
      </c>
      <c r="EI203" s="208">
        <v>0</v>
      </c>
      <c r="EJ203" s="208">
        <v>0</v>
      </c>
      <c r="EK203" s="208">
        <v>0</v>
      </c>
      <c r="EL203" s="208">
        <v>0</v>
      </c>
      <c r="EM203" s="208">
        <v>0</v>
      </c>
      <c r="EN203" s="208">
        <v>0</v>
      </c>
      <c r="EO203" s="208">
        <v>0</v>
      </c>
      <c r="EP203" s="208">
        <v>0</v>
      </c>
      <c r="EQ203" s="208">
        <v>0</v>
      </c>
      <c r="ER203" s="208">
        <v>0</v>
      </c>
      <c r="ES203" s="208">
        <v>0</v>
      </c>
      <c r="ET203" s="208">
        <v>0</v>
      </c>
      <c r="EU203" s="208">
        <v>0</v>
      </c>
      <c r="EV203" s="208">
        <v>0</v>
      </c>
      <c r="EW203" s="208">
        <v>-10161</v>
      </c>
      <c r="EX203" s="208">
        <v>0</v>
      </c>
      <c r="EY203" s="208">
        <v>-10161</v>
      </c>
      <c r="EZ203" s="208">
        <v>0</v>
      </c>
      <c r="FA203" s="208">
        <v>0</v>
      </c>
      <c r="FB203" s="208">
        <v>0</v>
      </c>
      <c r="FC203" s="208">
        <v>-45632</v>
      </c>
      <c r="FD203" s="208">
        <v>0</v>
      </c>
      <c r="FE203" s="208">
        <v>-45632</v>
      </c>
      <c r="FF203" s="208">
        <v>0</v>
      </c>
      <c r="FG203" s="208">
        <v>0</v>
      </c>
      <c r="FH203" s="208">
        <v>0</v>
      </c>
      <c r="FI203" s="208">
        <v>-17181</v>
      </c>
      <c r="FJ203" s="208">
        <v>0</v>
      </c>
      <c r="FK203" s="208">
        <v>-17181</v>
      </c>
      <c r="FL203" s="208">
        <v>0</v>
      </c>
      <c r="FM203" s="208">
        <v>0</v>
      </c>
      <c r="FN203" s="208">
        <v>0</v>
      </c>
      <c r="FO203" s="208">
        <v>0</v>
      </c>
      <c r="FP203" s="208">
        <v>0</v>
      </c>
      <c r="FQ203" s="208">
        <v>0</v>
      </c>
      <c r="FR203" s="208">
        <v>0</v>
      </c>
      <c r="FS203" s="208">
        <v>0</v>
      </c>
      <c r="FT203" s="208">
        <v>0</v>
      </c>
      <c r="FU203" s="208">
        <v>-72974</v>
      </c>
      <c r="FV203" s="208">
        <v>0</v>
      </c>
      <c r="FW203" s="208">
        <v>-72974</v>
      </c>
      <c r="FX203" s="208">
        <v>0</v>
      </c>
      <c r="FY203" s="208">
        <v>0</v>
      </c>
      <c r="FZ203" s="208">
        <v>0</v>
      </c>
      <c r="GA203" s="208">
        <v>0</v>
      </c>
      <c r="GB203" s="208">
        <v>0</v>
      </c>
      <c r="GC203" s="208">
        <v>0</v>
      </c>
      <c r="GD203" s="208">
        <v>0</v>
      </c>
      <c r="GE203" s="208">
        <v>0</v>
      </c>
      <c r="GF203" s="208">
        <v>0</v>
      </c>
      <c r="GG203" s="208">
        <v>24911866</v>
      </c>
      <c r="GH203" s="208">
        <v>0</v>
      </c>
      <c r="GI203" s="208">
        <v>24911866</v>
      </c>
      <c r="GJ203" s="208">
        <v>139194</v>
      </c>
      <c r="GK203" s="208">
        <v>0</v>
      </c>
      <c r="GL203" s="208">
        <v>139194</v>
      </c>
      <c r="GM203" s="208">
        <v>-4783478</v>
      </c>
      <c r="GN203" s="208">
        <v>0</v>
      </c>
      <c r="GO203" s="208">
        <v>-4783478</v>
      </c>
      <c r="GP203" s="208">
        <v>-751780</v>
      </c>
      <c r="GQ203" s="208">
        <v>0</v>
      </c>
      <c r="GR203" s="208">
        <v>-751780</v>
      </c>
      <c r="GS203" s="208">
        <v>-225528</v>
      </c>
      <c r="GT203" s="208">
        <v>0</v>
      </c>
      <c r="GU203" s="208">
        <v>-225528</v>
      </c>
      <c r="GV203" s="208">
        <v>-72974</v>
      </c>
      <c r="GW203" s="208">
        <v>0</v>
      </c>
      <c r="GX203" s="208">
        <v>-72974</v>
      </c>
      <c r="GY203" s="208">
        <v>0</v>
      </c>
      <c r="GZ203" s="208">
        <v>0</v>
      </c>
      <c r="HA203" s="208">
        <v>0</v>
      </c>
      <c r="HB203" s="208">
        <v>-5694566</v>
      </c>
      <c r="HC203" s="208">
        <v>0</v>
      </c>
      <c r="HD203" s="208">
        <v>-5694566</v>
      </c>
      <c r="HE203" s="208">
        <v>19217300</v>
      </c>
      <c r="HF203" s="208">
        <v>0</v>
      </c>
      <c r="HG203" s="208">
        <v>19217300</v>
      </c>
      <c r="HH203" s="187" t="s">
        <v>1054</v>
      </c>
    </row>
    <row r="204" spans="1:216" s="187" customFormat="1" x14ac:dyDescent="0.2">
      <c r="B204" s="429" t="s">
        <v>485</v>
      </c>
      <c r="C204" s="429" t="s">
        <v>484</v>
      </c>
      <c r="D204" s="208">
        <v>-842851</v>
      </c>
      <c r="E204" s="208">
        <v>0</v>
      </c>
      <c r="F204" s="208">
        <v>-842851</v>
      </c>
      <c r="G204" s="208">
        <v>34879</v>
      </c>
      <c r="H204" s="208">
        <v>0</v>
      </c>
      <c r="I204" s="208">
        <v>34879</v>
      </c>
      <c r="J204" s="208">
        <v>3987514</v>
      </c>
      <c r="K204" s="208">
        <v>0</v>
      </c>
      <c r="L204" s="208">
        <v>3987514</v>
      </c>
      <c r="M204" s="208">
        <v>62265</v>
      </c>
      <c r="N204" s="208">
        <v>0</v>
      </c>
      <c r="O204" s="208">
        <v>62265</v>
      </c>
      <c r="P204" s="208">
        <v>3241807</v>
      </c>
      <c r="Q204" s="208">
        <v>0</v>
      </c>
      <c r="R204" s="208">
        <v>3241807</v>
      </c>
      <c r="S204" s="208">
        <v>-6025106</v>
      </c>
      <c r="T204" s="208">
        <v>0</v>
      </c>
      <c r="U204" s="208">
        <v>-6025106</v>
      </c>
      <c r="V204" s="208">
        <v>-12082</v>
      </c>
      <c r="W204" s="208">
        <v>0</v>
      </c>
      <c r="X204" s="208">
        <v>-12082</v>
      </c>
      <c r="Y204" s="208">
        <v>-280308</v>
      </c>
      <c r="Z204" s="208">
        <v>0</v>
      </c>
      <c r="AA204" s="208">
        <v>-280308</v>
      </c>
      <c r="AB204" s="208">
        <v>-56477</v>
      </c>
      <c r="AC204" s="208">
        <v>0</v>
      </c>
      <c r="AD204" s="208">
        <v>-56477</v>
      </c>
      <c r="AE204" s="208">
        <v>-218269</v>
      </c>
      <c r="AF204" s="208">
        <v>0</v>
      </c>
      <c r="AG204" s="208">
        <v>-218269</v>
      </c>
      <c r="AH204" s="208">
        <v>0</v>
      </c>
      <c r="AI204" s="208">
        <v>0</v>
      </c>
      <c r="AJ204" s="208">
        <v>0</v>
      </c>
      <c r="AK204" s="208">
        <v>0</v>
      </c>
      <c r="AL204" s="208">
        <v>0</v>
      </c>
      <c r="AM204" s="208">
        <v>0</v>
      </c>
      <c r="AN204" s="208">
        <v>2343448</v>
      </c>
      <c r="AO204" s="208">
        <v>0</v>
      </c>
      <c r="AP204" s="208">
        <v>2343448</v>
      </c>
      <c r="AQ204" s="208">
        <v>3402</v>
      </c>
      <c r="AR204" s="208">
        <v>0</v>
      </c>
      <c r="AS204" s="208">
        <v>3402</v>
      </c>
      <c r="AT204" s="208">
        <v>-7219686</v>
      </c>
      <c r="AU204" s="208">
        <v>0</v>
      </c>
      <c r="AV204" s="208">
        <v>-7219686</v>
      </c>
      <c r="AW204" s="208">
        <v>-75744</v>
      </c>
      <c r="AX204" s="208">
        <v>0</v>
      </c>
      <c r="AY204" s="208">
        <v>-75744</v>
      </c>
      <c r="AZ204" s="208">
        <v>-63596</v>
      </c>
      <c r="BA204" s="208">
        <v>0</v>
      </c>
      <c r="BB204" s="208">
        <v>-63596</v>
      </c>
      <c r="BC204" s="208">
        <v>0</v>
      </c>
      <c r="BD204" s="208">
        <v>0</v>
      </c>
      <c r="BE204" s="208">
        <v>0</v>
      </c>
      <c r="BF204" s="208">
        <v>-13199</v>
      </c>
      <c r="BG204" s="208">
        <v>0</v>
      </c>
      <c r="BH204" s="208">
        <v>-13199</v>
      </c>
      <c r="BI204" s="208">
        <v>0</v>
      </c>
      <c r="BJ204" s="208">
        <v>0</v>
      </c>
      <c r="BK204" s="208">
        <v>0</v>
      </c>
      <c r="BL204" s="208">
        <v>-11330789</v>
      </c>
      <c r="BM204" s="208">
        <v>0</v>
      </c>
      <c r="BN204" s="208">
        <v>-11330789</v>
      </c>
      <c r="BO204" s="208">
        <v>-71655</v>
      </c>
      <c r="BP204" s="208">
        <v>0</v>
      </c>
      <c r="BQ204" s="208">
        <v>-71655</v>
      </c>
      <c r="BR204" s="208">
        <v>-73824</v>
      </c>
      <c r="BS204" s="208">
        <v>0</v>
      </c>
      <c r="BT204" s="208">
        <v>-73824</v>
      </c>
      <c r="BU204" s="208">
        <v>-2497435</v>
      </c>
      <c r="BV204" s="208">
        <v>0</v>
      </c>
      <c r="BW204" s="208">
        <v>-2497435</v>
      </c>
      <c r="BX204" s="208">
        <v>35685</v>
      </c>
      <c r="BY204" s="208">
        <v>0</v>
      </c>
      <c r="BZ204" s="208">
        <v>35685</v>
      </c>
      <c r="CA204" s="208">
        <v>-2607229</v>
      </c>
      <c r="CB204" s="208">
        <v>0</v>
      </c>
      <c r="CC204" s="208">
        <v>-2607229</v>
      </c>
      <c r="CD204" s="208">
        <v>-293947</v>
      </c>
      <c r="CE204" s="208">
        <v>0</v>
      </c>
      <c r="CF204" s="208">
        <v>-293947</v>
      </c>
      <c r="CG204" s="208">
        <v>-6273</v>
      </c>
      <c r="CH204" s="208">
        <v>0</v>
      </c>
      <c r="CI204" s="208">
        <v>-6273</v>
      </c>
      <c r="CJ204" s="208">
        <v>-20832</v>
      </c>
      <c r="CK204" s="208">
        <v>0</v>
      </c>
      <c r="CL204" s="208">
        <v>-20832</v>
      </c>
      <c r="CM204" s="208">
        <v>0</v>
      </c>
      <c r="CN204" s="208">
        <v>0</v>
      </c>
      <c r="CO204" s="208">
        <v>0</v>
      </c>
      <c r="CP204" s="208">
        <v>-998</v>
      </c>
      <c r="CQ204" s="208">
        <v>0</v>
      </c>
      <c r="CR204" s="208">
        <v>-998</v>
      </c>
      <c r="CS204" s="208">
        <v>0</v>
      </c>
      <c r="CT204" s="208">
        <v>0</v>
      </c>
      <c r="CU204" s="208">
        <v>0</v>
      </c>
      <c r="CV204" s="208">
        <v>0</v>
      </c>
      <c r="CW204" s="208">
        <v>0</v>
      </c>
      <c r="CX204" s="208">
        <v>0</v>
      </c>
      <c r="CY204" s="208">
        <v>0</v>
      </c>
      <c r="CZ204" s="208">
        <v>0</v>
      </c>
      <c r="DA204" s="208">
        <v>0</v>
      </c>
      <c r="DB204" s="208">
        <v>0</v>
      </c>
      <c r="DC204" s="208">
        <v>0</v>
      </c>
      <c r="DD204" s="208">
        <v>0</v>
      </c>
      <c r="DE204" s="208">
        <v>0</v>
      </c>
      <c r="DF204" s="208">
        <v>0</v>
      </c>
      <c r="DG204" s="208">
        <v>0</v>
      </c>
      <c r="DH204" s="208">
        <v>0</v>
      </c>
      <c r="DI204" s="208">
        <v>0</v>
      </c>
      <c r="DJ204" s="208">
        <v>0</v>
      </c>
      <c r="DK204" s="208">
        <v>0</v>
      </c>
      <c r="DL204" s="208">
        <v>0</v>
      </c>
      <c r="DM204" s="208">
        <v>0</v>
      </c>
      <c r="DN204" s="208">
        <v>0</v>
      </c>
      <c r="DO204" s="208">
        <v>0</v>
      </c>
      <c r="DP204" s="208">
        <v>-322050</v>
      </c>
      <c r="DQ204" s="208">
        <v>0</v>
      </c>
      <c r="DR204" s="208">
        <v>-322050</v>
      </c>
      <c r="DS204" s="208">
        <v>0</v>
      </c>
      <c r="DT204" s="208">
        <v>0</v>
      </c>
      <c r="DU204" s="208">
        <v>0</v>
      </c>
      <c r="DV204" s="208">
        <v>0</v>
      </c>
      <c r="DW204" s="208">
        <v>0</v>
      </c>
      <c r="DX204" s="208">
        <v>0</v>
      </c>
      <c r="DY204" s="208">
        <v>4313</v>
      </c>
      <c r="DZ204" s="208">
        <v>0</v>
      </c>
      <c r="EA204" s="208">
        <v>4313</v>
      </c>
      <c r="EB204" s="208">
        <v>0</v>
      </c>
      <c r="EC204" s="208">
        <v>0</v>
      </c>
      <c r="ED204" s="208">
        <v>0</v>
      </c>
      <c r="EE204" s="208">
        <v>0</v>
      </c>
      <c r="EF204" s="208">
        <v>0</v>
      </c>
      <c r="EG204" s="208">
        <v>0</v>
      </c>
      <c r="EH204" s="208">
        <v>0</v>
      </c>
      <c r="EI204" s="208">
        <v>0</v>
      </c>
      <c r="EJ204" s="208">
        <v>0</v>
      </c>
      <c r="EK204" s="208">
        <v>-13199</v>
      </c>
      <c r="EL204" s="208">
        <v>0</v>
      </c>
      <c r="EM204" s="208">
        <v>-13199</v>
      </c>
      <c r="EN204" s="208">
        <v>0</v>
      </c>
      <c r="EO204" s="208">
        <v>0</v>
      </c>
      <c r="EP204" s="208">
        <v>0</v>
      </c>
      <c r="EQ204" s="208">
        <v>0</v>
      </c>
      <c r="ER204" s="208">
        <v>0</v>
      </c>
      <c r="ES204" s="208">
        <v>0</v>
      </c>
      <c r="ET204" s="208">
        <v>0</v>
      </c>
      <c r="EU204" s="208">
        <v>0</v>
      </c>
      <c r="EV204" s="208">
        <v>0</v>
      </c>
      <c r="EW204" s="208">
        <v>-11290</v>
      </c>
      <c r="EX204" s="208">
        <v>0</v>
      </c>
      <c r="EY204" s="208">
        <v>-11290</v>
      </c>
      <c r="EZ204" s="208">
        <v>1357</v>
      </c>
      <c r="FA204" s="208">
        <v>0</v>
      </c>
      <c r="FB204" s="208">
        <v>1357</v>
      </c>
      <c r="FC204" s="208">
        <v>-116241</v>
      </c>
      <c r="FD204" s="208">
        <v>0</v>
      </c>
      <c r="FE204" s="208">
        <v>-116241</v>
      </c>
      <c r="FF204" s="208">
        <v>1291</v>
      </c>
      <c r="FG204" s="208">
        <v>0</v>
      </c>
      <c r="FH204" s="208">
        <v>1291</v>
      </c>
      <c r="FI204" s="208">
        <v>-27258</v>
      </c>
      <c r="FJ204" s="208">
        <v>0</v>
      </c>
      <c r="FK204" s="208">
        <v>-27258</v>
      </c>
      <c r="FL204" s="208">
        <v>-386</v>
      </c>
      <c r="FM204" s="208">
        <v>0</v>
      </c>
      <c r="FN204" s="208">
        <v>-386</v>
      </c>
      <c r="FO204" s="208">
        <v>0</v>
      </c>
      <c r="FP204" s="208">
        <v>0</v>
      </c>
      <c r="FQ204" s="208">
        <v>0</v>
      </c>
      <c r="FR204" s="208">
        <v>0</v>
      </c>
      <c r="FS204" s="208">
        <v>0</v>
      </c>
      <c r="FT204" s="208">
        <v>0</v>
      </c>
      <c r="FU204" s="208">
        <v>-161413</v>
      </c>
      <c r="FV204" s="208">
        <v>0</v>
      </c>
      <c r="FW204" s="208">
        <v>-161413</v>
      </c>
      <c r="FX204" s="208">
        <v>0</v>
      </c>
      <c r="FY204" s="208">
        <v>0</v>
      </c>
      <c r="FZ204" s="208">
        <v>0</v>
      </c>
      <c r="GA204" s="208">
        <v>0</v>
      </c>
      <c r="GB204" s="208">
        <v>0</v>
      </c>
      <c r="GC204" s="208">
        <v>0</v>
      </c>
      <c r="GD204" s="208">
        <v>0</v>
      </c>
      <c r="GE204" s="208">
        <v>0</v>
      </c>
      <c r="GF204" s="208">
        <v>0</v>
      </c>
      <c r="GG204" s="208">
        <v>111991634</v>
      </c>
      <c r="GH204" s="208">
        <v>0</v>
      </c>
      <c r="GI204" s="208">
        <v>111991634</v>
      </c>
      <c r="GJ204" s="208">
        <v>3241807</v>
      </c>
      <c r="GK204" s="208">
        <v>0</v>
      </c>
      <c r="GL204" s="208">
        <v>3241807</v>
      </c>
      <c r="GM204" s="208">
        <v>-11330789</v>
      </c>
      <c r="GN204" s="208">
        <v>0</v>
      </c>
      <c r="GO204" s="208">
        <v>-11330789</v>
      </c>
      <c r="GP204" s="208">
        <v>-2607229</v>
      </c>
      <c r="GQ204" s="208">
        <v>0</v>
      </c>
      <c r="GR204" s="208">
        <v>-2607229</v>
      </c>
      <c r="GS204" s="208">
        <v>-322050</v>
      </c>
      <c r="GT204" s="208">
        <v>0</v>
      </c>
      <c r="GU204" s="208">
        <v>-322050</v>
      </c>
      <c r="GV204" s="208">
        <v>-161413</v>
      </c>
      <c r="GW204" s="208">
        <v>0</v>
      </c>
      <c r="GX204" s="208">
        <v>-161413</v>
      </c>
      <c r="GY204" s="208">
        <v>0</v>
      </c>
      <c r="GZ204" s="208">
        <v>0</v>
      </c>
      <c r="HA204" s="208">
        <v>0</v>
      </c>
      <c r="HB204" s="208">
        <v>-11179674</v>
      </c>
      <c r="HC204" s="208">
        <v>0</v>
      </c>
      <c r="HD204" s="208">
        <v>-11179674</v>
      </c>
      <c r="HE204" s="208">
        <v>100811960</v>
      </c>
      <c r="HF204" s="208">
        <v>0</v>
      </c>
      <c r="HG204" s="208">
        <v>100811960</v>
      </c>
      <c r="HH204" s="187" t="s">
        <v>742</v>
      </c>
    </row>
    <row r="205" spans="1:216" s="187" customFormat="1" x14ac:dyDescent="0.2">
      <c r="B205" s="429" t="s">
        <v>487</v>
      </c>
      <c r="C205" s="429" t="s">
        <v>486</v>
      </c>
      <c r="D205" s="208">
        <v>-1467167</v>
      </c>
      <c r="E205" s="208">
        <v>0</v>
      </c>
      <c r="F205" s="208">
        <v>-1467167</v>
      </c>
      <c r="G205" s="208">
        <v>12691</v>
      </c>
      <c r="H205" s="208">
        <v>0</v>
      </c>
      <c r="I205" s="208">
        <v>12691</v>
      </c>
      <c r="J205" s="208">
        <v>4249906</v>
      </c>
      <c r="K205" s="208">
        <v>0</v>
      </c>
      <c r="L205" s="208">
        <v>4249906</v>
      </c>
      <c r="M205" s="208">
        <v>103654</v>
      </c>
      <c r="N205" s="208">
        <v>0</v>
      </c>
      <c r="O205" s="208">
        <v>103654</v>
      </c>
      <c r="P205" s="208">
        <v>2899084</v>
      </c>
      <c r="Q205" s="208">
        <v>0</v>
      </c>
      <c r="R205" s="208">
        <v>2899084</v>
      </c>
      <c r="S205" s="208">
        <v>-7822455</v>
      </c>
      <c r="T205" s="208">
        <v>0</v>
      </c>
      <c r="U205" s="208">
        <v>-7822455</v>
      </c>
      <c r="V205" s="208">
        <v>-21164</v>
      </c>
      <c r="W205" s="208">
        <v>0</v>
      </c>
      <c r="X205" s="208">
        <v>-21164</v>
      </c>
      <c r="Y205" s="208">
        <v>-107713</v>
      </c>
      <c r="Z205" s="208">
        <v>0</v>
      </c>
      <c r="AA205" s="208">
        <v>-107713</v>
      </c>
      <c r="AB205" s="208">
        <v>-28999</v>
      </c>
      <c r="AC205" s="208">
        <v>0</v>
      </c>
      <c r="AD205" s="208">
        <v>-28999</v>
      </c>
      <c r="AE205" s="208">
        <v>-78714</v>
      </c>
      <c r="AF205" s="208">
        <v>0</v>
      </c>
      <c r="AG205" s="208">
        <v>-78714</v>
      </c>
      <c r="AH205" s="208">
        <v>0</v>
      </c>
      <c r="AI205" s="208">
        <v>0</v>
      </c>
      <c r="AJ205" s="208">
        <v>0</v>
      </c>
      <c r="AK205" s="208">
        <v>0</v>
      </c>
      <c r="AL205" s="208">
        <v>0</v>
      </c>
      <c r="AM205" s="208">
        <v>0</v>
      </c>
      <c r="AN205" s="208">
        <v>2174599</v>
      </c>
      <c r="AO205" s="208">
        <v>0</v>
      </c>
      <c r="AP205" s="208">
        <v>2174599</v>
      </c>
      <c r="AQ205" s="208">
        <v>-139088</v>
      </c>
      <c r="AR205" s="208">
        <v>0</v>
      </c>
      <c r="AS205" s="208">
        <v>-139088</v>
      </c>
      <c r="AT205" s="208">
        <v>-11529371</v>
      </c>
      <c r="AU205" s="208">
        <v>0</v>
      </c>
      <c r="AV205" s="208">
        <v>-11529371</v>
      </c>
      <c r="AW205" s="208">
        <v>-7932</v>
      </c>
      <c r="AX205" s="208">
        <v>0</v>
      </c>
      <c r="AY205" s="208">
        <v>-7932</v>
      </c>
      <c r="AZ205" s="208">
        <v>-11817</v>
      </c>
      <c r="BA205" s="208">
        <v>0</v>
      </c>
      <c r="BB205" s="208">
        <v>-11817</v>
      </c>
      <c r="BC205" s="208">
        <v>0</v>
      </c>
      <c r="BD205" s="208">
        <v>0</v>
      </c>
      <c r="BE205" s="208">
        <v>0</v>
      </c>
      <c r="BF205" s="208">
        <v>0</v>
      </c>
      <c r="BG205" s="208">
        <v>0</v>
      </c>
      <c r="BH205" s="208">
        <v>0</v>
      </c>
      <c r="BI205" s="208">
        <v>0</v>
      </c>
      <c r="BJ205" s="208">
        <v>0</v>
      </c>
      <c r="BK205" s="208">
        <v>0</v>
      </c>
      <c r="BL205" s="208">
        <v>-17443777</v>
      </c>
      <c r="BM205" s="208">
        <v>0</v>
      </c>
      <c r="BN205" s="208">
        <v>-17443777</v>
      </c>
      <c r="BO205" s="208">
        <v>-446044</v>
      </c>
      <c r="BP205" s="208">
        <v>0</v>
      </c>
      <c r="BQ205" s="208">
        <v>-446044</v>
      </c>
      <c r="BR205" s="208">
        <v>8497</v>
      </c>
      <c r="BS205" s="208">
        <v>0</v>
      </c>
      <c r="BT205" s="208">
        <v>8497</v>
      </c>
      <c r="BU205" s="208">
        <v>-3158731</v>
      </c>
      <c r="BV205" s="208">
        <v>0</v>
      </c>
      <c r="BW205" s="208">
        <v>-3158731</v>
      </c>
      <c r="BX205" s="208">
        <v>-25783</v>
      </c>
      <c r="BY205" s="208">
        <v>0</v>
      </c>
      <c r="BZ205" s="208">
        <v>-25783</v>
      </c>
      <c r="CA205" s="208">
        <v>-3622061</v>
      </c>
      <c r="CB205" s="208">
        <v>0</v>
      </c>
      <c r="CC205" s="208">
        <v>-3622061</v>
      </c>
      <c r="CD205" s="208">
        <v>-14979</v>
      </c>
      <c r="CE205" s="208">
        <v>0</v>
      </c>
      <c r="CF205" s="208">
        <v>-14979</v>
      </c>
      <c r="CG205" s="208">
        <v>0</v>
      </c>
      <c r="CH205" s="208">
        <v>0</v>
      </c>
      <c r="CI205" s="208">
        <v>0</v>
      </c>
      <c r="CJ205" s="208">
        <v>-1849</v>
      </c>
      <c r="CK205" s="208">
        <v>0</v>
      </c>
      <c r="CL205" s="208">
        <v>-1849</v>
      </c>
      <c r="CM205" s="208">
        <v>0</v>
      </c>
      <c r="CN205" s="208">
        <v>0</v>
      </c>
      <c r="CO205" s="208">
        <v>0</v>
      </c>
      <c r="CP205" s="208">
        <v>0</v>
      </c>
      <c r="CQ205" s="208">
        <v>0</v>
      </c>
      <c r="CR205" s="208">
        <v>0</v>
      </c>
      <c r="CS205" s="208">
        <v>0</v>
      </c>
      <c r="CT205" s="208">
        <v>0</v>
      </c>
      <c r="CU205" s="208">
        <v>0</v>
      </c>
      <c r="CV205" s="208">
        <v>0</v>
      </c>
      <c r="CW205" s="208">
        <v>0</v>
      </c>
      <c r="CX205" s="208">
        <v>0</v>
      </c>
      <c r="CY205" s="208">
        <v>0</v>
      </c>
      <c r="CZ205" s="208">
        <v>0</v>
      </c>
      <c r="DA205" s="208">
        <v>0</v>
      </c>
      <c r="DB205" s="208">
        <v>0</v>
      </c>
      <c r="DC205" s="208">
        <v>0</v>
      </c>
      <c r="DD205" s="208">
        <v>0</v>
      </c>
      <c r="DE205" s="208">
        <v>0</v>
      </c>
      <c r="DF205" s="208">
        <v>0</v>
      </c>
      <c r="DG205" s="208">
        <v>0</v>
      </c>
      <c r="DH205" s="208">
        <v>-110585</v>
      </c>
      <c r="DI205" s="208">
        <v>0</v>
      </c>
      <c r="DJ205" s="208">
        <v>-110585</v>
      </c>
      <c r="DK205" s="208">
        <v>1730</v>
      </c>
      <c r="DL205" s="208">
        <v>0</v>
      </c>
      <c r="DM205" s="208">
        <v>1730</v>
      </c>
      <c r="DN205" s="208">
        <v>0</v>
      </c>
      <c r="DO205" s="208">
        <v>0</v>
      </c>
      <c r="DP205" s="208">
        <v>-125683</v>
      </c>
      <c r="DQ205" s="208">
        <v>0</v>
      </c>
      <c r="DR205" s="208">
        <v>-125683</v>
      </c>
      <c r="DS205" s="208">
        <v>0</v>
      </c>
      <c r="DT205" s="208">
        <v>0</v>
      </c>
      <c r="DU205" s="208">
        <v>0</v>
      </c>
      <c r="DV205" s="208">
        <v>0</v>
      </c>
      <c r="DW205" s="208">
        <v>0</v>
      </c>
      <c r="DX205" s="208">
        <v>0</v>
      </c>
      <c r="DY205" s="208">
        <v>0</v>
      </c>
      <c r="DZ205" s="208">
        <v>0</v>
      </c>
      <c r="EA205" s="208">
        <v>0</v>
      </c>
      <c r="EB205" s="208">
        <v>0</v>
      </c>
      <c r="EC205" s="208">
        <v>0</v>
      </c>
      <c r="ED205" s="208">
        <v>0</v>
      </c>
      <c r="EE205" s="208">
        <v>0</v>
      </c>
      <c r="EF205" s="208">
        <v>0</v>
      </c>
      <c r="EG205" s="208">
        <v>0</v>
      </c>
      <c r="EH205" s="208">
        <v>0</v>
      </c>
      <c r="EI205" s="208">
        <v>0</v>
      </c>
      <c r="EJ205" s="208">
        <v>0</v>
      </c>
      <c r="EK205" s="208">
        <v>0</v>
      </c>
      <c r="EL205" s="208">
        <v>0</v>
      </c>
      <c r="EM205" s="208">
        <v>0</v>
      </c>
      <c r="EN205" s="208">
        <v>0</v>
      </c>
      <c r="EO205" s="208">
        <v>0</v>
      </c>
      <c r="EP205" s="208">
        <v>0</v>
      </c>
      <c r="EQ205" s="208">
        <v>-1500</v>
      </c>
      <c r="ER205" s="208">
        <v>0</v>
      </c>
      <c r="ES205" s="208">
        <v>-1500</v>
      </c>
      <c r="ET205" s="208">
        <v>0</v>
      </c>
      <c r="EU205" s="208">
        <v>0</v>
      </c>
      <c r="EV205" s="208">
        <v>0</v>
      </c>
      <c r="EW205" s="208">
        <v>-19076</v>
      </c>
      <c r="EX205" s="208">
        <v>-6915</v>
      </c>
      <c r="EY205" s="208">
        <v>-25991</v>
      </c>
      <c r="EZ205" s="208">
        <v>0</v>
      </c>
      <c r="FA205" s="208">
        <v>0</v>
      </c>
      <c r="FB205" s="208">
        <v>0</v>
      </c>
      <c r="FC205" s="208">
        <v>-211359</v>
      </c>
      <c r="FD205" s="208">
        <v>0</v>
      </c>
      <c r="FE205" s="208">
        <v>-211359</v>
      </c>
      <c r="FF205" s="208">
        <v>0</v>
      </c>
      <c r="FG205" s="208">
        <v>0</v>
      </c>
      <c r="FH205" s="208">
        <v>0</v>
      </c>
      <c r="FI205" s="208">
        <v>-68761</v>
      </c>
      <c r="FJ205" s="208">
        <v>0</v>
      </c>
      <c r="FK205" s="208">
        <v>-68761</v>
      </c>
      <c r="FL205" s="208">
        <v>0</v>
      </c>
      <c r="FM205" s="208">
        <v>0</v>
      </c>
      <c r="FN205" s="208">
        <v>0</v>
      </c>
      <c r="FO205" s="208">
        <v>0</v>
      </c>
      <c r="FP205" s="208">
        <v>0</v>
      </c>
      <c r="FQ205" s="208">
        <v>0</v>
      </c>
      <c r="FR205" s="208">
        <v>0</v>
      </c>
      <c r="FS205" s="208">
        <v>0</v>
      </c>
      <c r="FT205" s="208">
        <v>0</v>
      </c>
      <c r="FU205" s="208">
        <v>-300696</v>
      </c>
      <c r="FV205" s="208">
        <v>-6915</v>
      </c>
      <c r="FW205" s="208">
        <v>-307611</v>
      </c>
      <c r="FX205" s="208">
        <v>-17985</v>
      </c>
      <c r="FY205" s="208">
        <v>0</v>
      </c>
      <c r="FZ205" s="208">
        <v>-17985</v>
      </c>
      <c r="GA205" s="208">
        <v>0</v>
      </c>
      <c r="GB205" s="208">
        <v>0</v>
      </c>
      <c r="GC205" s="208">
        <v>0</v>
      </c>
      <c r="GD205" s="208">
        <v>-17985</v>
      </c>
      <c r="GE205" s="208">
        <v>0</v>
      </c>
      <c r="GF205" s="208">
        <v>-17985</v>
      </c>
      <c r="GG205" s="208">
        <v>103411124</v>
      </c>
      <c r="GH205" s="208">
        <v>7284</v>
      </c>
      <c r="GI205" s="208">
        <v>103418408</v>
      </c>
      <c r="GJ205" s="208">
        <v>2899084</v>
      </c>
      <c r="GK205" s="208">
        <v>0</v>
      </c>
      <c r="GL205" s="208">
        <v>2899084</v>
      </c>
      <c r="GM205" s="208">
        <v>-17443777</v>
      </c>
      <c r="GN205" s="208">
        <v>0</v>
      </c>
      <c r="GO205" s="208">
        <v>-17443777</v>
      </c>
      <c r="GP205" s="208">
        <v>-3622061</v>
      </c>
      <c r="GQ205" s="208">
        <v>0</v>
      </c>
      <c r="GR205" s="208">
        <v>-3622061</v>
      </c>
      <c r="GS205" s="208">
        <v>-125683</v>
      </c>
      <c r="GT205" s="208">
        <v>0</v>
      </c>
      <c r="GU205" s="208">
        <v>-125683</v>
      </c>
      <c r="GV205" s="208">
        <v>-300696</v>
      </c>
      <c r="GW205" s="208">
        <v>-6915</v>
      </c>
      <c r="GX205" s="208">
        <v>-307611</v>
      </c>
      <c r="GY205" s="208">
        <v>-17985</v>
      </c>
      <c r="GZ205" s="208">
        <v>0</v>
      </c>
      <c r="HA205" s="208">
        <v>-17985</v>
      </c>
      <c r="HB205" s="208">
        <v>-18611118</v>
      </c>
      <c r="HC205" s="208">
        <v>-6915</v>
      </c>
      <c r="HD205" s="208">
        <v>-18618033</v>
      </c>
      <c r="HE205" s="208">
        <v>84800006</v>
      </c>
      <c r="HF205" s="208">
        <v>369</v>
      </c>
      <c r="HG205" s="208">
        <v>84800375</v>
      </c>
      <c r="HH205" s="187" t="s">
        <v>742</v>
      </c>
    </row>
    <row r="206" spans="1:216" s="187" customFormat="1" x14ac:dyDescent="0.2">
      <c r="B206" s="429" t="s">
        <v>489</v>
      </c>
      <c r="C206" s="429" t="s">
        <v>488</v>
      </c>
      <c r="D206" s="208">
        <v>-1829069</v>
      </c>
      <c r="E206" s="208">
        <v>0</v>
      </c>
      <c r="F206" s="208">
        <v>-1829069</v>
      </c>
      <c r="G206" s="208">
        <v>-58298</v>
      </c>
      <c r="H206" s="208">
        <v>0</v>
      </c>
      <c r="I206" s="208">
        <v>-58298</v>
      </c>
      <c r="J206" s="208">
        <v>2295428</v>
      </c>
      <c r="K206" s="208">
        <v>0</v>
      </c>
      <c r="L206" s="208">
        <v>2295428</v>
      </c>
      <c r="M206" s="208">
        <v>161307</v>
      </c>
      <c r="N206" s="208">
        <v>0</v>
      </c>
      <c r="O206" s="208">
        <v>161307</v>
      </c>
      <c r="P206" s="208">
        <v>569368</v>
      </c>
      <c r="Q206" s="208">
        <v>0</v>
      </c>
      <c r="R206" s="208">
        <v>569368</v>
      </c>
      <c r="S206" s="208">
        <v>-5594053</v>
      </c>
      <c r="T206" s="208">
        <v>0</v>
      </c>
      <c r="U206" s="208">
        <v>-5594053</v>
      </c>
      <c r="V206" s="208">
        <v>-15403</v>
      </c>
      <c r="W206" s="208">
        <v>0</v>
      </c>
      <c r="X206" s="208">
        <v>-15403</v>
      </c>
      <c r="Y206" s="208">
        <v>-292240</v>
      </c>
      <c r="Z206" s="208">
        <v>0</v>
      </c>
      <c r="AA206" s="208">
        <v>-292240</v>
      </c>
      <c r="AB206" s="208">
        <v>-70369</v>
      </c>
      <c r="AC206" s="208">
        <v>0</v>
      </c>
      <c r="AD206" s="208">
        <v>-70369</v>
      </c>
      <c r="AE206" s="208">
        <v>-216438</v>
      </c>
      <c r="AF206" s="208">
        <v>0</v>
      </c>
      <c r="AG206" s="208">
        <v>-216438</v>
      </c>
      <c r="AH206" s="208">
        <v>0</v>
      </c>
      <c r="AI206" s="208">
        <v>0</v>
      </c>
      <c r="AJ206" s="208">
        <v>0</v>
      </c>
      <c r="AK206" s="208">
        <v>1163.1300000000001</v>
      </c>
      <c r="AL206" s="208">
        <v>0</v>
      </c>
      <c r="AM206" s="208">
        <v>1163.1300000000001</v>
      </c>
      <c r="AN206" s="208">
        <v>1451434</v>
      </c>
      <c r="AO206" s="208">
        <v>0</v>
      </c>
      <c r="AP206" s="208">
        <v>1451434</v>
      </c>
      <c r="AQ206" s="208">
        <v>-7428</v>
      </c>
      <c r="AR206" s="208">
        <v>0</v>
      </c>
      <c r="AS206" s="208">
        <v>-7428</v>
      </c>
      <c r="AT206" s="208">
        <v>-6384152</v>
      </c>
      <c r="AU206" s="208">
        <v>0</v>
      </c>
      <c r="AV206" s="208">
        <v>-6384152</v>
      </c>
      <c r="AW206" s="208">
        <v>143560</v>
      </c>
      <c r="AX206" s="208">
        <v>0</v>
      </c>
      <c r="AY206" s="208">
        <v>143560</v>
      </c>
      <c r="AZ206" s="208">
        <v>-53477</v>
      </c>
      <c r="BA206" s="208">
        <v>0</v>
      </c>
      <c r="BB206" s="208">
        <v>-53477</v>
      </c>
      <c r="BC206" s="208">
        <v>0</v>
      </c>
      <c r="BD206" s="208">
        <v>0</v>
      </c>
      <c r="BE206" s="208">
        <v>0</v>
      </c>
      <c r="BF206" s="208">
        <v>0</v>
      </c>
      <c r="BG206" s="208">
        <v>0</v>
      </c>
      <c r="BH206" s="208">
        <v>0</v>
      </c>
      <c r="BI206" s="208">
        <v>0</v>
      </c>
      <c r="BJ206" s="208">
        <v>0</v>
      </c>
      <c r="BK206" s="208">
        <v>0</v>
      </c>
      <c r="BL206" s="208">
        <v>-10736356</v>
      </c>
      <c r="BM206" s="208">
        <v>0</v>
      </c>
      <c r="BN206" s="208">
        <v>-10736356</v>
      </c>
      <c r="BO206" s="208">
        <v>-180051</v>
      </c>
      <c r="BP206" s="208">
        <v>0</v>
      </c>
      <c r="BQ206" s="208">
        <v>-180051</v>
      </c>
      <c r="BR206" s="208">
        <v>-108768</v>
      </c>
      <c r="BS206" s="208">
        <v>0</v>
      </c>
      <c r="BT206" s="208">
        <v>-108768</v>
      </c>
      <c r="BU206" s="208">
        <v>-1858892</v>
      </c>
      <c r="BV206" s="208">
        <v>0</v>
      </c>
      <c r="BW206" s="208">
        <v>-1858892</v>
      </c>
      <c r="BX206" s="208">
        <v>-183324</v>
      </c>
      <c r="BY206" s="208">
        <v>0</v>
      </c>
      <c r="BZ206" s="208">
        <v>-183324</v>
      </c>
      <c r="CA206" s="208">
        <v>-2331035</v>
      </c>
      <c r="CB206" s="208">
        <v>0</v>
      </c>
      <c r="CC206" s="208">
        <v>-2331035</v>
      </c>
      <c r="CD206" s="208">
        <v>-186513</v>
      </c>
      <c r="CE206" s="208">
        <v>0</v>
      </c>
      <c r="CF206" s="208">
        <v>-186513</v>
      </c>
      <c r="CG206" s="208">
        <v>1356</v>
      </c>
      <c r="CH206" s="208">
        <v>0</v>
      </c>
      <c r="CI206" s="208">
        <v>1356</v>
      </c>
      <c r="CJ206" s="208">
        <v>-39788</v>
      </c>
      <c r="CK206" s="208">
        <v>0</v>
      </c>
      <c r="CL206" s="208">
        <v>-39788</v>
      </c>
      <c r="CM206" s="208">
        <v>-7181</v>
      </c>
      <c r="CN206" s="208">
        <v>0</v>
      </c>
      <c r="CO206" s="208">
        <v>-7181</v>
      </c>
      <c r="CP206" s="208">
        <v>-5146</v>
      </c>
      <c r="CQ206" s="208">
        <v>0</v>
      </c>
      <c r="CR206" s="208">
        <v>-5146</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0</v>
      </c>
      <c r="DI206" s="208">
        <v>0</v>
      </c>
      <c r="DJ206" s="208">
        <v>0</v>
      </c>
      <c r="DK206" s="208">
        <v>0</v>
      </c>
      <c r="DL206" s="208">
        <v>0</v>
      </c>
      <c r="DM206" s="208">
        <v>0</v>
      </c>
      <c r="DN206" s="208">
        <v>0</v>
      </c>
      <c r="DO206" s="208">
        <v>0</v>
      </c>
      <c r="DP206" s="208">
        <v>-237272</v>
      </c>
      <c r="DQ206" s="208">
        <v>0</v>
      </c>
      <c r="DR206" s="208">
        <v>-237272</v>
      </c>
      <c r="DS206" s="208">
        <v>0</v>
      </c>
      <c r="DT206" s="208">
        <v>0</v>
      </c>
      <c r="DU206" s="208">
        <v>0</v>
      </c>
      <c r="DV206" s="208">
        <v>251</v>
      </c>
      <c r="DW206" s="208">
        <v>0</v>
      </c>
      <c r="DX206" s="208">
        <v>251</v>
      </c>
      <c r="DY206" s="208">
        <v>0</v>
      </c>
      <c r="DZ206" s="208">
        <v>0</v>
      </c>
      <c r="EA206" s="208">
        <v>0</v>
      </c>
      <c r="EB206" s="208">
        <v>0</v>
      </c>
      <c r="EC206" s="208">
        <v>0</v>
      </c>
      <c r="ED206" s="208">
        <v>0</v>
      </c>
      <c r="EE206" s="208">
        <v>0</v>
      </c>
      <c r="EF206" s="208">
        <v>0</v>
      </c>
      <c r="EG206" s="208">
        <v>0</v>
      </c>
      <c r="EH206" s="208">
        <v>0</v>
      </c>
      <c r="EI206" s="208">
        <v>0</v>
      </c>
      <c r="EJ206" s="208">
        <v>0</v>
      </c>
      <c r="EK206" s="208">
        <v>0</v>
      </c>
      <c r="EL206" s="208">
        <v>0</v>
      </c>
      <c r="EM206" s="208">
        <v>0</v>
      </c>
      <c r="EN206" s="208">
        <v>0</v>
      </c>
      <c r="EO206" s="208">
        <v>0</v>
      </c>
      <c r="EP206" s="208">
        <v>0</v>
      </c>
      <c r="EQ206" s="208">
        <v>0</v>
      </c>
      <c r="ER206" s="208">
        <v>0</v>
      </c>
      <c r="ES206" s="208">
        <v>0</v>
      </c>
      <c r="ET206" s="208">
        <v>0</v>
      </c>
      <c r="EU206" s="208">
        <v>0</v>
      </c>
      <c r="EV206" s="208">
        <v>0</v>
      </c>
      <c r="EW206" s="208">
        <v>-14756</v>
      </c>
      <c r="EX206" s="208">
        <v>0</v>
      </c>
      <c r="EY206" s="208">
        <v>-14756</v>
      </c>
      <c r="EZ206" s="208">
        <v>1467</v>
      </c>
      <c r="FA206" s="208">
        <v>0</v>
      </c>
      <c r="FB206" s="208">
        <v>1467</v>
      </c>
      <c r="FC206" s="208">
        <v>-146106</v>
      </c>
      <c r="FD206" s="208">
        <v>0</v>
      </c>
      <c r="FE206" s="208">
        <v>-146106</v>
      </c>
      <c r="FF206" s="208">
        <v>7191</v>
      </c>
      <c r="FG206" s="208">
        <v>0</v>
      </c>
      <c r="FH206" s="208">
        <v>7191</v>
      </c>
      <c r="FI206" s="208">
        <v>-40718</v>
      </c>
      <c r="FJ206" s="208">
        <v>0</v>
      </c>
      <c r="FK206" s="208">
        <v>-40718</v>
      </c>
      <c r="FL206" s="208">
        <v>-1178</v>
      </c>
      <c r="FM206" s="208">
        <v>0</v>
      </c>
      <c r="FN206" s="208">
        <v>-1178</v>
      </c>
      <c r="FO206" s="208">
        <v>0</v>
      </c>
      <c r="FP206" s="208">
        <v>0</v>
      </c>
      <c r="FQ206" s="208">
        <v>0</v>
      </c>
      <c r="FR206" s="208">
        <v>0</v>
      </c>
      <c r="FS206" s="208">
        <v>0</v>
      </c>
      <c r="FT206" s="208">
        <v>0</v>
      </c>
      <c r="FU206" s="208">
        <v>-193849</v>
      </c>
      <c r="FV206" s="208">
        <v>0</v>
      </c>
      <c r="FW206" s="208">
        <v>-193849</v>
      </c>
      <c r="FX206" s="208">
        <v>0</v>
      </c>
      <c r="FY206" s="208">
        <v>0</v>
      </c>
      <c r="FZ206" s="208">
        <v>0</v>
      </c>
      <c r="GA206" s="208">
        <v>0</v>
      </c>
      <c r="GB206" s="208">
        <v>0</v>
      </c>
      <c r="GC206" s="208">
        <v>0</v>
      </c>
      <c r="GD206" s="208">
        <v>0</v>
      </c>
      <c r="GE206" s="208">
        <v>0</v>
      </c>
      <c r="GF206" s="208">
        <v>0</v>
      </c>
      <c r="GG206" s="208">
        <v>76408654</v>
      </c>
      <c r="GH206" s="208">
        <v>0</v>
      </c>
      <c r="GI206" s="208">
        <v>76408654</v>
      </c>
      <c r="GJ206" s="208">
        <v>569368</v>
      </c>
      <c r="GK206" s="208">
        <v>0</v>
      </c>
      <c r="GL206" s="208">
        <v>569368</v>
      </c>
      <c r="GM206" s="208">
        <v>-10736356</v>
      </c>
      <c r="GN206" s="208">
        <v>0</v>
      </c>
      <c r="GO206" s="208">
        <v>-10736356</v>
      </c>
      <c r="GP206" s="208">
        <v>-2331035</v>
      </c>
      <c r="GQ206" s="208">
        <v>0</v>
      </c>
      <c r="GR206" s="208">
        <v>-2331035</v>
      </c>
      <c r="GS206" s="208">
        <v>-237272</v>
      </c>
      <c r="GT206" s="208">
        <v>0</v>
      </c>
      <c r="GU206" s="208">
        <v>-237272</v>
      </c>
      <c r="GV206" s="208">
        <v>-193849</v>
      </c>
      <c r="GW206" s="208">
        <v>0</v>
      </c>
      <c r="GX206" s="208">
        <v>-193849</v>
      </c>
      <c r="GY206" s="208">
        <v>0</v>
      </c>
      <c r="GZ206" s="208">
        <v>0</v>
      </c>
      <c r="HA206" s="208">
        <v>0</v>
      </c>
      <c r="HB206" s="208">
        <v>-12929144</v>
      </c>
      <c r="HC206" s="208">
        <v>0</v>
      </c>
      <c r="HD206" s="208">
        <v>-12929144</v>
      </c>
      <c r="HE206" s="208">
        <v>63479510</v>
      </c>
      <c r="HF206" s="208">
        <v>0</v>
      </c>
      <c r="HG206" s="208">
        <v>63479510</v>
      </c>
      <c r="HH206" s="187" t="s">
        <v>742</v>
      </c>
    </row>
    <row r="207" spans="1:216" s="187" customFormat="1" x14ac:dyDescent="0.2">
      <c r="B207" s="429" t="s">
        <v>491</v>
      </c>
      <c r="C207" s="429" t="s">
        <v>490</v>
      </c>
      <c r="D207" s="208">
        <v>-2518823</v>
      </c>
      <c r="E207" s="208">
        <v>0</v>
      </c>
      <c r="F207" s="208">
        <v>-2518823</v>
      </c>
      <c r="G207" s="208">
        <v>0</v>
      </c>
      <c r="H207" s="208">
        <v>0</v>
      </c>
      <c r="I207" s="208">
        <v>0</v>
      </c>
      <c r="J207" s="208">
        <v>2851989</v>
      </c>
      <c r="K207" s="208">
        <v>0</v>
      </c>
      <c r="L207" s="208">
        <v>2851989</v>
      </c>
      <c r="M207" s="208">
        <v>0</v>
      </c>
      <c r="N207" s="208">
        <v>0</v>
      </c>
      <c r="O207" s="208">
        <v>0</v>
      </c>
      <c r="P207" s="208">
        <v>333166</v>
      </c>
      <c r="Q207" s="208">
        <v>0</v>
      </c>
      <c r="R207" s="208">
        <v>333166</v>
      </c>
      <c r="S207" s="208">
        <v>-5927662</v>
      </c>
      <c r="T207" s="208">
        <v>0</v>
      </c>
      <c r="U207" s="208">
        <v>-5927662</v>
      </c>
      <c r="V207" s="208">
        <v>0</v>
      </c>
      <c r="W207" s="208">
        <v>0</v>
      </c>
      <c r="X207" s="208">
        <v>0</v>
      </c>
      <c r="Y207" s="208">
        <v>-28167</v>
      </c>
      <c r="Z207" s="208">
        <v>0</v>
      </c>
      <c r="AA207" s="208">
        <v>-28167</v>
      </c>
      <c r="AB207" s="208">
        <v>-22182</v>
      </c>
      <c r="AC207" s="208">
        <v>0</v>
      </c>
      <c r="AD207" s="208">
        <v>-22182</v>
      </c>
      <c r="AE207" s="208">
        <v>-5985</v>
      </c>
      <c r="AF207" s="208">
        <v>0</v>
      </c>
      <c r="AG207" s="208">
        <v>-5985</v>
      </c>
      <c r="AH207" s="208">
        <v>0</v>
      </c>
      <c r="AI207" s="208">
        <v>0</v>
      </c>
      <c r="AJ207" s="208">
        <v>0</v>
      </c>
      <c r="AK207" s="208">
        <v>0</v>
      </c>
      <c r="AL207" s="208">
        <v>0</v>
      </c>
      <c r="AM207" s="208">
        <v>0</v>
      </c>
      <c r="AN207" s="208">
        <v>2166769</v>
      </c>
      <c r="AO207" s="208">
        <v>0</v>
      </c>
      <c r="AP207" s="208">
        <v>2166769</v>
      </c>
      <c r="AQ207" s="208">
        <v>0</v>
      </c>
      <c r="AR207" s="208">
        <v>0</v>
      </c>
      <c r="AS207" s="208">
        <v>0</v>
      </c>
      <c r="AT207" s="208">
        <v>-8306608</v>
      </c>
      <c r="AU207" s="208">
        <v>0</v>
      </c>
      <c r="AV207" s="208">
        <v>-8306608</v>
      </c>
      <c r="AW207" s="208">
        <v>0</v>
      </c>
      <c r="AX207" s="208">
        <v>0</v>
      </c>
      <c r="AY207" s="208">
        <v>0</v>
      </c>
      <c r="AZ207" s="208">
        <v>-36017</v>
      </c>
      <c r="BA207" s="208">
        <v>0</v>
      </c>
      <c r="BB207" s="208">
        <v>-36017</v>
      </c>
      <c r="BC207" s="208">
        <v>0</v>
      </c>
      <c r="BD207" s="208">
        <v>0</v>
      </c>
      <c r="BE207" s="208">
        <v>0</v>
      </c>
      <c r="BF207" s="208">
        <v>0</v>
      </c>
      <c r="BG207" s="208">
        <v>0</v>
      </c>
      <c r="BH207" s="208">
        <v>0</v>
      </c>
      <c r="BI207" s="208">
        <v>0</v>
      </c>
      <c r="BJ207" s="208">
        <v>0</v>
      </c>
      <c r="BK207" s="208">
        <v>0</v>
      </c>
      <c r="BL207" s="208">
        <v>-12131685</v>
      </c>
      <c r="BM207" s="208">
        <v>0</v>
      </c>
      <c r="BN207" s="208">
        <v>-12131685</v>
      </c>
      <c r="BO207" s="208">
        <v>-2812</v>
      </c>
      <c r="BP207" s="208">
        <v>0</v>
      </c>
      <c r="BQ207" s="208">
        <v>-2812</v>
      </c>
      <c r="BR207" s="208">
        <v>0</v>
      </c>
      <c r="BS207" s="208">
        <v>0</v>
      </c>
      <c r="BT207" s="208">
        <v>0</v>
      </c>
      <c r="BU207" s="208">
        <v>-2484170</v>
      </c>
      <c r="BV207" s="208">
        <v>0</v>
      </c>
      <c r="BW207" s="208">
        <v>-2484170</v>
      </c>
      <c r="BX207" s="208">
        <v>0</v>
      </c>
      <c r="BY207" s="208">
        <v>0</v>
      </c>
      <c r="BZ207" s="208">
        <v>0</v>
      </c>
      <c r="CA207" s="208">
        <v>-2486982</v>
      </c>
      <c r="CB207" s="208">
        <v>0</v>
      </c>
      <c r="CC207" s="208">
        <v>-2486982</v>
      </c>
      <c r="CD207" s="208">
        <v>-207911</v>
      </c>
      <c r="CE207" s="208">
        <v>0</v>
      </c>
      <c r="CF207" s="208">
        <v>-207911</v>
      </c>
      <c r="CG207" s="208">
        <v>0</v>
      </c>
      <c r="CH207" s="208">
        <v>0</v>
      </c>
      <c r="CI207" s="208">
        <v>0</v>
      </c>
      <c r="CJ207" s="208">
        <v>0</v>
      </c>
      <c r="CK207" s="208">
        <v>0</v>
      </c>
      <c r="CL207" s="208">
        <v>0</v>
      </c>
      <c r="CM207" s="208">
        <v>0</v>
      </c>
      <c r="CN207" s="208">
        <v>0</v>
      </c>
      <c r="CO207" s="208">
        <v>0</v>
      </c>
      <c r="CP207" s="208">
        <v>0</v>
      </c>
      <c r="CQ207" s="208">
        <v>0</v>
      </c>
      <c r="CR207" s="208">
        <v>0</v>
      </c>
      <c r="CS207" s="208">
        <v>0</v>
      </c>
      <c r="CT207" s="208">
        <v>0</v>
      </c>
      <c r="CU207" s="208">
        <v>0</v>
      </c>
      <c r="CV207" s="208">
        <v>0</v>
      </c>
      <c r="CW207" s="208">
        <v>0</v>
      </c>
      <c r="CX207" s="208">
        <v>0</v>
      </c>
      <c r="CY207" s="208">
        <v>0</v>
      </c>
      <c r="CZ207" s="208">
        <v>0</v>
      </c>
      <c r="DA207" s="208">
        <v>0</v>
      </c>
      <c r="DB207" s="208">
        <v>0</v>
      </c>
      <c r="DC207" s="208">
        <v>0</v>
      </c>
      <c r="DD207" s="208">
        <v>0</v>
      </c>
      <c r="DE207" s="208">
        <v>0</v>
      </c>
      <c r="DF207" s="208">
        <v>0</v>
      </c>
      <c r="DG207" s="208">
        <v>0</v>
      </c>
      <c r="DH207" s="208">
        <v>0</v>
      </c>
      <c r="DI207" s="208">
        <v>0</v>
      </c>
      <c r="DJ207" s="208">
        <v>0</v>
      </c>
      <c r="DK207" s="208">
        <v>0</v>
      </c>
      <c r="DL207" s="208">
        <v>0</v>
      </c>
      <c r="DM207" s="208">
        <v>0</v>
      </c>
      <c r="DN207" s="208">
        <v>0</v>
      </c>
      <c r="DO207" s="208">
        <v>0</v>
      </c>
      <c r="DP207" s="208">
        <v>-207911</v>
      </c>
      <c r="DQ207" s="208">
        <v>0</v>
      </c>
      <c r="DR207" s="208">
        <v>-207911</v>
      </c>
      <c r="DS207" s="208">
        <v>0</v>
      </c>
      <c r="DT207" s="208">
        <v>0</v>
      </c>
      <c r="DU207" s="208">
        <v>0</v>
      </c>
      <c r="DV207" s="208">
        <v>0</v>
      </c>
      <c r="DW207" s="208">
        <v>0</v>
      </c>
      <c r="DX207" s="208">
        <v>0</v>
      </c>
      <c r="DY207" s="208">
        <v>4627</v>
      </c>
      <c r="DZ207" s="208">
        <v>0</v>
      </c>
      <c r="EA207" s="208">
        <v>4627</v>
      </c>
      <c r="EB207" s="208">
        <v>0</v>
      </c>
      <c r="EC207" s="208">
        <v>0</v>
      </c>
      <c r="ED207" s="208">
        <v>0</v>
      </c>
      <c r="EE207" s="208">
        <v>0</v>
      </c>
      <c r="EF207" s="208">
        <v>0</v>
      </c>
      <c r="EG207" s="208">
        <v>0</v>
      </c>
      <c r="EH207" s="208">
        <v>0</v>
      </c>
      <c r="EI207" s="208">
        <v>0</v>
      </c>
      <c r="EJ207" s="208">
        <v>0</v>
      </c>
      <c r="EK207" s="208">
        <v>0</v>
      </c>
      <c r="EL207" s="208">
        <v>0</v>
      </c>
      <c r="EM207" s="208">
        <v>0</v>
      </c>
      <c r="EN207" s="208">
        <v>0</v>
      </c>
      <c r="EO207" s="208">
        <v>0</v>
      </c>
      <c r="EP207" s="208">
        <v>0</v>
      </c>
      <c r="EQ207" s="208">
        <v>0</v>
      </c>
      <c r="ER207" s="208">
        <v>0</v>
      </c>
      <c r="ES207" s="208">
        <v>0</v>
      </c>
      <c r="ET207" s="208">
        <v>201</v>
      </c>
      <c r="EU207" s="208">
        <v>0</v>
      </c>
      <c r="EV207" s="208">
        <v>201</v>
      </c>
      <c r="EW207" s="208">
        <v>-14719</v>
      </c>
      <c r="EX207" s="208">
        <v>0</v>
      </c>
      <c r="EY207" s="208">
        <v>-14719</v>
      </c>
      <c r="EZ207" s="208">
        <v>0</v>
      </c>
      <c r="FA207" s="208">
        <v>0</v>
      </c>
      <c r="FB207" s="208">
        <v>0</v>
      </c>
      <c r="FC207" s="208">
        <v>-233773</v>
      </c>
      <c r="FD207" s="208">
        <v>0</v>
      </c>
      <c r="FE207" s="208">
        <v>-233773</v>
      </c>
      <c r="FF207" s="208">
        <v>0</v>
      </c>
      <c r="FG207" s="208">
        <v>0</v>
      </c>
      <c r="FH207" s="208">
        <v>0</v>
      </c>
      <c r="FI207" s="208">
        <v>-50688</v>
      </c>
      <c r="FJ207" s="208">
        <v>0</v>
      </c>
      <c r="FK207" s="208">
        <v>-50688</v>
      </c>
      <c r="FL207" s="208">
        <v>0</v>
      </c>
      <c r="FM207" s="208">
        <v>0</v>
      </c>
      <c r="FN207" s="208">
        <v>0</v>
      </c>
      <c r="FO207" s="208">
        <v>0</v>
      </c>
      <c r="FP207" s="208">
        <v>0</v>
      </c>
      <c r="FQ207" s="208">
        <v>0</v>
      </c>
      <c r="FR207" s="208">
        <v>0</v>
      </c>
      <c r="FS207" s="208">
        <v>0</v>
      </c>
      <c r="FT207" s="208">
        <v>0</v>
      </c>
      <c r="FU207" s="208">
        <v>-294352</v>
      </c>
      <c r="FV207" s="208">
        <v>0</v>
      </c>
      <c r="FW207" s="208">
        <v>-294352</v>
      </c>
      <c r="FX207" s="208">
        <v>0</v>
      </c>
      <c r="FY207" s="208">
        <v>0</v>
      </c>
      <c r="FZ207" s="208">
        <v>0</v>
      </c>
      <c r="GA207" s="208">
        <v>0</v>
      </c>
      <c r="GB207" s="208">
        <v>0</v>
      </c>
      <c r="GC207" s="208">
        <v>0</v>
      </c>
      <c r="GD207" s="208">
        <v>0</v>
      </c>
      <c r="GE207" s="208">
        <v>0</v>
      </c>
      <c r="GF207" s="208">
        <v>0</v>
      </c>
      <c r="GG207" s="208">
        <v>103699915</v>
      </c>
      <c r="GH207" s="208">
        <v>0</v>
      </c>
      <c r="GI207" s="208">
        <v>103699915</v>
      </c>
      <c r="GJ207" s="208">
        <v>333166</v>
      </c>
      <c r="GK207" s="208">
        <v>0</v>
      </c>
      <c r="GL207" s="208">
        <v>333166</v>
      </c>
      <c r="GM207" s="208">
        <v>-12131685</v>
      </c>
      <c r="GN207" s="208">
        <v>0</v>
      </c>
      <c r="GO207" s="208">
        <v>-12131685</v>
      </c>
      <c r="GP207" s="208">
        <v>-2486982</v>
      </c>
      <c r="GQ207" s="208">
        <v>0</v>
      </c>
      <c r="GR207" s="208">
        <v>-2486982</v>
      </c>
      <c r="GS207" s="208">
        <v>-207911</v>
      </c>
      <c r="GT207" s="208">
        <v>0</v>
      </c>
      <c r="GU207" s="208">
        <v>-207911</v>
      </c>
      <c r="GV207" s="208">
        <v>-294352</v>
      </c>
      <c r="GW207" s="208">
        <v>0</v>
      </c>
      <c r="GX207" s="208">
        <v>-294352</v>
      </c>
      <c r="GY207" s="208">
        <v>0</v>
      </c>
      <c r="GZ207" s="208">
        <v>0</v>
      </c>
      <c r="HA207" s="208">
        <v>0</v>
      </c>
      <c r="HB207" s="208">
        <v>-14787764</v>
      </c>
      <c r="HC207" s="208">
        <v>0</v>
      </c>
      <c r="HD207" s="208">
        <v>-14787764</v>
      </c>
      <c r="HE207" s="208">
        <v>88912151</v>
      </c>
      <c r="HF207" s="208">
        <v>0</v>
      </c>
      <c r="HG207" s="208">
        <v>88912151</v>
      </c>
      <c r="HH207" s="187" t="s">
        <v>742</v>
      </c>
    </row>
    <row r="208" spans="1:216" s="187" customFormat="1" x14ac:dyDescent="0.2">
      <c r="B208" s="429" t="s">
        <v>493</v>
      </c>
      <c r="C208" s="429" t="s">
        <v>492</v>
      </c>
      <c r="D208" s="208">
        <v>-878643</v>
      </c>
      <c r="E208" s="208">
        <v>0</v>
      </c>
      <c r="F208" s="208">
        <v>-878643</v>
      </c>
      <c r="G208" s="208">
        <v>141045</v>
      </c>
      <c r="H208" s="208">
        <v>0</v>
      </c>
      <c r="I208" s="208">
        <v>141045</v>
      </c>
      <c r="J208" s="208">
        <v>6258324</v>
      </c>
      <c r="K208" s="208">
        <v>0</v>
      </c>
      <c r="L208" s="208">
        <v>6258324</v>
      </c>
      <c r="M208" s="208">
        <v>-181486</v>
      </c>
      <c r="N208" s="208">
        <v>0</v>
      </c>
      <c r="O208" s="208">
        <v>-181486</v>
      </c>
      <c r="P208" s="208">
        <v>5339240</v>
      </c>
      <c r="Q208" s="208">
        <v>0</v>
      </c>
      <c r="R208" s="208">
        <v>5339240</v>
      </c>
      <c r="S208" s="208">
        <v>-5477980</v>
      </c>
      <c r="T208" s="208">
        <v>0</v>
      </c>
      <c r="U208" s="208">
        <v>-5477980</v>
      </c>
      <c r="V208" s="208">
        <v>0</v>
      </c>
      <c r="W208" s="208">
        <v>0</v>
      </c>
      <c r="X208" s="208">
        <v>0</v>
      </c>
      <c r="Y208" s="208">
        <v>-136888.84</v>
      </c>
      <c r="Z208" s="208">
        <v>0</v>
      </c>
      <c r="AA208" s="208">
        <v>-136888.84</v>
      </c>
      <c r="AB208" s="208">
        <v>69219</v>
      </c>
      <c r="AC208" s="208">
        <v>0</v>
      </c>
      <c r="AD208" s="208">
        <v>69219</v>
      </c>
      <c r="AE208" s="208">
        <v>-206108</v>
      </c>
      <c r="AF208" s="208">
        <v>0</v>
      </c>
      <c r="AG208" s="208">
        <v>-206108</v>
      </c>
      <c r="AH208" s="208">
        <v>5334.21</v>
      </c>
      <c r="AI208" s="208">
        <v>0</v>
      </c>
      <c r="AJ208" s="208">
        <v>5334.21</v>
      </c>
      <c r="AK208" s="208">
        <v>0</v>
      </c>
      <c r="AL208" s="208">
        <v>0</v>
      </c>
      <c r="AM208" s="208">
        <v>0</v>
      </c>
      <c r="AN208" s="208">
        <v>1447311</v>
      </c>
      <c r="AO208" s="208">
        <v>0</v>
      </c>
      <c r="AP208" s="208">
        <v>1447311</v>
      </c>
      <c r="AQ208" s="208">
        <v>-26060</v>
      </c>
      <c r="AR208" s="208">
        <v>0</v>
      </c>
      <c r="AS208" s="208">
        <v>-26060</v>
      </c>
      <c r="AT208" s="208">
        <v>-5744508</v>
      </c>
      <c r="AU208" s="208">
        <v>0</v>
      </c>
      <c r="AV208" s="208">
        <v>-5744508</v>
      </c>
      <c r="AW208" s="208">
        <v>-84249</v>
      </c>
      <c r="AX208" s="208">
        <v>0</v>
      </c>
      <c r="AY208" s="208">
        <v>-84249</v>
      </c>
      <c r="AZ208" s="208">
        <v>-55563</v>
      </c>
      <c r="BA208" s="208">
        <v>0</v>
      </c>
      <c r="BB208" s="208">
        <v>-55563</v>
      </c>
      <c r="BC208" s="208">
        <v>0</v>
      </c>
      <c r="BD208" s="208">
        <v>0</v>
      </c>
      <c r="BE208" s="208">
        <v>0</v>
      </c>
      <c r="BF208" s="208">
        <v>-4965</v>
      </c>
      <c r="BG208" s="208">
        <v>0</v>
      </c>
      <c r="BH208" s="208">
        <v>-4965</v>
      </c>
      <c r="BI208" s="208">
        <v>0</v>
      </c>
      <c r="BJ208" s="208">
        <v>0</v>
      </c>
      <c r="BK208" s="208">
        <v>0</v>
      </c>
      <c r="BL208" s="208">
        <v>-10082903</v>
      </c>
      <c r="BM208" s="208">
        <v>0</v>
      </c>
      <c r="BN208" s="208">
        <v>-10082903</v>
      </c>
      <c r="BO208" s="208">
        <v>0</v>
      </c>
      <c r="BP208" s="208">
        <v>0</v>
      </c>
      <c r="BQ208" s="208">
        <v>0</v>
      </c>
      <c r="BR208" s="208">
        <v>0</v>
      </c>
      <c r="BS208" s="208">
        <v>0</v>
      </c>
      <c r="BT208" s="208">
        <v>0</v>
      </c>
      <c r="BU208" s="208">
        <v>-3215520</v>
      </c>
      <c r="BV208" s="208">
        <v>0</v>
      </c>
      <c r="BW208" s="208">
        <v>-3215520</v>
      </c>
      <c r="BX208" s="208">
        <v>-389095</v>
      </c>
      <c r="BY208" s="208">
        <v>0</v>
      </c>
      <c r="BZ208" s="208">
        <v>-389095</v>
      </c>
      <c r="CA208" s="208">
        <v>-3604615</v>
      </c>
      <c r="CB208" s="208">
        <v>0</v>
      </c>
      <c r="CC208" s="208">
        <v>-3604615</v>
      </c>
      <c r="CD208" s="208">
        <v>-84051</v>
      </c>
      <c r="CE208" s="208">
        <v>0</v>
      </c>
      <c r="CF208" s="208">
        <v>-84051</v>
      </c>
      <c r="CG208" s="208">
        <v>-2757</v>
      </c>
      <c r="CH208" s="208">
        <v>0</v>
      </c>
      <c r="CI208" s="208">
        <v>-2757</v>
      </c>
      <c r="CJ208" s="208">
        <v>-23688</v>
      </c>
      <c r="CK208" s="208">
        <v>0</v>
      </c>
      <c r="CL208" s="208">
        <v>-23688</v>
      </c>
      <c r="CM208" s="208">
        <v>-6427</v>
      </c>
      <c r="CN208" s="208">
        <v>0</v>
      </c>
      <c r="CO208" s="208">
        <v>-6427</v>
      </c>
      <c r="CP208" s="208">
        <v>-306</v>
      </c>
      <c r="CQ208" s="208">
        <v>0</v>
      </c>
      <c r="CR208" s="208">
        <v>-306</v>
      </c>
      <c r="CS208" s="208">
        <v>0</v>
      </c>
      <c r="CT208" s="208">
        <v>0</v>
      </c>
      <c r="CU208" s="208">
        <v>0</v>
      </c>
      <c r="CV208" s="208">
        <v>0</v>
      </c>
      <c r="CW208" s="208">
        <v>0</v>
      </c>
      <c r="CX208" s="208">
        <v>0</v>
      </c>
      <c r="CY208" s="208">
        <v>0</v>
      </c>
      <c r="CZ208" s="208">
        <v>0</v>
      </c>
      <c r="DA208" s="208">
        <v>0</v>
      </c>
      <c r="DB208" s="208">
        <v>0</v>
      </c>
      <c r="DC208" s="208">
        <v>0</v>
      </c>
      <c r="DD208" s="208">
        <v>0</v>
      </c>
      <c r="DE208" s="208">
        <v>0</v>
      </c>
      <c r="DF208" s="208">
        <v>0</v>
      </c>
      <c r="DG208" s="208">
        <v>0</v>
      </c>
      <c r="DH208" s="208">
        <v>0</v>
      </c>
      <c r="DI208" s="208">
        <v>0</v>
      </c>
      <c r="DJ208" s="208">
        <v>0</v>
      </c>
      <c r="DK208" s="208">
        <v>0</v>
      </c>
      <c r="DL208" s="208">
        <v>0</v>
      </c>
      <c r="DM208" s="208">
        <v>0</v>
      </c>
      <c r="DN208" s="208">
        <v>0</v>
      </c>
      <c r="DO208" s="208">
        <v>0</v>
      </c>
      <c r="DP208" s="208">
        <v>-117229</v>
      </c>
      <c r="DQ208" s="208">
        <v>0</v>
      </c>
      <c r="DR208" s="208">
        <v>-117229</v>
      </c>
      <c r="DS208" s="208">
        <v>0</v>
      </c>
      <c r="DT208" s="208">
        <v>0</v>
      </c>
      <c r="DU208" s="208">
        <v>0</v>
      </c>
      <c r="DV208" s="208">
        <v>0</v>
      </c>
      <c r="DW208" s="208">
        <v>0</v>
      </c>
      <c r="DX208" s="208">
        <v>0</v>
      </c>
      <c r="DY208" s="208">
        <v>0</v>
      </c>
      <c r="DZ208" s="208">
        <v>0</v>
      </c>
      <c r="EA208" s="208">
        <v>0</v>
      </c>
      <c r="EB208" s="208">
        <v>0</v>
      </c>
      <c r="EC208" s="208">
        <v>0</v>
      </c>
      <c r="ED208" s="208">
        <v>0</v>
      </c>
      <c r="EE208" s="208">
        <v>0</v>
      </c>
      <c r="EF208" s="208">
        <v>0</v>
      </c>
      <c r="EG208" s="208">
        <v>0</v>
      </c>
      <c r="EH208" s="208">
        <v>0</v>
      </c>
      <c r="EI208" s="208">
        <v>0</v>
      </c>
      <c r="EJ208" s="208">
        <v>0</v>
      </c>
      <c r="EK208" s="208">
        <v>-4965</v>
      </c>
      <c r="EL208" s="208">
        <v>0</v>
      </c>
      <c r="EM208" s="208">
        <v>-4965</v>
      </c>
      <c r="EN208" s="208">
        <v>0</v>
      </c>
      <c r="EO208" s="208">
        <v>0</v>
      </c>
      <c r="EP208" s="208">
        <v>0</v>
      </c>
      <c r="EQ208" s="208">
        <v>0</v>
      </c>
      <c r="ER208" s="208">
        <v>0</v>
      </c>
      <c r="ES208" s="208">
        <v>0</v>
      </c>
      <c r="ET208" s="208">
        <v>0</v>
      </c>
      <c r="EU208" s="208">
        <v>0</v>
      </c>
      <c r="EV208" s="208">
        <v>0</v>
      </c>
      <c r="EW208" s="208">
        <v>-3435</v>
      </c>
      <c r="EX208" s="208">
        <v>0</v>
      </c>
      <c r="EY208" s="208">
        <v>-3435</v>
      </c>
      <c r="EZ208" s="208">
        <v>0</v>
      </c>
      <c r="FA208" s="208">
        <v>0</v>
      </c>
      <c r="FB208" s="208">
        <v>0</v>
      </c>
      <c r="FC208" s="208">
        <v>-41390.379999999997</v>
      </c>
      <c r="FD208" s="208">
        <v>0</v>
      </c>
      <c r="FE208" s="208">
        <v>-41390.379999999997</v>
      </c>
      <c r="FF208" s="208">
        <v>30</v>
      </c>
      <c r="FG208" s="208">
        <v>0</v>
      </c>
      <c r="FH208" s="208">
        <v>30</v>
      </c>
      <c r="FI208" s="208">
        <v>-36143</v>
      </c>
      <c r="FJ208" s="208">
        <v>0</v>
      </c>
      <c r="FK208" s="208">
        <v>-36143</v>
      </c>
      <c r="FL208" s="208">
        <v>-3871</v>
      </c>
      <c r="FM208" s="208">
        <v>0</v>
      </c>
      <c r="FN208" s="208">
        <v>-3871</v>
      </c>
      <c r="FO208" s="208">
        <v>0</v>
      </c>
      <c r="FP208" s="208">
        <v>0</v>
      </c>
      <c r="FQ208" s="208">
        <v>0</v>
      </c>
      <c r="FR208" s="208">
        <v>0</v>
      </c>
      <c r="FS208" s="208">
        <v>0</v>
      </c>
      <c r="FT208" s="208">
        <v>0</v>
      </c>
      <c r="FU208" s="208">
        <v>-89774</v>
      </c>
      <c r="FV208" s="208">
        <v>0</v>
      </c>
      <c r="FW208" s="208">
        <v>-89774</v>
      </c>
      <c r="FX208" s="208">
        <v>0</v>
      </c>
      <c r="FY208" s="208">
        <v>0</v>
      </c>
      <c r="FZ208" s="208">
        <v>0</v>
      </c>
      <c r="GA208" s="208">
        <v>0</v>
      </c>
      <c r="GB208" s="208">
        <v>0</v>
      </c>
      <c r="GC208" s="208">
        <v>0</v>
      </c>
      <c r="GD208" s="208">
        <v>0</v>
      </c>
      <c r="GE208" s="208">
        <v>0</v>
      </c>
      <c r="GF208" s="208">
        <v>0</v>
      </c>
      <c r="GG208" s="208">
        <v>71580688</v>
      </c>
      <c r="GH208" s="208">
        <v>0</v>
      </c>
      <c r="GI208" s="208">
        <v>71580688</v>
      </c>
      <c r="GJ208" s="208">
        <v>5339240</v>
      </c>
      <c r="GK208" s="208">
        <v>0</v>
      </c>
      <c r="GL208" s="208">
        <v>5339240</v>
      </c>
      <c r="GM208" s="208">
        <v>-10082903</v>
      </c>
      <c r="GN208" s="208">
        <v>0</v>
      </c>
      <c r="GO208" s="208">
        <v>-10082903</v>
      </c>
      <c r="GP208" s="208">
        <v>-3604615</v>
      </c>
      <c r="GQ208" s="208">
        <v>0</v>
      </c>
      <c r="GR208" s="208">
        <v>-3604615</v>
      </c>
      <c r="GS208" s="208">
        <v>-117229</v>
      </c>
      <c r="GT208" s="208">
        <v>0</v>
      </c>
      <c r="GU208" s="208">
        <v>-117229</v>
      </c>
      <c r="GV208" s="208">
        <v>-89774</v>
      </c>
      <c r="GW208" s="208">
        <v>0</v>
      </c>
      <c r="GX208" s="208">
        <v>-89774</v>
      </c>
      <c r="GY208" s="208">
        <v>0</v>
      </c>
      <c r="GZ208" s="208">
        <v>0</v>
      </c>
      <c r="HA208" s="208">
        <v>0</v>
      </c>
      <c r="HB208" s="208">
        <v>-8555281</v>
      </c>
      <c r="HC208" s="208">
        <v>0</v>
      </c>
      <c r="HD208" s="208">
        <v>-8555281</v>
      </c>
      <c r="HE208" s="208">
        <v>63025407</v>
      </c>
      <c r="HF208" s="208">
        <v>0</v>
      </c>
      <c r="HG208" s="208">
        <v>63025407</v>
      </c>
      <c r="HH208" s="187" t="s">
        <v>1054</v>
      </c>
    </row>
    <row r="209" spans="1:216" s="187" customFormat="1" x14ac:dyDescent="0.2">
      <c r="B209" s="429" t="s">
        <v>495</v>
      </c>
      <c r="C209" s="429" t="s">
        <v>494</v>
      </c>
      <c r="D209" s="208">
        <v>-991495</v>
      </c>
      <c r="E209" s="208">
        <v>0</v>
      </c>
      <c r="F209" s="208">
        <v>-991495</v>
      </c>
      <c r="G209" s="208">
        <v>23203</v>
      </c>
      <c r="H209" s="208">
        <v>0</v>
      </c>
      <c r="I209" s="208">
        <v>23203</v>
      </c>
      <c r="J209" s="208">
        <v>817919</v>
      </c>
      <c r="K209" s="208">
        <v>0</v>
      </c>
      <c r="L209" s="208">
        <v>817919</v>
      </c>
      <c r="M209" s="208">
        <v>-47931</v>
      </c>
      <c r="N209" s="208">
        <v>0</v>
      </c>
      <c r="O209" s="208">
        <v>-47931</v>
      </c>
      <c r="P209" s="208">
        <v>-198304</v>
      </c>
      <c r="Q209" s="208">
        <v>0</v>
      </c>
      <c r="R209" s="208">
        <v>-198304</v>
      </c>
      <c r="S209" s="208">
        <v>-2819373</v>
      </c>
      <c r="T209" s="208">
        <v>-9234</v>
      </c>
      <c r="U209" s="208">
        <v>-2828607</v>
      </c>
      <c r="V209" s="208">
        <v>-2309</v>
      </c>
      <c r="W209" s="208">
        <v>0</v>
      </c>
      <c r="X209" s="208">
        <v>-2309</v>
      </c>
      <c r="Y209" s="208">
        <v>-157820</v>
      </c>
      <c r="Z209" s="208">
        <v>0</v>
      </c>
      <c r="AA209" s="208">
        <v>-157820</v>
      </c>
      <c r="AB209" s="208">
        <v>-46921</v>
      </c>
      <c r="AC209" s="208">
        <v>0</v>
      </c>
      <c r="AD209" s="208">
        <v>-46921</v>
      </c>
      <c r="AE209" s="208">
        <v>-103478</v>
      </c>
      <c r="AF209" s="208">
        <v>0</v>
      </c>
      <c r="AG209" s="208">
        <v>-103478</v>
      </c>
      <c r="AH209" s="208">
        <v>0</v>
      </c>
      <c r="AI209" s="208">
        <v>0</v>
      </c>
      <c r="AJ209" s="208">
        <v>0</v>
      </c>
      <c r="AK209" s="208">
        <v>-2217</v>
      </c>
      <c r="AL209" s="208">
        <v>0</v>
      </c>
      <c r="AM209" s="208">
        <v>-2217</v>
      </c>
      <c r="AN209" s="208">
        <v>310710</v>
      </c>
      <c r="AO209" s="208">
        <v>19365</v>
      </c>
      <c r="AP209" s="208">
        <v>330075</v>
      </c>
      <c r="AQ209" s="208">
        <v>-10619</v>
      </c>
      <c r="AR209" s="208">
        <v>0</v>
      </c>
      <c r="AS209" s="208">
        <v>-10619</v>
      </c>
      <c r="AT209" s="208">
        <v>-1295415</v>
      </c>
      <c r="AU209" s="208">
        <v>0</v>
      </c>
      <c r="AV209" s="208">
        <v>-1295415</v>
      </c>
      <c r="AW209" s="208">
        <v>-212333</v>
      </c>
      <c r="AX209" s="208">
        <v>0</v>
      </c>
      <c r="AY209" s="208">
        <v>-212333</v>
      </c>
      <c r="AZ209" s="208">
        <v>-37898</v>
      </c>
      <c r="BA209" s="208">
        <v>0</v>
      </c>
      <c r="BB209" s="208">
        <v>-37898</v>
      </c>
      <c r="BC209" s="208">
        <v>0</v>
      </c>
      <c r="BD209" s="208">
        <v>0</v>
      </c>
      <c r="BE209" s="208">
        <v>0</v>
      </c>
      <c r="BF209" s="208">
        <v>-5632</v>
      </c>
      <c r="BG209" s="208">
        <v>0</v>
      </c>
      <c r="BH209" s="208">
        <v>-5632</v>
      </c>
      <c r="BI209" s="208">
        <v>0</v>
      </c>
      <c r="BJ209" s="208">
        <v>0</v>
      </c>
      <c r="BK209" s="208">
        <v>0</v>
      </c>
      <c r="BL209" s="208">
        <v>-4228380</v>
      </c>
      <c r="BM209" s="208">
        <v>10131</v>
      </c>
      <c r="BN209" s="208">
        <v>-4218249</v>
      </c>
      <c r="BO209" s="208">
        <v>0</v>
      </c>
      <c r="BP209" s="208">
        <v>0</v>
      </c>
      <c r="BQ209" s="208">
        <v>0</v>
      </c>
      <c r="BR209" s="208">
        <v>0</v>
      </c>
      <c r="BS209" s="208">
        <v>0</v>
      </c>
      <c r="BT209" s="208">
        <v>0</v>
      </c>
      <c r="BU209" s="208">
        <v>-305056</v>
      </c>
      <c r="BV209" s="208">
        <v>-20006</v>
      </c>
      <c r="BW209" s="208">
        <v>-325062</v>
      </c>
      <c r="BX209" s="208">
        <v>-23022</v>
      </c>
      <c r="BY209" s="208">
        <v>0</v>
      </c>
      <c r="BZ209" s="208">
        <v>-23022</v>
      </c>
      <c r="CA209" s="208">
        <v>-328078</v>
      </c>
      <c r="CB209" s="208">
        <v>-20006</v>
      </c>
      <c r="CC209" s="208">
        <v>-348084</v>
      </c>
      <c r="CD209" s="208">
        <v>-41423</v>
      </c>
      <c r="CE209" s="208">
        <v>0</v>
      </c>
      <c r="CF209" s="208">
        <v>-41423</v>
      </c>
      <c r="CG209" s="208">
        <v>-4450</v>
      </c>
      <c r="CH209" s="208">
        <v>0</v>
      </c>
      <c r="CI209" s="208">
        <v>-4450</v>
      </c>
      <c r="CJ209" s="208">
        <v>-5083</v>
      </c>
      <c r="CK209" s="208">
        <v>0</v>
      </c>
      <c r="CL209" s="208">
        <v>-5083</v>
      </c>
      <c r="CM209" s="208">
        <v>0</v>
      </c>
      <c r="CN209" s="208">
        <v>0</v>
      </c>
      <c r="CO209" s="208">
        <v>0</v>
      </c>
      <c r="CP209" s="208">
        <v>-3624</v>
      </c>
      <c r="CQ209" s="208">
        <v>0</v>
      </c>
      <c r="CR209" s="208">
        <v>-3624</v>
      </c>
      <c r="CS209" s="208">
        <v>0</v>
      </c>
      <c r="CT209" s="208">
        <v>0</v>
      </c>
      <c r="CU209" s="208">
        <v>0</v>
      </c>
      <c r="CV209" s="208">
        <v>0</v>
      </c>
      <c r="CW209" s="208">
        <v>0</v>
      </c>
      <c r="CX209" s="208">
        <v>0</v>
      </c>
      <c r="CY209" s="208">
        <v>0</v>
      </c>
      <c r="CZ209" s="208">
        <v>0</v>
      </c>
      <c r="DA209" s="208">
        <v>0</v>
      </c>
      <c r="DB209" s="208">
        <v>0</v>
      </c>
      <c r="DC209" s="208">
        <v>0</v>
      </c>
      <c r="DD209" s="208">
        <v>0</v>
      </c>
      <c r="DE209" s="208">
        <v>0</v>
      </c>
      <c r="DF209" s="208">
        <v>0</v>
      </c>
      <c r="DG209" s="208">
        <v>0</v>
      </c>
      <c r="DH209" s="208">
        <v>0</v>
      </c>
      <c r="DI209" s="208">
        <v>-40783</v>
      </c>
      <c r="DJ209" s="208">
        <v>-40783</v>
      </c>
      <c r="DK209" s="208">
        <v>0</v>
      </c>
      <c r="DL209" s="208">
        <v>-5994</v>
      </c>
      <c r="DM209" s="208">
        <v>-5994</v>
      </c>
      <c r="DN209" s="208">
        <v>-46777</v>
      </c>
      <c r="DO209" s="208">
        <v>0</v>
      </c>
      <c r="DP209" s="208">
        <v>-54580</v>
      </c>
      <c r="DQ209" s="208">
        <v>-46777</v>
      </c>
      <c r="DR209" s="208">
        <v>-101357</v>
      </c>
      <c r="DS209" s="208">
        <v>0</v>
      </c>
      <c r="DT209" s="208">
        <v>0</v>
      </c>
      <c r="DU209" s="208">
        <v>0</v>
      </c>
      <c r="DV209" s="208">
        <v>0</v>
      </c>
      <c r="DW209" s="208">
        <v>0</v>
      </c>
      <c r="DX209" s="208">
        <v>0</v>
      </c>
      <c r="DY209" s="208">
        <v>0</v>
      </c>
      <c r="DZ209" s="208">
        <v>0</v>
      </c>
      <c r="EA209" s="208">
        <v>0</v>
      </c>
      <c r="EB209" s="208">
        <v>0</v>
      </c>
      <c r="EC209" s="208">
        <v>0</v>
      </c>
      <c r="ED209" s="208">
        <v>0</v>
      </c>
      <c r="EE209" s="208">
        <v>0</v>
      </c>
      <c r="EF209" s="208">
        <v>0</v>
      </c>
      <c r="EG209" s="208">
        <v>0</v>
      </c>
      <c r="EH209" s="208">
        <v>0</v>
      </c>
      <c r="EI209" s="208">
        <v>0</v>
      </c>
      <c r="EJ209" s="208">
        <v>0</v>
      </c>
      <c r="EK209" s="208">
        <v>-5632</v>
      </c>
      <c r="EL209" s="208">
        <v>0</v>
      </c>
      <c r="EM209" s="208">
        <v>-5632</v>
      </c>
      <c r="EN209" s="208">
        <v>0</v>
      </c>
      <c r="EO209" s="208">
        <v>0</v>
      </c>
      <c r="EP209" s="208">
        <v>0</v>
      </c>
      <c r="EQ209" s="208">
        <v>0</v>
      </c>
      <c r="ER209" s="208">
        <v>0</v>
      </c>
      <c r="ES209" s="208">
        <v>0</v>
      </c>
      <c r="ET209" s="208">
        <v>0</v>
      </c>
      <c r="EU209" s="208">
        <v>0</v>
      </c>
      <c r="EV209" s="208">
        <v>0</v>
      </c>
      <c r="EW209" s="208">
        <v>-19871</v>
      </c>
      <c r="EX209" s="208">
        <v>0</v>
      </c>
      <c r="EY209" s="208">
        <v>-19871</v>
      </c>
      <c r="EZ209" s="208">
        <v>2100</v>
      </c>
      <c r="FA209" s="208">
        <v>0</v>
      </c>
      <c r="FB209" s="208">
        <v>2100</v>
      </c>
      <c r="FC209" s="208">
        <v>-105901</v>
      </c>
      <c r="FD209" s="208">
        <v>0</v>
      </c>
      <c r="FE209" s="208">
        <v>-105901</v>
      </c>
      <c r="FF209" s="208">
        <v>5855</v>
      </c>
      <c r="FG209" s="208">
        <v>0</v>
      </c>
      <c r="FH209" s="208">
        <v>5855</v>
      </c>
      <c r="FI209" s="208">
        <v>-44964</v>
      </c>
      <c r="FJ209" s="208">
        <v>0</v>
      </c>
      <c r="FK209" s="208">
        <v>-44964</v>
      </c>
      <c r="FL209" s="208">
        <v>167</v>
      </c>
      <c r="FM209" s="208">
        <v>0</v>
      </c>
      <c r="FN209" s="208">
        <v>167</v>
      </c>
      <c r="FO209" s="208">
        <v>0</v>
      </c>
      <c r="FP209" s="208">
        <v>0</v>
      </c>
      <c r="FQ209" s="208">
        <v>0</v>
      </c>
      <c r="FR209" s="208">
        <v>0</v>
      </c>
      <c r="FS209" s="208">
        <v>0</v>
      </c>
      <c r="FT209" s="208">
        <v>0</v>
      </c>
      <c r="FU209" s="208">
        <v>-168246</v>
      </c>
      <c r="FV209" s="208">
        <v>0</v>
      </c>
      <c r="FW209" s="208">
        <v>-168246</v>
      </c>
      <c r="FX209" s="208">
        <v>0</v>
      </c>
      <c r="FY209" s="208">
        <v>0</v>
      </c>
      <c r="FZ209" s="208">
        <v>0</v>
      </c>
      <c r="GA209" s="208">
        <v>0</v>
      </c>
      <c r="GB209" s="208">
        <v>0</v>
      </c>
      <c r="GC209" s="208">
        <v>0</v>
      </c>
      <c r="GD209" s="208">
        <v>0</v>
      </c>
      <c r="GE209" s="208">
        <v>0</v>
      </c>
      <c r="GF209" s="208">
        <v>0</v>
      </c>
      <c r="GG209" s="208">
        <v>19559729</v>
      </c>
      <c r="GH209" s="208">
        <v>419400</v>
      </c>
      <c r="GI209" s="208">
        <v>19979129</v>
      </c>
      <c r="GJ209" s="208">
        <v>-198304</v>
      </c>
      <c r="GK209" s="208">
        <v>0</v>
      </c>
      <c r="GL209" s="208">
        <v>-198304</v>
      </c>
      <c r="GM209" s="208">
        <v>-4228380</v>
      </c>
      <c r="GN209" s="208">
        <v>10131</v>
      </c>
      <c r="GO209" s="208">
        <v>-4218249</v>
      </c>
      <c r="GP209" s="208">
        <v>-328078</v>
      </c>
      <c r="GQ209" s="208">
        <v>-20006</v>
      </c>
      <c r="GR209" s="208">
        <v>-348084</v>
      </c>
      <c r="GS209" s="208">
        <v>-54580</v>
      </c>
      <c r="GT209" s="208">
        <v>-46777</v>
      </c>
      <c r="GU209" s="208">
        <v>-101357</v>
      </c>
      <c r="GV209" s="208">
        <v>-168246</v>
      </c>
      <c r="GW209" s="208">
        <v>0</v>
      </c>
      <c r="GX209" s="208">
        <v>-168246</v>
      </c>
      <c r="GY209" s="208">
        <v>0</v>
      </c>
      <c r="GZ209" s="208">
        <v>0</v>
      </c>
      <c r="HA209" s="208">
        <v>0</v>
      </c>
      <c r="HB209" s="208">
        <v>-4977588</v>
      </c>
      <c r="HC209" s="208">
        <v>-56652</v>
      </c>
      <c r="HD209" s="208">
        <v>-5034240</v>
      </c>
      <c r="HE209" s="208">
        <v>14582141</v>
      </c>
      <c r="HF209" s="208">
        <v>362748</v>
      </c>
      <c r="HG209" s="208">
        <v>14944889</v>
      </c>
      <c r="HH209" s="187" t="s">
        <v>1054</v>
      </c>
    </row>
    <row r="210" spans="1:216" s="187" customFormat="1" x14ac:dyDescent="0.2">
      <c r="A210" s="188" t="s">
        <v>1817</v>
      </c>
      <c r="B210" s="429" t="s">
        <v>497</v>
      </c>
      <c r="C210" s="429" t="s">
        <v>496</v>
      </c>
      <c r="D210" s="208">
        <v>-3494009</v>
      </c>
      <c r="E210" s="208">
        <v>0</v>
      </c>
      <c r="F210" s="208">
        <v>-3494009</v>
      </c>
      <c r="G210" s="208">
        <v>264190</v>
      </c>
      <c r="H210" s="208">
        <v>0</v>
      </c>
      <c r="I210" s="208">
        <v>264190</v>
      </c>
      <c r="J210" s="208">
        <v>1900824</v>
      </c>
      <c r="K210" s="208">
        <v>0</v>
      </c>
      <c r="L210" s="208">
        <v>1900824</v>
      </c>
      <c r="M210" s="208">
        <v>65545</v>
      </c>
      <c r="N210" s="208">
        <v>0</v>
      </c>
      <c r="O210" s="208">
        <v>65545</v>
      </c>
      <c r="P210" s="208">
        <v>-1263450</v>
      </c>
      <c r="Q210" s="208">
        <v>0</v>
      </c>
      <c r="R210" s="208">
        <v>-1263450</v>
      </c>
      <c r="S210" s="208">
        <v>-3458308</v>
      </c>
      <c r="T210" s="208">
        <v>0</v>
      </c>
      <c r="U210" s="208">
        <v>-3458308</v>
      </c>
      <c r="V210" s="208">
        <v>0</v>
      </c>
      <c r="W210" s="208">
        <v>0</v>
      </c>
      <c r="X210" s="208">
        <v>0</v>
      </c>
      <c r="Y210" s="208">
        <v>-142424</v>
      </c>
      <c r="Z210" s="208">
        <v>0</v>
      </c>
      <c r="AA210" s="208">
        <v>-142424</v>
      </c>
      <c r="AB210" s="208">
        <v>-33948</v>
      </c>
      <c r="AC210" s="208">
        <v>0</v>
      </c>
      <c r="AD210" s="208">
        <v>-33948</v>
      </c>
      <c r="AE210" s="208">
        <v>-107940</v>
      </c>
      <c r="AF210" s="208">
        <v>0</v>
      </c>
      <c r="AG210" s="208">
        <v>-107940</v>
      </c>
      <c r="AH210" s="208">
        <v>4345</v>
      </c>
      <c r="AI210" s="208">
        <v>0</v>
      </c>
      <c r="AJ210" s="208">
        <v>4345</v>
      </c>
      <c r="AK210" s="208">
        <v>1022</v>
      </c>
      <c r="AL210" s="208">
        <v>0</v>
      </c>
      <c r="AM210" s="208">
        <v>1022</v>
      </c>
      <c r="AN210" s="208">
        <v>3487726</v>
      </c>
      <c r="AO210" s="208">
        <v>0</v>
      </c>
      <c r="AP210" s="208">
        <v>3487726</v>
      </c>
      <c r="AQ210" s="208">
        <v>-103623</v>
      </c>
      <c r="AR210" s="208">
        <v>0</v>
      </c>
      <c r="AS210" s="208">
        <v>-103623</v>
      </c>
      <c r="AT210" s="208">
        <v>-5118449</v>
      </c>
      <c r="AU210" s="208">
        <v>0</v>
      </c>
      <c r="AV210" s="208">
        <v>-5118449</v>
      </c>
      <c r="AW210" s="208">
        <v>-89761</v>
      </c>
      <c r="AX210" s="208">
        <v>0</v>
      </c>
      <c r="AY210" s="208">
        <v>-89761</v>
      </c>
      <c r="AZ210" s="208">
        <v>-6646</v>
      </c>
      <c r="BA210" s="208">
        <v>0</v>
      </c>
      <c r="BB210" s="208">
        <v>-6646</v>
      </c>
      <c r="BC210" s="208">
        <v>0</v>
      </c>
      <c r="BD210" s="208">
        <v>0</v>
      </c>
      <c r="BE210" s="208">
        <v>0</v>
      </c>
      <c r="BF210" s="208">
        <v>0</v>
      </c>
      <c r="BG210" s="208">
        <v>0</v>
      </c>
      <c r="BH210" s="208">
        <v>0</v>
      </c>
      <c r="BI210" s="208">
        <v>0</v>
      </c>
      <c r="BJ210" s="208">
        <v>0</v>
      </c>
      <c r="BK210" s="208">
        <v>0</v>
      </c>
      <c r="BL210" s="208">
        <v>-5431485</v>
      </c>
      <c r="BM210" s="208">
        <v>0</v>
      </c>
      <c r="BN210" s="208">
        <v>-5431485</v>
      </c>
      <c r="BO210" s="208">
        <v>-116206</v>
      </c>
      <c r="BP210" s="208">
        <v>0</v>
      </c>
      <c r="BQ210" s="208">
        <v>-116206</v>
      </c>
      <c r="BR210" s="208">
        <v>6954</v>
      </c>
      <c r="BS210" s="208">
        <v>0</v>
      </c>
      <c r="BT210" s="208">
        <v>6954</v>
      </c>
      <c r="BU210" s="208">
        <v>-5473974</v>
      </c>
      <c r="BV210" s="208">
        <v>0</v>
      </c>
      <c r="BW210" s="208">
        <v>-5473974</v>
      </c>
      <c r="BX210" s="208">
        <v>114839</v>
      </c>
      <c r="BY210" s="208">
        <v>0</v>
      </c>
      <c r="BZ210" s="208">
        <v>114839</v>
      </c>
      <c r="CA210" s="208">
        <v>-5468387</v>
      </c>
      <c r="CB210" s="208">
        <v>0</v>
      </c>
      <c r="CC210" s="208">
        <v>-5468387</v>
      </c>
      <c r="CD210" s="208">
        <v>0</v>
      </c>
      <c r="CE210" s="208">
        <v>0</v>
      </c>
      <c r="CF210" s="208">
        <v>0</v>
      </c>
      <c r="CG210" s="208">
        <v>0</v>
      </c>
      <c r="CH210" s="208">
        <v>0</v>
      </c>
      <c r="CI210" s="208">
        <v>0</v>
      </c>
      <c r="CJ210" s="208">
        <v>0</v>
      </c>
      <c r="CK210" s="208">
        <v>0</v>
      </c>
      <c r="CL210" s="208">
        <v>0</v>
      </c>
      <c r="CM210" s="208">
        <v>0</v>
      </c>
      <c r="CN210" s="208">
        <v>0</v>
      </c>
      <c r="CO210" s="208">
        <v>0</v>
      </c>
      <c r="CP210" s="208">
        <v>0</v>
      </c>
      <c r="CQ210" s="208">
        <v>0</v>
      </c>
      <c r="CR210" s="208">
        <v>0</v>
      </c>
      <c r="CS210" s="208">
        <v>0</v>
      </c>
      <c r="CT210" s="208">
        <v>0</v>
      </c>
      <c r="CU210" s="208">
        <v>0</v>
      </c>
      <c r="CV210" s="208">
        <v>0</v>
      </c>
      <c r="CW210" s="208">
        <v>0</v>
      </c>
      <c r="CX210" s="208">
        <v>0</v>
      </c>
      <c r="CY210" s="208">
        <v>0</v>
      </c>
      <c r="CZ210" s="208">
        <v>0</v>
      </c>
      <c r="DA210" s="208">
        <v>0</v>
      </c>
      <c r="DB210" s="208">
        <v>0</v>
      </c>
      <c r="DC210" s="208">
        <v>0</v>
      </c>
      <c r="DD210" s="208">
        <v>0</v>
      </c>
      <c r="DE210" s="208">
        <v>0</v>
      </c>
      <c r="DF210" s="208">
        <v>0</v>
      </c>
      <c r="DG210" s="208">
        <v>0</v>
      </c>
      <c r="DH210" s="208">
        <v>0</v>
      </c>
      <c r="DI210" s="208">
        <v>0</v>
      </c>
      <c r="DJ210" s="208">
        <v>0</v>
      </c>
      <c r="DK210" s="208">
        <v>0</v>
      </c>
      <c r="DL210" s="208">
        <v>0</v>
      </c>
      <c r="DM210" s="208">
        <v>0</v>
      </c>
      <c r="DN210" s="208">
        <v>0</v>
      </c>
      <c r="DO210" s="208">
        <v>0</v>
      </c>
      <c r="DP210" s="208">
        <v>0</v>
      </c>
      <c r="DQ210" s="208">
        <v>0</v>
      </c>
      <c r="DR210" s="208">
        <v>0</v>
      </c>
      <c r="DS210" s="208">
        <v>0</v>
      </c>
      <c r="DT210" s="208">
        <v>0</v>
      </c>
      <c r="DU210" s="208">
        <v>0</v>
      </c>
      <c r="DV210" s="208">
        <v>0</v>
      </c>
      <c r="DW210" s="208">
        <v>0</v>
      </c>
      <c r="DX210" s="208">
        <v>0</v>
      </c>
      <c r="DY210" s="208">
        <v>1500</v>
      </c>
      <c r="DZ210" s="208">
        <v>0</v>
      </c>
      <c r="EA210" s="208">
        <v>1500</v>
      </c>
      <c r="EB210" s="208">
        <v>0</v>
      </c>
      <c r="EC210" s="208">
        <v>0</v>
      </c>
      <c r="ED210" s="208">
        <v>0</v>
      </c>
      <c r="EE210" s="208">
        <v>0</v>
      </c>
      <c r="EF210" s="208">
        <v>0</v>
      </c>
      <c r="EG210" s="208">
        <v>0</v>
      </c>
      <c r="EH210" s="208">
        <v>0</v>
      </c>
      <c r="EI210" s="208">
        <v>0</v>
      </c>
      <c r="EJ210" s="208">
        <v>0</v>
      </c>
      <c r="EK210" s="208">
        <v>0</v>
      </c>
      <c r="EL210" s="208">
        <v>0</v>
      </c>
      <c r="EM210" s="208">
        <v>0</v>
      </c>
      <c r="EN210" s="208">
        <v>0</v>
      </c>
      <c r="EO210" s="208">
        <v>0</v>
      </c>
      <c r="EP210" s="208">
        <v>0</v>
      </c>
      <c r="EQ210" s="208">
        <v>0</v>
      </c>
      <c r="ER210" s="208">
        <v>0</v>
      </c>
      <c r="ES210" s="208">
        <v>0</v>
      </c>
      <c r="ET210" s="208">
        <v>0</v>
      </c>
      <c r="EU210" s="208">
        <v>0</v>
      </c>
      <c r="EV210" s="208">
        <v>0</v>
      </c>
      <c r="EW210" s="208">
        <v>-54160</v>
      </c>
      <c r="EX210" s="208">
        <v>0</v>
      </c>
      <c r="EY210" s="208">
        <v>-54160</v>
      </c>
      <c r="EZ210" s="208">
        <v>-376</v>
      </c>
      <c r="FA210" s="208">
        <v>0</v>
      </c>
      <c r="FB210" s="208">
        <v>-376</v>
      </c>
      <c r="FC210" s="208">
        <v>-510529</v>
      </c>
      <c r="FD210" s="208">
        <v>0</v>
      </c>
      <c r="FE210" s="208">
        <v>-510529</v>
      </c>
      <c r="FF210" s="208">
        <v>30080</v>
      </c>
      <c r="FG210" s="208">
        <v>0</v>
      </c>
      <c r="FH210" s="208">
        <v>30080</v>
      </c>
      <c r="FI210" s="208">
        <v>-24123</v>
      </c>
      <c r="FJ210" s="208">
        <v>0</v>
      </c>
      <c r="FK210" s="208">
        <v>-24123</v>
      </c>
      <c r="FL210" s="208">
        <v>14</v>
      </c>
      <c r="FM210" s="208">
        <v>0</v>
      </c>
      <c r="FN210" s="208">
        <v>14</v>
      </c>
      <c r="FO210" s="208">
        <v>0</v>
      </c>
      <c r="FP210" s="208">
        <v>0</v>
      </c>
      <c r="FQ210" s="208">
        <v>0</v>
      </c>
      <c r="FR210" s="208">
        <v>0</v>
      </c>
      <c r="FS210" s="208">
        <v>0</v>
      </c>
      <c r="FT210" s="208">
        <v>0</v>
      </c>
      <c r="FU210" s="208">
        <v>-557594</v>
      </c>
      <c r="FV210" s="208">
        <v>0</v>
      </c>
      <c r="FW210" s="208">
        <v>-557594</v>
      </c>
      <c r="FX210" s="208">
        <v>0</v>
      </c>
      <c r="FY210" s="208">
        <v>0</v>
      </c>
      <c r="FZ210" s="208">
        <v>0</v>
      </c>
      <c r="GA210" s="208">
        <v>0</v>
      </c>
      <c r="GB210" s="208">
        <v>0</v>
      </c>
      <c r="GC210" s="208">
        <v>0</v>
      </c>
      <c r="GD210" s="208">
        <v>0</v>
      </c>
      <c r="GE210" s="208">
        <v>0</v>
      </c>
      <c r="GF210" s="208">
        <v>0</v>
      </c>
      <c r="GG210" s="208">
        <v>147005435</v>
      </c>
      <c r="GH210" s="208">
        <v>0</v>
      </c>
      <c r="GI210" s="208">
        <v>147005435</v>
      </c>
      <c r="GJ210" s="208">
        <v>-1263450</v>
      </c>
      <c r="GK210" s="208">
        <v>0</v>
      </c>
      <c r="GL210" s="208">
        <v>-1263450</v>
      </c>
      <c r="GM210" s="208">
        <v>-5431485</v>
      </c>
      <c r="GN210" s="208">
        <v>0</v>
      </c>
      <c r="GO210" s="208">
        <v>-5431485</v>
      </c>
      <c r="GP210" s="208">
        <v>-5468387</v>
      </c>
      <c r="GQ210" s="208">
        <v>0</v>
      </c>
      <c r="GR210" s="208">
        <v>-5468387</v>
      </c>
      <c r="GS210" s="208">
        <v>0</v>
      </c>
      <c r="GT210" s="208">
        <v>0</v>
      </c>
      <c r="GU210" s="208">
        <v>0</v>
      </c>
      <c r="GV210" s="208">
        <v>-557594</v>
      </c>
      <c r="GW210" s="208">
        <v>0</v>
      </c>
      <c r="GX210" s="208">
        <v>-557594</v>
      </c>
      <c r="GY210" s="208">
        <v>0</v>
      </c>
      <c r="GZ210" s="208">
        <v>0</v>
      </c>
      <c r="HA210" s="208">
        <v>0</v>
      </c>
      <c r="HB210" s="208">
        <v>-12720916</v>
      </c>
      <c r="HC210" s="208">
        <v>0</v>
      </c>
      <c r="HD210" s="208">
        <v>-12720916</v>
      </c>
      <c r="HE210" s="208">
        <v>134284519</v>
      </c>
      <c r="HF210" s="208">
        <v>0</v>
      </c>
      <c r="HG210" s="208">
        <v>134284519</v>
      </c>
      <c r="HH210" s="187" t="s">
        <v>742</v>
      </c>
    </row>
    <row r="211" spans="1:216" s="187" customFormat="1" x14ac:dyDescent="0.2">
      <c r="B211" s="429" t="s">
        <v>499</v>
      </c>
      <c r="C211" s="429" t="s">
        <v>498</v>
      </c>
      <c r="D211" s="208">
        <v>-3514041</v>
      </c>
      <c r="E211" s="208">
        <v>0</v>
      </c>
      <c r="F211" s="208">
        <v>-3514041</v>
      </c>
      <c r="G211" s="208">
        <v>1406</v>
      </c>
      <c r="H211" s="208">
        <v>0</v>
      </c>
      <c r="I211" s="208">
        <v>1406</v>
      </c>
      <c r="J211" s="208">
        <v>832285</v>
      </c>
      <c r="K211" s="208">
        <v>0</v>
      </c>
      <c r="L211" s="208">
        <v>832285</v>
      </c>
      <c r="M211" s="208">
        <v>107727</v>
      </c>
      <c r="N211" s="208">
        <v>0</v>
      </c>
      <c r="O211" s="208">
        <v>107727</v>
      </c>
      <c r="P211" s="208">
        <v>-2572623</v>
      </c>
      <c r="Q211" s="208">
        <v>0</v>
      </c>
      <c r="R211" s="208">
        <v>-2572623</v>
      </c>
      <c r="S211" s="208">
        <v>-6766855</v>
      </c>
      <c r="T211" s="208">
        <v>0</v>
      </c>
      <c r="U211" s="208">
        <v>-6766855</v>
      </c>
      <c r="V211" s="208">
        <v>-24676</v>
      </c>
      <c r="W211" s="208">
        <v>0</v>
      </c>
      <c r="X211" s="208">
        <v>-24676</v>
      </c>
      <c r="Y211" s="208">
        <v>-479849</v>
      </c>
      <c r="Z211" s="208">
        <v>0</v>
      </c>
      <c r="AA211" s="208">
        <v>-479849</v>
      </c>
      <c r="AB211" s="208">
        <v>-165905</v>
      </c>
      <c r="AC211" s="208">
        <v>0</v>
      </c>
      <c r="AD211" s="208">
        <v>-165905</v>
      </c>
      <c r="AE211" s="208">
        <v>-307604</v>
      </c>
      <c r="AF211" s="208">
        <v>0</v>
      </c>
      <c r="AG211" s="208">
        <v>-307604</v>
      </c>
      <c r="AH211" s="208">
        <v>-1918</v>
      </c>
      <c r="AI211" s="208">
        <v>0</v>
      </c>
      <c r="AJ211" s="208">
        <v>-1918</v>
      </c>
      <c r="AK211" s="208">
        <v>-2692.94</v>
      </c>
      <c r="AL211" s="208">
        <v>0</v>
      </c>
      <c r="AM211" s="208">
        <v>-2692.94</v>
      </c>
      <c r="AN211" s="208">
        <v>1148322</v>
      </c>
      <c r="AO211" s="208">
        <v>0</v>
      </c>
      <c r="AP211" s="208">
        <v>1148322</v>
      </c>
      <c r="AQ211" s="208">
        <v>19558</v>
      </c>
      <c r="AR211" s="208">
        <v>0</v>
      </c>
      <c r="AS211" s="208">
        <v>19558</v>
      </c>
      <c r="AT211" s="208">
        <v>-5420312</v>
      </c>
      <c r="AU211" s="208">
        <v>0</v>
      </c>
      <c r="AV211" s="208">
        <v>-5420312</v>
      </c>
      <c r="AW211" s="208">
        <v>-134720</v>
      </c>
      <c r="AX211" s="208">
        <v>0</v>
      </c>
      <c r="AY211" s="208">
        <v>-134720</v>
      </c>
      <c r="AZ211" s="208">
        <v>-131421</v>
      </c>
      <c r="BA211" s="208">
        <v>0</v>
      </c>
      <c r="BB211" s="208">
        <v>-131421</v>
      </c>
      <c r="BC211" s="208">
        <v>0</v>
      </c>
      <c r="BD211" s="208">
        <v>0</v>
      </c>
      <c r="BE211" s="208">
        <v>0</v>
      </c>
      <c r="BF211" s="208">
        <v>0</v>
      </c>
      <c r="BG211" s="208">
        <v>0</v>
      </c>
      <c r="BH211" s="208">
        <v>0</v>
      </c>
      <c r="BI211" s="208">
        <v>0</v>
      </c>
      <c r="BJ211" s="208">
        <v>0</v>
      </c>
      <c r="BK211" s="208">
        <v>0</v>
      </c>
      <c r="BL211" s="208">
        <v>-11765277</v>
      </c>
      <c r="BM211" s="208">
        <v>0</v>
      </c>
      <c r="BN211" s="208">
        <v>-11765277</v>
      </c>
      <c r="BO211" s="208">
        <v>-3384</v>
      </c>
      <c r="BP211" s="208">
        <v>0</v>
      </c>
      <c r="BQ211" s="208">
        <v>-3384</v>
      </c>
      <c r="BR211" s="208">
        <v>0</v>
      </c>
      <c r="BS211" s="208">
        <v>0</v>
      </c>
      <c r="BT211" s="208">
        <v>0</v>
      </c>
      <c r="BU211" s="208">
        <v>-1822825</v>
      </c>
      <c r="BV211" s="208">
        <v>0</v>
      </c>
      <c r="BW211" s="208">
        <v>-1822825</v>
      </c>
      <c r="BX211" s="208">
        <v>-188438</v>
      </c>
      <c r="BY211" s="208">
        <v>0</v>
      </c>
      <c r="BZ211" s="208">
        <v>-188438</v>
      </c>
      <c r="CA211" s="208">
        <v>-2014647</v>
      </c>
      <c r="CB211" s="208">
        <v>0</v>
      </c>
      <c r="CC211" s="208">
        <v>-2014647</v>
      </c>
      <c r="CD211" s="208">
        <v>-143916</v>
      </c>
      <c r="CE211" s="208">
        <v>0</v>
      </c>
      <c r="CF211" s="208">
        <v>-143916</v>
      </c>
      <c r="CG211" s="208">
        <v>0</v>
      </c>
      <c r="CH211" s="208">
        <v>0</v>
      </c>
      <c r="CI211" s="208">
        <v>0</v>
      </c>
      <c r="CJ211" s="208">
        <v>-13600</v>
      </c>
      <c r="CK211" s="208">
        <v>0</v>
      </c>
      <c r="CL211" s="208">
        <v>-13600</v>
      </c>
      <c r="CM211" s="208">
        <v>0</v>
      </c>
      <c r="CN211" s="208">
        <v>0</v>
      </c>
      <c r="CO211" s="208">
        <v>0</v>
      </c>
      <c r="CP211" s="208">
        <v>0</v>
      </c>
      <c r="CQ211" s="208">
        <v>0</v>
      </c>
      <c r="CR211" s="208">
        <v>0</v>
      </c>
      <c r="CS211" s="208">
        <v>0</v>
      </c>
      <c r="CT211" s="208">
        <v>0</v>
      </c>
      <c r="CU211" s="208">
        <v>0</v>
      </c>
      <c r="CV211" s="208">
        <v>0</v>
      </c>
      <c r="CW211" s="208">
        <v>0</v>
      </c>
      <c r="CX211" s="208">
        <v>0</v>
      </c>
      <c r="CY211" s="208">
        <v>0</v>
      </c>
      <c r="CZ211" s="208">
        <v>0</v>
      </c>
      <c r="DA211" s="208">
        <v>0</v>
      </c>
      <c r="DB211" s="208">
        <v>0</v>
      </c>
      <c r="DC211" s="208">
        <v>0</v>
      </c>
      <c r="DD211" s="208">
        <v>0</v>
      </c>
      <c r="DE211" s="208">
        <v>0</v>
      </c>
      <c r="DF211" s="208">
        <v>0</v>
      </c>
      <c r="DG211" s="208">
        <v>0</v>
      </c>
      <c r="DH211" s="208">
        <v>0</v>
      </c>
      <c r="DI211" s="208">
        <v>0</v>
      </c>
      <c r="DJ211" s="208">
        <v>0</v>
      </c>
      <c r="DK211" s="208">
        <v>0</v>
      </c>
      <c r="DL211" s="208">
        <v>0</v>
      </c>
      <c r="DM211" s="208">
        <v>0</v>
      </c>
      <c r="DN211" s="208">
        <v>0</v>
      </c>
      <c r="DO211" s="208">
        <v>0</v>
      </c>
      <c r="DP211" s="208">
        <v>-157516</v>
      </c>
      <c r="DQ211" s="208">
        <v>0</v>
      </c>
      <c r="DR211" s="208">
        <v>-157516</v>
      </c>
      <c r="DS211" s="208">
        <v>0</v>
      </c>
      <c r="DT211" s="208">
        <v>0</v>
      </c>
      <c r="DU211" s="208">
        <v>0</v>
      </c>
      <c r="DV211" s="208">
        <v>-3346</v>
      </c>
      <c r="DW211" s="208">
        <v>0</v>
      </c>
      <c r="DX211" s="208">
        <v>-3346</v>
      </c>
      <c r="DY211" s="208">
        <v>5709</v>
      </c>
      <c r="DZ211" s="208">
        <v>0</v>
      </c>
      <c r="EA211" s="208">
        <v>5709</v>
      </c>
      <c r="EB211" s="208">
        <v>0</v>
      </c>
      <c r="EC211" s="208">
        <v>0</v>
      </c>
      <c r="ED211" s="208">
        <v>0</v>
      </c>
      <c r="EE211" s="208">
        <v>0</v>
      </c>
      <c r="EF211" s="208">
        <v>0</v>
      </c>
      <c r="EG211" s="208">
        <v>0</v>
      </c>
      <c r="EH211" s="208">
        <v>0</v>
      </c>
      <c r="EI211" s="208">
        <v>0</v>
      </c>
      <c r="EJ211" s="208">
        <v>0</v>
      </c>
      <c r="EK211" s="208">
        <v>0</v>
      </c>
      <c r="EL211" s="208">
        <v>0</v>
      </c>
      <c r="EM211" s="208">
        <v>0</v>
      </c>
      <c r="EN211" s="208">
        <v>0</v>
      </c>
      <c r="EO211" s="208">
        <v>0</v>
      </c>
      <c r="EP211" s="208">
        <v>0</v>
      </c>
      <c r="EQ211" s="208">
        <v>0</v>
      </c>
      <c r="ER211" s="208">
        <v>0</v>
      </c>
      <c r="ES211" s="208">
        <v>0</v>
      </c>
      <c r="ET211" s="208">
        <v>0</v>
      </c>
      <c r="EU211" s="208">
        <v>0</v>
      </c>
      <c r="EV211" s="208">
        <v>0</v>
      </c>
      <c r="EW211" s="208">
        <v>-135806</v>
      </c>
      <c r="EX211" s="208">
        <v>0</v>
      </c>
      <c r="EY211" s="208">
        <v>-135806</v>
      </c>
      <c r="EZ211" s="208">
        <v>9276</v>
      </c>
      <c r="FA211" s="208">
        <v>0</v>
      </c>
      <c r="FB211" s="208">
        <v>9276</v>
      </c>
      <c r="FC211" s="208">
        <v>-438164</v>
      </c>
      <c r="FD211" s="208">
        <v>0</v>
      </c>
      <c r="FE211" s="208">
        <v>-438164</v>
      </c>
      <c r="FF211" s="208">
        <v>78653</v>
      </c>
      <c r="FG211" s="208">
        <v>0</v>
      </c>
      <c r="FH211" s="208">
        <v>78653</v>
      </c>
      <c r="FI211" s="208">
        <v>-19964</v>
      </c>
      <c r="FJ211" s="208">
        <v>0</v>
      </c>
      <c r="FK211" s="208">
        <v>-19964</v>
      </c>
      <c r="FL211" s="208">
        <v>1000</v>
      </c>
      <c r="FM211" s="208">
        <v>0</v>
      </c>
      <c r="FN211" s="208">
        <v>1000</v>
      </c>
      <c r="FO211" s="208">
        <v>0</v>
      </c>
      <c r="FP211" s="208">
        <v>0</v>
      </c>
      <c r="FQ211" s="208">
        <v>0</v>
      </c>
      <c r="FR211" s="208">
        <v>0</v>
      </c>
      <c r="FS211" s="208">
        <v>0</v>
      </c>
      <c r="FT211" s="208">
        <v>0</v>
      </c>
      <c r="FU211" s="208">
        <v>-502642</v>
      </c>
      <c r="FV211" s="208">
        <v>0</v>
      </c>
      <c r="FW211" s="208">
        <v>-502642</v>
      </c>
      <c r="FX211" s="208">
        <v>0</v>
      </c>
      <c r="FY211" s="208">
        <v>0</v>
      </c>
      <c r="FZ211" s="208">
        <v>0</v>
      </c>
      <c r="GA211" s="208">
        <v>0</v>
      </c>
      <c r="GB211" s="208">
        <v>0</v>
      </c>
      <c r="GC211" s="208">
        <v>0</v>
      </c>
      <c r="GD211" s="208">
        <v>0</v>
      </c>
      <c r="GE211" s="208">
        <v>0</v>
      </c>
      <c r="GF211" s="208">
        <v>0</v>
      </c>
      <c r="GG211" s="208">
        <v>72297607</v>
      </c>
      <c r="GH211" s="208">
        <v>0</v>
      </c>
      <c r="GI211" s="208">
        <v>72297607</v>
      </c>
      <c r="GJ211" s="208">
        <v>-2572623</v>
      </c>
      <c r="GK211" s="208">
        <v>0</v>
      </c>
      <c r="GL211" s="208">
        <v>-2572623</v>
      </c>
      <c r="GM211" s="208">
        <v>-11765277</v>
      </c>
      <c r="GN211" s="208">
        <v>0</v>
      </c>
      <c r="GO211" s="208">
        <v>-11765277</v>
      </c>
      <c r="GP211" s="208">
        <v>-2014647</v>
      </c>
      <c r="GQ211" s="208">
        <v>0</v>
      </c>
      <c r="GR211" s="208">
        <v>-2014647</v>
      </c>
      <c r="GS211" s="208">
        <v>-157516</v>
      </c>
      <c r="GT211" s="208">
        <v>0</v>
      </c>
      <c r="GU211" s="208">
        <v>-157516</v>
      </c>
      <c r="GV211" s="208">
        <v>-502642</v>
      </c>
      <c r="GW211" s="208">
        <v>0</v>
      </c>
      <c r="GX211" s="208">
        <v>-502642</v>
      </c>
      <c r="GY211" s="208">
        <v>0</v>
      </c>
      <c r="GZ211" s="208">
        <v>0</v>
      </c>
      <c r="HA211" s="208">
        <v>0</v>
      </c>
      <c r="HB211" s="208">
        <v>-17012705</v>
      </c>
      <c r="HC211" s="208">
        <v>0</v>
      </c>
      <c r="HD211" s="208">
        <v>-17012705</v>
      </c>
      <c r="HE211" s="208">
        <v>55284902</v>
      </c>
      <c r="HF211" s="208">
        <v>0</v>
      </c>
      <c r="HG211" s="208">
        <v>55284902</v>
      </c>
      <c r="HH211" s="187" t="s">
        <v>1055</v>
      </c>
    </row>
    <row r="212" spans="1:216" s="187" customFormat="1" x14ac:dyDescent="0.2">
      <c r="B212" s="429" t="s">
        <v>501</v>
      </c>
      <c r="C212" s="429" t="s">
        <v>500</v>
      </c>
      <c r="D212" s="208">
        <v>-735648</v>
      </c>
      <c r="E212" s="208">
        <v>0</v>
      </c>
      <c r="F212" s="208">
        <v>-735648</v>
      </c>
      <c r="G212" s="208">
        <v>14602</v>
      </c>
      <c r="H212" s="208">
        <v>0</v>
      </c>
      <c r="I212" s="208">
        <v>14602</v>
      </c>
      <c r="J212" s="208">
        <v>2175721</v>
      </c>
      <c r="K212" s="208">
        <v>93945</v>
      </c>
      <c r="L212" s="208">
        <v>2269666</v>
      </c>
      <c r="M212" s="208">
        <v>231720</v>
      </c>
      <c r="N212" s="208">
        <v>278</v>
      </c>
      <c r="O212" s="208">
        <v>231998</v>
      </c>
      <c r="P212" s="208">
        <v>1686395</v>
      </c>
      <c r="Q212" s="208">
        <v>94223</v>
      </c>
      <c r="R212" s="208">
        <v>1780618</v>
      </c>
      <c r="S212" s="208">
        <v>-3844754</v>
      </c>
      <c r="T212" s="208">
        <v>0</v>
      </c>
      <c r="U212" s="208">
        <v>-3844754</v>
      </c>
      <c r="V212" s="208">
        <v>0</v>
      </c>
      <c r="W212" s="208">
        <v>0</v>
      </c>
      <c r="X212" s="208">
        <v>0</v>
      </c>
      <c r="Y212" s="208">
        <v>-120853</v>
      </c>
      <c r="Z212" s="208">
        <v>0</v>
      </c>
      <c r="AA212" s="208">
        <v>-120853</v>
      </c>
      <c r="AB212" s="208">
        <v>-23623</v>
      </c>
      <c r="AC212" s="208">
        <v>0</v>
      </c>
      <c r="AD212" s="208">
        <v>-23623</v>
      </c>
      <c r="AE212" s="208">
        <v>-97230</v>
      </c>
      <c r="AF212" s="208">
        <v>0</v>
      </c>
      <c r="AG212" s="208">
        <v>-97230</v>
      </c>
      <c r="AH212" s="208">
        <v>0</v>
      </c>
      <c r="AI212" s="208">
        <v>0</v>
      </c>
      <c r="AJ212" s="208">
        <v>0</v>
      </c>
      <c r="AK212" s="208">
        <v>0</v>
      </c>
      <c r="AL212" s="208">
        <v>0</v>
      </c>
      <c r="AM212" s="208">
        <v>0</v>
      </c>
      <c r="AN212" s="208">
        <v>887458</v>
      </c>
      <c r="AO212" s="208">
        <v>45955</v>
      </c>
      <c r="AP212" s="208">
        <v>933413</v>
      </c>
      <c r="AQ212" s="208">
        <v>-6147</v>
      </c>
      <c r="AR212" s="208">
        <v>0</v>
      </c>
      <c r="AS212" s="208">
        <v>-6147</v>
      </c>
      <c r="AT212" s="208">
        <v>-3574990</v>
      </c>
      <c r="AU212" s="208">
        <v>-21916</v>
      </c>
      <c r="AV212" s="208">
        <v>-3596906</v>
      </c>
      <c r="AW212" s="208">
        <v>-113550</v>
      </c>
      <c r="AX212" s="208">
        <v>0</v>
      </c>
      <c r="AY212" s="208">
        <v>-113550</v>
      </c>
      <c r="AZ212" s="208">
        <v>-57677</v>
      </c>
      <c r="BA212" s="208">
        <v>0</v>
      </c>
      <c r="BB212" s="208">
        <v>-57677</v>
      </c>
      <c r="BC212" s="208">
        <v>-690</v>
      </c>
      <c r="BD212" s="208">
        <v>0</v>
      </c>
      <c r="BE212" s="208">
        <v>-690</v>
      </c>
      <c r="BF212" s="208">
        <v>-2702</v>
      </c>
      <c r="BG212" s="208">
        <v>0</v>
      </c>
      <c r="BH212" s="208">
        <v>-2702</v>
      </c>
      <c r="BI212" s="208">
        <v>0</v>
      </c>
      <c r="BJ212" s="208">
        <v>0</v>
      </c>
      <c r="BK212" s="208">
        <v>0</v>
      </c>
      <c r="BL212" s="208">
        <v>-6833905</v>
      </c>
      <c r="BM212" s="208">
        <v>24039</v>
      </c>
      <c r="BN212" s="208">
        <v>-6809866</v>
      </c>
      <c r="BO212" s="208">
        <v>0</v>
      </c>
      <c r="BP212" s="208">
        <v>0</v>
      </c>
      <c r="BQ212" s="208">
        <v>0</v>
      </c>
      <c r="BR212" s="208">
        <v>0</v>
      </c>
      <c r="BS212" s="208">
        <v>0</v>
      </c>
      <c r="BT212" s="208">
        <v>0</v>
      </c>
      <c r="BU212" s="208">
        <v>-1003679</v>
      </c>
      <c r="BV212" s="208">
        <v>0</v>
      </c>
      <c r="BW212" s="208">
        <v>-1003679</v>
      </c>
      <c r="BX212" s="208">
        <v>-6342</v>
      </c>
      <c r="BY212" s="208">
        <v>0</v>
      </c>
      <c r="BZ212" s="208">
        <v>-6342</v>
      </c>
      <c r="CA212" s="208">
        <v>-1010021</v>
      </c>
      <c r="CB212" s="208">
        <v>0</v>
      </c>
      <c r="CC212" s="208">
        <v>-1010021</v>
      </c>
      <c r="CD212" s="208">
        <v>-118428</v>
      </c>
      <c r="CE212" s="208">
        <v>0</v>
      </c>
      <c r="CF212" s="208">
        <v>-118428</v>
      </c>
      <c r="CG212" s="208">
        <v>53</v>
      </c>
      <c r="CH212" s="208">
        <v>0</v>
      </c>
      <c r="CI212" s="208">
        <v>53</v>
      </c>
      <c r="CJ212" s="208">
        <v>-142390</v>
      </c>
      <c r="CK212" s="208">
        <v>0</v>
      </c>
      <c r="CL212" s="208">
        <v>-142390</v>
      </c>
      <c r="CM212" s="208">
        <v>3695</v>
      </c>
      <c r="CN212" s="208">
        <v>0</v>
      </c>
      <c r="CO212" s="208">
        <v>3695</v>
      </c>
      <c r="CP212" s="208">
        <v>0</v>
      </c>
      <c r="CQ212" s="208">
        <v>0</v>
      </c>
      <c r="CR212" s="208">
        <v>0</v>
      </c>
      <c r="CS212" s="208">
        <v>0</v>
      </c>
      <c r="CT212" s="208">
        <v>0</v>
      </c>
      <c r="CU212" s="208">
        <v>0</v>
      </c>
      <c r="CV212" s="208">
        <v>-2326</v>
      </c>
      <c r="CW212" s="208">
        <v>0</v>
      </c>
      <c r="CX212" s="208">
        <v>-2326</v>
      </c>
      <c r="CY212" s="208">
        <v>394</v>
      </c>
      <c r="CZ212" s="208">
        <v>0</v>
      </c>
      <c r="DA212" s="208">
        <v>394</v>
      </c>
      <c r="DB212" s="208">
        <v>0</v>
      </c>
      <c r="DC212" s="208">
        <v>0</v>
      </c>
      <c r="DD212" s="208">
        <v>0</v>
      </c>
      <c r="DE212" s="208">
        <v>0</v>
      </c>
      <c r="DF212" s="208">
        <v>0</v>
      </c>
      <c r="DG212" s="208">
        <v>0</v>
      </c>
      <c r="DH212" s="208">
        <v>0</v>
      </c>
      <c r="DI212" s="208">
        <v>0</v>
      </c>
      <c r="DJ212" s="208">
        <v>0</v>
      </c>
      <c r="DK212" s="208">
        <v>0</v>
      </c>
      <c r="DL212" s="208">
        <v>0</v>
      </c>
      <c r="DM212" s="208">
        <v>0</v>
      </c>
      <c r="DN212" s="208">
        <v>0</v>
      </c>
      <c r="DO212" s="208">
        <v>0</v>
      </c>
      <c r="DP212" s="208">
        <v>-259002</v>
      </c>
      <c r="DQ212" s="208">
        <v>0</v>
      </c>
      <c r="DR212" s="208">
        <v>-259002</v>
      </c>
      <c r="DS212" s="208">
        <v>0</v>
      </c>
      <c r="DT212" s="208">
        <v>0</v>
      </c>
      <c r="DU212" s="208">
        <v>0</v>
      </c>
      <c r="DV212" s="208">
        <v>0</v>
      </c>
      <c r="DW212" s="208">
        <v>0</v>
      </c>
      <c r="DX212" s="208">
        <v>0</v>
      </c>
      <c r="DY212" s="208">
        <v>0</v>
      </c>
      <c r="DZ212" s="208">
        <v>0</v>
      </c>
      <c r="EA212" s="208">
        <v>0</v>
      </c>
      <c r="EB212" s="208">
        <v>0</v>
      </c>
      <c r="EC212" s="208">
        <v>0</v>
      </c>
      <c r="ED212" s="208">
        <v>0</v>
      </c>
      <c r="EE212" s="208">
        <v>0</v>
      </c>
      <c r="EF212" s="208">
        <v>0</v>
      </c>
      <c r="EG212" s="208">
        <v>0</v>
      </c>
      <c r="EH212" s="208">
        <v>0</v>
      </c>
      <c r="EI212" s="208">
        <v>0</v>
      </c>
      <c r="EJ212" s="208">
        <v>0</v>
      </c>
      <c r="EK212" s="208">
        <v>0</v>
      </c>
      <c r="EL212" s="208">
        <v>0</v>
      </c>
      <c r="EM212" s="208">
        <v>0</v>
      </c>
      <c r="EN212" s="208">
        <v>-238</v>
      </c>
      <c r="EO212" s="208">
        <v>0</v>
      </c>
      <c r="EP212" s="208">
        <v>-238</v>
      </c>
      <c r="EQ212" s="208">
        <v>0</v>
      </c>
      <c r="ER212" s="208">
        <v>0</v>
      </c>
      <c r="ES212" s="208">
        <v>0</v>
      </c>
      <c r="ET212" s="208">
        <v>0</v>
      </c>
      <c r="EU212" s="208">
        <v>0</v>
      </c>
      <c r="EV212" s="208">
        <v>0</v>
      </c>
      <c r="EW212" s="208">
        <v>-11405</v>
      </c>
      <c r="EX212" s="208">
        <v>0</v>
      </c>
      <c r="EY212" s="208">
        <v>-11405</v>
      </c>
      <c r="EZ212" s="208">
        <v>0</v>
      </c>
      <c r="FA212" s="208">
        <v>0</v>
      </c>
      <c r="FB212" s="208">
        <v>0</v>
      </c>
      <c r="FC212" s="208">
        <v>-87683</v>
      </c>
      <c r="FD212" s="208">
        <v>0</v>
      </c>
      <c r="FE212" s="208">
        <v>-87683</v>
      </c>
      <c r="FF212" s="208">
        <v>1890</v>
      </c>
      <c r="FG212" s="208">
        <v>0</v>
      </c>
      <c r="FH212" s="208">
        <v>1890</v>
      </c>
      <c r="FI212" s="208">
        <v>-34467</v>
      </c>
      <c r="FJ212" s="208">
        <v>0</v>
      </c>
      <c r="FK212" s="208">
        <v>-34467</v>
      </c>
      <c r="FL212" s="208">
        <v>-2279</v>
      </c>
      <c r="FM212" s="208">
        <v>0</v>
      </c>
      <c r="FN212" s="208">
        <v>-2279</v>
      </c>
      <c r="FO212" s="208">
        <v>0</v>
      </c>
      <c r="FP212" s="208">
        <v>0</v>
      </c>
      <c r="FQ212" s="208">
        <v>0</v>
      </c>
      <c r="FR212" s="208">
        <v>0</v>
      </c>
      <c r="FS212" s="208">
        <v>0</v>
      </c>
      <c r="FT212" s="208">
        <v>0</v>
      </c>
      <c r="FU212" s="208">
        <v>-134182</v>
      </c>
      <c r="FV212" s="208">
        <v>0</v>
      </c>
      <c r="FW212" s="208">
        <v>-134182</v>
      </c>
      <c r="FX212" s="208">
        <v>0</v>
      </c>
      <c r="FY212" s="208">
        <v>0</v>
      </c>
      <c r="FZ212" s="208">
        <v>0</v>
      </c>
      <c r="GA212" s="208">
        <v>0</v>
      </c>
      <c r="GB212" s="208">
        <v>0</v>
      </c>
      <c r="GC212" s="208">
        <v>0</v>
      </c>
      <c r="GD212" s="208">
        <v>0</v>
      </c>
      <c r="GE212" s="208">
        <v>0</v>
      </c>
      <c r="GF212" s="208">
        <v>0</v>
      </c>
      <c r="GG212" s="208">
        <v>43502559</v>
      </c>
      <c r="GH212" s="208">
        <v>2031685</v>
      </c>
      <c r="GI212" s="208">
        <v>45534244</v>
      </c>
      <c r="GJ212" s="208">
        <v>1686395</v>
      </c>
      <c r="GK212" s="208">
        <v>94223</v>
      </c>
      <c r="GL212" s="208">
        <v>1780618</v>
      </c>
      <c r="GM212" s="208">
        <v>-6833905</v>
      </c>
      <c r="GN212" s="208">
        <v>24039</v>
      </c>
      <c r="GO212" s="208">
        <v>-6809866</v>
      </c>
      <c r="GP212" s="208">
        <v>-1010021</v>
      </c>
      <c r="GQ212" s="208">
        <v>0</v>
      </c>
      <c r="GR212" s="208">
        <v>-1010021</v>
      </c>
      <c r="GS212" s="208">
        <v>-259002</v>
      </c>
      <c r="GT212" s="208">
        <v>0</v>
      </c>
      <c r="GU212" s="208">
        <v>-259002</v>
      </c>
      <c r="GV212" s="208">
        <v>-134182</v>
      </c>
      <c r="GW212" s="208">
        <v>0</v>
      </c>
      <c r="GX212" s="208">
        <v>-134182</v>
      </c>
      <c r="GY212" s="208">
        <v>0</v>
      </c>
      <c r="GZ212" s="208">
        <v>0</v>
      </c>
      <c r="HA212" s="208">
        <v>0</v>
      </c>
      <c r="HB212" s="208">
        <v>-6550715</v>
      </c>
      <c r="HC212" s="208">
        <v>118262</v>
      </c>
      <c r="HD212" s="208">
        <v>-6432453</v>
      </c>
      <c r="HE212" s="208">
        <v>36951844</v>
      </c>
      <c r="HF212" s="208">
        <v>2149947</v>
      </c>
      <c r="HG212" s="208">
        <v>39101791</v>
      </c>
      <c r="HH212" s="187" t="s">
        <v>742</v>
      </c>
    </row>
    <row r="213" spans="1:216" s="187" customFormat="1" x14ac:dyDescent="0.2">
      <c r="B213" s="429" t="s">
        <v>503</v>
      </c>
      <c r="C213" s="429" t="s">
        <v>502</v>
      </c>
      <c r="D213" s="208">
        <v>-336979</v>
      </c>
      <c r="E213" s="208">
        <v>0</v>
      </c>
      <c r="F213" s="208">
        <v>-336979</v>
      </c>
      <c r="G213" s="208">
        <v>6267</v>
      </c>
      <c r="H213" s="208">
        <v>0</v>
      </c>
      <c r="I213" s="208">
        <v>6267</v>
      </c>
      <c r="J213" s="208">
        <v>1679867</v>
      </c>
      <c r="K213" s="208">
        <v>0</v>
      </c>
      <c r="L213" s="208">
        <v>1679867</v>
      </c>
      <c r="M213" s="208">
        <v>-168406</v>
      </c>
      <c r="N213" s="208">
        <v>0</v>
      </c>
      <c r="O213" s="208">
        <v>-168406</v>
      </c>
      <c r="P213" s="208">
        <v>1180749</v>
      </c>
      <c r="Q213" s="208">
        <v>0</v>
      </c>
      <c r="R213" s="208">
        <v>1180749</v>
      </c>
      <c r="S213" s="208">
        <v>-2645290</v>
      </c>
      <c r="T213" s="208">
        <v>0</v>
      </c>
      <c r="U213" s="208">
        <v>-2645290</v>
      </c>
      <c r="V213" s="208">
        <v>0</v>
      </c>
      <c r="W213" s="208">
        <v>0</v>
      </c>
      <c r="X213" s="208">
        <v>0</v>
      </c>
      <c r="Y213" s="208">
        <v>-175007</v>
      </c>
      <c r="Z213" s="208">
        <v>0</v>
      </c>
      <c r="AA213" s="208">
        <v>-175007</v>
      </c>
      <c r="AB213" s="208">
        <v>-30138</v>
      </c>
      <c r="AC213" s="208">
        <v>0</v>
      </c>
      <c r="AD213" s="208">
        <v>-30138</v>
      </c>
      <c r="AE213" s="208">
        <v>-144869</v>
      </c>
      <c r="AF213" s="208">
        <v>0</v>
      </c>
      <c r="AG213" s="208">
        <v>-144869</v>
      </c>
      <c r="AH213" s="208">
        <v>0</v>
      </c>
      <c r="AI213" s="208">
        <v>0</v>
      </c>
      <c r="AJ213" s="208">
        <v>0</v>
      </c>
      <c r="AK213" s="208">
        <v>0</v>
      </c>
      <c r="AL213" s="208">
        <v>0</v>
      </c>
      <c r="AM213" s="208">
        <v>0</v>
      </c>
      <c r="AN213" s="208">
        <v>751071</v>
      </c>
      <c r="AO213" s="208">
        <v>0</v>
      </c>
      <c r="AP213" s="208">
        <v>751071</v>
      </c>
      <c r="AQ213" s="208">
        <v>-12052</v>
      </c>
      <c r="AR213" s="208">
        <v>0</v>
      </c>
      <c r="AS213" s="208">
        <v>-12052</v>
      </c>
      <c r="AT213" s="208">
        <v>-1343968</v>
      </c>
      <c r="AU213" s="208">
        <v>0</v>
      </c>
      <c r="AV213" s="208">
        <v>-1343968</v>
      </c>
      <c r="AW213" s="208">
        <v>-43658</v>
      </c>
      <c r="AX213" s="208">
        <v>0</v>
      </c>
      <c r="AY213" s="208">
        <v>-43658</v>
      </c>
      <c r="AZ213" s="208">
        <v>-14149</v>
      </c>
      <c r="BA213" s="208">
        <v>0</v>
      </c>
      <c r="BB213" s="208">
        <v>-14149</v>
      </c>
      <c r="BC213" s="208">
        <v>0</v>
      </c>
      <c r="BD213" s="208">
        <v>0</v>
      </c>
      <c r="BE213" s="208">
        <v>0</v>
      </c>
      <c r="BF213" s="208">
        <v>-1627</v>
      </c>
      <c r="BG213" s="208">
        <v>0</v>
      </c>
      <c r="BH213" s="208">
        <v>-1627</v>
      </c>
      <c r="BI213" s="208">
        <v>0</v>
      </c>
      <c r="BJ213" s="208">
        <v>0</v>
      </c>
      <c r="BK213" s="208">
        <v>0</v>
      </c>
      <c r="BL213" s="208">
        <v>-3484680</v>
      </c>
      <c r="BM213" s="208">
        <v>0</v>
      </c>
      <c r="BN213" s="208">
        <v>-3484680</v>
      </c>
      <c r="BO213" s="208">
        <v>0</v>
      </c>
      <c r="BP213" s="208">
        <v>0</v>
      </c>
      <c r="BQ213" s="208">
        <v>0</v>
      </c>
      <c r="BR213" s="208">
        <v>0</v>
      </c>
      <c r="BS213" s="208">
        <v>0</v>
      </c>
      <c r="BT213" s="208">
        <v>0</v>
      </c>
      <c r="BU213" s="208">
        <v>-1172783</v>
      </c>
      <c r="BV213" s="208">
        <v>0</v>
      </c>
      <c r="BW213" s="208">
        <v>-1172783</v>
      </c>
      <c r="BX213" s="208">
        <v>-7593</v>
      </c>
      <c r="BY213" s="208">
        <v>0</v>
      </c>
      <c r="BZ213" s="208">
        <v>-7593</v>
      </c>
      <c r="CA213" s="208">
        <v>-1180376</v>
      </c>
      <c r="CB213" s="208">
        <v>0</v>
      </c>
      <c r="CC213" s="208">
        <v>-1180376</v>
      </c>
      <c r="CD213" s="208">
        <v>-24423</v>
      </c>
      <c r="CE213" s="208">
        <v>0</v>
      </c>
      <c r="CF213" s="208">
        <v>-24423</v>
      </c>
      <c r="CG213" s="208">
        <v>-5</v>
      </c>
      <c r="CH213" s="208">
        <v>0</v>
      </c>
      <c r="CI213" s="208">
        <v>-5</v>
      </c>
      <c r="CJ213" s="208">
        <v>-128124</v>
      </c>
      <c r="CK213" s="208">
        <v>0</v>
      </c>
      <c r="CL213" s="208">
        <v>-128124</v>
      </c>
      <c r="CM213" s="208">
        <v>0</v>
      </c>
      <c r="CN213" s="208">
        <v>0</v>
      </c>
      <c r="CO213" s="208">
        <v>0</v>
      </c>
      <c r="CP213" s="208">
        <v>0</v>
      </c>
      <c r="CQ213" s="208">
        <v>0</v>
      </c>
      <c r="CR213" s="208">
        <v>0</v>
      </c>
      <c r="CS213" s="208">
        <v>0</v>
      </c>
      <c r="CT213" s="208">
        <v>0</v>
      </c>
      <c r="CU213" s="208">
        <v>0</v>
      </c>
      <c r="CV213" s="208">
        <v>0</v>
      </c>
      <c r="CW213" s="208">
        <v>0</v>
      </c>
      <c r="CX213" s="208">
        <v>0</v>
      </c>
      <c r="CY213" s="208">
        <v>0</v>
      </c>
      <c r="CZ213" s="208">
        <v>0</v>
      </c>
      <c r="DA213" s="208">
        <v>0</v>
      </c>
      <c r="DB213" s="208">
        <v>0</v>
      </c>
      <c r="DC213" s="208">
        <v>0</v>
      </c>
      <c r="DD213" s="208">
        <v>0</v>
      </c>
      <c r="DE213" s="208">
        <v>0</v>
      </c>
      <c r="DF213" s="208">
        <v>0</v>
      </c>
      <c r="DG213" s="208">
        <v>0</v>
      </c>
      <c r="DH213" s="208">
        <v>0</v>
      </c>
      <c r="DI213" s="208">
        <v>0</v>
      </c>
      <c r="DJ213" s="208">
        <v>0</v>
      </c>
      <c r="DK213" s="208">
        <v>0</v>
      </c>
      <c r="DL213" s="208">
        <v>0</v>
      </c>
      <c r="DM213" s="208">
        <v>0</v>
      </c>
      <c r="DN213" s="208">
        <v>0</v>
      </c>
      <c r="DO213" s="208">
        <v>0</v>
      </c>
      <c r="DP213" s="208">
        <v>-152552</v>
      </c>
      <c r="DQ213" s="208">
        <v>0</v>
      </c>
      <c r="DR213" s="208">
        <v>-152552</v>
      </c>
      <c r="DS213" s="208">
        <v>-135</v>
      </c>
      <c r="DT213" s="208">
        <v>0</v>
      </c>
      <c r="DU213" s="208">
        <v>-135</v>
      </c>
      <c r="DV213" s="208">
        <v>0</v>
      </c>
      <c r="DW213" s="208">
        <v>0</v>
      </c>
      <c r="DX213" s="208">
        <v>0</v>
      </c>
      <c r="DY213" s="208">
        <v>0</v>
      </c>
      <c r="DZ213" s="208">
        <v>0</v>
      </c>
      <c r="EA213" s="208">
        <v>0</v>
      </c>
      <c r="EB213" s="208">
        <v>0</v>
      </c>
      <c r="EC213" s="208">
        <v>0</v>
      </c>
      <c r="ED213" s="208">
        <v>0</v>
      </c>
      <c r="EE213" s="208">
        <v>0</v>
      </c>
      <c r="EF213" s="208">
        <v>0</v>
      </c>
      <c r="EG213" s="208">
        <v>0</v>
      </c>
      <c r="EH213" s="208">
        <v>0</v>
      </c>
      <c r="EI213" s="208">
        <v>0</v>
      </c>
      <c r="EJ213" s="208">
        <v>0</v>
      </c>
      <c r="EK213" s="208">
        <v>-1627</v>
      </c>
      <c r="EL213" s="208">
        <v>0</v>
      </c>
      <c r="EM213" s="208">
        <v>-1627</v>
      </c>
      <c r="EN213" s="208">
        <v>0</v>
      </c>
      <c r="EO213" s="208">
        <v>0</v>
      </c>
      <c r="EP213" s="208">
        <v>0</v>
      </c>
      <c r="EQ213" s="208">
        <v>-2441</v>
      </c>
      <c r="ER213" s="208">
        <v>0</v>
      </c>
      <c r="ES213" s="208">
        <v>-2441</v>
      </c>
      <c r="ET213" s="208">
        <v>0</v>
      </c>
      <c r="EU213" s="208">
        <v>0</v>
      </c>
      <c r="EV213" s="208">
        <v>0</v>
      </c>
      <c r="EW213" s="208">
        <v>-6880</v>
      </c>
      <c r="EX213" s="208">
        <v>0</v>
      </c>
      <c r="EY213" s="208">
        <v>-6880</v>
      </c>
      <c r="EZ213" s="208">
        <v>123</v>
      </c>
      <c r="FA213" s="208">
        <v>0</v>
      </c>
      <c r="FB213" s="208">
        <v>123</v>
      </c>
      <c r="FC213" s="208">
        <v>-7734</v>
      </c>
      <c r="FD213" s="208">
        <v>0</v>
      </c>
      <c r="FE213" s="208">
        <v>-7734</v>
      </c>
      <c r="FF213" s="208">
        <v>680</v>
      </c>
      <c r="FG213" s="208">
        <v>0</v>
      </c>
      <c r="FH213" s="208">
        <v>680</v>
      </c>
      <c r="FI213" s="208">
        <v>-18644</v>
      </c>
      <c r="FJ213" s="208">
        <v>0</v>
      </c>
      <c r="FK213" s="208">
        <v>-18644</v>
      </c>
      <c r="FL213" s="208">
        <v>1416</v>
      </c>
      <c r="FM213" s="208">
        <v>0</v>
      </c>
      <c r="FN213" s="208">
        <v>1416</v>
      </c>
      <c r="FO213" s="208">
        <v>0</v>
      </c>
      <c r="FP213" s="208">
        <v>0</v>
      </c>
      <c r="FQ213" s="208">
        <v>0</v>
      </c>
      <c r="FR213" s="208">
        <v>0</v>
      </c>
      <c r="FS213" s="208">
        <v>0</v>
      </c>
      <c r="FT213" s="208">
        <v>0</v>
      </c>
      <c r="FU213" s="208">
        <v>-35242</v>
      </c>
      <c r="FV213" s="208">
        <v>0</v>
      </c>
      <c r="FW213" s="208">
        <v>-35242</v>
      </c>
      <c r="FX213" s="208">
        <v>0</v>
      </c>
      <c r="FY213" s="208">
        <v>0</v>
      </c>
      <c r="FZ213" s="208">
        <v>0</v>
      </c>
      <c r="GA213" s="208">
        <v>0</v>
      </c>
      <c r="GB213" s="208">
        <v>0</v>
      </c>
      <c r="GC213" s="208">
        <v>0</v>
      </c>
      <c r="GD213" s="208">
        <v>0</v>
      </c>
      <c r="GE213" s="208">
        <v>0</v>
      </c>
      <c r="GF213" s="208">
        <v>0</v>
      </c>
      <c r="GG213" s="208">
        <v>38471407</v>
      </c>
      <c r="GH213" s="208">
        <v>0</v>
      </c>
      <c r="GI213" s="208">
        <v>38471407</v>
      </c>
      <c r="GJ213" s="208">
        <v>1180749</v>
      </c>
      <c r="GK213" s="208">
        <v>0</v>
      </c>
      <c r="GL213" s="208">
        <v>1180749</v>
      </c>
      <c r="GM213" s="208">
        <v>-3484680</v>
      </c>
      <c r="GN213" s="208">
        <v>0</v>
      </c>
      <c r="GO213" s="208">
        <v>-3484680</v>
      </c>
      <c r="GP213" s="208">
        <v>-1180376</v>
      </c>
      <c r="GQ213" s="208">
        <v>0</v>
      </c>
      <c r="GR213" s="208">
        <v>-1180376</v>
      </c>
      <c r="GS213" s="208">
        <v>-152552</v>
      </c>
      <c r="GT213" s="208">
        <v>0</v>
      </c>
      <c r="GU213" s="208">
        <v>-152552</v>
      </c>
      <c r="GV213" s="208">
        <v>-35242</v>
      </c>
      <c r="GW213" s="208">
        <v>0</v>
      </c>
      <c r="GX213" s="208">
        <v>-35242</v>
      </c>
      <c r="GY213" s="208">
        <v>0</v>
      </c>
      <c r="GZ213" s="208">
        <v>0</v>
      </c>
      <c r="HA213" s="208">
        <v>0</v>
      </c>
      <c r="HB213" s="208">
        <v>-3672101</v>
      </c>
      <c r="HC213" s="208">
        <v>0</v>
      </c>
      <c r="HD213" s="208">
        <v>-3672101</v>
      </c>
      <c r="HE213" s="208">
        <v>34799306</v>
      </c>
      <c r="HF213" s="208">
        <v>0</v>
      </c>
      <c r="HG213" s="208">
        <v>34799306</v>
      </c>
      <c r="HH213" s="187" t="s">
        <v>1054</v>
      </c>
    </row>
    <row r="214" spans="1:216" s="187" customFormat="1" x14ac:dyDescent="0.2">
      <c r="B214" s="429" t="s">
        <v>505</v>
      </c>
      <c r="C214" s="429" t="s">
        <v>504</v>
      </c>
      <c r="D214" s="208">
        <v>-950065</v>
      </c>
      <c r="E214" s="208">
        <v>0</v>
      </c>
      <c r="F214" s="208">
        <v>-950065</v>
      </c>
      <c r="G214" s="208">
        <v>-2007</v>
      </c>
      <c r="H214" s="208">
        <v>0</v>
      </c>
      <c r="I214" s="208">
        <v>-2007</v>
      </c>
      <c r="J214" s="208">
        <v>705244</v>
      </c>
      <c r="K214" s="208">
        <v>0</v>
      </c>
      <c r="L214" s="208">
        <v>705244</v>
      </c>
      <c r="M214" s="208">
        <v>-31107</v>
      </c>
      <c r="N214" s="208">
        <v>0</v>
      </c>
      <c r="O214" s="208">
        <v>-31107</v>
      </c>
      <c r="P214" s="208">
        <v>-277935</v>
      </c>
      <c r="Q214" s="208">
        <v>0</v>
      </c>
      <c r="R214" s="208">
        <v>-277935</v>
      </c>
      <c r="S214" s="208">
        <v>-3386337</v>
      </c>
      <c r="T214" s="208">
        <v>0</v>
      </c>
      <c r="U214" s="208">
        <v>-3386337</v>
      </c>
      <c r="V214" s="208">
        <v>-21122</v>
      </c>
      <c r="W214" s="208">
        <v>0</v>
      </c>
      <c r="X214" s="208">
        <v>-21122</v>
      </c>
      <c r="Y214" s="208">
        <v>-93459</v>
      </c>
      <c r="Z214" s="208">
        <v>0</v>
      </c>
      <c r="AA214" s="208">
        <v>-93459</v>
      </c>
      <c r="AB214" s="208">
        <v>0</v>
      </c>
      <c r="AC214" s="208">
        <v>0</v>
      </c>
      <c r="AD214" s="208">
        <v>0</v>
      </c>
      <c r="AE214" s="208">
        <v>0</v>
      </c>
      <c r="AF214" s="208">
        <v>0</v>
      </c>
      <c r="AG214" s="208">
        <v>0</v>
      </c>
      <c r="AH214" s="208">
        <v>0</v>
      </c>
      <c r="AI214" s="208">
        <v>0</v>
      </c>
      <c r="AJ214" s="208">
        <v>0</v>
      </c>
      <c r="AK214" s="208">
        <v>2117.31</v>
      </c>
      <c r="AL214" s="208">
        <v>0</v>
      </c>
      <c r="AM214" s="208">
        <v>2117.31</v>
      </c>
      <c r="AN214" s="208">
        <v>1136724</v>
      </c>
      <c r="AO214" s="208">
        <v>0</v>
      </c>
      <c r="AP214" s="208">
        <v>1136724</v>
      </c>
      <c r="AQ214" s="208">
        <v>4810</v>
      </c>
      <c r="AR214" s="208">
        <v>0</v>
      </c>
      <c r="AS214" s="208">
        <v>4810</v>
      </c>
      <c r="AT214" s="208">
        <v>-4032692</v>
      </c>
      <c r="AU214" s="208">
        <v>0</v>
      </c>
      <c r="AV214" s="208">
        <v>-4032692</v>
      </c>
      <c r="AW214" s="208">
        <v>15429</v>
      </c>
      <c r="AX214" s="208">
        <v>0</v>
      </c>
      <c r="AY214" s="208">
        <v>15429</v>
      </c>
      <c r="AZ214" s="208">
        <v>-67196</v>
      </c>
      <c r="BA214" s="208">
        <v>0</v>
      </c>
      <c r="BB214" s="208">
        <v>-67196</v>
      </c>
      <c r="BC214" s="208">
        <v>0</v>
      </c>
      <c r="BD214" s="208">
        <v>0</v>
      </c>
      <c r="BE214" s="208">
        <v>0</v>
      </c>
      <c r="BF214" s="208">
        <v>0</v>
      </c>
      <c r="BG214" s="208">
        <v>0</v>
      </c>
      <c r="BH214" s="208">
        <v>0</v>
      </c>
      <c r="BI214" s="208">
        <v>0</v>
      </c>
      <c r="BJ214" s="208">
        <v>0</v>
      </c>
      <c r="BK214" s="208">
        <v>0</v>
      </c>
      <c r="BL214" s="208">
        <v>-6422721</v>
      </c>
      <c r="BM214" s="208">
        <v>0</v>
      </c>
      <c r="BN214" s="208">
        <v>-6422721</v>
      </c>
      <c r="BO214" s="208">
        <v>-246133</v>
      </c>
      <c r="BP214" s="208">
        <v>0</v>
      </c>
      <c r="BQ214" s="208">
        <v>-246133</v>
      </c>
      <c r="BR214" s="208">
        <v>-128160</v>
      </c>
      <c r="BS214" s="208">
        <v>0</v>
      </c>
      <c r="BT214" s="208">
        <v>-128160</v>
      </c>
      <c r="BU214" s="208">
        <v>-2959359</v>
      </c>
      <c r="BV214" s="208">
        <v>0</v>
      </c>
      <c r="BW214" s="208">
        <v>-2959359</v>
      </c>
      <c r="BX214" s="208">
        <v>-272326</v>
      </c>
      <c r="BY214" s="208">
        <v>0</v>
      </c>
      <c r="BZ214" s="208">
        <v>-272326</v>
      </c>
      <c r="CA214" s="208">
        <v>-3605978</v>
      </c>
      <c r="CB214" s="208">
        <v>0</v>
      </c>
      <c r="CC214" s="208">
        <v>-3605978</v>
      </c>
      <c r="CD214" s="208">
        <v>-57168</v>
      </c>
      <c r="CE214" s="208">
        <v>0</v>
      </c>
      <c r="CF214" s="208">
        <v>-57168</v>
      </c>
      <c r="CG214" s="208">
        <v>-3189</v>
      </c>
      <c r="CH214" s="208">
        <v>0</v>
      </c>
      <c r="CI214" s="208">
        <v>-3189</v>
      </c>
      <c r="CJ214" s="208">
        <v>-16127</v>
      </c>
      <c r="CK214" s="208">
        <v>0</v>
      </c>
      <c r="CL214" s="208">
        <v>-16127</v>
      </c>
      <c r="CM214" s="208">
        <v>6914</v>
      </c>
      <c r="CN214" s="208">
        <v>0</v>
      </c>
      <c r="CO214" s="208">
        <v>6914</v>
      </c>
      <c r="CP214" s="208">
        <v>-2006</v>
      </c>
      <c r="CQ214" s="208">
        <v>0</v>
      </c>
      <c r="CR214" s="208">
        <v>-2006</v>
      </c>
      <c r="CS214" s="208">
        <v>0</v>
      </c>
      <c r="CT214" s="208">
        <v>0</v>
      </c>
      <c r="CU214" s="208">
        <v>0</v>
      </c>
      <c r="CV214" s="208">
        <v>0</v>
      </c>
      <c r="CW214" s="208">
        <v>0</v>
      </c>
      <c r="CX214" s="208">
        <v>0</v>
      </c>
      <c r="CY214" s="208">
        <v>0</v>
      </c>
      <c r="CZ214" s="208">
        <v>0</v>
      </c>
      <c r="DA214" s="208">
        <v>0</v>
      </c>
      <c r="DB214" s="208">
        <v>0</v>
      </c>
      <c r="DC214" s="208">
        <v>0</v>
      </c>
      <c r="DD214" s="208">
        <v>0</v>
      </c>
      <c r="DE214" s="208">
        <v>0</v>
      </c>
      <c r="DF214" s="208">
        <v>0</v>
      </c>
      <c r="DG214" s="208">
        <v>0</v>
      </c>
      <c r="DH214" s="208">
        <v>0</v>
      </c>
      <c r="DI214" s="208">
        <v>0</v>
      </c>
      <c r="DJ214" s="208">
        <v>0</v>
      </c>
      <c r="DK214" s="208">
        <v>0</v>
      </c>
      <c r="DL214" s="208">
        <v>0</v>
      </c>
      <c r="DM214" s="208">
        <v>0</v>
      </c>
      <c r="DN214" s="208">
        <v>0</v>
      </c>
      <c r="DO214" s="208">
        <v>0</v>
      </c>
      <c r="DP214" s="208">
        <v>-71576</v>
      </c>
      <c r="DQ214" s="208">
        <v>0</v>
      </c>
      <c r="DR214" s="208">
        <v>-71576</v>
      </c>
      <c r="DS214" s="208">
        <v>-11072</v>
      </c>
      <c r="DT214" s="208">
        <v>0</v>
      </c>
      <c r="DU214" s="208">
        <v>-11072</v>
      </c>
      <c r="DV214" s="208">
        <v>0</v>
      </c>
      <c r="DW214" s="208">
        <v>0</v>
      </c>
      <c r="DX214" s="208">
        <v>0</v>
      </c>
      <c r="DY214" s="208">
        <v>0</v>
      </c>
      <c r="DZ214" s="208">
        <v>0</v>
      </c>
      <c r="EA214" s="208">
        <v>0</v>
      </c>
      <c r="EB214" s="208">
        <v>0</v>
      </c>
      <c r="EC214" s="208">
        <v>0</v>
      </c>
      <c r="ED214" s="208">
        <v>0</v>
      </c>
      <c r="EE214" s="208">
        <v>0</v>
      </c>
      <c r="EF214" s="208">
        <v>0</v>
      </c>
      <c r="EG214" s="208">
        <v>0</v>
      </c>
      <c r="EH214" s="208">
        <v>15</v>
      </c>
      <c r="EI214" s="208">
        <v>0</v>
      </c>
      <c r="EJ214" s="208">
        <v>15</v>
      </c>
      <c r="EK214" s="208">
        <v>0</v>
      </c>
      <c r="EL214" s="208">
        <v>0</v>
      </c>
      <c r="EM214" s="208">
        <v>0</v>
      </c>
      <c r="EN214" s="208">
        <v>0</v>
      </c>
      <c r="EO214" s="208">
        <v>0</v>
      </c>
      <c r="EP214" s="208">
        <v>0</v>
      </c>
      <c r="EQ214" s="208">
        <v>0</v>
      </c>
      <c r="ER214" s="208">
        <v>0</v>
      </c>
      <c r="ES214" s="208">
        <v>0</v>
      </c>
      <c r="ET214" s="208">
        <v>0</v>
      </c>
      <c r="EU214" s="208">
        <v>0</v>
      </c>
      <c r="EV214" s="208">
        <v>0</v>
      </c>
      <c r="EW214" s="208">
        <v>-23682</v>
      </c>
      <c r="EX214" s="208">
        <v>0</v>
      </c>
      <c r="EY214" s="208">
        <v>-23682</v>
      </c>
      <c r="EZ214" s="208">
        <v>0</v>
      </c>
      <c r="FA214" s="208">
        <v>0</v>
      </c>
      <c r="FB214" s="208">
        <v>0</v>
      </c>
      <c r="FC214" s="208">
        <v>-188605</v>
      </c>
      <c r="FD214" s="208">
        <v>0</v>
      </c>
      <c r="FE214" s="208">
        <v>-188605</v>
      </c>
      <c r="FF214" s="208">
        <v>3969</v>
      </c>
      <c r="FG214" s="208">
        <v>0</v>
      </c>
      <c r="FH214" s="208">
        <v>3969</v>
      </c>
      <c r="FI214" s="208">
        <v>-22595</v>
      </c>
      <c r="FJ214" s="208">
        <v>0</v>
      </c>
      <c r="FK214" s="208">
        <v>-22595</v>
      </c>
      <c r="FL214" s="208">
        <v>0</v>
      </c>
      <c r="FM214" s="208">
        <v>0</v>
      </c>
      <c r="FN214" s="208">
        <v>0</v>
      </c>
      <c r="FO214" s="208">
        <v>0</v>
      </c>
      <c r="FP214" s="208">
        <v>0</v>
      </c>
      <c r="FQ214" s="208">
        <v>0</v>
      </c>
      <c r="FR214" s="208">
        <v>0</v>
      </c>
      <c r="FS214" s="208">
        <v>0</v>
      </c>
      <c r="FT214" s="208">
        <v>0</v>
      </c>
      <c r="FU214" s="208">
        <v>-241970</v>
      </c>
      <c r="FV214" s="208">
        <v>0</v>
      </c>
      <c r="FW214" s="208">
        <v>-241970</v>
      </c>
      <c r="FX214" s="208">
        <v>0</v>
      </c>
      <c r="FY214" s="208">
        <v>0</v>
      </c>
      <c r="FZ214" s="208">
        <v>0</v>
      </c>
      <c r="GA214" s="208">
        <v>0</v>
      </c>
      <c r="GB214" s="208">
        <v>0</v>
      </c>
      <c r="GC214" s="208">
        <v>0</v>
      </c>
      <c r="GD214" s="208">
        <v>0</v>
      </c>
      <c r="GE214" s="208">
        <v>0</v>
      </c>
      <c r="GF214" s="208">
        <v>0</v>
      </c>
      <c r="GG214" s="208">
        <v>63802255</v>
      </c>
      <c r="GH214" s="208">
        <v>0</v>
      </c>
      <c r="GI214" s="208">
        <v>63802255</v>
      </c>
      <c r="GJ214" s="208">
        <v>-277935</v>
      </c>
      <c r="GK214" s="208">
        <v>0</v>
      </c>
      <c r="GL214" s="208">
        <v>-277935</v>
      </c>
      <c r="GM214" s="208">
        <v>-6422721</v>
      </c>
      <c r="GN214" s="208">
        <v>0</v>
      </c>
      <c r="GO214" s="208">
        <v>-6422721</v>
      </c>
      <c r="GP214" s="208">
        <v>-3605978</v>
      </c>
      <c r="GQ214" s="208">
        <v>0</v>
      </c>
      <c r="GR214" s="208">
        <v>-3605978</v>
      </c>
      <c r="GS214" s="208">
        <v>-71576</v>
      </c>
      <c r="GT214" s="208">
        <v>0</v>
      </c>
      <c r="GU214" s="208">
        <v>-71576</v>
      </c>
      <c r="GV214" s="208">
        <v>-241970</v>
      </c>
      <c r="GW214" s="208">
        <v>0</v>
      </c>
      <c r="GX214" s="208">
        <v>-241970</v>
      </c>
      <c r="GY214" s="208">
        <v>0</v>
      </c>
      <c r="GZ214" s="208">
        <v>0</v>
      </c>
      <c r="HA214" s="208">
        <v>0</v>
      </c>
      <c r="HB214" s="208">
        <v>-10620180</v>
      </c>
      <c r="HC214" s="208">
        <v>0</v>
      </c>
      <c r="HD214" s="208">
        <v>-10620180</v>
      </c>
      <c r="HE214" s="208">
        <v>53182075</v>
      </c>
      <c r="HF214" s="208">
        <v>0</v>
      </c>
      <c r="HG214" s="208">
        <v>53182075</v>
      </c>
      <c r="HH214" s="187" t="s">
        <v>1054</v>
      </c>
    </row>
    <row r="215" spans="1:216" s="187" customFormat="1" x14ac:dyDescent="0.2">
      <c r="B215" s="429" t="s">
        <v>507</v>
      </c>
      <c r="C215" s="429" t="s">
        <v>506</v>
      </c>
      <c r="D215" s="208">
        <v>-418174</v>
      </c>
      <c r="E215" s="208">
        <v>0</v>
      </c>
      <c r="F215" s="208">
        <v>-418174</v>
      </c>
      <c r="G215" s="208">
        <v>31197</v>
      </c>
      <c r="H215" s="208">
        <v>0</v>
      </c>
      <c r="I215" s="208">
        <v>31197</v>
      </c>
      <c r="J215" s="208">
        <v>195342</v>
      </c>
      <c r="K215" s="208">
        <v>11806</v>
      </c>
      <c r="L215" s="208">
        <v>207148</v>
      </c>
      <c r="M215" s="208">
        <v>-8558</v>
      </c>
      <c r="N215" s="208">
        <v>1016</v>
      </c>
      <c r="O215" s="208">
        <v>-7542</v>
      </c>
      <c r="P215" s="208">
        <v>-200193</v>
      </c>
      <c r="Q215" s="208">
        <v>12822</v>
      </c>
      <c r="R215" s="208">
        <v>-187371</v>
      </c>
      <c r="S215" s="208">
        <v>-3041444</v>
      </c>
      <c r="T215" s="208">
        <v>0</v>
      </c>
      <c r="U215" s="208">
        <v>-3041444</v>
      </c>
      <c r="V215" s="208">
        <v>-9251</v>
      </c>
      <c r="W215" s="208">
        <v>0</v>
      </c>
      <c r="X215" s="208">
        <v>-9251</v>
      </c>
      <c r="Y215" s="208">
        <v>-31770</v>
      </c>
      <c r="Z215" s="208">
        <v>0</v>
      </c>
      <c r="AA215" s="208">
        <v>-31770</v>
      </c>
      <c r="AB215" s="208">
        <v>-7815</v>
      </c>
      <c r="AC215" s="208">
        <v>0</v>
      </c>
      <c r="AD215" s="208">
        <v>-7815</v>
      </c>
      <c r="AE215" s="208">
        <v>-23548</v>
      </c>
      <c r="AF215" s="208">
        <v>0</v>
      </c>
      <c r="AG215" s="208">
        <v>-23548</v>
      </c>
      <c r="AH215" s="208">
        <v>-4485</v>
      </c>
      <c r="AI215" s="208">
        <v>0</v>
      </c>
      <c r="AJ215" s="208">
        <v>-4485</v>
      </c>
      <c r="AK215" s="208">
        <v>-3477</v>
      </c>
      <c r="AL215" s="208">
        <v>0</v>
      </c>
      <c r="AM215" s="208">
        <v>-3477</v>
      </c>
      <c r="AN215" s="208">
        <v>279930</v>
      </c>
      <c r="AO215" s="208">
        <v>56680</v>
      </c>
      <c r="AP215" s="208">
        <v>336610</v>
      </c>
      <c r="AQ215" s="208">
        <v>-4894</v>
      </c>
      <c r="AR215" s="208">
        <v>-336</v>
      </c>
      <c r="AS215" s="208">
        <v>-5230</v>
      </c>
      <c r="AT215" s="208">
        <v>-1073750</v>
      </c>
      <c r="AU215" s="208">
        <v>0</v>
      </c>
      <c r="AV215" s="208">
        <v>-1073750</v>
      </c>
      <c r="AW215" s="208">
        <v>84156</v>
      </c>
      <c r="AX215" s="208">
        <v>0</v>
      </c>
      <c r="AY215" s="208">
        <v>84156</v>
      </c>
      <c r="AZ215" s="208">
        <v>-43177</v>
      </c>
      <c r="BA215" s="208">
        <v>0</v>
      </c>
      <c r="BB215" s="208">
        <v>-43177</v>
      </c>
      <c r="BC215" s="208">
        <v>0</v>
      </c>
      <c r="BD215" s="208">
        <v>0</v>
      </c>
      <c r="BE215" s="208">
        <v>0</v>
      </c>
      <c r="BF215" s="208">
        <v>-20156</v>
      </c>
      <c r="BG215" s="208">
        <v>0</v>
      </c>
      <c r="BH215" s="208">
        <v>-20156</v>
      </c>
      <c r="BI215" s="208">
        <v>507</v>
      </c>
      <c r="BJ215" s="208">
        <v>0</v>
      </c>
      <c r="BK215" s="208">
        <v>507</v>
      </c>
      <c r="BL215" s="208">
        <v>-3850598</v>
      </c>
      <c r="BM215" s="208">
        <v>56344</v>
      </c>
      <c r="BN215" s="208">
        <v>-3794254</v>
      </c>
      <c r="BO215" s="208">
        <v>0</v>
      </c>
      <c r="BP215" s="208">
        <v>0</v>
      </c>
      <c r="BQ215" s="208">
        <v>0</v>
      </c>
      <c r="BR215" s="208">
        <v>0</v>
      </c>
      <c r="BS215" s="208">
        <v>0</v>
      </c>
      <c r="BT215" s="208">
        <v>0</v>
      </c>
      <c r="BU215" s="208">
        <v>-301365</v>
      </c>
      <c r="BV215" s="208">
        <v>0</v>
      </c>
      <c r="BW215" s="208">
        <v>-301365</v>
      </c>
      <c r="BX215" s="208">
        <v>12401</v>
      </c>
      <c r="BY215" s="208">
        <v>0</v>
      </c>
      <c r="BZ215" s="208">
        <v>12401</v>
      </c>
      <c r="CA215" s="208">
        <v>-288964</v>
      </c>
      <c r="CB215" s="208">
        <v>0</v>
      </c>
      <c r="CC215" s="208">
        <v>-288964</v>
      </c>
      <c r="CD215" s="208">
        <v>-31651</v>
      </c>
      <c r="CE215" s="208">
        <v>0</v>
      </c>
      <c r="CF215" s="208">
        <v>-31651</v>
      </c>
      <c r="CG215" s="208">
        <v>-967</v>
      </c>
      <c r="CH215" s="208">
        <v>0</v>
      </c>
      <c r="CI215" s="208">
        <v>-967</v>
      </c>
      <c r="CJ215" s="208">
        <v>-156</v>
      </c>
      <c r="CK215" s="208">
        <v>0</v>
      </c>
      <c r="CL215" s="208">
        <v>-156</v>
      </c>
      <c r="CM215" s="208">
        <v>0</v>
      </c>
      <c r="CN215" s="208">
        <v>0</v>
      </c>
      <c r="CO215" s="208">
        <v>0</v>
      </c>
      <c r="CP215" s="208">
        <v>0</v>
      </c>
      <c r="CQ215" s="208">
        <v>0</v>
      </c>
      <c r="CR215" s="208">
        <v>0</v>
      </c>
      <c r="CS215" s="208">
        <v>0</v>
      </c>
      <c r="CT215" s="208">
        <v>0</v>
      </c>
      <c r="CU215" s="208">
        <v>0</v>
      </c>
      <c r="CV215" s="208">
        <v>0</v>
      </c>
      <c r="CW215" s="208">
        <v>0</v>
      </c>
      <c r="CX215" s="208">
        <v>0</v>
      </c>
      <c r="CY215" s="208">
        <v>0</v>
      </c>
      <c r="CZ215" s="208">
        <v>0</v>
      </c>
      <c r="DA215" s="208">
        <v>0</v>
      </c>
      <c r="DB215" s="208">
        <v>-1920</v>
      </c>
      <c r="DC215" s="208">
        <v>0</v>
      </c>
      <c r="DD215" s="208">
        <v>-1920</v>
      </c>
      <c r="DE215" s="208">
        <v>0</v>
      </c>
      <c r="DF215" s="208">
        <v>0</v>
      </c>
      <c r="DG215" s="208">
        <v>0</v>
      </c>
      <c r="DH215" s="208">
        <v>0</v>
      </c>
      <c r="DI215" s="208">
        <v>0</v>
      </c>
      <c r="DJ215" s="208">
        <v>0</v>
      </c>
      <c r="DK215" s="208">
        <v>-5949</v>
      </c>
      <c r="DL215" s="208">
        <v>0</v>
      </c>
      <c r="DM215" s="208">
        <v>-5949</v>
      </c>
      <c r="DN215" s="208">
        <v>0</v>
      </c>
      <c r="DO215" s="208">
        <v>0</v>
      </c>
      <c r="DP215" s="208">
        <v>-40643</v>
      </c>
      <c r="DQ215" s="208">
        <v>0</v>
      </c>
      <c r="DR215" s="208">
        <v>-40643</v>
      </c>
      <c r="DS215" s="208">
        <v>-44</v>
      </c>
      <c r="DT215" s="208">
        <v>0</v>
      </c>
      <c r="DU215" s="208">
        <v>-44</v>
      </c>
      <c r="DV215" s="208">
        <v>0</v>
      </c>
      <c r="DW215" s="208">
        <v>0</v>
      </c>
      <c r="DX215" s="208">
        <v>0</v>
      </c>
      <c r="DY215" s="208">
        <v>0</v>
      </c>
      <c r="DZ215" s="208">
        <v>0</v>
      </c>
      <c r="EA215" s="208">
        <v>0</v>
      </c>
      <c r="EB215" s="208">
        <v>0</v>
      </c>
      <c r="EC215" s="208">
        <v>0</v>
      </c>
      <c r="ED215" s="208">
        <v>0</v>
      </c>
      <c r="EE215" s="208">
        <v>0</v>
      </c>
      <c r="EF215" s="208">
        <v>0</v>
      </c>
      <c r="EG215" s="208">
        <v>0</v>
      </c>
      <c r="EH215" s="208">
        <v>-262</v>
      </c>
      <c r="EI215" s="208">
        <v>0</v>
      </c>
      <c r="EJ215" s="208">
        <v>-262</v>
      </c>
      <c r="EK215" s="208">
        <v>-20155</v>
      </c>
      <c r="EL215" s="208">
        <v>0</v>
      </c>
      <c r="EM215" s="208">
        <v>-20155</v>
      </c>
      <c r="EN215" s="208">
        <v>505.59000000000015</v>
      </c>
      <c r="EO215" s="208">
        <v>0</v>
      </c>
      <c r="EP215" s="208">
        <v>505.59000000000015</v>
      </c>
      <c r="EQ215" s="208">
        <v>0</v>
      </c>
      <c r="ER215" s="208">
        <v>0</v>
      </c>
      <c r="ES215" s="208">
        <v>0</v>
      </c>
      <c r="ET215" s="208">
        <v>0</v>
      </c>
      <c r="EU215" s="208">
        <v>0</v>
      </c>
      <c r="EV215" s="208">
        <v>0</v>
      </c>
      <c r="EW215" s="208">
        <v>-13831</v>
      </c>
      <c r="EX215" s="208">
        <v>0</v>
      </c>
      <c r="EY215" s="208">
        <v>-13831</v>
      </c>
      <c r="EZ215" s="208">
        <v>-884</v>
      </c>
      <c r="FA215" s="208">
        <v>0</v>
      </c>
      <c r="FB215" s="208">
        <v>-884</v>
      </c>
      <c r="FC215" s="208">
        <v>-45554</v>
      </c>
      <c r="FD215" s="208">
        <v>0</v>
      </c>
      <c r="FE215" s="208">
        <v>-45554</v>
      </c>
      <c r="FF215" s="208">
        <v>-29</v>
      </c>
      <c r="FG215" s="208">
        <v>0</v>
      </c>
      <c r="FH215" s="208">
        <v>-29</v>
      </c>
      <c r="FI215" s="208">
        <v>-44962</v>
      </c>
      <c r="FJ215" s="208">
        <v>0</v>
      </c>
      <c r="FK215" s="208">
        <v>-44962</v>
      </c>
      <c r="FL215" s="208">
        <v>-463</v>
      </c>
      <c r="FM215" s="208">
        <v>0</v>
      </c>
      <c r="FN215" s="208">
        <v>-463</v>
      </c>
      <c r="FO215" s="208">
        <v>0</v>
      </c>
      <c r="FP215" s="208">
        <v>0</v>
      </c>
      <c r="FQ215" s="208">
        <v>0</v>
      </c>
      <c r="FR215" s="208">
        <v>0</v>
      </c>
      <c r="FS215" s="208">
        <v>0</v>
      </c>
      <c r="FT215" s="208">
        <v>0</v>
      </c>
      <c r="FU215" s="208">
        <v>-125678</v>
      </c>
      <c r="FV215" s="208">
        <v>0</v>
      </c>
      <c r="FW215" s="208">
        <v>-125678</v>
      </c>
      <c r="FX215" s="208">
        <v>0</v>
      </c>
      <c r="FY215" s="208">
        <v>0</v>
      </c>
      <c r="FZ215" s="208">
        <v>0</v>
      </c>
      <c r="GA215" s="208">
        <v>0</v>
      </c>
      <c r="GB215" s="208">
        <v>0</v>
      </c>
      <c r="GC215" s="208">
        <v>0</v>
      </c>
      <c r="GD215" s="208">
        <v>0</v>
      </c>
      <c r="GE215" s="208">
        <v>0</v>
      </c>
      <c r="GF215" s="208">
        <v>0</v>
      </c>
      <c r="GG215" s="208">
        <v>17731721</v>
      </c>
      <c r="GH215" s="208">
        <v>2080588</v>
      </c>
      <c r="GI215" s="208">
        <v>19812309</v>
      </c>
      <c r="GJ215" s="208">
        <v>-200193</v>
      </c>
      <c r="GK215" s="208">
        <v>12822</v>
      </c>
      <c r="GL215" s="208">
        <v>-187371</v>
      </c>
      <c r="GM215" s="208">
        <v>-3850598</v>
      </c>
      <c r="GN215" s="208">
        <v>56344</v>
      </c>
      <c r="GO215" s="208">
        <v>-3794254</v>
      </c>
      <c r="GP215" s="208">
        <v>-288964</v>
      </c>
      <c r="GQ215" s="208">
        <v>0</v>
      </c>
      <c r="GR215" s="208">
        <v>-288964</v>
      </c>
      <c r="GS215" s="208">
        <v>-40643</v>
      </c>
      <c r="GT215" s="208">
        <v>0</v>
      </c>
      <c r="GU215" s="208">
        <v>-40643</v>
      </c>
      <c r="GV215" s="208">
        <v>-125678</v>
      </c>
      <c r="GW215" s="208">
        <v>0</v>
      </c>
      <c r="GX215" s="208">
        <v>-125678</v>
      </c>
      <c r="GY215" s="208">
        <v>0</v>
      </c>
      <c r="GZ215" s="208">
        <v>0</v>
      </c>
      <c r="HA215" s="208">
        <v>0</v>
      </c>
      <c r="HB215" s="208">
        <v>-4506076</v>
      </c>
      <c r="HC215" s="208">
        <v>69166</v>
      </c>
      <c r="HD215" s="208">
        <v>-4436910</v>
      </c>
      <c r="HE215" s="208">
        <v>13225645</v>
      </c>
      <c r="HF215" s="208">
        <v>2149754</v>
      </c>
      <c r="HG215" s="208">
        <v>15375399</v>
      </c>
      <c r="HH215" s="187" t="s">
        <v>1054</v>
      </c>
    </row>
    <row r="216" spans="1:216" s="187" customFormat="1" x14ac:dyDescent="0.2">
      <c r="B216" s="429" t="s">
        <v>509</v>
      </c>
      <c r="C216" s="429" t="s">
        <v>508</v>
      </c>
      <c r="D216" s="208">
        <v>-1620004</v>
      </c>
      <c r="E216" s="208">
        <v>0</v>
      </c>
      <c r="F216" s="208">
        <v>-1620004</v>
      </c>
      <c r="G216" s="208">
        <v>-4772</v>
      </c>
      <c r="H216" s="208">
        <v>0</v>
      </c>
      <c r="I216" s="208">
        <v>-4772</v>
      </c>
      <c r="J216" s="208">
        <v>702194</v>
      </c>
      <c r="K216" s="208">
        <v>0</v>
      </c>
      <c r="L216" s="208">
        <v>702194</v>
      </c>
      <c r="M216" s="208">
        <v>-1381</v>
      </c>
      <c r="N216" s="208">
        <v>0</v>
      </c>
      <c r="O216" s="208">
        <v>-1381</v>
      </c>
      <c r="P216" s="208">
        <v>-923963</v>
      </c>
      <c r="Q216" s="208">
        <v>0</v>
      </c>
      <c r="R216" s="208">
        <v>-923963</v>
      </c>
      <c r="S216" s="208">
        <v>-4737272</v>
      </c>
      <c r="T216" s="208">
        <v>0</v>
      </c>
      <c r="U216" s="208">
        <v>-4737272</v>
      </c>
      <c r="V216" s="208">
        <v>0</v>
      </c>
      <c r="W216" s="208">
        <v>0</v>
      </c>
      <c r="X216" s="208">
        <v>0</v>
      </c>
      <c r="Y216" s="208">
        <v>-241356</v>
      </c>
      <c r="Z216" s="208">
        <v>0</v>
      </c>
      <c r="AA216" s="208">
        <v>-241356</v>
      </c>
      <c r="AB216" s="208">
        <v>0</v>
      </c>
      <c r="AC216" s="208">
        <v>0</v>
      </c>
      <c r="AD216" s="208">
        <v>0</v>
      </c>
      <c r="AE216" s="208">
        <v>0</v>
      </c>
      <c r="AF216" s="208">
        <v>0</v>
      </c>
      <c r="AG216" s="208">
        <v>0</v>
      </c>
      <c r="AH216" s="208">
        <v>0</v>
      </c>
      <c r="AI216" s="208">
        <v>0</v>
      </c>
      <c r="AJ216" s="208">
        <v>0</v>
      </c>
      <c r="AK216" s="208">
        <v>0</v>
      </c>
      <c r="AL216" s="208">
        <v>0</v>
      </c>
      <c r="AM216" s="208">
        <v>0</v>
      </c>
      <c r="AN216" s="208">
        <v>2129683</v>
      </c>
      <c r="AO216" s="208">
        <v>0</v>
      </c>
      <c r="AP216" s="208">
        <v>2129683</v>
      </c>
      <c r="AQ216" s="208">
        <v>-20660</v>
      </c>
      <c r="AR216" s="208">
        <v>0</v>
      </c>
      <c r="AS216" s="208">
        <v>-20660</v>
      </c>
      <c r="AT216" s="208">
        <v>-11051991</v>
      </c>
      <c r="AU216" s="208">
        <v>0</v>
      </c>
      <c r="AV216" s="208">
        <v>-11051991</v>
      </c>
      <c r="AW216" s="208">
        <v>13212</v>
      </c>
      <c r="AX216" s="208">
        <v>0</v>
      </c>
      <c r="AY216" s="208">
        <v>13212</v>
      </c>
      <c r="AZ216" s="208">
        <v>-71873</v>
      </c>
      <c r="BA216" s="208">
        <v>0</v>
      </c>
      <c r="BB216" s="208">
        <v>-71873</v>
      </c>
      <c r="BC216" s="208">
        <v>-1113</v>
      </c>
      <c r="BD216" s="208">
        <v>0</v>
      </c>
      <c r="BE216" s="208">
        <v>-1113</v>
      </c>
      <c r="BF216" s="208">
        <v>0</v>
      </c>
      <c r="BG216" s="208">
        <v>0</v>
      </c>
      <c r="BH216" s="208">
        <v>0</v>
      </c>
      <c r="BI216" s="208">
        <v>0</v>
      </c>
      <c r="BJ216" s="208">
        <v>0</v>
      </c>
      <c r="BK216" s="208">
        <v>0</v>
      </c>
      <c r="BL216" s="208">
        <v>-13981370</v>
      </c>
      <c r="BM216" s="208">
        <v>0</v>
      </c>
      <c r="BN216" s="208">
        <v>-13981370</v>
      </c>
      <c r="BO216" s="208">
        <v>0</v>
      </c>
      <c r="BP216" s="208">
        <v>0</v>
      </c>
      <c r="BQ216" s="208">
        <v>0</v>
      </c>
      <c r="BR216" s="208">
        <v>0</v>
      </c>
      <c r="BS216" s="208">
        <v>0</v>
      </c>
      <c r="BT216" s="208">
        <v>0</v>
      </c>
      <c r="BU216" s="208">
        <v>-2241946</v>
      </c>
      <c r="BV216" s="208">
        <v>0</v>
      </c>
      <c r="BW216" s="208">
        <v>-2241946</v>
      </c>
      <c r="BX216" s="208">
        <v>-100429</v>
      </c>
      <c r="BY216" s="208">
        <v>0</v>
      </c>
      <c r="BZ216" s="208">
        <v>-100429</v>
      </c>
      <c r="CA216" s="208">
        <v>-2342375</v>
      </c>
      <c r="CB216" s="208">
        <v>0</v>
      </c>
      <c r="CC216" s="208">
        <v>-2342375</v>
      </c>
      <c r="CD216" s="208">
        <v>-177437</v>
      </c>
      <c r="CE216" s="208">
        <v>0</v>
      </c>
      <c r="CF216" s="208">
        <v>-177437</v>
      </c>
      <c r="CG216" s="208">
        <v>-8215</v>
      </c>
      <c r="CH216" s="208">
        <v>0</v>
      </c>
      <c r="CI216" s="208">
        <v>-8215</v>
      </c>
      <c r="CJ216" s="208">
        <v>-91385</v>
      </c>
      <c r="CK216" s="208">
        <v>0</v>
      </c>
      <c r="CL216" s="208">
        <v>-91385</v>
      </c>
      <c r="CM216" s="208">
        <v>3026</v>
      </c>
      <c r="CN216" s="208">
        <v>0</v>
      </c>
      <c r="CO216" s="208">
        <v>3026</v>
      </c>
      <c r="CP216" s="208">
        <v>-7264</v>
      </c>
      <c r="CQ216" s="208">
        <v>0</v>
      </c>
      <c r="CR216" s="208">
        <v>-7264</v>
      </c>
      <c r="CS216" s="208">
        <v>-278</v>
      </c>
      <c r="CT216" s="208">
        <v>0</v>
      </c>
      <c r="CU216" s="208">
        <v>-278</v>
      </c>
      <c r="CV216" s="208">
        <v>0</v>
      </c>
      <c r="CW216" s="208">
        <v>0</v>
      </c>
      <c r="CX216" s="208">
        <v>0</v>
      </c>
      <c r="CY216" s="208">
        <v>0</v>
      </c>
      <c r="CZ216" s="208">
        <v>0</v>
      </c>
      <c r="DA216" s="208">
        <v>0</v>
      </c>
      <c r="DB216" s="208">
        <v>0</v>
      </c>
      <c r="DC216" s="208">
        <v>0</v>
      </c>
      <c r="DD216" s="208">
        <v>0</v>
      </c>
      <c r="DE216" s="208">
        <v>0</v>
      </c>
      <c r="DF216" s="208">
        <v>0</v>
      </c>
      <c r="DG216" s="208">
        <v>0</v>
      </c>
      <c r="DH216" s="208">
        <v>0</v>
      </c>
      <c r="DI216" s="208">
        <v>0</v>
      </c>
      <c r="DJ216" s="208">
        <v>0</v>
      </c>
      <c r="DK216" s="208">
        <v>0</v>
      </c>
      <c r="DL216" s="208">
        <v>0</v>
      </c>
      <c r="DM216" s="208">
        <v>0</v>
      </c>
      <c r="DN216" s="208">
        <v>0</v>
      </c>
      <c r="DO216" s="208">
        <v>0</v>
      </c>
      <c r="DP216" s="208">
        <v>-281553</v>
      </c>
      <c r="DQ216" s="208">
        <v>0</v>
      </c>
      <c r="DR216" s="208">
        <v>-281553</v>
      </c>
      <c r="DS216" s="208">
        <v>0</v>
      </c>
      <c r="DT216" s="208">
        <v>0</v>
      </c>
      <c r="DU216" s="208">
        <v>0</v>
      </c>
      <c r="DV216" s="208">
        <v>0</v>
      </c>
      <c r="DW216" s="208">
        <v>0</v>
      </c>
      <c r="DX216" s="208">
        <v>0</v>
      </c>
      <c r="DY216" s="208">
        <v>4570</v>
      </c>
      <c r="DZ216" s="208">
        <v>0</v>
      </c>
      <c r="EA216" s="208">
        <v>4570</v>
      </c>
      <c r="EB216" s="208">
        <v>0</v>
      </c>
      <c r="EC216" s="208">
        <v>0</v>
      </c>
      <c r="ED216" s="208">
        <v>0</v>
      </c>
      <c r="EE216" s="208">
        <v>0</v>
      </c>
      <c r="EF216" s="208">
        <v>0</v>
      </c>
      <c r="EG216" s="208">
        <v>0</v>
      </c>
      <c r="EH216" s="208">
        <v>0</v>
      </c>
      <c r="EI216" s="208">
        <v>0</v>
      </c>
      <c r="EJ216" s="208">
        <v>0</v>
      </c>
      <c r="EK216" s="208">
        <v>0</v>
      </c>
      <c r="EL216" s="208">
        <v>0</v>
      </c>
      <c r="EM216" s="208">
        <v>0</v>
      </c>
      <c r="EN216" s="208">
        <v>0</v>
      </c>
      <c r="EO216" s="208">
        <v>0</v>
      </c>
      <c r="EP216" s="208">
        <v>0</v>
      </c>
      <c r="EQ216" s="208">
        <v>0</v>
      </c>
      <c r="ER216" s="208">
        <v>0</v>
      </c>
      <c r="ES216" s="208">
        <v>0</v>
      </c>
      <c r="ET216" s="208">
        <v>0</v>
      </c>
      <c r="EU216" s="208">
        <v>0</v>
      </c>
      <c r="EV216" s="208">
        <v>0</v>
      </c>
      <c r="EW216" s="208">
        <v>-22368</v>
      </c>
      <c r="EX216" s="208">
        <v>0</v>
      </c>
      <c r="EY216" s="208">
        <v>-22368</v>
      </c>
      <c r="EZ216" s="208">
        <v>-807</v>
      </c>
      <c r="FA216" s="208">
        <v>0</v>
      </c>
      <c r="FB216" s="208">
        <v>-807</v>
      </c>
      <c r="FC216" s="208">
        <v>-296931</v>
      </c>
      <c r="FD216" s="208">
        <v>0</v>
      </c>
      <c r="FE216" s="208">
        <v>-296931</v>
      </c>
      <c r="FF216" s="208">
        <v>0</v>
      </c>
      <c r="FG216" s="208">
        <v>0</v>
      </c>
      <c r="FH216" s="208">
        <v>0</v>
      </c>
      <c r="FI216" s="208">
        <v>-43732</v>
      </c>
      <c r="FJ216" s="208">
        <v>0</v>
      </c>
      <c r="FK216" s="208">
        <v>-43732</v>
      </c>
      <c r="FL216" s="208">
        <v>-4858</v>
      </c>
      <c r="FM216" s="208">
        <v>0</v>
      </c>
      <c r="FN216" s="208">
        <v>-4858</v>
      </c>
      <c r="FO216" s="208">
        <v>0</v>
      </c>
      <c r="FP216" s="208">
        <v>0</v>
      </c>
      <c r="FQ216" s="208">
        <v>0</v>
      </c>
      <c r="FR216" s="208">
        <v>0</v>
      </c>
      <c r="FS216" s="208">
        <v>0</v>
      </c>
      <c r="FT216" s="208">
        <v>0</v>
      </c>
      <c r="FU216" s="208">
        <v>-364126</v>
      </c>
      <c r="FV216" s="208">
        <v>0</v>
      </c>
      <c r="FW216" s="208">
        <v>-364126</v>
      </c>
      <c r="FX216" s="208">
        <v>0</v>
      </c>
      <c r="FY216" s="208">
        <v>0</v>
      </c>
      <c r="FZ216" s="208">
        <v>0</v>
      </c>
      <c r="GA216" s="208">
        <v>0</v>
      </c>
      <c r="GB216" s="208">
        <v>0</v>
      </c>
      <c r="GC216" s="208">
        <v>0</v>
      </c>
      <c r="GD216" s="208">
        <v>0</v>
      </c>
      <c r="GE216" s="208">
        <v>0</v>
      </c>
      <c r="GF216" s="208">
        <v>0</v>
      </c>
      <c r="GG216" s="208">
        <v>107371223</v>
      </c>
      <c r="GH216" s="208">
        <v>0</v>
      </c>
      <c r="GI216" s="208">
        <v>107371223</v>
      </c>
      <c r="GJ216" s="208">
        <v>-923963</v>
      </c>
      <c r="GK216" s="208">
        <v>0</v>
      </c>
      <c r="GL216" s="208">
        <v>-923963</v>
      </c>
      <c r="GM216" s="208">
        <v>-13981370</v>
      </c>
      <c r="GN216" s="208">
        <v>0</v>
      </c>
      <c r="GO216" s="208">
        <v>-13981370</v>
      </c>
      <c r="GP216" s="208">
        <v>-2342375</v>
      </c>
      <c r="GQ216" s="208">
        <v>0</v>
      </c>
      <c r="GR216" s="208">
        <v>-2342375</v>
      </c>
      <c r="GS216" s="208">
        <v>-281553</v>
      </c>
      <c r="GT216" s="208">
        <v>0</v>
      </c>
      <c r="GU216" s="208">
        <v>-281553</v>
      </c>
      <c r="GV216" s="208">
        <v>-364126</v>
      </c>
      <c r="GW216" s="208">
        <v>0</v>
      </c>
      <c r="GX216" s="208">
        <v>-364126</v>
      </c>
      <c r="GY216" s="208">
        <v>0</v>
      </c>
      <c r="GZ216" s="208">
        <v>0</v>
      </c>
      <c r="HA216" s="208">
        <v>0</v>
      </c>
      <c r="HB216" s="208">
        <v>-17893387</v>
      </c>
      <c r="HC216" s="208">
        <v>0</v>
      </c>
      <c r="HD216" s="208">
        <v>-17893387</v>
      </c>
      <c r="HE216" s="208">
        <v>89477836</v>
      </c>
      <c r="HF216" s="208">
        <v>0</v>
      </c>
      <c r="HG216" s="208">
        <v>89477836</v>
      </c>
      <c r="HH216" s="187" t="s">
        <v>1055</v>
      </c>
    </row>
    <row r="217" spans="1:216" s="187" customFormat="1" x14ac:dyDescent="0.2">
      <c r="B217" s="429" t="s">
        <v>511</v>
      </c>
      <c r="C217" s="429" t="s">
        <v>510</v>
      </c>
      <c r="D217" s="208">
        <v>-872035</v>
      </c>
      <c r="E217" s="208">
        <v>0</v>
      </c>
      <c r="F217" s="208">
        <v>-872035</v>
      </c>
      <c r="G217" s="208">
        <v>-18300</v>
      </c>
      <c r="H217" s="208">
        <v>0</v>
      </c>
      <c r="I217" s="208">
        <v>-18300</v>
      </c>
      <c r="J217" s="208">
        <v>660458</v>
      </c>
      <c r="K217" s="208">
        <v>0</v>
      </c>
      <c r="L217" s="208">
        <v>660458</v>
      </c>
      <c r="M217" s="208">
        <v>11986</v>
      </c>
      <c r="N217" s="208">
        <v>0</v>
      </c>
      <c r="O217" s="208">
        <v>11986</v>
      </c>
      <c r="P217" s="208">
        <v>-217891</v>
      </c>
      <c r="Q217" s="208">
        <v>0</v>
      </c>
      <c r="R217" s="208">
        <v>-217891</v>
      </c>
      <c r="S217" s="208">
        <v>-2988063</v>
      </c>
      <c r="T217" s="208">
        <v>0</v>
      </c>
      <c r="U217" s="208">
        <v>-2988063</v>
      </c>
      <c r="V217" s="208">
        <v>-78738</v>
      </c>
      <c r="W217" s="208">
        <v>0</v>
      </c>
      <c r="X217" s="208">
        <v>-78738</v>
      </c>
      <c r="Y217" s="208">
        <v>-173090</v>
      </c>
      <c r="Z217" s="208">
        <v>0</v>
      </c>
      <c r="AA217" s="208">
        <v>-173090</v>
      </c>
      <c r="AB217" s="208">
        <v>-72483</v>
      </c>
      <c r="AC217" s="208">
        <v>0</v>
      </c>
      <c r="AD217" s="208">
        <v>-72483</v>
      </c>
      <c r="AE217" s="208">
        <v>-95199</v>
      </c>
      <c r="AF217" s="208">
        <v>0</v>
      </c>
      <c r="AG217" s="208">
        <v>-95199</v>
      </c>
      <c r="AH217" s="208">
        <v>0</v>
      </c>
      <c r="AI217" s="208">
        <v>0</v>
      </c>
      <c r="AJ217" s="208">
        <v>0</v>
      </c>
      <c r="AK217" s="208">
        <v>145</v>
      </c>
      <c r="AL217" s="208">
        <v>0</v>
      </c>
      <c r="AM217" s="208">
        <v>145</v>
      </c>
      <c r="AN217" s="208">
        <v>260123</v>
      </c>
      <c r="AO217" s="208">
        <v>0</v>
      </c>
      <c r="AP217" s="208">
        <v>260123</v>
      </c>
      <c r="AQ217" s="208">
        <v>15144</v>
      </c>
      <c r="AR217" s="208">
        <v>0</v>
      </c>
      <c r="AS217" s="208">
        <v>15144</v>
      </c>
      <c r="AT217" s="208">
        <v>-894433</v>
      </c>
      <c r="AU217" s="208">
        <v>0</v>
      </c>
      <c r="AV217" s="208">
        <v>-894433</v>
      </c>
      <c r="AW217" s="208">
        <v>-61197</v>
      </c>
      <c r="AX217" s="208">
        <v>0</v>
      </c>
      <c r="AY217" s="208">
        <v>-61197</v>
      </c>
      <c r="AZ217" s="208">
        <v>-45533</v>
      </c>
      <c r="BA217" s="208">
        <v>0</v>
      </c>
      <c r="BB217" s="208">
        <v>-45533</v>
      </c>
      <c r="BC217" s="208">
        <v>-1936</v>
      </c>
      <c r="BD217" s="208">
        <v>0</v>
      </c>
      <c r="BE217" s="208">
        <v>-1936</v>
      </c>
      <c r="BF217" s="208">
        <v>-43722</v>
      </c>
      <c r="BG217" s="208">
        <v>0</v>
      </c>
      <c r="BH217" s="208">
        <v>-43722</v>
      </c>
      <c r="BI217" s="208">
        <v>1031</v>
      </c>
      <c r="BJ217" s="208">
        <v>0</v>
      </c>
      <c r="BK217" s="208">
        <v>1031</v>
      </c>
      <c r="BL217" s="208">
        <v>-3931676</v>
      </c>
      <c r="BM217" s="208">
        <v>0</v>
      </c>
      <c r="BN217" s="208">
        <v>-3931676</v>
      </c>
      <c r="BO217" s="208">
        <v>0</v>
      </c>
      <c r="BP217" s="208">
        <v>0</v>
      </c>
      <c r="BQ217" s="208">
        <v>0</v>
      </c>
      <c r="BR217" s="208">
        <v>-2481</v>
      </c>
      <c r="BS217" s="208">
        <v>0</v>
      </c>
      <c r="BT217" s="208">
        <v>-2481</v>
      </c>
      <c r="BU217" s="208">
        <v>-252856</v>
      </c>
      <c r="BV217" s="208">
        <v>0</v>
      </c>
      <c r="BW217" s="208">
        <v>-252856</v>
      </c>
      <c r="BX217" s="208">
        <v>-61541</v>
      </c>
      <c r="BY217" s="208">
        <v>0</v>
      </c>
      <c r="BZ217" s="208">
        <v>-61541</v>
      </c>
      <c r="CA217" s="208">
        <v>-316878</v>
      </c>
      <c r="CB217" s="208">
        <v>0</v>
      </c>
      <c r="CC217" s="208">
        <v>-316878</v>
      </c>
      <c r="CD217" s="208">
        <v>-70683</v>
      </c>
      <c r="CE217" s="208">
        <v>0</v>
      </c>
      <c r="CF217" s="208">
        <v>-70683</v>
      </c>
      <c r="CG217" s="208">
        <v>-344</v>
      </c>
      <c r="CH217" s="208">
        <v>0</v>
      </c>
      <c r="CI217" s="208">
        <v>-344</v>
      </c>
      <c r="CJ217" s="208">
        <v>-29560</v>
      </c>
      <c r="CK217" s="208">
        <v>0</v>
      </c>
      <c r="CL217" s="208">
        <v>-29560</v>
      </c>
      <c r="CM217" s="208">
        <v>0</v>
      </c>
      <c r="CN217" s="208">
        <v>0</v>
      </c>
      <c r="CO217" s="208">
        <v>0</v>
      </c>
      <c r="CP217" s="208">
        <v>-1356</v>
      </c>
      <c r="CQ217" s="208">
        <v>0</v>
      </c>
      <c r="CR217" s="208">
        <v>-1356</v>
      </c>
      <c r="CS217" s="208">
        <v>0</v>
      </c>
      <c r="CT217" s="208">
        <v>0</v>
      </c>
      <c r="CU217" s="208">
        <v>0</v>
      </c>
      <c r="CV217" s="208">
        <v>-2723</v>
      </c>
      <c r="CW217" s="208">
        <v>0</v>
      </c>
      <c r="CX217" s="208">
        <v>-2723</v>
      </c>
      <c r="CY217" s="208">
        <v>46347</v>
      </c>
      <c r="CZ217" s="208">
        <v>0</v>
      </c>
      <c r="DA217" s="208">
        <v>46347</v>
      </c>
      <c r="DB217" s="208">
        <v>0</v>
      </c>
      <c r="DC217" s="208">
        <v>0</v>
      </c>
      <c r="DD217" s="208">
        <v>0</v>
      </c>
      <c r="DE217" s="208">
        <v>0</v>
      </c>
      <c r="DF217" s="208">
        <v>0</v>
      </c>
      <c r="DG217" s="208">
        <v>0</v>
      </c>
      <c r="DH217" s="208">
        <v>0</v>
      </c>
      <c r="DI217" s="208">
        <v>0</v>
      </c>
      <c r="DJ217" s="208">
        <v>0</v>
      </c>
      <c r="DK217" s="208">
        <v>0</v>
      </c>
      <c r="DL217" s="208">
        <v>0</v>
      </c>
      <c r="DM217" s="208">
        <v>0</v>
      </c>
      <c r="DN217" s="208">
        <v>0</v>
      </c>
      <c r="DO217" s="208">
        <v>0</v>
      </c>
      <c r="DP217" s="208">
        <v>-58319</v>
      </c>
      <c r="DQ217" s="208">
        <v>0</v>
      </c>
      <c r="DR217" s="208">
        <v>-58319</v>
      </c>
      <c r="DS217" s="208">
        <v>0</v>
      </c>
      <c r="DT217" s="208">
        <v>0</v>
      </c>
      <c r="DU217" s="208">
        <v>0</v>
      </c>
      <c r="DV217" s="208">
        <v>0</v>
      </c>
      <c r="DW217" s="208">
        <v>0</v>
      </c>
      <c r="DX217" s="208">
        <v>0</v>
      </c>
      <c r="DY217" s="208">
        <v>0</v>
      </c>
      <c r="DZ217" s="208">
        <v>0</v>
      </c>
      <c r="EA217" s="208">
        <v>0</v>
      </c>
      <c r="EB217" s="208">
        <v>0</v>
      </c>
      <c r="EC217" s="208">
        <v>0</v>
      </c>
      <c r="ED217" s="208">
        <v>0</v>
      </c>
      <c r="EE217" s="208">
        <v>0</v>
      </c>
      <c r="EF217" s="208">
        <v>0</v>
      </c>
      <c r="EG217" s="208">
        <v>0</v>
      </c>
      <c r="EH217" s="208">
        <v>0</v>
      </c>
      <c r="EI217" s="208">
        <v>0</v>
      </c>
      <c r="EJ217" s="208">
        <v>0</v>
      </c>
      <c r="EK217" s="208">
        <v>-43722</v>
      </c>
      <c r="EL217" s="208">
        <v>0</v>
      </c>
      <c r="EM217" s="208">
        <v>-43722</v>
      </c>
      <c r="EN217" s="208">
        <v>1031</v>
      </c>
      <c r="EO217" s="208">
        <v>0</v>
      </c>
      <c r="EP217" s="208">
        <v>1031</v>
      </c>
      <c r="EQ217" s="208">
        <v>0</v>
      </c>
      <c r="ER217" s="208">
        <v>0</v>
      </c>
      <c r="ES217" s="208">
        <v>0</v>
      </c>
      <c r="ET217" s="208">
        <v>0</v>
      </c>
      <c r="EU217" s="208">
        <v>0</v>
      </c>
      <c r="EV217" s="208">
        <v>0</v>
      </c>
      <c r="EW217" s="208">
        <v>-40078</v>
      </c>
      <c r="EX217" s="208">
        <v>0</v>
      </c>
      <c r="EY217" s="208">
        <v>-40078</v>
      </c>
      <c r="EZ217" s="208">
        <v>3390</v>
      </c>
      <c r="FA217" s="208">
        <v>0</v>
      </c>
      <c r="FB217" s="208">
        <v>3390</v>
      </c>
      <c r="FC217" s="208">
        <v>-108108</v>
      </c>
      <c r="FD217" s="208">
        <v>0</v>
      </c>
      <c r="FE217" s="208">
        <v>-108108</v>
      </c>
      <c r="FF217" s="208">
        <v>24770</v>
      </c>
      <c r="FG217" s="208">
        <v>0</v>
      </c>
      <c r="FH217" s="208">
        <v>24770</v>
      </c>
      <c r="FI217" s="208">
        <v>-49645</v>
      </c>
      <c r="FJ217" s="208">
        <v>0</v>
      </c>
      <c r="FK217" s="208">
        <v>-49645</v>
      </c>
      <c r="FL217" s="208">
        <v>-1167</v>
      </c>
      <c r="FM217" s="208">
        <v>0</v>
      </c>
      <c r="FN217" s="208">
        <v>-1167</v>
      </c>
      <c r="FO217" s="208">
        <v>0</v>
      </c>
      <c r="FP217" s="208">
        <v>0</v>
      </c>
      <c r="FQ217" s="208">
        <v>0</v>
      </c>
      <c r="FR217" s="208">
        <v>0</v>
      </c>
      <c r="FS217" s="208">
        <v>0</v>
      </c>
      <c r="FT217" s="208">
        <v>0</v>
      </c>
      <c r="FU217" s="208">
        <v>-213529</v>
      </c>
      <c r="FV217" s="208">
        <v>0</v>
      </c>
      <c r="FW217" s="208">
        <v>-213529</v>
      </c>
      <c r="FX217" s="208">
        <v>-3559</v>
      </c>
      <c r="FY217" s="208">
        <v>0</v>
      </c>
      <c r="FZ217" s="208">
        <v>-3559</v>
      </c>
      <c r="GA217" s="208">
        <v>0</v>
      </c>
      <c r="GB217" s="208">
        <v>0</v>
      </c>
      <c r="GC217" s="208">
        <v>0</v>
      </c>
      <c r="GD217" s="208">
        <v>-3559</v>
      </c>
      <c r="GE217" s="208">
        <v>0</v>
      </c>
      <c r="GF217" s="208">
        <v>-3559</v>
      </c>
      <c r="GG217" s="208">
        <v>18182632</v>
      </c>
      <c r="GH217" s="208">
        <v>0</v>
      </c>
      <c r="GI217" s="208">
        <v>18182632</v>
      </c>
      <c r="GJ217" s="208">
        <v>-217891</v>
      </c>
      <c r="GK217" s="208">
        <v>0</v>
      </c>
      <c r="GL217" s="208">
        <v>-217891</v>
      </c>
      <c r="GM217" s="208">
        <v>-3931676</v>
      </c>
      <c r="GN217" s="208">
        <v>0</v>
      </c>
      <c r="GO217" s="208">
        <v>-3931676</v>
      </c>
      <c r="GP217" s="208">
        <v>-316878</v>
      </c>
      <c r="GQ217" s="208">
        <v>0</v>
      </c>
      <c r="GR217" s="208">
        <v>-316878</v>
      </c>
      <c r="GS217" s="208">
        <v>-58319</v>
      </c>
      <c r="GT217" s="208">
        <v>0</v>
      </c>
      <c r="GU217" s="208">
        <v>-58319</v>
      </c>
      <c r="GV217" s="208">
        <v>-213529</v>
      </c>
      <c r="GW217" s="208">
        <v>0</v>
      </c>
      <c r="GX217" s="208">
        <v>-213529</v>
      </c>
      <c r="GY217" s="208">
        <v>-3559</v>
      </c>
      <c r="GZ217" s="208">
        <v>0</v>
      </c>
      <c r="HA217" s="208">
        <v>-3559</v>
      </c>
      <c r="HB217" s="208">
        <v>-4741852</v>
      </c>
      <c r="HC217" s="208">
        <v>0</v>
      </c>
      <c r="HD217" s="208">
        <v>-4741852</v>
      </c>
      <c r="HE217" s="208">
        <v>13440780</v>
      </c>
      <c r="HF217" s="208">
        <v>0</v>
      </c>
      <c r="HG217" s="208">
        <v>13440780</v>
      </c>
      <c r="HH217" s="187" t="s">
        <v>1054</v>
      </c>
    </row>
    <row r="218" spans="1:216" s="187" customFormat="1" x14ac:dyDescent="0.2">
      <c r="B218" s="429" t="s">
        <v>513</v>
      </c>
      <c r="C218" s="429" t="s">
        <v>512</v>
      </c>
      <c r="D218" s="208">
        <v>-1144381</v>
      </c>
      <c r="E218" s="208">
        <v>0</v>
      </c>
      <c r="F218" s="208">
        <v>-1144381</v>
      </c>
      <c r="G218" s="208">
        <v>95173</v>
      </c>
      <c r="H218" s="208">
        <v>0</v>
      </c>
      <c r="I218" s="208">
        <v>95173</v>
      </c>
      <c r="J218" s="208">
        <v>2560407</v>
      </c>
      <c r="K218" s="208">
        <v>0</v>
      </c>
      <c r="L218" s="208">
        <v>2560407</v>
      </c>
      <c r="M218" s="208">
        <v>109596</v>
      </c>
      <c r="N218" s="208">
        <v>0</v>
      </c>
      <c r="O218" s="208">
        <v>109596</v>
      </c>
      <c r="P218" s="208">
        <v>1620795</v>
      </c>
      <c r="Q218" s="208">
        <v>0</v>
      </c>
      <c r="R218" s="208">
        <v>1620795</v>
      </c>
      <c r="S218" s="208">
        <v>-8438168</v>
      </c>
      <c r="T218" s="208">
        <v>0</v>
      </c>
      <c r="U218" s="208">
        <v>-8438168</v>
      </c>
      <c r="V218" s="208">
        <v>-7438</v>
      </c>
      <c r="W218" s="208">
        <v>0</v>
      </c>
      <c r="X218" s="208">
        <v>-7438</v>
      </c>
      <c r="Y218" s="208">
        <v>-122088</v>
      </c>
      <c r="Z218" s="208">
        <v>0</v>
      </c>
      <c r="AA218" s="208">
        <v>-122088</v>
      </c>
      <c r="AB218" s="208">
        <v>-13021</v>
      </c>
      <c r="AC218" s="208">
        <v>0</v>
      </c>
      <c r="AD218" s="208">
        <v>-13021</v>
      </c>
      <c r="AE218" s="208">
        <v>-102872</v>
      </c>
      <c r="AF218" s="208">
        <v>0</v>
      </c>
      <c r="AG218" s="208">
        <v>-102872</v>
      </c>
      <c r="AH218" s="208">
        <v>0</v>
      </c>
      <c r="AI218" s="208">
        <v>0</v>
      </c>
      <c r="AJ218" s="208">
        <v>0</v>
      </c>
      <c r="AK218" s="208">
        <v>-2298</v>
      </c>
      <c r="AL218" s="208">
        <v>0</v>
      </c>
      <c r="AM218" s="208">
        <v>-2298</v>
      </c>
      <c r="AN218" s="208">
        <v>1528916</v>
      </c>
      <c r="AO218" s="208">
        <v>0</v>
      </c>
      <c r="AP218" s="208">
        <v>1528916</v>
      </c>
      <c r="AQ218" s="208">
        <v>-41408</v>
      </c>
      <c r="AR218" s="208">
        <v>0</v>
      </c>
      <c r="AS218" s="208">
        <v>-41408</v>
      </c>
      <c r="AT218" s="208">
        <v>-3940107</v>
      </c>
      <c r="AU218" s="208">
        <v>0</v>
      </c>
      <c r="AV218" s="208">
        <v>-3940107</v>
      </c>
      <c r="AW218" s="208">
        <v>-16529</v>
      </c>
      <c r="AX218" s="208">
        <v>0</v>
      </c>
      <c r="AY218" s="208">
        <v>-16529</v>
      </c>
      <c r="AZ218" s="208">
        <v>-52209</v>
      </c>
      <c r="BA218" s="208">
        <v>0</v>
      </c>
      <c r="BB218" s="208">
        <v>-52209</v>
      </c>
      <c r="BC218" s="208">
        <v>0</v>
      </c>
      <c r="BD218" s="208">
        <v>0</v>
      </c>
      <c r="BE218" s="208">
        <v>0</v>
      </c>
      <c r="BF218" s="208">
        <v>0</v>
      </c>
      <c r="BG218" s="208">
        <v>0</v>
      </c>
      <c r="BH218" s="208">
        <v>0</v>
      </c>
      <c r="BI218" s="208">
        <v>0</v>
      </c>
      <c r="BJ218" s="208">
        <v>0</v>
      </c>
      <c r="BK218" s="208">
        <v>0</v>
      </c>
      <c r="BL218" s="208">
        <v>-11081593</v>
      </c>
      <c r="BM218" s="208">
        <v>0</v>
      </c>
      <c r="BN218" s="208">
        <v>-11081593</v>
      </c>
      <c r="BO218" s="208">
        <v>-416</v>
      </c>
      <c r="BP218" s="208">
        <v>0</v>
      </c>
      <c r="BQ218" s="208">
        <v>-416</v>
      </c>
      <c r="BR218" s="208">
        <v>17882</v>
      </c>
      <c r="BS218" s="208">
        <v>0</v>
      </c>
      <c r="BT218" s="208">
        <v>17882</v>
      </c>
      <c r="BU218" s="208">
        <v>-3452284</v>
      </c>
      <c r="BV218" s="208">
        <v>0</v>
      </c>
      <c r="BW218" s="208">
        <v>-3452284</v>
      </c>
      <c r="BX218" s="208">
        <v>-23323</v>
      </c>
      <c r="BY218" s="208">
        <v>0</v>
      </c>
      <c r="BZ218" s="208">
        <v>-23323</v>
      </c>
      <c r="CA218" s="208">
        <v>-3458141</v>
      </c>
      <c r="CB218" s="208">
        <v>0</v>
      </c>
      <c r="CC218" s="208">
        <v>-3458141</v>
      </c>
      <c r="CD218" s="208">
        <v>-270624</v>
      </c>
      <c r="CE218" s="208">
        <v>0</v>
      </c>
      <c r="CF218" s="208">
        <v>-270624</v>
      </c>
      <c r="CG218" s="208">
        <v>-637</v>
      </c>
      <c r="CH218" s="208">
        <v>0</v>
      </c>
      <c r="CI218" s="208">
        <v>-637</v>
      </c>
      <c r="CJ218" s="208">
        <v>-86599</v>
      </c>
      <c r="CK218" s="208">
        <v>0</v>
      </c>
      <c r="CL218" s="208">
        <v>-86599</v>
      </c>
      <c r="CM218" s="208">
        <v>-3915</v>
      </c>
      <c r="CN218" s="208">
        <v>0</v>
      </c>
      <c r="CO218" s="208">
        <v>-3915</v>
      </c>
      <c r="CP218" s="208">
        <v>-9160</v>
      </c>
      <c r="CQ218" s="208">
        <v>0</v>
      </c>
      <c r="CR218" s="208">
        <v>-9160</v>
      </c>
      <c r="CS218" s="208">
        <v>0</v>
      </c>
      <c r="CT218" s="208">
        <v>0</v>
      </c>
      <c r="CU218" s="208">
        <v>0</v>
      </c>
      <c r="CV218" s="208">
        <v>0</v>
      </c>
      <c r="CW218" s="208">
        <v>0</v>
      </c>
      <c r="CX218" s="208">
        <v>0</v>
      </c>
      <c r="CY218" s="208">
        <v>0</v>
      </c>
      <c r="CZ218" s="208">
        <v>0</v>
      </c>
      <c r="DA218" s="208">
        <v>0</v>
      </c>
      <c r="DB218" s="208">
        <v>0</v>
      </c>
      <c r="DC218" s="208">
        <v>0</v>
      </c>
      <c r="DD218" s="208">
        <v>0</v>
      </c>
      <c r="DE218" s="208">
        <v>0</v>
      </c>
      <c r="DF218" s="208">
        <v>0</v>
      </c>
      <c r="DG218" s="208">
        <v>0</v>
      </c>
      <c r="DH218" s="208">
        <v>-308466</v>
      </c>
      <c r="DI218" s="208">
        <v>0</v>
      </c>
      <c r="DJ218" s="208">
        <v>-308466</v>
      </c>
      <c r="DK218" s="208">
        <v>-22103</v>
      </c>
      <c r="DL218" s="208">
        <v>0</v>
      </c>
      <c r="DM218" s="208">
        <v>-22103</v>
      </c>
      <c r="DN218" s="208">
        <v>0</v>
      </c>
      <c r="DO218" s="208">
        <v>0</v>
      </c>
      <c r="DP218" s="208">
        <v>-701504</v>
      </c>
      <c r="DQ218" s="208">
        <v>0</v>
      </c>
      <c r="DR218" s="208">
        <v>-701504</v>
      </c>
      <c r="DS218" s="208">
        <v>0</v>
      </c>
      <c r="DT218" s="208">
        <v>0</v>
      </c>
      <c r="DU218" s="208">
        <v>0</v>
      </c>
      <c r="DV218" s="208">
        <v>0</v>
      </c>
      <c r="DW218" s="208">
        <v>0</v>
      </c>
      <c r="DX218" s="208">
        <v>0</v>
      </c>
      <c r="DY218" s="208">
        <v>0</v>
      </c>
      <c r="DZ218" s="208">
        <v>0</v>
      </c>
      <c r="EA218" s="208">
        <v>0</v>
      </c>
      <c r="EB218" s="208">
        <v>0</v>
      </c>
      <c r="EC218" s="208">
        <v>0</v>
      </c>
      <c r="ED218" s="208">
        <v>0</v>
      </c>
      <c r="EE218" s="208">
        <v>0</v>
      </c>
      <c r="EF218" s="208">
        <v>0</v>
      </c>
      <c r="EG218" s="208">
        <v>0</v>
      </c>
      <c r="EH218" s="208">
        <v>0</v>
      </c>
      <c r="EI218" s="208">
        <v>0</v>
      </c>
      <c r="EJ218" s="208">
        <v>0</v>
      </c>
      <c r="EK218" s="208">
        <v>0</v>
      </c>
      <c r="EL218" s="208">
        <v>0</v>
      </c>
      <c r="EM218" s="208">
        <v>0</v>
      </c>
      <c r="EN218" s="208">
        <v>0</v>
      </c>
      <c r="EO218" s="208">
        <v>0</v>
      </c>
      <c r="EP218" s="208">
        <v>0</v>
      </c>
      <c r="EQ218" s="208">
        <v>0</v>
      </c>
      <c r="ER218" s="208">
        <v>0</v>
      </c>
      <c r="ES218" s="208">
        <v>0</v>
      </c>
      <c r="ET218" s="208">
        <v>0</v>
      </c>
      <c r="EU218" s="208">
        <v>0</v>
      </c>
      <c r="EV218" s="208">
        <v>0</v>
      </c>
      <c r="EW218" s="208">
        <v>-38476</v>
      </c>
      <c r="EX218" s="208">
        <v>0</v>
      </c>
      <c r="EY218" s="208">
        <v>-38476</v>
      </c>
      <c r="EZ218" s="208">
        <v>-4524</v>
      </c>
      <c r="FA218" s="208">
        <v>0</v>
      </c>
      <c r="FB218" s="208">
        <v>-4524</v>
      </c>
      <c r="FC218" s="208">
        <v>-133353</v>
      </c>
      <c r="FD218" s="208">
        <v>0</v>
      </c>
      <c r="FE218" s="208">
        <v>-133353</v>
      </c>
      <c r="FF218" s="208">
        <v>7702</v>
      </c>
      <c r="FG218" s="208">
        <v>0</v>
      </c>
      <c r="FH218" s="208">
        <v>7702</v>
      </c>
      <c r="FI218" s="208">
        <v>-59635</v>
      </c>
      <c r="FJ218" s="208">
        <v>0</v>
      </c>
      <c r="FK218" s="208">
        <v>-59635</v>
      </c>
      <c r="FL218" s="208">
        <v>-1205</v>
      </c>
      <c r="FM218" s="208">
        <v>0</v>
      </c>
      <c r="FN218" s="208">
        <v>-1205</v>
      </c>
      <c r="FO218" s="208">
        <v>0</v>
      </c>
      <c r="FP218" s="208">
        <v>0</v>
      </c>
      <c r="FQ218" s="208">
        <v>0</v>
      </c>
      <c r="FR218" s="208">
        <v>0</v>
      </c>
      <c r="FS218" s="208">
        <v>0</v>
      </c>
      <c r="FT218" s="208">
        <v>0</v>
      </c>
      <c r="FU218" s="208">
        <v>-229491</v>
      </c>
      <c r="FV218" s="208">
        <v>0</v>
      </c>
      <c r="FW218" s="208">
        <v>-229491</v>
      </c>
      <c r="FX218" s="208">
        <v>0</v>
      </c>
      <c r="FY218" s="208">
        <v>0</v>
      </c>
      <c r="FZ218" s="208">
        <v>0</v>
      </c>
      <c r="GA218" s="208">
        <v>0</v>
      </c>
      <c r="GB218" s="208">
        <v>0</v>
      </c>
      <c r="GC218" s="208">
        <v>0</v>
      </c>
      <c r="GD218" s="208">
        <v>0</v>
      </c>
      <c r="GE218" s="208">
        <v>0</v>
      </c>
      <c r="GF218" s="208">
        <v>0</v>
      </c>
      <c r="GG218" s="208">
        <v>78953769</v>
      </c>
      <c r="GH218" s="208">
        <v>0</v>
      </c>
      <c r="GI218" s="208">
        <v>78953769</v>
      </c>
      <c r="GJ218" s="208">
        <v>1620795</v>
      </c>
      <c r="GK218" s="208">
        <v>0</v>
      </c>
      <c r="GL218" s="208">
        <v>1620795</v>
      </c>
      <c r="GM218" s="208">
        <v>-11081593</v>
      </c>
      <c r="GN218" s="208">
        <v>0</v>
      </c>
      <c r="GO218" s="208">
        <v>-11081593</v>
      </c>
      <c r="GP218" s="208">
        <v>-3458141</v>
      </c>
      <c r="GQ218" s="208">
        <v>0</v>
      </c>
      <c r="GR218" s="208">
        <v>-3458141</v>
      </c>
      <c r="GS218" s="208">
        <v>-701504</v>
      </c>
      <c r="GT218" s="208">
        <v>0</v>
      </c>
      <c r="GU218" s="208">
        <v>-701504</v>
      </c>
      <c r="GV218" s="208">
        <v>-229491</v>
      </c>
      <c r="GW218" s="208">
        <v>0</v>
      </c>
      <c r="GX218" s="208">
        <v>-229491</v>
      </c>
      <c r="GY218" s="208">
        <v>0</v>
      </c>
      <c r="GZ218" s="208">
        <v>0</v>
      </c>
      <c r="HA218" s="208">
        <v>0</v>
      </c>
      <c r="HB218" s="208">
        <v>-13849934</v>
      </c>
      <c r="HC218" s="208">
        <v>0</v>
      </c>
      <c r="HD218" s="208">
        <v>-13849934</v>
      </c>
      <c r="HE218" s="208">
        <v>65103835</v>
      </c>
      <c r="HF218" s="208">
        <v>0</v>
      </c>
      <c r="HG218" s="208">
        <v>65103835</v>
      </c>
      <c r="HH218" s="187" t="s">
        <v>1056</v>
      </c>
    </row>
    <row r="219" spans="1:216" s="187" customFormat="1" x14ac:dyDescent="0.2">
      <c r="B219" s="429" t="s">
        <v>515</v>
      </c>
      <c r="C219" s="429" t="s">
        <v>514</v>
      </c>
      <c r="D219" s="208">
        <v>-403272</v>
      </c>
      <c r="E219" s="208">
        <v>0</v>
      </c>
      <c r="F219" s="208">
        <v>-403272</v>
      </c>
      <c r="G219" s="208">
        <v>18204</v>
      </c>
      <c r="H219" s="208">
        <v>0</v>
      </c>
      <c r="I219" s="208">
        <v>18204</v>
      </c>
      <c r="J219" s="208">
        <v>190255</v>
      </c>
      <c r="K219" s="208">
        <v>0</v>
      </c>
      <c r="L219" s="208">
        <v>190255</v>
      </c>
      <c r="M219" s="208">
        <v>-38550</v>
      </c>
      <c r="N219" s="208">
        <v>0</v>
      </c>
      <c r="O219" s="208">
        <v>-38550</v>
      </c>
      <c r="P219" s="208">
        <v>-233363</v>
      </c>
      <c r="Q219" s="208">
        <v>0</v>
      </c>
      <c r="R219" s="208">
        <v>-233363</v>
      </c>
      <c r="S219" s="208">
        <v>-3472360</v>
      </c>
      <c r="T219" s="208">
        <v>0</v>
      </c>
      <c r="U219" s="208">
        <v>-3472360</v>
      </c>
      <c r="V219" s="208">
        <v>-14650</v>
      </c>
      <c r="W219" s="208">
        <v>0</v>
      </c>
      <c r="X219" s="208">
        <v>-14650</v>
      </c>
      <c r="Y219" s="208">
        <v>-132611.06</v>
      </c>
      <c r="Z219" s="208">
        <v>0</v>
      </c>
      <c r="AA219" s="208">
        <v>-132611.06</v>
      </c>
      <c r="AB219" s="208">
        <v>-18209</v>
      </c>
      <c r="AC219" s="208">
        <v>0</v>
      </c>
      <c r="AD219" s="208">
        <v>-18209</v>
      </c>
      <c r="AE219" s="208">
        <v>-108923</v>
      </c>
      <c r="AF219" s="208">
        <v>0</v>
      </c>
      <c r="AG219" s="208">
        <v>-108923</v>
      </c>
      <c r="AH219" s="208">
        <v>0</v>
      </c>
      <c r="AI219" s="208">
        <v>0</v>
      </c>
      <c r="AJ219" s="208">
        <v>0</v>
      </c>
      <c r="AK219" s="208">
        <v>0</v>
      </c>
      <c r="AL219" s="208">
        <v>0</v>
      </c>
      <c r="AM219" s="208">
        <v>0</v>
      </c>
      <c r="AN219" s="208">
        <v>312951</v>
      </c>
      <c r="AO219" s="208">
        <v>0</v>
      </c>
      <c r="AP219" s="208">
        <v>312951</v>
      </c>
      <c r="AQ219" s="208">
        <v>-15025</v>
      </c>
      <c r="AR219" s="208">
        <v>0</v>
      </c>
      <c r="AS219" s="208">
        <v>-15025</v>
      </c>
      <c r="AT219" s="208">
        <v>-1494416</v>
      </c>
      <c r="AU219" s="208">
        <v>0</v>
      </c>
      <c r="AV219" s="208">
        <v>-1494416</v>
      </c>
      <c r="AW219" s="208">
        <v>9291</v>
      </c>
      <c r="AX219" s="208">
        <v>0</v>
      </c>
      <c r="AY219" s="208">
        <v>9291</v>
      </c>
      <c r="AZ219" s="208">
        <v>-12760</v>
      </c>
      <c r="BA219" s="208">
        <v>0</v>
      </c>
      <c r="BB219" s="208">
        <v>-12760</v>
      </c>
      <c r="BC219" s="208">
        <v>0</v>
      </c>
      <c r="BD219" s="208">
        <v>0</v>
      </c>
      <c r="BE219" s="208">
        <v>0</v>
      </c>
      <c r="BF219" s="208">
        <v>0</v>
      </c>
      <c r="BG219" s="208">
        <v>0</v>
      </c>
      <c r="BH219" s="208">
        <v>0</v>
      </c>
      <c r="BI219" s="208">
        <v>0</v>
      </c>
      <c r="BJ219" s="208">
        <v>0</v>
      </c>
      <c r="BK219" s="208">
        <v>0</v>
      </c>
      <c r="BL219" s="208">
        <v>-4804930</v>
      </c>
      <c r="BM219" s="208">
        <v>0</v>
      </c>
      <c r="BN219" s="208">
        <v>-4804930</v>
      </c>
      <c r="BO219" s="208">
        <v>0</v>
      </c>
      <c r="BP219" s="208">
        <v>0</v>
      </c>
      <c r="BQ219" s="208">
        <v>0</v>
      </c>
      <c r="BR219" s="208">
        <v>284</v>
      </c>
      <c r="BS219" s="208">
        <v>0</v>
      </c>
      <c r="BT219" s="208">
        <v>284</v>
      </c>
      <c r="BU219" s="208">
        <v>-447849</v>
      </c>
      <c r="BV219" s="208">
        <v>0</v>
      </c>
      <c r="BW219" s="208">
        <v>-447849</v>
      </c>
      <c r="BX219" s="208">
        <v>-9553</v>
      </c>
      <c r="BY219" s="208">
        <v>0</v>
      </c>
      <c r="BZ219" s="208">
        <v>-9553</v>
      </c>
      <c r="CA219" s="208">
        <v>-457118</v>
      </c>
      <c r="CB219" s="208">
        <v>0</v>
      </c>
      <c r="CC219" s="208">
        <v>-457118</v>
      </c>
      <c r="CD219" s="208">
        <v>-8559</v>
      </c>
      <c r="CE219" s="208">
        <v>0</v>
      </c>
      <c r="CF219" s="208">
        <v>-8559</v>
      </c>
      <c r="CG219" s="208">
        <v>0</v>
      </c>
      <c r="CH219" s="208">
        <v>0</v>
      </c>
      <c r="CI219" s="208">
        <v>0</v>
      </c>
      <c r="CJ219" s="208">
        <v>0</v>
      </c>
      <c r="CK219" s="208">
        <v>0</v>
      </c>
      <c r="CL219" s="208">
        <v>0</v>
      </c>
      <c r="CM219" s="208">
        <v>0</v>
      </c>
      <c r="CN219" s="208">
        <v>0</v>
      </c>
      <c r="CO219" s="208">
        <v>0</v>
      </c>
      <c r="CP219" s="208">
        <v>0</v>
      </c>
      <c r="CQ219" s="208">
        <v>0</v>
      </c>
      <c r="CR219" s="208">
        <v>0</v>
      </c>
      <c r="CS219" s="208">
        <v>0</v>
      </c>
      <c r="CT219" s="208">
        <v>0</v>
      </c>
      <c r="CU219" s="208">
        <v>0</v>
      </c>
      <c r="CV219" s="208">
        <v>0</v>
      </c>
      <c r="CW219" s="208">
        <v>0</v>
      </c>
      <c r="CX219" s="208">
        <v>0</v>
      </c>
      <c r="CY219" s="208">
        <v>0</v>
      </c>
      <c r="CZ219" s="208">
        <v>0</v>
      </c>
      <c r="DA219" s="208">
        <v>0</v>
      </c>
      <c r="DB219" s="208">
        <v>0</v>
      </c>
      <c r="DC219" s="208">
        <v>0</v>
      </c>
      <c r="DD219" s="208">
        <v>0</v>
      </c>
      <c r="DE219" s="208">
        <v>0</v>
      </c>
      <c r="DF219" s="208">
        <v>0</v>
      </c>
      <c r="DG219" s="208">
        <v>0</v>
      </c>
      <c r="DH219" s="208">
        <v>0</v>
      </c>
      <c r="DI219" s="208">
        <v>0</v>
      </c>
      <c r="DJ219" s="208">
        <v>0</v>
      </c>
      <c r="DK219" s="208">
        <v>0</v>
      </c>
      <c r="DL219" s="208">
        <v>0</v>
      </c>
      <c r="DM219" s="208">
        <v>0</v>
      </c>
      <c r="DN219" s="208">
        <v>0</v>
      </c>
      <c r="DO219" s="208">
        <v>0</v>
      </c>
      <c r="DP219" s="208">
        <v>-8559</v>
      </c>
      <c r="DQ219" s="208">
        <v>0</v>
      </c>
      <c r="DR219" s="208">
        <v>-8559</v>
      </c>
      <c r="DS219" s="208">
        <v>0</v>
      </c>
      <c r="DT219" s="208">
        <v>0</v>
      </c>
      <c r="DU219" s="208">
        <v>0</v>
      </c>
      <c r="DV219" s="208">
        <v>0</v>
      </c>
      <c r="DW219" s="208">
        <v>0</v>
      </c>
      <c r="DX219" s="208">
        <v>0</v>
      </c>
      <c r="DY219" s="208">
        <v>0</v>
      </c>
      <c r="DZ219" s="208">
        <v>0</v>
      </c>
      <c r="EA219" s="208">
        <v>0</v>
      </c>
      <c r="EB219" s="208">
        <v>0</v>
      </c>
      <c r="EC219" s="208">
        <v>0</v>
      </c>
      <c r="ED219" s="208">
        <v>0</v>
      </c>
      <c r="EE219" s="208">
        <v>0</v>
      </c>
      <c r="EF219" s="208">
        <v>0</v>
      </c>
      <c r="EG219" s="208">
        <v>0</v>
      </c>
      <c r="EH219" s="208">
        <v>0</v>
      </c>
      <c r="EI219" s="208">
        <v>0</v>
      </c>
      <c r="EJ219" s="208">
        <v>0</v>
      </c>
      <c r="EK219" s="208">
        <v>0</v>
      </c>
      <c r="EL219" s="208">
        <v>0</v>
      </c>
      <c r="EM219" s="208">
        <v>0</v>
      </c>
      <c r="EN219" s="208">
        <v>0</v>
      </c>
      <c r="EO219" s="208">
        <v>0</v>
      </c>
      <c r="EP219" s="208">
        <v>0</v>
      </c>
      <c r="EQ219" s="208">
        <v>0</v>
      </c>
      <c r="ER219" s="208">
        <v>0</v>
      </c>
      <c r="ES219" s="208">
        <v>0</v>
      </c>
      <c r="ET219" s="208">
        <v>0</v>
      </c>
      <c r="EU219" s="208">
        <v>0</v>
      </c>
      <c r="EV219" s="208">
        <v>0</v>
      </c>
      <c r="EW219" s="208">
        <v>-5082</v>
      </c>
      <c r="EX219" s="208">
        <v>0</v>
      </c>
      <c r="EY219" s="208">
        <v>-5082</v>
      </c>
      <c r="EZ219" s="208">
        <v>1416</v>
      </c>
      <c r="FA219" s="208">
        <v>0</v>
      </c>
      <c r="FB219" s="208">
        <v>1416</v>
      </c>
      <c r="FC219" s="208">
        <v>-57065</v>
      </c>
      <c r="FD219" s="208">
        <v>0</v>
      </c>
      <c r="FE219" s="208">
        <v>-57065</v>
      </c>
      <c r="FF219" s="208">
        <v>3065</v>
      </c>
      <c r="FG219" s="208">
        <v>0</v>
      </c>
      <c r="FH219" s="208">
        <v>3065</v>
      </c>
      <c r="FI219" s="208">
        <v>-13542</v>
      </c>
      <c r="FJ219" s="208">
        <v>0</v>
      </c>
      <c r="FK219" s="208">
        <v>-13542</v>
      </c>
      <c r="FL219" s="208">
        <v>-205</v>
      </c>
      <c r="FM219" s="208">
        <v>0</v>
      </c>
      <c r="FN219" s="208">
        <v>-205</v>
      </c>
      <c r="FO219" s="208">
        <v>0</v>
      </c>
      <c r="FP219" s="208">
        <v>0</v>
      </c>
      <c r="FQ219" s="208">
        <v>0</v>
      </c>
      <c r="FR219" s="208">
        <v>0</v>
      </c>
      <c r="FS219" s="208">
        <v>0</v>
      </c>
      <c r="FT219" s="208">
        <v>0</v>
      </c>
      <c r="FU219" s="208">
        <v>-71413</v>
      </c>
      <c r="FV219" s="208">
        <v>0</v>
      </c>
      <c r="FW219" s="208">
        <v>-71413</v>
      </c>
      <c r="FX219" s="208">
        <v>0</v>
      </c>
      <c r="FY219" s="208">
        <v>0</v>
      </c>
      <c r="FZ219" s="208">
        <v>0</v>
      </c>
      <c r="GA219" s="208">
        <v>0</v>
      </c>
      <c r="GB219" s="208">
        <v>0</v>
      </c>
      <c r="GC219" s="208">
        <v>0</v>
      </c>
      <c r="GD219" s="208">
        <v>0</v>
      </c>
      <c r="GE219" s="208">
        <v>0</v>
      </c>
      <c r="GF219" s="208">
        <v>0</v>
      </c>
      <c r="GG219" s="208">
        <v>21219536</v>
      </c>
      <c r="GH219" s="208">
        <v>0</v>
      </c>
      <c r="GI219" s="208">
        <v>21219536</v>
      </c>
      <c r="GJ219" s="208">
        <v>-233363</v>
      </c>
      <c r="GK219" s="208">
        <v>0</v>
      </c>
      <c r="GL219" s="208">
        <v>-233363</v>
      </c>
      <c r="GM219" s="208">
        <v>-4804930</v>
      </c>
      <c r="GN219" s="208">
        <v>0</v>
      </c>
      <c r="GO219" s="208">
        <v>-4804930</v>
      </c>
      <c r="GP219" s="208">
        <v>-457118</v>
      </c>
      <c r="GQ219" s="208">
        <v>0</v>
      </c>
      <c r="GR219" s="208">
        <v>-457118</v>
      </c>
      <c r="GS219" s="208">
        <v>-8559</v>
      </c>
      <c r="GT219" s="208">
        <v>0</v>
      </c>
      <c r="GU219" s="208">
        <v>-8559</v>
      </c>
      <c r="GV219" s="208">
        <v>-71413</v>
      </c>
      <c r="GW219" s="208">
        <v>0</v>
      </c>
      <c r="GX219" s="208">
        <v>-71413</v>
      </c>
      <c r="GY219" s="208">
        <v>0</v>
      </c>
      <c r="GZ219" s="208">
        <v>0</v>
      </c>
      <c r="HA219" s="208">
        <v>0</v>
      </c>
      <c r="HB219" s="208">
        <v>-5575383</v>
      </c>
      <c r="HC219" s="208">
        <v>0</v>
      </c>
      <c r="HD219" s="208">
        <v>-5575383</v>
      </c>
      <c r="HE219" s="208">
        <v>15644153</v>
      </c>
      <c r="HF219" s="208">
        <v>0</v>
      </c>
      <c r="HG219" s="208">
        <v>15644153</v>
      </c>
      <c r="HH219" s="187" t="s">
        <v>1054</v>
      </c>
    </row>
    <row r="220" spans="1:216" s="187" customFormat="1" x14ac:dyDescent="0.2">
      <c r="A220" s="187" t="s">
        <v>1811</v>
      </c>
      <c r="B220" s="429" t="s">
        <v>517</v>
      </c>
      <c r="C220" s="429" t="s">
        <v>516</v>
      </c>
      <c r="D220" s="208">
        <v>-302149</v>
      </c>
      <c r="E220" s="208">
        <v>0</v>
      </c>
      <c r="F220" s="208">
        <v>-302149</v>
      </c>
      <c r="G220" s="208">
        <v>-5463</v>
      </c>
      <c r="H220" s="208">
        <v>0</v>
      </c>
      <c r="I220" s="208">
        <v>-5463</v>
      </c>
      <c r="J220" s="208">
        <v>498091</v>
      </c>
      <c r="K220" s="208">
        <v>0</v>
      </c>
      <c r="L220" s="208">
        <v>498091</v>
      </c>
      <c r="M220" s="208">
        <v>9375</v>
      </c>
      <c r="N220" s="208">
        <v>0</v>
      </c>
      <c r="O220" s="208">
        <v>9375</v>
      </c>
      <c r="P220" s="208">
        <v>199854</v>
      </c>
      <c r="Q220" s="208">
        <v>0</v>
      </c>
      <c r="R220" s="208">
        <v>199854</v>
      </c>
      <c r="S220" s="208">
        <v>-3162311</v>
      </c>
      <c r="T220" s="208">
        <v>0</v>
      </c>
      <c r="U220" s="208">
        <v>-3162311</v>
      </c>
      <c r="V220" s="208">
        <v>-4443</v>
      </c>
      <c r="W220" s="208">
        <v>0</v>
      </c>
      <c r="X220" s="208">
        <v>-4443</v>
      </c>
      <c r="Y220" s="208">
        <v>-77489</v>
      </c>
      <c r="Z220" s="208">
        <v>0</v>
      </c>
      <c r="AA220" s="208">
        <v>-77489</v>
      </c>
      <c r="AB220" s="208">
        <v>-9048</v>
      </c>
      <c r="AC220" s="208">
        <v>0</v>
      </c>
      <c r="AD220" s="208">
        <v>-9048</v>
      </c>
      <c r="AE220" s="208">
        <v>-71337</v>
      </c>
      <c r="AF220" s="208">
        <v>0</v>
      </c>
      <c r="AG220" s="208">
        <v>-71337</v>
      </c>
      <c r="AH220" s="208">
        <v>0</v>
      </c>
      <c r="AI220" s="208">
        <v>0</v>
      </c>
      <c r="AJ220" s="208">
        <v>0</v>
      </c>
      <c r="AK220" s="208">
        <v>-348</v>
      </c>
      <c r="AL220" s="208">
        <v>0</v>
      </c>
      <c r="AM220" s="208">
        <v>-348</v>
      </c>
      <c r="AN220" s="208">
        <v>267211</v>
      </c>
      <c r="AO220" s="208">
        <v>0</v>
      </c>
      <c r="AP220" s="208">
        <v>267211</v>
      </c>
      <c r="AQ220" s="208">
        <v>-1155</v>
      </c>
      <c r="AR220" s="208">
        <v>0</v>
      </c>
      <c r="AS220" s="208">
        <v>-1155</v>
      </c>
      <c r="AT220" s="208">
        <v>-496141</v>
      </c>
      <c r="AU220" s="208">
        <v>0</v>
      </c>
      <c r="AV220" s="208">
        <v>-496141</v>
      </c>
      <c r="AW220" s="208">
        <v>43168</v>
      </c>
      <c r="AX220" s="208">
        <v>0</v>
      </c>
      <c r="AY220" s="208">
        <v>43168</v>
      </c>
      <c r="AZ220" s="208">
        <v>-51817</v>
      </c>
      <c r="BA220" s="208">
        <v>0</v>
      </c>
      <c r="BB220" s="208">
        <v>-51817</v>
      </c>
      <c r="BC220" s="208">
        <v>0</v>
      </c>
      <c r="BD220" s="208">
        <v>0</v>
      </c>
      <c r="BE220" s="208">
        <v>0</v>
      </c>
      <c r="BF220" s="208">
        <v>-1002</v>
      </c>
      <c r="BG220" s="208">
        <v>0</v>
      </c>
      <c r="BH220" s="208">
        <v>-1002</v>
      </c>
      <c r="BI220" s="208">
        <v>0</v>
      </c>
      <c r="BJ220" s="208">
        <v>0</v>
      </c>
      <c r="BK220" s="208">
        <v>0</v>
      </c>
      <c r="BL220" s="208">
        <v>-3479536</v>
      </c>
      <c r="BM220" s="208">
        <v>0</v>
      </c>
      <c r="BN220" s="208">
        <v>-3479536</v>
      </c>
      <c r="BO220" s="208">
        <v>0</v>
      </c>
      <c r="BP220" s="208">
        <v>0</v>
      </c>
      <c r="BQ220" s="208">
        <v>0</v>
      </c>
      <c r="BR220" s="208">
        <v>0</v>
      </c>
      <c r="BS220" s="208">
        <v>0</v>
      </c>
      <c r="BT220" s="208">
        <v>0</v>
      </c>
      <c r="BU220" s="208">
        <v>-750083</v>
      </c>
      <c r="BV220" s="208">
        <v>0</v>
      </c>
      <c r="BW220" s="208">
        <v>-750083</v>
      </c>
      <c r="BX220" s="208">
        <v>7370</v>
      </c>
      <c r="BY220" s="208">
        <v>0</v>
      </c>
      <c r="BZ220" s="208">
        <v>7370</v>
      </c>
      <c r="CA220" s="208">
        <v>-742713</v>
      </c>
      <c r="CB220" s="208">
        <v>0</v>
      </c>
      <c r="CC220" s="208">
        <v>-742713</v>
      </c>
      <c r="CD220" s="208">
        <v>-62462</v>
      </c>
      <c r="CE220" s="208">
        <v>0</v>
      </c>
      <c r="CF220" s="208">
        <v>-62462</v>
      </c>
      <c r="CG220" s="208">
        <v>-985</v>
      </c>
      <c r="CH220" s="208">
        <v>0</v>
      </c>
      <c r="CI220" s="208">
        <v>-985</v>
      </c>
      <c r="CJ220" s="208">
        <v>-30103</v>
      </c>
      <c r="CK220" s="208">
        <v>0</v>
      </c>
      <c r="CL220" s="208">
        <v>-30103</v>
      </c>
      <c r="CM220" s="208">
        <v>0</v>
      </c>
      <c r="CN220" s="208">
        <v>0</v>
      </c>
      <c r="CO220" s="208">
        <v>0</v>
      </c>
      <c r="CP220" s="208">
        <v>-3314</v>
      </c>
      <c r="CQ220" s="208">
        <v>0</v>
      </c>
      <c r="CR220" s="208">
        <v>-3314</v>
      </c>
      <c r="CS220" s="208">
        <v>0</v>
      </c>
      <c r="CT220" s="208">
        <v>0</v>
      </c>
      <c r="CU220" s="208">
        <v>0</v>
      </c>
      <c r="CV220" s="208">
        <v>0</v>
      </c>
      <c r="CW220" s="208">
        <v>0</v>
      </c>
      <c r="CX220" s="208">
        <v>0</v>
      </c>
      <c r="CY220" s="208">
        <v>0</v>
      </c>
      <c r="CZ220" s="208">
        <v>0</v>
      </c>
      <c r="DA220" s="208">
        <v>0</v>
      </c>
      <c r="DB220" s="208">
        <v>0</v>
      </c>
      <c r="DC220" s="208">
        <v>0</v>
      </c>
      <c r="DD220" s="208">
        <v>0</v>
      </c>
      <c r="DE220" s="208">
        <v>0</v>
      </c>
      <c r="DF220" s="208">
        <v>0</v>
      </c>
      <c r="DG220" s="208">
        <v>0</v>
      </c>
      <c r="DH220" s="208">
        <v>0</v>
      </c>
      <c r="DI220" s="208">
        <v>0</v>
      </c>
      <c r="DJ220" s="208">
        <v>0</v>
      </c>
      <c r="DK220" s="208">
        <v>0</v>
      </c>
      <c r="DL220" s="208">
        <v>0</v>
      </c>
      <c r="DM220" s="208">
        <v>0</v>
      </c>
      <c r="DN220" s="208">
        <v>0</v>
      </c>
      <c r="DO220" s="208">
        <v>0</v>
      </c>
      <c r="DP220" s="208">
        <v>-96864</v>
      </c>
      <c r="DQ220" s="208">
        <v>0</v>
      </c>
      <c r="DR220" s="208">
        <v>-96864</v>
      </c>
      <c r="DS220" s="208">
        <v>0</v>
      </c>
      <c r="DT220" s="208">
        <v>0</v>
      </c>
      <c r="DU220" s="208">
        <v>0</v>
      </c>
      <c r="DV220" s="208">
        <v>0</v>
      </c>
      <c r="DW220" s="208">
        <v>0</v>
      </c>
      <c r="DX220" s="208">
        <v>0</v>
      </c>
      <c r="DY220" s="208">
        <v>0</v>
      </c>
      <c r="DZ220" s="208">
        <v>0</v>
      </c>
      <c r="EA220" s="208">
        <v>0</v>
      </c>
      <c r="EB220" s="208">
        <v>0</v>
      </c>
      <c r="EC220" s="208">
        <v>0</v>
      </c>
      <c r="ED220" s="208">
        <v>0</v>
      </c>
      <c r="EE220" s="208">
        <v>0</v>
      </c>
      <c r="EF220" s="208">
        <v>0</v>
      </c>
      <c r="EG220" s="208">
        <v>0</v>
      </c>
      <c r="EH220" s="208">
        <v>0</v>
      </c>
      <c r="EI220" s="208">
        <v>0</v>
      </c>
      <c r="EJ220" s="208">
        <v>0</v>
      </c>
      <c r="EK220" s="208">
        <v>-1002</v>
      </c>
      <c r="EL220" s="208">
        <v>0</v>
      </c>
      <c r="EM220" s="208">
        <v>-1002</v>
      </c>
      <c r="EN220" s="208">
        <v>0</v>
      </c>
      <c r="EO220" s="208">
        <v>0</v>
      </c>
      <c r="EP220" s="208">
        <v>0</v>
      </c>
      <c r="EQ220" s="208">
        <v>0</v>
      </c>
      <c r="ER220" s="208">
        <v>0</v>
      </c>
      <c r="ES220" s="208">
        <v>0</v>
      </c>
      <c r="ET220" s="208">
        <v>0</v>
      </c>
      <c r="EU220" s="208">
        <v>0</v>
      </c>
      <c r="EV220" s="208">
        <v>0</v>
      </c>
      <c r="EW220" s="208">
        <v>-5604</v>
      </c>
      <c r="EX220" s="208">
        <v>0</v>
      </c>
      <c r="EY220" s="208">
        <v>-5604</v>
      </c>
      <c r="EZ220" s="208">
        <v>42</v>
      </c>
      <c r="FA220" s="208">
        <v>0</v>
      </c>
      <c r="FB220" s="208">
        <v>42</v>
      </c>
      <c r="FC220" s="208">
        <v>-24461</v>
      </c>
      <c r="FD220" s="208">
        <v>0</v>
      </c>
      <c r="FE220" s="208">
        <v>-24461</v>
      </c>
      <c r="FF220" s="208">
        <v>5873</v>
      </c>
      <c r="FG220" s="208">
        <v>0</v>
      </c>
      <c r="FH220" s="208">
        <v>5873</v>
      </c>
      <c r="FI220" s="208">
        <v>-25556</v>
      </c>
      <c r="FJ220" s="208">
        <v>0</v>
      </c>
      <c r="FK220" s="208">
        <v>-25556</v>
      </c>
      <c r="FL220" s="208">
        <v>-1668</v>
      </c>
      <c r="FM220" s="208">
        <v>0</v>
      </c>
      <c r="FN220" s="208">
        <v>-1668</v>
      </c>
      <c r="FO220" s="208">
        <v>0</v>
      </c>
      <c r="FP220" s="208">
        <v>0</v>
      </c>
      <c r="FQ220" s="208">
        <v>0</v>
      </c>
      <c r="FR220" s="208">
        <v>0</v>
      </c>
      <c r="FS220" s="208">
        <v>0</v>
      </c>
      <c r="FT220" s="208">
        <v>0</v>
      </c>
      <c r="FU220" s="208">
        <v>-52376</v>
      </c>
      <c r="FV220" s="208">
        <v>0</v>
      </c>
      <c r="FW220" s="208">
        <v>-52376</v>
      </c>
      <c r="FX220" s="208">
        <v>0</v>
      </c>
      <c r="FY220" s="208">
        <v>0</v>
      </c>
      <c r="FZ220" s="208">
        <v>0</v>
      </c>
      <c r="GA220" s="208">
        <v>0</v>
      </c>
      <c r="GB220" s="208">
        <v>0</v>
      </c>
      <c r="GC220" s="208">
        <v>0</v>
      </c>
      <c r="GD220" s="208">
        <v>0</v>
      </c>
      <c r="GE220" s="208">
        <v>0</v>
      </c>
      <c r="GF220" s="208">
        <v>0</v>
      </c>
      <c r="GG220" s="208">
        <v>17276436</v>
      </c>
      <c r="GH220" s="208">
        <v>0</v>
      </c>
      <c r="GI220" s="208">
        <v>17276436</v>
      </c>
      <c r="GJ220" s="208">
        <v>199854</v>
      </c>
      <c r="GK220" s="208">
        <v>0</v>
      </c>
      <c r="GL220" s="208">
        <v>199854</v>
      </c>
      <c r="GM220" s="208">
        <v>-3479536</v>
      </c>
      <c r="GN220" s="208">
        <v>0</v>
      </c>
      <c r="GO220" s="208">
        <v>-3479536</v>
      </c>
      <c r="GP220" s="208">
        <v>-742713</v>
      </c>
      <c r="GQ220" s="208">
        <v>0</v>
      </c>
      <c r="GR220" s="208">
        <v>-742713</v>
      </c>
      <c r="GS220" s="208">
        <v>-96864</v>
      </c>
      <c r="GT220" s="208">
        <v>0</v>
      </c>
      <c r="GU220" s="208">
        <v>-96864</v>
      </c>
      <c r="GV220" s="208">
        <v>-52376</v>
      </c>
      <c r="GW220" s="208">
        <v>0</v>
      </c>
      <c r="GX220" s="208">
        <v>-52376</v>
      </c>
      <c r="GY220" s="208">
        <v>0</v>
      </c>
      <c r="GZ220" s="208">
        <v>0</v>
      </c>
      <c r="HA220" s="208">
        <v>0</v>
      </c>
      <c r="HB220" s="208">
        <v>-4171635</v>
      </c>
      <c r="HC220" s="208">
        <v>0</v>
      </c>
      <c r="HD220" s="208">
        <v>-4171635</v>
      </c>
      <c r="HE220" s="208">
        <v>13104801</v>
      </c>
      <c r="HF220" s="208">
        <v>0</v>
      </c>
      <c r="HG220" s="208">
        <v>13104801</v>
      </c>
      <c r="HH220" s="187" t="s">
        <v>1054</v>
      </c>
    </row>
    <row r="221" spans="1:216" s="187" customFormat="1" x14ac:dyDescent="0.2">
      <c r="B221" s="429" t="s">
        <v>519</v>
      </c>
      <c r="C221" s="429" t="s">
        <v>518</v>
      </c>
      <c r="D221" s="208">
        <v>-906645</v>
      </c>
      <c r="E221" s="208">
        <v>0</v>
      </c>
      <c r="F221" s="208">
        <v>-906645</v>
      </c>
      <c r="G221" s="208">
        <v>-10180</v>
      </c>
      <c r="H221" s="208">
        <v>0</v>
      </c>
      <c r="I221" s="208">
        <v>-10180</v>
      </c>
      <c r="J221" s="208">
        <v>205619</v>
      </c>
      <c r="K221" s="208">
        <v>0</v>
      </c>
      <c r="L221" s="208">
        <v>205619</v>
      </c>
      <c r="M221" s="208">
        <v>-3940</v>
      </c>
      <c r="N221" s="208">
        <v>0</v>
      </c>
      <c r="O221" s="208">
        <v>-3940</v>
      </c>
      <c r="P221" s="208">
        <v>-715146</v>
      </c>
      <c r="Q221" s="208">
        <v>0</v>
      </c>
      <c r="R221" s="208">
        <v>-715146</v>
      </c>
      <c r="S221" s="208">
        <v>-4659458</v>
      </c>
      <c r="T221" s="208">
        <v>0</v>
      </c>
      <c r="U221" s="208">
        <v>-4659458</v>
      </c>
      <c r="V221" s="208">
        <v>0</v>
      </c>
      <c r="W221" s="208">
        <v>0</v>
      </c>
      <c r="X221" s="208">
        <v>0</v>
      </c>
      <c r="Y221" s="208">
        <v>-124950</v>
      </c>
      <c r="Z221" s="208">
        <v>0</v>
      </c>
      <c r="AA221" s="208">
        <v>-124950</v>
      </c>
      <c r="AB221" s="208">
        <v>-35725</v>
      </c>
      <c r="AC221" s="208">
        <v>0</v>
      </c>
      <c r="AD221" s="208">
        <v>-35725</v>
      </c>
      <c r="AE221" s="208">
        <v>-87200</v>
      </c>
      <c r="AF221" s="208">
        <v>0</v>
      </c>
      <c r="AG221" s="208">
        <v>-87200</v>
      </c>
      <c r="AH221" s="208">
        <v>0</v>
      </c>
      <c r="AI221" s="208">
        <v>0</v>
      </c>
      <c r="AJ221" s="208">
        <v>0</v>
      </c>
      <c r="AK221" s="208">
        <v>3110.18</v>
      </c>
      <c r="AL221" s="208">
        <v>0</v>
      </c>
      <c r="AM221" s="208">
        <v>3110.18</v>
      </c>
      <c r="AN221" s="208">
        <v>388197</v>
      </c>
      <c r="AO221" s="208">
        <v>0</v>
      </c>
      <c r="AP221" s="208">
        <v>388197</v>
      </c>
      <c r="AQ221" s="208">
        <v>-19483</v>
      </c>
      <c r="AR221" s="208">
        <v>0</v>
      </c>
      <c r="AS221" s="208">
        <v>-19483</v>
      </c>
      <c r="AT221" s="208">
        <v>-2442197</v>
      </c>
      <c r="AU221" s="208">
        <v>0</v>
      </c>
      <c r="AV221" s="208">
        <v>-2442197</v>
      </c>
      <c r="AW221" s="208">
        <v>7730</v>
      </c>
      <c r="AX221" s="208">
        <v>0</v>
      </c>
      <c r="AY221" s="208">
        <v>7730</v>
      </c>
      <c r="AZ221" s="208">
        <v>-75242</v>
      </c>
      <c r="BA221" s="208">
        <v>0</v>
      </c>
      <c r="BB221" s="208">
        <v>-75242</v>
      </c>
      <c r="BC221" s="208">
        <v>0</v>
      </c>
      <c r="BD221" s="208">
        <v>0</v>
      </c>
      <c r="BE221" s="208">
        <v>0</v>
      </c>
      <c r="BF221" s="208">
        <v>-35537</v>
      </c>
      <c r="BG221" s="208">
        <v>0</v>
      </c>
      <c r="BH221" s="208">
        <v>-35537</v>
      </c>
      <c r="BI221" s="208">
        <v>582</v>
      </c>
      <c r="BJ221" s="208">
        <v>0</v>
      </c>
      <c r="BK221" s="208">
        <v>582</v>
      </c>
      <c r="BL221" s="208">
        <v>-6960358</v>
      </c>
      <c r="BM221" s="208">
        <v>0</v>
      </c>
      <c r="BN221" s="208">
        <v>-6960358</v>
      </c>
      <c r="BO221" s="208">
        <v>0</v>
      </c>
      <c r="BP221" s="208">
        <v>0</v>
      </c>
      <c r="BQ221" s="208">
        <v>0</v>
      </c>
      <c r="BR221" s="208">
        <v>0</v>
      </c>
      <c r="BS221" s="208">
        <v>0</v>
      </c>
      <c r="BT221" s="208">
        <v>0</v>
      </c>
      <c r="BU221" s="208">
        <v>-433355</v>
      </c>
      <c r="BV221" s="208">
        <v>0</v>
      </c>
      <c r="BW221" s="208">
        <v>-433355</v>
      </c>
      <c r="BX221" s="208">
        <v>-13800</v>
      </c>
      <c r="BY221" s="208">
        <v>0</v>
      </c>
      <c r="BZ221" s="208">
        <v>-13800</v>
      </c>
      <c r="CA221" s="208">
        <v>-447155</v>
      </c>
      <c r="CB221" s="208">
        <v>0</v>
      </c>
      <c r="CC221" s="208">
        <v>-447155</v>
      </c>
      <c r="CD221" s="208">
        <v>-30892</v>
      </c>
      <c r="CE221" s="208">
        <v>0</v>
      </c>
      <c r="CF221" s="208">
        <v>-30892</v>
      </c>
      <c r="CG221" s="208">
        <v>-253</v>
      </c>
      <c r="CH221" s="208">
        <v>0</v>
      </c>
      <c r="CI221" s="208">
        <v>-253</v>
      </c>
      <c r="CJ221" s="208">
        <v>0</v>
      </c>
      <c r="CK221" s="208">
        <v>0</v>
      </c>
      <c r="CL221" s="208">
        <v>0</v>
      </c>
      <c r="CM221" s="208">
        <v>0</v>
      </c>
      <c r="CN221" s="208">
        <v>0</v>
      </c>
      <c r="CO221" s="208">
        <v>0</v>
      </c>
      <c r="CP221" s="208">
        <v>-4442</v>
      </c>
      <c r="CQ221" s="208">
        <v>0</v>
      </c>
      <c r="CR221" s="208">
        <v>-4442</v>
      </c>
      <c r="CS221" s="208">
        <v>-6</v>
      </c>
      <c r="CT221" s="208">
        <v>0</v>
      </c>
      <c r="CU221" s="208">
        <v>-6</v>
      </c>
      <c r="CV221" s="208">
        <v>0</v>
      </c>
      <c r="CW221" s="208">
        <v>0</v>
      </c>
      <c r="CX221" s="208">
        <v>0</v>
      </c>
      <c r="CY221" s="208">
        <v>0</v>
      </c>
      <c r="CZ221" s="208">
        <v>0</v>
      </c>
      <c r="DA221" s="208">
        <v>0</v>
      </c>
      <c r="DB221" s="208">
        <v>0</v>
      </c>
      <c r="DC221" s="208">
        <v>0</v>
      </c>
      <c r="DD221" s="208">
        <v>0</v>
      </c>
      <c r="DE221" s="208">
        <v>0</v>
      </c>
      <c r="DF221" s="208">
        <v>0</v>
      </c>
      <c r="DG221" s="208">
        <v>0</v>
      </c>
      <c r="DH221" s="208">
        <v>0</v>
      </c>
      <c r="DI221" s="208">
        <v>0</v>
      </c>
      <c r="DJ221" s="208">
        <v>0</v>
      </c>
      <c r="DK221" s="208">
        <v>0</v>
      </c>
      <c r="DL221" s="208">
        <v>0</v>
      </c>
      <c r="DM221" s="208">
        <v>0</v>
      </c>
      <c r="DN221" s="208">
        <v>0</v>
      </c>
      <c r="DO221" s="208">
        <v>0</v>
      </c>
      <c r="DP221" s="208">
        <v>-35593</v>
      </c>
      <c r="DQ221" s="208">
        <v>0</v>
      </c>
      <c r="DR221" s="208">
        <v>-35593</v>
      </c>
      <c r="DS221" s="208">
        <v>0</v>
      </c>
      <c r="DT221" s="208">
        <v>0</v>
      </c>
      <c r="DU221" s="208">
        <v>0</v>
      </c>
      <c r="DV221" s="208">
        <v>0</v>
      </c>
      <c r="DW221" s="208">
        <v>0</v>
      </c>
      <c r="DX221" s="208">
        <v>0</v>
      </c>
      <c r="DY221" s="208">
        <v>-940</v>
      </c>
      <c r="DZ221" s="208">
        <v>0</v>
      </c>
      <c r="EA221" s="208">
        <v>-940</v>
      </c>
      <c r="EB221" s="208">
        <v>0</v>
      </c>
      <c r="EC221" s="208">
        <v>0</v>
      </c>
      <c r="ED221" s="208">
        <v>0</v>
      </c>
      <c r="EE221" s="208">
        <v>0</v>
      </c>
      <c r="EF221" s="208">
        <v>0</v>
      </c>
      <c r="EG221" s="208">
        <v>0</v>
      </c>
      <c r="EH221" s="208">
        <v>-261</v>
      </c>
      <c r="EI221" s="208">
        <v>0</v>
      </c>
      <c r="EJ221" s="208">
        <v>-261</v>
      </c>
      <c r="EK221" s="208">
        <v>-35537</v>
      </c>
      <c r="EL221" s="208">
        <v>0</v>
      </c>
      <c r="EM221" s="208">
        <v>-35537</v>
      </c>
      <c r="EN221" s="208">
        <v>582</v>
      </c>
      <c r="EO221" s="208">
        <v>0</v>
      </c>
      <c r="EP221" s="208">
        <v>582</v>
      </c>
      <c r="EQ221" s="208">
        <v>0</v>
      </c>
      <c r="ER221" s="208">
        <v>0</v>
      </c>
      <c r="ES221" s="208">
        <v>0</v>
      </c>
      <c r="ET221" s="208">
        <v>0</v>
      </c>
      <c r="EU221" s="208">
        <v>0</v>
      </c>
      <c r="EV221" s="208">
        <v>0</v>
      </c>
      <c r="EW221" s="208">
        <v>-44353</v>
      </c>
      <c r="EX221" s="208">
        <v>0</v>
      </c>
      <c r="EY221" s="208">
        <v>-44353</v>
      </c>
      <c r="EZ221" s="208">
        <v>0</v>
      </c>
      <c r="FA221" s="208">
        <v>0</v>
      </c>
      <c r="FB221" s="208">
        <v>0</v>
      </c>
      <c r="FC221" s="208">
        <v>-64980</v>
      </c>
      <c r="FD221" s="208">
        <v>0</v>
      </c>
      <c r="FE221" s="208">
        <v>-64980</v>
      </c>
      <c r="FF221" s="208">
        <v>4764</v>
      </c>
      <c r="FG221" s="208">
        <v>0</v>
      </c>
      <c r="FH221" s="208">
        <v>4764</v>
      </c>
      <c r="FI221" s="208">
        <v>-34256</v>
      </c>
      <c r="FJ221" s="208">
        <v>0</v>
      </c>
      <c r="FK221" s="208">
        <v>-34256</v>
      </c>
      <c r="FL221" s="208">
        <v>-2000</v>
      </c>
      <c r="FM221" s="208">
        <v>0</v>
      </c>
      <c r="FN221" s="208">
        <v>-2000</v>
      </c>
      <c r="FO221" s="208">
        <v>0</v>
      </c>
      <c r="FP221" s="208">
        <v>0</v>
      </c>
      <c r="FQ221" s="208">
        <v>0</v>
      </c>
      <c r="FR221" s="208">
        <v>0</v>
      </c>
      <c r="FS221" s="208">
        <v>0</v>
      </c>
      <c r="FT221" s="208">
        <v>0</v>
      </c>
      <c r="FU221" s="208">
        <v>-176981</v>
      </c>
      <c r="FV221" s="208">
        <v>0</v>
      </c>
      <c r="FW221" s="208">
        <v>-176981</v>
      </c>
      <c r="FX221" s="208">
        <v>-4201</v>
      </c>
      <c r="FY221" s="208">
        <v>0</v>
      </c>
      <c r="FZ221" s="208">
        <v>-4201</v>
      </c>
      <c r="GA221" s="208">
        <v>0</v>
      </c>
      <c r="GB221" s="208">
        <v>0</v>
      </c>
      <c r="GC221" s="208">
        <v>0</v>
      </c>
      <c r="GD221" s="208">
        <v>-4201</v>
      </c>
      <c r="GE221" s="208">
        <v>0</v>
      </c>
      <c r="GF221" s="208">
        <v>-4201</v>
      </c>
      <c r="GG221" s="208">
        <v>25973166</v>
      </c>
      <c r="GH221" s="208">
        <v>0</v>
      </c>
      <c r="GI221" s="208">
        <v>25973166</v>
      </c>
      <c r="GJ221" s="208">
        <v>-715146</v>
      </c>
      <c r="GK221" s="208">
        <v>0</v>
      </c>
      <c r="GL221" s="208">
        <v>-715146</v>
      </c>
      <c r="GM221" s="208">
        <v>-6960358</v>
      </c>
      <c r="GN221" s="208">
        <v>0</v>
      </c>
      <c r="GO221" s="208">
        <v>-6960358</v>
      </c>
      <c r="GP221" s="208">
        <v>-447155</v>
      </c>
      <c r="GQ221" s="208">
        <v>0</v>
      </c>
      <c r="GR221" s="208">
        <v>-447155</v>
      </c>
      <c r="GS221" s="208">
        <v>-35593</v>
      </c>
      <c r="GT221" s="208">
        <v>0</v>
      </c>
      <c r="GU221" s="208">
        <v>-35593</v>
      </c>
      <c r="GV221" s="208">
        <v>-176981</v>
      </c>
      <c r="GW221" s="208">
        <v>0</v>
      </c>
      <c r="GX221" s="208">
        <v>-176981</v>
      </c>
      <c r="GY221" s="208">
        <v>-4201</v>
      </c>
      <c r="GZ221" s="208">
        <v>0</v>
      </c>
      <c r="HA221" s="208">
        <v>-4201</v>
      </c>
      <c r="HB221" s="208">
        <v>-8339434</v>
      </c>
      <c r="HC221" s="208">
        <v>0</v>
      </c>
      <c r="HD221" s="208">
        <v>-8339434</v>
      </c>
      <c r="HE221" s="208">
        <v>17633732</v>
      </c>
      <c r="HF221" s="208">
        <v>0</v>
      </c>
      <c r="HG221" s="208">
        <v>17633732</v>
      </c>
      <c r="HH221" s="187" t="s">
        <v>1054</v>
      </c>
    </row>
    <row r="222" spans="1:216" s="187" customFormat="1" x14ac:dyDescent="0.2">
      <c r="B222" s="429" t="s">
        <v>521</v>
      </c>
      <c r="C222" s="429" t="s">
        <v>520</v>
      </c>
      <c r="D222" s="208">
        <v>-1141386</v>
      </c>
      <c r="E222" s="208">
        <v>-6279</v>
      </c>
      <c r="F222" s="208">
        <v>-1147665</v>
      </c>
      <c r="G222" s="208">
        <v>-131957</v>
      </c>
      <c r="H222" s="208">
        <v>0</v>
      </c>
      <c r="I222" s="208">
        <v>-131957</v>
      </c>
      <c r="J222" s="208">
        <v>4099620</v>
      </c>
      <c r="K222" s="208">
        <v>0</v>
      </c>
      <c r="L222" s="208">
        <v>4099620</v>
      </c>
      <c r="M222" s="208">
        <v>-47381</v>
      </c>
      <c r="N222" s="208">
        <v>0</v>
      </c>
      <c r="O222" s="208">
        <v>-47381</v>
      </c>
      <c r="P222" s="208">
        <v>2778896</v>
      </c>
      <c r="Q222" s="208">
        <v>-6279</v>
      </c>
      <c r="R222" s="208">
        <v>2772617</v>
      </c>
      <c r="S222" s="208">
        <v>-8392439</v>
      </c>
      <c r="T222" s="208">
        <v>-27379</v>
      </c>
      <c r="U222" s="208">
        <v>-8419818</v>
      </c>
      <c r="V222" s="208">
        <v>-32733</v>
      </c>
      <c r="W222" s="208">
        <v>0</v>
      </c>
      <c r="X222" s="208">
        <v>-32733</v>
      </c>
      <c r="Y222" s="208">
        <v>-130956</v>
      </c>
      <c r="Z222" s="208">
        <v>-116</v>
      </c>
      <c r="AA222" s="208">
        <v>-131072</v>
      </c>
      <c r="AB222" s="208">
        <v>9439</v>
      </c>
      <c r="AC222" s="208">
        <v>0</v>
      </c>
      <c r="AD222" s="208">
        <v>9439</v>
      </c>
      <c r="AE222" s="208">
        <v>-140395</v>
      </c>
      <c r="AF222" s="208">
        <v>-116</v>
      </c>
      <c r="AG222" s="208">
        <v>-140511</v>
      </c>
      <c r="AH222" s="208">
        <v>-522</v>
      </c>
      <c r="AI222" s="208">
        <v>0</v>
      </c>
      <c r="AJ222" s="208">
        <v>-522</v>
      </c>
      <c r="AK222" s="208">
        <v>-171</v>
      </c>
      <c r="AL222" s="208">
        <v>0</v>
      </c>
      <c r="AM222" s="208">
        <v>-171</v>
      </c>
      <c r="AN222" s="208">
        <v>1740674</v>
      </c>
      <c r="AO222" s="208">
        <v>15047</v>
      </c>
      <c r="AP222" s="208">
        <v>1755721</v>
      </c>
      <c r="AQ222" s="208">
        <v>-8590</v>
      </c>
      <c r="AR222" s="208">
        <v>32</v>
      </c>
      <c r="AS222" s="208">
        <v>-8558</v>
      </c>
      <c r="AT222" s="208">
        <v>-5516808</v>
      </c>
      <c r="AU222" s="208">
        <v>-117334</v>
      </c>
      <c r="AV222" s="208">
        <v>-5634142</v>
      </c>
      <c r="AW222" s="208">
        <v>-10412</v>
      </c>
      <c r="AX222" s="208">
        <v>0</v>
      </c>
      <c r="AY222" s="208">
        <v>-10412</v>
      </c>
      <c r="AZ222" s="208">
        <v>-15963</v>
      </c>
      <c r="BA222" s="208">
        <v>0</v>
      </c>
      <c r="BB222" s="208">
        <v>-15963</v>
      </c>
      <c r="BC222" s="208">
        <v>0</v>
      </c>
      <c r="BD222" s="208">
        <v>0</v>
      </c>
      <c r="BE222" s="208">
        <v>0</v>
      </c>
      <c r="BF222" s="208">
        <v>-14021</v>
      </c>
      <c r="BG222" s="208">
        <v>0</v>
      </c>
      <c r="BH222" s="208">
        <v>-14021</v>
      </c>
      <c r="BI222" s="208">
        <v>0</v>
      </c>
      <c r="BJ222" s="208">
        <v>0</v>
      </c>
      <c r="BK222" s="208">
        <v>0</v>
      </c>
      <c r="BL222" s="208">
        <v>-12348515</v>
      </c>
      <c r="BM222" s="208">
        <v>-129750</v>
      </c>
      <c r="BN222" s="208">
        <v>-12478265</v>
      </c>
      <c r="BO222" s="208">
        <v>0</v>
      </c>
      <c r="BP222" s="208">
        <v>0</v>
      </c>
      <c r="BQ222" s="208">
        <v>0</v>
      </c>
      <c r="BR222" s="208">
        <v>0</v>
      </c>
      <c r="BS222" s="208">
        <v>0</v>
      </c>
      <c r="BT222" s="208">
        <v>0</v>
      </c>
      <c r="BU222" s="208">
        <v>-2282167</v>
      </c>
      <c r="BV222" s="208">
        <v>-3694</v>
      </c>
      <c r="BW222" s="208">
        <v>-2285861</v>
      </c>
      <c r="BX222" s="208">
        <v>-92416</v>
      </c>
      <c r="BY222" s="208">
        <v>0</v>
      </c>
      <c r="BZ222" s="208">
        <v>-92416</v>
      </c>
      <c r="CA222" s="208">
        <v>-2374583</v>
      </c>
      <c r="CB222" s="208">
        <v>-3694</v>
      </c>
      <c r="CC222" s="208">
        <v>-2378277</v>
      </c>
      <c r="CD222" s="208">
        <v>-124953</v>
      </c>
      <c r="CE222" s="208">
        <v>0</v>
      </c>
      <c r="CF222" s="208">
        <v>-124953</v>
      </c>
      <c r="CG222" s="208">
        <v>-851</v>
      </c>
      <c r="CH222" s="208">
        <v>0</v>
      </c>
      <c r="CI222" s="208">
        <v>-851</v>
      </c>
      <c r="CJ222" s="208">
        <v>-646894</v>
      </c>
      <c r="CK222" s="208">
        <v>0</v>
      </c>
      <c r="CL222" s="208">
        <v>-646894</v>
      </c>
      <c r="CM222" s="208">
        <v>0</v>
      </c>
      <c r="CN222" s="208">
        <v>0</v>
      </c>
      <c r="CO222" s="208">
        <v>0</v>
      </c>
      <c r="CP222" s="208">
        <v>-3991</v>
      </c>
      <c r="CQ222" s="208">
        <v>0</v>
      </c>
      <c r="CR222" s="208">
        <v>-3991</v>
      </c>
      <c r="CS222" s="208">
        <v>0</v>
      </c>
      <c r="CT222" s="208">
        <v>0</v>
      </c>
      <c r="CU222" s="208">
        <v>0</v>
      </c>
      <c r="CV222" s="208">
        <v>0</v>
      </c>
      <c r="CW222" s="208">
        <v>0</v>
      </c>
      <c r="CX222" s="208">
        <v>0</v>
      </c>
      <c r="CY222" s="208">
        <v>0</v>
      </c>
      <c r="CZ222" s="208">
        <v>0</v>
      </c>
      <c r="DA222" s="208">
        <v>0</v>
      </c>
      <c r="DB222" s="208">
        <v>0</v>
      </c>
      <c r="DC222" s="208">
        <v>0</v>
      </c>
      <c r="DD222" s="208">
        <v>0</v>
      </c>
      <c r="DE222" s="208">
        <v>0</v>
      </c>
      <c r="DF222" s="208">
        <v>0</v>
      </c>
      <c r="DG222" s="208">
        <v>0</v>
      </c>
      <c r="DH222" s="208">
        <v>-84766</v>
      </c>
      <c r="DI222" s="208">
        <v>-234133</v>
      </c>
      <c r="DJ222" s="208">
        <v>-318899</v>
      </c>
      <c r="DK222" s="208">
        <v>0</v>
      </c>
      <c r="DL222" s="208">
        <v>-5133</v>
      </c>
      <c r="DM222" s="208">
        <v>-5133</v>
      </c>
      <c r="DN222" s="208">
        <v>-239266</v>
      </c>
      <c r="DO222" s="208">
        <v>0</v>
      </c>
      <c r="DP222" s="208">
        <v>-861455</v>
      </c>
      <c r="DQ222" s="208">
        <v>-239266</v>
      </c>
      <c r="DR222" s="208">
        <v>-1100721</v>
      </c>
      <c r="DS222" s="208">
        <v>0</v>
      </c>
      <c r="DT222" s="208">
        <v>0</v>
      </c>
      <c r="DU222" s="208">
        <v>0</v>
      </c>
      <c r="DV222" s="208">
        <v>0</v>
      </c>
      <c r="DW222" s="208">
        <v>0</v>
      </c>
      <c r="DX222" s="208">
        <v>0</v>
      </c>
      <c r="DY222" s="208">
        <v>0</v>
      </c>
      <c r="DZ222" s="208">
        <v>0</v>
      </c>
      <c r="EA222" s="208">
        <v>0</v>
      </c>
      <c r="EB222" s="208">
        <v>0</v>
      </c>
      <c r="EC222" s="208">
        <v>0</v>
      </c>
      <c r="ED222" s="208">
        <v>0</v>
      </c>
      <c r="EE222" s="208">
        <v>0</v>
      </c>
      <c r="EF222" s="208">
        <v>0</v>
      </c>
      <c r="EG222" s="208">
        <v>0</v>
      </c>
      <c r="EH222" s="208">
        <v>0</v>
      </c>
      <c r="EI222" s="208">
        <v>0</v>
      </c>
      <c r="EJ222" s="208">
        <v>0</v>
      </c>
      <c r="EK222" s="208">
        <v>-14021</v>
      </c>
      <c r="EL222" s="208">
        <v>0</v>
      </c>
      <c r="EM222" s="208">
        <v>-14021</v>
      </c>
      <c r="EN222" s="208">
        <v>0</v>
      </c>
      <c r="EO222" s="208">
        <v>0</v>
      </c>
      <c r="EP222" s="208">
        <v>0</v>
      </c>
      <c r="EQ222" s="208">
        <v>0</v>
      </c>
      <c r="ER222" s="208">
        <v>0</v>
      </c>
      <c r="ES222" s="208">
        <v>0</v>
      </c>
      <c r="ET222" s="208">
        <v>0</v>
      </c>
      <c r="EU222" s="208">
        <v>0</v>
      </c>
      <c r="EV222" s="208">
        <v>0</v>
      </c>
      <c r="EW222" s="208">
        <v>-25714</v>
      </c>
      <c r="EX222" s="208">
        <v>0</v>
      </c>
      <c r="EY222" s="208">
        <v>-25714</v>
      </c>
      <c r="EZ222" s="208">
        <v>-4196</v>
      </c>
      <c r="FA222" s="208">
        <v>0</v>
      </c>
      <c r="FB222" s="208">
        <v>-4196</v>
      </c>
      <c r="FC222" s="208">
        <v>-34924</v>
      </c>
      <c r="FD222" s="208">
        <v>-6731</v>
      </c>
      <c r="FE222" s="208">
        <v>-41655</v>
      </c>
      <c r="FF222" s="208">
        <v>-211629</v>
      </c>
      <c r="FG222" s="208">
        <v>-13141</v>
      </c>
      <c r="FH222" s="208">
        <v>-224770</v>
      </c>
      <c r="FI222" s="208">
        <v>-60570</v>
      </c>
      <c r="FJ222" s="208">
        <v>0</v>
      </c>
      <c r="FK222" s="208">
        <v>-60570</v>
      </c>
      <c r="FL222" s="208">
        <v>-44</v>
      </c>
      <c r="FM222" s="208">
        <v>0</v>
      </c>
      <c r="FN222" s="208">
        <v>-44</v>
      </c>
      <c r="FO222" s="208">
        <v>0</v>
      </c>
      <c r="FP222" s="208">
        <v>0</v>
      </c>
      <c r="FQ222" s="208">
        <v>0</v>
      </c>
      <c r="FR222" s="208">
        <v>0</v>
      </c>
      <c r="FS222" s="208">
        <v>0</v>
      </c>
      <c r="FT222" s="208">
        <v>0</v>
      </c>
      <c r="FU222" s="208">
        <v>-351098</v>
      </c>
      <c r="FV222" s="208">
        <v>-19872</v>
      </c>
      <c r="FW222" s="208">
        <v>-370970</v>
      </c>
      <c r="FX222" s="208">
        <v>0</v>
      </c>
      <c r="FY222" s="208">
        <v>0</v>
      </c>
      <c r="FZ222" s="208">
        <v>0</v>
      </c>
      <c r="GA222" s="208">
        <v>0</v>
      </c>
      <c r="GB222" s="208">
        <v>0</v>
      </c>
      <c r="GC222" s="208">
        <v>0</v>
      </c>
      <c r="GD222" s="208">
        <v>0</v>
      </c>
      <c r="GE222" s="208">
        <v>0</v>
      </c>
      <c r="GF222" s="208">
        <v>0</v>
      </c>
      <c r="GG222" s="208">
        <v>88802807</v>
      </c>
      <c r="GH222" s="208">
        <v>1174554</v>
      </c>
      <c r="GI222" s="208">
        <v>89977361</v>
      </c>
      <c r="GJ222" s="208">
        <v>2778896</v>
      </c>
      <c r="GK222" s="208">
        <v>-6279</v>
      </c>
      <c r="GL222" s="208">
        <v>2772617</v>
      </c>
      <c r="GM222" s="208">
        <v>-12348515</v>
      </c>
      <c r="GN222" s="208">
        <v>-129750</v>
      </c>
      <c r="GO222" s="208">
        <v>-12478265</v>
      </c>
      <c r="GP222" s="208">
        <v>-2374583</v>
      </c>
      <c r="GQ222" s="208">
        <v>-3694</v>
      </c>
      <c r="GR222" s="208">
        <v>-2378277</v>
      </c>
      <c r="GS222" s="208">
        <v>-861455</v>
      </c>
      <c r="GT222" s="208">
        <v>-239266</v>
      </c>
      <c r="GU222" s="208">
        <v>-1100721</v>
      </c>
      <c r="GV222" s="208">
        <v>-351098</v>
      </c>
      <c r="GW222" s="208">
        <v>-19872</v>
      </c>
      <c r="GX222" s="208">
        <v>-370970</v>
      </c>
      <c r="GY222" s="208">
        <v>0</v>
      </c>
      <c r="GZ222" s="208">
        <v>0</v>
      </c>
      <c r="HA222" s="208">
        <v>0</v>
      </c>
      <c r="HB222" s="208">
        <v>-13156755</v>
      </c>
      <c r="HC222" s="208">
        <v>-398861</v>
      </c>
      <c r="HD222" s="208">
        <v>-13555616</v>
      </c>
      <c r="HE222" s="208">
        <v>75646052</v>
      </c>
      <c r="HF222" s="208">
        <v>775693</v>
      </c>
      <c r="HG222" s="208">
        <v>76421745</v>
      </c>
      <c r="HH222" s="187" t="s">
        <v>1056</v>
      </c>
    </row>
    <row r="223" spans="1:216" s="187" customFormat="1" x14ac:dyDescent="0.2">
      <c r="B223" s="429" t="s">
        <v>523</v>
      </c>
      <c r="C223" s="429" t="s">
        <v>522</v>
      </c>
      <c r="D223" s="208">
        <v>-609712</v>
      </c>
      <c r="E223" s="208">
        <v>0</v>
      </c>
      <c r="F223" s="208">
        <v>-609712</v>
      </c>
      <c r="G223" s="208">
        <v>41060</v>
      </c>
      <c r="H223" s="208">
        <v>0</v>
      </c>
      <c r="I223" s="208">
        <v>41060</v>
      </c>
      <c r="J223" s="208">
        <v>1888367</v>
      </c>
      <c r="K223" s="208">
        <v>0</v>
      </c>
      <c r="L223" s="208">
        <v>1888367</v>
      </c>
      <c r="M223" s="208">
        <v>158496</v>
      </c>
      <c r="N223" s="208">
        <v>0</v>
      </c>
      <c r="O223" s="208">
        <v>158496</v>
      </c>
      <c r="P223" s="208">
        <v>1478211</v>
      </c>
      <c r="Q223" s="208">
        <v>0</v>
      </c>
      <c r="R223" s="208">
        <v>1478211</v>
      </c>
      <c r="S223" s="208">
        <v>-3147537</v>
      </c>
      <c r="T223" s="208">
        <v>0</v>
      </c>
      <c r="U223" s="208">
        <v>-3147537</v>
      </c>
      <c r="V223" s="208">
        <v>0</v>
      </c>
      <c r="W223" s="208">
        <v>0</v>
      </c>
      <c r="X223" s="208">
        <v>0</v>
      </c>
      <c r="Y223" s="208">
        <v>-108315</v>
      </c>
      <c r="Z223" s="208">
        <v>0</v>
      </c>
      <c r="AA223" s="208">
        <v>-108315</v>
      </c>
      <c r="AB223" s="208">
        <v>0</v>
      </c>
      <c r="AC223" s="208">
        <v>0</v>
      </c>
      <c r="AD223" s="208">
        <v>0</v>
      </c>
      <c r="AE223" s="208">
        <v>0</v>
      </c>
      <c r="AF223" s="208">
        <v>0</v>
      </c>
      <c r="AG223" s="208">
        <v>0</v>
      </c>
      <c r="AH223" s="208">
        <v>0</v>
      </c>
      <c r="AI223" s="208">
        <v>0</v>
      </c>
      <c r="AJ223" s="208">
        <v>0</v>
      </c>
      <c r="AK223" s="208">
        <v>0</v>
      </c>
      <c r="AL223" s="208">
        <v>0</v>
      </c>
      <c r="AM223" s="208">
        <v>0</v>
      </c>
      <c r="AN223" s="208">
        <v>1303371</v>
      </c>
      <c r="AO223" s="208">
        <v>0</v>
      </c>
      <c r="AP223" s="208">
        <v>1303371</v>
      </c>
      <c r="AQ223" s="208">
        <v>-32246</v>
      </c>
      <c r="AR223" s="208">
        <v>0</v>
      </c>
      <c r="AS223" s="208">
        <v>-32246</v>
      </c>
      <c r="AT223" s="208">
        <v>-3223487</v>
      </c>
      <c r="AU223" s="208">
        <v>0</v>
      </c>
      <c r="AV223" s="208">
        <v>-3223487</v>
      </c>
      <c r="AW223" s="208">
        <v>-22616</v>
      </c>
      <c r="AX223" s="208">
        <v>0</v>
      </c>
      <c r="AY223" s="208">
        <v>-22616</v>
      </c>
      <c r="AZ223" s="208">
        <v>-73477</v>
      </c>
      <c r="BA223" s="208">
        <v>0</v>
      </c>
      <c r="BB223" s="208">
        <v>-73477</v>
      </c>
      <c r="BC223" s="208">
        <v>0</v>
      </c>
      <c r="BD223" s="208">
        <v>0</v>
      </c>
      <c r="BE223" s="208">
        <v>0</v>
      </c>
      <c r="BF223" s="208">
        <v>-8037</v>
      </c>
      <c r="BG223" s="208">
        <v>0</v>
      </c>
      <c r="BH223" s="208">
        <v>-8037</v>
      </c>
      <c r="BI223" s="208">
        <v>0</v>
      </c>
      <c r="BJ223" s="208">
        <v>0</v>
      </c>
      <c r="BK223" s="208">
        <v>0</v>
      </c>
      <c r="BL223" s="208">
        <v>-5312344</v>
      </c>
      <c r="BM223" s="208">
        <v>0</v>
      </c>
      <c r="BN223" s="208">
        <v>-5312344</v>
      </c>
      <c r="BO223" s="208">
        <v>-19561</v>
      </c>
      <c r="BP223" s="208">
        <v>0</v>
      </c>
      <c r="BQ223" s="208">
        <v>-19561</v>
      </c>
      <c r="BR223" s="208">
        <v>-13852</v>
      </c>
      <c r="BS223" s="208">
        <v>0</v>
      </c>
      <c r="BT223" s="208">
        <v>-13852</v>
      </c>
      <c r="BU223" s="208">
        <v>-1455693</v>
      </c>
      <c r="BV223" s="208">
        <v>0</v>
      </c>
      <c r="BW223" s="208">
        <v>-1455693</v>
      </c>
      <c r="BX223" s="208">
        <v>-45389</v>
      </c>
      <c r="BY223" s="208">
        <v>0</v>
      </c>
      <c r="BZ223" s="208">
        <v>-45389</v>
      </c>
      <c r="CA223" s="208">
        <v>-1534495</v>
      </c>
      <c r="CB223" s="208">
        <v>0</v>
      </c>
      <c r="CC223" s="208">
        <v>-1534495</v>
      </c>
      <c r="CD223" s="208">
        <v>-106615</v>
      </c>
      <c r="CE223" s="208">
        <v>0</v>
      </c>
      <c r="CF223" s="208">
        <v>-106615</v>
      </c>
      <c r="CG223" s="208">
        <v>-2800</v>
      </c>
      <c r="CH223" s="208">
        <v>0</v>
      </c>
      <c r="CI223" s="208">
        <v>-2800</v>
      </c>
      <c r="CJ223" s="208">
        <v>-7200</v>
      </c>
      <c r="CK223" s="208">
        <v>0</v>
      </c>
      <c r="CL223" s="208">
        <v>-7200</v>
      </c>
      <c r="CM223" s="208">
        <v>0</v>
      </c>
      <c r="CN223" s="208">
        <v>0</v>
      </c>
      <c r="CO223" s="208">
        <v>0</v>
      </c>
      <c r="CP223" s="208">
        <v>0</v>
      </c>
      <c r="CQ223" s="208">
        <v>0</v>
      </c>
      <c r="CR223" s="208">
        <v>0</v>
      </c>
      <c r="CS223" s="208">
        <v>0</v>
      </c>
      <c r="CT223" s="208">
        <v>0</v>
      </c>
      <c r="CU223" s="208">
        <v>0</v>
      </c>
      <c r="CV223" s="208">
        <v>0</v>
      </c>
      <c r="CW223" s="208">
        <v>0</v>
      </c>
      <c r="CX223" s="208">
        <v>0</v>
      </c>
      <c r="CY223" s="208">
        <v>0</v>
      </c>
      <c r="CZ223" s="208">
        <v>0</v>
      </c>
      <c r="DA223" s="208">
        <v>0</v>
      </c>
      <c r="DB223" s="208">
        <v>0</v>
      </c>
      <c r="DC223" s="208">
        <v>0</v>
      </c>
      <c r="DD223" s="208">
        <v>0</v>
      </c>
      <c r="DE223" s="208">
        <v>0</v>
      </c>
      <c r="DF223" s="208">
        <v>0</v>
      </c>
      <c r="DG223" s="208">
        <v>0</v>
      </c>
      <c r="DH223" s="208">
        <v>0</v>
      </c>
      <c r="DI223" s="208">
        <v>0</v>
      </c>
      <c r="DJ223" s="208">
        <v>0</v>
      </c>
      <c r="DK223" s="208">
        <v>0</v>
      </c>
      <c r="DL223" s="208">
        <v>0</v>
      </c>
      <c r="DM223" s="208">
        <v>0</v>
      </c>
      <c r="DN223" s="208">
        <v>0</v>
      </c>
      <c r="DO223" s="208">
        <v>0</v>
      </c>
      <c r="DP223" s="208">
        <v>-116615</v>
      </c>
      <c r="DQ223" s="208">
        <v>0</v>
      </c>
      <c r="DR223" s="208">
        <v>-116615</v>
      </c>
      <c r="DS223" s="208">
        <v>310</v>
      </c>
      <c r="DT223" s="208">
        <v>0</v>
      </c>
      <c r="DU223" s="208">
        <v>310</v>
      </c>
      <c r="DV223" s="208">
        <v>0</v>
      </c>
      <c r="DW223" s="208">
        <v>0</v>
      </c>
      <c r="DX223" s="208">
        <v>0</v>
      </c>
      <c r="DY223" s="208">
        <v>0</v>
      </c>
      <c r="DZ223" s="208">
        <v>0</v>
      </c>
      <c r="EA223" s="208">
        <v>0</v>
      </c>
      <c r="EB223" s="208">
        <v>0</v>
      </c>
      <c r="EC223" s="208">
        <v>0</v>
      </c>
      <c r="ED223" s="208">
        <v>0</v>
      </c>
      <c r="EE223" s="208">
        <v>0</v>
      </c>
      <c r="EF223" s="208">
        <v>0</v>
      </c>
      <c r="EG223" s="208">
        <v>0</v>
      </c>
      <c r="EH223" s="208">
        <v>0</v>
      </c>
      <c r="EI223" s="208">
        <v>0</v>
      </c>
      <c r="EJ223" s="208">
        <v>0</v>
      </c>
      <c r="EK223" s="208">
        <v>-8037</v>
      </c>
      <c r="EL223" s="208">
        <v>0</v>
      </c>
      <c r="EM223" s="208">
        <v>-8037</v>
      </c>
      <c r="EN223" s="208">
        <v>0</v>
      </c>
      <c r="EO223" s="208">
        <v>0</v>
      </c>
      <c r="EP223" s="208">
        <v>0</v>
      </c>
      <c r="EQ223" s="208">
        <v>0</v>
      </c>
      <c r="ER223" s="208">
        <v>0</v>
      </c>
      <c r="ES223" s="208">
        <v>0</v>
      </c>
      <c r="ET223" s="208">
        <v>0</v>
      </c>
      <c r="EU223" s="208">
        <v>0</v>
      </c>
      <c r="EV223" s="208">
        <v>0</v>
      </c>
      <c r="EW223" s="208">
        <v>-19564</v>
      </c>
      <c r="EX223" s="208">
        <v>0</v>
      </c>
      <c r="EY223" s="208">
        <v>-19564</v>
      </c>
      <c r="EZ223" s="208">
        <v>0</v>
      </c>
      <c r="FA223" s="208">
        <v>0</v>
      </c>
      <c r="FB223" s="208">
        <v>0</v>
      </c>
      <c r="FC223" s="208">
        <v>-132285</v>
      </c>
      <c r="FD223" s="208">
        <v>0</v>
      </c>
      <c r="FE223" s="208">
        <v>-132285</v>
      </c>
      <c r="FF223" s="208">
        <v>-21912</v>
      </c>
      <c r="FG223" s="208">
        <v>0</v>
      </c>
      <c r="FH223" s="208">
        <v>-21912</v>
      </c>
      <c r="FI223" s="208">
        <v>-43109</v>
      </c>
      <c r="FJ223" s="208">
        <v>0</v>
      </c>
      <c r="FK223" s="208">
        <v>-43109</v>
      </c>
      <c r="FL223" s="208">
        <v>1071</v>
      </c>
      <c r="FM223" s="208">
        <v>0</v>
      </c>
      <c r="FN223" s="208">
        <v>1071</v>
      </c>
      <c r="FO223" s="208">
        <v>0</v>
      </c>
      <c r="FP223" s="208">
        <v>0</v>
      </c>
      <c r="FQ223" s="208">
        <v>0</v>
      </c>
      <c r="FR223" s="208">
        <v>0</v>
      </c>
      <c r="FS223" s="208">
        <v>0</v>
      </c>
      <c r="FT223" s="208">
        <v>0</v>
      </c>
      <c r="FU223" s="208">
        <v>-223526</v>
      </c>
      <c r="FV223" s="208">
        <v>0</v>
      </c>
      <c r="FW223" s="208">
        <v>-223526</v>
      </c>
      <c r="FX223" s="208">
        <v>0</v>
      </c>
      <c r="FY223" s="208">
        <v>0</v>
      </c>
      <c r="FZ223" s="208">
        <v>0</v>
      </c>
      <c r="GA223" s="208">
        <v>0</v>
      </c>
      <c r="GB223" s="208">
        <v>0</v>
      </c>
      <c r="GC223" s="208">
        <v>0</v>
      </c>
      <c r="GD223" s="208">
        <v>0</v>
      </c>
      <c r="GE223" s="208">
        <v>0</v>
      </c>
      <c r="GF223" s="208">
        <v>0</v>
      </c>
      <c r="GG223" s="208">
        <v>59289056</v>
      </c>
      <c r="GH223" s="208">
        <v>0</v>
      </c>
      <c r="GI223" s="208">
        <v>59289056</v>
      </c>
      <c r="GJ223" s="208">
        <v>1478211</v>
      </c>
      <c r="GK223" s="208">
        <v>0</v>
      </c>
      <c r="GL223" s="208">
        <v>1478211</v>
      </c>
      <c r="GM223" s="208">
        <v>-5312344</v>
      </c>
      <c r="GN223" s="208">
        <v>0</v>
      </c>
      <c r="GO223" s="208">
        <v>-5312344</v>
      </c>
      <c r="GP223" s="208">
        <v>-1534495</v>
      </c>
      <c r="GQ223" s="208">
        <v>0</v>
      </c>
      <c r="GR223" s="208">
        <v>-1534495</v>
      </c>
      <c r="GS223" s="208">
        <v>-116615</v>
      </c>
      <c r="GT223" s="208">
        <v>0</v>
      </c>
      <c r="GU223" s="208">
        <v>-116615</v>
      </c>
      <c r="GV223" s="208">
        <v>-223526</v>
      </c>
      <c r="GW223" s="208">
        <v>0</v>
      </c>
      <c r="GX223" s="208">
        <v>-223526</v>
      </c>
      <c r="GY223" s="208">
        <v>0</v>
      </c>
      <c r="GZ223" s="208">
        <v>0</v>
      </c>
      <c r="HA223" s="208">
        <v>0</v>
      </c>
      <c r="HB223" s="208">
        <v>-5708769</v>
      </c>
      <c r="HC223" s="208">
        <v>0</v>
      </c>
      <c r="HD223" s="208">
        <v>-5708769</v>
      </c>
      <c r="HE223" s="208">
        <v>53580287</v>
      </c>
      <c r="HF223" s="208">
        <v>0</v>
      </c>
      <c r="HG223" s="208">
        <v>53580287</v>
      </c>
      <c r="HH223" s="187" t="s">
        <v>1054</v>
      </c>
    </row>
    <row r="224" spans="1:216" s="187" customFormat="1" x14ac:dyDescent="0.2">
      <c r="B224" s="429" t="s">
        <v>525</v>
      </c>
      <c r="C224" s="429" t="s">
        <v>524</v>
      </c>
      <c r="D224" s="208">
        <v>-1086666</v>
      </c>
      <c r="E224" s="208">
        <v>-5037</v>
      </c>
      <c r="F224" s="208">
        <v>-1091703</v>
      </c>
      <c r="G224" s="208">
        <v>93150</v>
      </c>
      <c r="H224" s="208">
        <v>0</v>
      </c>
      <c r="I224" s="208">
        <v>93150</v>
      </c>
      <c r="J224" s="208">
        <v>302831</v>
      </c>
      <c r="K224" s="208">
        <v>0</v>
      </c>
      <c r="L224" s="208">
        <v>302831</v>
      </c>
      <c r="M224" s="208">
        <v>35396</v>
      </c>
      <c r="N224" s="208">
        <v>0</v>
      </c>
      <c r="O224" s="208">
        <v>35396</v>
      </c>
      <c r="P224" s="208">
        <v>-655289</v>
      </c>
      <c r="Q224" s="208">
        <v>-5037</v>
      </c>
      <c r="R224" s="208">
        <v>-660326</v>
      </c>
      <c r="S224" s="208">
        <v>-2176231</v>
      </c>
      <c r="T224" s="208">
        <v>0</v>
      </c>
      <c r="U224" s="208">
        <v>-2176231</v>
      </c>
      <c r="V224" s="208">
        <v>0</v>
      </c>
      <c r="W224" s="208">
        <v>0</v>
      </c>
      <c r="X224" s="208">
        <v>0</v>
      </c>
      <c r="Y224" s="208">
        <v>-37682</v>
      </c>
      <c r="Z224" s="208">
        <v>0</v>
      </c>
      <c r="AA224" s="208">
        <v>-37682</v>
      </c>
      <c r="AB224" s="208">
        <v>0</v>
      </c>
      <c r="AC224" s="208">
        <v>0</v>
      </c>
      <c r="AD224" s="208">
        <v>0</v>
      </c>
      <c r="AE224" s="208">
        <v>0</v>
      </c>
      <c r="AF224" s="208">
        <v>0</v>
      </c>
      <c r="AG224" s="208">
        <v>0</v>
      </c>
      <c r="AH224" s="208">
        <v>0</v>
      </c>
      <c r="AI224" s="208">
        <v>0</v>
      </c>
      <c r="AJ224" s="208">
        <v>0</v>
      </c>
      <c r="AK224" s="208">
        <v>0</v>
      </c>
      <c r="AL224" s="208">
        <v>0</v>
      </c>
      <c r="AM224" s="208">
        <v>0</v>
      </c>
      <c r="AN224" s="208">
        <v>1509004</v>
      </c>
      <c r="AO224" s="208">
        <v>0</v>
      </c>
      <c r="AP224" s="208">
        <v>1509004</v>
      </c>
      <c r="AQ224" s="208">
        <v>-43322</v>
      </c>
      <c r="AR224" s="208">
        <v>0</v>
      </c>
      <c r="AS224" s="208">
        <v>-43322</v>
      </c>
      <c r="AT224" s="208">
        <v>-4374295</v>
      </c>
      <c r="AU224" s="208">
        <v>0</v>
      </c>
      <c r="AV224" s="208">
        <v>-4374295</v>
      </c>
      <c r="AW224" s="208">
        <v>-120607</v>
      </c>
      <c r="AX224" s="208">
        <v>0</v>
      </c>
      <c r="AY224" s="208">
        <v>-120607</v>
      </c>
      <c r="AZ224" s="208">
        <v>-36941</v>
      </c>
      <c r="BA224" s="208">
        <v>0</v>
      </c>
      <c r="BB224" s="208">
        <v>-36941</v>
      </c>
      <c r="BC224" s="208">
        <v>0</v>
      </c>
      <c r="BD224" s="208">
        <v>0</v>
      </c>
      <c r="BE224" s="208">
        <v>0</v>
      </c>
      <c r="BF224" s="208">
        <v>0</v>
      </c>
      <c r="BG224" s="208">
        <v>0</v>
      </c>
      <c r="BH224" s="208">
        <v>0</v>
      </c>
      <c r="BI224" s="208">
        <v>0</v>
      </c>
      <c r="BJ224" s="208">
        <v>0</v>
      </c>
      <c r="BK224" s="208">
        <v>0</v>
      </c>
      <c r="BL224" s="208">
        <v>-5280074</v>
      </c>
      <c r="BM224" s="208">
        <v>0</v>
      </c>
      <c r="BN224" s="208">
        <v>-5280074</v>
      </c>
      <c r="BO224" s="208">
        <v>0</v>
      </c>
      <c r="BP224" s="208">
        <v>0</v>
      </c>
      <c r="BQ224" s="208">
        <v>0</v>
      </c>
      <c r="BR224" s="208">
        <v>0</v>
      </c>
      <c r="BS224" s="208">
        <v>0</v>
      </c>
      <c r="BT224" s="208">
        <v>0</v>
      </c>
      <c r="BU224" s="208">
        <v>-2097702</v>
      </c>
      <c r="BV224" s="208">
        <v>0</v>
      </c>
      <c r="BW224" s="208">
        <v>-2097702</v>
      </c>
      <c r="BX224" s="208">
        <v>189873</v>
      </c>
      <c r="BY224" s="208">
        <v>0</v>
      </c>
      <c r="BZ224" s="208">
        <v>189873</v>
      </c>
      <c r="CA224" s="208">
        <v>-1907829</v>
      </c>
      <c r="CB224" s="208">
        <v>0</v>
      </c>
      <c r="CC224" s="208">
        <v>-1907829</v>
      </c>
      <c r="CD224" s="208">
        <v>-20611</v>
      </c>
      <c r="CE224" s="208">
        <v>0</v>
      </c>
      <c r="CF224" s="208">
        <v>-20611</v>
      </c>
      <c r="CG224" s="208">
        <v>-23</v>
      </c>
      <c r="CH224" s="208">
        <v>0</v>
      </c>
      <c r="CI224" s="208">
        <v>-23</v>
      </c>
      <c r="CJ224" s="208">
        <v>0</v>
      </c>
      <c r="CK224" s="208">
        <v>0</v>
      </c>
      <c r="CL224" s="208">
        <v>0</v>
      </c>
      <c r="CM224" s="208">
        <v>0</v>
      </c>
      <c r="CN224" s="208">
        <v>0</v>
      </c>
      <c r="CO224" s="208">
        <v>0</v>
      </c>
      <c r="CP224" s="208">
        <v>0</v>
      </c>
      <c r="CQ224" s="208">
        <v>0</v>
      </c>
      <c r="CR224" s="208">
        <v>0</v>
      </c>
      <c r="CS224" s="208">
        <v>0</v>
      </c>
      <c r="CT224" s="208">
        <v>0</v>
      </c>
      <c r="CU224" s="208">
        <v>0</v>
      </c>
      <c r="CV224" s="208">
        <v>0</v>
      </c>
      <c r="CW224" s="208">
        <v>0</v>
      </c>
      <c r="CX224" s="208">
        <v>0</v>
      </c>
      <c r="CY224" s="208">
        <v>0</v>
      </c>
      <c r="CZ224" s="208">
        <v>0</v>
      </c>
      <c r="DA224" s="208">
        <v>0</v>
      </c>
      <c r="DB224" s="208">
        <v>0</v>
      </c>
      <c r="DC224" s="208">
        <v>0</v>
      </c>
      <c r="DD224" s="208">
        <v>0</v>
      </c>
      <c r="DE224" s="208">
        <v>0</v>
      </c>
      <c r="DF224" s="208">
        <v>0</v>
      </c>
      <c r="DG224" s="208">
        <v>0</v>
      </c>
      <c r="DH224" s="208">
        <v>0</v>
      </c>
      <c r="DI224" s="208">
        <v>0</v>
      </c>
      <c r="DJ224" s="208">
        <v>0</v>
      </c>
      <c r="DK224" s="208">
        <v>0</v>
      </c>
      <c r="DL224" s="208">
        <v>0</v>
      </c>
      <c r="DM224" s="208">
        <v>0</v>
      </c>
      <c r="DN224" s="208">
        <v>0</v>
      </c>
      <c r="DO224" s="208">
        <v>0</v>
      </c>
      <c r="DP224" s="208">
        <v>-20634</v>
      </c>
      <c r="DQ224" s="208">
        <v>0</v>
      </c>
      <c r="DR224" s="208">
        <v>-20634</v>
      </c>
      <c r="DS224" s="208">
        <v>0</v>
      </c>
      <c r="DT224" s="208">
        <v>0</v>
      </c>
      <c r="DU224" s="208">
        <v>0</v>
      </c>
      <c r="DV224" s="208">
        <v>0</v>
      </c>
      <c r="DW224" s="208">
        <v>0</v>
      </c>
      <c r="DX224" s="208">
        <v>0</v>
      </c>
      <c r="DY224" s="208">
        <v>0</v>
      </c>
      <c r="DZ224" s="208">
        <v>0</v>
      </c>
      <c r="EA224" s="208">
        <v>0</v>
      </c>
      <c r="EB224" s="208">
        <v>0</v>
      </c>
      <c r="EC224" s="208">
        <v>0</v>
      </c>
      <c r="ED224" s="208">
        <v>0</v>
      </c>
      <c r="EE224" s="208">
        <v>0</v>
      </c>
      <c r="EF224" s="208">
        <v>0</v>
      </c>
      <c r="EG224" s="208">
        <v>0</v>
      </c>
      <c r="EH224" s="208">
        <v>0</v>
      </c>
      <c r="EI224" s="208">
        <v>0</v>
      </c>
      <c r="EJ224" s="208">
        <v>0</v>
      </c>
      <c r="EK224" s="208">
        <v>0</v>
      </c>
      <c r="EL224" s="208">
        <v>0</v>
      </c>
      <c r="EM224" s="208">
        <v>0</v>
      </c>
      <c r="EN224" s="208">
        <v>0</v>
      </c>
      <c r="EO224" s="208">
        <v>0</v>
      </c>
      <c r="EP224" s="208">
        <v>0</v>
      </c>
      <c r="EQ224" s="208">
        <v>0</v>
      </c>
      <c r="ER224" s="208">
        <v>0</v>
      </c>
      <c r="ES224" s="208">
        <v>0</v>
      </c>
      <c r="ET224" s="208">
        <v>0</v>
      </c>
      <c r="EU224" s="208">
        <v>0</v>
      </c>
      <c r="EV224" s="208">
        <v>0</v>
      </c>
      <c r="EW224" s="208">
        <v>-25365</v>
      </c>
      <c r="EX224" s="208">
        <v>0</v>
      </c>
      <c r="EY224" s="208">
        <v>-25365</v>
      </c>
      <c r="EZ224" s="208">
        <v>1950</v>
      </c>
      <c r="FA224" s="208">
        <v>0</v>
      </c>
      <c r="FB224" s="208">
        <v>1950</v>
      </c>
      <c r="FC224" s="208">
        <v>-63343</v>
      </c>
      <c r="FD224" s="208">
        <v>0</v>
      </c>
      <c r="FE224" s="208">
        <v>-63343</v>
      </c>
      <c r="FF224" s="208">
        <v>146</v>
      </c>
      <c r="FG224" s="208">
        <v>0</v>
      </c>
      <c r="FH224" s="208">
        <v>146</v>
      </c>
      <c r="FI224" s="208">
        <v>-17961</v>
      </c>
      <c r="FJ224" s="208">
        <v>0</v>
      </c>
      <c r="FK224" s="208">
        <v>-17961</v>
      </c>
      <c r="FL224" s="208">
        <v>-507</v>
      </c>
      <c r="FM224" s="208">
        <v>0</v>
      </c>
      <c r="FN224" s="208">
        <v>-507</v>
      </c>
      <c r="FO224" s="208">
        <v>0</v>
      </c>
      <c r="FP224" s="208">
        <v>0</v>
      </c>
      <c r="FQ224" s="208">
        <v>0</v>
      </c>
      <c r="FR224" s="208">
        <v>0</v>
      </c>
      <c r="FS224" s="208">
        <v>0</v>
      </c>
      <c r="FT224" s="208">
        <v>0</v>
      </c>
      <c r="FU224" s="208">
        <v>-105080</v>
      </c>
      <c r="FV224" s="208">
        <v>0</v>
      </c>
      <c r="FW224" s="208">
        <v>-105080</v>
      </c>
      <c r="FX224" s="208">
        <v>0</v>
      </c>
      <c r="FY224" s="208">
        <v>0</v>
      </c>
      <c r="FZ224" s="208">
        <v>0</v>
      </c>
      <c r="GA224" s="208">
        <v>0</v>
      </c>
      <c r="GB224" s="208">
        <v>0</v>
      </c>
      <c r="GC224" s="208">
        <v>0</v>
      </c>
      <c r="GD224" s="208">
        <v>0</v>
      </c>
      <c r="GE224" s="208">
        <v>0</v>
      </c>
      <c r="GF224" s="208">
        <v>0</v>
      </c>
      <c r="GG224" s="208">
        <v>64188939</v>
      </c>
      <c r="GH224" s="208">
        <v>800062</v>
      </c>
      <c r="GI224" s="208">
        <v>64989001</v>
      </c>
      <c r="GJ224" s="208">
        <v>-655289</v>
      </c>
      <c r="GK224" s="208">
        <v>-5037</v>
      </c>
      <c r="GL224" s="208">
        <v>-660326</v>
      </c>
      <c r="GM224" s="208">
        <v>-5280074</v>
      </c>
      <c r="GN224" s="208">
        <v>0</v>
      </c>
      <c r="GO224" s="208">
        <v>-5280074</v>
      </c>
      <c r="GP224" s="208">
        <v>-1907829</v>
      </c>
      <c r="GQ224" s="208">
        <v>0</v>
      </c>
      <c r="GR224" s="208">
        <v>-1907829</v>
      </c>
      <c r="GS224" s="208">
        <v>-20634</v>
      </c>
      <c r="GT224" s="208">
        <v>0</v>
      </c>
      <c r="GU224" s="208">
        <v>-20634</v>
      </c>
      <c r="GV224" s="208">
        <v>-105080</v>
      </c>
      <c r="GW224" s="208">
        <v>0</v>
      </c>
      <c r="GX224" s="208">
        <v>-105080</v>
      </c>
      <c r="GY224" s="208">
        <v>0</v>
      </c>
      <c r="GZ224" s="208">
        <v>0</v>
      </c>
      <c r="HA224" s="208">
        <v>0</v>
      </c>
      <c r="HB224" s="208">
        <v>-7968906</v>
      </c>
      <c r="HC224" s="208">
        <v>-5037</v>
      </c>
      <c r="HD224" s="208">
        <v>-7973943</v>
      </c>
      <c r="HE224" s="208">
        <v>56220033</v>
      </c>
      <c r="HF224" s="208">
        <v>795025</v>
      </c>
      <c r="HG224" s="208">
        <v>57015058</v>
      </c>
      <c r="HH224" s="187" t="s">
        <v>1054</v>
      </c>
    </row>
    <row r="225" spans="1:216" s="187" customFormat="1" x14ac:dyDescent="0.2">
      <c r="B225" s="429" t="s">
        <v>527</v>
      </c>
      <c r="C225" s="429" t="s">
        <v>526</v>
      </c>
      <c r="D225" s="208">
        <v>-927122</v>
      </c>
      <c r="E225" s="208">
        <v>0</v>
      </c>
      <c r="F225" s="208">
        <v>-927122</v>
      </c>
      <c r="G225" s="208">
        <v>-34</v>
      </c>
      <c r="H225" s="208">
        <v>0</v>
      </c>
      <c r="I225" s="208">
        <v>-34</v>
      </c>
      <c r="J225" s="208">
        <v>3029545</v>
      </c>
      <c r="K225" s="208">
        <v>0</v>
      </c>
      <c r="L225" s="208">
        <v>3029545</v>
      </c>
      <c r="M225" s="208">
        <v>24500</v>
      </c>
      <c r="N225" s="208">
        <v>0</v>
      </c>
      <c r="O225" s="208">
        <v>24500</v>
      </c>
      <c r="P225" s="208">
        <v>2126889</v>
      </c>
      <c r="Q225" s="208">
        <v>0</v>
      </c>
      <c r="R225" s="208">
        <v>2126889</v>
      </c>
      <c r="S225" s="208">
        <v>-2977185</v>
      </c>
      <c r="T225" s="208">
        <v>0</v>
      </c>
      <c r="U225" s="208">
        <v>-2977185</v>
      </c>
      <c r="V225" s="208">
        <v>-7017</v>
      </c>
      <c r="W225" s="208">
        <v>0</v>
      </c>
      <c r="X225" s="208">
        <v>-7017</v>
      </c>
      <c r="Y225" s="208">
        <v>-52468</v>
      </c>
      <c r="Z225" s="208">
        <v>0</v>
      </c>
      <c r="AA225" s="208">
        <v>-52468</v>
      </c>
      <c r="AB225" s="208">
        <v>-6864</v>
      </c>
      <c r="AC225" s="208">
        <v>0</v>
      </c>
      <c r="AD225" s="208">
        <v>-6864</v>
      </c>
      <c r="AE225" s="208">
        <v>-45604</v>
      </c>
      <c r="AF225" s="208">
        <v>0</v>
      </c>
      <c r="AG225" s="208">
        <v>-45604</v>
      </c>
      <c r="AH225" s="208">
        <v>0</v>
      </c>
      <c r="AI225" s="208">
        <v>0</v>
      </c>
      <c r="AJ225" s="208">
        <v>0</v>
      </c>
      <c r="AK225" s="208">
        <v>0</v>
      </c>
      <c r="AL225" s="208">
        <v>0</v>
      </c>
      <c r="AM225" s="208">
        <v>0</v>
      </c>
      <c r="AN225" s="208">
        <v>627566</v>
      </c>
      <c r="AO225" s="208">
        <v>0</v>
      </c>
      <c r="AP225" s="208">
        <v>627566</v>
      </c>
      <c r="AQ225" s="208">
        <v>4904</v>
      </c>
      <c r="AR225" s="208">
        <v>0</v>
      </c>
      <c r="AS225" s="208">
        <v>4904</v>
      </c>
      <c r="AT225" s="208">
        <v>-2946237</v>
      </c>
      <c r="AU225" s="208">
        <v>0</v>
      </c>
      <c r="AV225" s="208">
        <v>-2946237</v>
      </c>
      <c r="AW225" s="208">
        <v>-137919</v>
      </c>
      <c r="AX225" s="208">
        <v>0</v>
      </c>
      <c r="AY225" s="208">
        <v>-137919</v>
      </c>
      <c r="AZ225" s="208">
        <v>-74551</v>
      </c>
      <c r="BA225" s="208">
        <v>0</v>
      </c>
      <c r="BB225" s="208">
        <v>-74551</v>
      </c>
      <c r="BC225" s="208">
        <v>0</v>
      </c>
      <c r="BD225" s="208">
        <v>0</v>
      </c>
      <c r="BE225" s="208">
        <v>0</v>
      </c>
      <c r="BF225" s="208">
        <v>-6287</v>
      </c>
      <c r="BG225" s="208">
        <v>0</v>
      </c>
      <c r="BH225" s="208">
        <v>-6287</v>
      </c>
      <c r="BI225" s="208">
        <v>379</v>
      </c>
      <c r="BJ225" s="208">
        <v>0</v>
      </c>
      <c r="BK225" s="208">
        <v>379</v>
      </c>
      <c r="BL225" s="208">
        <v>-5561798</v>
      </c>
      <c r="BM225" s="208">
        <v>0</v>
      </c>
      <c r="BN225" s="208">
        <v>-5561798</v>
      </c>
      <c r="BO225" s="208">
        <v>0</v>
      </c>
      <c r="BP225" s="208">
        <v>0</v>
      </c>
      <c r="BQ225" s="208">
        <v>0</v>
      </c>
      <c r="BR225" s="208">
        <v>-6154</v>
      </c>
      <c r="BS225" s="208">
        <v>0</v>
      </c>
      <c r="BT225" s="208">
        <v>-6154</v>
      </c>
      <c r="BU225" s="208">
        <v>-355782</v>
      </c>
      <c r="BV225" s="208">
        <v>0</v>
      </c>
      <c r="BW225" s="208">
        <v>-355782</v>
      </c>
      <c r="BX225" s="208">
        <v>34287</v>
      </c>
      <c r="BY225" s="208">
        <v>0</v>
      </c>
      <c r="BZ225" s="208">
        <v>34287</v>
      </c>
      <c r="CA225" s="208">
        <v>-327649</v>
      </c>
      <c r="CB225" s="208">
        <v>0</v>
      </c>
      <c r="CC225" s="208">
        <v>-327649</v>
      </c>
      <c r="CD225" s="208">
        <v>-14322</v>
      </c>
      <c r="CE225" s="208">
        <v>0</v>
      </c>
      <c r="CF225" s="208">
        <v>-14322</v>
      </c>
      <c r="CG225" s="208">
        <v>-572</v>
      </c>
      <c r="CH225" s="208">
        <v>0</v>
      </c>
      <c r="CI225" s="208">
        <v>-572</v>
      </c>
      <c r="CJ225" s="208">
        <v>-404256</v>
      </c>
      <c r="CK225" s="208">
        <v>0</v>
      </c>
      <c r="CL225" s="208">
        <v>-404256</v>
      </c>
      <c r="CM225" s="208">
        <v>-230935</v>
      </c>
      <c r="CN225" s="208">
        <v>0</v>
      </c>
      <c r="CO225" s="208">
        <v>-230935</v>
      </c>
      <c r="CP225" s="208">
        <v>-141</v>
      </c>
      <c r="CQ225" s="208">
        <v>0</v>
      </c>
      <c r="CR225" s="208">
        <v>-141</v>
      </c>
      <c r="CS225" s="208">
        <v>-137</v>
      </c>
      <c r="CT225" s="208">
        <v>0</v>
      </c>
      <c r="CU225" s="208">
        <v>-137</v>
      </c>
      <c r="CV225" s="208">
        <v>0</v>
      </c>
      <c r="CW225" s="208">
        <v>0</v>
      </c>
      <c r="CX225" s="208">
        <v>0</v>
      </c>
      <c r="CY225" s="208">
        <v>0</v>
      </c>
      <c r="CZ225" s="208">
        <v>0</v>
      </c>
      <c r="DA225" s="208">
        <v>0</v>
      </c>
      <c r="DB225" s="208">
        <v>-1725</v>
      </c>
      <c r="DC225" s="208">
        <v>0</v>
      </c>
      <c r="DD225" s="208">
        <v>-1725</v>
      </c>
      <c r="DE225" s="208">
        <v>0</v>
      </c>
      <c r="DF225" s="208">
        <v>0</v>
      </c>
      <c r="DG225" s="208">
        <v>0</v>
      </c>
      <c r="DH225" s="208">
        <v>-2217</v>
      </c>
      <c r="DI225" s="208">
        <v>0</v>
      </c>
      <c r="DJ225" s="208">
        <v>-2217</v>
      </c>
      <c r="DK225" s="208">
        <v>0</v>
      </c>
      <c r="DL225" s="208">
        <v>0</v>
      </c>
      <c r="DM225" s="208">
        <v>0</v>
      </c>
      <c r="DN225" s="208">
        <v>0</v>
      </c>
      <c r="DO225" s="208">
        <v>0</v>
      </c>
      <c r="DP225" s="208">
        <v>-654305</v>
      </c>
      <c r="DQ225" s="208">
        <v>0</v>
      </c>
      <c r="DR225" s="208">
        <v>-654305</v>
      </c>
      <c r="DS225" s="208">
        <v>0</v>
      </c>
      <c r="DT225" s="208">
        <v>0</v>
      </c>
      <c r="DU225" s="208">
        <v>0</v>
      </c>
      <c r="DV225" s="208">
        <v>4437</v>
      </c>
      <c r="DW225" s="208">
        <v>0</v>
      </c>
      <c r="DX225" s="208">
        <v>4437</v>
      </c>
      <c r="DY225" s="208">
        <v>0</v>
      </c>
      <c r="DZ225" s="208">
        <v>0</v>
      </c>
      <c r="EA225" s="208">
        <v>0</v>
      </c>
      <c r="EB225" s="208">
        <v>0</v>
      </c>
      <c r="EC225" s="208">
        <v>0</v>
      </c>
      <c r="ED225" s="208">
        <v>0</v>
      </c>
      <c r="EE225" s="208">
        <v>0</v>
      </c>
      <c r="EF225" s="208">
        <v>0</v>
      </c>
      <c r="EG225" s="208">
        <v>0</v>
      </c>
      <c r="EH225" s="208">
        <v>0</v>
      </c>
      <c r="EI225" s="208">
        <v>0</v>
      </c>
      <c r="EJ225" s="208">
        <v>0</v>
      </c>
      <c r="EK225" s="208">
        <v>-6251</v>
      </c>
      <c r="EL225" s="208">
        <v>0</v>
      </c>
      <c r="EM225" s="208">
        <v>-6251</v>
      </c>
      <c r="EN225" s="208">
        <v>274</v>
      </c>
      <c r="EO225" s="208">
        <v>0</v>
      </c>
      <c r="EP225" s="208">
        <v>274</v>
      </c>
      <c r="EQ225" s="208">
        <v>0</v>
      </c>
      <c r="ER225" s="208">
        <v>0</v>
      </c>
      <c r="ES225" s="208">
        <v>0</v>
      </c>
      <c r="ET225" s="208">
        <v>0</v>
      </c>
      <c r="EU225" s="208">
        <v>0</v>
      </c>
      <c r="EV225" s="208">
        <v>0</v>
      </c>
      <c r="EW225" s="208">
        <v>-32812</v>
      </c>
      <c r="EX225" s="208">
        <v>0</v>
      </c>
      <c r="EY225" s="208">
        <v>-32812</v>
      </c>
      <c r="EZ225" s="208">
        <v>2290</v>
      </c>
      <c r="FA225" s="208">
        <v>0</v>
      </c>
      <c r="FB225" s="208">
        <v>2290</v>
      </c>
      <c r="FC225" s="208">
        <v>-129470</v>
      </c>
      <c r="FD225" s="208">
        <v>0</v>
      </c>
      <c r="FE225" s="208">
        <v>-129470</v>
      </c>
      <c r="FF225" s="208">
        <v>10914</v>
      </c>
      <c r="FG225" s="208">
        <v>0</v>
      </c>
      <c r="FH225" s="208">
        <v>10914</v>
      </c>
      <c r="FI225" s="208">
        <v>-30625</v>
      </c>
      <c r="FJ225" s="208">
        <v>0</v>
      </c>
      <c r="FK225" s="208">
        <v>-30625</v>
      </c>
      <c r="FL225" s="208">
        <v>-864</v>
      </c>
      <c r="FM225" s="208">
        <v>0</v>
      </c>
      <c r="FN225" s="208">
        <v>-864</v>
      </c>
      <c r="FO225" s="208">
        <v>0</v>
      </c>
      <c r="FP225" s="208">
        <v>0</v>
      </c>
      <c r="FQ225" s="208">
        <v>0</v>
      </c>
      <c r="FR225" s="208">
        <v>0</v>
      </c>
      <c r="FS225" s="208">
        <v>0</v>
      </c>
      <c r="FT225" s="208">
        <v>0</v>
      </c>
      <c r="FU225" s="208">
        <v>-182107</v>
      </c>
      <c r="FV225" s="208">
        <v>0</v>
      </c>
      <c r="FW225" s="208">
        <v>-182107</v>
      </c>
      <c r="FX225" s="208">
        <v>-3013</v>
      </c>
      <c r="FY225" s="208">
        <v>0</v>
      </c>
      <c r="FZ225" s="208">
        <v>-3013</v>
      </c>
      <c r="GA225" s="208">
        <v>0</v>
      </c>
      <c r="GB225" s="208">
        <v>0</v>
      </c>
      <c r="GC225" s="208">
        <v>0</v>
      </c>
      <c r="GD225" s="208">
        <v>-3013</v>
      </c>
      <c r="GE225" s="208">
        <v>0</v>
      </c>
      <c r="GF225" s="208">
        <v>-3013</v>
      </c>
      <c r="GG225" s="208">
        <v>34090357</v>
      </c>
      <c r="GH225" s="208">
        <v>0</v>
      </c>
      <c r="GI225" s="208">
        <v>34090357</v>
      </c>
      <c r="GJ225" s="208">
        <v>2126889</v>
      </c>
      <c r="GK225" s="208">
        <v>0</v>
      </c>
      <c r="GL225" s="208">
        <v>2126889</v>
      </c>
      <c r="GM225" s="208">
        <v>-5561798</v>
      </c>
      <c r="GN225" s="208">
        <v>0</v>
      </c>
      <c r="GO225" s="208">
        <v>-5561798</v>
      </c>
      <c r="GP225" s="208">
        <v>-327649</v>
      </c>
      <c r="GQ225" s="208">
        <v>0</v>
      </c>
      <c r="GR225" s="208">
        <v>-327649</v>
      </c>
      <c r="GS225" s="208">
        <v>-654305</v>
      </c>
      <c r="GT225" s="208">
        <v>0</v>
      </c>
      <c r="GU225" s="208">
        <v>-654305</v>
      </c>
      <c r="GV225" s="208">
        <v>-182107</v>
      </c>
      <c r="GW225" s="208">
        <v>0</v>
      </c>
      <c r="GX225" s="208">
        <v>-182107</v>
      </c>
      <c r="GY225" s="208">
        <v>-3013</v>
      </c>
      <c r="GZ225" s="208">
        <v>0</v>
      </c>
      <c r="HA225" s="208">
        <v>-3013</v>
      </c>
      <c r="HB225" s="208">
        <v>-4601983</v>
      </c>
      <c r="HC225" s="208">
        <v>0</v>
      </c>
      <c r="HD225" s="208">
        <v>-4601983</v>
      </c>
      <c r="HE225" s="208">
        <v>29488374</v>
      </c>
      <c r="HF225" s="208">
        <v>0</v>
      </c>
      <c r="HG225" s="208">
        <v>29488374</v>
      </c>
      <c r="HH225" s="187" t="s">
        <v>1054</v>
      </c>
    </row>
    <row r="226" spans="1:216" s="187" customFormat="1" x14ac:dyDescent="0.2">
      <c r="B226" s="429" t="s">
        <v>529</v>
      </c>
      <c r="C226" s="429" t="s">
        <v>528</v>
      </c>
      <c r="D226" s="208">
        <v>-1147881</v>
      </c>
      <c r="E226" s="208">
        <v>0</v>
      </c>
      <c r="F226" s="208">
        <v>-1147881</v>
      </c>
      <c r="G226" s="208">
        <v>-348</v>
      </c>
      <c r="H226" s="208">
        <v>0</v>
      </c>
      <c r="I226" s="208">
        <v>-348</v>
      </c>
      <c r="J226" s="208">
        <v>848910</v>
      </c>
      <c r="K226" s="208">
        <v>0</v>
      </c>
      <c r="L226" s="208">
        <v>848910</v>
      </c>
      <c r="M226" s="208">
        <v>69420</v>
      </c>
      <c r="N226" s="208">
        <v>0</v>
      </c>
      <c r="O226" s="208">
        <v>69420</v>
      </c>
      <c r="P226" s="208">
        <v>-229899</v>
      </c>
      <c r="Q226" s="208">
        <v>0</v>
      </c>
      <c r="R226" s="208">
        <v>-229899</v>
      </c>
      <c r="S226" s="208">
        <v>-2141731</v>
      </c>
      <c r="T226" s="208">
        <v>0</v>
      </c>
      <c r="U226" s="208">
        <v>-2141731</v>
      </c>
      <c r="V226" s="208">
        <v>-7662</v>
      </c>
      <c r="W226" s="208">
        <v>0</v>
      </c>
      <c r="X226" s="208">
        <v>-7662</v>
      </c>
      <c r="Y226" s="208">
        <v>-49255</v>
      </c>
      <c r="Z226" s="208">
        <v>0</v>
      </c>
      <c r="AA226" s="208">
        <v>-49255</v>
      </c>
      <c r="AB226" s="208">
        <v>-10721</v>
      </c>
      <c r="AC226" s="208">
        <v>0</v>
      </c>
      <c r="AD226" s="208">
        <v>-10721</v>
      </c>
      <c r="AE226" s="208">
        <v>-38534</v>
      </c>
      <c r="AF226" s="208">
        <v>0</v>
      </c>
      <c r="AG226" s="208">
        <v>-38534</v>
      </c>
      <c r="AH226" s="208">
        <v>0</v>
      </c>
      <c r="AI226" s="208">
        <v>0</v>
      </c>
      <c r="AJ226" s="208">
        <v>0</v>
      </c>
      <c r="AK226" s="208">
        <v>666</v>
      </c>
      <c r="AL226" s="208">
        <v>0</v>
      </c>
      <c r="AM226" s="208">
        <v>666</v>
      </c>
      <c r="AN226" s="208">
        <v>1258267</v>
      </c>
      <c r="AO226" s="208">
        <v>0</v>
      </c>
      <c r="AP226" s="208">
        <v>1258267</v>
      </c>
      <c r="AQ226" s="208">
        <v>-25559</v>
      </c>
      <c r="AR226" s="208">
        <v>0</v>
      </c>
      <c r="AS226" s="208">
        <v>-25559</v>
      </c>
      <c r="AT226" s="208">
        <v>-1991317</v>
      </c>
      <c r="AU226" s="208">
        <v>0</v>
      </c>
      <c r="AV226" s="208">
        <v>-1991317</v>
      </c>
      <c r="AW226" s="208">
        <v>-8358</v>
      </c>
      <c r="AX226" s="208">
        <v>0</v>
      </c>
      <c r="AY226" s="208">
        <v>-8358</v>
      </c>
      <c r="AZ226" s="208">
        <v>-20588</v>
      </c>
      <c r="BA226" s="208">
        <v>0</v>
      </c>
      <c r="BB226" s="208">
        <v>-20588</v>
      </c>
      <c r="BC226" s="208">
        <v>0</v>
      </c>
      <c r="BD226" s="208">
        <v>0</v>
      </c>
      <c r="BE226" s="208">
        <v>0</v>
      </c>
      <c r="BF226" s="208">
        <v>0</v>
      </c>
      <c r="BG226" s="208">
        <v>0</v>
      </c>
      <c r="BH226" s="208">
        <v>0</v>
      </c>
      <c r="BI226" s="208">
        <v>0</v>
      </c>
      <c r="BJ226" s="208">
        <v>0</v>
      </c>
      <c r="BK226" s="208">
        <v>0</v>
      </c>
      <c r="BL226" s="208">
        <v>-2978541</v>
      </c>
      <c r="BM226" s="208">
        <v>0</v>
      </c>
      <c r="BN226" s="208">
        <v>-2978541</v>
      </c>
      <c r="BO226" s="208">
        <v>-16623</v>
      </c>
      <c r="BP226" s="208">
        <v>0</v>
      </c>
      <c r="BQ226" s="208">
        <v>-16623</v>
      </c>
      <c r="BR226" s="208">
        <v>13699</v>
      </c>
      <c r="BS226" s="208">
        <v>0</v>
      </c>
      <c r="BT226" s="208">
        <v>13699</v>
      </c>
      <c r="BU226" s="208">
        <v>-1468854</v>
      </c>
      <c r="BV226" s="208">
        <v>0</v>
      </c>
      <c r="BW226" s="208">
        <v>-1468854</v>
      </c>
      <c r="BX226" s="208">
        <v>49788</v>
      </c>
      <c r="BY226" s="208">
        <v>0</v>
      </c>
      <c r="BZ226" s="208">
        <v>49788</v>
      </c>
      <c r="CA226" s="208">
        <v>-1421990</v>
      </c>
      <c r="CB226" s="208">
        <v>0</v>
      </c>
      <c r="CC226" s="208">
        <v>-1421990</v>
      </c>
      <c r="CD226" s="208">
        <v>-58632</v>
      </c>
      <c r="CE226" s="208">
        <v>0</v>
      </c>
      <c r="CF226" s="208">
        <v>-58632</v>
      </c>
      <c r="CG226" s="208">
        <v>-546</v>
      </c>
      <c r="CH226" s="208">
        <v>0</v>
      </c>
      <c r="CI226" s="208">
        <v>-546</v>
      </c>
      <c r="CJ226" s="208">
        <v>-306831</v>
      </c>
      <c r="CK226" s="208">
        <v>0</v>
      </c>
      <c r="CL226" s="208">
        <v>-306831</v>
      </c>
      <c r="CM226" s="208">
        <v>0</v>
      </c>
      <c r="CN226" s="208">
        <v>0</v>
      </c>
      <c r="CO226" s="208">
        <v>0</v>
      </c>
      <c r="CP226" s="208">
        <v>-5147</v>
      </c>
      <c r="CQ226" s="208">
        <v>0</v>
      </c>
      <c r="CR226" s="208">
        <v>-5147</v>
      </c>
      <c r="CS226" s="208">
        <v>0</v>
      </c>
      <c r="CT226" s="208">
        <v>0</v>
      </c>
      <c r="CU226" s="208">
        <v>0</v>
      </c>
      <c r="CV226" s="208">
        <v>0</v>
      </c>
      <c r="CW226" s="208">
        <v>0</v>
      </c>
      <c r="CX226" s="208">
        <v>0</v>
      </c>
      <c r="CY226" s="208">
        <v>0</v>
      </c>
      <c r="CZ226" s="208">
        <v>0</v>
      </c>
      <c r="DA226" s="208">
        <v>0</v>
      </c>
      <c r="DB226" s="208">
        <v>0</v>
      </c>
      <c r="DC226" s="208">
        <v>0</v>
      </c>
      <c r="DD226" s="208">
        <v>0</v>
      </c>
      <c r="DE226" s="208">
        <v>0</v>
      </c>
      <c r="DF226" s="208">
        <v>0</v>
      </c>
      <c r="DG226" s="208">
        <v>0</v>
      </c>
      <c r="DH226" s="208">
        <v>0</v>
      </c>
      <c r="DI226" s="208">
        <v>0</v>
      </c>
      <c r="DJ226" s="208">
        <v>0</v>
      </c>
      <c r="DK226" s="208">
        <v>0</v>
      </c>
      <c r="DL226" s="208">
        <v>0</v>
      </c>
      <c r="DM226" s="208">
        <v>0</v>
      </c>
      <c r="DN226" s="208">
        <v>0</v>
      </c>
      <c r="DO226" s="208">
        <v>0</v>
      </c>
      <c r="DP226" s="208">
        <v>-371156</v>
      </c>
      <c r="DQ226" s="208">
        <v>0</v>
      </c>
      <c r="DR226" s="208">
        <v>-371156</v>
      </c>
      <c r="DS226" s="208">
        <v>0</v>
      </c>
      <c r="DT226" s="208">
        <v>0</v>
      </c>
      <c r="DU226" s="208">
        <v>0</v>
      </c>
      <c r="DV226" s="208">
        <v>0</v>
      </c>
      <c r="DW226" s="208">
        <v>0</v>
      </c>
      <c r="DX226" s="208">
        <v>0</v>
      </c>
      <c r="DY226" s="208">
        <v>210</v>
      </c>
      <c r="DZ226" s="208">
        <v>0</v>
      </c>
      <c r="EA226" s="208">
        <v>210</v>
      </c>
      <c r="EB226" s="208">
        <v>0</v>
      </c>
      <c r="EC226" s="208">
        <v>0</v>
      </c>
      <c r="ED226" s="208">
        <v>0</v>
      </c>
      <c r="EE226" s="208">
        <v>0</v>
      </c>
      <c r="EF226" s="208">
        <v>0</v>
      </c>
      <c r="EG226" s="208">
        <v>0</v>
      </c>
      <c r="EH226" s="208">
        <v>0</v>
      </c>
      <c r="EI226" s="208">
        <v>0</v>
      </c>
      <c r="EJ226" s="208">
        <v>0</v>
      </c>
      <c r="EK226" s="208">
        <v>0</v>
      </c>
      <c r="EL226" s="208">
        <v>0</v>
      </c>
      <c r="EM226" s="208">
        <v>0</v>
      </c>
      <c r="EN226" s="208">
        <v>0</v>
      </c>
      <c r="EO226" s="208">
        <v>0</v>
      </c>
      <c r="EP226" s="208">
        <v>0</v>
      </c>
      <c r="EQ226" s="208">
        <v>0</v>
      </c>
      <c r="ER226" s="208">
        <v>0</v>
      </c>
      <c r="ES226" s="208">
        <v>0</v>
      </c>
      <c r="ET226" s="208">
        <v>0</v>
      </c>
      <c r="EU226" s="208">
        <v>0</v>
      </c>
      <c r="EV226" s="208">
        <v>0</v>
      </c>
      <c r="EW226" s="208">
        <v>-36216</v>
      </c>
      <c r="EX226" s="208">
        <v>0</v>
      </c>
      <c r="EY226" s="208">
        <v>-36216</v>
      </c>
      <c r="EZ226" s="208">
        <v>141</v>
      </c>
      <c r="FA226" s="208">
        <v>0</v>
      </c>
      <c r="FB226" s="208">
        <v>141</v>
      </c>
      <c r="FC226" s="208">
        <v>-149954</v>
      </c>
      <c r="FD226" s="208">
        <v>0</v>
      </c>
      <c r="FE226" s="208">
        <v>-149954</v>
      </c>
      <c r="FF226" s="208">
        <v>125.44</v>
      </c>
      <c r="FG226" s="208">
        <v>0</v>
      </c>
      <c r="FH226" s="208">
        <v>125.44</v>
      </c>
      <c r="FI226" s="208">
        <v>-19170</v>
      </c>
      <c r="FJ226" s="208">
        <v>0</v>
      </c>
      <c r="FK226" s="208">
        <v>-19170</v>
      </c>
      <c r="FL226" s="208">
        <v>-1000</v>
      </c>
      <c r="FM226" s="208">
        <v>0</v>
      </c>
      <c r="FN226" s="208">
        <v>-1000</v>
      </c>
      <c r="FO226" s="208">
        <v>0</v>
      </c>
      <c r="FP226" s="208">
        <v>0</v>
      </c>
      <c r="FQ226" s="208">
        <v>0</v>
      </c>
      <c r="FR226" s="208">
        <v>0</v>
      </c>
      <c r="FS226" s="208">
        <v>0</v>
      </c>
      <c r="FT226" s="208">
        <v>0</v>
      </c>
      <c r="FU226" s="208">
        <v>-205864</v>
      </c>
      <c r="FV226" s="208">
        <v>0</v>
      </c>
      <c r="FW226" s="208">
        <v>-205864</v>
      </c>
      <c r="FX226" s="208">
        <v>-29660</v>
      </c>
      <c r="FY226" s="208">
        <v>0</v>
      </c>
      <c r="FZ226" s="208">
        <v>-29660</v>
      </c>
      <c r="GA226" s="208">
        <v>-22549</v>
      </c>
      <c r="GB226" s="208">
        <v>0</v>
      </c>
      <c r="GC226" s="208">
        <v>-22549</v>
      </c>
      <c r="GD226" s="208">
        <v>-52209</v>
      </c>
      <c r="GE226" s="208">
        <v>0</v>
      </c>
      <c r="GF226" s="208">
        <v>-52209</v>
      </c>
      <c r="GG226" s="208">
        <v>56423765</v>
      </c>
      <c r="GH226" s="208">
        <v>0</v>
      </c>
      <c r="GI226" s="208">
        <v>56423765</v>
      </c>
      <c r="GJ226" s="208">
        <v>-229899</v>
      </c>
      <c r="GK226" s="208">
        <v>0</v>
      </c>
      <c r="GL226" s="208">
        <v>-229899</v>
      </c>
      <c r="GM226" s="208">
        <v>-2978541</v>
      </c>
      <c r="GN226" s="208">
        <v>0</v>
      </c>
      <c r="GO226" s="208">
        <v>-2978541</v>
      </c>
      <c r="GP226" s="208">
        <v>-1421990</v>
      </c>
      <c r="GQ226" s="208">
        <v>0</v>
      </c>
      <c r="GR226" s="208">
        <v>-1421990</v>
      </c>
      <c r="GS226" s="208">
        <v>-371156</v>
      </c>
      <c r="GT226" s="208">
        <v>0</v>
      </c>
      <c r="GU226" s="208">
        <v>-371156</v>
      </c>
      <c r="GV226" s="208">
        <v>-205864</v>
      </c>
      <c r="GW226" s="208">
        <v>0</v>
      </c>
      <c r="GX226" s="208">
        <v>-205864</v>
      </c>
      <c r="GY226" s="208">
        <v>-52209</v>
      </c>
      <c r="GZ226" s="208">
        <v>0</v>
      </c>
      <c r="HA226" s="208">
        <v>-52209</v>
      </c>
      <c r="HB226" s="208">
        <v>-5259659</v>
      </c>
      <c r="HC226" s="208">
        <v>0</v>
      </c>
      <c r="HD226" s="208">
        <v>-5259659</v>
      </c>
      <c r="HE226" s="208">
        <v>51164106</v>
      </c>
      <c r="HF226" s="208">
        <v>0</v>
      </c>
      <c r="HG226" s="208">
        <v>51164106</v>
      </c>
      <c r="HH226" s="187" t="s">
        <v>1054</v>
      </c>
    </row>
    <row r="227" spans="1:216" s="187" customFormat="1" x14ac:dyDescent="0.2">
      <c r="B227" s="429" t="s">
        <v>531</v>
      </c>
      <c r="C227" s="429" t="s">
        <v>530</v>
      </c>
      <c r="D227" s="208">
        <v>-741239</v>
      </c>
      <c r="E227" s="208">
        <v>0</v>
      </c>
      <c r="F227" s="208">
        <v>-741239</v>
      </c>
      <c r="G227" s="208">
        <v>14842</v>
      </c>
      <c r="H227" s="208">
        <v>0</v>
      </c>
      <c r="I227" s="208">
        <v>14842</v>
      </c>
      <c r="J227" s="208">
        <v>199153</v>
      </c>
      <c r="K227" s="208">
        <v>0</v>
      </c>
      <c r="L227" s="208">
        <v>199153</v>
      </c>
      <c r="M227" s="208">
        <v>-5986</v>
      </c>
      <c r="N227" s="208">
        <v>0</v>
      </c>
      <c r="O227" s="208">
        <v>-5986</v>
      </c>
      <c r="P227" s="208">
        <v>-533230</v>
      </c>
      <c r="Q227" s="208">
        <v>0</v>
      </c>
      <c r="R227" s="208">
        <v>-533230</v>
      </c>
      <c r="S227" s="208">
        <v>-1720843</v>
      </c>
      <c r="T227" s="208">
        <v>0</v>
      </c>
      <c r="U227" s="208">
        <v>-1720843</v>
      </c>
      <c r="V227" s="208">
        <v>-2948</v>
      </c>
      <c r="W227" s="208">
        <v>0</v>
      </c>
      <c r="X227" s="208">
        <v>-2948</v>
      </c>
      <c r="Y227" s="208">
        <v>-73634</v>
      </c>
      <c r="Z227" s="208">
        <v>0</v>
      </c>
      <c r="AA227" s="208">
        <v>-73634</v>
      </c>
      <c r="AB227" s="208">
        <v>-32797</v>
      </c>
      <c r="AC227" s="208">
        <v>0</v>
      </c>
      <c r="AD227" s="208">
        <v>-32797</v>
      </c>
      <c r="AE227" s="208">
        <v>-38810</v>
      </c>
      <c r="AF227" s="208">
        <v>0</v>
      </c>
      <c r="AG227" s="208">
        <v>-38810</v>
      </c>
      <c r="AH227" s="208">
        <v>0</v>
      </c>
      <c r="AI227" s="208">
        <v>0</v>
      </c>
      <c r="AJ227" s="208">
        <v>0</v>
      </c>
      <c r="AK227" s="208">
        <v>0</v>
      </c>
      <c r="AL227" s="208">
        <v>0</v>
      </c>
      <c r="AM227" s="208">
        <v>0</v>
      </c>
      <c r="AN227" s="208">
        <v>270586</v>
      </c>
      <c r="AO227" s="208">
        <v>0</v>
      </c>
      <c r="AP227" s="208">
        <v>270586</v>
      </c>
      <c r="AQ227" s="208">
        <v>-364</v>
      </c>
      <c r="AR227" s="208">
        <v>0</v>
      </c>
      <c r="AS227" s="208">
        <v>-364</v>
      </c>
      <c r="AT227" s="208">
        <v>-1624600</v>
      </c>
      <c r="AU227" s="208">
        <v>0</v>
      </c>
      <c r="AV227" s="208">
        <v>-1624600</v>
      </c>
      <c r="AW227" s="208">
        <v>-2261</v>
      </c>
      <c r="AX227" s="208">
        <v>0</v>
      </c>
      <c r="AY227" s="208">
        <v>-2261</v>
      </c>
      <c r="AZ227" s="208">
        <v>-21967</v>
      </c>
      <c r="BA227" s="208">
        <v>0</v>
      </c>
      <c r="BB227" s="208">
        <v>-21967</v>
      </c>
      <c r="BC227" s="208">
        <v>0</v>
      </c>
      <c r="BD227" s="208">
        <v>0</v>
      </c>
      <c r="BE227" s="208">
        <v>0</v>
      </c>
      <c r="BF227" s="208">
        <v>-9866</v>
      </c>
      <c r="BG227" s="208">
        <v>0</v>
      </c>
      <c r="BH227" s="208">
        <v>-9866</v>
      </c>
      <c r="BI227" s="208">
        <v>0</v>
      </c>
      <c r="BJ227" s="208">
        <v>0</v>
      </c>
      <c r="BK227" s="208">
        <v>0</v>
      </c>
      <c r="BL227" s="208">
        <v>-3182949</v>
      </c>
      <c r="BM227" s="208">
        <v>0</v>
      </c>
      <c r="BN227" s="208">
        <v>-3182949</v>
      </c>
      <c r="BO227" s="208">
        <v>-17707</v>
      </c>
      <c r="BP227" s="208">
        <v>0</v>
      </c>
      <c r="BQ227" s="208">
        <v>-17707</v>
      </c>
      <c r="BR227" s="208">
        <v>0</v>
      </c>
      <c r="BS227" s="208">
        <v>0</v>
      </c>
      <c r="BT227" s="208">
        <v>0</v>
      </c>
      <c r="BU227" s="208">
        <v>-198173</v>
      </c>
      <c r="BV227" s="208">
        <v>0</v>
      </c>
      <c r="BW227" s="208">
        <v>-198173</v>
      </c>
      <c r="BX227" s="208">
        <v>-11805</v>
      </c>
      <c r="BY227" s="208">
        <v>0</v>
      </c>
      <c r="BZ227" s="208">
        <v>-11805</v>
      </c>
      <c r="CA227" s="208">
        <v>-227685</v>
      </c>
      <c r="CB227" s="208">
        <v>0</v>
      </c>
      <c r="CC227" s="208">
        <v>-227685</v>
      </c>
      <c r="CD227" s="208">
        <v>-51491</v>
      </c>
      <c r="CE227" s="208">
        <v>0</v>
      </c>
      <c r="CF227" s="208">
        <v>-51491</v>
      </c>
      <c r="CG227" s="208">
        <v>0</v>
      </c>
      <c r="CH227" s="208">
        <v>0</v>
      </c>
      <c r="CI227" s="208">
        <v>0</v>
      </c>
      <c r="CJ227" s="208">
        <v>-24165</v>
      </c>
      <c r="CK227" s="208">
        <v>0</v>
      </c>
      <c r="CL227" s="208">
        <v>-24165</v>
      </c>
      <c r="CM227" s="208">
        <v>-1837</v>
      </c>
      <c r="CN227" s="208">
        <v>0</v>
      </c>
      <c r="CO227" s="208">
        <v>-1837</v>
      </c>
      <c r="CP227" s="208">
        <v>-2173</v>
      </c>
      <c r="CQ227" s="208">
        <v>0</v>
      </c>
      <c r="CR227" s="208">
        <v>-2173</v>
      </c>
      <c r="CS227" s="208">
        <v>0</v>
      </c>
      <c r="CT227" s="208">
        <v>0</v>
      </c>
      <c r="CU227" s="208">
        <v>0</v>
      </c>
      <c r="CV227" s="208">
        <v>-9866</v>
      </c>
      <c r="CW227" s="208">
        <v>0</v>
      </c>
      <c r="CX227" s="208">
        <v>-9866</v>
      </c>
      <c r="CY227" s="208">
        <v>0</v>
      </c>
      <c r="CZ227" s="208">
        <v>0</v>
      </c>
      <c r="DA227" s="208">
        <v>0</v>
      </c>
      <c r="DB227" s="208">
        <v>0</v>
      </c>
      <c r="DC227" s="208">
        <v>0</v>
      </c>
      <c r="DD227" s="208">
        <v>0</v>
      </c>
      <c r="DE227" s="208">
        <v>0</v>
      </c>
      <c r="DF227" s="208">
        <v>0</v>
      </c>
      <c r="DG227" s="208">
        <v>0</v>
      </c>
      <c r="DH227" s="208">
        <v>0</v>
      </c>
      <c r="DI227" s="208">
        <v>0</v>
      </c>
      <c r="DJ227" s="208">
        <v>0</v>
      </c>
      <c r="DK227" s="208">
        <v>0</v>
      </c>
      <c r="DL227" s="208">
        <v>0</v>
      </c>
      <c r="DM227" s="208">
        <v>0</v>
      </c>
      <c r="DN227" s="208">
        <v>0</v>
      </c>
      <c r="DO227" s="208">
        <v>0</v>
      </c>
      <c r="DP227" s="208">
        <v>-89532</v>
      </c>
      <c r="DQ227" s="208">
        <v>0</v>
      </c>
      <c r="DR227" s="208">
        <v>-89532</v>
      </c>
      <c r="DS227" s="208">
        <v>0</v>
      </c>
      <c r="DT227" s="208">
        <v>0</v>
      </c>
      <c r="DU227" s="208">
        <v>0</v>
      </c>
      <c r="DV227" s="208">
        <v>0</v>
      </c>
      <c r="DW227" s="208">
        <v>0</v>
      </c>
      <c r="DX227" s="208">
        <v>0</v>
      </c>
      <c r="DY227" s="208">
        <v>0</v>
      </c>
      <c r="DZ227" s="208">
        <v>0</v>
      </c>
      <c r="EA227" s="208">
        <v>0</v>
      </c>
      <c r="EB227" s="208">
        <v>0</v>
      </c>
      <c r="EC227" s="208">
        <v>0</v>
      </c>
      <c r="ED227" s="208">
        <v>0</v>
      </c>
      <c r="EE227" s="208">
        <v>0</v>
      </c>
      <c r="EF227" s="208">
        <v>0</v>
      </c>
      <c r="EG227" s="208">
        <v>0</v>
      </c>
      <c r="EH227" s="208">
        <v>0</v>
      </c>
      <c r="EI227" s="208">
        <v>0</v>
      </c>
      <c r="EJ227" s="208">
        <v>0</v>
      </c>
      <c r="EK227" s="208">
        <v>0</v>
      </c>
      <c r="EL227" s="208">
        <v>0</v>
      </c>
      <c r="EM227" s="208">
        <v>0</v>
      </c>
      <c r="EN227" s="208">
        <v>0</v>
      </c>
      <c r="EO227" s="208">
        <v>0</v>
      </c>
      <c r="EP227" s="208">
        <v>0</v>
      </c>
      <c r="EQ227" s="208">
        <v>0</v>
      </c>
      <c r="ER227" s="208">
        <v>0</v>
      </c>
      <c r="ES227" s="208">
        <v>0</v>
      </c>
      <c r="ET227" s="208">
        <v>0</v>
      </c>
      <c r="EU227" s="208">
        <v>0</v>
      </c>
      <c r="EV227" s="208">
        <v>0</v>
      </c>
      <c r="EW227" s="208">
        <v>-18742</v>
      </c>
      <c r="EX227" s="208">
        <v>0</v>
      </c>
      <c r="EY227" s="208">
        <v>-18742</v>
      </c>
      <c r="EZ227" s="208">
        <v>0</v>
      </c>
      <c r="FA227" s="208">
        <v>0</v>
      </c>
      <c r="FB227" s="208">
        <v>0</v>
      </c>
      <c r="FC227" s="208">
        <v>-92999</v>
      </c>
      <c r="FD227" s="208">
        <v>0</v>
      </c>
      <c r="FE227" s="208">
        <v>-92999</v>
      </c>
      <c r="FF227" s="208">
        <v>-1761</v>
      </c>
      <c r="FG227" s="208">
        <v>0</v>
      </c>
      <c r="FH227" s="208">
        <v>-1761</v>
      </c>
      <c r="FI227" s="208">
        <v>-25326</v>
      </c>
      <c r="FJ227" s="208">
        <v>0</v>
      </c>
      <c r="FK227" s="208">
        <v>-25326</v>
      </c>
      <c r="FL227" s="208">
        <v>1000</v>
      </c>
      <c r="FM227" s="208">
        <v>0</v>
      </c>
      <c r="FN227" s="208">
        <v>1000</v>
      </c>
      <c r="FO227" s="208">
        <v>0</v>
      </c>
      <c r="FP227" s="208">
        <v>0</v>
      </c>
      <c r="FQ227" s="208">
        <v>0</v>
      </c>
      <c r="FR227" s="208">
        <v>0</v>
      </c>
      <c r="FS227" s="208">
        <v>0</v>
      </c>
      <c r="FT227" s="208">
        <v>0</v>
      </c>
      <c r="FU227" s="208">
        <v>-137828</v>
      </c>
      <c r="FV227" s="208">
        <v>0</v>
      </c>
      <c r="FW227" s="208">
        <v>-137828</v>
      </c>
      <c r="FX227" s="208">
        <v>0</v>
      </c>
      <c r="FY227" s="208">
        <v>0</v>
      </c>
      <c r="FZ227" s="208">
        <v>0</v>
      </c>
      <c r="GA227" s="208">
        <v>0</v>
      </c>
      <c r="GB227" s="208">
        <v>0</v>
      </c>
      <c r="GC227" s="208">
        <v>0</v>
      </c>
      <c r="GD227" s="208">
        <v>0</v>
      </c>
      <c r="GE227" s="208">
        <v>0</v>
      </c>
      <c r="GF227" s="208">
        <v>0</v>
      </c>
      <c r="GG227" s="208">
        <v>15546853</v>
      </c>
      <c r="GH227" s="208">
        <v>0</v>
      </c>
      <c r="GI227" s="208">
        <v>15546853</v>
      </c>
      <c r="GJ227" s="208">
        <v>-533230</v>
      </c>
      <c r="GK227" s="208">
        <v>0</v>
      </c>
      <c r="GL227" s="208">
        <v>-533230</v>
      </c>
      <c r="GM227" s="208">
        <v>-3182949</v>
      </c>
      <c r="GN227" s="208">
        <v>0</v>
      </c>
      <c r="GO227" s="208">
        <v>-3182949</v>
      </c>
      <c r="GP227" s="208">
        <v>-227685</v>
      </c>
      <c r="GQ227" s="208">
        <v>0</v>
      </c>
      <c r="GR227" s="208">
        <v>-227685</v>
      </c>
      <c r="GS227" s="208">
        <v>-89532</v>
      </c>
      <c r="GT227" s="208">
        <v>0</v>
      </c>
      <c r="GU227" s="208">
        <v>-89532</v>
      </c>
      <c r="GV227" s="208">
        <v>-137828</v>
      </c>
      <c r="GW227" s="208">
        <v>0</v>
      </c>
      <c r="GX227" s="208">
        <v>-137828</v>
      </c>
      <c r="GY227" s="208">
        <v>0</v>
      </c>
      <c r="GZ227" s="208">
        <v>0</v>
      </c>
      <c r="HA227" s="208">
        <v>0</v>
      </c>
      <c r="HB227" s="208">
        <v>-4171224</v>
      </c>
      <c r="HC227" s="208">
        <v>0</v>
      </c>
      <c r="HD227" s="208">
        <v>-4171224</v>
      </c>
      <c r="HE227" s="208">
        <v>11375629</v>
      </c>
      <c r="HF227" s="208">
        <v>0</v>
      </c>
      <c r="HG227" s="208">
        <v>11375629</v>
      </c>
      <c r="HH227" s="187" t="s">
        <v>742</v>
      </c>
    </row>
    <row r="228" spans="1:216" s="187" customFormat="1" x14ac:dyDescent="0.2">
      <c r="B228" s="429" t="s">
        <v>533</v>
      </c>
      <c r="C228" s="429" t="s">
        <v>532</v>
      </c>
      <c r="D228" s="208">
        <v>-1039810</v>
      </c>
      <c r="E228" s="208">
        <v>0</v>
      </c>
      <c r="F228" s="208">
        <v>-1039810</v>
      </c>
      <c r="G228" s="208">
        <v>404605</v>
      </c>
      <c r="H228" s="208">
        <v>0</v>
      </c>
      <c r="I228" s="208">
        <v>404605</v>
      </c>
      <c r="J228" s="208">
        <v>203447</v>
      </c>
      <c r="K228" s="208">
        <v>0</v>
      </c>
      <c r="L228" s="208">
        <v>203447</v>
      </c>
      <c r="M228" s="208">
        <v>-42240</v>
      </c>
      <c r="N228" s="208">
        <v>0</v>
      </c>
      <c r="O228" s="208">
        <v>-42240</v>
      </c>
      <c r="P228" s="208">
        <v>-473998</v>
      </c>
      <c r="Q228" s="208">
        <v>0</v>
      </c>
      <c r="R228" s="208">
        <v>-473998</v>
      </c>
      <c r="S228" s="208">
        <v>-3281308</v>
      </c>
      <c r="T228" s="208">
        <v>0</v>
      </c>
      <c r="U228" s="208">
        <v>-3281308</v>
      </c>
      <c r="V228" s="208">
        <v>-9727</v>
      </c>
      <c r="W228" s="208">
        <v>0</v>
      </c>
      <c r="X228" s="208">
        <v>-9727</v>
      </c>
      <c r="Y228" s="208">
        <v>-74532</v>
      </c>
      <c r="Z228" s="208">
        <v>0</v>
      </c>
      <c r="AA228" s="208">
        <v>-74532</v>
      </c>
      <c r="AB228" s="208">
        <v>-27296</v>
      </c>
      <c r="AC228" s="208">
        <v>0</v>
      </c>
      <c r="AD228" s="208">
        <v>-27296</v>
      </c>
      <c r="AE228" s="208">
        <v>-35215</v>
      </c>
      <c r="AF228" s="208">
        <v>0</v>
      </c>
      <c r="AG228" s="208">
        <v>-35215</v>
      </c>
      <c r="AH228" s="208">
        <v>0</v>
      </c>
      <c r="AI228" s="208">
        <v>0</v>
      </c>
      <c r="AJ228" s="208">
        <v>0</v>
      </c>
      <c r="AK228" s="208">
        <v>-5958</v>
      </c>
      <c r="AL228" s="208">
        <v>0</v>
      </c>
      <c r="AM228" s="208">
        <v>-5958</v>
      </c>
      <c r="AN228" s="208">
        <v>377123</v>
      </c>
      <c r="AO228" s="208">
        <v>0</v>
      </c>
      <c r="AP228" s="208">
        <v>377123</v>
      </c>
      <c r="AQ228" s="208">
        <v>-52803</v>
      </c>
      <c r="AR228" s="208">
        <v>0</v>
      </c>
      <c r="AS228" s="208">
        <v>-52803</v>
      </c>
      <c r="AT228" s="208">
        <v>-1018505</v>
      </c>
      <c r="AU228" s="208">
        <v>0</v>
      </c>
      <c r="AV228" s="208">
        <v>-1018505</v>
      </c>
      <c r="AW228" s="208">
        <v>278032</v>
      </c>
      <c r="AX228" s="208">
        <v>0</v>
      </c>
      <c r="AY228" s="208">
        <v>278032</v>
      </c>
      <c r="AZ228" s="208">
        <v>-12902</v>
      </c>
      <c r="BA228" s="208">
        <v>0</v>
      </c>
      <c r="BB228" s="208">
        <v>-12902</v>
      </c>
      <c r="BC228" s="208">
        <v>0</v>
      </c>
      <c r="BD228" s="208">
        <v>0</v>
      </c>
      <c r="BE228" s="208">
        <v>0</v>
      </c>
      <c r="BF228" s="208">
        <v>-35073</v>
      </c>
      <c r="BG228" s="208">
        <v>0</v>
      </c>
      <c r="BH228" s="208">
        <v>-35073</v>
      </c>
      <c r="BI228" s="208">
        <v>0</v>
      </c>
      <c r="BJ228" s="208">
        <v>0</v>
      </c>
      <c r="BK228" s="208">
        <v>0</v>
      </c>
      <c r="BL228" s="208">
        <v>-3819968</v>
      </c>
      <c r="BM228" s="208">
        <v>0</v>
      </c>
      <c r="BN228" s="208">
        <v>-3819968</v>
      </c>
      <c r="BO228" s="208">
        <v>-5883</v>
      </c>
      <c r="BP228" s="208">
        <v>0</v>
      </c>
      <c r="BQ228" s="208">
        <v>-5883</v>
      </c>
      <c r="BR228" s="208">
        <v>27790</v>
      </c>
      <c r="BS228" s="208">
        <v>0</v>
      </c>
      <c r="BT228" s="208">
        <v>27790</v>
      </c>
      <c r="BU228" s="208">
        <v>-369175</v>
      </c>
      <c r="BV228" s="208">
        <v>0</v>
      </c>
      <c r="BW228" s="208">
        <v>-369175</v>
      </c>
      <c r="BX228" s="208">
        <v>-3502</v>
      </c>
      <c r="BY228" s="208">
        <v>0</v>
      </c>
      <c r="BZ228" s="208">
        <v>-3502</v>
      </c>
      <c r="CA228" s="208">
        <v>-350770</v>
      </c>
      <c r="CB228" s="208">
        <v>0</v>
      </c>
      <c r="CC228" s="208">
        <v>-350770</v>
      </c>
      <c r="CD228" s="208">
        <v>-95232</v>
      </c>
      <c r="CE228" s="208">
        <v>0</v>
      </c>
      <c r="CF228" s="208">
        <v>-95232</v>
      </c>
      <c r="CG228" s="208">
        <v>170</v>
      </c>
      <c r="CH228" s="208">
        <v>0</v>
      </c>
      <c r="CI228" s="208">
        <v>170</v>
      </c>
      <c r="CJ228" s="208">
        <v>-53770</v>
      </c>
      <c r="CK228" s="208">
        <v>0</v>
      </c>
      <c r="CL228" s="208">
        <v>-53770</v>
      </c>
      <c r="CM228" s="208">
        <v>0</v>
      </c>
      <c r="CN228" s="208">
        <v>0</v>
      </c>
      <c r="CO228" s="208">
        <v>0</v>
      </c>
      <c r="CP228" s="208">
        <v>-3226</v>
      </c>
      <c r="CQ228" s="208">
        <v>0</v>
      </c>
      <c r="CR228" s="208">
        <v>-3226</v>
      </c>
      <c r="CS228" s="208">
        <v>0</v>
      </c>
      <c r="CT228" s="208">
        <v>0</v>
      </c>
      <c r="CU228" s="208">
        <v>0</v>
      </c>
      <c r="CV228" s="208">
        <v>0</v>
      </c>
      <c r="CW228" s="208">
        <v>0</v>
      </c>
      <c r="CX228" s="208">
        <v>0</v>
      </c>
      <c r="CY228" s="208">
        <v>0</v>
      </c>
      <c r="CZ228" s="208">
        <v>0</v>
      </c>
      <c r="DA228" s="208">
        <v>0</v>
      </c>
      <c r="DB228" s="208">
        <v>0</v>
      </c>
      <c r="DC228" s="208">
        <v>0</v>
      </c>
      <c r="DD228" s="208">
        <v>0</v>
      </c>
      <c r="DE228" s="208">
        <v>0</v>
      </c>
      <c r="DF228" s="208">
        <v>0</v>
      </c>
      <c r="DG228" s="208">
        <v>0</v>
      </c>
      <c r="DH228" s="208">
        <v>0</v>
      </c>
      <c r="DI228" s="208">
        <v>0</v>
      </c>
      <c r="DJ228" s="208">
        <v>0</v>
      </c>
      <c r="DK228" s="208">
        <v>0</v>
      </c>
      <c r="DL228" s="208">
        <v>0</v>
      </c>
      <c r="DM228" s="208">
        <v>0</v>
      </c>
      <c r="DN228" s="208">
        <v>0</v>
      </c>
      <c r="DO228" s="208">
        <v>0</v>
      </c>
      <c r="DP228" s="208">
        <v>-152058</v>
      </c>
      <c r="DQ228" s="208">
        <v>0</v>
      </c>
      <c r="DR228" s="208">
        <v>-152058</v>
      </c>
      <c r="DS228" s="208">
        <v>0</v>
      </c>
      <c r="DT228" s="208">
        <v>0</v>
      </c>
      <c r="DU228" s="208">
        <v>0</v>
      </c>
      <c r="DV228" s="208">
        <v>0</v>
      </c>
      <c r="DW228" s="208">
        <v>0</v>
      </c>
      <c r="DX228" s="208">
        <v>0</v>
      </c>
      <c r="DY228" s="208">
        <v>2500</v>
      </c>
      <c r="DZ228" s="208">
        <v>0</v>
      </c>
      <c r="EA228" s="208">
        <v>2500</v>
      </c>
      <c r="EB228" s="208">
        <v>0</v>
      </c>
      <c r="EC228" s="208">
        <v>0</v>
      </c>
      <c r="ED228" s="208">
        <v>0</v>
      </c>
      <c r="EE228" s="208">
        <v>0</v>
      </c>
      <c r="EF228" s="208">
        <v>0</v>
      </c>
      <c r="EG228" s="208">
        <v>0</v>
      </c>
      <c r="EH228" s="208">
        <v>0</v>
      </c>
      <c r="EI228" s="208">
        <v>0</v>
      </c>
      <c r="EJ228" s="208">
        <v>0</v>
      </c>
      <c r="EK228" s="208">
        <v>-35072</v>
      </c>
      <c r="EL228" s="208">
        <v>0</v>
      </c>
      <c r="EM228" s="208">
        <v>-35072</v>
      </c>
      <c r="EN228" s="208">
        <v>1738</v>
      </c>
      <c r="EO228" s="208">
        <v>0</v>
      </c>
      <c r="EP228" s="208">
        <v>1738</v>
      </c>
      <c r="EQ228" s="208">
        <v>-1500</v>
      </c>
      <c r="ER228" s="208">
        <v>0</v>
      </c>
      <c r="ES228" s="208">
        <v>-1500</v>
      </c>
      <c r="ET228" s="208">
        <v>0</v>
      </c>
      <c r="EU228" s="208">
        <v>0</v>
      </c>
      <c r="EV228" s="208">
        <v>0</v>
      </c>
      <c r="EW228" s="208">
        <v>-31723</v>
      </c>
      <c r="EX228" s="208">
        <v>0</v>
      </c>
      <c r="EY228" s="208">
        <v>-31723</v>
      </c>
      <c r="EZ228" s="208">
        <v>0</v>
      </c>
      <c r="FA228" s="208">
        <v>0</v>
      </c>
      <c r="FB228" s="208">
        <v>0</v>
      </c>
      <c r="FC228" s="208">
        <v>-105354</v>
      </c>
      <c r="FD228" s="208">
        <v>0</v>
      </c>
      <c r="FE228" s="208">
        <v>-105354</v>
      </c>
      <c r="FF228" s="208">
        <v>-6</v>
      </c>
      <c r="FG228" s="208">
        <v>0</v>
      </c>
      <c r="FH228" s="208">
        <v>-6</v>
      </c>
      <c r="FI228" s="208">
        <v>-49912</v>
      </c>
      <c r="FJ228" s="208">
        <v>0</v>
      </c>
      <c r="FK228" s="208">
        <v>-49912</v>
      </c>
      <c r="FL228" s="208">
        <v>0</v>
      </c>
      <c r="FM228" s="208">
        <v>0</v>
      </c>
      <c r="FN228" s="208">
        <v>0</v>
      </c>
      <c r="FO228" s="208">
        <v>0</v>
      </c>
      <c r="FP228" s="208">
        <v>0</v>
      </c>
      <c r="FQ228" s="208">
        <v>0</v>
      </c>
      <c r="FR228" s="208">
        <v>0</v>
      </c>
      <c r="FS228" s="208">
        <v>0</v>
      </c>
      <c r="FT228" s="208">
        <v>0</v>
      </c>
      <c r="FU228" s="208">
        <v>-219329</v>
      </c>
      <c r="FV228" s="208">
        <v>0</v>
      </c>
      <c r="FW228" s="208">
        <v>-219329</v>
      </c>
      <c r="FX228" s="208">
        <v>0</v>
      </c>
      <c r="FY228" s="208">
        <v>0</v>
      </c>
      <c r="FZ228" s="208">
        <v>0</v>
      </c>
      <c r="GA228" s="208">
        <v>0</v>
      </c>
      <c r="GB228" s="208">
        <v>0</v>
      </c>
      <c r="GC228" s="208">
        <v>0</v>
      </c>
      <c r="GD228" s="208">
        <v>0</v>
      </c>
      <c r="GE228" s="208">
        <v>0</v>
      </c>
      <c r="GF228" s="208">
        <v>0</v>
      </c>
      <c r="GG228" s="208">
        <v>20567421</v>
      </c>
      <c r="GH228" s="208">
        <v>0</v>
      </c>
      <c r="GI228" s="208">
        <v>20567421</v>
      </c>
      <c r="GJ228" s="208">
        <v>-473998</v>
      </c>
      <c r="GK228" s="208">
        <v>0</v>
      </c>
      <c r="GL228" s="208">
        <v>-473998</v>
      </c>
      <c r="GM228" s="208">
        <v>-3819968</v>
      </c>
      <c r="GN228" s="208">
        <v>0</v>
      </c>
      <c r="GO228" s="208">
        <v>-3819968</v>
      </c>
      <c r="GP228" s="208">
        <v>-350770</v>
      </c>
      <c r="GQ228" s="208">
        <v>0</v>
      </c>
      <c r="GR228" s="208">
        <v>-350770</v>
      </c>
      <c r="GS228" s="208">
        <v>-152058</v>
      </c>
      <c r="GT228" s="208">
        <v>0</v>
      </c>
      <c r="GU228" s="208">
        <v>-152058</v>
      </c>
      <c r="GV228" s="208">
        <v>-219329</v>
      </c>
      <c r="GW228" s="208">
        <v>0</v>
      </c>
      <c r="GX228" s="208">
        <v>-219329</v>
      </c>
      <c r="GY228" s="208">
        <v>0</v>
      </c>
      <c r="GZ228" s="208">
        <v>0</v>
      </c>
      <c r="HA228" s="208">
        <v>0</v>
      </c>
      <c r="HB228" s="208">
        <v>-5016123</v>
      </c>
      <c r="HC228" s="208">
        <v>0</v>
      </c>
      <c r="HD228" s="208">
        <v>-5016123</v>
      </c>
      <c r="HE228" s="208">
        <v>15551298</v>
      </c>
      <c r="HF228" s="208">
        <v>0</v>
      </c>
      <c r="HG228" s="208">
        <v>15551298</v>
      </c>
      <c r="HH228" s="187" t="s">
        <v>1054</v>
      </c>
    </row>
    <row r="229" spans="1:216" s="187" customFormat="1" x14ac:dyDescent="0.2">
      <c r="B229" s="429" t="s">
        <v>535</v>
      </c>
      <c r="C229" s="429" t="s">
        <v>534</v>
      </c>
      <c r="D229" s="208">
        <v>-1770887</v>
      </c>
      <c r="E229" s="208">
        <v>0</v>
      </c>
      <c r="F229" s="208">
        <v>-1770887</v>
      </c>
      <c r="G229" s="208">
        <v>-76721</v>
      </c>
      <c r="H229" s="208">
        <v>0</v>
      </c>
      <c r="I229" s="208">
        <v>-76721</v>
      </c>
      <c r="J229" s="208">
        <v>4260438</v>
      </c>
      <c r="K229" s="208">
        <v>0</v>
      </c>
      <c r="L229" s="208">
        <v>4260438</v>
      </c>
      <c r="M229" s="208">
        <v>-83740</v>
      </c>
      <c r="N229" s="208">
        <v>0</v>
      </c>
      <c r="O229" s="208">
        <v>-83740</v>
      </c>
      <c r="P229" s="208">
        <v>2329090</v>
      </c>
      <c r="Q229" s="208">
        <v>0</v>
      </c>
      <c r="R229" s="208">
        <v>2329090</v>
      </c>
      <c r="S229" s="208">
        <v>-8252825</v>
      </c>
      <c r="T229" s="208">
        <v>0</v>
      </c>
      <c r="U229" s="208">
        <v>-8252825</v>
      </c>
      <c r="V229" s="208">
        <v>-15378</v>
      </c>
      <c r="W229" s="208">
        <v>0</v>
      </c>
      <c r="X229" s="208">
        <v>-15378</v>
      </c>
      <c r="Y229" s="208">
        <v>-1002372</v>
      </c>
      <c r="Z229" s="208">
        <v>0</v>
      </c>
      <c r="AA229" s="208">
        <v>-1002372</v>
      </c>
      <c r="AB229" s="208">
        <v>-381779</v>
      </c>
      <c r="AC229" s="208">
        <v>0</v>
      </c>
      <c r="AD229" s="208">
        <v>-381779</v>
      </c>
      <c r="AE229" s="208">
        <v>-596408</v>
      </c>
      <c r="AF229" s="208">
        <v>0</v>
      </c>
      <c r="AG229" s="208">
        <v>-596408</v>
      </c>
      <c r="AH229" s="208">
        <v>-744</v>
      </c>
      <c r="AI229" s="208">
        <v>0</v>
      </c>
      <c r="AJ229" s="208">
        <v>-744</v>
      </c>
      <c r="AK229" s="208">
        <v>-2133</v>
      </c>
      <c r="AL229" s="208">
        <v>0</v>
      </c>
      <c r="AM229" s="208">
        <v>-2133</v>
      </c>
      <c r="AN229" s="208">
        <v>2333942</v>
      </c>
      <c r="AO229" s="208">
        <v>0</v>
      </c>
      <c r="AP229" s="208">
        <v>2333942</v>
      </c>
      <c r="AQ229" s="208">
        <v>89898</v>
      </c>
      <c r="AR229" s="208">
        <v>0</v>
      </c>
      <c r="AS229" s="208">
        <v>89898</v>
      </c>
      <c r="AT229" s="208">
        <v>-8603401</v>
      </c>
      <c r="AU229" s="208">
        <v>0</v>
      </c>
      <c r="AV229" s="208">
        <v>-8603401</v>
      </c>
      <c r="AW229" s="208">
        <v>-593188</v>
      </c>
      <c r="AX229" s="208">
        <v>0</v>
      </c>
      <c r="AY229" s="208">
        <v>-593188</v>
      </c>
      <c r="AZ229" s="208">
        <v>-118233</v>
      </c>
      <c r="BA229" s="208">
        <v>0</v>
      </c>
      <c r="BB229" s="208">
        <v>-118233</v>
      </c>
      <c r="BC229" s="208">
        <v>0</v>
      </c>
      <c r="BD229" s="208">
        <v>0</v>
      </c>
      <c r="BE229" s="208">
        <v>0</v>
      </c>
      <c r="BF229" s="208">
        <v>0</v>
      </c>
      <c r="BG229" s="208">
        <v>0</v>
      </c>
      <c r="BH229" s="208">
        <v>0</v>
      </c>
      <c r="BI229" s="208">
        <v>0</v>
      </c>
      <c r="BJ229" s="208">
        <v>0</v>
      </c>
      <c r="BK229" s="208">
        <v>0</v>
      </c>
      <c r="BL229" s="208">
        <v>-16146179</v>
      </c>
      <c r="BM229" s="208">
        <v>0</v>
      </c>
      <c r="BN229" s="208">
        <v>-16146179</v>
      </c>
      <c r="BO229" s="208">
        <v>-29486</v>
      </c>
      <c r="BP229" s="208">
        <v>0</v>
      </c>
      <c r="BQ229" s="208">
        <v>-29486</v>
      </c>
      <c r="BR229" s="208">
        <v>-46954</v>
      </c>
      <c r="BS229" s="208">
        <v>0</v>
      </c>
      <c r="BT229" s="208">
        <v>-46954</v>
      </c>
      <c r="BU229" s="208">
        <v>-5648131</v>
      </c>
      <c r="BV229" s="208">
        <v>0</v>
      </c>
      <c r="BW229" s="208">
        <v>-5648131</v>
      </c>
      <c r="BX229" s="208">
        <v>222848</v>
      </c>
      <c r="BY229" s="208">
        <v>0</v>
      </c>
      <c r="BZ229" s="208">
        <v>222848</v>
      </c>
      <c r="CA229" s="208">
        <v>-5501723</v>
      </c>
      <c r="CB229" s="208">
        <v>0</v>
      </c>
      <c r="CC229" s="208">
        <v>-5501723</v>
      </c>
      <c r="CD229" s="208">
        <v>-252676</v>
      </c>
      <c r="CE229" s="208">
        <v>0</v>
      </c>
      <c r="CF229" s="208">
        <v>-252676</v>
      </c>
      <c r="CG229" s="208">
        <v>-14462</v>
      </c>
      <c r="CH229" s="208">
        <v>0</v>
      </c>
      <c r="CI229" s="208">
        <v>-14462</v>
      </c>
      <c r="CJ229" s="208">
        <v>-142561</v>
      </c>
      <c r="CK229" s="208">
        <v>0</v>
      </c>
      <c r="CL229" s="208">
        <v>-142561</v>
      </c>
      <c r="CM229" s="208">
        <v>-135782</v>
      </c>
      <c r="CN229" s="208">
        <v>0</v>
      </c>
      <c r="CO229" s="208">
        <v>-135782</v>
      </c>
      <c r="CP229" s="208">
        <v>-796</v>
      </c>
      <c r="CQ229" s="208">
        <v>0</v>
      </c>
      <c r="CR229" s="208">
        <v>-796</v>
      </c>
      <c r="CS229" s="208">
        <v>0</v>
      </c>
      <c r="CT229" s="208">
        <v>0</v>
      </c>
      <c r="CU229" s="208">
        <v>0</v>
      </c>
      <c r="CV229" s="208">
        <v>0</v>
      </c>
      <c r="CW229" s="208">
        <v>0</v>
      </c>
      <c r="CX229" s="208">
        <v>0</v>
      </c>
      <c r="CY229" s="208">
        <v>0</v>
      </c>
      <c r="CZ229" s="208">
        <v>0</v>
      </c>
      <c r="DA229" s="208">
        <v>0</v>
      </c>
      <c r="DB229" s="208">
        <v>0</v>
      </c>
      <c r="DC229" s="208">
        <v>0</v>
      </c>
      <c r="DD229" s="208">
        <v>0</v>
      </c>
      <c r="DE229" s="208">
        <v>0</v>
      </c>
      <c r="DF229" s="208">
        <v>0</v>
      </c>
      <c r="DG229" s="208">
        <v>0</v>
      </c>
      <c r="DH229" s="208">
        <v>0</v>
      </c>
      <c r="DI229" s="208">
        <v>0</v>
      </c>
      <c r="DJ229" s="208">
        <v>0</v>
      </c>
      <c r="DK229" s="208">
        <v>0</v>
      </c>
      <c r="DL229" s="208">
        <v>0</v>
      </c>
      <c r="DM229" s="208">
        <v>0</v>
      </c>
      <c r="DN229" s="208">
        <v>0</v>
      </c>
      <c r="DO229" s="208">
        <v>0</v>
      </c>
      <c r="DP229" s="208">
        <v>-546277</v>
      </c>
      <c r="DQ229" s="208">
        <v>0</v>
      </c>
      <c r="DR229" s="208">
        <v>-546277</v>
      </c>
      <c r="DS229" s="208">
        <v>511</v>
      </c>
      <c r="DT229" s="208">
        <v>0</v>
      </c>
      <c r="DU229" s="208">
        <v>511</v>
      </c>
      <c r="DV229" s="208">
        <v>0</v>
      </c>
      <c r="DW229" s="208">
        <v>0</v>
      </c>
      <c r="DX229" s="208">
        <v>0</v>
      </c>
      <c r="DY229" s="208">
        <v>10240</v>
      </c>
      <c r="DZ229" s="208">
        <v>0</v>
      </c>
      <c r="EA229" s="208">
        <v>10240</v>
      </c>
      <c r="EB229" s="208">
        <v>0</v>
      </c>
      <c r="EC229" s="208">
        <v>0</v>
      </c>
      <c r="ED229" s="208">
        <v>0</v>
      </c>
      <c r="EE229" s="208">
        <v>0</v>
      </c>
      <c r="EF229" s="208">
        <v>0</v>
      </c>
      <c r="EG229" s="208">
        <v>0</v>
      </c>
      <c r="EH229" s="208">
        <v>0</v>
      </c>
      <c r="EI229" s="208">
        <v>0</v>
      </c>
      <c r="EJ229" s="208">
        <v>0</v>
      </c>
      <c r="EK229" s="208">
        <v>0</v>
      </c>
      <c r="EL229" s="208">
        <v>0</v>
      </c>
      <c r="EM229" s="208">
        <v>0</v>
      </c>
      <c r="EN229" s="208">
        <v>0</v>
      </c>
      <c r="EO229" s="208">
        <v>0</v>
      </c>
      <c r="EP229" s="208">
        <v>0</v>
      </c>
      <c r="EQ229" s="208">
        <v>0</v>
      </c>
      <c r="ER229" s="208">
        <v>0</v>
      </c>
      <c r="ES229" s="208">
        <v>0</v>
      </c>
      <c r="ET229" s="208">
        <v>0</v>
      </c>
      <c r="EU229" s="208">
        <v>0</v>
      </c>
      <c r="EV229" s="208">
        <v>0</v>
      </c>
      <c r="EW229" s="208">
        <v>-7873</v>
      </c>
      <c r="EX229" s="208">
        <v>0</v>
      </c>
      <c r="EY229" s="208">
        <v>-7873</v>
      </c>
      <c r="EZ229" s="208">
        <v>0</v>
      </c>
      <c r="FA229" s="208">
        <v>0</v>
      </c>
      <c r="FB229" s="208">
        <v>0</v>
      </c>
      <c r="FC229" s="208">
        <v>-123257</v>
      </c>
      <c r="FD229" s="208">
        <v>0</v>
      </c>
      <c r="FE229" s="208">
        <v>-123257</v>
      </c>
      <c r="FF229" s="208">
        <v>8666</v>
      </c>
      <c r="FG229" s="208">
        <v>0</v>
      </c>
      <c r="FH229" s="208">
        <v>8666</v>
      </c>
      <c r="FI229" s="208">
        <v>-46112</v>
      </c>
      <c r="FJ229" s="208">
        <v>0</v>
      </c>
      <c r="FK229" s="208">
        <v>-46112</v>
      </c>
      <c r="FL229" s="208">
        <v>1499</v>
      </c>
      <c r="FM229" s="208">
        <v>0</v>
      </c>
      <c r="FN229" s="208">
        <v>1499</v>
      </c>
      <c r="FO229" s="208">
        <v>0</v>
      </c>
      <c r="FP229" s="208">
        <v>0</v>
      </c>
      <c r="FQ229" s="208">
        <v>0</v>
      </c>
      <c r="FR229" s="208">
        <v>0</v>
      </c>
      <c r="FS229" s="208">
        <v>0</v>
      </c>
      <c r="FT229" s="208">
        <v>0</v>
      </c>
      <c r="FU229" s="208">
        <v>-156326</v>
      </c>
      <c r="FV229" s="208">
        <v>0</v>
      </c>
      <c r="FW229" s="208">
        <v>-156326</v>
      </c>
      <c r="FX229" s="208">
        <v>0</v>
      </c>
      <c r="FY229" s="208">
        <v>0</v>
      </c>
      <c r="FZ229" s="208">
        <v>0</v>
      </c>
      <c r="GA229" s="208">
        <v>352</v>
      </c>
      <c r="GB229" s="208">
        <v>0</v>
      </c>
      <c r="GC229" s="208">
        <v>352</v>
      </c>
      <c r="GD229" s="208">
        <v>352</v>
      </c>
      <c r="GE229" s="208">
        <v>0</v>
      </c>
      <c r="GF229" s="208">
        <v>352</v>
      </c>
      <c r="GG229" s="208">
        <v>116187351</v>
      </c>
      <c r="GH229" s="208">
        <v>0</v>
      </c>
      <c r="GI229" s="208">
        <v>116187351</v>
      </c>
      <c r="GJ229" s="208">
        <v>2329090</v>
      </c>
      <c r="GK229" s="208">
        <v>0</v>
      </c>
      <c r="GL229" s="208">
        <v>2329090</v>
      </c>
      <c r="GM229" s="208">
        <v>-16146179</v>
      </c>
      <c r="GN229" s="208">
        <v>0</v>
      </c>
      <c r="GO229" s="208">
        <v>-16146179</v>
      </c>
      <c r="GP229" s="208">
        <v>-5501723</v>
      </c>
      <c r="GQ229" s="208">
        <v>0</v>
      </c>
      <c r="GR229" s="208">
        <v>-5501723</v>
      </c>
      <c r="GS229" s="208">
        <v>-546277</v>
      </c>
      <c r="GT229" s="208">
        <v>0</v>
      </c>
      <c r="GU229" s="208">
        <v>-546277</v>
      </c>
      <c r="GV229" s="208">
        <v>-156326</v>
      </c>
      <c r="GW229" s="208">
        <v>0</v>
      </c>
      <c r="GX229" s="208">
        <v>-156326</v>
      </c>
      <c r="GY229" s="208">
        <v>352</v>
      </c>
      <c r="GZ229" s="208">
        <v>0</v>
      </c>
      <c r="HA229" s="208">
        <v>352</v>
      </c>
      <c r="HB229" s="208">
        <v>-20021063</v>
      </c>
      <c r="HC229" s="208">
        <v>0</v>
      </c>
      <c r="HD229" s="208">
        <v>-20021063</v>
      </c>
      <c r="HE229" s="208">
        <v>96166288</v>
      </c>
      <c r="HF229" s="208">
        <v>0</v>
      </c>
      <c r="HG229" s="208">
        <v>96166288</v>
      </c>
      <c r="HH229" s="187" t="s">
        <v>1056</v>
      </c>
    </row>
    <row r="230" spans="1:216" s="187" customFormat="1" x14ac:dyDescent="0.2">
      <c r="B230" s="429" t="s">
        <v>537</v>
      </c>
      <c r="C230" s="429" t="s">
        <v>536</v>
      </c>
      <c r="D230" s="208">
        <v>-1467742</v>
      </c>
      <c r="E230" s="208">
        <v>0</v>
      </c>
      <c r="F230" s="208">
        <v>-1467742</v>
      </c>
      <c r="G230" s="208">
        <v>-31051</v>
      </c>
      <c r="H230" s="208">
        <v>0</v>
      </c>
      <c r="I230" s="208">
        <v>-31051</v>
      </c>
      <c r="J230" s="208">
        <v>2689286</v>
      </c>
      <c r="K230" s="208">
        <v>0</v>
      </c>
      <c r="L230" s="208">
        <v>2689286</v>
      </c>
      <c r="M230" s="208">
        <v>-196502</v>
      </c>
      <c r="N230" s="208">
        <v>0</v>
      </c>
      <c r="O230" s="208">
        <v>-196502</v>
      </c>
      <c r="P230" s="208">
        <v>993991</v>
      </c>
      <c r="Q230" s="208">
        <v>0</v>
      </c>
      <c r="R230" s="208">
        <v>993991</v>
      </c>
      <c r="S230" s="208">
        <v>-13176344</v>
      </c>
      <c r="T230" s="208">
        <v>0</v>
      </c>
      <c r="U230" s="208">
        <v>-13176344</v>
      </c>
      <c r="V230" s="208">
        <v>-35686</v>
      </c>
      <c r="W230" s="208">
        <v>0</v>
      </c>
      <c r="X230" s="208">
        <v>-35686</v>
      </c>
      <c r="Y230" s="208">
        <v>-437834</v>
      </c>
      <c r="Z230" s="208">
        <v>0</v>
      </c>
      <c r="AA230" s="208">
        <v>-437834</v>
      </c>
      <c r="AB230" s="208">
        <v>-77372</v>
      </c>
      <c r="AC230" s="208">
        <v>0</v>
      </c>
      <c r="AD230" s="208">
        <v>-77372</v>
      </c>
      <c r="AE230" s="208">
        <v>-356547</v>
      </c>
      <c r="AF230" s="208">
        <v>0</v>
      </c>
      <c r="AG230" s="208">
        <v>-356547</v>
      </c>
      <c r="AH230" s="208">
        <v>-1198</v>
      </c>
      <c r="AI230" s="208">
        <v>0</v>
      </c>
      <c r="AJ230" s="208">
        <v>-1198</v>
      </c>
      <c r="AK230" s="208">
        <v>5100</v>
      </c>
      <c r="AL230" s="208">
        <v>0</v>
      </c>
      <c r="AM230" s="208">
        <v>5100</v>
      </c>
      <c r="AN230" s="208">
        <v>2267388</v>
      </c>
      <c r="AO230" s="208">
        <v>0</v>
      </c>
      <c r="AP230" s="208">
        <v>2267388</v>
      </c>
      <c r="AQ230" s="208">
        <v>681503</v>
      </c>
      <c r="AR230" s="208">
        <v>0</v>
      </c>
      <c r="AS230" s="208">
        <v>681503</v>
      </c>
      <c r="AT230" s="208">
        <v>-6460187</v>
      </c>
      <c r="AU230" s="208">
        <v>0</v>
      </c>
      <c r="AV230" s="208">
        <v>-6460187</v>
      </c>
      <c r="AW230" s="208">
        <v>489360</v>
      </c>
      <c r="AX230" s="208">
        <v>0</v>
      </c>
      <c r="AY230" s="208">
        <v>489360</v>
      </c>
      <c r="AZ230" s="208">
        <v>-80477</v>
      </c>
      <c r="BA230" s="208">
        <v>0</v>
      </c>
      <c r="BB230" s="208">
        <v>-80477</v>
      </c>
      <c r="BC230" s="208">
        <v>104</v>
      </c>
      <c r="BD230" s="208">
        <v>0</v>
      </c>
      <c r="BE230" s="208">
        <v>104</v>
      </c>
      <c r="BF230" s="208">
        <v>0</v>
      </c>
      <c r="BG230" s="208">
        <v>0</v>
      </c>
      <c r="BH230" s="208">
        <v>0</v>
      </c>
      <c r="BI230" s="208">
        <v>0</v>
      </c>
      <c r="BJ230" s="208">
        <v>0</v>
      </c>
      <c r="BK230" s="208">
        <v>0</v>
      </c>
      <c r="BL230" s="208">
        <v>-16716487</v>
      </c>
      <c r="BM230" s="208">
        <v>0</v>
      </c>
      <c r="BN230" s="208">
        <v>-16716487</v>
      </c>
      <c r="BO230" s="208">
        <v>-161733</v>
      </c>
      <c r="BP230" s="208">
        <v>0</v>
      </c>
      <c r="BQ230" s="208">
        <v>-161733</v>
      </c>
      <c r="BR230" s="208">
        <v>-26495</v>
      </c>
      <c r="BS230" s="208">
        <v>0</v>
      </c>
      <c r="BT230" s="208">
        <v>-26495</v>
      </c>
      <c r="BU230" s="208">
        <v>-3343098</v>
      </c>
      <c r="BV230" s="208">
        <v>0</v>
      </c>
      <c r="BW230" s="208">
        <v>-3343098</v>
      </c>
      <c r="BX230" s="208">
        <v>-168875</v>
      </c>
      <c r="BY230" s="208">
        <v>0</v>
      </c>
      <c r="BZ230" s="208">
        <v>-168875</v>
      </c>
      <c r="CA230" s="208">
        <v>-3700201</v>
      </c>
      <c r="CB230" s="208">
        <v>0</v>
      </c>
      <c r="CC230" s="208">
        <v>-3700201</v>
      </c>
      <c r="CD230" s="208">
        <v>-428918</v>
      </c>
      <c r="CE230" s="208">
        <v>0</v>
      </c>
      <c r="CF230" s="208">
        <v>-428918</v>
      </c>
      <c r="CG230" s="208">
        <v>-2188</v>
      </c>
      <c r="CH230" s="208">
        <v>0</v>
      </c>
      <c r="CI230" s="208">
        <v>-2188</v>
      </c>
      <c r="CJ230" s="208">
        <v>-332559</v>
      </c>
      <c r="CK230" s="208">
        <v>0</v>
      </c>
      <c r="CL230" s="208">
        <v>-332559</v>
      </c>
      <c r="CM230" s="208">
        <v>0</v>
      </c>
      <c r="CN230" s="208">
        <v>0</v>
      </c>
      <c r="CO230" s="208">
        <v>0</v>
      </c>
      <c r="CP230" s="208">
        <v>-13084</v>
      </c>
      <c r="CQ230" s="208">
        <v>0</v>
      </c>
      <c r="CR230" s="208">
        <v>-13084</v>
      </c>
      <c r="CS230" s="208">
        <v>0</v>
      </c>
      <c r="CT230" s="208">
        <v>0</v>
      </c>
      <c r="CU230" s="208">
        <v>0</v>
      </c>
      <c r="CV230" s="208">
        <v>0</v>
      </c>
      <c r="CW230" s="208">
        <v>0</v>
      </c>
      <c r="CX230" s="208">
        <v>0</v>
      </c>
      <c r="CY230" s="208">
        <v>0</v>
      </c>
      <c r="CZ230" s="208">
        <v>0</v>
      </c>
      <c r="DA230" s="208">
        <v>0</v>
      </c>
      <c r="DB230" s="208">
        <v>0</v>
      </c>
      <c r="DC230" s="208">
        <v>0</v>
      </c>
      <c r="DD230" s="208">
        <v>0</v>
      </c>
      <c r="DE230" s="208">
        <v>0</v>
      </c>
      <c r="DF230" s="208">
        <v>0</v>
      </c>
      <c r="DG230" s="208">
        <v>0</v>
      </c>
      <c r="DH230" s="208">
        <v>0</v>
      </c>
      <c r="DI230" s="208">
        <v>0</v>
      </c>
      <c r="DJ230" s="208">
        <v>0</v>
      </c>
      <c r="DK230" s="208">
        <v>0</v>
      </c>
      <c r="DL230" s="208">
        <v>0</v>
      </c>
      <c r="DM230" s="208">
        <v>0</v>
      </c>
      <c r="DN230" s="208">
        <v>0</v>
      </c>
      <c r="DO230" s="208">
        <v>0</v>
      </c>
      <c r="DP230" s="208">
        <v>-776749</v>
      </c>
      <c r="DQ230" s="208">
        <v>0</v>
      </c>
      <c r="DR230" s="208">
        <v>-776749</v>
      </c>
      <c r="DS230" s="208">
        <v>0</v>
      </c>
      <c r="DT230" s="208">
        <v>0</v>
      </c>
      <c r="DU230" s="208">
        <v>0</v>
      </c>
      <c r="DV230" s="208">
        <v>19159</v>
      </c>
      <c r="DW230" s="208">
        <v>0</v>
      </c>
      <c r="DX230" s="208">
        <v>19159</v>
      </c>
      <c r="DY230" s="208">
        <v>2768</v>
      </c>
      <c r="DZ230" s="208">
        <v>0</v>
      </c>
      <c r="EA230" s="208">
        <v>2768</v>
      </c>
      <c r="EB230" s="208">
        <v>0</v>
      </c>
      <c r="EC230" s="208">
        <v>0</v>
      </c>
      <c r="ED230" s="208">
        <v>0</v>
      </c>
      <c r="EE230" s="208">
        <v>0</v>
      </c>
      <c r="EF230" s="208">
        <v>0</v>
      </c>
      <c r="EG230" s="208">
        <v>0</v>
      </c>
      <c r="EH230" s="208">
        <v>0</v>
      </c>
      <c r="EI230" s="208">
        <v>0</v>
      </c>
      <c r="EJ230" s="208">
        <v>0</v>
      </c>
      <c r="EK230" s="208">
        <v>0</v>
      </c>
      <c r="EL230" s="208">
        <v>0</v>
      </c>
      <c r="EM230" s="208">
        <v>0</v>
      </c>
      <c r="EN230" s="208">
        <v>0</v>
      </c>
      <c r="EO230" s="208">
        <v>0</v>
      </c>
      <c r="EP230" s="208">
        <v>0</v>
      </c>
      <c r="EQ230" s="208">
        <v>-1500</v>
      </c>
      <c r="ER230" s="208">
        <v>0</v>
      </c>
      <c r="ES230" s="208">
        <v>-1500</v>
      </c>
      <c r="ET230" s="208">
        <v>0</v>
      </c>
      <c r="EU230" s="208">
        <v>0</v>
      </c>
      <c r="EV230" s="208">
        <v>0</v>
      </c>
      <c r="EW230" s="208">
        <v>-38950</v>
      </c>
      <c r="EX230" s="208">
        <v>0</v>
      </c>
      <c r="EY230" s="208">
        <v>-38950</v>
      </c>
      <c r="EZ230" s="208">
        <v>3184</v>
      </c>
      <c r="FA230" s="208">
        <v>0</v>
      </c>
      <c r="FB230" s="208">
        <v>3184</v>
      </c>
      <c r="FC230" s="208">
        <v>-155379</v>
      </c>
      <c r="FD230" s="208">
        <v>0</v>
      </c>
      <c r="FE230" s="208">
        <v>-155379</v>
      </c>
      <c r="FF230" s="208">
        <v>17364</v>
      </c>
      <c r="FG230" s="208">
        <v>0</v>
      </c>
      <c r="FH230" s="208">
        <v>17364</v>
      </c>
      <c r="FI230" s="208">
        <v>-38189</v>
      </c>
      <c r="FJ230" s="208">
        <v>0</v>
      </c>
      <c r="FK230" s="208">
        <v>-38189</v>
      </c>
      <c r="FL230" s="208">
        <v>2241</v>
      </c>
      <c r="FM230" s="208">
        <v>0</v>
      </c>
      <c r="FN230" s="208">
        <v>2241</v>
      </c>
      <c r="FO230" s="208">
        <v>0</v>
      </c>
      <c r="FP230" s="208">
        <v>0</v>
      </c>
      <c r="FQ230" s="208">
        <v>0</v>
      </c>
      <c r="FR230" s="208">
        <v>0</v>
      </c>
      <c r="FS230" s="208">
        <v>0</v>
      </c>
      <c r="FT230" s="208">
        <v>0</v>
      </c>
      <c r="FU230" s="208">
        <v>-189302</v>
      </c>
      <c r="FV230" s="208">
        <v>0</v>
      </c>
      <c r="FW230" s="208">
        <v>-189302</v>
      </c>
      <c r="FX230" s="208">
        <v>-12000</v>
      </c>
      <c r="FY230" s="208">
        <v>0</v>
      </c>
      <c r="FZ230" s="208">
        <v>-12000</v>
      </c>
      <c r="GA230" s="208">
        <v>0</v>
      </c>
      <c r="GB230" s="208">
        <v>0</v>
      </c>
      <c r="GC230" s="208">
        <v>0</v>
      </c>
      <c r="GD230" s="208">
        <v>-12000</v>
      </c>
      <c r="GE230" s="208">
        <v>0</v>
      </c>
      <c r="GF230" s="208">
        <v>-12000</v>
      </c>
      <c r="GG230" s="208">
        <v>120653518</v>
      </c>
      <c r="GH230" s="208">
        <v>0</v>
      </c>
      <c r="GI230" s="208">
        <v>120653518</v>
      </c>
      <c r="GJ230" s="208">
        <v>993991</v>
      </c>
      <c r="GK230" s="208">
        <v>0</v>
      </c>
      <c r="GL230" s="208">
        <v>993991</v>
      </c>
      <c r="GM230" s="208">
        <v>-16716487</v>
      </c>
      <c r="GN230" s="208">
        <v>0</v>
      </c>
      <c r="GO230" s="208">
        <v>-16716487</v>
      </c>
      <c r="GP230" s="208">
        <v>-3700201</v>
      </c>
      <c r="GQ230" s="208">
        <v>0</v>
      </c>
      <c r="GR230" s="208">
        <v>-3700201</v>
      </c>
      <c r="GS230" s="208">
        <v>-776749</v>
      </c>
      <c r="GT230" s="208">
        <v>0</v>
      </c>
      <c r="GU230" s="208">
        <v>-776749</v>
      </c>
      <c r="GV230" s="208">
        <v>-189302</v>
      </c>
      <c r="GW230" s="208">
        <v>0</v>
      </c>
      <c r="GX230" s="208">
        <v>-189302</v>
      </c>
      <c r="GY230" s="208">
        <v>-12000</v>
      </c>
      <c r="GZ230" s="208">
        <v>0</v>
      </c>
      <c r="HA230" s="208">
        <v>-12000</v>
      </c>
      <c r="HB230" s="208">
        <v>-20400748</v>
      </c>
      <c r="HC230" s="208">
        <v>0</v>
      </c>
      <c r="HD230" s="208">
        <v>-20400748</v>
      </c>
      <c r="HE230" s="208">
        <v>100252770</v>
      </c>
      <c r="HF230" s="208">
        <v>0</v>
      </c>
      <c r="HG230" s="208">
        <v>100252770</v>
      </c>
      <c r="HH230" s="187" t="s">
        <v>1056</v>
      </c>
    </row>
    <row r="231" spans="1:216" s="187" customFormat="1" x14ac:dyDescent="0.2">
      <c r="B231" s="429" t="s">
        <v>539</v>
      </c>
      <c r="C231" s="429" t="s">
        <v>538</v>
      </c>
      <c r="D231" s="208">
        <v>-2865101</v>
      </c>
      <c r="E231" s="208">
        <v>0</v>
      </c>
      <c r="F231" s="208">
        <v>-2865101</v>
      </c>
      <c r="G231" s="208">
        <v>74187</v>
      </c>
      <c r="H231" s="208">
        <v>0</v>
      </c>
      <c r="I231" s="208">
        <v>74187</v>
      </c>
      <c r="J231" s="208">
        <v>580770</v>
      </c>
      <c r="K231" s="208">
        <v>0</v>
      </c>
      <c r="L231" s="208">
        <v>580770</v>
      </c>
      <c r="M231" s="208">
        <v>2480</v>
      </c>
      <c r="N231" s="208">
        <v>0</v>
      </c>
      <c r="O231" s="208">
        <v>2480</v>
      </c>
      <c r="P231" s="208">
        <v>-2207664</v>
      </c>
      <c r="Q231" s="208">
        <v>0</v>
      </c>
      <c r="R231" s="208">
        <v>-2207664</v>
      </c>
      <c r="S231" s="208">
        <v>-8282977</v>
      </c>
      <c r="T231" s="208">
        <v>0</v>
      </c>
      <c r="U231" s="208">
        <v>-8282977</v>
      </c>
      <c r="V231" s="208">
        <v>-53605</v>
      </c>
      <c r="W231" s="208">
        <v>0</v>
      </c>
      <c r="X231" s="208">
        <v>-53605</v>
      </c>
      <c r="Y231" s="208">
        <v>-279677</v>
      </c>
      <c r="Z231" s="208">
        <v>0</v>
      </c>
      <c r="AA231" s="208">
        <v>-279677</v>
      </c>
      <c r="AB231" s="208">
        <v>-75572</v>
      </c>
      <c r="AC231" s="208">
        <v>0</v>
      </c>
      <c r="AD231" s="208">
        <v>-75572</v>
      </c>
      <c r="AE231" s="208">
        <v>-204104</v>
      </c>
      <c r="AF231" s="208">
        <v>0</v>
      </c>
      <c r="AG231" s="208">
        <v>-204104</v>
      </c>
      <c r="AH231" s="208">
        <v>-751.18</v>
      </c>
      <c r="AI231" s="208">
        <v>0</v>
      </c>
      <c r="AJ231" s="208">
        <v>-751.18</v>
      </c>
      <c r="AK231" s="208">
        <v>-10083</v>
      </c>
      <c r="AL231" s="208">
        <v>0</v>
      </c>
      <c r="AM231" s="208">
        <v>-10083</v>
      </c>
      <c r="AN231" s="208">
        <v>731530</v>
      </c>
      <c r="AO231" s="208">
        <v>0</v>
      </c>
      <c r="AP231" s="208">
        <v>731530</v>
      </c>
      <c r="AQ231" s="208">
        <v>-4473</v>
      </c>
      <c r="AR231" s="208">
        <v>0</v>
      </c>
      <c r="AS231" s="208">
        <v>-4473</v>
      </c>
      <c r="AT231" s="208">
        <v>-2526732</v>
      </c>
      <c r="AU231" s="208">
        <v>0</v>
      </c>
      <c r="AV231" s="208">
        <v>-2526732</v>
      </c>
      <c r="AW231" s="208">
        <v>-49662</v>
      </c>
      <c r="AX231" s="208">
        <v>0</v>
      </c>
      <c r="AY231" s="208">
        <v>-49662</v>
      </c>
      <c r="AZ231" s="208">
        <v>-113326</v>
      </c>
      <c r="BA231" s="208">
        <v>0</v>
      </c>
      <c r="BB231" s="208">
        <v>-113326</v>
      </c>
      <c r="BC231" s="208">
        <v>0</v>
      </c>
      <c r="BD231" s="208">
        <v>0</v>
      </c>
      <c r="BE231" s="208">
        <v>0</v>
      </c>
      <c r="BF231" s="208">
        <v>-28714</v>
      </c>
      <c r="BG231" s="208">
        <v>0</v>
      </c>
      <c r="BH231" s="208">
        <v>-28714</v>
      </c>
      <c r="BI231" s="208">
        <v>0</v>
      </c>
      <c r="BJ231" s="208">
        <v>0</v>
      </c>
      <c r="BK231" s="208">
        <v>0</v>
      </c>
      <c r="BL231" s="208">
        <v>-10554031</v>
      </c>
      <c r="BM231" s="208">
        <v>0</v>
      </c>
      <c r="BN231" s="208">
        <v>-10554031</v>
      </c>
      <c r="BO231" s="208">
        <v>-15389</v>
      </c>
      <c r="BP231" s="208">
        <v>0</v>
      </c>
      <c r="BQ231" s="208">
        <v>-15389</v>
      </c>
      <c r="BR231" s="208">
        <v>0</v>
      </c>
      <c r="BS231" s="208">
        <v>0</v>
      </c>
      <c r="BT231" s="208">
        <v>0</v>
      </c>
      <c r="BU231" s="208">
        <v>-786587</v>
      </c>
      <c r="BV231" s="208">
        <v>0</v>
      </c>
      <c r="BW231" s="208">
        <v>-786587</v>
      </c>
      <c r="BX231" s="208">
        <v>-28658</v>
      </c>
      <c r="BY231" s="208">
        <v>0</v>
      </c>
      <c r="BZ231" s="208">
        <v>-28658</v>
      </c>
      <c r="CA231" s="208">
        <v>-830634</v>
      </c>
      <c r="CB231" s="208">
        <v>0</v>
      </c>
      <c r="CC231" s="208">
        <v>-830634</v>
      </c>
      <c r="CD231" s="208">
        <v>-224581</v>
      </c>
      <c r="CE231" s="208">
        <v>0</v>
      </c>
      <c r="CF231" s="208">
        <v>-224581</v>
      </c>
      <c r="CG231" s="208">
        <v>-10454</v>
      </c>
      <c r="CH231" s="208">
        <v>0</v>
      </c>
      <c r="CI231" s="208">
        <v>-10454</v>
      </c>
      <c r="CJ231" s="208">
        <v>-90144</v>
      </c>
      <c r="CK231" s="208">
        <v>0</v>
      </c>
      <c r="CL231" s="208">
        <v>-90144</v>
      </c>
      <c r="CM231" s="208">
        <v>-1308</v>
      </c>
      <c r="CN231" s="208">
        <v>0</v>
      </c>
      <c r="CO231" s="208">
        <v>-1308</v>
      </c>
      <c r="CP231" s="208">
        <v>0</v>
      </c>
      <c r="CQ231" s="208">
        <v>0</v>
      </c>
      <c r="CR231" s="208">
        <v>0</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0</v>
      </c>
      <c r="DO231" s="208">
        <v>0</v>
      </c>
      <c r="DP231" s="208">
        <v>-326487</v>
      </c>
      <c r="DQ231" s="208">
        <v>0</v>
      </c>
      <c r="DR231" s="208">
        <v>-326487</v>
      </c>
      <c r="DS231" s="208">
        <v>0</v>
      </c>
      <c r="DT231" s="208">
        <v>0</v>
      </c>
      <c r="DU231" s="208">
        <v>0</v>
      </c>
      <c r="DV231" s="208">
        <v>0</v>
      </c>
      <c r="DW231" s="208">
        <v>0</v>
      </c>
      <c r="DX231" s="208">
        <v>0</v>
      </c>
      <c r="DY231" s="208">
        <v>6009</v>
      </c>
      <c r="DZ231" s="208">
        <v>0</v>
      </c>
      <c r="EA231" s="208">
        <v>6009</v>
      </c>
      <c r="EB231" s="208">
        <v>0</v>
      </c>
      <c r="EC231" s="208">
        <v>0</v>
      </c>
      <c r="ED231" s="208">
        <v>0</v>
      </c>
      <c r="EE231" s="208">
        <v>0</v>
      </c>
      <c r="EF231" s="208">
        <v>0</v>
      </c>
      <c r="EG231" s="208">
        <v>0</v>
      </c>
      <c r="EH231" s="208">
        <v>0</v>
      </c>
      <c r="EI231" s="208">
        <v>0</v>
      </c>
      <c r="EJ231" s="208">
        <v>0</v>
      </c>
      <c r="EK231" s="208">
        <v>-28714</v>
      </c>
      <c r="EL231" s="208">
        <v>0</v>
      </c>
      <c r="EM231" s="208">
        <v>-28714</v>
      </c>
      <c r="EN231" s="208">
        <v>0</v>
      </c>
      <c r="EO231" s="208">
        <v>0</v>
      </c>
      <c r="EP231" s="208">
        <v>0</v>
      </c>
      <c r="EQ231" s="208">
        <v>-555</v>
      </c>
      <c r="ER231" s="208">
        <v>0</v>
      </c>
      <c r="ES231" s="208">
        <v>-555</v>
      </c>
      <c r="ET231" s="208">
        <v>0</v>
      </c>
      <c r="EU231" s="208">
        <v>0</v>
      </c>
      <c r="EV231" s="208">
        <v>0</v>
      </c>
      <c r="EW231" s="208">
        <v>-72008</v>
      </c>
      <c r="EX231" s="208">
        <v>0</v>
      </c>
      <c r="EY231" s="208">
        <v>-72008</v>
      </c>
      <c r="EZ231" s="208">
        <v>3397</v>
      </c>
      <c r="FA231" s="208">
        <v>0</v>
      </c>
      <c r="FB231" s="208">
        <v>3397</v>
      </c>
      <c r="FC231" s="208">
        <v>-266819</v>
      </c>
      <c r="FD231" s="208">
        <v>0</v>
      </c>
      <c r="FE231" s="208">
        <v>-266819</v>
      </c>
      <c r="FF231" s="208">
        <v>50153</v>
      </c>
      <c r="FG231" s="208">
        <v>0</v>
      </c>
      <c r="FH231" s="208">
        <v>50153</v>
      </c>
      <c r="FI231" s="208">
        <v>-83451</v>
      </c>
      <c r="FJ231" s="208">
        <v>0</v>
      </c>
      <c r="FK231" s="208">
        <v>-83451</v>
      </c>
      <c r="FL231" s="208">
        <v>1014</v>
      </c>
      <c r="FM231" s="208">
        <v>0</v>
      </c>
      <c r="FN231" s="208">
        <v>1014</v>
      </c>
      <c r="FO231" s="208">
        <v>0</v>
      </c>
      <c r="FP231" s="208">
        <v>0</v>
      </c>
      <c r="FQ231" s="208">
        <v>0</v>
      </c>
      <c r="FR231" s="208">
        <v>0</v>
      </c>
      <c r="FS231" s="208">
        <v>0</v>
      </c>
      <c r="FT231" s="208">
        <v>0</v>
      </c>
      <c r="FU231" s="208">
        <v>-390974</v>
      </c>
      <c r="FV231" s="208">
        <v>0</v>
      </c>
      <c r="FW231" s="208">
        <v>-390974</v>
      </c>
      <c r="FX231" s="208">
        <v>0</v>
      </c>
      <c r="FY231" s="208">
        <v>0</v>
      </c>
      <c r="FZ231" s="208">
        <v>0</v>
      </c>
      <c r="GA231" s="208">
        <v>0</v>
      </c>
      <c r="GB231" s="208">
        <v>0</v>
      </c>
      <c r="GC231" s="208">
        <v>0</v>
      </c>
      <c r="GD231" s="208">
        <v>0</v>
      </c>
      <c r="GE231" s="208">
        <v>0</v>
      </c>
      <c r="GF231" s="208">
        <v>0</v>
      </c>
      <c r="GG231" s="208">
        <v>49319247</v>
      </c>
      <c r="GH231" s="208">
        <v>0</v>
      </c>
      <c r="GI231" s="208">
        <v>49319247</v>
      </c>
      <c r="GJ231" s="208">
        <v>-2207664</v>
      </c>
      <c r="GK231" s="208">
        <v>0</v>
      </c>
      <c r="GL231" s="208">
        <v>-2207664</v>
      </c>
      <c r="GM231" s="208">
        <v>-10554031</v>
      </c>
      <c r="GN231" s="208">
        <v>0</v>
      </c>
      <c r="GO231" s="208">
        <v>-10554031</v>
      </c>
      <c r="GP231" s="208">
        <v>-830634</v>
      </c>
      <c r="GQ231" s="208">
        <v>0</v>
      </c>
      <c r="GR231" s="208">
        <v>-830634</v>
      </c>
      <c r="GS231" s="208">
        <v>-326487</v>
      </c>
      <c r="GT231" s="208">
        <v>0</v>
      </c>
      <c r="GU231" s="208">
        <v>-326487</v>
      </c>
      <c r="GV231" s="208">
        <v>-390974</v>
      </c>
      <c r="GW231" s="208">
        <v>0</v>
      </c>
      <c r="GX231" s="208">
        <v>-390974</v>
      </c>
      <c r="GY231" s="208">
        <v>0</v>
      </c>
      <c r="GZ231" s="208">
        <v>0</v>
      </c>
      <c r="HA231" s="208">
        <v>0</v>
      </c>
      <c r="HB231" s="208">
        <v>-14309790</v>
      </c>
      <c r="HC231" s="208">
        <v>0</v>
      </c>
      <c r="HD231" s="208">
        <v>-14309790</v>
      </c>
      <c r="HE231" s="208">
        <v>35009457</v>
      </c>
      <c r="HF231" s="208">
        <v>0</v>
      </c>
      <c r="HG231" s="208">
        <v>35009457</v>
      </c>
      <c r="HH231" s="187" t="s">
        <v>1054</v>
      </c>
    </row>
    <row r="232" spans="1:216" s="187" customFormat="1" x14ac:dyDescent="0.2">
      <c r="B232" s="429" t="s">
        <v>541</v>
      </c>
      <c r="C232" s="429" t="s">
        <v>540</v>
      </c>
      <c r="D232" s="208">
        <v>-1117271</v>
      </c>
      <c r="E232" s="208">
        <v>0</v>
      </c>
      <c r="F232" s="208">
        <v>-1117271</v>
      </c>
      <c r="G232" s="208">
        <v>-73949</v>
      </c>
      <c r="H232" s="208">
        <v>0</v>
      </c>
      <c r="I232" s="208">
        <v>-73949</v>
      </c>
      <c r="J232" s="208">
        <v>1158364</v>
      </c>
      <c r="K232" s="208">
        <v>0</v>
      </c>
      <c r="L232" s="208">
        <v>1158364</v>
      </c>
      <c r="M232" s="208">
        <v>56467</v>
      </c>
      <c r="N232" s="208">
        <v>0</v>
      </c>
      <c r="O232" s="208">
        <v>56467</v>
      </c>
      <c r="P232" s="208">
        <v>23611</v>
      </c>
      <c r="Q232" s="208">
        <v>0</v>
      </c>
      <c r="R232" s="208">
        <v>23611</v>
      </c>
      <c r="S232" s="208">
        <v>-4444092</v>
      </c>
      <c r="T232" s="208">
        <v>0</v>
      </c>
      <c r="U232" s="208">
        <v>-4444092</v>
      </c>
      <c r="V232" s="208">
        <v>-8927</v>
      </c>
      <c r="W232" s="208">
        <v>0</v>
      </c>
      <c r="X232" s="208">
        <v>-8927</v>
      </c>
      <c r="Y232" s="208">
        <v>-138422</v>
      </c>
      <c r="Z232" s="208">
        <v>0</v>
      </c>
      <c r="AA232" s="208">
        <v>-138422</v>
      </c>
      <c r="AB232" s="208">
        <v>-28250</v>
      </c>
      <c r="AC232" s="208">
        <v>0</v>
      </c>
      <c r="AD232" s="208">
        <v>-28250</v>
      </c>
      <c r="AE232" s="208">
        <v>-110172</v>
      </c>
      <c r="AF232" s="208">
        <v>0</v>
      </c>
      <c r="AG232" s="208">
        <v>-110172</v>
      </c>
      <c r="AH232" s="208">
        <v>0</v>
      </c>
      <c r="AI232" s="208">
        <v>0</v>
      </c>
      <c r="AJ232" s="208">
        <v>0</v>
      </c>
      <c r="AK232" s="208">
        <v>0</v>
      </c>
      <c r="AL232" s="208">
        <v>0</v>
      </c>
      <c r="AM232" s="208">
        <v>0</v>
      </c>
      <c r="AN232" s="208">
        <v>939636</v>
      </c>
      <c r="AO232" s="208">
        <v>0</v>
      </c>
      <c r="AP232" s="208">
        <v>939636</v>
      </c>
      <c r="AQ232" s="208">
        <v>-7776</v>
      </c>
      <c r="AR232" s="208">
        <v>0</v>
      </c>
      <c r="AS232" s="208">
        <v>-7776</v>
      </c>
      <c r="AT232" s="208">
        <v>-2954503</v>
      </c>
      <c r="AU232" s="208">
        <v>0</v>
      </c>
      <c r="AV232" s="208">
        <v>-2954503</v>
      </c>
      <c r="AW232" s="208">
        <v>-5306</v>
      </c>
      <c r="AX232" s="208">
        <v>0</v>
      </c>
      <c r="AY232" s="208">
        <v>-5306</v>
      </c>
      <c r="AZ232" s="208">
        <v>-33684</v>
      </c>
      <c r="BA232" s="208">
        <v>0</v>
      </c>
      <c r="BB232" s="208">
        <v>-33684</v>
      </c>
      <c r="BC232" s="208">
        <v>-315</v>
      </c>
      <c r="BD232" s="208">
        <v>0</v>
      </c>
      <c r="BE232" s="208">
        <v>-315</v>
      </c>
      <c r="BF232" s="208">
        <v>-59713</v>
      </c>
      <c r="BG232" s="208">
        <v>0</v>
      </c>
      <c r="BH232" s="208">
        <v>-59713</v>
      </c>
      <c r="BI232" s="208">
        <v>-4937</v>
      </c>
      <c r="BJ232" s="208">
        <v>0</v>
      </c>
      <c r="BK232" s="208">
        <v>-4937</v>
      </c>
      <c r="BL232" s="208">
        <v>-6709112</v>
      </c>
      <c r="BM232" s="208">
        <v>0</v>
      </c>
      <c r="BN232" s="208">
        <v>-6709112</v>
      </c>
      <c r="BO232" s="208">
        <v>0</v>
      </c>
      <c r="BP232" s="208">
        <v>0</v>
      </c>
      <c r="BQ232" s="208">
        <v>0</v>
      </c>
      <c r="BR232" s="208">
        <v>0</v>
      </c>
      <c r="BS232" s="208">
        <v>0</v>
      </c>
      <c r="BT232" s="208">
        <v>0</v>
      </c>
      <c r="BU232" s="208">
        <v>-1491854</v>
      </c>
      <c r="BV232" s="208">
        <v>0</v>
      </c>
      <c r="BW232" s="208">
        <v>-1491854</v>
      </c>
      <c r="BX232" s="208">
        <v>22242</v>
      </c>
      <c r="BY232" s="208">
        <v>0</v>
      </c>
      <c r="BZ232" s="208">
        <v>22242</v>
      </c>
      <c r="CA232" s="208">
        <v>-1469612</v>
      </c>
      <c r="CB232" s="208">
        <v>0</v>
      </c>
      <c r="CC232" s="208">
        <v>-1469612</v>
      </c>
      <c r="CD232" s="208">
        <v>-83820</v>
      </c>
      <c r="CE232" s="208">
        <v>0</v>
      </c>
      <c r="CF232" s="208">
        <v>-83820</v>
      </c>
      <c r="CG232" s="208">
        <v>820</v>
      </c>
      <c r="CH232" s="208">
        <v>0</v>
      </c>
      <c r="CI232" s="208">
        <v>820</v>
      </c>
      <c r="CJ232" s="208">
        <v>-15548</v>
      </c>
      <c r="CK232" s="208">
        <v>0</v>
      </c>
      <c r="CL232" s="208">
        <v>-15548</v>
      </c>
      <c r="CM232" s="208">
        <v>-324</v>
      </c>
      <c r="CN232" s="208">
        <v>0</v>
      </c>
      <c r="CO232" s="208">
        <v>-324</v>
      </c>
      <c r="CP232" s="208">
        <v>0</v>
      </c>
      <c r="CQ232" s="208">
        <v>0</v>
      </c>
      <c r="CR232" s="208">
        <v>0</v>
      </c>
      <c r="CS232" s="208">
        <v>0</v>
      </c>
      <c r="CT232" s="208">
        <v>0</v>
      </c>
      <c r="CU232" s="208">
        <v>0</v>
      </c>
      <c r="CV232" s="208">
        <v>0</v>
      </c>
      <c r="CW232" s="208">
        <v>0</v>
      </c>
      <c r="CX232" s="208">
        <v>0</v>
      </c>
      <c r="CY232" s="208">
        <v>0</v>
      </c>
      <c r="CZ232" s="208">
        <v>0</v>
      </c>
      <c r="DA232" s="208">
        <v>0</v>
      </c>
      <c r="DB232" s="208">
        <v>-436</v>
      </c>
      <c r="DC232" s="208">
        <v>0</v>
      </c>
      <c r="DD232" s="208">
        <v>-436</v>
      </c>
      <c r="DE232" s="208">
        <v>0</v>
      </c>
      <c r="DF232" s="208">
        <v>0</v>
      </c>
      <c r="DG232" s="208">
        <v>0</v>
      </c>
      <c r="DH232" s="208">
        <v>0</v>
      </c>
      <c r="DI232" s="208">
        <v>0</v>
      </c>
      <c r="DJ232" s="208">
        <v>0</v>
      </c>
      <c r="DK232" s="208">
        <v>0</v>
      </c>
      <c r="DL232" s="208">
        <v>0</v>
      </c>
      <c r="DM232" s="208">
        <v>0</v>
      </c>
      <c r="DN232" s="208">
        <v>0</v>
      </c>
      <c r="DO232" s="208">
        <v>0</v>
      </c>
      <c r="DP232" s="208">
        <v>-99308</v>
      </c>
      <c r="DQ232" s="208">
        <v>0</v>
      </c>
      <c r="DR232" s="208">
        <v>-99308</v>
      </c>
      <c r="DS232" s="208">
        <v>0</v>
      </c>
      <c r="DT232" s="208">
        <v>0</v>
      </c>
      <c r="DU232" s="208">
        <v>0</v>
      </c>
      <c r="DV232" s="208">
        <v>0</v>
      </c>
      <c r="DW232" s="208">
        <v>0</v>
      </c>
      <c r="DX232" s="208">
        <v>0</v>
      </c>
      <c r="DY232" s="208">
        <v>0</v>
      </c>
      <c r="DZ232" s="208">
        <v>0</v>
      </c>
      <c r="EA232" s="208">
        <v>0</v>
      </c>
      <c r="EB232" s="208">
        <v>0</v>
      </c>
      <c r="EC232" s="208">
        <v>0</v>
      </c>
      <c r="ED232" s="208">
        <v>0</v>
      </c>
      <c r="EE232" s="208">
        <v>0</v>
      </c>
      <c r="EF232" s="208">
        <v>0</v>
      </c>
      <c r="EG232" s="208">
        <v>0</v>
      </c>
      <c r="EH232" s="208">
        <v>0</v>
      </c>
      <c r="EI232" s="208">
        <v>0</v>
      </c>
      <c r="EJ232" s="208">
        <v>0</v>
      </c>
      <c r="EK232" s="208">
        <v>-55918</v>
      </c>
      <c r="EL232" s="208">
        <v>0</v>
      </c>
      <c r="EM232" s="208">
        <v>-55918</v>
      </c>
      <c r="EN232" s="208">
        <v>-4937</v>
      </c>
      <c r="EO232" s="208">
        <v>0</v>
      </c>
      <c r="EP232" s="208">
        <v>-4937</v>
      </c>
      <c r="EQ232" s="208">
        <v>0</v>
      </c>
      <c r="ER232" s="208">
        <v>0</v>
      </c>
      <c r="ES232" s="208">
        <v>0</v>
      </c>
      <c r="ET232" s="208">
        <v>0</v>
      </c>
      <c r="EU232" s="208">
        <v>0</v>
      </c>
      <c r="EV232" s="208">
        <v>0</v>
      </c>
      <c r="EW232" s="208">
        <v>-47736</v>
      </c>
      <c r="EX232" s="208">
        <v>0</v>
      </c>
      <c r="EY232" s="208">
        <v>-47736</v>
      </c>
      <c r="EZ232" s="208">
        <v>-1933</v>
      </c>
      <c r="FA232" s="208">
        <v>0</v>
      </c>
      <c r="FB232" s="208">
        <v>-1933</v>
      </c>
      <c r="FC232" s="208">
        <v>-146768</v>
      </c>
      <c r="FD232" s="208">
        <v>0</v>
      </c>
      <c r="FE232" s="208">
        <v>-146768</v>
      </c>
      <c r="FF232" s="208">
        <v>9693</v>
      </c>
      <c r="FG232" s="208">
        <v>0</v>
      </c>
      <c r="FH232" s="208">
        <v>9693</v>
      </c>
      <c r="FI232" s="208">
        <v>-50951</v>
      </c>
      <c r="FJ232" s="208">
        <v>0</v>
      </c>
      <c r="FK232" s="208">
        <v>-50951</v>
      </c>
      <c r="FL232" s="208">
        <v>419</v>
      </c>
      <c r="FM232" s="208">
        <v>0</v>
      </c>
      <c r="FN232" s="208">
        <v>419</v>
      </c>
      <c r="FO232" s="208">
        <v>0</v>
      </c>
      <c r="FP232" s="208">
        <v>0</v>
      </c>
      <c r="FQ232" s="208">
        <v>0</v>
      </c>
      <c r="FR232" s="208">
        <v>0</v>
      </c>
      <c r="FS232" s="208">
        <v>0</v>
      </c>
      <c r="FT232" s="208">
        <v>0</v>
      </c>
      <c r="FU232" s="208">
        <v>-298131</v>
      </c>
      <c r="FV232" s="208">
        <v>0</v>
      </c>
      <c r="FW232" s="208">
        <v>-298131</v>
      </c>
      <c r="FX232" s="208">
        <v>-6262</v>
      </c>
      <c r="FY232" s="208">
        <v>0</v>
      </c>
      <c r="FZ232" s="208">
        <v>-6262</v>
      </c>
      <c r="GA232" s="208">
        <v>-2190</v>
      </c>
      <c r="GB232" s="208">
        <v>0</v>
      </c>
      <c r="GC232" s="208">
        <v>-2190</v>
      </c>
      <c r="GD232" s="208">
        <v>-8452</v>
      </c>
      <c r="GE232" s="208">
        <v>0</v>
      </c>
      <c r="GF232" s="208">
        <v>-8452</v>
      </c>
      <c r="GG232" s="208">
        <v>49933059</v>
      </c>
      <c r="GH232" s="208">
        <v>18241</v>
      </c>
      <c r="GI232" s="208">
        <v>49951300</v>
      </c>
      <c r="GJ232" s="208">
        <v>23611</v>
      </c>
      <c r="GK232" s="208">
        <v>0</v>
      </c>
      <c r="GL232" s="208">
        <v>23611</v>
      </c>
      <c r="GM232" s="208">
        <v>-6709112</v>
      </c>
      <c r="GN232" s="208">
        <v>0</v>
      </c>
      <c r="GO232" s="208">
        <v>-6709112</v>
      </c>
      <c r="GP232" s="208">
        <v>-1469612</v>
      </c>
      <c r="GQ232" s="208">
        <v>0</v>
      </c>
      <c r="GR232" s="208">
        <v>-1469612</v>
      </c>
      <c r="GS232" s="208">
        <v>-99308</v>
      </c>
      <c r="GT232" s="208">
        <v>0</v>
      </c>
      <c r="GU232" s="208">
        <v>-99308</v>
      </c>
      <c r="GV232" s="208">
        <v>-298131</v>
      </c>
      <c r="GW232" s="208">
        <v>0</v>
      </c>
      <c r="GX232" s="208">
        <v>-298131</v>
      </c>
      <c r="GY232" s="208">
        <v>-8452</v>
      </c>
      <c r="GZ232" s="208">
        <v>0</v>
      </c>
      <c r="HA232" s="208">
        <v>-8452</v>
      </c>
      <c r="HB232" s="208">
        <v>-8561004</v>
      </c>
      <c r="HC232" s="208">
        <v>0</v>
      </c>
      <c r="HD232" s="208">
        <v>-8561004</v>
      </c>
      <c r="HE232" s="208">
        <v>41372055</v>
      </c>
      <c r="HF232" s="208">
        <v>18241</v>
      </c>
      <c r="HG232" s="208">
        <v>41390296</v>
      </c>
      <c r="HH232" s="187" t="s">
        <v>1054</v>
      </c>
    </row>
    <row r="233" spans="1:216" s="187" customFormat="1" x14ac:dyDescent="0.2">
      <c r="B233" s="429" t="s">
        <v>543</v>
      </c>
      <c r="C233" s="429" t="s">
        <v>542</v>
      </c>
      <c r="D233" s="208">
        <v>-2216960</v>
      </c>
      <c r="E233" s="208">
        <v>0</v>
      </c>
      <c r="F233" s="208">
        <v>-2216960</v>
      </c>
      <c r="G233" s="208">
        <v>-1740</v>
      </c>
      <c r="H233" s="208">
        <v>0</v>
      </c>
      <c r="I233" s="208">
        <v>-1740</v>
      </c>
      <c r="J233" s="208">
        <v>2758076</v>
      </c>
      <c r="K233" s="208">
        <v>0</v>
      </c>
      <c r="L233" s="208">
        <v>2758076</v>
      </c>
      <c r="M233" s="208">
        <v>-125901</v>
      </c>
      <c r="N233" s="208">
        <v>0</v>
      </c>
      <c r="O233" s="208">
        <v>-125901</v>
      </c>
      <c r="P233" s="208">
        <v>413475</v>
      </c>
      <c r="Q233" s="208">
        <v>0</v>
      </c>
      <c r="R233" s="208">
        <v>413475</v>
      </c>
      <c r="S233" s="208">
        <v>-8761977</v>
      </c>
      <c r="T233" s="208">
        <v>0</v>
      </c>
      <c r="U233" s="208">
        <v>-8761977</v>
      </c>
      <c r="V233" s="208">
        <v>-16142</v>
      </c>
      <c r="W233" s="208">
        <v>0</v>
      </c>
      <c r="X233" s="208">
        <v>-16142</v>
      </c>
      <c r="Y233" s="208">
        <v>-203441</v>
      </c>
      <c r="Z233" s="208">
        <v>0</v>
      </c>
      <c r="AA233" s="208">
        <v>-203441</v>
      </c>
      <c r="AB233" s="208">
        <v>-30401</v>
      </c>
      <c r="AC233" s="208">
        <v>0</v>
      </c>
      <c r="AD233" s="208">
        <v>-30401</v>
      </c>
      <c r="AE233" s="208">
        <v>-169547</v>
      </c>
      <c r="AF233" s="208">
        <v>0</v>
      </c>
      <c r="AG233" s="208">
        <v>-169547</v>
      </c>
      <c r="AH233" s="208">
        <v>0</v>
      </c>
      <c r="AI233" s="208">
        <v>0</v>
      </c>
      <c r="AJ233" s="208">
        <v>0</v>
      </c>
      <c r="AK233" s="208">
        <v>0</v>
      </c>
      <c r="AL233" s="208">
        <v>0</v>
      </c>
      <c r="AM233" s="208">
        <v>0</v>
      </c>
      <c r="AN233" s="208">
        <v>1597794</v>
      </c>
      <c r="AO233" s="208">
        <v>0</v>
      </c>
      <c r="AP233" s="208">
        <v>1597794</v>
      </c>
      <c r="AQ233" s="208">
        <v>649</v>
      </c>
      <c r="AR233" s="208">
        <v>0</v>
      </c>
      <c r="AS233" s="208">
        <v>649</v>
      </c>
      <c r="AT233" s="208">
        <v>-4597891</v>
      </c>
      <c r="AU233" s="208">
        <v>0</v>
      </c>
      <c r="AV233" s="208">
        <v>-4597891</v>
      </c>
      <c r="AW233" s="208">
        <v>766603</v>
      </c>
      <c r="AX233" s="208">
        <v>0</v>
      </c>
      <c r="AY233" s="208">
        <v>766603</v>
      </c>
      <c r="AZ233" s="208">
        <v>-26768</v>
      </c>
      <c r="BA233" s="208">
        <v>0</v>
      </c>
      <c r="BB233" s="208">
        <v>-26768</v>
      </c>
      <c r="BC233" s="208">
        <v>0</v>
      </c>
      <c r="BD233" s="208">
        <v>0</v>
      </c>
      <c r="BE233" s="208">
        <v>0</v>
      </c>
      <c r="BF233" s="208">
        <v>-430</v>
      </c>
      <c r="BG233" s="208">
        <v>0</v>
      </c>
      <c r="BH233" s="208">
        <v>-430</v>
      </c>
      <c r="BI233" s="208">
        <v>-389</v>
      </c>
      <c r="BJ233" s="208">
        <v>0</v>
      </c>
      <c r="BK233" s="208">
        <v>-389</v>
      </c>
      <c r="BL233" s="208">
        <v>-11225850</v>
      </c>
      <c r="BM233" s="208">
        <v>0</v>
      </c>
      <c r="BN233" s="208">
        <v>-11225850</v>
      </c>
      <c r="BO233" s="208">
        <v>0</v>
      </c>
      <c r="BP233" s="208">
        <v>0</v>
      </c>
      <c r="BQ233" s="208">
        <v>0</v>
      </c>
      <c r="BR233" s="208">
        <v>0</v>
      </c>
      <c r="BS233" s="208">
        <v>0</v>
      </c>
      <c r="BT233" s="208">
        <v>0</v>
      </c>
      <c r="BU233" s="208">
        <v>-2938760</v>
      </c>
      <c r="BV233" s="208">
        <v>0</v>
      </c>
      <c r="BW233" s="208">
        <v>-2938760</v>
      </c>
      <c r="BX233" s="208">
        <v>85663</v>
      </c>
      <c r="BY233" s="208">
        <v>0</v>
      </c>
      <c r="BZ233" s="208">
        <v>85663</v>
      </c>
      <c r="CA233" s="208">
        <v>-2853097</v>
      </c>
      <c r="CB233" s="208">
        <v>0</v>
      </c>
      <c r="CC233" s="208">
        <v>-2853097</v>
      </c>
      <c r="CD233" s="208">
        <v>-237521</v>
      </c>
      <c r="CE233" s="208">
        <v>0</v>
      </c>
      <c r="CF233" s="208">
        <v>-237521</v>
      </c>
      <c r="CG233" s="208">
        <v>185668</v>
      </c>
      <c r="CH233" s="208">
        <v>0</v>
      </c>
      <c r="CI233" s="208">
        <v>185668</v>
      </c>
      <c r="CJ233" s="208">
        <v>-56188</v>
      </c>
      <c r="CK233" s="208">
        <v>0</v>
      </c>
      <c r="CL233" s="208">
        <v>-56188</v>
      </c>
      <c r="CM233" s="208">
        <v>-3885</v>
      </c>
      <c r="CN233" s="208">
        <v>0</v>
      </c>
      <c r="CO233" s="208">
        <v>-3885</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0</v>
      </c>
      <c r="DF233" s="208">
        <v>0</v>
      </c>
      <c r="DG233" s="208">
        <v>0</v>
      </c>
      <c r="DH233" s="208">
        <v>0</v>
      </c>
      <c r="DI233" s="208">
        <v>0</v>
      </c>
      <c r="DJ233" s="208">
        <v>0</v>
      </c>
      <c r="DK233" s="208">
        <v>0</v>
      </c>
      <c r="DL233" s="208">
        <v>0</v>
      </c>
      <c r="DM233" s="208">
        <v>0</v>
      </c>
      <c r="DN233" s="208">
        <v>0</v>
      </c>
      <c r="DO233" s="208">
        <v>0</v>
      </c>
      <c r="DP233" s="208">
        <v>-111926</v>
      </c>
      <c r="DQ233" s="208">
        <v>0</v>
      </c>
      <c r="DR233" s="208">
        <v>-111926</v>
      </c>
      <c r="DS233" s="208">
        <v>0</v>
      </c>
      <c r="DT233" s="208">
        <v>0</v>
      </c>
      <c r="DU233" s="208">
        <v>0</v>
      </c>
      <c r="DV233" s="208">
        <v>0</v>
      </c>
      <c r="DW233" s="208">
        <v>0</v>
      </c>
      <c r="DX233" s="208">
        <v>0</v>
      </c>
      <c r="DY233" s="208">
        <v>0</v>
      </c>
      <c r="DZ233" s="208">
        <v>0</v>
      </c>
      <c r="EA233" s="208">
        <v>0</v>
      </c>
      <c r="EB233" s="208">
        <v>0</v>
      </c>
      <c r="EC233" s="208">
        <v>0</v>
      </c>
      <c r="ED233" s="208">
        <v>0</v>
      </c>
      <c r="EE233" s="208">
        <v>0</v>
      </c>
      <c r="EF233" s="208">
        <v>0</v>
      </c>
      <c r="EG233" s="208">
        <v>0</v>
      </c>
      <c r="EH233" s="208">
        <v>0</v>
      </c>
      <c r="EI233" s="208">
        <v>0</v>
      </c>
      <c r="EJ233" s="208">
        <v>0</v>
      </c>
      <c r="EK233" s="208">
        <v>-430</v>
      </c>
      <c r="EL233" s="208">
        <v>0</v>
      </c>
      <c r="EM233" s="208">
        <v>-430</v>
      </c>
      <c r="EN233" s="208">
        <v>-389</v>
      </c>
      <c r="EO233" s="208">
        <v>0</v>
      </c>
      <c r="EP233" s="208">
        <v>-389</v>
      </c>
      <c r="EQ233" s="208">
        <v>-2379</v>
      </c>
      <c r="ER233" s="208">
        <v>0</v>
      </c>
      <c r="ES233" s="208">
        <v>-2379</v>
      </c>
      <c r="ET233" s="208">
        <v>0</v>
      </c>
      <c r="EU233" s="208">
        <v>0</v>
      </c>
      <c r="EV233" s="208">
        <v>0</v>
      </c>
      <c r="EW233" s="208">
        <v>-36752</v>
      </c>
      <c r="EX233" s="208">
        <v>0</v>
      </c>
      <c r="EY233" s="208">
        <v>-36752</v>
      </c>
      <c r="EZ233" s="208">
        <v>417</v>
      </c>
      <c r="FA233" s="208">
        <v>0</v>
      </c>
      <c r="FB233" s="208">
        <v>417</v>
      </c>
      <c r="FC233" s="208">
        <v>-267987</v>
      </c>
      <c r="FD233" s="208">
        <v>0</v>
      </c>
      <c r="FE233" s="208">
        <v>-267987</v>
      </c>
      <c r="FF233" s="208">
        <v>13817</v>
      </c>
      <c r="FG233" s="208">
        <v>0</v>
      </c>
      <c r="FH233" s="208">
        <v>13817</v>
      </c>
      <c r="FI233" s="208">
        <v>-46011</v>
      </c>
      <c r="FJ233" s="208">
        <v>0</v>
      </c>
      <c r="FK233" s="208">
        <v>-46011</v>
      </c>
      <c r="FL233" s="208">
        <v>-321</v>
      </c>
      <c r="FM233" s="208">
        <v>0</v>
      </c>
      <c r="FN233" s="208">
        <v>-321</v>
      </c>
      <c r="FO233" s="208">
        <v>0</v>
      </c>
      <c r="FP233" s="208">
        <v>0</v>
      </c>
      <c r="FQ233" s="208">
        <v>0</v>
      </c>
      <c r="FR233" s="208">
        <v>0</v>
      </c>
      <c r="FS233" s="208">
        <v>0</v>
      </c>
      <c r="FT233" s="208">
        <v>0</v>
      </c>
      <c r="FU233" s="208">
        <v>-340035</v>
      </c>
      <c r="FV233" s="208">
        <v>0</v>
      </c>
      <c r="FW233" s="208">
        <v>-340035</v>
      </c>
      <c r="FX233" s="208">
        <v>-13800</v>
      </c>
      <c r="FY233" s="208">
        <v>0</v>
      </c>
      <c r="FZ233" s="208">
        <v>-13800</v>
      </c>
      <c r="GA233" s="208">
        <v>-16047</v>
      </c>
      <c r="GB233" s="208">
        <v>0</v>
      </c>
      <c r="GC233" s="208">
        <v>-16047</v>
      </c>
      <c r="GD233" s="208">
        <v>-29847</v>
      </c>
      <c r="GE233" s="208">
        <v>0</v>
      </c>
      <c r="GF233" s="208">
        <v>-29847</v>
      </c>
      <c r="GG233" s="208">
        <v>83902687</v>
      </c>
      <c r="GH233" s="208">
        <v>0</v>
      </c>
      <c r="GI233" s="208">
        <v>83902687</v>
      </c>
      <c r="GJ233" s="208">
        <v>413475</v>
      </c>
      <c r="GK233" s="208">
        <v>0</v>
      </c>
      <c r="GL233" s="208">
        <v>413475</v>
      </c>
      <c r="GM233" s="208">
        <v>-11225850</v>
      </c>
      <c r="GN233" s="208">
        <v>0</v>
      </c>
      <c r="GO233" s="208">
        <v>-11225850</v>
      </c>
      <c r="GP233" s="208">
        <v>-2853097</v>
      </c>
      <c r="GQ233" s="208">
        <v>0</v>
      </c>
      <c r="GR233" s="208">
        <v>-2853097</v>
      </c>
      <c r="GS233" s="208">
        <v>-111926</v>
      </c>
      <c r="GT233" s="208">
        <v>0</v>
      </c>
      <c r="GU233" s="208">
        <v>-111926</v>
      </c>
      <c r="GV233" s="208">
        <v>-340035</v>
      </c>
      <c r="GW233" s="208">
        <v>0</v>
      </c>
      <c r="GX233" s="208">
        <v>-340035</v>
      </c>
      <c r="GY233" s="208">
        <v>-29847</v>
      </c>
      <c r="GZ233" s="208">
        <v>0</v>
      </c>
      <c r="HA233" s="208">
        <v>-29847</v>
      </c>
      <c r="HB233" s="208">
        <v>-14147280</v>
      </c>
      <c r="HC233" s="208">
        <v>0</v>
      </c>
      <c r="HD233" s="208">
        <v>-14147280</v>
      </c>
      <c r="HE233" s="208">
        <v>69755407</v>
      </c>
      <c r="HF233" s="208">
        <v>0</v>
      </c>
      <c r="HG233" s="208">
        <v>69755407</v>
      </c>
      <c r="HH233" s="187" t="s">
        <v>1056</v>
      </c>
    </row>
    <row r="234" spans="1:216" s="187" customFormat="1" x14ac:dyDescent="0.2">
      <c r="B234" s="429" t="s">
        <v>545</v>
      </c>
      <c r="C234" s="429" t="s">
        <v>544</v>
      </c>
      <c r="D234" s="208">
        <v>-769173</v>
      </c>
      <c r="E234" s="208">
        <v>0</v>
      </c>
      <c r="F234" s="208">
        <v>-769173</v>
      </c>
      <c r="G234" s="208">
        <v>23983</v>
      </c>
      <c r="H234" s="208">
        <v>0</v>
      </c>
      <c r="I234" s="208">
        <v>23983</v>
      </c>
      <c r="J234" s="208">
        <v>2970357</v>
      </c>
      <c r="K234" s="208">
        <v>0</v>
      </c>
      <c r="L234" s="208">
        <v>2970357</v>
      </c>
      <c r="M234" s="208">
        <v>-142874</v>
      </c>
      <c r="N234" s="208">
        <v>0</v>
      </c>
      <c r="O234" s="208">
        <v>-142874</v>
      </c>
      <c r="P234" s="208">
        <v>2082293</v>
      </c>
      <c r="Q234" s="208">
        <v>0</v>
      </c>
      <c r="R234" s="208">
        <v>2082293</v>
      </c>
      <c r="S234" s="208">
        <v>-2834773</v>
      </c>
      <c r="T234" s="208">
        <v>0</v>
      </c>
      <c r="U234" s="208">
        <v>-2834773</v>
      </c>
      <c r="V234" s="208">
        <v>-11457</v>
      </c>
      <c r="W234" s="208">
        <v>0</v>
      </c>
      <c r="X234" s="208">
        <v>-11457</v>
      </c>
      <c r="Y234" s="208">
        <v>-138410</v>
      </c>
      <c r="Z234" s="208">
        <v>0</v>
      </c>
      <c r="AA234" s="208">
        <v>-138410</v>
      </c>
      <c r="AB234" s="208">
        <v>-24697</v>
      </c>
      <c r="AC234" s="208">
        <v>0</v>
      </c>
      <c r="AD234" s="208">
        <v>-24697</v>
      </c>
      <c r="AE234" s="208">
        <v>-113713</v>
      </c>
      <c r="AF234" s="208">
        <v>0</v>
      </c>
      <c r="AG234" s="208">
        <v>-113713</v>
      </c>
      <c r="AH234" s="208">
        <v>-1430</v>
      </c>
      <c r="AI234" s="208">
        <v>0</v>
      </c>
      <c r="AJ234" s="208">
        <v>-1430</v>
      </c>
      <c r="AK234" s="208">
        <v>-2042</v>
      </c>
      <c r="AL234" s="208">
        <v>0</v>
      </c>
      <c r="AM234" s="208">
        <v>-2042</v>
      </c>
      <c r="AN234" s="208">
        <v>877441</v>
      </c>
      <c r="AO234" s="208">
        <v>0</v>
      </c>
      <c r="AP234" s="208">
        <v>877441</v>
      </c>
      <c r="AQ234" s="208">
        <v>-12533</v>
      </c>
      <c r="AR234" s="208">
        <v>0</v>
      </c>
      <c r="AS234" s="208">
        <v>-12533</v>
      </c>
      <c r="AT234" s="208">
        <v>-1558241</v>
      </c>
      <c r="AU234" s="208">
        <v>0</v>
      </c>
      <c r="AV234" s="208">
        <v>-1558241</v>
      </c>
      <c r="AW234" s="208">
        <v>50655</v>
      </c>
      <c r="AX234" s="208">
        <v>0</v>
      </c>
      <c r="AY234" s="208">
        <v>50655</v>
      </c>
      <c r="AZ234" s="208">
        <v>-51664</v>
      </c>
      <c r="BA234" s="208">
        <v>0</v>
      </c>
      <c r="BB234" s="208">
        <v>-51664</v>
      </c>
      <c r="BC234" s="208">
        <v>0</v>
      </c>
      <c r="BD234" s="208">
        <v>0</v>
      </c>
      <c r="BE234" s="208">
        <v>0</v>
      </c>
      <c r="BF234" s="208">
        <v>-12331</v>
      </c>
      <c r="BG234" s="208">
        <v>0</v>
      </c>
      <c r="BH234" s="208">
        <v>-12331</v>
      </c>
      <c r="BI234" s="208">
        <v>0</v>
      </c>
      <c r="BJ234" s="208">
        <v>0</v>
      </c>
      <c r="BK234" s="208">
        <v>0</v>
      </c>
      <c r="BL234" s="208">
        <v>-3679856</v>
      </c>
      <c r="BM234" s="208">
        <v>0</v>
      </c>
      <c r="BN234" s="208">
        <v>-3679856</v>
      </c>
      <c r="BO234" s="208">
        <v>-27660</v>
      </c>
      <c r="BP234" s="208">
        <v>0</v>
      </c>
      <c r="BQ234" s="208">
        <v>-27660</v>
      </c>
      <c r="BR234" s="208">
        <v>0</v>
      </c>
      <c r="BS234" s="208">
        <v>0</v>
      </c>
      <c r="BT234" s="208">
        <v>0</v>
      </c>
      <c r="BU234" s="208">
        <v>-476238</v>
      </c>
      <c r="BV234" s="208">
        <v>0</v>
      </c>
      <c r="BW234" s="208">
        <v>-476238</v>
      </c>
      <c r="BX234" s="208">
        <v>-77395</v>
      </c>
      <c r="BY234" s="208">
        <v>0</v>
      </c>
      <c r="BZ234" s="208">
        <v>-77395</v>
      </c>
      <c r="CA234" s="208">
        <v>-581293</v>
      </c>
      <c r="CB234" s="208">
        <v>0</v>
      </c>
      <c r="CC234" s="208">
        <v>-581293</v>
      </c>
      <c r="CD234" s="208">
        <v>-129641</v>
      </c>
      <c r="CE234" s="208">
        <v>0</v>
      </c>
      <c r="CF234" s="208">
        <v>-129641</v>
      </c>
      <c r="CG234" s="208">
        <v>1009</v>
      </c>
      <c r="CH234" s="208">
        <v>0</v>
      </c>
      <c r="CI234" s="208">
        <v>1009</v>
      </c>
      <c r="CJ234" s="208">
        <v>-22967</v>
      </c>
      <c r="CK234" s="208">
        <v>0</v>
      </c>
      <c r="CL234" s="208">
        <v>-22967</v>
      </c>
      <c r="CM234" s="208">
        <v>-1640</v>
      </c>
      <c r="CN234" s="208">
        <v>0</v>
      </c>
      <c r="CO234" s="208">
        <v>-1640</v>
      </c>
      <c r="CP234" s="208">
        <v>-2260</v>
      </c>
      <c r="CQ234" s="208">
        <v>0</v>
      </c>
      <c r="CR234" s="208">
        <v>-2260</v>
      </c>
      <c r="CS234" s="208">
        <v>0</v>
      </c>
      <c r="CT234" s="208">
        <v>0</v>
      </c>
      <c r="CU234" s="208">
        <v>0</v>
      </c>
      <c r="CV234" s="208">
        <v>0</v>
      </c>
      <c r="CW234" s="208">
        <v>0</v>
      </c>
      <c r="CX234" s="208">
        <v>0</v>
      </c>
      <c r="CY234" s="208">
        <v>0</v>
      </c>
      <c r="CZ234" s="208">
        <v>0</v>
      </c>
      <c r="DA234" s="208">
        <v>0</v>
      </c>
      <c r="DB234" s="208">
        <v>-1720</v>
      </c>
      <c r="DC234" s="208">
        <v>0</v>
      </c>
      <c r="DD234" s="208">
        <v>-1720</v>
      </c>
      <c r="DE234" s="208">
        <v>141</v>
      </c>
      <c r="DF234" s="208">
        <v>0</v>
      </c>
      <c r="DG234" s="208">
        <v>141</v>
      </c>
      <c r="DH234" s="208">
        <v>-71221</v>
      </c>
      <c r="DI234" s="208">
        <v>0</v>
      </c>
      <c r="DJ234" s="208">
        <v>-71221</v>
      </c>
      <c r="DK234" s="208">
        <v>0</v>
      </c>
      <c r="DL234" s="208">
        <v>0</v>
      </c>
      <c r="DM234" s="208">
        <v>0</v>
      </c>
      <c r="DN234" s="208">
        <v>0</v>
      </c>
      <c r="DO234" s="208">
        <v>0</v>
      </c>
      <c r="DP234" s="208">
        <v>-228299</v>
      </c>
      <c r="DQ234" s="208">
        <v>0</v>
      </c>
      <c r="DR234" s="208">
        <v>-228299</v>
      </c>
      <c r="DS234" s="208">
        <v>0</v>
      </c>
      <c r="DT234" s="208">
        <v>0</v>
      </c>
      <c r="DU234" s="208">
        <v>0</v>
      </c>
      <c r="DV234" s="208">
        <v>0</v>
      </c>
      <c r="DW234" s="208">
        <v>0</v>
      </c>
      <c r="DX234" s="208">
        <v>0</v>
      </c>
      <c r="DY234" s="208">
        <v>0</v>
      </c>
      <c r="DZ234" s="208">
        <v>0</v>
      </c>
      <c r="EA234" s="208">
        <v>0</v>
      </c>
      <c r="EB234" s="208">
        <v>0</v>
      </c>
      <c r="EC234" s="208">
        <v>0</v>
      </c>
      <c r="ED234" s="208">
        <v>0</v>
      </c>
      <c r="EE234" s="208">
        <v>0</v>
      </c>
      <c r="EF234" s="208">
        <v>0</v>
      </c>
      <c r="EG234" s="208">
        <v>0</v>
      </c>
      <c r="EH234" s="208">
        <v>0</v>
      </c>
      <c r="EI234" s="208">
        <v>0</v>
      </c>
      <c r="EJ234" s="208">
        <v>0</v>
      </c>
      <c r="EK234" s="208">
        <v>-12331</v>
      </c>
      <c r="EL234" s="208">
        <v>0</v>
      </c>
      <c r="EM234" s="208">
        <v>-12331</v>
      </c>
      <c r="EN234" s="208">
        <v>0</v>
      </c>
      <c r="EO234" s="208">
        <v>0</v>
      </c>
      <c r="EP234" s="208">
        <v>0</v>
      </c>
      <c r="EQ234" s="208">
        <v>-1500</v>
      </c>
      <c r="ER234" s="208">
        <v>0</v>
      </c>
      <c r="ES234" s="208">
        <v>-1500</v>
      </c>
      <c r="ET234" s="208">
        <v>0</v>
      </c>
      <c r="EU234" s="208">
        <v>0</v>
      </c>
      <c r="EV234" s="208">
        <v>0</v>
      </c>
      <c r="EW234" s="208">
        <v>-26792</v>
      </c>
      <c r="EX234" s="208">
        <v>0</v>
      </c>
      <c r="EY234" s="208">
        <v>-26792</v>
      </c>
      <c r="EZ234" s="208">
        <v>445</v>
      </c>
      <c r="FA234" s="208">
        <v>0</v>
      </c>
      <c r="FB234" s="208">
        <v>445</v>
      </c>
      <c r="FC234" s="208">
        <v>-81960</v>
      </c>
      <c r="FD234" s="208">
        <v>0</v>
      </c>
      <c r="FE234" s="208">
        <v>-81960</v>
      </c>
      <c r="FF234" s="208">
        <v>7102</v>
      </c>
      <c r="FG234" s="208">
        <v>0</v>
      </c>
      <c r="FH234" s="208">
        <v>7102</v>
      </c>
      <c r="FI234" s="208">
        <v>-44690</v>
      </c>
      <c r="FJ234" s="208">
        <v>0</v>
      </c>
      <c r="FK234" s="208">
        <v>-44690</v>
      </c>
      <c r="FL234" s="208">
        <v>1000</v>
      </c>
      <c r="FM234" s="208">
        <v>0</v>
      </c>
      <c r="FN234" s="208">
        <v>1000</v>
      </c>
      <c r="FO234" s="208">
        <v>0</v>
      </c>
      <c r="FP234" s="208">
        <v>0</v>
      </c>
      <c r="FQ234" s="208">
        <v>0</v>
      </c>
      <c r="FR234" s="208">
        <v>0</v>
      </c>
      <c r="FS234" s="208">
        <v>0</v>
      </c>
      <c r="FT234" s="208">
        <v>0</v>
      </c>
      <c r="FU234" s="208">
        <v>-158726</v>
      </c>
      <c r="FV234" s="208">
        <v>0</v>
      </c>
      <c r="FW234" s="208">
        <v>-158726</v>
      </c>
      <c r="FX234" s="208">
        <v>-6358</v>
      </c>
      <c r="FY234" s="208">
        <v>0</v>
      </c>
      <c r="FZ234" s="208">
        <v>-6358</v>
      </c>
      <c r="GA234" s="208">
        <v>0</v>
      </c>
      <c r="GB234" s="208">
        <v>0</v>
      </c>
      <c r="GC234" s="208">
        <v>0</v>
      </c>
      <c r="GD234" s="208">
        <v>-6358</v>
      </c>
      <c r="GE234" s="208">
        <v>0</v>
      </c>
      <c r="GF234" s="208">
        <v>-6358</v>
      </c>
      <c r="GG234" s="208">
        <v>42063032</v>
      </c>
      <c r="GH234" s="208">
        <v>0</v>
      </c>
      <c r="GI234" s="208">
        <v>42063032</v>
      </c>
      <c r="GJ234" s="208">
        <v>2082293</v>
      </c>
      <c r="GK234" s="208">
        <v>0</v>
      </c>
      <c r="GL234" s="208">
        <v>2082293</v>
      </c>
      <c r="GM234" s="208">
        <v>-3679856</v>
      </c>
      <c r="GN234" s="208">
        <v>0</v>
      </c>
      <c r="GO234" s="208">
        <v>-3679856</v>
      </c>
      <c r="GP234" s="208">
        <v>-581293</v>
      </c>
      <c r="GQ234" s="208">
        <v>0</v>
      </c>
      <c r="GR234" s="208">
        <v>-581293</v>
      </c>
      <c r="GS234" s="208">
        <v>-228299</v>
      </c>
      <c r="GT234" s="208">
        <v>0</v>
      </c>
      <c r="GU234" s="208">
        <v>-228299</v>
      </c>
      <c r="GV234" s="208">
        <v>-158726</v>
      </c>
      <c r="GW234" s="208">
        <v>0</v>
      </c>
      <c r="GX234" s="208">
        <v>-158726</v>
      </c>
      <c r="GY234" s="208">
        <v>-6358</v>
      </c>
      <c r="GZ234" s="208">
        <v>0</v>
      </c>
      <c r="HA234" s="208">
        <v>-6358</v>
      </c>
      <c r="HB234" s="208">
        <v>-2572239</v>
      </c>
      <c r="HC234" s="208">
        <v>0</v>
      </c>
      <c r="HD234" s="208">
        <v>-2572239</v>
      </c>
      <c r="HE234" s="208">
        <v>39490793</v>
      </c>
      <c r="HF234" s="208">
        <v>0</v>
      </c>
      <c r="HG234" s="208">
        <v>39490793</v>
      </c>
      <c r="HH234" s="187" t="s">
        <v>1054</v>
      </c>
    </row>
    <row r="235" spans="1:216" s="187" customFormat="1" x14ac:dyDescent="0.2">
      <c r="B235" s="429" t="s">
        <v>547</v>
      </c>
      <c r="C235" s="429" t="s">
        <v>546</v>
      </c>
      <c r="D235" s="208">
        <v>-816432</v>
      </c>
      <c r="E235" s="208">
        <v>0</v>
      </c>
      <c r="F235" s="208">
        <v>-816432</v>
      </c>
      <c r="G235" s="208">
        <v>-9557</v>
      </c>
      <c r="H235" s="208">
        <v>0</v>
      </c>
      <c r="I235" s="208">
        <v>-9557</v>
      </c>
      <c r="J235" s="208">
        <v>436558</v>
      </c>
      <c r="K235" s="208">
        <v>0</v>
      </c>
      <c r="L235" s="208">
        <v>436558</v>
      </c>
      <c r="M235" s="208">
        <v>-140854</v>
      </c>
      <c r="N235" s="208">
        <v>0</v>
      </c>
      <c r="O235" s="208">
        <v>-140854</v>
      </c>
      <c r="P235" s="208">
        <v>-530285</v>
      </c>
      <c r="Q235" s="208">
        <v>0</v>
      </c>
      <c r="R235" s="208">
        <v>-530285</v>
      </c>
      <c r="S235" s="208">
        <v>-4041017</v>
      </c>
      <c r="T235" s="208">
        <v>0</v>
      </c>
      <c r="U235" s="208">
        <v>-4041017</v>
      </c>
      <c r="V235" s="208">
        <v>-24868</v>
      </c>
      <c r="W235" s="208">
        <v>0</v>
      </c>
      <c r="X235" s="208">
        <v>-24868</v>
      </c>
      <c r="Y235" s="208">
        <v>2792</v>
      </c>
      <c r="Z235" s="208">
        <v>0</v>
      </c>
      <c r="AA235" s="208">
        <v>2792</v>
      </c>
      <c r="AB235" s="208">
        <v>23532</v>
      </c>
      <c r="AC235" s="208">
        <v>0</v>
      </c>
      <c r="AD235" s="208">
        <v>23532</v>
      </c>
      <c r="AE235" s="208">
        <v>-45019.21</v>
      </c>
      <c r="AF235" s="208">
        <v>0</v>
      </c>
      <c r="AG235" s="208">
        <v>-45019.21</v>
      </c>
      <c r="AH235" s="208">
        <v>1838</v>
      </c>
      <c r="AI235" s="208">
        <v>0</v>
      </c>
      <c r="AJ235" s="208">
        <v>1838</v>
      </c>
      <c r="AK235" s="208">
        <v>-5664</v>
      </c>
      <c r="AL235" s="208">
        <v>0</v>
      </c>
      <c r="AM235" s="208">
        <v>-5664</v>
      </c>
      <c r="AN235" s="208">
        <v>768178</v>
      </c>
      <c r="AO235" s="208">
        <v>0</v>
      </c>
      <c r="AP235" s="208">
        <v>768178</v>
      </c>
      <c r="AQ235" s="208">
        <v>-10168</v>
      </c>
      <c r="AR235" s="208">
        <v>0</v>
      </c>
      <c r="AS235" s="208">
        <v>-10168</v>
      </c>
      <c r="AT235" s="208">
        <v>-3156022</v>
      </c>
      <c r="AU235" s="208">
        <v>0</v>
      </c>
      <c r="AV235" s="208">
        <v>-3156022</v>
      </c>
      <c r="AW235" s="208">
        <v>-48766</v>
      </c>
      <c r="AX235" s="208">
        <v>0</v>
      </c>
      <c r="AY235" s="208">
        <v>-48766</v>
      </c>
      <c r="AZ235" s="208">
        <v>-98766</v>
      </c>
      <c r="BA235" s="208">
        <v>0</v>
      </c>
      <c r="BB235" s="208">
        <v>-98766</v>
      </c>
      <c r="BC235" s="208">
        <v>0</v>
      </c>
      <c r="BD235" s="208">
        <v>0</v>
      </c>
      <c r="BE235" s="208">
        <v>0</v>
      </c>
      <c r="BF235" s="208">
        <v>-12712</v>
      </c>
      <c r="BG235" s="208">
        <v>0</v>
      </c>
      <c r="BH235" s="208">
        <v>-12712</v>
      </c>
      <c r="BI235" s="208">
        <v>0</v>
      </c>
      <c r="BJ235" s="208">
        <v>0</v>
      </c>
      <c r="BK235" s="208">
        <v>0</v>
      </c>
      <c r="BL235" s="208">
        <v>-6596481</v>
      </c>
      <c r="BM235" s="208">
        <v>0</v>
      </c>
      <c r="BN235" s="208">
        <v>-6596481</v>
      </c>
      <c r="BO235" s="208">
        <v>-15906</v>
      </c>
      <c r="BP235" s="208">
        <v>0</v>
      </c>
      <c r="BQ235" s="208">
        <v>-15906</v>
      </c>
      <c r="BR235" s="208">
        <v>0</v>
      </c>
      <c r="BS235" s="208">
        <v>0</v>
      </c>
      <c r="BT235" s="208">
        <v>0</v>
      </c>
      <c r="BU235" s="208">
        <v>-995671</v>
      </c>
      <c r="BV235" s="208">
        <v>0</v>
      </c>
      <c r="BW235" s="208">
        <v>-995671</v>
      </c>
      <c r="BX235" s="208">
        <v>20333</v>
      </c>
      <c r="BY235" s="208">
        <v>0</v>
      </c>
      <c r="BZ235" s="208">
        <v>20333</v>
      </c>
      <c r="CA235" s="208">
        <v>-991244</v>
      </c>
      <c r="CB235" s="208">
        <v>0</v>
      </c>
      <c r="CC235" s="208">
        <v>-991244</v>
      </c>
      <c r="CD235" s="208">
        <v>-122251</v>
      </c>
      <c r="CE235" s="208">
        <v>0</v>
      </c>
      <c r="CF235" s="208">
        <v>-122251</v>
      </c>
      <c r="CG235" s="208">
        <v>-2283</v>
      </c>
      <c r="CH235" s="208">
        <v>0</v>
      </c>
      <c r="CI235" s="208">
        <v>-2283</v>
      </c>
      <c r="CJ235" s="208">
        <v>-58703</v>
      </c>
      <c r="CK235" s="208">
        <v>0</v>
      </c>
      <c r="CL235" s="208">
        <v>-58703</v>
      </c>
      <c r="CM235" s="208">
        <v>0</v>
      </c>
      <c r="CN235" s="208">
        <v>0</v>
      </c>
      <c r="CO235" s="208">
        <v>0</v>
      </c>
      <c r="CP235" s="208">
        <v>0</v>
      </c>
      <c r="CQ235" s="208">
        <v>0</v>
      </c>
      <c r="CR235" s="208">
        <v>0</v>
      </c>
      <c r="CS235" s="208">
        <v>0</v>
      </c>
      <c r="CT235" s="208">
        <v>0</v>
      </c>
      <c r="CU235" s="208">
        <v>0</v>
      </c>
      <c r="CV235" s="208">
        <v>0</v>
      </c>
      <c r="CW235" s="208">
        <v>0</v>
      </c>
      <c r="CX235" s="208">
        <v>0</v>
      </c>
      <c r="CY235" s="208">
        <v>0</v>
      </c>
      <c r="CZ235" s="208">
        <v>0</v>
      </c>
      <c r="DA235" s="208">
        <v>0</v>
      </c>
      <c r="DB235" s="208">
        <v>-16152</v>
      </c>
      <c r="DC235" s="208">
        <v>0</v>
      </c>
      <c r="DD235" s="208">
        <v>-16152</v>
      </c>
      <c r="DE235" s="208">
        <v>0</v>
      </c>
      <c r="DF235" s="208">
        <v>0</v>
      </c>
      <c r="DG235" s="208">
        <v>0</v>
      </c>
      <c r="DH235" s="208">
        <v>0</v>
      </c>
      <c r="DI235" s="208">
        <v>0</v>
      </c>
      <c r="DJ235" s="208">
        <v>0</v>
      </c>
      <c r="DK235" s="208">
        <v>0</v>
      </c>
      <c r="DL235" s="208">
        <v>0</v>
      </c>
      <c r="DM235" s="208">
        <v>0</v>
      </c>
      <c r="DN235" s="208">
        <v>0</v>
      </c>
      <c r="DO235" s="208">
        <v>0</v>
      </c>
      <c r="DP235" s="208">
        <v>-199389</v>
      </c>
      <c r="DQ235" s="208">
        <v>0</v>
      </c>
      <c r="DR235" s="208">
        <v>-199389</v>
      </c>
      <c r="DS235" s="208">
        <v>0</v>
      </c>
      <c r="DT235" s="208">
        <v>0</v>
      </c>
      <c r="DU235" s="208">
        <v>0</v>
      </c>
      <c r="DV235" s="208">
        <v>0</v>
      </c>
      <c r="DW235" s="208">
        <v>0</v>
      </c>
      <c r="DX235" s="208">
        <v>0</v>
      </c>
      <c r="DY235" s="208">
        <v>1717</v>
      </c>
      <c r="DZ235" s="208">
        <v>0</v>
      </c>
      <c r="EA235" s="208">
        <v>1717</v>
      </c>
      <c r="EB235" s="208">
        <v>0</v>
      </c>
      <c r="EC235" s="208">
        <v>0</v>
      </c>
      <c r="ED235" s="208">
        <v>0</v>
      </c>
      <c r="EE235" s="208">
        <v>0</v>
      </c>
      <c r="EF235" s="208">
        <v>0</v>
      </c>
      <c r="EG235" s="208">
        <v>0</v>
      </c>
      <c r="EH235" s="208">
        <v>0</v>
      </c>
      <c r="EI235" s="208">
        <v>0</v>
      </c>
      <c r="EJ235" s="208">
        <v>0</v>
      </c>
      <c r="EK235" s="208">
        <v>-12712</v>
      </c>
      <c r="EL235" s="208">
        <v>0</v>
      </c>
      <c r="EM235" s="208">
        <v>-12712</v>
      </c>
      <c r="EN235" s="208">
        <v>0</v>
      </c>
      <c r="EO235" s="208">
        <v>0</v>
      </c>
      <c r="EP235" s="208">
        <v>0</v>
      </c>
      <c r="EQ235" s="208">
        <v>-1500</v>
      </c>
      <c r="ER235" s="208">
        <v>0</v>
      </c>
      <c r="ES235" s="208">
        <v>-1500</v>
      </c>
      <c r="ET235" s="208">
        <v>0</v>
      </c>
      <c r="EU235" s="208">
        <v>0</v>
      </c>
      <c r="EV235" s="208">
        <v>0</v>
      </c>
      <c r="EW235" s="208">
        <v>-29708</v>
      </c>
      <c r="EX235" s="208">
        <v>0</v>
      </c>
      <c r="EY235" s="208">
        <v>-29708</v>
      </c>
      <c r="EZ235" s="208">
        <v>-2203</v>
      </c>
      <c r="FA235" s="208">
        <v>0</v>
      </c>
      <c r="FB235" s="208">
        <v>-2203</v>
      </c>
      <c r="FC235" s="208">
        <v>-122987</v>
      </c>
      <c r="FD235" s="208">
        <v>0</v>
      </c>
      <c r="FE235" s="208">
        <v>-122987</v>
      </c>
      <c r="FF235" s="208">
        <v>1902</v>
      </c>
      <c r="FG235" s="208">
        <v>0</v>
      </c>
      <c r="FH235" s="208">
        <v>1902</v>
      </c>
      <c r="FI235" s="208">
        <v>-61119</v>
      </c>
      <c r="FJ235" s="208">
        <v>0</v>
      </c>
      <c r="FK235" s="208">
        <v>-61119</v>
      </c>
      <c r="FL235" s="208">
        <v>-745</v>
      </c>
      <c r="FM235" s="208">
        <v>0</v>
      </c>
      <c r="FN235" s="208">
        <v>-745</v>
      </c>
      <c r="FO235" s="208">
        <v>0</v>
      </c>
      <c r="FP235" s="208">
        <v>0</v>
      </c>
      <c r="FQ235" s="208">
        <v>0</v>
      </c>
      <c r="FR235" s="208">
        <v>0</v>
      </c>
      <c r="FS235" s="208">
        <v>0</v>
      </c>
      <c r="FT235" s="208">
        <v>0</v>
      </c>
      <c r="FU235" s="208">
        <v>-227355</v>
      </c>
      <c r="FV235" s="208">
        <v>0</v>
      </c>
      <c r="FW235" s="208">
        <v>-227355</v>
      </c>
      <c r="FX235" s="208">
        <v>0</v>
      </c>
      <c r="FY235" s="208">
        <v>0</v>
      </c>
      <c r="FZ235" s="208">
        <v>0</v>
      </c>
      <c r="GA235" s="208">
        <v>0</v>
      </c>
      <c r="GB235" s="208">
        <v>0</v>
      </c>
      <c r="GC235" s="208">
        <v>0</v>
      </c>
      <c r="GD235" s="208">
        <v>0</v>
      </c>
      <c r="GE235" s="208">
        <v>0</v>
      </c>
      <c r="GF235" s="208">
        <v>0</v>
      </c>
      <c r="GG235" s="208">
        <v>44823835</v>
      </c>
      <c r="GH235" s="208">
        <v>0</v>
      </c>
      <c r="GI235" s="208">
        <v>44823835</v>
      </c>
      <c r="GJ235" s="208">
        <v>-530285</v>
      </c>
      <c r="GK235" s="208">
        <v>0</v>
      </c>
      <c r="GL235" s="208">
        <v>-530285</v>
      </c>
      <c r="GM235" s="208">
        <v>-6596481</v>
      </c>
      <c r="GN235" s="208">
        <v>0</v>
      </c>
      <c r="GO235" s="208">
        <v>-6596481</v>
      </c>
      <c r="GP235" s="208">
        <v>-991244</v>
      </c>
      <c r="GQ235" s="208">
        <v>0</v>
      </c>
      <c r="GR235" s="208">
        <v>-991244</v>
      </c>
      <c r="GS235" s="208">
        <v>-199389</v>
      </c>
      <c r="GT235" s="208">
        <v>0</v>
      </c>
      <c r="GU235" s="208">
        <v>-199389</v>
      </c>
      <c r="GV235" s="208">
        <v>-227355</v>
      </c>
      <c r="GW235" s="208">
        <v>0</v>
      </c>
      <c r="GX235" s="208">
        <v>-227355</v>
      </c>
      <c r="GY235" s="208">
        <v>0</v>
      </c>
      <c r="GZ235" s="208">
        <v>0</v>
      </c>
      <c r="HA235" s="208">
        <v>0</v>
      </c>
      <c r="HB235" s="208">
        <v>-8544754</v>
      </c>
      <c r="HC235" s="208">
        <v>0</v>
      </c>
      <c r="HD235" s="208">
        <v>-8544754</v>
      </c>
      <c r="HE235" s="208">
        <v>36279081</v>
      </c>
      <c r="HF235" s="208">
        <v>0</v>
      </c>
      <c r="HG235" s="208">
        <v>36279081</v>
      </c>
      <c r="HH235" s="187" t="s">
        <v>1054</v>
      </c>
    </row>
    <row r="236" spans="1:216" s="187" customFormat="1" x14ac:dyDescent="0.2">
      <c r="B236" s="429" t="s">
        <v>549</v>
      </c>
      <c r="C236" s="429" t="s">
        <v>548</v>
      </c>
      <c r="D236" s="208">
        <v>-3246448</v>
      </c>
      <c r="E236" s="208">
        <v>-5471</v>
      </c>
      <c r="F236" s="208">
        <v>-3251919</v>
      </c>
      <c r="G236" s="208">
        <v>75984</v>
      </c>
      <c r="H236" s="208">
        <v>692</v>
      </c>
      <c r="I236" s="208">
        <v>76676</v>
      </c>
      <c r="J236" s="208">
        <v>9359064</v>
      </c>
      <c r="K236" s="208">
        <v>117741</v>
      </c>
      <c r="L236" s="208">
        <v>9476805</v>
      </c>
      <c r="M236" s="208">
        <v>-929858</v>
      </c>
      <c r="N236" s="208">
        <v>0</v>
      </c>
      <c r="O236" s="208">
        <v>-929858</v>
      </c>
      <c r="P236" s="208">
        <v>5258742</v>
      </c>
      <c r="Q236" s="208">
        <v>112962</v>
      </c>
      <c r="R236" s="208">
        <v>5371704</v>
      </c>
      <c r="S236" s="208">
        <v>-17643337</v>
      </c>
      <c r="T236" s="208">
        <v>-18198</v>
      </c>
      <c r="U236" s="208">
        <v>-17661535</v>
      </c>
      <c r="V236" s="208">
        <v>-48989</v>
      </c>
      <c r="W236" s="208">
        <v>0</v>
      </c>
      <c r="X236" s="208">
        <v>-48989</v>
      </c>
      <c r="Y236" s="208">
        <v>-586564</v>
      </c>
      <c r="Z236" s="208">
        <v>11515</v>
      </c>
      <c r="AA236" s="208">
        <v>-575049</v>
      </c>
      <c r="AB236" s="208">
        <v>-230988</v>
      </c>
      <c r="AC236" s="208">
        <v>0</v>
      </c>
      <c r="AD236" s="208">
        <v>-230988</v>
      </c>
      <c r="AE236" s="208">
        <v>-355576</v>
      </c>
      <c r="AF236" s="208">
        <v>11515</v>
      </c>
      <c r="AG236" s="208">
        <v>-344061</v>
      </c>
      <c r="AH236" s="208">
        <v>-406</v>
      </c>
      <c r="AI236" s="208">
        <v>0</v>
      </c>
      <c r="AJ236" s="208">
        <v>-406</v>
      </c>
      <c r="AK236" s="208">
        <v>-912</v>
      </c>
      <c r="AL236" s="208">
        <v>0</v>
      </c>
      <c r="AM236" s="208">
        <v>-912</v>
      </c>
      <c r="AN236" s="208">
        <v>5356403</v>
      </c>
      <c r="AO236" s="208">
        <v>102533</v>
      </c>
      <c r="AP236" s="208">
        <v>5458936</v>
      </c>
      <c r="AQ236" s="208">
        <v>81975</v>
      </c>
      <c r="AR236" s="208">
        <v>2175</v>
      </c>
      <c r="AS236" s="208">
        <v>84150</v>
      </c>
      <c r="AT236" s="208">
        <v>-22667963</v>
      </c>
      <c r="AU236" s="208">
        <v>-218310</v>
      </c>
      <c r="AV236" s="208">
        <v>-22886273</v>
      </c>
      <c r="AW236" s="208">
        <v>-411495</v>
      </c>
      <c r="AX236" s="208">
        <v>-54794</v>
      </c>
      <c r="AY236" s="208">
        <v>-466289</v>
      </c>
      <c r="AZ236" s="208">
        <v>-27515</v>
      </c>
      <c r="BA236" s="208">
        <v>0</v>
      </c>
      <c r="BB236" s="208">
        <v>-27515</v>
      </c>
      <c r="BC236" s="208">
        <v>0</v>
      </c>
      <c r="BD236" s="208">
        <v>0</v>
      </c>
      <c r="BE236" s="208">
        <v>0</v>
      </c>
      <c r="BF236" s="208">
        <v>0</v>
      </c>
      <c r="BG236" s="208">
        <v>0</v>
      </c>
      <c r="BH236" s="208">
        <v>0</v>
      </c>
      <c r="BI236" s="208">
        <v>0</v>
      </c>
      <c r="BJ236" s="208">
        <v>0</v>
      </c>
      <c r="BK236" s="208">
        <v>0</v>
      </c>
      <c r="BL236" s="208">
        <v>-35898496</v>
      </c>
      <c r="BM236" s="208">
        <v>-175079</v>
      </c>
      <c r="BN236" s="208">
        <v>-36073575</v>
      </c>
      <c r="BO236" s="208">
        <v>-37724</v>
      </c>
      <c r="BP236" s="208">
        <v>-1074</v>
      </c>
      <c r="BQ236" s="208">
        <v>-38798</v>
      </c>
      <c r="BR236" s="208">
        <v>-19145</v>
      </c>
      <c r="BS236" s="208">
        <v>-2614</v>
      </c>
      <c r="BT236" s="208">
        <v>-21759</v>
      </c>
      <c r="BU236" s="208">
        <v>-6599742</v>
      </c>
      <c r="BV236" s="208">
        <v>-310261</v>
      </c>
      <c r="BW236" s="208">
        <v>-6910003</v>
      </c>
      <c r="BX236" s="208">
        <v>-810344</v>
      </c>
      <c r="BY236" s="208">
        <v>-26398</v>
      </c>
      <c r="BZ236" s="208">
        <v>-836742</v>
      </c>
      <c r="CA236" s="208">
        <v>-7466955</v>
      </c>
      <c r="CB236" s="208">
        <v>-340347</v>
      </c>
      <c r="CC236" s="208">
        <v>-7807302</v>
      </c>
      <c r="CD236" s="208">
        <v>-3488</v>
      </c>
      <c r="CE236" s="208">
        <v>0</v>
      </c>
      <c r="CF236" s="208">
        <v>-3488</v>
      </c>
      <c r="CG236" s="208">
        <v>0</v>
      </c>
      <c r="CH236" s="208">
        <v>0</v>
      </c>
      <c r="CI236" s="208">
        <v>0</v>
      </c>
      <c r="CJ236" s="208">
        <v>-246798</v>
      </c>
      <c r="CK236" s="208">
        <v>0</v>
      </c>
      <c r="CL236" s="208">
        <v>-246798</v>
      </c>
      <c r="CM236" s="208">
        <v>-9595</v>
      </c>
      <c r="CN236" s="208">
        <v>1996</v>
      </c>
      <c r="CO236" s="208">
        <v>-7599</v>
      </c>
      <c r="CP236" s="208">
        <v>0</v>
      </c>
      <c r="CQ236" s="208">
        <v>0</v>
      </c>
      <c r="CR236" s="208">
        <v>0</v>
      </c>
      <c r="CS236" s="208">
        <v>0</v>
      </c>
      <c r="CT236" s="208">
        <v>0</v>
      </c>
      <c r="CU236" s="208">
        <v>0</v>
      </c>
      <c r="CV236" s="208">
        <v>0</v>
      </c>
      <c r="CW236" s="208">
        <v>0</v>
      </c>
      <c r="CX236" s="208">
        <v>0</v>
      </c>
      <c r="CY236" s="208">
        <v>0</v>
      </c>
      <c r="CZ236" s="208">
        <v>0</v>
      </c>
      <c r="DA236" s="208">
        <v>0</v>
      </c>
      <c r="DB236" s="208">
        <v>0</v>
      </c>
      <c r="DC236" s="208">
        <v>0</v>
      </c>
      <c r="DD236" s="208">
        <v>0</v>
      </c>
      <c r="DE236" s="208">
        <v>0</v>
      </c>
      <c r="DF236" s="208">
        <v>0</v>
      </c>
      <c r="DG236" s="208">
        <v>0</v>
      </c>
      <c r="DH236" s="208">
        <v>-119150</v>
      </c>
      <c r="DI236" s="208">
        <v>0</v>
      </c>
      <c r="DJ236" s="208">
        <v>-119150</v>
      </c>
      <c r="DK236" s="208">
        <v>-12311</v>
      </c>
      <c r="DL236" s="208">
        <v>0</v>
      </c>
      <c r="DM236" s="208">
        <v>-12311</v>
      </c>
      <c r="DN236" s="208">
        <v>0</v>
      </c>
      <c r="DO236" s="208">
        <v>0</v>
      </c>
      <c r="DP236" s="208">
        <v>-391342</v>
      </c>
      <c r="DQ236" s="208">
        <v>1996</v>
      </c>
      <c r="DR236" s="208">
        <v>-389346</v>
      </c>
      <c r="DS236" s="208">
        <v>0</v>
      </c>
      <c r="DT236" s="208">
        <v>0</v>
      </c>
      <c r="DU236" s="208">
        <v>0</v>
      </c>
      <c r="DV236" s="208">
        <v>0</v>
      </c>
      <c r="DW236" s="208">
        <v>0</v>
      </c>
      <c r="DX236" s="208">
        <v>0</v>
      </c>
      <c r="DY236" s="208">
        <v>-163</v>
      </c>
      <c r="DZ236" s="208">
        <v>0</v>
      </c>
      <c r="EA236" s="208">
        <v>-163</v>
      </c>
      <c r="EB236" s="208">
        <v>0</v>
      </c>
      <c r="EC236" s="208">
        <v>0</v>
      </c>
      <c r="ED236" s="208">
        <v>0</v>
      </c>
      <c r="EE236" s="208">
        <v>0</v>
      </c>
      <c r="EF236" s="208">
        <v>0</v>
      </c>
      <c r="EG236" s="208">
        <v>0</v>
      </c>
      <c r="EH236" s="208">
        <v>26236</v>
      </c>
      <c r="EI236" s="208">
        <v>0</v>
      </c>
      <c r="EJ236" s="208">
        <v>26236</v>
      </c>
      <c r="EK236" s="208">
        <v>0</v>
      </c>
      <c r="EL236" s="208">
        <v>0</v>
      </c>
      <c r="EM236" s="208">
        <v>0</v>
      </c>
      <c r="EN236" s="208">
        <v>0</v>
      </c>
      <c r="EO236" s="208">
        <v>0</v>
      </c>
      <c r="EP236" s="208">
        <v>0</v>
      </c>
      <c r="EQ236" s="208">
        <v>0</v>
      </c>
      <c r="ER236" s="208">
        <v>0</v>
      </c>
      <c r="ES236" s="208">
        <v>0</v>
      </c>
      <c r="ET236" s="208">
        <v>0</v>
      </c>
      <c r="EU236" s="208">
        <v>0</v>
      </c>
      <c r="EV236" s="208">
        <v>0</v>
      </c>
      <c r="EW236" s="208">
        <v>-59843</v>
      </c>
      <c r="EX236" s="208">
        <v>0</v>
      </c>
      <c r="EY236" s="208">
        <v>-59843</v>
      </c>
      <c r="EZ236" s="208">
        <v>4075</v>
      </c>
      <c r="FA236" s="208">
        <v>0</v>
      </c>
      <c r="FB236" s="208">
        <v>4075</v>
      </c>
      <c r="FC236" s="208">
        <v>-313938</v>
      </c>
      <c r="FD236" s="208">
        <v>0</v>
      </c>
      <c r="FE236" s="208">
        <v>-313938</v>
      </c>
      <c r="FF236" s="208">
        <v>-21330</v>
      </c>
      <c r="FG236" s="208">
        <v>0</v>
      </c>
      <c r="FH236" s="208">
        <v>-21330</v>
      </c>
      <c r="FI236" s="208">
        <v>-154896</v>
      </c>
      <c r="FJ236" s="208">
        <v>0</v>
      </c>
      <c r="FK236" s="208">
        <v>-154896</v>
      </c>
      <c r="FL236" s="208">
        <v>-19294</v>
      </c>
      <c r="FM236" s="208">
        <v>0</v>
      </c>
      <c r="FN236" s="208">
        <v>-19294</v>
      </c>
      <c r="FO236" s="208">
        <v>0</v>
      </c>
      <c r="FP236" s="208">
        <v>0</v>
      </c>
      <c r="FQ236" s="208">
        <v>0</v>
      </c>
      <c r="FR236" s="208">
        <v>0</v>
      </c>
      <c r="FS236" s="208">
        <v>0</v>
      </c>
      <c r="FT236" s="208">
        <v>0</v>
      </c>
      <c r="FU236" s="208">
        <v>-539153</v>
      </c>
      <c r="FV236" s="208">
        <v>0</v>
      </c>
      <c r="FW236" s="208">
        <v>-539153</v>
      </c>
      <c r="FX236" s="208">
        <v>0</v>
      </c>
      <c r="FY236" s="208">
        <v>0</v>
      </c>
      <c r="FZ236" s="208">
        <v>0</v>
      </c>
      <c r="GA236" s="208">
        <v>0</v>
      </c>
      <c r="GB236" s="208">
        <v>0</v>
      </c>
      <c r="GC236" s="208">
        <v>0</v>
      </c>
      <c r="GD236" s="208">
        <v>0</v>
      </c>
      <c r="GE236" s="208">
        <v>0</v>
      </c>
      <c r="GF236" s="208">
        <v>0</v>
      </c>
      <c r="GG236" s="208">
        <v>260099754</v>
      </c>
      <c r="GH236" s="208">
        <v>3917107</v>
      </c>
      <c r="GI236" s="208">
        <v>264016861</v>
      </c>
      <c r="GJ236" s="208">
        <v>5258742</v>
      </c>
      <c r="GK236" s="208">
        <v>112962</v>
      </c>
      <c r="GL236" s="208">
        <v>5371704</v>
      </c>
      <c r="GM236" s="208">
        <v>-35898496</v>
      </c>
      <c r="GN236" s="208">
        <v>-175079</v>
      </c>
      <c r="GO236" s="208">
        <v>-36073575</v>
      </c>
      <c r="GP236" s="208">
        <v>-7466955</v>
      </c>
      <c r="GQ236" s="208">
        <v>-340347</v>
      </c>
      <c r="GR236" s="208">
        <v>-7807302</v>
      </c>
      <c r="GS236" s="208">
        <v>-391342</v>
      </c>
      <c r="GT236" s="208">
        <v>1996</v>
      </c>
      <c r="GU236" s="208">
        <v>-389346</v>
      </c>
      <c r="GV236" s="208">
        <v>-539153</v>
      </c>
      <c r="GW236" s="208">
        <v>0</v>
      </c>
      <c r="GX236" s="208">
        <v>-539153</v>
      </c>
      <c r="GY236" s="208">
        <v>0</v>
      </c>
      <c r="GZ236" s="208">
        <v>0</v>
      </c>
      <c r="HA236" s="208">
        <v>0</v>
      </c>
      <c r="HB236" s="208">
        <v>-39037204</v>
      </c>
      <c r="HC236" s="208">
        <v>-400468</v>
      </c>
      <c r="HD236" s="208">
        <v>-39437672</v>
      </c>
      <c r="HE236" s="208">
        <v>221062550</v>
      </c>
      <c r="HF236" s="208">
        <v>3516639</v>
      </c>
      <c r="HG236" s="208">
        <v>224579189</v>
      </c>
      <c r="HH236" s="187" t="s">
        <v>1056</v>
      </c>
    </row>
    <row r="237" spans="1:216" s="187" customFormat="1" x14ac:dyDescent="0.2">
      <c r="B237" s="429" t="s">
        <v>552</v>
      </c>
      <c r="C237" s="429" t="s">
        <v>551</v>
      </c>
      <c r="D237" s="208">
        <v>-5762841</v>
      </c>
      <c r="E237" s="208">
        <v>0</v>
      </c>
      <c r="F237" s="208">
        <v>-5762841</v>
      </c>
      <c r="G237" s="208">
        <v>-122574</v>
      </c>
      <c r="H237" s="208">
        <v>0</v>
      </c>
      <c r="I237" s="208">
        <v>-122574</v>
      </c>
      <c r="J237" s="208">
        <v>1785419</v>
      </c>
      <c r="K237" s="208">
        <v>0</v>
      </c>
      <c r="L237" s="208">
        <v>1785419</v>
      </c>
      <c r="M237" s="208">
        <v>63011</v>
      </c>
      <c r="N237" s="208">
        <v>0</v>
      </c>
      <c r="O237" s="208">
        <v>63011</v>
      </c>
      <c r="P237" s="208">
        <v>-4036985</v>
      </c>
      <c r="Q237" s="208">
        <v>0</v>
      </c>
      <c r="R237" s="208">
        <v>-4036985</v>
      </c>
      <c r="S237" s="208">
        <v>-12991401</v>
      </c>
      <c r="T237" s="208">
        <v>0</v>
      </c>
      <c r="U237" s="208">
        <v>-12991401</v>
      </c>
      <c r="V237" s="208">
        <v>-41075</v>
      </c>
      <c r="W237" s="208">
        <v>0</v>
      </c>
      <c r="X237" s="208">
        <v>-41075</v>
      </c>
      <c r="Y237" s="208">
        <v>-321057</v>
      </c>
      <c r="Z237" s="208">
        <v>0</v>
      </c>
      <c r="AA237" s="208">
        <v>-321057</v>
      </c>
      <c r="AB237" s="208">
        <v>-83072</v>
      </c>
      <c r="AC237" s="208">
        <v>0</v>
      </c>
      <c r="AD237" s="208">
        <v>-83072</v>
      </c>
      <c r="AE237" s="208">
        <v>-228818</v>
      </c>
      <c r="AF237" s="208">
        <v>0</v>
      </c>
      <c r="AG237" s="208">
        <v>-228818</v>
      </c>
      <c r="AH237" s="208">
        <v>-2810</v>
      </c>
      <c r="AI237" s="208">
        <v>0</v>
      </c>
      <c r="AJ237" s="208">
        <v>-2810</v>
      </c>
      <c r="AK237" s="208">
        <v>2382</v>
      </c>
      <c r="AL237" s="208">
        <v>0</v>
      </c>
      <c r="AM237" s="208">
        <v>2382</v>
      </c>
      <c r="AN237" s="208">
        <v>1816281</v>
      </c>
      <c r="AO237" s="208">
        <v>0</v>
      </c>
      <c r="AP237" s="208">
        <v>1816281</v>
      </c>
      <c r="AQ237" s="208">
        <v>72209</v>
      </c>
      <c r="AR237" s="208">
        <v>0</v>
      </c>
      <c r="AS237" s="208">
        <v>72209</v>
      </c>
      <c r="AT237" s="208">
        <v>-8285849</v>
      </c>
      <c r="AU237" s="208">
        <v>0</v>
      </c>
      <c r="AV237" s="208">
        <v>-8285849</v>
      </c>
      <c r="AW237" s="208">
        <v>-48728</v>
      </c>
      <c r="AX237" s="208">
        <v>0</v>
      </c>
      <c r="AY237" s="208">
        <v>-48728</v>
      </c>
      <c r="AZ237" s="208">
        <v>-141355</v>
      </c>
      <c r="BA237" s="208">
        <v>0</v>
      </c>
      <c r="BB237" s="208">
        <v>-141355</v>
      </c>
      <c r="BC237" s="208">
        <v>0</v>
      </c>
      <c r="BD237" s="208">
        <v>0</v>
      </c>
      <c r="BE237" s="208">
        <v>0</v>
      </c>
      <c r="BF237" s="208">
        <v>-32981</v>
      </c>
      <c r="BG237" s="208">
        <v>0</v>
      </c>
      <c r="BH237" s="208">
        <v>-32981</v>
      </c>
      <c r="BI237" s="208">
        <v>33</v>
      </c>
      <c r="BJ237" s="208">
        <v>0</v>
      </c>
      <c r="BK237" s="208">
        <v>33</v>
      </c>
      <c r="BL237" s="208">
        <v>-19932848</v>
      </c>
      <c r="BM237" s="208">
        <v>0</v>
      </c>
      <c r="BN237" s="208">
        <v>-19932848</v>
      </c>
      <c r="BO237" s="208">
        <v>0</v>
      </c>
      <c r="BP237" s="208">
        <v>0</v>
      </c>
      <c r="BQ237" s="208">
        <v>0</v>
      </c>
      <c r="BR237" s="208">
        <v>0</v>
      </c>
      <c r="BS237" s="208">
        <v>0</v>
      </c>
      <c r="BT237" s="208">
        <v>0</v>
      </c>
      <c r="BU237" s="208">
        <v>-2473193</v>
      </c>
      <c r="BV237" s="208">
        <v>0</v>
      </c>
      <c r="BW237" s="208">
        <v>-2473193</v>
      </c>
      <c r="BX237" s="208">
        <v>-100069</v>
      </c>
      <c r="BY237" s="208">
        <v>0</v>
      </c>
      <c r="BZ237" s="208">
        <v>-100069</v>
      </c>
      <c r="CA237" s="208">
        <v>-2573262</v>
      </c>
      <c r="CB237" s="208">
        <v>0</v>
      </c>
      <c r="CC237" s="208">
        <v>-2573262</v>
      </c>
      <c r="CD237" s="208">
        <v>-640446</v>
      </c>
      <c r="CE237" s="208">
        <v>0</v>
      </c>
      <c r="CF237" s="208">
        <v>-640446</v>
      </c>
      <c r="CG237" s="208">
        <v>4279</v>
      </c>
      <c r="CH237" s="208">
        <v>0</v>
      </c>
      <c r="CI237" s="208">
        <v>4279</v>
      </c>
      <c r="CJ237" s="208">
        <v>-468057</v>
      </c>
      <c r="CK237" s="208">
        <v>0</v>
      </c>
      <c r="CL237" s="208">
        <v>-468057</v>
      </c>
      <c r="CM237" s="208">
        <v>19546</v>
      </c>
      <c r="CN237" s="208">
        <v>0</v>
      </c>
      <c r="CO237" s="208">
        <v>19546</v>
      </c>
      <c r="CP237" s="208">
        <v>-22619</v>
      </c>
      <c r="CQ237" s="208">
        <v>0</v>
      </c>
      <c r="CR237" s="208">
        <v>-22619</v>
      </c>
      <c r="CS237" s="208">
        <v>0</v>
      </c>
      <c r="CT237" s="208">
        <v>0</v>
      </c>
      <c r="CU237" s="208">
        <v>0</v>
      </c>
      <c r="CV237" s="208">
        <v>0</v>
      </c>
      <c r="CW237" s="208">
        <v>0</v>
      </c>
      <c r="CX237" s="208">
        <v>0</v>
      </c>
      <c r="CY237" s="208">
        <v>0</v>
      </c>
      <c r="CZ237" s="208">
        <v>0</v>
      </c>
      <c r="DA237" s="208">
        <v>0</v>
      </c>
      <c r="DB237" s="208">
        <v>0</v>
      </c>
      <c r="DC237" s="208">
        <v>0</v>
      </c>
      <c r="DD237" s="208">
        <v>0</v>
      </c>
      <c r="DE237" s="208">
        <v>0</v>
      </c>
      <c r="DF237" s="208">
        <v>0</v>
      </c>
      <c r="DG237" s="208">
        <v>0</v>
      </c>
      <c r="DH237" s="208">
        <v>-38258</v>
      </c>
      <c r="DI237" s="208">
        <v>0</v>
      </c>
      <c r="DJ237" s="208">
        <v>-38258</v>
      </c>
      <c r="DK237" s="208">
        <v>-27304</v>
      </c>
      <c r="DL237" s="208">
        <v>0</v>
      </c>
      <c r="DM237" s="208">
        <v>-27304</v>
      </c>
      <c r="DN237" s="208">
        <v>0</v>
      </c>
      <c r="DO237" s="208">
        <v>0</v>
      </c>
      <c r="DP237" s="208">
        <v>-1172859</v>
      </c>
      <c r="DQ237" s="208">
        <v>0</v>
      </c>
      <c r="DR237" s="208">
        <v>-1172859</v>
      </c>
      <c r="DS237" s="208">
        <v>0</v>
      </c>
      <c r="DT237" s="208">
        <v>0</v>
      </c>
      <c r="DU237" s="208">
        <v>0</v>
      </c>
      <c r="DV237" s="208">
        <v>0</v>
      </c>
      <c r="DW237" s="208">
        <v>0</v>
      </c>
      <c r="DX237" s="208">
        <v>0</v>
      </c>
      <c r="DY237" s="208">
        <v>0</v>
      </c>
      <c r="DZ237" s="208">
        <v>0</v>
      </c>
      <c r="EA237" s="208">
        <v>0</v>
      </c>
      <c r="EB237" s="208">
        <v>0</v>
      </c>
      <c r="EC237" s="208">
        <v>0</v>
      </c>
      <c r="ED237" s="208">
        <v>0</v>
      </c>
      <c r="EE237" s="208">
        <v>0</v>
      </c>
      <c r="EF237" s="208">
        <v>0</v>
      </c>
      <c r="EG237" s="208">
        <v>0</v>
      </c>
      <c r="EH237" s="208">
        <v>0</v>
      </c>
      <c r="EI237" s="208">
        <v>0</v>
      </c>
      <c r="EJ237" s="208">
        <v>0</v>
      </c>
      <c r="EK237" s="208">
        <v>-32981</v>
      </c>
      <c r="EL237" s="208">
        <v>0</v>
      </c>
      <c r="EM237" s="208">
        <v>-32981</v>
      </c>
      <c r="EN237" s="208">
        <v>33</v>
      </c>
      <c r="EO237" s="208">
        <v>0</v>
      </c>
      <c r="EP237" s="208">
        <v>33</v>
      </c>
      <c r="EQ237" s="208">
        <v>-3744</v>
      </c>
      <c r="ER237" s="208">
        <v>0</v>
      </c>
      <c r="ES237" s="208">
        <v>-3744</v>
      </c>
      <c r="ET237" s="208">
        <v>-4500</v>
      </c>
      <c r="EU237" s="208">
        <v>0</v>
      </c>
      <c r="EV237" s="208">
        <v>-4500</v>
      </c>
      <c r="EW237" s="208">
        <v>-187782</v>
      </c>
      <c r="EX237" s="208">
        <v>0</v>
      </c>
      <c r="EY237" s="208">
        <v>-187782</v>
      </c>
      <c r="EZ237" s="208">
        <v>-1553</v>
      </c>
      <c r="FA237" s="208">
        <v>0</v>
      </c>
      <c r="FB237" s="208">
        <v>-1553</v>
      </c>
      <c r="FC237" s="208">
        <v>-638427</v>
      </c>
      <c r="FD237" s="208">
        <v>0</v>
      </c>
      <c r="FE237" s="208">
        <v>-638427</v>
      </c>
      <c r="FF237" s="208">
        <v>3705</v>
      </c>
      <c r="FG237" s="208">
        <v>0</v>
      </c>
      <c r="FH237" s="208">
        <v>3705</v>
      </c>
      <c r="FI237" s="208">
        <v>-184887</v>
      </c>
      <c r="FJ237" s="208">
        <v>0</v>
      </c>
      <c r="FK237" s="208">
        <v>-184887</v>
      </c>
      <c r="FL237" s="208">
        <v>-5009</v>
      </c>
      <c r="FM237" s="208">
        <v>0</v>
      </c>
      <c r="FN237" s="208">
        <v>-5009</v>
      </c>
      <c r="FO237" s="208">
        <v>0</v>
      </c>
      <c r="FP237" s="208">
        <v>0</v>
      </c>
      <c r="FQ237" s="208">
        <v>0</v>
      </c>
      <c r="FR237" s="208">
        <v>0</v>
      </c>
      <c r="FS237" s="208">
        <v>0</v>
      </c>
      <c r="FT237" s="208">
        <v>0</v>
      </c>
      <c r="FU237" s="208">
        <v>-1055145</v>
      </c>
      <c r="FV237" s="208">
        <v>0</v>
      </c>
      <c r="FW237" s="208">
        <v>-1055145</v>
      </c>
      <c r="FX237" s="208">
        <v>0</v>
      </c>
      <c r="FY237" s="208">
        <v>0</v>
      </c>
      <c r="FZ237" s="208">
        <v>0</v>
      </c>
      <c r="GA237" s="208">
        <v>0</v>
      </c>
      <c r="GB237" s="208">
        <v>0</v>
      </c>
      <c r="GC237" s="208">
        <v>0</v>
      </c>
      <c r="GD237" s="208">
        <v>0</v>
      </c>
      <c r="GE237" s="208">
        <v>0</v>
      </c>
      <c r="GF237" s="208">
        <v>0</v>
      </c>
      <c r="GG237" s="208">
        <v>111657573</v>
      </c>
      <c r="GH237" s="208">
        <v>0</v>
      </c>
      <c r="GI237" s="208">
        <v>111657573</v>
      </c>
      <c r="GJ237" s="208">
        <v>-4036985</v>
      </c>
      <c r="GK237" s="208">
        <v>0</v>
      </c>
      <c r="GL237" s="208">
        <v>-4036985</v>
      </c>
      <c r="GM237" s="208">
        <v>-19932848</v>
      </c>
      <c r="GN237" s="208">
        <v>0</v>
      </c>
      <c r="GO237" s="208">
        <v>-19932848</v>
      </c>
      <c r="GP237" s="208">
        <v>-2573262</v>
      </c>
      <c r="GQ237" s="208">
        <v>0</v>
      </c>
      <c r="GR237" s="208">
        <v>-2573262</v>
      </c>
      <c r="GS237" s="208">
        <v>-1172859</v>
      </c>
      <c r="GT237" s="208">
        <v>0</v>
      </c>
      <c r="GU237" s="208">
        <v>-1172859</v>
      </c>
      <c r="GV237" s="208">
        <v>-1055145</v>
      </c>
      <c r="GW237" s="208">
        <v>0</v>
      </c>
      <c r="GX237" s="208">
        <v>-1055145</v>
      </c>
      <c r="GY237" s="208">
        <v>0</v>
      </c>
      <c r="GZ237" s="208">
        <v>0</v>
      </c>
      <c r="HA237" s="208">
        <v>0</v>
      </c>
      <c r="HB237" s="208">
        <v>-28771099</v>
      </c>
      <c r="HC237" s="208">
        <v>0</v>
      </c>
      <c r="HD237" s="208">
        <v>-28771099</v>
      </c>
      <c r="HE237" s="208">
        <v>82886474</v>
      </c>
      <c r="HF237" s="208">
        <v>0</v>
      </c>
      <c r="HG237" s="208">
        <v>82886474</v>
      </c>
      <c r="HH237" s="187" t="s">
        <v>742</v>
      </c>
    </row>
    <row r="238" spans="1:216" s="187" customFormat="1" x14ac:dyDescent="0.2">
      <c r="A238" s="187" t="s">
        <v>1811</v>
      </c>
      <c r="B238" s="429" t="s">
        <v>554</v>
      </c>
      <c r="C238" s="429" t="s">
        <v>553</v>
      </c>
      <c r="D238" s="208">
        <v>-1021071</v>
      </c>
      <c r="E238" s="208">
        <v>0</v>
      </c>
      <c r="F238" s="208">
        <v>-1021071</v>
      </c>
      <c r="G238" s="208">
        <v>569160</v>
      </c>
      <c r="H238" s="208">
        <v>0</v>
      </c>
      <c r="I238" s="208">
        <v>569160</v>
      </c>
      <c r="J238" s="208">
        <v>2702483</v>
      </c>
      <c r="K238" s="208">
        <v>0</v>
      </c>
      <c r="L238" s="208">
        <v>2702483</v>
      </c>
      <c r="M238" s="208">
        <v>66783</v>
      </c>
      <c r="N238" s="208">
        <v>0</v>
      </c>
      <c r="O238" s="208">
        <v>66783</v>
      </c>
      <c r="P238" s="208">
        <v>2317355</v>
      </c>
      <c r="Q238" s="208">
        <v>0</v>
      </c>
      <c r="R238" s="208">
        <v>2317355</v>
      </c>
      <c r="S238" s="208">
        <v>-2797450</v>
      </c>
      <c r="T238" s="208">
        <v>0</v>
      </c>
      <c r="U238" s="208">
        <v>-2797450</v>
      </c>
      <c r="V238" s="208">
        <v>-7104</v>
      </c>
      <c r="W238" s="208">
        <v>0</v>
      </c>
      <c r="X238" s="208">
        <v>-7104</v>
      </c>
      <c r="Y238" s="208">
        <v>-126589</v>
      </c>
      <c r="Z238" s="208">
        <v>0</v>
      </c>
      <c r="AA238" s="208">
        <v>-126589</v>
      </c>
      <c r="AB238" s="208">
        <v>-39746</v>
      </c>
      <c r="AC238" s="208">
        <v>0</v>
      </c>
      <c r="AD238" s="208">
        <v>-39746</v>
      </c>
      <c r="AE238" s="208">
        <v>-87472</v>
      </c>
      <c r="AF238" s="208">
        <v>0</v>
      </c>
      <c r="AG238" s="208">
        <v>-87472</v>
      </c>
      <c r="AH238" s="208">
        <v>0</v>
      </c>
      <c r="AI238" s="208">
        <v>0</v>
      </c>
      <c r="AJ238" s="208">
        <v>0</v>
      </c>
      <c r="AK238" s="208">
        <v>0</v>
      </c>
      <c r="AL238" s="208">
        <v>0</v>
      </c>
      <c r="AM238" s="208">
        <v>0</v>
      </c>
      <c r="AN238" s="208">
        <v>2718152</v>
      </c>
      <c r="AO238" s="208">
        <v>0</v>
      </c>
      <c r="AP238" s="208">
        <v>2718152</v>
      </c>
      <c r="AQ238" s="208">
        <v>-57986</v>
      </c>
      <c r="AR238" s="208">
        <v>0</v>
      </c>
      <c r="AS238" s="208">
        <v>-57986</v>
      </c>
      <c r="AT238" s="208">
        <v>-5468283</v>
      </c>
      <c r="AU238" s="208">
        <v>0</v>
      </c>
      <c r="AV238" s="208">
        <v>-5468283</v>
      </c>
      <c r="AW238" s="208">
        <v>-319362</v>
      </c>
      <c r="AX238" s="208">
        <v>0</v>
      </c>
      <c r="AY238" s="208">
        <v>-319362</v>
      </c>
      <c r="AZ238" s="208">
        <v>0</v>
      </c>
      <c r="BA238" s="208">
        <v>0</v>
      </c>
      <c r="BB238" s="208">
        <v>0</v>
      </c>
      <c r="BC238" s="208">
        <v>0</v>
      </c>
      <c r="BD238" s="208">
        <v>0</v>
      </c>
      <c r="BE238" s="208">
        <v>0</v>
      </c>
      <c r="BF238" s="208">
        <v>0</v>
      </c>
      <c r="BG238" s="208">
        <v>0</v>
      </c>
      <c r="BH238" s="208">
        <v>0</v>
      </c>
      <c r="BI238" s="208">
        <v>0</v>
      </c>
      <c r="BJ238" s="208">
        <v>0</v>
      </c>
      <c r="BK238" s="208">
        <v>0</v>
      </c>
      <c r="BL238" s="208">
        <v>-6051518</v>
      </c>
      <c r="BM238" s="208">
        <v>0</v>
      </c>
      <c r="BN238" s="208">
        <v>-6051518</v>
      </c>
      <c r="BO238" s="208">
        <v>0</v>
      </c>
      <c r="BP238" s="208">
        <v>0</v>
      </c>
      <c r="BQ238" s="208">
        <v>0</v>
      </c>
      <c r="BR238" s="208">
        <v>1493</v>
      </c>
      <c r="BS238" s="208">
        <v>0</v>
      </c>
      <c r="BT238" s="208">
        <v>1493</v>
      </c>
      <c r="BU238" s="208">
        <v>-4712882</v>
      </c>
      <c r="BV238" s="208">
        <v>0</v>
      </c>
      <c r="BW238" s="208">
        <v>-4712882</v>
      </c>
      <c r="BX238" s="208">
        <v>-481613</v>
      </c>
      <c r="BY238" s="208">
        <v>0</v>
      </c>
      <c r="BZ238" s="208">
        <v>-481613</v>
      </c>
      <c r="CA238" s="208">
        <v>-5193002</v>
      </c>
      <c r="CB238" s="208">
        <v>0</v>
      </c>
      <c r="CC238" s="208">
        <v>-5193002</v>
      </c>
      <c r="CD238" s="208">
        <v>-127431</v>
      </c>
      <c r="CE238" s="208">
        <v>0</v>
      </c>
      <c r="CF238" s="208">
        <v>-127431</v>
      </c>
      <c r="CG238" s="208">
        <v>-1243</v>
      </c>
      <c r="CH238" s="208">
        <v>0</v>
      </c>
      <c r="CI238" s="208">
        <v>-1243</v>
      </c>
      <c r="CJ238" s="208">
        <v>-77370</v>
      </c>
      <c r="CK238" s="208">
        <v>0</v>
      </c>
      <c r="CL238" s="208">
        <v>-77370</v>
      </c>
      <c r="CM238" s="208">
        <v>0</v>
      </c>
      <c r="CN238" s="208">
        <v>0</v>
      </c>
      <c r="CO238" s="208">
        <v>0</v>
      </c>
      <c r="CP238" s="208">
        <v>0</v>
      </c>
      <c r="CQ238" s="208">
        <v>0</v>
      </c>
      <c r="CR238" s="208">
        <v>0</v>
      </c>
      <c r="CS238" s="208">
        <v>0</v>
      </c>
      <c r="CT238" s="208">
        <v>0</v>
      </c>
      <c r="CU238" s="208">
        <v>0</v>
      </c>
      <c r="CV238" s="208">
        <v>0</v>
      </c>
      <c r="CW238" s="208">
        <v>0</v>
      </c>
      <c r="CX238" s="208">
        <v>0</v>
      </c>
      <c r="CY238" s="208">
        <v>0</v>
      </c>
      <c r="CZ238" s="208">
        <v>0</v>
      </c>
      <c r="DA238" s="208">
        <v>0</v>
      </c>
      <c r="DB238" s="208">
        <v>0</v>
      </c>
      <c r="DC238" s="208">
        <v>0</v>
      </c>
      <c r="DD238" s="208">
        <v>0</v>
      </c>
      <c r="DE238" s="208">
        <v>0</v>
      </c>
      <c r="DF238" s="208">
        <v>0</v>
      </c>
      <c r="DG238" s="208">
        <v>0</v>
      </c>
      <c r="DH238" s="208">
        <v>0</v>
      </c>
      <c r="DI238" s="208">
        <v>0</v>
      </c>
      <c r="DJ238" s="208">
        <v>0</v>
      </c>
      <c r="DK238" s="208">
        <v>0</v>
      </c>
      <c r="DL238" s="208">
        <v>0</v>
      </c>
      <c r="DM238" s="208">
        <v>0</v>
      </c>
      <c r="DN238" s="208">
        <v>0</v>
      </c>
      <c r="DO238" s="208">
        <v>0</v>
      </c>
      <c r="DP238" s="208">
        <v>-206044</v>
      </c>
      <c r="DQ238" s="208">
        <v>0</v>
      </c>
      <c r="DR238" s="208">
        <v>-206044</v>
      </c>
      <c r="DS238" s="208">
        <v>0</v>
      </c>
      <c r="DT238" s="208">
        <v>0</v>
      </c>
      <c r="DU238" s="208">
        <v>0</v>
      </c>
      <c r="DV238" s="208">
        <v>0</v>
      </c>
      <c r="DW238" s="208">
        <v>0</v>
      </c>
      <c r="DX238" s="208">
        <v>0</v>
      </c>
      <c r="DY238" s="208">
        <v>0</v>
      </c>
      <c r="DZ238" s="208">
        <v>0</v>
      </c>
      <c r="EA238" s="208">
        <v>0</v>
      </c>
      <c r="EB238" s="208">
        <v>0</v>
      </c>
      <c r="EC238" s="208">
        <v>0</v>
      </c>
      <c r="ED238" s="208">
        <v>0</v>
      </c>
      <c r="EE238" s="208">
        <v>0</v>
      </c>
      <c r="EF238" s="208">
        <v>0</v>
      </c>
      <c r="EG238" s="208">
        <v>0</v>
      </c>
      <c r="EH238" s="208">
        <v>0</v>
      </c>
      <c r="EI238" s="208">
        <v>0</v>
      </c>
      <c r="EJ238" s="208">
        <v>0</v>
      </c>
      <c r="EK238" s="208">
        <v>0</v>
      </c>
      <c r="EL238" s="208">
        <v>0</v>
      </c>
      <c r="EM238" s="208">
        <v>0</v>
      </c>
      <c r="EN238" s="208">
        <v>0</v>
      </c>
      <c r="EO238" s="208">
        <v>0</v>
      </c>
      <c r="EP238" s="208">
        <v>0</v>
      </c>
      <c r="EQ238" s="208">
        <v>-875</v>
      </c>
      <c r="ER238" s="208">
        <v>0</v>
      </c>
      <c r="ES238" s="208">
        <v>-875</v>
      </c>
      <c r="ET238" s="208">
        <v>-1500</v>
      </c>
      <c r="EU238" s="208">
        <v>0</v>
      </c>
      <c r="EV238" s="208">
        <v>-1500</v>
      </c>
      <c r="EW238" s="208">
        <v>-21081</v>
      </c>
      <c r="EX238" s="208">
        <v>0</v>
      </c>
      <c r="EY238" s="208">
        <v>-21081</v>
      </c>
      <c r="EZ238" s="208">
        <v>-10</v>
      </c>
      <c r="FA238" s="208">
        <v>0</v>
      </c>
      <c r="FB238" s="208">
        <v>-10</v>
      </c>
      <c r="FC238" s="208">
        <v>-130490</v>
      </c>
      <c r="FD238" s="208">
        <v>0</v>
      </c>
      <c r="FE238" s="208">
        <v>-130490</v>
      </c>
      <c r="FF238" s="208">
        <v>1379</v>
      </c>
      <c r="FG238" s="208">
        <v>0</v>
      </c>
      <c r="FH238" s="208">
        <v>1379</v>
      </c>
      <c r="FI238" s="208">
        <v>-11753</v>
      </c>
      <c r="FJ238" s="208">
        <v>0</v>
      </c>
      <c r="FK238" s="208">
        <v>-11753</v>
      </c>
      <c r="FL238" s="208">
        <v>0</v>
      </c>
      <c r="FM238" s="208">
        <v>0</v>
      </c>
      <c r="FN238" s="208">
        <v>0</v>
      </c>
      <c r="FO238" s="208">
        <v>0</v>
      </c>
      <c r="FP238" s="208">
        <v>0</v>
      </c>
      <c r="FQ238" s="208">
        <v>0</v>
      </c>
      <c r="FR238" s="208">
        <v>0</v>
      </c>
      <c r="FS238" s="208">
        <v>0</v>
      </c>
      <c r="FT238" s="208">
        <v>0</v>
      </c>
      <c r="FU238" s="208">
        <v>-164330</v>
      </c>
      <c r="FV238" s="208">
        <v>0</v>
      </c>
      <c r="FW238" s="208">
        <v>-164330</v>
      </c>
      <c r="FX238" s="208">
        <v>-16340</v>
      </c>
      <c r="FY238" s="208">
        <v>0</v>
      </c>
      <c r="FZ238" s="208">
        <v>-16340</v>
      </c>
      <c r="GA238" s="208">
        <v>0</v>
      </c>
      <c r="GB238" s="208">
        <v>0</v>
      </c>
      <c r="GC238" s="208">
        <v>0</v>
      </c>
      <c r="GD238" s="208">
        <v>-16340</v>
      </c>
      <c r="GE238" s="208">
        <v>0</v>
      </c>
      <c r="GF238" s="208">
        <v>-16340</v>
      </c>
      <c r="GG238" s="208">
        <v>114968539</v>
      </c>
      <c r="GH238" s="208">
        <v>0</v>
      </c>
      <c r="GI238" s="208">
        <v>114968539</v>
      </c>
      <c r="GJ238" s="208">
        <v>2317355</v>
      </c>
      <c r="GK238" s="208">
        <v>0</v>
      </c>
      <c r="GL238" s="208">
        <v>2317355</v>
      </c>
      <c r="GM238" s="208">
        <v>-6051518</v>
      </c>
      <c r="GN238" s="208">
        <v>0</v>
      </c>
      <c r="GO238" s="208">
        <v>-6051518</v>
      </c>
      <c r="GP238" s="208">
        <v>-5193002</v>
      </c>
      <c r="GQ238" s="208">
        <v>0</v>
      </c>
      <c r="GR238" s="208">
        <v>-5193002</v>
      </c>
      <c r="GS238" s="208">
        <v>-206044</v>
      </c>
      <c r="GT238" s="208">
        <v>0</v>
      </c>
      <c r="GU238" s="208">
        <v>-206044</v>
      </c>
      <c r="GV238" s="208">
        <v>-164330</v>
      </c>
      <c r="GW238" s="208">
        <v>0</v>
      </c>
      <c r="GX238" s="208">
        <v>-164330</v>
      </c>
      <c r="GY238" s="208">
        <v>-16340</v>
      </c>
      <c r="GZ238" s="208">
        <v>0</v>
      </c>
      <c r="HA238" s="208">
        <v>-16340</v>
      </c>
      <c r="HB238" s="208">
        <v>-9313879</v>
      </c>
      <c r="HC238" s="208">
        <v>0</v>
      </c>
      <c r="HD238" s="208">
        <v>-9313879</v>
      </c>
      <c r="HE238" s="208">
        <v>105654660</v>
      </c>
      <c r="HF238" s="208">
        <v>0</v>
      </c>
      <c r="HG238" s="208">
        <v>105654660</v>
      </c>
      <c r="HH238" s="187" t="s">
        <v>742</v>
      </c>
    </row>
    <row r="239" spans="1:216" s="187" customFormat="1" x14ac:dyDescent="0.2">
      <c r="B239" s="429" t="s">
        <v>556</v>
      </c>
      <c r="C239" s="429" t="s">
        <v>555</v>
      </c>
      <c r="D239" s="208">
        <v>-1336670</v>
      </c>
      <c r="E239" s="208">
        <v>0</v>
      </c>
      <c r="F239" s="208">
        <v>-1336670</v>
      </c>
      <c r="G239" s="208">
        <v>38797</v>
      </c>
      <c r="H239" s="208">
        <v>0</v>
      </c>
      <c r="I239" s="208">
        <v>38797</v>
      </c>
      <c r="J239" s="208">
        <v>4291968</v>
      </c>
      <c r="K239" s="208">
        <v>0</v>
      </c>
      <c r="L239" s="208">
        <v>4291968</v>
      </c>
      <c r="M239" s="208">
        <v>31211</v>
      </c>
      <c r="N239" s="208">
        <v>0</v>
      </c>
      <c r="O239" s="208">
        <v>31211</v>
      </c>
      <c r="P239" s="208">
        <v>3025306</v>
      </c>
      <c r="Q239" s="208">
        <v>0</v>
      </c>
      <c r="R239" s="208">
        <v>3025306</v>
      </c>
      <c r="S239" s="208">
        <v>-3859259</v>
      </c>
      <c r="T239" s="208">
        <v>0</v>
      </c>
      <c r="U239" s="208">
        <v>-3859259</v>
      </c>
      <c r="V239" s="208">
        <v>-10000</v>
      </c>
      <c r="W239" s="208">
        <v>0</v>
      </c>
      <c r="X239" s="208">
        <v>-10000</v>
      </c>
      <c r="Y239" s="208">
        <v>-53522</v>
      </c>
      <c r="Z239" s="208">
        <v>0</v>
      </c>
      <c r="AA239" s="208">
        <v>-53522</v>
      </c>
      <c r="AB239" s="208">
        <v>-8088</v>
      </c>
      <c r="AC239" s="208">
        <v>0</v>
      </c>
      <c r="AD239" s="208">
        <v>-8088</v>
      </c>
      <c r="AE239" s="208">
        <v>-45325</v>
      </c>
      <c r="AF239" s="208">
        <v>0</v>
      </c>
      <c r="AG239" s="208">
        <v>-45325</v>
      </c>
      <c r="AH239" s="208">
        <v>-1094</v>
      </c>
      <c r="AI239" s="208">
        <v>0</v>
      </c>
      <c r="AJ239" s="208">
        <v>-1094</v>
      </c>
      <c r="AK239" s="208">
        <v>7110</v>
      </c>
      <c r="AL239" s="208">
        <v>0</v>
      </c>
      <c r="AM239" s="208">
        <v>7110</v>
      </c>
      <c r="AN239" s="208">
        <v>2824526</v>
      </c>
      <c r="AO239" s="208">
        <v>0</v>
      </c>
      <c r="AP239" s="208">
        <v>2824526</v>
      </c>
      <c r="AQ239" s="208">
        <v>0</v>
      </c>
      <c r="AR239" s="208">
        <v>0</v>
      </c>
      <c r="AS239" s="208">
        <v>0</v>
      </c>
      <c r="AT239" s="208">
        <v>-5492652</v>
      </c>
      <c r="AU239" s="208">
        <v>0</v>
      </c>
      <c r="AV239" s="208">
        <v>-5492652</v>
      </c>
      <c r="AW239" s="208">
        <v>87776</v>
      </c>
      <c r="AX239" s="208">
        <v>0</v>
      </c>
      <c r="AY239" s="208">
        <v>87776</v>
      </c>
      <c r="AZ239" s="208">
        <v>-98147</v>
      </c>
      <c r="BA239" s="208">
        <v>0</v>
      </c>
      <c r="BB239" s="208">
        <v>-98147</v>
      </c>
      <c r="BC239" s="208">
        <v>0</v>
      </c>
      <c r="BD239" s="208">
        <v>0</v>
      </c>
      <c r="BE239" s="208">
        <v>0</v>
      </c>
      <c r="BF239" s="208">
        <v>-1186</v>
      </c>
      <c r="BG239" s="208">
        <v>0</v>
      </c>
      <c r="BH239" s="208">
        <v>-1186</v>
      </c>
      <c r="BI239" s="208">
        <v>0</v>
      </c>
      <c r="BJ239" s="208">
        <v>0</v>
      </c>
      <c r="BK239" s="208">
        <v>0</v>
      </c>
      <c r="BL239" s="208">
        <v>-6592464</v>
      </c>
      <c r="BM239" s="208">
        <v>0</v>
      </c>
      <c r="BN239" s="208">
        <v>-6592464</v>
      </c>
      <c r="BO239" s="208">
        <v>-8767</v>
      </c>
      <c r="BP239" s="208">
        <v>0</v>
      </c>
      <c r="BQ239" s="208">
        <v>-8767</v>
      </c>
      <c r="BR239" s="208">
        <v>-25128</v>
      </c>
      <c r="BS239" s="208">
        <v>0</v>
      </c>
      <c r="BT239" s="208">
        <v>-25128</v>
      </c>
      <c r="BU239" s="208">
        <v>-3622264</v>
      </c>
      <c r="BV239" s="208">
        <v>0</v>
      </c>
      <c r="BW239" s="208">
        <v>-3622264</v>
      </c>
      <c r="BX239" s="208">
        <v>66700</v>
      </c>
      <c r="BY239" s="208">
        <v>0</v>
      </c>
      <c r="BZ239" s="208">
        <v>66700</v>
      </c>
      <c r="CA239" s="208">
        <v>-3589459</v>
      </c>
      <c r="CB239" s="208">
        <v>0</v>
      </c>
      <c r="CC239" s="208">
        <v>-3589459</v>
      </c>
      <c r="CD239" s="208">
        <v>-26030</v>
      </c>
      <c r="CE239" s="208">
        <v>0</v>
      </c>
      <c r="CF239" s="208">
        <v>-26030</v>
      </c>
      <c r="CG239" s="208">
        <v>-160</v>
      </c>
      <c r="CH239" s="208">
        <v>0</v>
      </c>
      <c r="CI239" s="208">
        <v>-160</v>
      </c>
      <c r="CJ239" s="208">
        <v>-10268</v>
      </c>
      <c r="CK239" s="208">
        <v>0</v>
      </c>
      <c r="CL239" s="208">
        <v>-10268</v>
      </c>
      <c r="CM239" s="208">
        <v>0</v>
      </c>
      <c r="CN239" s="208">
        <v>0</v>
      </c>
      <c r="CO239" s="208">
        <v>0</v>
      </c>
      <c r="CP239" s="208">
        <v>0</v>
      </c>
      <c r="CQ239" s="208">
        <v>0</v>
      </c>
      <c r="CR239" s="208">
        <v>0</v>
      </c>
      <c r="CS239" s="208">
        <v>0</v>
      </c>
      <c r="CT239" s="208">
        <v>0</v>
      </c>
      <c r="CU239" s="208">
        <v>0</v>
      </c>
      <c r="CV239" s="208">
        <v>0</v>
      </c>
      <c r="CW239" s="208">
        <v>0</v>
      </c>
      <c r="CX239" s="208">
        <v>0</v>
      </c>
      <c r="CY239" s="208">
        <v>0</v>
      </c>
      <c r="CZ239" s="208">
        <v>0</v>
      </c>
      <c r="DA239" s="208">
        <v>0</v>
      </c>
      <c r="DB239" s="208">
        <v>0</v>
      </c>
      <c r="DC239" s="208">
        <v>0</v>
      </c>
      <c r="DD239" s="208">
        <v>0</v>
      </c>
      <c r="DE239" s="208">
        <v>0</v>
      </c>
      <c r="DF239" s="208">
        <v>0</v>
      </c>
      <c r="DG239" s="208">
        <v>0</v>
      </c>
      <c r="DH239" s="208">
        <v>0</v>
      </c>
      <c r="DI239" s="208">
        <v>0</v>
      </c>
      <c r="DJ239" s="208">
        <v>0</v>
      </c>
      <c r="DK239" s="208">
        <v>0</v>
      </c>
      <c r="DL239" s="208">
        <v>0</v>
      </c>
      <c r="DM239" s="208">
        <v>0</v>
      </c>
      <c r="DN239" s="208">
        <v>0</v>
      </c>
      <c r="DO239" s="208">
        <v>0</v>
      </c>
      <c r="DP239" s="208">
        <v>-36458</v>
      </c>
      <c r="DQ239" s="208">
        <v>0</v>
      </c>
      <c r="DR239" s="208">
        <v>-36458</v>
      </c>
      <c r="DS239" s="208">
        <v>2527</v>
      </c>
      <c r="DT239" s="208">
        <v>0</v>
      </c>
      <c r="DU239" s="208">
        <v>2527</v>
      </c>
      <c r="DV239" s="208">
        <v>0</v>
      </c>
      <c r="DW239" s="208">
        <v>0</v>
      </c>
      <c r="DX239" s="208">
        <v>0</v>
      </c>
      <c r="DY239" s="208">
        <v>3045</v>
      </c>
      <c r="DZ239" s="208">
        <v>0</v>
      </c>
      <c r="EA239" s="208">
        <v>3045</v>
      </c>
      <c r="EB239" s="208">
        <v>0</v>
      </c>
      <c r="EC239" s="208">
        <v>0</v>
      </c>
      <c r="ED239" s="208">
        <v>0</v>
      </c>
      <c r="EE239" s="208">
        <v>0</v>
      </c>
      <c r="EF239" s="208">
        <v>0</v>
      </c>
      <c r="EG239" s="208">
        <v>0</v>
      </c>
      <c r="EH239" s="208">
        <v>0</v>
      </c>
      <c r="EI239" s="208">
        <v>0</v>
      </c>
      <c r="EJ239" s="208">
        <v>0</v>
      </c>
      <c r="EK239" s="208">
        <v>-1186</v>
      </c>
      <c r="EL239" s="208">
        <v>0</v>
      </c>
      <c r="EM239" s="208">
        <v>-1186</v>
      </c>
      <c r="EN239" s="208">
        <v>0</v>
      </c>
      <c r="EO239" s="208">
        <v>0</v>
      </c>
      <c r="EP239" s="208">
        <v>0</v>
      </c>
      <c r="EQ239" s="208">
        <v>0</v>
      </c>
      <c r="ER239" s="208">
        <v>0</v>
      </c>
      <c r="ES239" s="208">
        <v>0</v>
      </c>
      <c r="ET239" s="208">
        <v>0</v>
      </c>
      <c r="EU239" s="208">
        <v>0</v>
      </c>
      <c r="EV239" s="208">
        <v>0</v>
      </c>
      <c r="EW239" s="208">
        <v>-18886</v>
      </c>
      <c r="EX239" s="208">
        <v>0</v>
      </c>
      <c r="EY239" s="208">
        <v>-18886</v>
      </c>
      <c r="EZ239" s="208">
        <v>0</v>
      </c>
      <c r="FA239" s="208">
        <v>0</v>
      </c>
      <c r="FB239" s="208">
        <v>0</v>
      </c>
      <c r="FC239" s="208">
        <v>-110540</v>
      </c>
      <c r="FD239" s="208">
        <v>0</v>
      </c>
      <c r="FE239" s="208">
        <v>-110540</v>
      </c>
      <c r="FF239" s="208">
        <v>0</v>
      </c>
      <c r="FG239" s="208">
        <v>0</v>
      </c>
      <c r="FH239" s="208">
        <v>0</v>
      </c>
      <c r="FI239" s="208">
        <v>-19699</v>
      </c>
      <c r="FJ239" s="208">
        <v>0</v>
      </c>
      <c r="FK239" s="208">
        <v>-19699</v>
      </c>
      <c r="FL239" s="208">
        <v>0</v>
      </c>
      <c r="FM239" s="208">
        <v>0</v>
      </c>
      <c r="FN239" s="208">
        <v>0</v>
      </c>
      <c r="FO239" s="208">
        <v>0</v>
      </c>
      <c r="FP239" s="208">
        <v>0</v>
      </c>
      <c r="FQ239" s="208">
        <v>0</v>
      </c>
      <c r="FR239" s="208">
        <v>0</v>
      </c>
      <c r="FS239" s="208">
        <v>0</v>
      </c>
      <c r="FT239" s="208">
        <v>0</v>
      </c>
      <c r="FU239" s="208">
        <v>-144739</v>
      </c>
      <c r="FV239" s="208">
        <v>0</v>
      </c>
      <c r="FW239" s="208">
        <v>-144739</v>
      </c>
      <c r="FX239" s="208">
        <v>0</v>
      </c>
      <c r="FY239" s="208">
        <v>0</v>
      </c>
      <c r="FZ239" s="208">
        <v>0</v>
      </c>
      <c r="GA239" s="208">
        <v>0</v>
      </c>
      <c r="GB239" s="208">
        <v>0</v>
      </c>
      <c r="GC239" s="208">
        <v>0</v>
      </c>
      <c r="GD239" s="208">
        <v>0</v>
      </c>
      <c r="GE239" s="208">
        <v>0</v>
      </c>
      <c r="GF239" s="208">
        <v>0</v>
      </c>
      <c r="GG239" s="208">
        <v>125979393</v>
      </c>
      <c r="GH239" s="208">
        <v>0</v>
      </c>
      <c r="GI239" s="208">
        <v>125979393</v>
      </c>
      <c r="GJ239" s="208">
        <v>3025306</v>
      </c>
      <c r="GK239" s="208">
        <v>0</v>
      </c>
      <c r="GL239" s="208">
        <v>3025306</v>
      </c>
      <c r="GM239" s="208">
        <v>-6592464</v>
      </c>
      <c r="GN239" s="208">
        <v>0</v>
      </c>
      <c r="GO239" s="208">
        <v>-6592464</v>
      </c>
      <c r="GP239" s="208">
        <v>-3589459</v>
      </c>
      <c r="GQ239" s="208">
        <v>0</v>
      </c>
      <c r="GR239" s="208">
        <v>-3589459</v>
      </c>
      <c r="GS239" s="208">
        <v>-36458</v>
      </c>
      <c r="GT239" s="208">
        <v>0</v>
      </c>
      <c r="GU239" s="208">
        <v>-36458</v>
      </c>
      <c r="GV239" s="208">
        <v>-144739</v>
      </c>
      <c r="GW239" s="208">
        <v>0</v>
      </c>
      <c r="GX239" s="208">
        <v>-144739</v>
      </c>
      <c r="GY239" s="208">
        <v>0</v>
      </c>
      <c r="GZ239" s="208">
        <v>0</v>
      </c>
      <c r="HA239" s="208">
        <v>0</v>
      </c>
      <c r="HB239" s="208">
        <v>-7337814</v>
      </c>
      <c r="HC239" s="208">
        <v>0</v>
      </c>
      <c r="HD239" s="208">
        <v>-7337814</v>
      </c>
      <c r="HE239" s="208">
        <v>118641579</v>
      </c>
      <c r="HF239" s="208">
        <v>0</v>
      </c>
      <c r="HG239" s="208">
        <v>118641579</v>
      </c>
      <c r="HH239" s="187" t="s">
        <v>1056</v>
      </c>
    </row>
    <row r="240" spans="1:216" s="187" customFormat="1" x14ac:dyDescent="0.2">
      <c r="A240" s="188"/>
      <c r="B240" s="429" t="s">
        <v>558</v>
      </c>
      <c r="C240" s="429" t="s">
        <v>557</v>
      </c>
      <c r="D240" s="208">
        <v>-954573</v>
      </c>
      <c r="E240" s="208">
        <v>0</v>
      </c>
      <c r="F240" s="208">
        <v>-954573</v>
      </c>
      <c r="G240" s="208">
        <v>20467</v>
      </c>
      <c r="H240" s="208">
        <v>0</v>
      </c>
      <c r="I240" s="208">
        <v>20467</v>
      </c>
      <c r="J240" s="208">
        <v>486378</v>
      </c>
      <c r="K240" s="208">
        <v>0</v>
      </c>
      <c r="L240" s="208">
        <v>486378</v>
      </c>
      <c r="M240" s="208">
        <v>-196544</v>
      </c>
      <c r="N240" s="208">
        <v>0</v>
      </c>
      <c r="O240" s="208">
        <v>-196544</v>
      </c>
      <c r="P240" s="208">
        <v>-644272</v>
      </c>
      <c r="Q240" s="208">
        <v>0</v>
      </c>
      <c r="R240" s="208">
        <v>-644272</v>
      </c>
      <c r="S240" s="208">
        <v>-1720350</v>
      </c>
      <c r="T240" s="208">
        <v>0</v>
      </c>
      <c r="U240" s="208">
        <v>-1720350</v>
      </c>
      <c r="V240" s="208">
        <v>-1536</v>
      </c>
      <c r="W240" s="208">
        <v>0</v>
      </c>
      <c r="X240" s="208">
        <v>-1536</v>
      </c>
      <c r="Y240" s="208">
        <v>-139336</v>
      </c>
      <c r="Z240" s="208">
        <v>0</v>
      </c>
      <c r="AA240" s="208">
        <v>-139336</v>
      </c>
      <c r="AB240" s="208">
        <v>-55684</v>
      </c>
      <c r="AC240" s="208">
        <v>0</v>
      </c>
      <c r="AD240" s="208">
        <v>-55684</v>
      </c>
      <c r="AE240" s="208">
        <v>-83652</v>
      </c>
      <c r="AF240" s="208">
        <v>0</v>
      </c>
      <c r="AG240" s="208">
        <v>-83652</v>
      </c>
      <c r="AH240" s="208">
        <v>0</v>
      </c>
      <c r="AI240" s="208">
        <v>0</v>
      </c>
      <c r="AJ240" s="208">
        <v>0</v>
      </c>
      <c r="AK240" s="208">
        <v>0</v>
      </c>
      <c r="AL240" s="208">
        <v>0</v>
      </c>
      <c r="AM240" s="208">
        <v>0</v>
      </c>
      <c r="AN240" s="208">
        <v>797855</v>
      </c>
      <c r="AO240" s="208">
        <v>0</v>
      </c>
      <c r="AP240" s="208">
        <v>797855</v>
      </c>
      <c r="AQ240" s="208">
        <v>-29402</v>
      </c>
      <c r="AR240" s="208">
        <v>0</v>
      </c>
      <c r="AS240" s="208">
        <v>-29402</v>
      </c>
      <c r="AT240" s="208">
        <v>-2257644</v>
      </c>
      <c r="AU240" s="208">
        <v>0</v>
      </c>
      <c r="AV240" s="208">
        <v>-2257644</v>
      </c>
      <c r="AW240" s="208">
        <v>-75382</v>
      </c>
      <c r="AX240" s="208">
        <v>0</v>
      </c>
      <c r="AY240" s="208">
        <v>-75382</v>
      </c>
      <c r="AZ240" s="208">
        <v>-66909</v>
      </c>
      <c r="BA240" s="208">
        <v>0</v>
      </c>
      <c r="BB240" s="208">
        <v>-66909</v>
      </c>
      <c r="BC240" s="208">
        <v>2356.42</v>
      </c>
      <c r="BD240" s="208">
        <v>0</v>
      </c>
      <c r="BE240" s="208">
        <v>2356.42</v>
      </c>
      <c r="BF240" s="208">
        <v>-1233</v>
      </c>
      <c r="BG240" s="208">
        <v>0</v>
      </c>
      <c r="BH240" s="208">
        <v>-1233</v>
      </c>
      <c r="BI240" s="208">
        <v>0</v>
      </c>
      <c r="BJ240" s="208">
        <v>0</v>
      </c>
      <c r="BK240" s="208">
        <v>0</v>
      </c>
      <c r="BL240" s="208">
        <v>-3490045</v>
      </c>
      <c r="BM240" s="208">
        <v>0</v>
      </c>
      <c r="BN240" s="208">
        <v>-3490045</v>
      </c>
      <c r="BO240" s="208">
        <v>-40315</v>
      </c>
      <c r="BP240" s="208">
        <v>0</v>
      </c>
      <c r="BQ240" s="208">
        <v>-40315</v>
      </c>
      <c r="BR240" s="208">
        <v>313</v>
      </c>
      <c r="BS240" s="208">
        <v>0</v>
      </c>
      <c r="BT240" s="208">
        <v>313</v>
      </c>
      <c r="BU240" s="208">
        <v>-2123030</v>
      </c>
      <c r="BV240" s="208">
        <v>0</v>
      </c>
      <c r="BW240" s="208">
        <v>-2123030</v>
      </c>
      <c r="BX240" s="208">
        <v>-345062</v>
      </c>
      <c r="BY240" s="208">
        <v>0</v>
      </c>
      <c r="BZ240" s="208">
        <v>-345062</v>
      </c>
      <c r="CA240" s="208">
        <v>-2508094</v>
      </c>
      <c r="CB240" s="208">
        <v>0</v>
      </c>
      <c r="CC240" s="208">
        <v>-2508094</v>
      </c>
      <c r="CD240" s="208">
        <v>-34332</v>
      </c>
      <c r="CE240" s="208">
        <v>0</v>
      </c>
      <c r="CF240" s="208">
        <v>-34332</v>
      </c>
      <c r="CG240" s="208">
        <v>-374</v>
      </c>
      <c r="CH240" s="208">
        <v>0</v>
      </c>
      <c r="CI240" s="208">
        <v>-374</v>
      </c>
      <c r="CJ240" s="208">
        <v>-7470</v>
      </c>
      <c r="CK240" s="208">
        <v>0</v>
      </c>
      <c r="CL240" s="208">
        <v>-7470</v>
      </c>
      <c r="CM240" s="208">
        <v>-2732</v>
      </c>
      <c r="CN240" s="208">
        <v>0</v>
      </c>
      <c r="CO240" s="208">
        <v>-2732</v>
      </c>
      <c r="CP240" s="208">
        <v>-1859</v>
      </c>
      <c r="CQ240" s="208">
        <v>0</v>
      </c>
      <c r="CR240" s="208">
        <v>-1859</v>
      </c>
      <c r="CS240" s="208">
        <v>0</v>
      </c>
      <c r="CT240" s="208">
        <v>0</v>
      </c>
      <c r="CU240" s="208">
        <v>0</v>
      </c>
      <c r="CV240" s="208">
        <v>0</v>
      </c>
      <c r="CW240" s="208">
        <v>0</v>
      </c>
      <c r="CX240" s="208">
        <v>0</v>
      </c>
      <c r="CY240" s="208">
        <v>0</v>
      </c>
      <c r="CZ240" s="208">
        <v>0</v>
      </c>
      <c r="DA240" s="208">
        <v>0</v>
      </c>
      <c r="DB240" s="208">
        <v>0</v>
      </c>
      <c r="DC240" s="208">
        <v>0</v>
      </c>
      <c r="DD240" s="208">
        <v>0</v>
      </c>
      <c r="DE240" s="208">
        <v>0</v>
      </c>
      <c r="DF240" s="208">
        <v>0</v>
      </c>
      <c r="DG240" s="208">
        <v>0</v>
      </c>
      <c r="DH240" s="208">
        <v>0</v>
      </c>
      <c r="DI240" s="208">
        <v>0</v>
      </c>
      <c r="DJ240" s="208">
        <v>0</v>
      </c>
      <c r="DK240" s="208">
        <v>0</v>
      </c>
      <c r="DL240" s="208">
        <v>0</v>
      </c>
      <c r="DM240" s="208">
        <v>0</v>
      </c>
      <c r="DN240" s="208">
        <v>0</v>
      </c>
      <c r="DO240" s="208">
        <v>0</v>
      </c>
      <c r="DP240" s="208">
        <v>-46767</v>
      </c>
      <c r="DQ240" s="208">
        <v>0</v>
      </c>
      <c r="DR240" s="208">
        <v>-46767</v>
      </c>
      <c r="DS240" s="208">
        <v>0</v>
      </c>
      <c r="DT240" s="208">
        <v>0</v>
      </c>
      <c r="DU240" s="208">
        <v>0</v>
      </c>
      <c r="DV240" s="208">
        <v>0</v>
      </c>
      <c r="DW240" s="208">
        <v>0</v>
      </c>
      <c r="DX240" s="208">
        <v>0</v>
      </c>
      <c r="DY240" s="208">
        <v>0</v>
      </c>
      <c r="DZ240" s="208">
        <v>0</v>
      </c>
      <c r="EA240" s="208">
        <v>0</v>
      </c>
      <c r="EB240" s="208">
        <v>0</v>
      </c>
      <c r="EC240" s="208">
        <v>0</v>
      </c>
      <c r="ED240" s="208">
        <v>0</v>
      </c>
      <c r="EE240" s="208">
        <v>0</v>
      </c>
      <c r="EF240" s="208">
        <v>0</v>
      </c>
      <c r="EG240" s="208">
        <v>0</v>
      </c>
      <c r="EH240" s="208">
        <v>0</v>
      </c>
      <c r="EI240" s="208">
        <v>0</v>
      </c>
      <c r="EJ240" s="208">
        <v>0</v>
      </c>
      <c r="EK240" s="208">
        <v>0</v>
      </c>
      <c r="EL240" s="208">
        <v>0</v>
      </c>
      <c r="EM240" s="208">
        <v>0</v>
      </c>
      <c r="EN240" s="208">
        <v>0</v>
      </c>
      <c r="EO240" s="208">
        <v>0</v>
      </c>
      <c r="EP240" s="208">
        <v>0</v>
      </c>
      <c r="EQ240" s="208">
        <v>0</v>
      </c>
      <c r="ER240" s="208">
        <v>0</v>
      </c>
      <c r="ES240" s="208">
        <v>0</v>
      </c>
      <c r="ET240" s="208">
        <v>0</v>
      </c>
      <c r="EU240" s="208">
        <v>0</v>
      </c>
      <c r="EV240" s="208">
        <v>0</v>
      </c>
      <c r="EW240" s="208">
        <v>-6467</v>
      </c>
      <c r="EX240" s="208">
        <v>0</v>
      </c>
      <c r="EY240" s="208">
        <v>-6467</v>
      </c>
      <c r="EZ240" s="208">
        <v>-413</v>
      </c>
      <c r="FA240" s="208">
        <v>0</v>
      </c>
      <c r="FB240" s="208">
        <v>-413</v>
      </c>
      <c r="FC240" s="208">
        <v>-64135</v>
      </c>
      <c r="FD240" s="208">
        <v>0</v>
      </c>
      <c r="FE240" s="208">
        <v>-64135</v>
      </c>
      <c r="FF240" s="208">
        <v>-2657</v>
      </c>
      <c r="FG240" s="208">
        <v>0</v>
      </c>
      <c r="FH240" s="208">
        <v>-2657</v>
      </c>
      <c r="FI240" s="208">
        <v>-29847</v>
      </c>
      <c r="FJ240" s="208">
        <v>0</v>
      </c>
      <c r="FK240" s="208">
        <v>-29847</v>
      </c>
      <c r="FL240" s="208">
        <v>-734</v>
      </c>
      <c r="FM240" s="208">
        <v>0</v>
      </c>
      <c r="FN240" s="208">
        <v>-734</v>
      </c>
      <c r="FO240" s="208">
        <v>0</v>
      </c>
      <c r="FP240" s="208">
        <v>0</v>
      </c>
      <c r="FQ240" s="208">
        <v>0</v>
      </c>
      <c r="FR240" s="208">
        <v>0</v>
      </c>
      <c r="FS240" s="208">
        <v>0</v>
      </c>
      <c r="FT240" s="208">
        <v>0</v>
      </c>
      <c r="FU240" s="208">
        <v>-104253</v>
      </c>
      <c r="FV240" s="208">
        <v>0</v>
      </c>
      <c r="FW240" s="208">
        <v>-104253</v>
      </c>
      <c r="FX240" s="208">
        <v>0</v>
      </c>
      <c r="FY240" s="208">
        <v>0</v>
      </c>
      <c r="FZ240" s="208">
        <v>0</v>
      </c>
      <c r="GA240" s="208">
        <v>-41732</v>
      </c>
      <c r="GB240" s="208">
        <v>0</v>
      </c>
      <c r="GC240" s="208">
        <v>-41732</v>
      </c>
      <c r="GD240" s="208">
        <v>-41732</v>
      </c>
      <c r="GE240" s="208">
        <v>0</v>
      </c>
      <c r="GF240" s="208">
        <v>-41732</v>
      </c>
      <c r="GG240" s="208">
        <v>39161990</v>
      </c>
      <c r="GH240" s="208">
        <v>0</v>
      </c>
      <c r="GI240" s="208">
        <v>39161990</v>
      </c>
      <c r="GJ240" s="208">
        <v>-644272</v>
      </c>
      <c r="GK240" s="208">
        <v>0</v>
      </c>
      <c r="GL240" s="208">
        <v>-644272</v>
      </c>
      <c r="GM240" s="208">
        <v>-3490045</v>
      </c>
      <c r="GN240" s="208">
        <v>0</v>
      </c>
      <c r="GO240" s="208">
        <v>-3490045</v>
      </c>
      <c r="GP240" s="208">
        <v>-2508094</v>
      </c>
      <c r="GQ240" s="208">
        <v>0</v>
      </c>
      <c r="GR240" s="208">
        <v>-2508094</v>
      </c>
      <c r="GS240" s="208">
        <v>-46767</v>
      </c>
      <c r="GT240" s="208">
        <v>0</v>
      </c>
      <c r="GU240" s="208">
        <v>-46767</v>
      </c>
      <c r="GV240" s="208">
        <v>-104253</v>
      </c>
      <c r="GW240" s="208">
        <v>0</v>
      </c>
      <c r="GX240" s="208">
        <v>-104253</v>
      </c>
      <c r="GY240" s="208">
        <v>-41732</v>
      </c>
      <c r="GZ240" s="208">
        <v>0</v>
      </c>
      <c r="HA240" s="208">
        <v>-41732</v>
      </c>
      <c r="HB240" s="208">
        <v>-6835163</v>
      </c>
      <c r="HC240" s="208">
        <v>0</v>
      </c>
      <c r="HD240" s="208">
        <v>-6835163</v>
      </c>
      <c r="HE240" s="208">
        <v>32326827</v>
      </c>
      <c r="HF240" s="208">
        <v>0</v>
      </c>
      <c r="HG240" s="208">
        <v>32326827</v>
      </c>
      <c r="HH240" s="187" t="s">
        <v>1054</v>
      </c>
    </row>
    <row r="241" spans="1:216" s="187" customFormat="1" x14ac:dyDescent="0.2">
      <c r="B241" s="429" t="s">
        <v>560</v>
      </c>
      <c r="C241" s="429" t="s">
        <v>559</v>
      </c>
      <c r="D241" s="208">
        <v>-1097264</v>
      </c>
      <c r="E241" s="208">
        <v>0</v>
      </c>
      <c r="F241" s="208">
        <v>-1097264</v>
      </c>
      <c r="G241" s="208">
        <v>41581</v>
      </c>
      <c r="H241" s="208">
        <v>0</v>
      </c>
      <c r="I241" s="208">
        <v>41581</v>
      </c>
      <c r="J241" s="208">
        <v>1169047</v>
      </c>
      <c r="K241" s="208">
        <v>0</v>
      </c>
      <c r="L241" s="208">
        <v>1169047</v>
      </c>
      <c r="M241" s="208">
        <v>55328</v>
      </c>
      <c r="N241" s="208">
        <v>0</v>
      </c>
      <c r="O241" s="208">
        <v>55328</v>
      </c>
      <c r="P241" s="208">
        <v>168692</v>
      </c>
      <c r="Q241" s="208">
        <v>0</v>
      </c>
      <c r="R241" s="208">
        <v>168692</v>
      </c>
      <c r="S241" s="208">
        <v>-4728486</v>
      </c>
      <c r="T241" s="208">
        <v>0</v>
      </c>
      <c r="U241" s="208">
        <v>-4728486</v>
      </c>
      <c r="V241" s="208">
        <v>-6585</v>
      </c>
      <c r="W241" s="208">
        <v>0</v>
      </c>
      <c r="X241" s="208">
        <v>-6585</v>
      </c>
      <c r="Y241" s="208">
        <v>-235290</v>
      </c>
      <c r="Z241" s="208">
        <v>0</v>
      </c>
      <c r="AA241" s="208">
        <v>-235290</v>
      </c>
      <c r="AB241" s="208">
        <v>-96001</v>
      </c>
      <c r="AC241" s="208">
        <v>0</v>
      </c>
      <c r="AD241" s="208">
        <v>-96001</v>
      </c>
      <c r="AE241" s="208">
        <v>-139288</v>
      </c>
      <c r="AF241" s="208">
        <v>0</v>
      </c>
      <c r="AG241" s="208">
        <v>-139288</v>
      </c>
      <c r="AH241" s="208">
        <v>0</v>
      </c>
      <c r="AI241" s="208">
        <v>0</v>
      </c>
      <c r="AJ241" s="208">
        <v>0</v>
      </c>
      <c r="AK241" s="208">
        <v>0</v>
      </c>
      <c r="AL241" s="208">
        <v>0</v>
      </c>
      <c r="AM241" s="208">
        <v>0</v>
      </c>
      <c r="AN241" s="208">
        <v>2179294</v>
      </c>
      <c r="AO241" s="208">
        <v>25409</v>
      </c>
      <c r="AP241" s="208">
        <v>2204703</v>
      </c>
      <c r="AQ241" s="208">
        <v>30532</v>
      </c>
      <c r="AR241" s="208">
        <v>1148</v>
      </c>
      <c r="AS241" s="208">
        <v>31680</v>
      </c>
      <c r="AT241" s="208">
        <v>-10535442</v>
      </c>
      <c r="AU241" s="208">
        <v>0</v>
      </c>
      <c r="AV241" s="208">
        <v>-10535442</v>
      </c>
      <c r="AW241" s="208">
        <v>-108434</v>
      </c>
      <c r="AX241" s="208">
        <v>0</v>
      </c>
      <c r="AY241" s="208">
        <v>-108434</v>
      </c>
      <c r="AZ241" s="208">
        <v>-25415</v>
      </c>
      <c r="BA241" s="208">
        <v>0</v>
      </c>
      <c r="BB241" s="208">
        <v>-25415</v>
      </c>
      <c r="BC241" s="208">
        <v>0</v>
      </c>
      <c r="BD241" s="208">
        <v>0</v>
      </c>
      <c r="BE241" s="208">
        <v>0</v>
      </c>
      <c r="BF241" s="208">
        <v>-48684</v>
      </c>
      <c r="BG241" s="208">
        <v>0</v>
      </c>
      <c r="BH241" s="208">
        <v>-48684</v>
      </c>
      <c r="BI241" s="208">
        <v>891</v>
      </c>
      <c r="BJ241" s="208">
        <v>0</v>
      </c>
      <c r="BK241" s="208">
        <v>891</v>
      </c>
      <c r="BL241" s="208">
        <v>-13471034</v>
      </c>
      <c r="BM241" s="208">
        <v>26557</v>
      </c>
      <c r="BN241" s="208">
        <v>-13444477</v>
      </c>
      <c r="BO241" s="208">
        <v>0</v>
      </c>
      <c r="BP241" s="208">
        <v>0</v>
      </c>
      <c r="BQ241" s="208">
        <v>0</v>
      </c>
      <c r="BR241" s="208">
        <v>0</v>
      </c>
      <c r="BS241" s="208">
        <v>0</v>
      </c>
      <c r="BT241" s="208">
        <v>0</v>
      </c>
      <c r="BU241" s="208">
        <v>-1742449</v>
      </c>
      <c r="BV241" s="208">
        <v>-63967</v>
      </c>
      <c r="BW241" s="208">
        <v>-1806416</v>
      </c>
      <c r="BX241" s="208">
        <v>-134696</v>
      </c>
      <c r="BY241" s="208">
        <v>-24449</v>
      </c>
      <c r="BZ241" s="208">
        <v>-159145</v>
      </c>
      <c r="CA241" s="208">
        <v>-1877145</v>
      </c>
      <c r="CB241" s="208">
        <v>-88416</v>
      </c>
      <c r="CC241" s="208">
        <v>-1965561</v>
      </c>
      <c r="CD241" s="208">
        <v>-131450</v>
      </c>
      <c r="CE241" s="208">
        <v>0</v>
      </c>
      <c r="CF241" s="208">
        <v>-131450</v>
      </c>
      <c r="CG241" s="208">
        <v>-2600</v>
      </c>
      <c r="CH241" s="208">
        <v>0</v>
      </c>
      <c r="CI241" s="208">
        <v>-2600</v>
      </c>
      <c r="CJ241" s="208">
        <v>-58018</v>
      </c>
      <c r="CK241" s="208">
        <v>0</v>
      </c>
      <c r="CL241" s="208">
        <v>-58018</v>
      </c>
      <c r="CM241" s="208">
        <v>-3049</v>
      </c>
      <c r="CN241" s="208">
        <v>0</v>
      </c>
      <c r="CO241" s="208">
        <v>-3049</v>
      </c>
      <c r="CP241" s="208">
        <v>0</v>
      </c>
      <c r="CQ241" s="208">
        <v>0</v>
      </c>
      <c r="CR241" s="208">
        <v>0</v>
      </c>
      <c r="CS241" s="208">
        <v>0</v>
      </c>
      <c r="CT241" s="208">
        <v>0</v>
      </c>
      <c r="CU241" s="208">
        <v>0</v>
      </c>
      <c r="CV241" s="208">
        <v>0</v>
      </c>
      <c r="CW241" s="208">
        <v>0</v>
      </c>
      <c r="CX241" s="208">
        <v>0</v>
      </c>
      <c r="CY241" s="208">
        <v>0</v>
      </c>
      <c r="CZ241" s="208">
        <v>0</v>
      </c>
      <c r="DA241" s="208">
        <v>0</v>
      </c>
      <c r="DB241" s="208">
        <v>-42309</v>
      </c>
      <c r="DC241" s="208">
        <v>0</v>
      </c>
      <c r="DD241" s="208">
        <v>-42309</v>
      </c>
      <c r="DE241" s="208">
        <v>-3667</v>
      </c>
      <c r="DF241" s="208">
        <v>0</v>
      </c>
      <c r="DG241" s="208">
        <v>-3667</v>
      </c>
      <c r="DH241" s="208">
        <v>0</v>
      </c>
      <c r="DI241" s="208">
        <v>-113554</v>
      </c>
      <c r="DJ241" s="208">
        <v>-113554</v>
      </c>
      <c r="DK241" s="208">
        <v>0</v>
      </c>
      <c r="DL241" s="208">
        <v>-58782</v>
      </c>
      <c r="DM241" s="208">
        <v>-58782</v>
      </c>
      <c r="DN241" s="208">
        <v>0</v>
      </c>
      <c r="DO241" s="208">
        <v>0</v>
      </c>
      <c r="DP241" s="208">
        <v>-241093</v>
      </c>
      <c r="DQ241" s="208">
        <v>-172336</v>
      </c>
      <c r="DR241" s="208">
        <v>-413429</v>
      </c>
      <c r="DS241" s="208">
        <v>1068</v>
      </c>
      <c r="DT241" s="208">
        <v>0</v>
      </c>
      <c r="DU241" s="208">
        <v>1068</v>
      </c>
      <c r="DV241" s="208">
        <v>0</v>
      </c>
      <c r="DW241" s="208">
        <v>0</v>
      </c>
      <c r="DX241" s="208">
        <v>0</v>
      </c>
      <c r="DY241" s="208">
        <v>0</v>
      </c>
      <c r="DZ241" s="208">
        <v>0</v>
      </c>
      <c r="EA241" s="208">
        <v>0</v>
      </c>
      <c r="EB241" s="208">
        <v>0</v>
      </c>
      <c r="EC241" s="208">
        <v>0</v>
      </c>
      <c r="ED241" s="208">
        <v>0</v>
      </c>
      <c r="EE241" s="208">
        <v>0</v>
      </c>
      <c r="EF241" s="208">
        <v>0</v>
      </c>
      <c r="EG241" s="208">
        <v>0</v>
      </c>
      <c r="EH241" s="208">
        <v>-1329</v>
      </c>
      <c r="EI241" s="208">
        <v>0</v>
      </c>
      <c r="EJ241" s="208">
        <v>-1329</v>
      </c>
      <c r="EK241" s="208">
        <v>-48684</v>
      </c>
      <c r="EL241" s="208">
        <v>0</v>
      </c>
      <c r="EM241" s="208">
        <v>-48684</v>
      </c>
      <c r="EN241" s="208">
        <v>891</v>
      </c>
      <c r="EO241" s="208">
        <v>0</v>
      </c>
      <c r="EP241" s="208">
        <v>891</v>
      </c>
      <c r="EQ241" s="208">
        <v>-1500</v>
      </c>
      <c r="ER241" s="208">
        <v>0</v>
      </c>
      <c r="ES241" s="208">
        <v>-1500</v>
      </c>
      <c r="ET241" s="208">
        <v>-616</v>
      </c>
      <c r="EU241" s="208">
        <v>0</v>
      </c>
      <c r="EV241" s="208">
        <v>-616</v>
      </c>
      <c r="EW241" s="208">
        <v>-40841</v>
      </c>
      <c r="EX241" s="208">
        <v>0</v>
      </c>
      <c r="EY241" s="208">
        <v>-40841</v>
      </c>
      <c r="EZ241" s="208">
        <v>-7781</v>
      </c>
      <c r="FA241" s="208">
        <v>0</v>
      </c>
      <c r="FB241" s="208">
        <v>-7781</v>
      </c>
      <c r="FC241" s="208">
        <v>-213295</v>
      </c>
      <c r="FD241" s="208">
        <v>0</v>
      </c>
      <c r="FE241" s="208">
        <v>-213295</v>
      </c>
      <c r="FF241" s="208">
        <v>9381</v>
      </c>
      <c r="FG241" s="208">
        <v>0</v>
      </c>
      <c r="FH241" s="208">
        <v>9381</v>
      </c>
      <c r="FI241" s="208">
        <v>-71868</v>
      </c>
      <c r="FJ241" s="208">
        <v>0</v>
      </c>
      <c r="FK241" s="208">
        <v>-71868</v>
      </c>
      <c r="FL241" s="208">
        <v>-2499</v>
      </c>
      <c r="FM241" s="208">
        <v>0</v>
      </c>
      <c r="FN241" s="208">
        <v>-2499</v>
      </c>
      <c r="FO241" s="208">
        <v>0</v>
      </c>
      <c r="FP241" s="208">
        <v>0</v>
      </c>
      <c r="FQ241" s="208">
        <v>0</v>
      </c>
      <c r="FR241" s="208">
        <v>0</v>
      </c>
      <c r="FS241" s="208">
        <v>0</v>
      </c>
      <c r="FT241" s="208">
        <v>0</v>
      </c>
      <c r="FU241" s="208">
        <v>-377073</v>
      </c>
      <c r="FV241" s="208">
        <v>0</v>
      </c>
      <c r="FW241" s="208">
        <v>-377073</v>
      </c>
      <c r="FX241" s="208">
        <v>0</v>
      </c>
      <c r="FY241" s="208">
        <v>0</v>
      </c>
      <c r="FZ241" s="208">
        <v>0</v>
      </c>
      <c r="GA241" s="208">
        <v>0</v>
      </c>
      <c r="GB241" s="208">
        <v>0</v>
      </c>
      <c r="GC241" s="208">
        <v>0</v>
      </c>
      <c r="GD241" s="208">
        <v>0</v>
      </c>
      <c r="GE241" s="208">
        <v>0</v>
      </c>
      <c r="GF241" s="208">
        <v>0</v>
      </c>
      <c r="GG241" s="208">
        <v>104649094</v>
      </c>
      <c r="GH241" s="208">
        <v>986607</v>
      </c>
      <c r="GI241" s="208">
        <v>105635701</v>
      </c>
      <c r="GJ241" s="208">
        <v>168692</v>
      </c>
      <c r="GK241" s="208">
        <v>0</v>
      </c>
      <c r="GL241" s="208">
        <v>168692</v>
      </c>
      <c r="GM241" s="208">
        <v>-13471034</v>
      </c>
      <c r="GN241" s="208">
        <v>26557</v>
      </c>
      <c r="GO241" s="208">
        <v>-13444477</v>
      </c>
      <c r="GP241" s="208">
        <v>-1877145</v>
      </c>
      <c r="GQ241" s="208">
        <v>-88416</v>
      </c>
      <c r="GR241" s="208">
        <v>-1965561</v>
      </c>
      <c r="GS241" s="208">
        <v>-241093</v>
      </c>
      <c r="GT241" s="208">
        <v>-172336</v>
      </c>
      <c r="GU241" s="208">
        <v>-413429</v>
      </c>
      <c r="GV241" s="208">
        <v>-377073</v>
      </c>
      <c r="GW241" s="208">
        <v>0</v>
      </c>
      <c r="GX241" s="208">
        <v>-377073</v>
      </c>
      <c r="GY241" s="208">
        <v>0</v>
      </c>
      <c r="GZ241" s="208">
        <v>0</v>
      </c>
      <c r="HA241" s="208">
        <v>0</v>
      </c>
      <c r="HB241" s="208">
        <v>-15797653</v>
      </c>
      <c r="HC241" s="208">
        <v>-234195</v>
      </c>
      <c r="HD241" s="208">
        <v>-16031848</v>
      </c>
      <c r="HE241" s="208">
        <v>88851441</v>
      </c>
      <c r="HF241" s="208">
        <v>752412</v>
      </c>
      <c r="HG241" s="208">
        <v>89603853</v>
      </c>
      <c r="HH241" s="187" t="s">
        <v>1054</v>
      </c>
    </row>
    <row r="242" spans="1:216" s="187" customFormat="1" x14ac:dyDescent="0.2">
      <c r="A242" s="188"/>
      <c r="B242" s="429" t="s">
        <v>562</v>
      </c>
      <c r="C242" s="429" t="s">
        <v>561</v>
      </c>
      <c r="D242" s="208">
        <v>-1124373</v>
      </c>
      <c r="E242" s="208">
        <v>0</v>
      </c>
      <c r="F242" s="208">
        <v>-1124373</v>
      </c>
      <c r="G242" s="208">
        <v>26453</v>
      </c>
      <c r="H242" s="208">
        <v>0</v>
      </c>
      <c r="I242" s="208">
        <v>26453</v>
      </c>
      <c r="J242" s="208">
        <v>200682</v>
      </c>
      <c r="K242" s="208">
        <v>0</v>
      </c>
      <c r="L242" s="208">
        <v>200682</v>
      </c>
      <c r="M242" s="208">
        <v>126441</v>
      </c>
      <c r="N242" s="208">
        <v>0</v>
      </c>
      <c r="O242" s="208">
        <v>126441</v>
      </c>
      <c r="P242" s="208">
        <v>-770797</v>
      </c>
      <c r="Q242" s="208">
        <v>0</v>
      </c>
      <c r="R242" s="208">
        <v>-770797</v>
      </c>
      <c r="S242" s="208">
        <v>-2406227</v>
      </c>
      <c r="T242" s="208">
        <v>0</v>
      </c>
      <c r="U242" s="208">
        <v>-2406227</v>
      </c>
      <c r="V242" s="208">
        <v>-6837</v>
      </c>
      <c r="W242" s="208">
        <v>0</v>
      </c>
      <c r="X242" s="208">
        <v>-6837</v>
      </c>
      <c r="Y242" s="208">
        <v>-108110</v>
      </c>
      <c r="Z242" s="208">
        <v>0</v>
      </c>
      <c r="AA242" s="208">
        <v>-108110</v>
      </c>
      <c r="AB242" s="208">
        <v>-36272</v>
      </c>
      <c r="AC242" s="208">
        <v>0</v>
      </c>
      <c r="AD242" s="208">
        <v>-36272</v>
      </c>
      <c r="AE242" s="208">
        <v>-60843</v>
      </c>
      <c r="AF242" s="208">
        <v>0</v>
      </c>
      <c r="AG242" s="208">
        <v>-60843</v>
      </c>
      <c r="AH242" s="208">
        <v>0</v>
      </c>
      <c r="AI242" s="208">
        <v>0</v>
      </c>
      <c r="AJ242" s="208">
        <v>0</v>
      </c>
      <c r="AK242" s="208">
        <v>4672</v>
      </c>
      <c r="AL242" s="208">
        <v>0</v>
      </c>
      <c r="AM242" s="208">
        <v>4672</v>
      </c>
      <c r="AN242" s="208">
        <v>621326</v>
      </c>
      <c r="AO242" s="208">
        <v>0</v>
      </c>
      <c r="AP242" s="208">
        <v>621326</v>
      </c>
      <c r="AQ242" s="208">
        <v>-5160</v>
      </c>
      <c r="AR242" s="208">
        <v>0</v>
      </c>
      <c r="AS242" s="208">
        <v>-5160</v>
      </c>
      <c r="AT242" s="208">
        <v>-1443904</v>
      </c>
      <c r="AU242" s="208">
        <v>0</v>
      </c>
      <c r="AV242" s="208">
        <v>-1443904</v>
      </c>
      <c r="AW242" s="208">
        <v>-3102</v>
      </c>
      <c r="AX242" s="208">
        <v>0</v>
      </c>
      <c r="AY242" s="208">
        <v>-3102</v>
      </c>
      <c r="AZ242" s="208">
        <v>-31301</v>
      </c>
      <c r="BA242" s="208">
        <v>0</v>
      </c>
      <c r="BB242" s="208">
        <v>-31301</v>
      </c>
      <c r="BC242" s="208">
        <v>0</v>
      </c>
      <c r="BD242" s="208">
        <v>0</v>
      </c>
      <c r="BE242" s="208">
        <v>0</v>
      </c>
      <c r="BF242" s="208">
        <v>-23476</v>
      </c>
      <c r="BG242" s="208">
        <v>0</v>
      </c>
      <c r="BH242" s="208">
        <v>-23476</v>
      </c>
      <c r="BI242" s="208">
        <v>-1372</v>
      </c>
      <c r="BJ242" s="208">
        <v>0</v>
      </c>
      <c r="BK242" s="208">
        <v>-1372</v>
      </c>
      <c r="BL242" s="208">
        <v>-3401326</v>
      </c>
      <c r="BM242" s="208">
        <v>0</v>
      </c>
      <c r="BN242" s="208">
        <v>-3401326</v>
      </c>
      <c r="BO242" s="208">
        <v>-298441</v>
      </c>
      <c r="BP242" s="208">
        <v>0</v>
      </c>
      <c r="BQ242" s="208">
        <v>-298441</v>
      </c>
      <c r="BR242" s="208">
        <v>47983</v>
      </c>
      <c r="BS242" s="208">
        <v>0</v>
      </c>
      <c r="BT242" s="208">
        <v>47983</v>
      </c>
      <c r="BU242" s="208">
        <v>-942536</v>
      </c>
      <c r="BV242" s="208">
        <v>0</v>
      </c>
      <c r="BW242" s="208">
        <v>-942536</v>
      </c>
      <c r="BX242" s="208">
        <v>-150037</v>
      </c>
      <c r="BY242" s="208">
        <v>0</v>
      </c>
      <c r="BZ242" s="208">
        <v>-150037</v>
      </c>
      <c r="CA242" s="208">
        <v>-1343031</v>
      </c>
      <c r="CB242" s="208">
        <v>0</v>
      </c>
      <c r="CC242" s="208">
        <v>-1343031</v>
      </c>
      <c r="CD242" s="208">
        <v>-47839</v>
      </c>
      <c r="CE242" s="208">
        <v>0</v>
      </c>
      <c r="CF242" s="208">
        <v>-47839</v>
      </c>
      <c r="CG242" s="208">
        <v>0</v>
      </c>
      <c r="CH242" s="208">
        <v>0</v>
      </c>
      <c r="CI242" s="208">
        <v>0</v>
      </c>
      <c r="CJ242" s="208">
        <v>-25200</v>
      </c>
      <c r="CK242" s="208">
        <v>0</v>
      </c>
      <c r="CL242" s="208">
        <v>-25200</v>
      </c>
      <c r="CM242" s="208">
        <v>0</v>
      </c>
      <c r="CN242" s="208">
        <v>0</v>
      </c>
      <c r="CO242" s="208">
        <v>0</v>
      </c>
      <c r="CP242" s="208">
        <v>0</v>
      </c>
      <c r="CQ242" s="208">
        <v>0</v>
      </c>
      <c r="CR242" s="208">
        <v>0</v>
      </c>
      <c r="CS242" s="208">
        <v>0</v>
      </c>
      <c r="CT242" s="208">
        <v>0</v>
      </c>
      <c r="CU242" s="208">
        <v>0</v>
      </c>
      <c r="CV242" s="208">
        <v>0</v>
      </c>
      <c r="CW242" s="208">
        <v>0</v>
      </c>
      <c r="CX242" s="208">
        <v>0</v>
      </c>
      <c r="CY242" s="208">
        <v>0</v>
      </c>
      <c r="CZ242" s="208">
        <v>0</v>
      </c>
      <c r="DA242" s="208">
        <v>0</v>
      </c>
      <c r="DB242" s="208">
        <v>-474</v>
      </c>
      <c r="DC242" s="208">
        <v>0</v>
      </c>
      <c r="DD242" s="208">
        <v>-474</v>
      </c>
      <c r="DE242" s="208">
        <v>0</v>
      </c>
      <c r="DF242" s="208">
        <v>0</v>
      </c>
      <c r="DG242" s="208">
        <v>0</v>
      </c>
      <c r="DH242" s="208">
        <v>0</v>
      </c>
      <c r="DI242" s="208">
        <v>0</v>
      </c>
      <c r="DJ242" s="208">
        <v>0</v>
      </c>
      <c r="DK242" s="208">
        <v>0</v>
      </c>
      <c r="DL242" s="208">
        <v>0</v>
      </c>
      <c r="DM242" s="208">
        <v>0</v>
      </c>
      <c r="DN242" s="208">
        <v>0</v>
      </c>
      <c r="DO242" s="208">
        <v>0</v>
      </c>
      <c r="DP242" s="208">
        <v>-73513</v>
      </c>
      <c r="DQ242" s="208">
        <v>0</v>
      </c>
      <c r="DR242" s="208">
        <v>-73513</v>
      </c>
      <c r="DS242" s="208">
        <v>0</v>
      </c>
      <c r="DT242" s="208">
        <v>0</v>
      </c>
      <c r="DU242" s="208">
        <v>0</v>
      </c>
      <c r="DV242" s="208">
        <v>0</v>
      </c>
      <c r="DW242" s="208">
        <v>0</v>
      </c>
      <c r="DX242" s="208">
        <v>0</v>
      </c>
      <c r="DY242" s="208">
        <v>0</v>
      </c>
      <c r="DZ242" s="208">
        <v>0</v>
      </c>
      <c r="EA242" s="208">
        <v>0</v>
      </c>
      <c r="EB242" s="208">
        <v>0</v>
      </c>
      <c r="EC242" s="208">
        <v>0</v>
      </c>
      <c r="ED242" s="208">
        <v>0</v>
      </c>
      <c r="EE242" s="208">
        <v>0</v>
      </c>
      <c r="EF242" s="208">
        <v>0</v>
      </c>
      <c r="EG242" s="208">
        <v>0</v>
      </c>
      <c r="EH242" s="208">
        <v>0</v>
      </c>
      <c r="EI242" s="208">
        <v>0</v>
      </c>
      <c r="EJ242" s="208">
        <v>0</v>
      </c>
      <c r="EK242" s="208">
        <v>-22554</v>
      </c>
      <c r="EL242" s="208">
        <v>0</v>
      </c>
      <c r="EM242" s="208">
        <v>-22554</v>
      </c>
      <c r="EN242" s="208">
        <v>662.42</v>
      </c>
      <c r="EO242" s="208">
        <v>0</v>
      </c>
      <c r="EP242" s="208">
        <v>662.42</v>
      </c>
      <c r="EQ242" s="208">
        <v>0</v>
      </c>
      <c r="ER242" s="208">
        <v>0</v>
      </c>
      <c r="ES242" s="208">
        <v>0</v>
      </c>
      <c r="ET242" s="208">
        <v>0</v>
      </c>
      <c r="EU242" s="208">
        <v>0</v>
      </c>
      <c r="EV242" s="208">
        <v>0</v>
      </c>
      <c r="EW242" s="208">
        <v>-41396</v>
      </c>
      <c r="EX242" s="208">
        <v>0</v>
      </c>
      <c r="EY242" s="208">
        <v>-41396</v>
      </c>
      <c r="EZ242" s="208">
        <v>-2671</v>
      </c>
      <c r="FA242" s="208">
        <v>0</v>
      </c>
      <c r="FB242" s="208">
        <v>-2671</v>
      </c>
      <c r="FC242" s="208">
        <v>-88224</v>
      </c>
      <c r="FD242" s="208">
        <v>0</v>
      </c>
      <c r="FE242" s="208">
        <v>-88224</v>
      </c>
      <c r="FF242" s="208">
        <v>8045.79</v>
      </c>
      <c r="FG242" s="208">
        <v>0</v>
      </c>
      <c r="FH242" s="208">
        <v>8045.79</v>
      </c>
      <c r="FI242" s="208">
        <v>-37836</v>
      </c>
      <c r="FJ242" s="208">
        <v>0</v>
      </c>
      <c r="FK242" s="208">
        <v>-37836</v>
      </c>
      <c r="FL242" s="208">
        <v>35.619999999999997</v>
      </c>
      <c r="FM242" s="208">
        <v>0</v>
      </c>
      <c r="FN242" s="208">
        <v>35.619999999999997</v>
      </c>
      <c r="FO242" s="208">
        <v>0</v>
      </c>
      <c r="FP242" s="208">
        <v>0</v>
      </c>
      <c r="FQ242" s="208">
        <v>0</v>
      </c>
      <c r="FR242" s="208">
        <v>0</v>
      </c>
      <c r="FS242" s="208">
        <v>0</v>
      </c>
      <c r="FT242" s="208">
        <v>0</v>
      </c>
      <c r="FU242" s="208">
        <v>-183937</v>
      </c>
      <c r="FV242" s="208">
        <v>0</v>
      </c>
      <c r="FW242" s="208">
        <v>-183937</v>
      </c>
      <c r="FX242" s="208">
        <v>0</v>
      </c>
      <c r="FY242" s="208">
        <v>0</v>
      </c>
      <c r="FZ242" s="208">
        <v>0</v>
      </c>
      <c r="GA242" s="208">
        <v>0</v>
      </c>
      <c r="GB242" s="208">
        <v>0</v>
      </c>
      <c r="GC242" s="208">
        <v>0</v>
      </c>
      <c r="GD242" s="208">
        <v>0</v>
      </c>
      <c r="GE242" s="208">
        <v>0</v>
      </c>
      <c r="GF242" s="208">
        <v>0</v>
      </c>
      <c r="GG242" s="208">
        <v>30998711</v>
      </c>
      <c r="GH242" s="208">
        <v>0</v>
      </c>
      <c r="GI242" s="208">
        <v>30998711</v>
      </c>
      <c r="GJ242" s="208">
        <v>-770797</v>
      </c>
      <c r="GK242" s="208">
        <v>0</v>
      </c>
      <c r="GL242" s="208">
        <v>-770797</v>
      </c>
      <c r="GM242" s="208">
        <v>-3401326</v>
      </c>
      <c r="GN242" s="208">
        <v>0</v>
      </c>
      <c r="GO242" s="208">
        <v>-3401326</v>
      </c>
      <c r="GP242" s="208">
        <v>-1343031</v>
      </c>
      <c r="GQ242" s="208">
        <v>0</v>
      </c>
      <c r="GR242" s="208">
        <v>-1343031</v>
      </c>
      <c r="GS242" s="208">
        <v>-73513</v>
      </c>
      <c r="GT242" s="208">
        <v>0</v>
      </c>
      <c r="GU242" s="208">
        <v>-73513</v>
      </c>
      <c r="GV242" s="208">
        <v>-183937</v>
      </c>
      <c r="GW242" s="208">
        <v>0</v>
      </c>
      <c r="GX242" s="208">
        <v>-183937</v>
      </c>
      <c r="GY242" s="208">
        <v>0</v>
      </c>
      <c r="GZ242" s="208">
        <v>0</v>
      </c>
      <c r="HA242" s="208">
        <v>0</v>
      </c>
      <c r="HB242" s="208">
        <v>-5772604</v>
      </c>
      <c r="HC242" s="208">
        <v>0</v>
      </c>
      <c r="HD242" s="208">
        <v>-5772604</v>
      </c>
      <c r="HE242" s="208">
        <v>25226107</v>
      </c>
      <c r="HF242" s="208">
        <v>0</v>
      </c>
      <c r="HG242" s="208">
        <v>25226107</v>
      </c>
      <c r="HH242" s="187" t="s">
        <v>1054</v>
      </c>
    </row>
    <row r="243" spans="1:216" s="187" customFormat="1" x14ac:dyDescent="0.2">
      <c r="B243" s="429" t="s">
        <v>564</v>
      </c>
      <c r="C243" s="429" t="s">
        <v>563</v>
      </c>
      <c r="D243" s="208">
        <v>-1154282</v>
      </c>
      <c r="E243" s="208">
        <v>-21557</v>
      </c>
      <c r="F243" s="208">
        <v>-1175839</v>
      </c>
      <c r="G243" s="208">
        <v>18744</v>
      </c>
      <c r="H243" s="208">
        <v>-1297</v>
      </c>
      <c r="I243" s="208">
        <v>17447</v>
      </c>
      <c r="J243" s="208">
        <v>5180964</v>
      </c>
      <c r="K243" s="208">
        <v>175892</v>
      </c>
      <c r="L243" s="208">
        <v>5356856</v>
      </c>
      <c r="M243" s="208">
        <v>-282051</v>
      </c>
      <c r="N243" s="208">
        <v>-29</v>
      </c>
      <c r="O243" s="208">
        <v>-282080</v>
      </c>
      <c r="P243" s="208">
        <v>3763375</v>
      </c>
      <c r="Q243" s="208">
        <v>153009</v>
      </c>
      <c r="R243" s="208">
        <v>3916384</v>
      </c>
      <c r="S243" s="208">
        <v>-6302295</v>
      </c>
      <c r="T243" s="208">
        <v>-13031</v>
      </c>
      <c r="U243" s="208">
        <v>-6315326</v>
      </c>
      <c r="V243" s="208">
        <v>-30687</v>
      </c>
      <c r="W243" s="208">
        <v>0</v>
      </c>
      <c r="X243" s="208">
        <v>-30687</v>
      </c>
      <c r="Y243" s="208">
        <v>-345125</v>
      </c>
      <c r="Z243" s="208">
        <v>0</v>
      </c>
      <c r="AA243" s="208">
        <v>-345125</v>
      </c>
      <c r="AB243" s="208">
        <v>-106164.94</v>
      </c>
      <c r="AC243" s="208">
        <v>0</v>
      </c>
      <c r="AD243" s="208">
        <v>-106164.94</v>
      </c>
      <c r="AE243" s="208">
        <v>-213837</v>
      </c>
      <c r="AF243" s="208">
        <v>0</v>
      </c>
      <c r="AG243" s="208">
        <v>-213837</v>
      </c>
      <c r="AH243" s="208">
        <v>-836</v>
      </c>
      <c r="AI243" s="208">
        <v>0</v>
      </c>
      <c r="AJ243" s="208">
        <v>-836</v>
      </c>
      <c r="AK243" s="208">
        <v>-4729</v>
      </c>
      <c r="AL243" s="208">
        <v>0</v>
      </c>
      <c r="AM243" s="208">
        <v>-4729</v>
      </c>
      <c r="AN243" s="208">
        <v>3510300</v>
      </c>
      <c r="AO243" s="208">
        <v>364959</v>
      </c>
      <c r="AP243" s="208">
        <v>3875259</v>
      </c>
      <c r="AQ243" s="208">
        <v>-81459</v>
      </c>
      <c r="AR243" s="208">
        <v>1924</v>
      </c>
      <c r="AS243" s="208">
        <v>-79535</v>
      </c>
      <c r="AT243" s="208">
        <v>-9679008</v>
      </c>
      <c r="AU243" s="208">
        <v>-116345</v>
      </c>
      <c r="AV243" s="208">
        <v>-9795353</v>
      </c>
      <c r="AW243" s="208">
        <v>57163</v>
      </c>
      <c r="AX243" s="208">
        <v>0</v>
      </c>
      <c r="AY243" s="208">
        <v>57163</v>
      </c>
      <c r="AZ243" s="208">
        <v>-82553</v>
      </c>
      <c r="BA243" s="208">
        <v>0</v>
      </c>
      <c r="BB243" s="208">
        <v>-82553</v>
      </c>
      <c r="BC243" s="208">
        <v>-1609</v>
      </c>
      <c r="BD243" s="208">
        <v>0</v>
      </c>
      <c r="BE243" s="208">
        <v>-1609</v>
      </c>
      <c r="BF243" s="208">
        <v>-21750</v>
      </c>
      <c r="BG243" s="208">
        <v>0</v>
      </c>
      <c r="BH243" s="208">
        <v>-21750</v>
      </c>
      <c r="BI243" s="208">
        <v>-2866</v>
      </c>
      <c r="BJ243" s="208">
        <v>0</v>
      </c>
      <c r="BK243" s="208">
        <v>-2866</v>
      </c>
      <c r="BL243" s="208">
        <v>-12949202</v>
      </c>
      <c r="BM243" s="208">
        <v>237507</v>
      </c>
      <c r="BN243" s="208">
        <v>-12711695</v>
      </c>
      <c r="BO243" s="208">
        <v>-1233</v>
      </c>
      <c r="BP243" s="208">
        <v>-287732</v>
      </c>
      <c r="BQ243" s="208">
        <v>-288965</v>
      </c>
      <c r="BR243" s="208">
        <v>-81631</v>
      </c>
      <c r="BS243" s="208">
        <v>0</v>
      </c>
      <c r="BT243" s="208">
        <v>-81631</v>
      </c>
      <c r="BU243" s="208">
        <v>-6107788</v>
      </c>
      <c r="BV243" s="208">
        <v>-180229</v>
      </c>
      <c r="BW243" s="208">
        <v>-6288017</v>
      </c>
      <c r="BX243" s="208">
        <v>-132992</v>
      </c>
      <c r="BY243" s="208">
        <v>-43673</v>
      </c>
      <c r="BZ243" s="208">
        <v>-176665</v>
      </c>
      <c r="CA243" s="208">
        <v>-6323644</v>
      </c>
      <c r="CB243" s="208">
        <v>-511634</v>
      </c>
      <c r="CC243" s="208">
        <v>-6835278</v>
      </c>
      <c r="CD243" s="208">
        <v>-80982</v>
      </c>
      <c r="CE243" s="208">
        <v>0</v>
      </c>
      <c r="CF243" s="208">
        <v>-80982</v>
      </c>
      <c r="CG243" s="208">
        <v>-1248</v>
      </c>
      <c r="CH243" s="208">
        <v>0</v>
      </c>
      <c r="CI243" s="208">
        <v>-1248</v>
      </c>
      <c r="CJ243" s="208">
        <v>-24029</v>
      </c>
      <c r="CK243" s="208">
        <v>0</v>
      </c>
      <c r="CL243" s="208">
        <v>-24029</v>
      </c>
      <c r="CM243" s="208">
        <v>-162</v>
      </c>
      <c r="CN243" s="208">
        <v>0</v>
      </c>
      <c r="CO243" s="208">
        <v>-162</v>
      </c>
      <c r="CP243" s="208">
        <v>0</v>
      </c>
      <c r="CQ243" s="208">
        <v>0</v>
      </c>
      <c r="CR243" s="208">
        <v>0</v>
      </c>
      <c r="CS243" s="208">
        <v>0</v>
      </c>
      <c r="CT243" s="208">
        <v>0</v>
      </c>
      <c r="CU243" s="208">
        <v>0</v>
      </c>
      <c r="CV243" s="208">
        <v>-18507</v>
      </c>
      <c r="CW243" s="208">
        <v>0</v>
      </c>
      <c r="CX243" s="208">
        <v>-18507</v>
      </c>
      <c r="CY243" s="208">
        <v>1578</v>
      </c>
      <c r="CZ243" s="208">
        <v>0</v>
      </c>
      <c r="DA243" s="208">
        <v>1578</v>
      </c>
      <c r="DB243" s="208">
        <v>0</v>
      </c>
      <c r="DC243" s="208">
        <v>0</v>
      </c>
      <c r="DD243" s="208">
        <v>0</v>
      </c>
      <c r="DE243" s="208">
        <v>0</v>
      </c>
      <c r="DF243" s="208">
        <v>0</v>
      </c>
      <c r="DG243" s="208">
        <v>0</v>
      </c>
      <c r="DH243" s="208">
        <v>-45000</v>
      </c>
      <c r="DI243" s="208">
        <v>-5000</v>
      </c>
      <c r="DJ243" s="208">
        <v>-50000</v>
      </c>
      <c r="DK243" s="208">
        <v>-5000</v>
      </c>
      <c r="DL243" s="208">
        <v>0</v>
      </c>
      <c r="DM243" s="208">
        <v>-5000</v>
      </c>
      <c r="DN243" s="208">
        <v>0</v>
      </c>
      <c r="DO243" s="208">
        <v>0</v>
      </c>
      <c r="DP243" s="208">
        <v>-173350</v>
      </c>
      <c r="DQ243" s="208">
        <v>-5000</v>
      </c>
      <c r="DR243" s="208">
        <v>-178350</v>
      </c>
      <c r="DS243" s="208">
        <v>0</v>
      </c>
      <c r="DT243" s="208">
        <v>0</v>
      </c>
      <c r="DU243" s="208">
        <v>0</v>
      </c>
      <c r="DV243" s="208">
        <v>0</v>
      </c>
      <c r="DW243" s="208">
        <v>0</v>
      </c>
      <c r="DX243" s="208">
        <v>0</v>
      </c>
      <c r="DY243" s="208">
        <v>0</v>
      </c>
      <c r="DZ243" s="208">
        <v>0</v>
      </c>
      <c r="EA243" s="208">
        <v>0</v>
      </c>
      <c r="EB243" s="208">
        <v>0</v>
      </c>
      <c r="EC243" s="208">
        <v>0</v>
      </c>
      <c r="ED243" s="208">
        <v>0</v>
      </c>
      <c r="EE243" s="208">
        <v>0</v>
      </c>
      <c r="EF243" s="208">
        <v>0</v>
      </c>
      <c r="EG243" s="208">
        <v>0</v>
      </c>
      <c r="EH243" s="208">
        <v>0</v>
      </c>
      <c r="EI243" s="208">
        <v>0</v>
      </c>
      <c r="EJ243" s="208">
        <v>0</v>
      </c>
      <c r="EK243" s="208">
        <v>-19672</v>
      </c>
      <c r="EL243" s="208">
        <v>0</v>
      </c>
      <c r="EM243" s="208">
        <v>-19672</v>
      </c>
      <c r="EN243" s="208">
        <v>-309</v>
      </c>
      <c r="EO243" s="208">
        <v>0</v>
      </c>
      <c r="EP243" s="208">
        <v>-309</v>
      </c>
      <c r="EQ243" s="208">
        <v>0</v>
      </c>
      <c r="ER243" s="208">
        <v>0</v>
      </c>
      <c r="ES243" s="208">
        <v>0</v>
      </c>
      <c r="ET243" s="208">
        <v>0</v>
      </c>
      <c r="EU243" s="208">
        <v>0</v>
      </c>
      <c r="EV243" s="208">
        <v>0</v>
      </c>
      <c r="EW243" s="208">
        <v>-27333</v>
      </c>
      <c r="EX243" s="208">
        <v>0</v>
      </c>
      <c r="EY243" s="208">
        <v>-27333</v>
      </c>
      <c r="EZ243" s="208">
        <v>853</v>
      </c>
      <c r="FA243" s="208">
        <v>0</v>
      </c>
      <c r="FB243" s="208">
        <v>853</v>
      </c>
      <c r="FC243" s="208">
        <v>-164550</v>
      </c>
      <c r="FD243" s="208">
        <v>-10694</v>
      </c>
      <c r="FE243" s="208">
        <v>-175244</v>
      </c>
      <c r="FF243" s="208">
        <v>-101735</v>
      </c>
      <c r="FG243" s="208">
        <v>0</v>
      </c>
      <c r="FH243" s="208">
        <v>-101735</v>
      </c>
      <c r="FI243" s="208">
        <v>-81633</v>
      </c>
      <c r="FJ243" s="208">
        <v>0</v>
      </c>
      <c r="FK243" s="208">
        <v>-81633</v>
      </c>
      <c r="FL243" s="208">
        <v>2030</v>
      </c>
      <c r="FM243" s="208">
        <v>0</v>
      </c>
      <c r="FN243" s="208">
        <v>2030</v>
      </c>
      <c r="FO243" s="208">
        <v>0</v>
      </c>
      <c r="FP243" s="208">
        <v>0</v>
      </c>
      <c r="FQ243" s="208">
        <v>0</v>
      </c>
      <c r="FR243" s="208">
        <v>0</v>
      </c>
      <c r="FS243" s="208">
        <v>0</v>
      </c>
      <c r="FT243" s="208">
        <v>0</v>
      </c>
      <c r="FU243" s="208">
        <v>-392349</v>
      </c>
      <c r="FV243" s="208">
        <v>-10694</v>
      </c>
      <c r="FW243" s="208">
        <v>-403043</v>
      </c>
      <c r="FX243" s="208">
        <v>-11960</v>
      </c>
      <c r="FY243" s="208">
        <v>0</v>
      </c>
      <c r="FZ243" s="208">
        <v>-11960</v>
      </c>
      <c r="GA243" s="208">
        <v>-6014</v>
      </c>
      <c r="GB243" s="208">
        <v>0</v>
      </c>
      <c r="GC243" s="208">
        <v>-6014</v>
      </c>
      <c r="GD243" s="208">
        <v>-17974</v>
      </c>
      <c r="GE243" s="208">
        <v>0</v>
      </c>
      <c r="GF243" s="208">
        <v>-17974</v>
      </c>
      <c r="GG243" s="208">
        <v>149812417</v>
      </c>
      <c r="GH243" s="208">
        <v>13725585</v>
      </c>
      <c r="GI243" s="208">
        <v>163538002</v>
      </c>
      <c r="GJ243" s="208">
        <v>3763375</v>
      </c>
      <c r="GK243" s="208">
        <v>153009</v>
      </c>
      <c r="GL243" s="208">
        <v>3916384</v>
      </c>
      <c r="GM243" s="208">
        <v>-12949202</v>
      </c>
      <c r="GN243" s="208">
        <v>237507</v>
      </c>
      <c r="GO243" s="208">
        <v>-12711695</v>
      </c>
      <c r="GP243" s="208">
        <v>-6323644</v>
      </c>
      <c r="GQ243" s="208">
        <v>-511634</v>
      </c>
      <c r="GR243" s="208">
        <v>-6835278</v>
      </c>
      <c r="GS243" s="208">
        <v>-173350</v>
      </c>
      <c r="GT243" s="208">
        <v>-5000</v>
      </c>
      <c r="GU243" s="208">
        <v>-178350</v>
      </c>
      <c r="GV243" s="208">
        <v>-392349</v>
      </c>
      <c r="GW243" s="208">
        <v>-10694</v>
      </c>
      <c r="GX243" s="208">
        <v>-403043</v>
      </c>
      <c r="GY243" s="208">
        <v>-17974</v>
      </c>
      <c r="GZ243" s="208">
        <v>0</v>
      </c>
      <c r="HA243" s="208">
        <v>-17974</v>
      </c>
      <c r="HB243" s="208">
        <v>-16093144</v>
      </c>
      <c r="HC243" s="208">
        <v>-136812</v>
      </c>
      <c r="HD243" s="208">
        <v>-16229956</v>
      </c>
      <c r="HE243" s="208">
        <v>133719273</v>
      </c>
      <c r="HF243" s="208">
        <v>13588773</v>
      </c>
      <c r="HG243" s="208">
        <v>147308046</v>
      </c>
      <c r="HH243" s="187" t="s">
        <v>742</v>
      </c>
    </row>
    <row r="244" spans="1:216" s="187" customFormat="1" x14ac:dyDescent="0.2">
      <c r="B244" s="429" t="s">
        <v>566</v>
      </c>
      <c r="C244" s="429" t="s">
        <v>565</v>
      </c>
      <c r="D244" s="208">
        <v>-1111165</v>
      </c>
      <c r="E244" s="208">
        <v>0</v>
      </c>
      <c r="F244" s="208">
        <v>-1111165</v>
      </c>
      <c r="G244" s="208">
        <v>18937</v>
      </c>
      <c r="H244" s="208">
        <v>0</v>
      </c>
      <c r="I244" s="208">
        <v>18937</v>
      </c>
      <c r="J244" s="208">
        <v>1201714</v>
      </c>
      <c r="K244" s="208">
        <v>0</v>
      </c>
      <c r="L244" s="208">
        <v>1201714</v>
      </c>
      <c r="M244" s="208">
        <v>-10984</v>
      </c>
      <c r="N244" s="208">
        <v>0</v>
      </c>
      <c r="O244" s="208">
        <v>-10984</v>
      </c>
      <c r="P244" s="208">
        <v>98502</v>
      </c>
      <c r="Q244" s="208">
        <v>0</v>
      </c>
      <c r="R244" s="208">
        <v>98502</v>
      </c>
      <c r="S244" s="208">
        <v>-6893640</v>
      </c>
      <c r="T244" s="208">
        <v>0</v>
      </c>
      <c r="U244" s="208">
        <v>-6893640</v>
      </c>
      <c r="V244" s="208">
        <v>0</v>
      </c>
      <c r="W244" s="208">
        <v>0</v>
      </c>
      <c r="X244" s="208">
        <v>0</v>
      </c>
      <c r="Y244" s="208">
        <v>-330297</v>
      </c>
      <c r="Z244" s="208">
        <v>0</v>
      </c>
      <c r="AA244" s="208">
        <v>-330297</v>
      </c>
      <c r="AB244" s="208">
        <v>-116808</v>
      </c>
      <c r="AC244" s="208">
        <v>0</v>
      </c>
      <c r="AD244" s="208">
        <v>-116808</v>
      </c>
      <c r="AE244" s="208">
        <v>-198602</v>
      </c>
      <c r="AF244" s="208">
        <v>0</v>
      </c>
      <c r="AG244" s="208">
        <v>-198602</v>
      </c>
      <c r="AH244" s="208">
        <v>0</v>
      </c>
      <c r="AI244" s="208">
        <v>0</v>
      </c>
      <c r="AJ244" s="208">
        <v>0</v>
      </c>
      <c r="AK244" s="208">
        <v>0</v>
      </c>
      <c r="AL244" s="208">
        <v>0</v>
      </c>
      <c r="AM244" s="208">
        <v>0</v>
      </c>
      <c r="AN244" s="208">
        <v>592460</v>
      </c>
      <c r="AO244" s="208">
        <v>0</v>
      </c>
      <c r="AP244" s="208">
        <v>592460</v>
      </c>
      <c r="AQ244" s="208">
        <v>1322</v>
      </c>
      <c r="AR244" s="208">
        <v>0</v>
      </c>
      <c r="AS244" s="208">
        <v>1322</v>
      </c>
      <c r="AT244" s="208">
        <v>-2662123</v>
      </c>
      <c r="AU244" s="208">
        <v>0</v>
      </c>
      <c r="AV244" s="208">
        <v>-2662123</v>
      </c>
      <c r="AW244" s="208">
        <v>-22907</v>
      </c>
      <c r="AX244" s="208">
        <v>0</v>
      </c>
      <c r="AY244" s="208">
        <v>-22907</v>
      </c>
      <c r="AZ244" s="208">
        <v>-110712</v>
      </c>
      <c r="BA244" s="208">
        <v>0</v>
      </c>
      <c r="BB244" s="208">
        <v>-110712</v>
      </c>
      <c r="BC244" s="208">
        <v>0</v>
      </c>
      <c r="BD244" s="208">
        <v>0</v>
      </c>
      <c r="BE244" s="208">
        <v>0</v>
      </c>
      <c r="BF244" s="208">
        <v>-38989</v>
      </c>
      <c r="BG244" s="208">
        <v>0</v>
      </c>
      <c r="BH244" s="208">
        <v>-38989</v>
      </c>
      <c r="BI244" s="208">
        <v>1994</v>
      </c>
      <c r="BJ244" s="208">
        <v>0</v>
      </c>
      <c r="BK244" s="208">
        <v>1994</v>
      </c>
      <c r="BL244" s="208">
        <v>-9462892</v>
      </c>
      <c r="BM244" s="208">
        <v>0</v>
      </c>
      <c r="BN244" s="208">
        <v>-9462892</v>
      </c>
      <c r="BO244" s="208">
        <v>0</v>
      </c>
      <c r="BP244" s="208">
        <v>0</v>
      </c>
      <c r="BQ244" s="208">
        <v>0</v>
      </c>
      <c r="BR244" s="208">
        <v>-834</v>
      </c>
      <c r="BS244" s="208">
        <v>0</v>
      </c>
      <c r="BT244" s="208">
        <v>-834</v>
      </c>
      <c r="BU244" s="208">
        <v>-1096603</v>
      </c>
      <c r="BV244" s="208">
        <v>0</v>
      </c>
      <c r="BW244" s="208">
        <v>-1096603</v>
      </c>
      <c r="BX244" s="208">
        <v>-104384</v>
      </c>
      <c r="BY244" s="208">
        <v>0</v>
      </c>
      <c r="BZ244" s="208">
        <v>-104384</v>
      </c>
      <c r="CA244" s="208">
        <v>-1201821</v>
      </c>
      <c r="CB244" s="208">
        <v>0</v>
      </c>
      <c r="CC244" s="208">
        <v>-1201821</v>
      </c>
      <c r="CD244" s="208">
        <v>-98937</v>
      </c>
      <c r="CE244" s="208">
        <v>0</v>
      </c>
      <c r="CF244" s="208">
        <v>-98937</v>
      </c>
      <c r="CG244" s="208">
        <v>988</v>
      </c>
      <c r="CH244" s="208">
        <v>0</v>
      </c>
      <c r="CI244" s="208">
        <v>988</v>
      </c>
      <c r="CJ244" s="208">
        <v>-720</v>
      </c>
      <c r="CK244" s="208">
        <v>0</v>
      </c>
      <c r="CL244" s="208">
        <v>-720</v>
      </c>
      <c r="CM244" s="208">
        <v>6330</v>
      </c>
      <c r="CN244" s="208">
        <v>0</v>
      </c>
      <c r="CO244" s="208">
        <v>6330</v>
      </c>
      <c r="CP244" s="208">
        <v>-14817</v>
      </c>
      <c r="CQ244" s="208">
        <v>0</v>
      </c>
      <c r="CR244" s="208">
        <v>-14817</v>
      </c>
      <c r="CS244" s="208">
        <v>-174</v>
      </c>
      <c r="CT244" s="208">
        <v>0</v>
      </c>
      <c r="CU244" s="208">
        <v>-174</v>
      </c>
      <c r="CV244" s="208">
        <v>0</v>
      </c>
      <c r="CW244" s="208">
        <v>0</v>
      </c>
      <c r="CX244" s="208">
        <v>0</v>
      </c>
      <c r="CY244" s="208">
        <v>0</v>
      </c>
      <c r="CZ244" s="208">
        <v>0</v>
      </c>
      <c r="DA244" s="208">
        <v>0</v>
      </c>
      <c r="DB244" s="208">
        <v>0</v>
      </c>
      <c r="DC244" s="208">
        <v>0</v>
      </c>
      <c r="DD244" s="208">
        <v>0</v>
      </c>
      <c r="DE244" s="208">
        <v>0</v>
      </c>
      <c r="DF244" s="208">
        <v>0</v>
      </c>
      <c r="DG244" s="208">
        <v>0</v>
      </c>
      <c r="DH244" s="208">
        <v>0</v>
      </c>
      <c r="DI244" s="208">
        <v>0</v>
      </c>
      <c r="DJ244" s="208">
        <v>0</v>
      </c>
      <c r="DK244" s="208">
        <v>0</v>
      </c>
      <c r="DL244" s="208">
        <v>0</v>
      </c>
      <c r="DM244" s="208">
        <v>0</v>
      </c>
      <c r="DN244" s="208">
        <v>0</v>
      </c>
      <c r="DO244" s="208">
        <v>0</v>
      </c>
      <c r="DP244" s="208">
        <v>-107330</v>
      </c>
      <c r="DQ244" s="208">
        <v>0</v>
      </c>
      <c r="DR244" s="208">
        <v>-107330</v>
      </c>
      <c r="DS244" s="208">
        <v>0</v>
      </c>
      <c r="DT244" s="208">
        <v>0</v>
      </c>
      <c r="DU244" s="208">
        <v>0</v>
      </c>
      <c r="DV244" s="208">
        <v>0</v>
      </c>
      <c r="DW244" s="208">
        <v>0</v>
      </c>
      <c r="DX244" s="208">
        <v>0</v>
      </c>
      <c r="DY244" s="208">
        <v>-648</v>
      </c>
      <c r="DZ244" s="208">
        <v>0</v>
      </c>
      <c r="EA244" s="208">
        <v>-648</v>
      </c>
      <c r="EB244" s="208">
        <v>0</v>
      </c>
      <c r="EC244" s="208">
        <v>0</v>
      </c>
      <c r="ED244" s="208">
        <v>0</v>
      </c>
      <c r="EE244" s="208">
        <v>0</v>
      </c>
      <c r="EF244" s="208">
        <v>0</v>
      </c>
      <c r="EG244" s="208">
        <v>0</v>
      </c>
      <c r="EH244" s="208">
        <v>0</v>
      </c>
      <c r="EI244" s="208">
        <v>0</v>
      </c>
      <c r="EJ244" s="208">
        <v>0</v>
      </c>
      <c r="EK244" s="208">
        <v>-38989</v>
      </c>
      <c r="EL244" s="208">
        <v>0</v>
      </c>
      <c r="EM244" s="208">
        <v>-38989</v>
      </c>
      <c r="EN244" s="208">
        <v>0</v>
      </c>
      <c r="EO244" s="208">
        <v>0</v>
      </c>
      <c r="EP244" s="208">
        <v>0</v>
      </c>
      <c r="EQ244" s="208">
        <v>-4500</v>
      </c>
      <c r="ER244" s="208">
        <v>0</v>
      </c>
      <c r="ES244" s="208">
        <v>-4500</v>
      </c>
      <c r="ET244" s="208">
        <v>-2991</v>
      </c>
      <c r="EU244" s="208">
        <v>0</v>
      </c>
      <c r="EV244" s="208">
        <v>-2991</v>
      </c>
      <c r="EW244" s="208">
        <v>-32397</v>
      </c>
      <c r="EX244" s="208">
        <v>0</v>
      </c>
      <c r="EY244" s="208">
        <v>-32397</v>
      </c>
      <c r="EZ244" s="208">
        <v>3690</v>
      </c>
      <c r="FA244" s="208">
        <v>0</v>
      </c>
      <c r="FB244" s="208">
        <v>3690</v>
      </c>
      <c r="FC244" s="208">
        <v>-149102</v>
      </c>
      <c r="FD244" s="208">
        <v>0</v>
      </c>
      <c r="FE244" s="208">
        <v>-149102</v>
      </c>
      <c r="FF244" s="208">
        <v>-1010</v>
      </c>
      <c r="FG244" s="208">
        <v>0</v>
      </c>
      <c r="FH244" s="208">
        <v>-1010</v>
      </c>
      <c r="FI244" s="208">
        <v>-55019</v>
      </c>
      <c r="FJ244" s="208">
        <v>0</v>
      </c>
      <c r="FK244" s="208">
        <v>-55019</v>
      </c>
      <c r="FL244" s="208">
        <v>-4000</v>
      </c>
      <c r="FM244" s="208">
        <v>0</v>
      </c>
      <c r="FN244" s="208">
        <v>-4000</v>
      </c>
      <c r="FO244" s="208">
        <v>0</v>
      </c>
      <c r="FP244" s="208">
        <v>0</v>
      </c>
      <c r="FQ244" s="208">
        <v>0</v>
      </c>
      <c r="FR244" s="208">
        <v>0</v>
      </c>
      <c r="FS244" s="208">
        <v>0</v>
      </c>
      <c r="FT244" s="208">
        <v>0</v>
      </c>
      <c r="FU244" s="208">
        <v>-284966</v>
      </c>
      <c r="FV244" s="208">
        <v>0</v>
      </c>
      <c r="FW244" s="208">
        <v>-284966</v>
      </c>
      <c r="FX244" s="208">
        <v>-23982</v>
      </c>
      <c r="FY244" s="208">
        <v>0</v>
      </c>
      <c r="FZ244" s="208">
        <v>-23982</v>
      </c>
      <c r="GA244" s="208">
        <v>-5644</v>
      </c>
      <c r="GB244" s="208">
        <v>0</v>
      </c>
      <c r="GC244" s="208">
        <v>-5644</v>
      </c>
      <c r="GD244" s="208">
        <v>-29626</v>
      </c>
      <c r="GE244" s="208">
        <v>0</v>
      </c>
      <c r="GF244" s="208">
        <v>-29626</v>
      </c>
      <c r="GG244" s="208">
        <v>41636171</v>
      </c>
      <c r="GH244" s="208">
        <v>0</v>
      </c>
      <c r="GI244" s="208">
        <v>41636171</v>
      </c>
      <c r="GJ244" s="208">
        <v>98502</v>
      </c>
      <c r="GK244" s="208">
        <v>0</v>
      </c>
      <c r="GL244" s="208">
        <v>98502</v>
      </c>
      <c r="GM244" s="208">
        <v>-9462892</v>
      </c>
      <c r="GN244" s="208">
        <v>0</v>
      </c>
      <c r="GO244" s="208">
        <v>-9462892</v>
      </c>
      <c r="GP244" s="208">
        <v>-1201821</v>
      </c>
      <c r="GQ244" s="208">
        <v>0</v>
      </c>
      <c r="GR244" s="208">
        <v>-1201821</v>
      </c>
      <c r="GS244" s="208">
        <v>-107330</v>
      </c>
      <c r="GT244" s="208">
        <v>0</v>
      </c>
      <c r="GU244" s="208">
        <v>-107330</v>
      </c>
      <c r="GV244" s="208">
        <v>-284966</v>
      </c>
      <c r="GW244" s="208">
        <v>0</v>
      </c>
      <c r="GX244" s="208">
        <v>-284966</v>
      </c>
      <c r="GY244" s="208">
        <v>-29626</v>
      </c>
      <c r="GZ244" s="208">
        <v>0</v>
      </c>
      <c r="HA244" s="208">
        <v>-29626</v>
      </c>
      <c r="HB244" s="208">
        <v>-10988133</v>
      </c>
      <c r="HC244" s="208">
        <v>0</v>
      </c>
      <c r="HD244" s="208">
        <v>-10988133</v>
      </c>
      <c r="HE244" s="208">
        <v>30648038</v>
      </c>
      <c r="HF244" s="208">
        <v>0</v>
      </c>
      <c r="HG244" s="208">
        <v>30648038</v>
      </c>
      <c r="HH244" s="187" t="s">
        <v>1054</v>
      </c>
    </row>
    <row r="245" spans="1:216" s="187" customFormat="1" x14ac:dyDescent="0.2">
      <c r="B245" s="429" t="s">
        <v>568</v>
      </c>
      <c r="C245" s="429" t="s">
        <v>567</v>
      </c>
      <c r="D245" s="208">
        <v>-730232</v>
      </c>
      <c r="E245" s="208">
        <v>0</v>
      </c>
      <c r="F245" s="208">
        <v>-730232</v>
      </c>
      <c r="G245" s="208">
        <v>9010</v>
      </c>
      <c r="H245" s="208">
        <v>0</v>
      </c>
      <c r="I245" s="208">
        <v>9010</v>
      </c>
      <c r="J245" s="208">
        <v>2815757</v>
      </c>
      <c r="K245" s="208">
        <v>0</v>
      </c>
      <c r="L245" s="208">
        <v>2815757</v>
      </c>
      <c r="M245" s="208">
        <v>-32086</v>
      </c>
      <c r="N245" s="208">
        <v>0</v>
      </c>
      <c r="O245" s="208">
        <v>-32086</v>
      </c>
      <c r="P245" s="208">
        <v>2062449</v>
      </c>
      <c r="Q245" s="208">
        <v>0</v>
      </c>
      <c r="R245" s="208">
        <v>2062449</v>
      </c>
      <c r="S245" s="208">
        <v>-2574140</v>
      </c>
      <c r="T245" s="208">
        <v>0</v>
      </c>
      <c r="U245" s="208">
        <v>-2574140</v>
      </c>
      <c r="V245" s="208">
        <v>-5182</v>
      </c>
      <c r="W245" s="208">
        <v>0</v>
      </c>
      <c r="X245" s="208">
        <v>-5182</v>
      </c>
      <c r="Y245" s="208">
        <v>-75474</v>
      </c>
      <c r="Z245" s="208">
        <v>0</v>
      </c>
      <c r="AA245" s="208">
        <v>-75474</v>
      </c>
      <c r="AB245" s="208">
        <v>-3163</v>
      </c>
      <c r="AC245" s="208">
        <v>0</v>
      </c>
      <c r="AD245" s="208">
        <v>-3163</v>
      </c>
      <c r="AE245" s="208">
        <v>-72311</v>
      </c>
      <c r="AF245" s="208">
        <v>0</v>
      </c>
      <c r="AG245" s="208">
        <v>-72311</v>
      </c>
      <c r="AH245" s="208">
        <v>0</v>
      </c>
      <c r="AI245" s="208">
        <v>0</v>
      </c>
      <c r="AJ245" s="208">
        <v>0</v>
      </c>
      <c r="AK245" s="208">
        <v>-5376</v>
      </c>
      <c r="AL245" s="208">
        <v>0</v>
      </c>
      <c r="AM245" s="208">
        <v>-5376</v>
      </c>
      <c r="AN245" s="208">
        <v>523182</v>
      </c>
      <c r="AO245" s="208">
        <v>0</v>
      </c>
      <c r="AP245" s="208">
        <v>523182</v>
      </c>
      <c r="AQ245" s="208">
        <v>-5450</v>
      </c>
      <c r="AR245" s="208">
        <v>0</v>
      </c>
      <c r="AS245" s="208">
        <v>-5450</v>
      </c>
      <c r="AT245" s="208">
        <v>-1333402</v>
      </c>
      <c r="AU245" s="208">
        <v>0</v>
      </c>
      <c r="AV245" s="208">
        <v>-1333402</v>
      </c>
      <c r="AW245" s="208">
        <v>-2044</v>
      </c>
      <c r="AX245" s="208">
        <v>0</v>
      </c>
      <c r="AY245" s="208">
        <v>-2044</v>
      </c>
      <c r="AZ245" s="208">
        <v>-53992</v>
      </c>
      <c r="BA245" s="208">
        <v>0</v>
      </c>
      <c r="BB245" s="208">
        <v>-53992</v>
      </c>
      <c r="BC245" s="208">
        <v>0</v>
      </c>
      <c r="BD245" s="208">
        <v>0</v>
      </c>
      <c r="BE245" s="208">
        <v>0</v>
      </c>
      <c r="BF245" s="208">
        <v>-28718</v>
      </c>
      <c r="BG245" s="208">
        <v>0</v>
      </c>
      <c r="BH245" s="208">
        <v>-28718</v>
      </c>
      <c r="BI245" s="208">
        <v>-53</v>
      </c>
      <c r="BJ245" s="208">
        <v>0</v>
      </c>
      <c r="BK245" s="208">
        <v>-53</v>
      </c>
      <c r="BL245" s="208">
        <v>-3550091</v>
      </c>
      <c r="BM245" s="208">
        <v>0</v>
      </c>
      <c r="BN245" s="208">
        <v>-3550091</v>
      </c>
      <c r="BO245" s="208">
        <v>-6036</v>
      </c>
      <c r="BP245" s="208">
        <v>0</v>
      </c>
      <c r="BQ245" s="208">
        <v>-6036</v>
      </c>
      <c r="BR245" s="208">
        <v>0</v>
      </c>
      <c r="BS245" s="208">
        <v>0</v>
      </c>
      <c r="BT245" s="208">
        <v>0</v>
      </c>
      <c r="BU245" s="208">
        <v>-315075</v>
      </c>
      <c r="BV245" s="208">
        <v>0</v>
      </c>
      <c r="BW245" s="208">
        <v>-315075</v>
      </c>
      <c r="BX245" s="208">
        <v>-1411</v>
      </c>
      <c r="BY245" s="208">
        <v>0</v>
      </c>
      <c r="BZ245" s="208">
        <v>-1411</v>
      </c>
      <c r="CA245" s="208">
        <v>-322522</v>
      </c>
      <c r="CB245" s="208">
        <v>0</v>
      </c>
      <c r="CC245" s="208">
        <v>-322522</v>
      </c>
      <c r="CD245" s="208">
        <v>-85252</v>
      </c>
      <c r="CE245" s="208">
        <v>0</v>
      </c>
      <c r="CF245" s="208">
        <v>-85252</v>
      </c>
      <c r="CG245" s="208">
        <v>-428</v>
      </c>
      <c r="CH245" s="208">
        <v>0</v>
      </c>
      <c r="CI245" s="208">
        <v>-428</v>
      </c>
      <c r="CJ245" s="208">
        <v>-42924</v>
      </c>
      <c r="CK245" s="208">
        <v>0</v>
      </c>
      <c r="CL245" s="208">
        <v>-42924</v>
      </c>
      <c r="CM245" s="208">
        <v>0</v>
      </c>
      <c r="CN245" s="208">
        <v>0</v>
      </c>
      <c r="CO245" s="208">
        <v>0</v>
      </c>
      <c r="CP245" s="208">
        <v>-6767</v>
      </c>
      <c r="CQ245" s="208">
        <v>0</v>
      </c>
      <c r="CR245" s="208">
        <v>-6767</v>
      </c>
      <c r="CS245" s="208">
        <v>0</v>
      </c>
      <c r="CT245" s="208">
        <v>0</v>
      </c>
      <c r="CU245" s="208">
        <v>0</v>
      </c>
      <c r="CV245" s="208">
        <v>0</v>
      </c>
      <c r="CW245" s="208">
        <v>0</v>
      </c>
      <c r="CX245" s="208">
        <v>0</v>
      </c>
      <c r="CY245" s="208">
        <v>0</v>
      </c>
      <c r="CZ245" s="208">
        <v>0</v>
      </c>
      <c r="DA245" s="208">
        <v>0</v>
      </c>
      <c r="DB245" s="208">
        <v>0</v>
      </c>
      <c r="DC245" s="208">
        <v>0</v>
      </c>
      <c r="DD245" s="208">
        <v>0</v>
      </c>
      <c r="DE245" s="208">
        <v>0</v>
      </c>
      <c r="DF245" s="208">
        <v>0</v>
      </c>
      <c r="DG245" s="208">
        <v>0</v>
      </c>
      <c r="DH245" s="208">
        <v>0</v>
      </c>
      <c r="DI245" s="208">
        <v>0</v>
      </c>
      <c r="DJ245" s="208">
        <v>0</v>
      </c>
      <c r="DK245" s="208">
        <v>0</v>
      </c>
      <c r="DL245" s="208">
        <v>0</v>
      </c>
      <c r="DM245" s="208">
        <v>0</v>
      </c>
      <c r="DN245" s="208">
        <v>0</v>
      </c>
      <c r="DO245" s="208">
        <v>0</v>
      </c>
      <c r="DP245" s="208">
        <v>-135371</v>
      </c>
      <c r="DQ245" s="208">
        <v>0</v>
      </c>
      <c r="DR245" s="208">
        <v>-135371</v>
      </c>
      <c r="DS245" s="208">
        <v>0</v>
      </c>
      <c r="DT245" s="208">
        <v>0</v>
      </c>
      <c r="DU245" s="208">
        <v>0</v>
      </c>
      <c r="DV245" s="208">
        <v>0</v>
      </c>
      <c r="DW245" s="208">
        <v>0</v>
      </c>
      <c r="DX245" s="208">
        <v>0</v>
      </c>
      <c r="DY245" s="208">
        <v>597</v>
      </c>
      <c r="DZ245" s="208">
        <v>0</v>
      </c>
      <c r="EA245" s="208">
        <v>597</v>
      </c>
      <c r="EB245" s="208">
        <v>0</v>
      </c>
      <c r="EC245" s="208">
        <v>0</v>
      </c>
      <c r="ED245" s="208">
        <v>0</v>
      </c>
      <c r="EE245" s="208">
        <v>0</v>
      </c>
      <c r="EF245" s="208">
        <v>0</v>
      </c>
      <c r="EG245" s="208">
        <v>0</v>
      </c>
      <c r="EH245" s="208">
        <v>0</v>
      </c>
      <c r="EI245" s="208">
        <v>0</v>
      </c>
      <c r="EJ245" s="208">
        <v>0</v>
      </c>
      <c r="EK245" s="208">
        <v>-28317</v>
      </c>
      <c r="EL245" s="208">
        <v>0</v>
      </c>
      <c r="EM245" s="208">
        <v>-28317</v>
      </c>
      <c r="EN245" s="208">
        <v>-53</v>
      </c>
      <c r="EO245" s="208">
        <v>0</v>
      </c>
      <c r="EP245" s="208">
        <v>-53</v>
      </c>
      <c r="EQ245" s="208">
        <v>-1500</v>
      </c>
      <c r="ER245" s="208">
        <v>0</v>
      </c>
      <c r="ES245" s="208">
        <v>-1500</v>
      </c>
      <c r="ET245" s="208">
        <v>0</v>
      </c>
      <c r="EU245" s="208">
        <v>0</v>
      </c>
      <c r="EV245" s="208">
        <v>0</v>
      </c>
      <c r="EW245" s="208">
        <v>-33180</v>
      </c>
      <c r="EX245" s="208">
        <v>0</v>
      </c>
      <c r="EY245" s="208">
        <v>-33180</v>
      </c>
      <c r="EZ245" s="208">
        <v>245</v>
      </c>
      <c r="FA245" s="208">
        <v>0</v>
      </c>
      <c r="FB245" s="208">
        <v>245</v>
      </c>
      <c r="FC245" s="208">
        <v>-80581</v>
      </c>
      <c r="FD245" s="208">
        <v>0</v>
      </c>
      <c r="FE245" s="208">
        <v>-80581</v>
      </c>
      <c r="FF245" s="208">
        <v>-71447</v>
      </c>
      <c r="FG245" s="208">
        <v>0</v>
      </c>
      <c r="FH245" s="208">
        <v>-71447</v>
      </c>
      <c r="FI245" s="208">
        <v>-20603</v>
      </c>
      <c r="FJ245" s="208">
        <v>0</v>
      </c>
      <c r="FK245" s="208">
        <v>-20603</v>
      </c>
      <c r="FL245" s="208">
        <v>-104</v>
      </c>
      <c r="FM245" s="208">
        <v>0</v>
      </c>
      <c r="FN245" s="208">
        <v>-104</v>
      </c>
      <c r="FO245" s="208">
        <v>0</v>
      </c>
      <c r="FP245" s="208">
        <v>0</v>
      </c>
      <c r="FQ245" s="208">
        <v>0</v>
      </c>
      <c r="FR245" s="208">
        <v>0</v>
      </c>
      <c r="FS245" s="208">
        <v>0</v>
      </c>
      <c r="FT245" s="208">
        <v>0</v>
      </c>
      <c r="FU245" s="208">
        <v>-234943</v>
      </c>
      <c r="FV245" s="208">
        <v>0</v>
      </c>
      <c r="FW245" s="208">
        <v>-234943</v>
      </c>
      <c r="FX245" s="208">
        <v>0</v>
      </c>
      <c r="FY245" s="208">
        <v>0</v>
      </c>
      <c r="FZ245" s="208">
        <v>0</v>
      </c>
      <c r="GA245" s="208">
        <v>0</v>
      </c>
      <c r="GB245" s="208">
        <v>0</v>
      </c>
      <c r="GC245" s="208">
        <v>0</v>
      </c>
      <c r="GD245" s="208">
        <v>0</v>
      </c>
      <c r="GE245" s="208">
        <v>0</v>
      </c>
      <c r="GF245" s="208">
        <v>0</v>
      </c>
      <c r="GG245" s="208">
        <v>28792548</v>
      </c>
      <c r="GH245" s="208">
        <v>0</v>
      </c>
      <c r="GI245" s="208">
        <v>28792548</v>
      </c>
      <c r="GJ245" s="208">
        <v>2062449</v>
      </c>
      <c r="GK245" s="208">
        <v>0</v>
      </c>
      <c r="GL245" s="208">
        <v>2062449</v>
      </c>
      <c r="GM245" s="208">
        <v>-3550091</v>
      </c>
      <c r="GN245" s="208">
        <v>0</v>
      </c>
      <c r="GO245" s="208">
        <v>-3550091</v>
      </c>
      <c r="GP245" s="208">
        <v>-322522</v>
      </c>
      <c r="GQ245" s="208">
        <v>0</v>
      </c>
      <c r="GR245" s="208">
        <v>-322522</v>
      </c>
      <c r="GS245" s="208">
        <v>-135371</v>
      </c>
      <c r="GT245" s="208">
        <v>0</v>
      </c>
      <c r="GU245" s="208">
        <v>-135371</v>
      </c>
      <c r="GV245" s="208">
        <v>-234943</v>
      </c>
      <c r="GW245" s="208">
        <v>0</v>
      </c>
      <c r="GX245" s="208">
        <v>-234943</v>
      </c>
      <c r="GY245" s="208">
        <v>0</v>
      </c>
      <c r="GZ245" s="208">
        <v>0</v>
      </c>
      <c r="HA245" s="208">
        <v>0</v>
      </c>
      <c r="HB245" s="208">
        <v>-2180478</v>
      </c>
      <c r="HC245" s="208">
        <v>0</v>
      </c>
      <c r="HD245" s="208">
        <v>-2180478</v>
      </c>
      <c r="HE245" s="208">
        <v>26612070</v>
      </c>
      <c r="HF245" s="208">
        <v>0</v>
      </c>
      <c r="HG245" s="208">
        <v>26612070</v>
      </c>
      <c r="HH245" s="187" t="s">
        <v>1054</v>
      </c>
    </row>
    <row r="246" spans="1:216" s="187" customFormat="1" x14ac:dyDescent="0.2">
      <c r="B246" s="429" t="s">
        <v>570</v>
      </c>
      <c r="C246" s="429" t="s">
        <v>569</v>
      </c>
      <c r="D246" s="208">
        <v>-873659</v>
      </c>
      <c r="E246" s="208">
        <v>0</v>
      </c>
      <c r="F246" s="208">
        <v>-873659</v>
      </c>
      <c r="G246" s="208">
        <v>-1323.45</v>
      </c>
      <c r="H246" s="208">
        <v>0</v>
      </c>
      <c r="I246" s="208">
        <v>-1323.45</v>
      </c>
      <c r="J246" s="208">
        <v>769761</v>
      </c>
      <c r="K246" s="208">
        <v>0</v>
      </c>
      <c r="L246" s="208">
        <v>769761</v>
      </c>
      <c r="M246" s="208">
        <v>14673</v>
      </c>
      <c r="N246" s="208">
        <v>0</v>
      </c>
      <c r="O246" s="208">
        <v>14673</v>
      </c>
      <c r="P246" s="208">
        <v>-90548</v>
      </c>
      <c r="Q246" s="208">
        <v>0</v>
      </c>
      <c r="R246" s="208">
        <v>-90548</v>
      </c>
      <c r="S246" s="208">
        <v>-4711553</v>
      </c>
      <c r="T246" s="208">
        <v>0</v>
      </c>
      <c r="U246" s="208">
        <v>-4711553</v>
      </c>
      <c r="V246" s="208">
        <v>0</v>
      </c>
      <c r="W246" s="208">
        <v>0</v>
      </c>
      <c r="X246" s="208">
        <v>0</v>
      </c>
      <c r="Y246" s="208">
        <v>-154577</v>
      </c>
      <c r="Z246" s="208">
        <v>0</v>
      </c>
      <c r="AA246" s="208">
        <v>-154577</v>
      </c>
      <c r="AB246" s="208">
        <v>0</v>
      </c>
      <c r="AC246" s="208">
        <v>0</v>
      </c>
      <c r="AD246" s="208">
        <v>0</v>
      </c>
      <c r="AE246" s="208">
        <v>0</v>
      </c>
      <c r="AF246" s="208">
        <v>0</v>
      </c>
      <c r="AG246" s="208">
        <v>0</v>
      </c>
      <c r="AH246" s="208">
        <v>0</v>
      </c>
      <c r="AI246" s="208">
        <v>0</v>
      </c>
      <c r="AJ246" s="208">
        <v>0</v>
      </c>
      <c r="AK246" s="208">
        <v>0</v>
      </c>
      <c r="AL246" s="208">
        <v>0</v>
      </c>
      <c r="AM246" s="208">
        <v>0</v>
      </c>
      <c r="AN246" s="208">
        <v>906559</v>
      </c>
      <c r="AO246" s="208">
        <v>0</v>
      </c>
      <c r="AP246" s="208">
        <v>906559</v>
      </c>
      <c r="AQ246" s="208">
        <v>28</v>
      </c>
      <c r="AR246" s="208">
        <v>0</v>
      </c>
      <c r="AS246" s="208">
        <v>28</v>
      </c>
      <c r="AT246" s="208">
        <v>-3924213</v>
      </c>
      <c r="AU246" s="208">
        <v>0</v>
      </c>
      <c r="AV246" s="208">
        <v>-3924213</v>
      </c>
      <c r="AW246" s="208">
        <v>8322</v>
      </c>
      <c r="AX246" s="208">
        <v>0</v>
      </c>
      <c r="AY246" s="208">
        <v>8322</v>
      </c>
      <c r="AZ246" s="208">
        <v>-125640</v>
      </c>
      <c r="BA246" s="208">
        <v>0</v>
      </c>
      <c r="BB246" s="208">
        <v>-125640</v>
      </c>
      <c r="BC246" s="208">
        <v>-3937</v>
      </c>
      <c r="BD246" s="208">
        <v>0</v>
      </c>
      <c r="BE246" s="208">
        <v>-3937</v>
      </c>
      <c r="BF246" s="208">
        <v>-45240</v>
      </c>
      <c r="BG246" s="208">
        <v>0</v>
      </c>
      <c r="BH246" s="208">
        <v>-45240</v>
      </c>
      <c r="BI246" s="208">
        <v>0</v>
      </c>
      <c r="BJ246" s="208">
        <v>0</v>
      </c>
      <c r="BK246" s="208">
        <v>0</v>
      </c>
      <c r="BL246" s="208">
        <v>-8050251</v>
      </c>
      <c r="BM246" s="208">
        <v>0</v>
      </c>
      <c r="BN246" s="208">
        <v>-8050251</v>
      </c>
      <c r="BO246" s="208">
        <v>0</v>
      </c>
      <c r="BP246" s="208">
        <v>0</v>
      </c>
      <c r="BQ246" s="208">
        <v>0</v>
      </c>
      <c r="BR246" s="208">
        <v>0</v>
      </c>
      <c r="BS246" s="208">
        <v>0</v>
      </c>
      <c r="BT246" s="208">
        <v>0</v>
      </c>
      <c r="BU246" s="208">
        <v>-1435364</v>
      </c>
      <c r="BV246" s="208">
        <v>0</v>
      </c>
      <c r="BW246" s="208">
        <v>-1435364</v>
      </c>
      <c r="BX246" s="208">
        <v>-39065</v>
      </c>
      <c r="BY246" s="208">
        <v>0</v>
      </c>
      <c r="BZ246" s="208">
        <v>-39065</v>
      </c>
      <c r="CA246" s="208">
        <v>-1474429</v>
      </c>
      <c r="CB246" s="208">
        <v>0</v>
      </c>
      <c r="CC246" s="208">
        <v>-1474429</v>
      </c>
      <c r="CD246" s="208">
        <v>-21516</v>
      </c>
      <c r="CE246" s="208">
        <v>0</v>
      </c>
      <c r="CF246" s="208">
        <v>-21516</v>
      </c>
      <c r="CG246" s="208">
        <v>0</v>
      </c>
      <c r="CH246" s="208">
        <v>0</v>
      </c>
      <c r="CI246" s="208">
        <v>0</v>
      </c>
      <c r="CJ246" s="208">
        <v>-2226</v>
      </c>
      <c r="CK246" s="208">
        <v>0</v>
      </c>
      <c r="CL246" s="208">
        <v>-2226</v>
      </c>
      <c r="CM246" s="208">
        <v>0</v>
      </c>
      <c r="CN246" s="208">
        <v>0</v>
      </c>
      <c r="CO246" s="208">
        <v>0</v>
      </c>
      <c r="CP246" s="208">
        <v>-1380</v>
      </c>
      <c r="CQ246" s="208">
        <v>0</v>
      </c>
      <c r="CR246" s="208">
        <v>-1380</v>
      </c>
      <c r="CS246" s="208">
        <v>0</v>
      </c>
      <c r="CT246" s="208">
        <v>0</v>
      </c>
      <c r="CU246" s="208">
        <v>0</v>
      </c>
      <c r="CV246" s="208">
        <v>0</v>
      </c>
      <c r="CW246" s="208">
        <v>0</v>
      </c>
      <c r="CX246" s="208">
        <v>0</v>
      </c>
      <c r="CY246" s="208">
        <v>0</v>
      </c>
      <c r="CZ246" s="208">
        <v>0</v>
      </c>
      <c r="DA246" s="208">
        <v>0</v>
      </c>
      <c r="DB246" s="208">
        <v>-33192</v>
      </c>
      <c r="DC246" s="208">
        <v>0</v>
      </c>
      <c r="DD246" s="208">
        <v>-33192</v>
      </c>
      <c r="DE246" s="208">
        <v>0</v>
      </c>
      <c r="DF246" s="208">
        <v>0</v>
      </c>
      <c r="DG246" s="208">
        <v>0</v>
      </c>
      <c r="DH246" s="208">
        <v>0</v>
      </c>
      <c r="DI246" s="208">
        <v>0</v>
      </c>
      <c r="DJ246" s="208">
        <v>0</v>
      </c>
      <c r="DK246" s="208">
        <v>0</v>
      </c>
      <c r="DL246" s="208">
        <v>0</v>
      </c>
      <c r="DM246" s="208">
        <v>0</v>
      </c>
      <c r="DN246" s="208">
        <v>0</v>
      </c>
      <c r="DO246" s="208">
        <v>0</v>
      </c>
      <c r="DP246" s="208">
        <v>-58314</v>
      </c>
      <c r="DQ246" s="208">
        <v>0</v>
      </c>
      <c r="DR246" s="208">
        <v>-58314</v>
      </c>
      <c r="DS246" s="208">
        <v>0</v>
      </c>
      <c r="DT246" s="208">
        <v>0</v>
      </c>
      <c r="DU246" s="208">
        <v>0</v>
      </c>
      <c r="DV246" s="208">
        <v>3078</v>
      </c>
      <c r="DW246" s="208">
        <v>0</v>
      </c>
      <c r="DX246" s="208">
        <v>3078</v>
      </c>
      <c r="DY246" s="208">
        <v>2067</v>
      </c>
      <c r="DZ246" s="208">
        <v>0</v>
      </c>
      <c r="EA246" s="208">
        <v>2067</v>
      </c>
      <c r="EB246" s="208">
        <v>0</v>
      </c>
      <c r="EC246" s="208">
        <v>0</v>
      </c>
      <c r="ED246" s="208">
        <v>0</v>
      </c>
      <c r="EE246" s="208">
        <v>0</v>
      </c>
      <c r="EF246" s="208">
        <v>0</v>
      </c>
      <c r="EG246" s="208">
        <v>0</v>
      </c>
      <c r="EH246" s="208">
        <v>0</v>
      </c>
      <c r="EI246" s="208">
        <v>0</v>
      </c>
      <c r="EJ246" s="208">
        <v>0</v>
      </c>
      <c r="EK246" s="208">
        <v>-45240</v>
      </c>
      <c r="EL246" s="208">
        <v>0</v>
      </c>
      <c r="EM246" s="208">
        <v>-45240</v>
      </c>
      <c r="EN246" s="208">
        <v>0</v>
      </c>
      <c r="EO246" s="208">
        <v>0</v>
      </c>
      <c r="EP246" s="208">
        <v>0</v>
      </c>
      <c r="EQ246" s="208">
        <v>-3000</v>
      </c>
      <c r="ER246" s="208">
        <v>0</v>
      </c>
      <c r="ES246" s="208">
        <v>-3000</v>
      </c>
      <c r="ET246" s="208">
        <v>0</v>
      </c>
      <c r="EU246" s="208">
        <v>0</v>
      </c>
      <c r="EV246" s="208">
        <v>0</v>
      </c>
      <c r="EW246" s="208">
        <v>-21765</v>
      </c>
      <c r="EX246" s="208">
        <v>0</v>
      </c>
      <c r="EY246" s="208">
        <v>-21765</v>
      </c>
      <c r="EZ246" s="208">
        <v>5.43</v>
      </c>
      <c r="FA246" s="208">
        <v>0</v>
      </c>
      <c r="FB246" s="208">
        <v>5.43</v>
      </c>
      <c r="FC246" s="208">
        <v>-119063</v>
      </c>
      <c r="FD246" s="208">
        <v>0</v>
      </c>
      <c r="FE246" s="208">
        <v>-119063</v>
      </c>
      <c r="FF246" s="208">
        <v>0</v>
      </c>
      <c r="FG246" s="208">
        <v>0</v>
      </c>
      <c r="FH246" s="208">
        <v>0</v>
      </c>
      <c r="FI246" s="208">
        <v>-51966</v>
      </c>
      <c r="FJ246" s="208">
        <v>0</v>
      </c>
      <c r="FK246" s="208">
        <v>-51966</v>
      </c>
      <c r="FL246" s="208">
        <v>2.74</v>
      </c>
      <c r="FM246" s="208">
        <v>0</v>
      </c>
      <c r="FN246" s="208">
        <v>2.74</v>
      </c>
      <c r="FO246" s="208">
        <v>0</v>
      </c>
      <c r="FP246" s="208">
        <v>0</v>
      </c>
      <c r="FQ246" s="208">
        <v>0</v>
      </c>
      <c r="FR246" s="208">
        <v>0</v>
      </c>
      <c r="FS246" s="208">
        <v>0</v>
      </c>
      <c r="FT246" s="208">
        <v>0</v>
      </c>
      <c r="FU246" s="208">
        <v>-235881</v>
      </c>
      <c r="FV246" s="208">
        <v>0</v>
      </c>
      <c r="FW246" s="208">
        <v>-235881</v>
      </c>
      <c r="FX246" s="208">
        <v>0</v>
      </c>
      <c r="FY246" s="208">
        <v>0</v>
      </c>
      <c r="FZ246" s="208">
        <v>0</v>
      </c>
      <c r="GA246" s="208">
        <v>-2882.5</v>
      </c>
      <c r="GB246" s="208">
        <v>0</v>
      </c>
      <c r="GC246" s="208">
        <v>-2882.5</v>
      </c>
      <c r="GD246" s="208">
        <v>-2883</v>
      </c>
      <c r="GE246" s="208">
        <v>0</v>
      </c>
      <c r="GF246" s="208">
        <v>-2883</v>
      </c>
      <c r="GG246" s="208">
        <v>52292341</v>
      </c>
      <c r="GH246" s="208">
        <v>0</v>
      </c>
      <c r="GI246" s="208">
        <v>52292341</v>
      </c>
      <c r="GJ246" s="208">
        <v>-90548</v>
      </c>
      <c r="GK246" s="208">
        <v>0</v>
      </c>
      <c r="GL246" s="208">
        <v>-90548</v>
      </c>
      <c r="GM246" s="208">
        <v>-8050251</v>
      </c>
      <c r="GN246" s="208">
        <v>0</v>
      </c>
      <c r="GO246" s="208">
        <v>-8050251</v>
      </c>
      <c r="GP246" s="208">
        <v>-1474429</v>
      </c>
      <c r="GQ246" s="208">
        <v>0</v>
      </c>
      <c r="GR246" s="208">
        <v>-1474429</v>
      </c>
      <c r="GS246" s="208">
        <v>-58314</v>
      </c>
      <c r="GT246" s="208">
        <v>0</v>
      </c>
      <c r="GU246" s="208">
        <v>-58314</v>
      </c>
      <c r="GV246" s="208">
        <v>-235881</v>
      </c>
      <c r="GW246" s="208">
        <v>0</v>
      </c>
      <c r="GX246" s="208">
        <v>-235881</v>
      </c>
      <c r="GY246" s="208">
        <v>-2883</v>
      </c>
      <c r="GZ246" s="208">
        <v>0</v>
      </c>
      <c r="HA246" s="208">
        <v>-2883</v>
      </c>
      <c r="HB246" s="208">
        <v>-9912306</v>
      </c>
      <c r="HC246" s="208">
        <v>0</v>
      </c>
      <c r="HD246" s="208">
        <v>-9912306</v>
      </c>
      <c r="HE246" s="208">
        <v>42380035</v>
      </c>
      <c r="HF246" s="208">
        <v>0</v>
      </c>
      <c r="HG246" s="208">
        <v>42380035</v>
      </c>
      <c r="HH246" s="187" t="s">
        <v>1054</v>
      </c>
    </row>
    <row r="247" spans="1:216" s="187" customFormat="1" x14ac:dyDescent="0.2">
      <c r="B247" s="429" t="s">
        <v>572</v>
      </c>
      <c r="C247" s="429" t="s">
        <v>571</v>
      </c>
      <c r="D247" s="208">
        <v>-1749833</v>
      </c>
      <c r="E247" s="208">
        <v>0</v>
      </c>
      <c r="F247" s="208">
        <v>-1749833</v>
      </c>
      <c r="G247" s="208">
        <v>20808</v>
      </c>
      <c r="H247" s="208">
        <v>0</v>
      </c>
      <c r="I247" s="208">
        <v>20808</v>
      </c>
      <c r="J247" s="208">
        <v>577451</v>
      </c>
      <c r="K247" s="208">
        <v>0</v>
      </c>
      <c r="L247" s="208">
        <v>577451</v>
      </c>
      <c r="M247" s="208">
        <v>-30374</v>
      </c>
      <c r="N247" s="208">
        <v>0</v>
      </c>
      <c r="O247" s="208">
        <v>-30374</v>
      </c>
      <c r="P247" s="208">
        <v>-1181948</v>
      </c>
      <c r="Q247" s="208">
        <v>0</v>
      </c>
      <c r="R247" s="208">
        <v>-1181948</v>
      </c>
      <c r="S247" s="208">
        <v>-9653478</v>
      </c>
      <c r="T247" s="208">
        <v>0</v>
      </c>
      <c r="U247" s="208">
        <v>-9653478</v>
      </c>
      <c r="V247" s="208">
        <v>0</v>
      </c>
      <c r="W247" s="208">
        <v>0</v>
      </c>
      <c r="X247" s="208">
        <v>0</v>
      </c>
      <c r="Y247" s="208">
        <v>-291975</v>
      </c>
      <c r="Z247" s="208">
        <v>0</v>
      </c>
      <c r="AA247" s="208">
        <v>-291975</v>
      </c>
      <c r="AB247" s="208">
        <v>-79070</v>
      </c>
      <c r="AC247" s="208">
        <v>0</v>
      </c>
      <c r="AD247" s="208">
        <v>-79070</v>
      </c>
      <c r="AE247" s="208">
        <v>-205917</v>
      </c>
      <c r="AF247" s="208">
        <v>0</v>
      </c>
      <c r="AG247" s="208">
        <v>-205917</v>
      </c>
      <c r="AH247" s="208">
        <v>0</v>
      </c>
      <c r="AI247" s="208">
        <v>0</v>
      </c>
      <c r="AJ247" s="208">
        <v>0</v>
      </c>
      <c r="AK247" s="208">
        <v>0</v>
      </c>
      <c r="AL247" s="208">
        <v>0</v>
      </c>
      <c r="AM247" s="208">
        <v>0</v>
      </c>
      <c r="AN247" s="208">
        <v>790908</v>
      </c>
      <c r="AO247" s="208">
        <v>0</v>
      </c>
      <c r="AP247" s="208">
        <v>790908</v>
      </c>
      <c r="AQ247" s="208">
        <v>-19593</v>
      </c>
      <c r="AR247" s="208">
        <v>0</v>
      </c>
      <c r="AS247" s="208">
        <v>-19593</v>
      </c>
      <c r="AT247" s="208">
        <v>-3151982</v>
      </c>
      <c r="AU247" s="208">
        <v>0</v>
      </c>
      <c r="AV247" s="208">
        <v>-3151982</v>
      </c>
      <c r="AW247" s="208">
        <v>60886</v>
      </c>
      <c r="AX247" s="208">
        <v>0</v>
      </c>
      <c r="AY247" s="208">
        <v>60886</v>
      </c>
      <c r="AZ247" s="208">
        <v>-115294</v>
      </c>
      <c r="BA247" s="208">
        <v>0</v>
      </c>
      <c r="BB247" s="208">
        <v>-115294</v>
      </c>
      <c r="BC247" s="208">
        <v>-1909</v>
      </c>
      <c r="BD247" s="208">
        <v>0</v>
      </c>
      <c r="BE247" s="208">
        <v>-1909</v>
      </c>
      <c r="BF247" s="208">
        <v>-19993</v>
      </c>
      <c r="BG247" s="208">
        <v>0</v>
      </c>
      <c r="BH247" s="208">
        <v>-19993</v>
      </c>
      <c r="BI247" s="208">
        <v>0</v>
      </c>
      <c r="BJ247" s="208">
        <v>0</v>
      </c>
      <c r="BK247" s="208">
        <v>0</v>
      </c>
      <c r="BL247" s="208">
        <v>-12402430</v>
      </c>
      <c r="BM247" s="208">
        <v>0</v>
      </c>
      <c r="BN247" s="208">
        <v>-12402430</v>
      </c>
      <c r="BO247" s="208">
        <v>0</v>
      </c>
      <c r="BP247" s="208">
        <v>0</v>
      </c>
      <c r="BQ247" s="208">
        <v>0</v>
      </c>
      <c r="BR247" s="208">
        <v>6787</v>
      </c>
      <c r="BS247" s="208">
        <v>0</v>
      </c>
      <c r="BT247" s="208">
        <v>6787</v>
      </c>
      <c r="BU247" s="208">
        <v>-768477</v>
      </c>
      <c r="BV247" s="208">
        <v>0</v>
      </c>
      <c r="BW247" s="208">
        <v>-768477</v>
      </c>
      <c r="BX247" s="208">
        <v>-102318</v>
      </c>
      <c r="BY247" s="208">
        <v>0</v>
      </c>
      <c r="BZ247" s="208">
        <v>-102318</v>
      </c>
      <c r="CA247" s="208">
        <v>-864008</v>
      </c>
      <c r="CB247" s="208">
        <v>0</v>
      </c>
      <c r="CC247" s="208">
        <v>-864008</v>
      </c>
      <c r="CD247" s="208">
        <v>-73207</v>
      </c>
      <c r="CE247" s="208">
        <v>0</v>
      </c>
      <c r="CF247" s="208">
        <v>-73207</v>
      </c>
      <c r="CG247" s="208">
        <v>4409</v>
      </c>
      <c r="CH247" s="208">
        <v>0</v>
      </c>
      <c r="CI247" s="208">
        <v>4409</v>
      </c>
      <c r="CJ247" s="208">
        <v>-22982</v>
      </c>
      <c r="CK247" s="208">
        <v>0</v>
      </c>
      <c r="CL247" s="208">
        <v>-22982</v>
      </c>
      <c r="CM247" s="208">
        <v>336</v>
      </c>
      <c r="CN247" s="208">
        <v>0</v>
      </c>
      <c r="CO247" s="208">
        <v>336</v>
      </c>
      <c r="CP247" s="208">
        <v>-11243</v>
      </c>
      <c r="CQ247" s="208">
        <v>0</v>
      </c>
      <c r="CR247" s="208">
        <v>-11243</v>
      </c>
      <c r="CS247" s="208">
        <v>0</v>
      </c>
      <c r="CT247" s="208">
        <v>0</v>
      </c>
      <c r="CU247" s="208">
        <v>0</v>
      </c>
      <c r="CV247" s="208">
        <v>0</v>
      </c>
      <c r="CW247" s="208">
        <v>0</v>
      </c>
      <c r="CX247" s="208">
        <v>0</v>
      </c>
      <c r="CY247" s="208">
        <v>0</v>
      </c>
      <c r="CZ247" s="208">
        <v>0</v>
      </c>
      <c r="DA247" s="208">
        <v>0</v>
      </c>
      <c r="DB247" s="208">
        <v>-9366</v>
      </c>
      <c r="DC247" s="208">
        <v>0</v>
      </c>
      <c r="DD247" s="208">
        <v>-9366</v>
      </c>
      <c r="DE247" s="208">
        <v>0</v>
      </c>
      <c r="DF247" s="208">
        <v>0</v>
      </c>
      <c r="DG247" s="208">
        <v>0</v>
      </c>
      <c r="DH247" s="208">
        <v>0</v>
      </c>
      <c r="DI247" s="208">
        <v>0</v>
      </c>
      <c r="DJ247" s="208">
        <v>0</v>
      </c>
      <c r="DK247" s="208">
        <v>0</v>
      </c>
      <c r="DL247" s="208">
        <v>0</v>
      </c>
      <c r="DM247" s="208">
        <v>0</v>
      </c>
      <c r="DN247" s="208">
        <v>0</v>
      </c>
      <c r="DO247" s="208">
        <v>0</v>
      </c>
      <c r="DP247" s="208">
        <v>-112053</v>
      </c>
      <c r="DQ247" s="208">
        <v>0</v>
      </c>
      <c r="DR247" s="208">
        <v>-112053</v>
      </c>
      <c r="DS247" s="208">
        <v>0</v>
      </c>
      <c r="DT247" s="208">
        <v>0</v>
      </c>
      <c r="DU247" s="208">
        <v>0</v>
      </c>
      <c r="DV247" s="208">
        <v>0</v>
      </c>
      <c r="DW247" s="208">
        <v>0</v>
      </c>
      <c r="DX247" s="208">
        <v>0</v>
      </c>
      <c r="DY247" s="208">
        <v>-376</v>
      </c>
      <c r="DZ247" s="208">
        <v>0</v>
      </c>
      <c r="EA247" s="208">
        <v>-376</v>
      </c>
      <c r="EB247" s="208">
        <v>-11482</v>
      </c>
      <c r="EC247" s="208">
        <v>0</v>
      </c>
      <c r="ED247" s="208">
        <v>-11482</v>
      </c>
      <c r="EE247" s="208">
        <v>41948</v>
      </c>
      <c r="EF247" s="208">
        <v>0</v>
      </c>
      <c r="EG247" s="208">
        <v>41948</v>
      </c>
      <c r="EH247" s="208">
        <v>0</v>
      </c>
      <c r="EI247" s="208">
        <v>0</v>
      </c>
      <c r="EJ247" s="208">
        <v>0</v>
      </c>
      <c r="EK247" s="208">
        <v>-19993</v>
      </c>
      <c r="EL247" s="208">
        <v>0</v>
      </c>
      <c r="EM247" s="208">
        <v>-19993</v>
      </c>
      <c r="EN247" s="208">
        <v>0</v>
      </c>
      <c r="EO247" s="208">
        <v>0</v>
      </c>
      <c r="EP247" s="208">
        <v>0</v>
      </c>
      <c r="EQ247" s="208">
        <v>-1500</v>
      </c>
      <c r="ER247" s="208">
        <v>0</v>
      </c>
      <c r="ES247" s="208">
        <v>-1500</v>
      </c>
      <c r="ET247" s="208">
        <v>0</v>
      </c>
      <c r="EU247" s="208">
        <v>0</v>
      </c>
      <c r="EV247" s="208">
        <v>0</v>
      </c>
      <c r="EW247" s="208">
        <v>-45008</v>
      </c>
      <c r="EX247" s="208">
        <v>0</v>
      </c>
      <c r="EY247" s="208">
        <v>-45008</v>
      </c>
      <c r="EZ247" s="208">
        <v>1938</v>
      </c>
      <c r="FA247" s="208">
        <v>0</v>
      </c>
      <c r="FB247" s="208">
        <v>1938</v>
      </c>
      <c r="FC247" s="208">
        <v>-155940</v>
      </c>
      <c r="FD247" s="208">
        <v>0</v>
      </c>
      <c r="FE247" s="208">
        <v>-155940</v>
      </c>
      <c r="FF247" s="208">
        <v>0</v>
      </c>
      <c r="FG247" s="208">
        <v>0</v>
      </c>
      <c r="FH247" s="208">
        <v>0</v>
      </c>
      <c r="FI247" s="208">
        <v>-118257</v>
      </c>
      <c r="FJ247" s="208">
        <v>0</v>
      </c>
      <c r="FK247" s="208">
        <v>-118257</v>
      </c>
      <c r="FL247" s="208">
        <v>-603</v>
      </c>
      <c r="FM247" s="208">
        <v>0</v>
      </c>
      <c r="FN247" s="208">
        <v>-603</v>
      </c>
      <c r="FO247" s="208">
        <v>0</v>
      </c>
      <c r="FP247" s="208">
        <v>0</v>
      </c>
      <c r="FQ247" s="208">
        <v>0</v>
      </c>
      <c r="FR247" s="208">
        <v>0</v>
      </c>
      <c r="FS247" s="208">
        <v>0</v>
      </c>
      <c r="FT247" s="208">
        <v>0</v>
      </c>
      <c r="FU247" s="208">
        <v>-309273</v>
      </c>
      <c r="FV247" s="208">
        <v>0</v>
      </c>
      <c r="FW247" s="208">
        <v>-309273</v>
      </c>
      <c r="FX247" s="208">
        <v>0</v>
      </c>
      <c r="FY247" s="208">
        <v>0</v>
      </c>
      <c r="FZ247" s="208">
        <v>0</v>
      </c>
      <c r="GA247" s="208">
        <v>0</v>
      </c>
      <c r="GB247" s="208">
        <v>0</v>
      </c>
      <c r="GC247" s="208">
        <v>0</v>
      </c>
      <c r="GD247" s="208">
        <v>0</v>
      </c>
      <c r="GE247" s="208">
        <v>0</v>
      </c>
      <c r="GF247" s="208">
        <v>0</v>
      </c>
      <c r="GG247" s="208">
        <v>57738381</v>
      </c>
      <c r="GH247" s="208">
        <v>0</v>
      </c>
      <c r="GI247" s="208">
        <v>57738381</v>
      </c>
      <c r="GJ247" s="208">
        <v>-1181948</v>
      </c>
      <c r="GK247" s="208">
        <v>0</v>
      </c>
      <c r="GL247" s="208">
        <v>-1181948</v>
      </c>
      <c r="GM247" s="208">
        <v>-12402430</v>
      </c>
      <c r="GN247" s="208">
        <v>0</v>
      </c>
      <c r="GO247" s="208">
        <v>-12402430</v>
      </c>
      <c r="GP247" s="208">
        <v>-864008</v>
      </c>
      <c r="GQ247" s="208">
        <v>0</v>
      </c>
      <c r="GR247" s="208">
        <v>-864008</v>
      </c>
      <c r="GS247" s="208">
        <v>-112053</v>
      </c>
      <c r="GT247" s="208">
        <v>0</v>
      </c>
      <c r="GU247" s="208">
        <v>-112053</v>
      </c>
      <c r="GV247" s="208">
        <v>-309273</v>
      </c>
      <c r="GW247" s="208">
        <v>0</v>
      </c>
      <c r="GX247" s="208">
        <v>-309273</v>
      </c>
      <c r="GY247" s="208">
        <v>0</v>
      </c>
      <c r="GZ247" s="208">
        <v>0</v>
      </c>
      <c r="HA247" s="208">
        <v>0</v>
      </c>
      <c r="HB247" s="208">
        <v>-14869712</v>
      </c>
      <c r="HC247" s="208">
        <v>0</v>
      </c>
      <c r="HD247" s="208">
        <v>-14869712</v>
      </c>
      <c r="HE247" s="208">
        <v>42868669</v>
      </c>
      <c r="HF247" s="208">
        <v>0</v>
      </c>
      <c r="HG247" s="208">
        <v>42868669</v>
      </c>
      <c r="HH247" s="187" t="s">
        <v>1054</v>
      </c>
    </row>
    <row r="248" spans="1:216" s="187" customFormat="1" x14ac:dyDescent="0.2">
      <c r="B248" s="429" t="s">
        <v>574</v>
      </c>
      <c r="C248" s="429" t="s">
        <v>573</v>
      </c>
      <c r="D248" s="208">
        <v>-741373</v>
      </c>
      <c r="E248" s="208">
        <v>0</v>
      </c>
      <c r="F248" s="208">
        <v>-741373</v>
      </c>
      <c r="G248" s="208">
        <v>28419</v>
      </c>
      <c r="H248" s="208">
        <v>0</v>
      </c>
      <c r="I248" s="208">
        <v>28419</v>
      </c>
      <c r="J248" s="208">
        <v>670990</v>
      </c>
      <c r="K248" s="208">
        <v>3778</v>
      </c>
      <c r="L248" s="208">
        <v>674768</v>
      </c>
      <c r="M248" s="208">
        <v>68654</v>
      </c>
      <c r="N248" s="208">
        <v>0</v>
      </c>
      <c r="O248" s="208">
        <v>68654</v>
      </c>
      <c r="P248" s="208">
        <v>26690</v>
      </c>
      <c r="Q248" s="208">
        <v>3778</v>
      </c>
      <c r="R248" s="208">
        <v>30468</v>
      </c>
      <c r="S248" s="208">
        <v>-4442710</v>
      </c>
      <c r="T248" s="208">
        <v>-5000</v>
      </c>
      <c r="U248" s="208">
        <v>-4447710</v>
      </c>
      <c r="V248" s="208">
        <v>-36696</v>
      </c>
      <c r="W248" s="208">
        <v>0</v>
      </c>
      <c r="X248" s="208">
        <v>-36696</v>
      </c>
      <c r="Y248" s="208">
        <v>-202673</v>
      </c>
      <c r="Z248" s="208">
        <v>1512</v>
      </c>
      <c r="AA248" s="208">
        <v>-201161</v>
      </c>
      <c r="AB248" s="208">
        <v>-46585</v>
      </c>
      <c r="AC248" s="208">
        <v>2359</v>
      </c>
      <c r="AD248" s="208">
        <v>-44226</v>
      </c>
      <c r="AE248" s="208">
        <v>-153612.9</v>
      </c>
      <c r="AF248" s="208">
        <v>-846.57</v>
      </c>
      <c r="AG248" s="208">
        <v>-154459.47</v>
      </c>
      <c r="AH248" s="208">
        <v>0</v>
      </c>
      <c r="AI248" s="208">
        <v>0</v>
      </c>
      <c r="AJ248" s="208">
        <v>0</v>
      </c>
      <c r="AK248" s="208">
        <v>0</v>
      </c>
      <c r="AL248" s="208">
        <v>0</v>
      </c>
      <c r="AM248" s="208">
        <v>0</v>
      </c>
      <c r="AN248" s="208">
        <v>703185</v>
      </c>
      <c r="AO248" s="208">
        <v>13489</v>
      </c>
      <c r="AP248" s="208">
        <v>716674</v>
      </c>
      <c r="AQ248" s="208">
        <v>-26628</v>
      </c>
      <c r="AR248" s="208">
        <v>65</v>
      </c>
      <c r="AS248" s="208">
        <v>-26563</v>
      </c>
      <c r="AT248" s="208">
        <v>-4228388</v>
      </c>
      <c r="AU248" s="208">
        <v>-283179</v>
      </c>
      <c r="AV248" s="208">
        <v>-4511567</v>
      </c>
      <c r="AW248" s="208">
        <v>-129036</v>
      </c>
      <c r="AX248" s="208">
        <v>0</v>
      </c>
      <c r="AY248" s="208">
        <v>-129036</v>
      </c>
      <c r="AZ248" s="208">
        <v>-73995</v>
      </c>
      <c r="BA248" s="208">
        <v>0</v>
      </c>
      <c r="BB248" s="208">
        <v>-73995</v>
      </c>
      <c r="BC248" s="208">
        <v>3618</v>
      </c>
      <c r="BD248" s="208">
        <v>0</v>
      </c>
      <c r="BE248" s="208">
        <v>3618</v>
      </c>
      <c r="BF248" s="208">
        <v>-76731</v>
      </c>
      <c r="BG248" s="208">
        <v>0</v>
      </c>
      <c r="BH248" s="208">
        <v>-76731</v>
      </c>
      <c r="BI248" s="208">
        <v>0</v>
      </c>
      <c r="BJ248" s="208">
        <v>0</v>
      </c>
      <c r="BK248" s="208">
        <v>0</v>
      </c>
      <c r="BL248" s="208">
        <v>-8473358</v>
      </c>
      <c r="BM248" s="208">
        <v>-273113</v>
      </c>
      <c r="BN248" s="208">
        <v>-8746471</v>
      </c>
      <c r="BO248" s="208">
        <v>-1495</v>
      </c>
      <c r="BP248" s="208">
        <v>0</v>
      </c>
      <c r="BQ248" s="208">
        <v>-1495</v>
      </c>
      <c r="BR248" s="208">
        <v>-19455</v>
      </c>
      <c r="BS248" s="208">
        <v>0</v>
      </c>
      <c r="BT248" s="208">
        <v>-19455</v>
      </c>
      <c r="BU248" s="208">
        <v>-682908</v>
      </c>
      <c r="BV248" s="208">
        <v>-2978</v>
      </c>
      <c r="BW248" s="208">
        <v>-685886</v>
      </c>
      <c r="BX248" s="208">
        <v>-54168</v>
      </c>
      <c r="BY248" s="208">
        <v>0</v>
      </c>
      <c r="BZ248" s="208">
        <v>-54168</v>
      </c>
      <c r="CA248" s="208">
        <v>-758026</v>
      </c>
      <c r="CB248" s="208">
        <v>-2978</v>
      </c>
      <c r="CC248" s="208">
        <v>-761004</v>
      </c>
      <c r="CD248" s="208">
        <v>-130310</v>
      </c>
      <c r="CE248" s="208">
        <v>0</v>
      </c>
      <c r="CF248" s="208">
        <v>-130310</v>
      </c>
      <c r="CG248" s="208">
        <v>-3753</v>
      </c>
      <c r="CH248" s="208">
        <v>0</v>
      </c>
      <c r="CI248" s="208">
        <v>-3753</v>
      </c>
      <c r="CJ248" s="208">
        <v>-117529</v>
      </c>
      <c r="CK248" s="208">
        <v>0</v>
      </c>
      <c r="CL248" s="208">
        <v>-117529</v>
      </c>
      <c r="CM248" s="208">
        <v>-66</v>
      </c>
      <c r="CN248" s="208">
        <v>0</v>
      </c>
      <c r="CO248" s="208">
        <v>-66</v>
      </c>
      <c r="CP248" s="208">
        <v>-4172</v>
      </c>
      <c r="CQ248" s="208">
        <v>0</v>
      </c>
      <c r="CR248" s="208">
        <v>-4172</v>
      </c>
      <c r="CS248" s="208">
        <v>905</v>
      </c>
      <c r="CT248" s="208">
        <v>0</v>
      </c>
      <c r="CU248" s="208">
        <v>905</v>
      </c>
      <c r="CV248" s="208">
        <v>-13379</v>
      </c>
      <c r="CW248" s="208">
        <v>0</v>
      </c>
      <c r="CX248" s="208">
        <v>-13379</v>
      </c>
      <c r="CY248" s="208">
        <v>0</v>
      </c>
      <c r="CZ248" s="208">
        <v>0</v>
      </c>
      <c r="DA248" s="208">
        <v>0</v>
      </c>
      <c r="DB248" s="208">
        <v>-1780</v>
      </c>
      <c r="DC248" s="208">
        <v>0</v>
      </c>
      <c r="DD248" s="208">
        <v>-1780</v>
      </c>
      <c r="DE248" s="208">
        <v>0</v>
      </c>
      <c r="DF248" s="208">
        <v>0</v>
      </c>
      <c r="DG248" s="208">
        <v>0</v>
      </c>
      <c r="DH248" s="208">
        <v>-43858</v>
      </c>
      <c r="DI248" s="208">
        <v>-256928</v>
      </c>
      <c r="DJ248" s="208">
        <v>-300786</v>
      </c>
      <c r="DK248" s="208">
        <v>-376</v>
      </c>
      <c r="DL248" s="208">
        <v>-9430</v>
      </c>
      <c r="DM248" s="208">
        <v>-9806</v>
      </c>
      <c r="DN248" s="208">
        <v>-266358</v>
      </c>
      <c r="DO248" s="208">
        <v>0</v>
      </c>
      <c r="DP248" s="208">
        <v>-314318</v>
      </c>
      <c r="DQ248" s="208">
        <v>-266358</v>
      </c>
      <c r="DR248" s="208">
        <v>-580676</v>
      </c>
      <c r="DS248" s="208">
        <v>0</v>
      </c>
      <c r="DT248" s="208">
        <v>0</v>
      </c>
      <c r="DU248" s="208">
        <v>0</v>
      </c>
      <c r="DV248" s="208">
        <v>0</v>
      </c>
      <c r="DW248" s="208">
        <v>0</v>
      </c>
      <c r="DX248" s="208">
        <v>0</v>
      </c>
      <c r="DY248" s="208">
        <v>2500</v>
      </c>
      <c r="DZ248" s="208">
        <v>0</v>
      </c>
      <c r="EA248" s="208">
        <v>2500</v>
      </c>
      <c r="EB248" s="208">
        <v>0</v>
      </c>
      <c r="EC248" s="208">
        <v>0</v>
      </c>
      <c r="ED248" s="208">
        <v>0</v>
      </c>
      <c r="EE248" s="208">
        <v>0</v>
      </c>
      <c r="EF248" s="208">
        <v>0</v>
      </c>
      <c r="EG248" s="208">
        <v>0</v>
      </c>
      <c r="EH248" s="208">
        <v>-1273</v>
      </c>
      <c r="EI248" s="208">
        <v>0</v>
      </c>
      <c r="EJ248" s="208">
        <v>-1273</v>
      </c>
      <c r="EK248" s="208">
        <v>-76731</v>
      </c>
      <c r="EL248" s="208">
        <v>0</v>
      </c>
      <c r="EM248" s="208">
        <v>-76731</v>
      </c>
      <c r="EN248" s="208">
        <v>0</v>
      </c>
      <c r="EO248" s="208">
        <v>0</v>
      </c>
      <c r="EP248" s="208">
        <v>0</v>
      </c>
      <c r="EQ248" s="208">
        <v>-1500</v>
      </c>
      <c r="ER248" s="208">
        <v>0</v>
      </c>
      <c r="ES248" s="208">
        <v>-1500</v>
      </c>
      <c r="ET248" s="208">
        <v>0</v>
      </c>
      <c r="EU248" s="208">
        <v>0</v>
      </c>
      <c r="EV248" s="208">
        <v>0</v>
      </c>
      <c r="EW248" s="208">
        <v>-32749.9</v>
      </c>
      <c r="EX248" s="208">
        <v>0</v>
      </c>
      <c r="EY248" s="208">
        <v>-32749.9</v>
      </c>
      <c r="EZ248" s="208">
        <v>0</v>
      </c>
      <c r="FA248" s="208">
        <v>0</v>
      </c>
      <c r="FB248" s="208">
        <v>0</v>
      </c>
      <c r="FC248" s="208">
        <v>-117235</v>
      </c>
      <c r="FD248" s="208">
        <v>0</v>
      </c>
      <c r="FE248" s="208">
        <v>-117235</v>
      </c>
      <c r="FF248" s="208">
        <v>450.41</v>
      </c>
      <c r="FG248" s="208">
        <v>0</v>
      </c>
      <c r="FH248" s="208">
        <v>450.41</v>
      </c>
      <c r="FI248" s="208">
        <v>-49668.5</v>
      </c>
      <c r="FJ248" s="208">
        <v>0</v>
      </c>
      <c r="FK248" s="208">
        <v>-49668.5</v>
      </c>
      <c r="FL248" s="208">
        <v>19.18</v>
      </c>
      <c r="FM248" s="208">
        <v>0</v>
      </c>
      <c r="FN248" s="208">
        <v>19.18</v>
      </c>
      <c r="FO248" s="208">
        <v>0</v>
      </c>
      <c r="FP248" s="208">
        <v>0</v>
      </c>
      <c r="FQ248" s="208">
        <v>0</v>
      </c>
      <c r="FR248" s="208">
        <v>0</v>
      </c>
      <c r="FS248" s="208">
        <v>0</v>
      </c>
      <c r="FT248" s="208">
        <v>0</v>
      </c>
      <c r="FU248" s="208">
        <v>-276188</v>
      </c>
      <c r="FV248" s="208">
        <v>0</v>
      </c>
      <c r="FW248" s="208">
        <v>-276188</v>
      </c>
      <c r="FX248" s="208">
        <v>-9411</v>
      </c>
      <c r="FY248" s="208">
        <v>0</v>
      </c>
      <c r="FZ248" s="208">
        <v>-9411</v>
      </c>
      <c r="GA248" s="208">
        <v>-1624</v>
      </c>
      <c r="GB248" s="208">
        <v>0</v>
      </c>
      <c r="GC248" s="208">
        <v>-1624</v>
      </c>
      <c r="GD248" s="208">
        <v>-11035</v>
      </c>
      <c r="GE248" s="208">
        <v>0</v>
      </c>
      <c r="GF248" s="208">
        <v>-11035</v>
      </c>
      <c r="GG248" s="208">
        <v>39915741</v>
      </c>
      <c r="GH248" s="208">
        <v>550919</v>
      </c>
      <c r="GI248" s="208">
        <v>40466660</v>
      </c>
      <c r="GJ248" s="208">
        <v>26690</v>
      </c>
      <c r="GK248" s="208">
        <v>3778</v>
      </c>
      <c r="GL248" s="208">
        <v>30468</v>
      </c>
      <c r="GM248" s="208">
        <v>-8473358</v>
      </c>
      <c r="GN248" s="208">
        <v>-273113</v>
      </c>
      <c r="GO248" s="208">
        <v>-8746471</v>
      </c>
      <c r="GP248" s="208">
        <v>-758026</v>
      </c>
      <c r="GQ248" s="208">
        <v>-2978</v>
      </c>
      <c r="GR248" s="208">
        <v>-761004</v>
      </c>
      <c r="GS248" s="208">
        <v>-314318</v>
      </c>
      <c r="GT248" s="208">
        <v>-266358</v>
      </c>
      <c r="GU248" s="208">
        <v>-580676</v>
      </c>
      <c r="GV248" s="208">
        <v>-276188</v>
      </c>
      <c r="GW248" s="208">
        <v>0</v>
      </c>
      <c r="GX248" s="208">
        <v>-276188</v>
      </c>
      <c r="GY248" s="208">
        <v>-11035</v>
      </c>
      <c r="GZ248" s="208">
        <v>0</v>
      </c>
      <c r="HA248" s="208">
        <v>-11035</v>
      </c>
      <c r="HB248" s="208">
        <v>-9806235</v>
      </c>
      <c r="HC248" s="208">
        <v>-538671</v>
      </c>
      <c r="HD248" s="208">
        <v>-10344906</v>
      </c>
      <c r="HE248" s="208">
        <v>30109506</v>
      </c>
      <c r="HF248" s="208">
        <v>12248</v>
      </c>
      <c r="HG248" s="208">
        <v>30121754</v>
      </c>
      <c r="HH248" s="187" t="s">
        <v>1054</v>
      </c>
    </row>
    <row r="249" spans="1:216" s="187" customFormat="1" x14ac:dyDescent="0.2">
      <c r="B249" s="429" t="s">
        <v>576</v>
      </c>
      <c r="C249" s="429" t="s">
        <v>575</v>
      </c>
      <c r="D249" s="208">
        <v>-558487</v>
      </c>
      <c r="E249" s="208">
        <v>0</v>
      </c>
      <c r="F249" s="208">
        <v>-558487</v>
      </c>
      <c r="G249" s="208">
        <v>-22131</v>
      </c>
      <c r="H249" s="208">
        <v>0</v>
      </c>
      <c r="I249" s="208">
        <v>-22131</v>
      </c>
      <c r="J249" s="208">
        <v>246877</v>
      </c>
      <c r="K249" s="208">
        <v>0</v>
      </c>
      <c r="L249" s="208">
        <v>246877</v>
      </c>
      <c r="M249" s="208">
        <v>2789</v>
      </c>
      <c r="N249" s="208">
        <v>0</v>
      </c>
      <c r="O249" s="208">
        <v>2789</v>
      </c>
      <c r="P249" s="208">
        <v>-330952</v>
      </c>
      <c r="Q249" s="208">
        <v>0</v>
      </c>
      <c r="R249" s="208">
        <v>-330952</v>
      </c>
      <c r="S249" s="208">
        <v>-3222383</v>
      </c>
      <c r="T249" s="208">
        <v>0</v>
      </c>
      <c r="U249" s="208">
        <v>-3222383</v>
      </c>
      <c r="V249" s="208">
        <v>0</v>
      </c>
      <c r="W249" s="208">
        <v>0</v>
      </c>
      <c r="X249" s="208">
        <v>0</v>
      </c>
      <c r="Y249" s="208">
        <v>-148223</v>
      </c>
      <c r="Z249" s="208">
        <v>0</v>
      </c>
      <c r="AA249" s="208">
        <v>-148223</v>
      </c>
      <c r="AB249" s="208">
        <v>-33913</v>
      </c>
      <c r="AC249" s="208">
        <v>0</v>
      </c>
      <c r="AD249" s="208">
        <v>-33913</v>
      </c>
      <c r="AE249" s="208">
        <v>-108163</v>
      </c>
      <c r="AF249" s="208">
        <v>0</v>
      </c>
      <c r="AG249" s="208">
        <v>-108163</v>
      </c>
      <c r="AH249" s="208">
        <v>0</v>
      </c>
      <c r="AI249" s="208">
        <v>0</v>
      </c>
      <c r="AJ249" s="208">
        <v>0</v>
      </c>
      <c r="AK249" s="208">
        <v>0</v>
      </c>
      <c r="AL249" s="208">
        <v>0</v>
      </c>
      <c r="AM249" s="208">
        <v>0</v>
      </c>
      <c r="AN249" s="208">
        <v>531669</v>
      </c>
      <c r="AO249" s="208">
        <v>0</v>
      </c>
      <c r="AP249" s="208">
        <v>531669</v>
      </c>
      <c r="AQ249" s="208">
        <v>-2606</v>
      </c>
      <c r="AR249" s="208">
        <v>0</v>
      </c>
      <c r="AS249" s="208">
        <v>-2606</v>
      </c>
      <c r="AT249" s="208">
        <v>-1957476</v>
      </c>
      <c r="AU249" s="208">
        <v>0</v>
      </c>
      <c r="AV249" s="208">
        <v>-1957476</v>
      </c>
      <c r="AW249" s="208">
        <v>-71126</v>
      </c>
      <c r="AX249" s="208">
        <v>0</v>
      </c>
      <c r="AY249" s="208">
        <v>-71126</v>
      </c>
      <c r="AZ249" s="208">
        <v>-26286</v>
      </c>
      <c r="BA249" s="208">
        <v>0</v>
      </c>
      <c r="BB249" s="208">
        <v>-26286</v>
      </c>
      <c r="BC249" s="208">
        <v>0</v>
      </c>
      <c r="BD249" s="208">
        <v>0</v>
      </c>
      <c r="BE249" s="208">
        <v>0</v>
      </c>
      <c r="BF249" s="208">
        <v>0</v>
      </c>
      <c r="BG249" s="208">
        <v>0</v>
      </c>
      <c r="BH249" s="208">
        <v>0</v>
      </c>
      <c r="BI249" s="208">
        <v>0</v>
      </c>
      <c r="BJ249" s="208">
        <v>0</v>
      </c>
      <c r="BK249" s="208">
        <v>0</v>
      </c>
      <c r="BL249" s="208">
        <v>-4896431</v>
      </c>
      <c r="BM249" s="208">
        <v>0</v>
      </c>
      <c r="BN249" s="208">
        <v>-4896431</v>
      </c>
      <c r="BO249" s="208">
        <v>0</v>
      </c>
      <c r="BP249" s="208">
        <v>0</v>
      </c>
      <c r="BQ249" s="208">
        <v>0</v>
      </c>
      <c r="BR249" s="208">
        <v>-23330</v>
      </c>
      <c r="BS249" s="208">
        <v>0</v>
      </c>
      <c r="BT249" s="208">
        <v>-23330</v>
      </c>
      <c r="BU249" s="208">
        <v>-478095</v>
      </c>
      <c r="BV249" s="208">
        <v>0</v>
      </c>
      <c r="BW249" s="208">
        <v>-478095</v>
      </c>
      <c r="BX249" s="208">
        <v>-42346</v>
      </c>
      <c r="BY249" s="208">
        <v>0</v>
      </c>
      <c r="BZ249" s="208">
        <v>-42346</v>
      </c>
      <c r="CA249" s="208">
        <v>-543771</v>
      </c>
      <c r="CB249" s="208">
        <v>0</v>
      </c>
      <c r="CC249" s="208">
        <v>-543771</v>
      </c>
      <c r="CD249" s="208">
        <v>-37847</v>
      </c>
      <c r="CE249" s="208">
        <v>0</v>
      </c>
      <c r="CF249" s="208">
        <v>-37847</v>
      </c>
      <c r="CG249" s="208">
        <v>-1480</v>
      </c>
      <c r="CH249" s="208">
        <v>0</v>
      </c>
      <c r="CI249" s="208">
        <v>-1480</v>
      </c>
      <c r="CJ249" s="208">
        <v>0</v>
      </c>
      <c r="CK249" s="208">
        <v>0</v>
      </c>
      <c r="CL249" s="208">
        <v>0</v>
      </c>
      <c r="CM249" s="208">
        <v>0</v>
      </c>
      <c r="CN249" s="208">
        <v>0</v>
      </c>
      <c r="CO249" s="208">
        <v>0</v>
      </c>
      <c r="CP249" s="208">
        <v>-2840</v>
      </c>
      <c r="CQ249" s="208">
        <v>0</v>
      </c>
      <c r="CR249" s="208">
        <v>-2840</v>
      </c>
      <c r="CS249" s="208">
        <v>0</v>
      </c>
      <c r="CT249" s="208">
        <v>0</v>
      </c>
      <c r="CU249" s="208">
        <v>0</v>
      </c>
      <c r="CV249" s="208">
        <v>0</v>
      </c>
      <c r="CW249" s="208">
        <v>0</v>
      </c>
      <c r="CX249" s="208">
        <v>0</v>
      </c>
      <c r="CY249" s="208">
        <v>0</v>
      </c>
      <c r="CZ249" s="208">
        <v>0</v>
      </c>
      <c r="DA249" s="208">
        <v>0</v>
      </c>
      <c r="DB249" s="208">
        <v>0</v>
      </c>
      <c r="DC249" s="208">
        <v>0</v>
      </c>
      <c r="DD249" s="208">
        <v>0</v>
      </c>
      <c r="DE249" s="208">
        <v>653</v>
      </c>
      <c r="DF249" s="208">
        <v>0</v>
      </c>
      <c r="DG249" s="208">
        <v>653</v>
      </c>
      <c r="DH249" s="208">
        <v>0</v>
      </c>
      <c r="DI249" s="208">
        <v>0</v>
      </c>
      <c r="DJ249" s="208">
        <v>0</v>
      </c>
      <c r="DK249" s="208">
        <v>0</v>
      </c>
      <c r="DL249" s="208">
        <v>0</v>
      </c>
      <c r="DM249" s="208">
        <v>0</v>
      </c>
      <c r="DN249" s="208">
        <v>0</v>
      </c>
      <c r="DO249" s="208">
        <v>0</v>
      </c>
      <c r="DP249" s="208">
        <v>-41514</v>
      </c>
      <c r="DQ249" s="208">
        <v>0</v>
      </c>
      <c r="DR249" s="208">
        <v>-41514</v>
      </c>
      <c r="DS249" s="208">
        <v>0</v>
      </c>
      <c r="DT249" s="208">
        <v>0</v>
      </c>
      <c r="DU249" s="208">
        <v>0</v>
      </c>
      <c r="DV249" s="208">
        <v>0</v>
      </c>
      <c r="DW249" s="208">
        <v>0</v>
      </c>
      <c r="DX249" s="208">
        <v>0</v>
      </c>
      <c r="DY249" s="208">
        <v>0</v>
      </c>
      <c r="DZ249" s="208">
        <v>0</v>
      </c>
      <c r="EA249" s="208">
        <v>0</v>
      </c>
      <c r="EB249" s="208">
        <v>0</v>
      </c>
      <c r="EC249" s="208">
        <v>0</v>
      </c>
      <c r="ED249" s="208">
        <v>0</v>
      </c>
      <c r="EE249" s="208">
        <v>0</v>
      </c>
      <c r="EF249" s="208">
        <v>0</v>
      </c>
      <c r="EG249" s="208">
        <v>0</v>
      </c>
      <c r="EH249" s="208">
        <v>0</v>
      </c>
      <c r="EI249" s="208">
        <v>0</v>
      </c>
      <c r="EJ249" s="208">
        <v>0</v>
      </c>
      <c r="EK249" s="208">
        <v>-85986</v>
      </c>
      <c r="EL249" s="208">
        <v>0</v>
      </c>
      <c r="EM249" s="208">
        <v>-85986</v>
      </c>
      <c r="EN249" s="208">
        <v>5101</v>
      </c>
      <c r="EO249" s="208">
        <v>0</v>
      </c>
      <c r="EP249" s="208">
        <v>5101</v>
      </c>
      <c r="EQ249" s="208">
        <v>0</v>
      </c>
      <c r="ER249" s="208">
        <v>0</v>
      </c>
      <c r="ES249" s="208">
        <v>0</v>
      </c>
      <c r="ET249" s="208">
        <v>0</v>
      </c>
      <c r="EU249" s="208">
        <v>0</v>
      </c>
      <c r="EV249" s="208">
        <v>0</v>
      </c>
      <c r="EW249" s="208">
        <v>-32418</v>
      </c>
      <c r="EX249" s="208">
        <v>0</v>
      </c>
      <c r="EY249" s="208">
        <v>-32418</v>
      </c>
      <c r="EZ249" s="208">
        <v>-290</v>
      </c>
      <c r="FA249" s="208">
        <v>0</v>
      </c>
      <c r="FB249" s="208">
        <v>-290</v>
      </c>
      <c r="FC249" s="208">
        <v>-42810</v>
      </c>
      <c r="FD249" s="208">
        <v>0</v>
      </c>
      <c r="FE249" s="208">
        <v>-42810</v>
      </c>
      <c r="FF249" s="208">
        <v>15241</v>
      </c>
      <c r="FG249" s="208">
        <v>0</v>
      </c>
      <c r="FH249" s="208">
        <v>15241</v>
      </c>
      <c r="FI249" s="208">
        <v>-43669</v>
      </c>
      <c r="FJ249" s="208">
        <v>0</v>
      </c>
      <c r="FK249" s="208">
        <v>-43669</v>
      </c>
      <c r="FL249" s="208">
        <v>-2756</v>
      </c>
      <c r="FM249" s="208">
        <v>0</v>
      </c>
      <c r="FN249" s="208">
        <v>-2756</v>
      </c>
      <c r="FO249" s="208">
        <v>0</v>
      </c>
      <c r="FP249" s="208">
        <v>0</v>
      </c>
      <c r="FQ249" s="208">
        <v>0</v>
      </c>
      <c r="FR249" s="208">
        <v>0</v>
      </c>
      <c r="FS249" s="208">
        <v>0</v>
      </c>
      <c r="FT249" s="208">
        <v>0</v>
      </c>
      <c r="FU249" s="208">
        <v>-187587</v>
      </c>
      <c r="FV249" s="208">
        <v>0</v>
      </c>
      <c r="FW249" s="208">
        <v>-187587</v>
      </c>
      <c r="FX249" s="208">
        <v>0</v>
      </c>
      <c r="FY249" s="208">
        <v>0</v>
      </c>
      <c r="FZ249" s="208">
        <v>0</v>
      </c>
      <c r="GA249" s="208">
        <v>0</v>
      </c>
      <c r="GB249" s="208">
        <v>0</v>
      </c>
      <c r="GC249" s="208">
        <v>0</v>
      </c>
      <c r="GD249" s="208">
        <v>0</v>
      </c>
      <c r="GE249" s="208">
        <v>0</v>
      </c>
      <c r="GF249" s="208">
        <v>0</v>
      </c>
      <c r="GG249" s="208">
        <v>30215676</v>
      </c>
      <c r="GH249" s="208">
        <v>0</v>
      </c>
      <c r="GI249" s="208">
        <v>30215676</v>
      </c>
      <c r="GJ249" s="208">
        <v>-330952</v>
      </c>
      <c r="GK249" s="208">
        <v>0</v>
      </c>
      <c r="GL249" s="208">
        <v>-330952</v>
      </c>
      <c r="GM249" s="208">
        <v>-4896431</v>
      </c>
      <c r="GN249" s="208">
        <v>0</v>
      </c>
      <c r="GO249" s="208">
        <v>-4896431</v>
      </c>
      <c r="GP249" s="208">
        <v>-543771</v>
      </c>
      <c r="GQ249" s="208">
        <v>0</v>
      </c>
      <c r="GR249" s="208">
        <v>-543771</v>
      </c>
      <c r="GS249" s="208">
        <v>-41514</v>
      </c>
      <c r="GT249" s="208">
        <v>0</v>
      </c>
      <c r="GU249" s="208">
        <v>-41514</v>
      </c>
      <c r="GV249" s="208">
        <v>-187587</v>
      </c>
      <c r="GW249" s="208">
        <v>0</v>
      </c>
      <c r="GX249" s="208">
        <v>-187587</v>
      </c>
      <c r="GY249" s="208">
        <v>0</v>
      </c>
      <c r="GZ249" s="208">
        <v>0</v>
      </c>
      <c r="HA249" s="208">
        <v>0</v>
      </c>
      <c r="HB249" s="208">
        <v>-6000255</v>
      </c>
      <c r="HC249" s="208">
        <v>0</v>
      </c>
      <c r="HD249" s="208">
        <v>-6000255</v>
      </c>
      <c r="HE249" s="208">
        <v>24215421</v>
      </c>
      <c r="HF249" s="208">
        <v>0</v>
      </c>
      <c r="HG249" s="208">
        <v>24215421</v>
      </c>
      <c r="HH249" s="187" t="s">
        <v>1054</v>
      </c>
    </row>
    <row r="250" spans="1:216" s="187" customFormat="1" x14ac:dyDescent="0.2">
      <c r="B250" s="429" t="s">
        <v>578</v>
      </c>
      <c r="C250" s="429" t="s">
        <v>577</v>
      </c>
      <c r="D250" s="208">
        <v>-1275600</v>
      </c>
      <c r="E250" s="208">
        <v>0</v>
      </c>
      <c r="F250" s="208">
        <v>-1275600</v>
      </c>
      <c r="G250" s="208">
        <v>-81455</v>
      </c>
      <c r="H250" s="208">
        <v>0</v>
      </c>
      <c r="I250" s="208">
        <v>-81455</v>
      </c>
      <c r="J250" s="208">
        <v>507362</v>
      </c>
      <c r="K250" s="208">
        <v>0</v>
      </c>
      <c r="L250" s="208">
        <v>507362</v>
      </c>
      <c r="M250" s="208">
        <v>67912</v>
      </c>
      <c r="N250" s="208">
        <v>0</v>
      </c>
      <c r="O250" s="208">
        <v>67912</v>
      </c>
      <c r="P250" s="208">
        <v>-781781</v>
      </c>
      <c r="Q250" s="208">
        <v>0</v>
      </c>
      <c r="R250" s="208">
        <v>-781781</v>
      </c>
      <c r="S250" s="208">
        <v>-4169466</v>
      </c>
      <c r="T250" s="208">
        <v>0</v>
      </c>
      <c r="U250" s="208">
        <v>-4169466</v>
      </c>
      <c r="V250" s="208">
        <v>0</v>
      </c>
      <c r="W250" s="208">
        <v>0</v>
      </c>
      <c r="X250" s="208">
        <v>0</v>
      </c>
      <c r="Y250" s="208">
        <v>-51619</v>
      </c>
      <c r="Z250" s="208">
        <v>0</v>
      </c>
      <c r="AA250" s="208">
        <v>-51619</v>
      </c>
      <c r="AB250" s="208">
        <v>-23228</v>
      </c>
      <c r="AC250" s="208">
        <v>0</v>
      </c>
      <c r="AD250" s="208">
        <v>-23228</v>
      </c>
      <c r="AE250" s="208">
        <v>-27314</v>
      </c>
      <c r="AF250" s="208">
        <v>0</v>
      </c>
      <c r="AG250" s="208">
        <v>-27314</v>
      </c>
      <c r="AH250" s="208">
        <v>0</v>
      </c>
      <c r="AI250" s="208">
        <v>0</v>
      </c>
      <c r="AJ250" s="208">
        <v>0</v>
      </c>
      <c r="AK250" s="208">
        <v>0</v>
      </c>
      <c r="AL250" s="208">
        <v>0</v>
      </c>
      <c r="AM250" s="208">
        <v>0</v>
      </c>
      <c r="AN250" s="208">
        <v>1030854</v>
      </c>
      <c r="AO250" s="208">
        <v>6279</v>
      </c>
      <c r="AP250" s="208">
        <v>1037133</v>
      </c>
      <c r="AQ250" s="208">
        <v>-11719</v>
      </c>
      <c r="AR250" s="208">
        <v>0</v>
      </c>
      <c r="AS250" s="208">
        <v>-11719</v>
      </c>
      <c r="AT250" s="208">
        <v>-5295644</v>
      </c>
      <c r="AU250" s="208">
        <v>0</v>
      </c>
      <c r="AV250" s="208">
        <v>-5295644</v>
      </c>
      <c r="AW250" s="208">
        <v>385023</v>
      </c>
      <c r="AX250" s="208">
        <v>0</v>
      </c>
      <c r="AY250" s="208">
        <v>385023</v>
      </c>
      <c r="AZ250" s="208">
        <v>-67110</v>
      </c>
      <c r="BA250" s="208">
        <v>0</v>
      </c>
      <c r="BB250" s="208">
        <v>-67110</v>
      </c>
      <c r="BC250" s="208">
        <v>22090</v>
      </c>
      <c r="BD250" s="208">
        <v>0</v>
      </c>
      <c r="BE250" s="208">
        <v>22090</v>
      </c>
      <c r="BF250" s="208">
        <v>-39621</v>
      </c>
      <c r="BG250" s="208">
        <v>0</v>
      </c>
      <c r="BH250" s="208">
        <v>-39621</v>
      </c>
      <c r="BI250" s="208">
        <v>0</v>
      </c>
      <c r="BJ250" s="208">
        <v>0</v>
      </c>
      <c r="BK250" s="208">
        <v>0</v>
      </c>
      <c r="BL250" s="208">
        <v>-8197212</v>
      </c>
      <c r="BM250" s="208">
        <v>6279</v>
      </c>
      <c r="BN250" s="208">
        <v>-8190933</v>
      </c>
      <c r="BO250" s="208">
        <v>-9804</v>
      </c>
      <c r="BP250" s="208">
        <v>0</v>
      </c>
      <c r="BQ250" s="208">
        <v>-9804</v>
      </c>
      <c r="BR250" s="208">
        <v>0</v>
      </c>
      <c r="BS250" s="208">
        <v>0</v>
      </c>
      <c r="BT250" s="208">
        <v>0</v>
      </c>
      <c r="BU250" s="208">
        <v>-1452724</v>
      </c>
      <c r="BV250" s="208">
        <v>0</v>
      </c>
      <c r="BW250" s="208">
        <v>-1452724</v>
      </c>
      <c r="BX250" s="208">
        <v>36719</v>
      </c>
      <c r="BY250" s="208">
        <v>0</v>
      </c>
      <c r="BZ250" s="208">
        <v>36719</v>
      </c>
      <c r="CA250" s="208">
        <v>-1425809</v>
      </c>
      <c r="CB250" s="208">
        <v>0</v>
      </c>
      <c r="CC250" s="208">
        <v>-1425809</v>
      </c>
      <c r="CD250" s="208">
        <v>-201922</v>
      </c>
      <c r="CE250" s="208">
        <v>0</v>
      </c>
      <c r="CF250" s="208">
        <v>-201922</v>
      </c>
      <c r="CG250" s="208">
        <v>10023</v>
      </c>
      <c r="CH250" s="208">
        <v>0</v>
      </c>
      <c r="CI250" s="208">
        <v>10023</v>
      </c>
      <c r="CJ250" s="208">
        <v>-14340</v>
      </c>
      <c r="CK250" s="208">
        <v>0</v>
      </c>
      <c r="CL250" s="208">
        <v>-14340</v>
      </c>
      <c r="CM250" s="208">
        <v>0</v>
      </c>
      <c r="CN250" s="208">
        <v>0</v>
      </c>
      <c r="CO250" s="208">
        <v>0</v>
      </c>
      <c r="CP250" s="208">
        <v>-8389</v>
      </c>
      <c r="CQ250" s="208">
        <v>0</v>
      </c>
      <c r="CR250" s="208">
        <v>-8389</v>
      </c>
      <c r="CS250" s="208">
        <v>5523</v>
      </c>
      <c r="CT250" s="208">
        <v>0</v>
      </c>
      <c r="CU250" s="208">
        <v>5523</v>
      </c>
      <c r="CV250" s="208">
        <v>0</v>
      </c>
      <c r="CW250" s="208">
        <v>0</v>
      </c>
      <c r="CX250" s="208">
        <v>0</v>
      </c>
      <c r="CY250" s="208">
        <v>0</v>
      </c>
      <c r="CZ250" s="208">
        <v>0</v>
      </c>
      <c r="DA250" s="208">
        <v>0</v>
      </c>
      <c r="DB250" s="208">
        <v>0</v>
      </c>
      <c r="DC250" s="208">
        <v>0</v>
      </c>
      <c r="DD250" s="208">
        <v>0</v>
      </c>
      <c r="DE250" s="208">
        <v>0</v>
      </c>
      <c r="DF250" s="208">
        <v>0</v>
      </c>
      <c r="DG250" s="208">
        <v>0</v>
      </c>
      <c r="DH250" s="208">
        <v>0</v>
      </c>
      <c r="DI250" s="208">
        <v>0</v>
      </c>
      <c r="DJ250" s="208">
        <v>0</v>
      </c>
      <c r="DK250" s="208">
        <v>0</v>
      </c>
      <c r="DL250" s="208">
        <v>0</v>
      </c>
      <c r="DM250" s="208">
        <v>0</v>
      </c>
      <c r="DN250" s="208">
        <v>0</v>
      </c>
      <c r="DO250" s="208">
        <v>0</v>
      </c>
      <c r="DP250" s="208">
        <v>-209105</v>
      </c>
      <c r="DQ250" s="208">
        <v>0</v>
      </c>
      <c r="DR250" s="208">
        <v>-209105</v>
      </c>
      <c r="DS250" s="208">
        <v>0</v>
      </c>
      <c r="DT250" s="208">
        <v>0</v>
      </c>
      <c r="DU250" s="208">
        <v>0</v>
      </c>
      <c r="DV250" s="208">
        <v>0</v>
      </c>
      <c r="DW250" s="208">
        <v>0</v>
      </c>
      <c r="DX250" s="208">
        <v>0</v>
      </c>
      <c r="DY250" s="208">
        <v>2081</v>
      </c>
      <c r="DZ250" s="208">
        <v>0</v>
      </c>
      <c r="EA250" s="208">
        <v>2081</v>
      </c>
      <c r="EB250" s="208">
        <v>0</v>
      </c>
      <c r="EC250" s="208">
        <v>0</v>
      </c>
      <c r="ED250" s="208">
        <v>0</v>
      </c>
      <c r="EE250" s="208">
        <v>815</v>
      </c>
      <c r="EF250" s="208">
        <v>0</v>
      </c>
      <c r="EG250" s="208">
        <v>815</v>
      </c>
      <c r="EH250" s="208">
        <v>0</v>
      </c>
      <c r="EI250" s="208">
        <v>0</v>
      </c>
      <c r="EJ250" s="208">
        <v>0</v>
      </c>
      <c r="EK250" s="208">
        <v>-39621</v>
      </c>
      <c r="EL250" s="208">
        <v>0</v>
      </c>
      <c r="EM250" s="208">
        <v>-39621</v>
      </c>
      <c r="EN250" s="208">
        <v>0</v>
      </c>
      <c r="EO250" s="208">
        <v>0</v>
      </c>
      <c r="EP250" s="208">
        <v>0</v>
      </c>
      <c r="EQ250" s="208">
        <v>-349</v>
      </c>
      <c r="ER250" s="208">
        <v>0</v>
      </c>
      <c r="ES250" s="208">
        <v>-349</v>
      </c>
      <c r="ET250" s="208">
        <v>0</v>
      </c>
      <c r="EU250" s="208">
        <v>0</v>
      </c>
      <c r="EV250" s="208">
        <v>0</v>
      </c>
      <c r="EW250" s="208">
        <v>-44773</v>
      </c>
      <c r="EX250" s="208">
        <v>0</v>
      </c>
      <c r="EY250" s="208">
        <v>-44773</v>
      </c>
      <c r="EZ250" s="208">
        <v>0</v>
      </c>
      <c r="FA250" s="208">
        <v>0</v>
      </c>
      <c r="FB250" s="208">
        <v>0</v>
      </c>
      <c r="FC250" s="208">
        <v>-172693</v>
      </c>
      <c r="FD250" s="208">
        <v>0</v>
      </c>
      <c r="FE250" s="208">
        <v>-172693</v>
      </c>
      <c r="FF250" s="208">
        <v>0</v>
      </c>
      <c r="FG250" s="208">
        <v>0</v>
      </c>
      <c r="FH250" s="208">
        <v>0</v>
      </c>
      <c r="FI250" s="208">
        <v>-72353</v>
      </c>
      <c r="FJ250" s="208">
        <v>0</v>
      </c>
      <c r="FK250" s="208">
        <v>-72353</v>
      </c>
      <c r="FL250" s="208">
        <v>-3584</v>
      </c>
      <c r="FM250" s="208">
        <v>0</v>
      </c>
      <c r="FN250" s="208">
        <v>-3584</v>
      </c>
      <c r="FO250" s="208">
        <v>0</v>
      </c>
      <c r="FP250" s="208">
        <v>0</v>
      </c>
      <c r="FQ250" s="208">
        <v>0</v>
      </c>
      <c r="FR250" s="208">
        <v>0</v>
      </c>
      <c r="FS250" s="208">
        <v>0</v>
      </c>
      <c r="FT250" s="208">
        <v>0</v>
      </c>
      <c r="FU250" s="208">
        <v>-330477</v>
      </c>
      <c r="FV250" s="208">
        <v>0</v>
      </c>
      <c r="FW250" s="208">
        <v>-330477</v>
      </c>
      <c r="FX250" s="208">
        <v>0</v>
      </c>
      <c r="FY250" s="208">
        <v>0</v>
      </c>
      <c r="FZ250" s="208">
        <v>0</v>
      </c>
      <c r="GA250" s="208">
        <v>0</v>
      </c>
      <c r="GB250" s="208">
        <v>0</v>
      </c>
      <c r="GC250" s="208">
        <v>0</v>
      </c>
      <c r="GD250" s="208">
        <v>0</v>
      </c>
      <c r="GE250" s="208">
        <v>0</v>
      </c>
      <c r="GF250" s="208">
        <v>0</v>
      </c>
      <c r="GG250" s="208">
        <v>55576888</v>
      </c>
      <c r="GH250" s="208">
        <v>231840</v>
      </c>
      <c r="GI250" s="208">
        <v>55808728</v>
      </c>
      <c r="GJ250" s="208">
        <v>-781781</v>
      </c>
      <c r="GK250" s="208">
        <v>0</v>
      </c>
      <c r="GL250" s="208">
        <v>-781781</v>
      </c>
      <c r="GM250" s="208">
        <v>-8197212</v>
      </c>
      <c r="GN250" s="208">
        <v>6279</v>
      </c>
      <c r="GO250" s="208">
        <v>-8190933</v>
      </c>
      <c r="GP250" s="208">
        <v>-1425809</v>
      </c>
      <c r="GQ250" s="208">
        <v>0</v>
      </c>
      <c r="GR250" s="208">
        <v>-1425809</v>
      </c>
      <c r="GS250" s="208">
        <v>-209105</v>
      </c>
      <c r="GT250" s="208">
        <v>0</v>
      </c>
      <c r="GU250" s="208">
        <v>-209105</v>
      </c>
      <c r="GV250" s="208">
        <v>-330477</v>
      </c>
      <c r="GW250" s="208">
        <v>0</v>
      </c>
      <c r="GX250" s="208">
        <v>-330477</v>
      </c>
      <c r="GY250" s="208">
        <v>0</v>
      </c>
      <c r="GZ250" s="208">
        <v>0</v>
      </c>
      <c r="HA250" s="208">
        <v>0</v>
      </c>
      <c r="HB250" s="208">
        <v>-10944384</v>
      </c>
      <c r="HC250" s="208">
        <v>6279</v>
      </c>
      <c r="HD250" s="208">
        <v>-10938105</v>
      </c>
      <c r="HE250" s="208">
        <v>44632504</v>
      </c>
      <c r="HF250" s="208">
        <v>238119</v>
      </c>
      <c r="HG250" s="208">
        <v>44870623</v>
      </c>
      <c r="HH250" s="187" t="s">
        <v>1054</v>
      </c>
    </row>
    <row r="251" spans="1:216" s="187" customFormat="1" x14ac:dyDescent="0.2">
      <c r="B251" s="429" t="s">
        <v>580</v>
      </c>
      <c r="C251" s="429" t="s">
        <v>579</v>
      </c>
      <c r="D251" s="208">
        <v>-372270</v>
      </c>
      <c r="E251" s="208">
        <v>0</v>
      </c>
      <c r="F251" s="208">
        <v>-372270</v>
      </c>
      <c r="G251" s="208">
        <v>-77391</v>
      </c>
      <c r="H251" s="208">
        <v>0</v>
      </c>
      <c r="I251" s="208">
        <v>-77391</v>
      </c>
      <c r="J251" s="208">
        <v>1574660</v>
      </c>
      <c r="K251" s="208">
        <v>0</v>
      </c>
      <c r="L251" s="208">
        <v>1574660</v>
      </c>
      <c r="M251" s="208">
        <v>-216154</v>
      </c>
      <c r="N251" s="208">
        <v>3917</v>
      </c>
      <c r="O251" s="208">
        <v>-212237</v>
      </c>
      <c r="P251" s="208">
        <v>908845</v>
      </c>
      <c r="Q251" s="208">
        <v>3917</v>
      </c>
      <c r="R251" s="208">
        <v>912762</v>
      </c>
      <c r="S251" s="208">
        <v>-3692848</v>
      </c>
      <c r="T251" s="208">
        <v>0</v>
      </c>
      <c r="U251" s="208">
        <v>-3692848</v>
      </c>
      <c r="V251" s="208">
        <v>-4080</v>
      </c>
      <c r="W251" s="208">
        <v>0</v>
      </c>
      <c r="X251" s="208">
        <v>-4080</v>
      </c>
      <c r="Y251" s="208">
        <v>-77384</v>
      </c>
      <c r="Z251" s="208">
        <v>0</v>
      </c>
      <c r="AA251" s="208">
        <v>-77384</v>
      </c>
      <c r="AB251" s="208">
        <v>-35859</v>
      </c>
      <c r="AC251" s="208">
        <v>0</v>
      </c>
      <c r="AD251" s="208">
        <v>-35859</v>
      </c>
      <c r="AE251" s="208">
        <v>-41525</v>
      </c>
      <c r="AF251" s="208">
        <v>0</v>
      </c>
      <c r="AG251" s="208">
        <v>-41525</v>
      </c>
      <c r="AH251" s="208">
        <v>0</v>
      </c>
      <c r="AI251" s="208">
        <v>0</v>
      </c>
      <c r="AJ251" s="208">
        <v>0</v>
      </c>
      <c r="AK251" s="208">
        <v>0</v>
      </c>
      <c r="AL251" s="208">
        <v>0</v>
      </c>
      <c r="AM251" s="208">
        <v>0</v>
      </c>
      <c r="AN251" s="208">
        <v>793978</v>
      </c>
      <c r="AO251" s="208">
        <v>4778</v>
      </c>
      <c r="AP251" s="208">
        <v>798756</v>
      </c>
      <c r="AQ251" s="208">
        <v>-45805</v>
      </c>
      <c r="AR251" s="208">
        <v>6372</v>
      </c>
      <c r="AS251" s="208">
        <v>-39433</v>
      </c>
      <c r="AT251" s="208">
        <v>-2110519</v>
      </c>
      <c r="AU251" s="208">
        <v>0</v>
      </c>
      <c r="AV251" s="208">
        <v>-2110519</v>
      </c>
      <c r="AW251" s="208">
        <v>141225</v>
      </c>
      <c r="AX251" s="208">
        <v>0</v>
      </c>
      <c r="AY251" s="208">
        <v>141225</v>
      </c>
      <c r="AZ251" s="208">
        <v>-13268</v>
      </c>
      <c r="BA251" s="208">
        <v>0</v>
      </c>
      <c r="BB251" s="208">
        <v>-13268</v>
      </c>
      <c r="BC251" s="208">
        <v>0</v>
      </c>
      <c r="BD251" s="208">
        <v>0</v>
      </c>
      <c r="BE251" s="208">
        <v>0</v>
      </c>
      <c r="BF251" s="208">
        <v>-4265</v>
      </c>
      <c r="BG251" s="208">
        <v>0</v>
      </c>
      <c r="BH251" s="208">
        <v>-4265</v>
      </c>
      <c r="BI251" s="208">
        <v>0</v>
      </c>
      <c r="BJ251" s="208">
        <v>0</v>
      </c>
      <c r="BK251" s="208">
        <v>0</v>
      </c>
      <c r="BL251" s="208">
        <v>-5008886</v>
      </c>
      <c r="BM251" s="208">
        <v>11150</v>
      </c>
      <c r="BN251" s="208">
        <v>-4997736</v>
      </c>
      <c r="BO251" s="208">
        <v>0</v>
      </c>
      <c r="BP251" s="208">
        <v>0</v>
      </c>
      <c r="BQ251" s="208">
        <v>0</v>
      </c>
      <c r="BR251" s="208">
        <v>1386</v>
      </c>
      <c r="BS251" s="208">
        <v>0</v>
      </c>
      <c r="BT251" s="208">
        <v>1386</v>
      </c>
      <c r="BU251" s="208">
        <v>-1058531</v>
      </c>
      <c r="BV251" s="208">
        <v>0</v>
      </c>
      <c r="BW251" s="208">
        <v>-1058531</v>
      </c>
      <c r="BX251" s="208">
        <v>240410</v>
      </c>
      <c r="BY251" s="208">
        <v>0</v>
      </c>
      <c r="BZ251" s="208">
        <v>240410</v>
      </c>
      <c r="CA251" s="208">
        <v>-816735</v>
      </c>
      <c r="CB251" s="208">
        <v>0</v>
      </c>
      <c r="CC251" s="208">
        <v>-816735</v>
      </c>
      <c r="CD251" s="208">
        <v>-116504</v>
      </c>
      <c r="CE251" s="208">
        <v>0</v>
      </c>
      <c r="CF251" s="208">
        <v>-116504</v>
      </c>
      <c r="CG251" s="208">
        <v>-589</v>
      </c>
      <c r="CH251" s="208">
        <v>0</v>
      </c>
      <c r="CI251" s="208">
        <v>-589</v>
      </c>
      <c r="CJ251" s="208">
        <v>-18668</v>
      </c>
      <c r="CK251" s="208">
        <v>0</v>
      </c>
      <c r="CL251" s="208">
        <v>-18668</v>
      </c>
      <c r="CM251" s="208">
        <v>-2175</v>
      </c>
      <c r="CN251" s="208">
        <v>0</v>
      </c>
      <c r="CO251" s="208">
        <v>-2175</v>
      </c>
      <c r="CP251" s="208">
        <v>-980</v>
      </c>
      <c r="CQ251" s="208">
        <v>0</v>
      </c>
      <c r="CR251" s="208">
        <v>-980</v>
      </c>
      <c r="CS251" s="208">
        <v>0</v>
      </c>
      <c r="CT251" s="208">
        <v>0</v>
      </c>
      <c r="CU251" s="208">
        <v>0</v>
      </c>
      <c r="CV251" s="208">
        <v>0</v>
      </c>
      <c r="CW251" s="208">
        <v>0</v>
      </c>
      <c r="CX251" s="208">
        <v>0</v>
      </c>
      <c r="CY251" s="208">
        <v>0</v>
      </c>
      <c r="CZ251" s="208">
        <v>0</v>
      </c>
      <c r="DA251" s="208">
        <v>0</v>
      </c>
      <c r="DB251" s="208">
        <v>0</v>
      </c>
      <c r="DC251" s="208">
        <v>0</v>
      </c>
      <c r="DD251" s="208">
        <v>0</v>
      </c>
      <c r="DE251" s="208">
        <v>0</v>
      </c>
      <c r="DF251" s="208">
        <v>0</v>
      </c>
      <c r="DG251" s="208">
        <v>0</v>
      </c>
      <c r="DH251" s="208">
        <v>0</v>
      </c>
      <c r="DI251" s="208">
        <v>0</v>
      </c>
      <c r="DJ251" s="208">
        <v>0</v>
      </c>
      <c r="DK251" s="208">
        <v>0</v>
      </c>
      <c r="DL251" s="208">
        <v>0</v>
      </c>
      <c r="DM251" s="208">
        <v>0</v>
      </c>
      <c r="DN251" s="208">
        <v>0</v>
      </c>
      <c r="DO251" s="208">
        <v>0</v>
      </c>
      <c r="DP251" s="208">
        <v>-138916</v>
      </c>
      <c r="DQ251" s="208">
        <v>0</v>
      </c>
      <c r="DR251" s="208">
        <v>-138916</v>
      </c>
      <c r="DS251" s="208">
        <v>37335</v>
      </c>
      <c r="DT251" s="208">
        <v>0</v>
      </c>
      <c r="DU251" s="208">
        <v>37335</v>
      </c>
      <c r="DV251" s="208">
        <v>0</v>
      </c>
      <c r="DW251" s="208">
        <v>0</v>
      </c>
      <c r="DX251" s="208">
        <v>0</v>
      </c>
      <c r="DY251" s="208">
        <v>0</v>
      </c>
      <c r="DZ251" s="208">
        <v>0</v>
      </c>
      <c r="EA251" s="208">
        <v>0</v>
      </c>
      <c r="EB251" s="208">
        <v>0</v>
      </c>
      <c r="EC251" s="208">
        <v>0</v>
      </c>
      <c r="ED251" s="208">
        <v>0</v>
      </c>
      <c r="EE251" s="208">
        <v>0</v>
      </c>
      <c r="EF251" s="208">
        <v>0</v>
      </c>
      <c r="EG251" s="208">
        <v>0</v>
      </c>
      <c r="EH251" s="208">
        <v>0</v>
      </c>
      <c r="EI251" s="208">
        <v>0</v>
      </c>
      <c r="EJ251" s="208">
        <v>0</v>
      </c>
      <c r="EK251" s="208">
        <v>-4264</v>
      </c>
      <c r="EL251" s="208">
        <v>0</v>
      </c>
      <c r="EM251" s="208">
        <v>-4264</v>
      </c>
      <c r="EN251" s="208">
        <v>0</v>
      </c>
      <c r="EO251" s="208">
        <v>0</v>
      </c>
      <c r="EP251" s="208">
        <v>0</v>
      </c>
      <c r="EQ251" s="208">
        <v>0</v>
      </c>
      <c r="ER251" s="208">
        <v>0</v>
      </c>
      <c r="ES251" s="208">
        <v>0</v>
      </c>
      <c r="ET251" s="208">
        <v>0</v>
      </c>
      <c r="EU251" s="208">
        <v>0</v>
      </c>
      <c r="EV251" s="208">
        <v>0</v>
      </c>
      <c r="EW251" s="208">
        <v>-7473</v>
      </c>
      <c r="EX251" s="208">
        <v>0</v>
      </c>
      <c r="EY251" s="208">
        <v>-7473</v>
      </c>
      <c r="EZ251" s="208">
        <v>2947</v>
      </c>
      <c r="FA251" s="208">
        <v>0</v>
      </c>
      <c r="FB251" s="208">
        <v>2947</v>
      </c>
      <c r="FC251" s="208">
        <v>-30391</v>
      </c>
      <c r="FD251" s="208">
        <v>0</v>
      </c>
      <c r="FE251" s="208">
        <v>-30391</v>
      </c>
      <c r="FF251" s="208">
        <v>1926</v>
      </c>
      <c r="FG251" s="208">
        <v>0</v>
      </c>
      <c r="FH251" s="208">
        <v>1926</v>
      </c>
      <c r="FI251" s="208">
        <v>-37082</v>
      </c>
      <c r="FJ251" s="208">
        <v>0</v>
      </c>
      <c r="FK251" s="208">
        <v>-37082</v>
      </c>
      <c r="FL251" s="208">
        <v>-15</v>
      </c>
      <c r="FM251" s="208">
        <v>0</v>
      </c>
      <c r="FN251" s="208">
        <v>-15</v>
      </c>
      <c r="FO251" s="208">
        <v>0</v>
      </c>
      <c r="FP251" s="208">
        <v>0</v>
      </c>
      <c r="FQ251" s="208">
        <v>0</v>
      </c>
      <c r="FR251" s="208">
        <v>0</v>
      </c>
      <c r="FS251" s="208">
        <v>0</v>
      </c>
      <c r="FT251" s="208">
        <v>0</v>
      </c>
      <c r="FU251" s="208">
        <v>-37017</v>
      </c>
      <c r="FV251" s="208">
        <v>0</v>
      </c>
      <c r="FW251" s="208">
        <v>-37017</v>
      </c>
      <c r="FX251" s="208">
        <v>0</v>
      </c>
      <c r="FY251" s="208">
        <v>0</v>
      </c>
      <c r="FZ251" s="208">
        <v>0</v>
      </c>
      <c r="GA251" s="208">
        <v>0</v>
      </c>
      <c r="GB251" s="208">
        <v>0</v>
      </c>
      <c r="GC251" s="208">
        <v>0</v>
      </c>
      <c r="GD251" s="208">
        <v>0</v>
      </c>
      <c r="GE251" s="208">
        <v>0</v>
      </c>
      <c r="GF251" s="208">
        <v>0</v>
      </c>
      <c r="GG251" s="208">
        <v>40403364</v>
      </c>
      <c r="GH251" s="208">
        <v>407021</v>
      </c>
      <c r="GI251" s="208">
        <v>40810385</v>
      </c>
      <c r="GJ251" s="208">
        <v>908845</v>
      </c>
      <c r="GK251" s="208">
        <v>3917</v>
      </c>
      <c r="GL251" s="208">
        <v>912762</v>
      </c>
      <c r="GM251" s="208">
        <v>-5008886</v>
      </c>
      <c r="GN251" s="208">
        <v>11150</v>
      </c>
      <c r="GO251" s="208">
        <v>-4997736</v>
      </c>
      <c r="GP251" s="208">
        <v>-816735</v>
      </c>
      <c r="GQ251" s="208">
        <v>0</v>
      </c>
      <c r="GR251" s="208">
        <v>-816735</v>
      </c>
      <c r="GS251" s="208">
        <v>-138916</v>
      </c>
      <c r="GT251" s="208">
        <v>0</v>
      </c>
      <c r="GU251" s="208">
        <v>-138916</v>
      </c>
      <c r="GV251" s="208">
        <v>-37017</v>
      </c>
      <c r="GW251" s="208">
        <v>0</v>
      </c>
      <c r="GX251" s="208">
        <v>-37017</v>
      </c>
      <c r="GY251" s="208">
        <v>0</v>
      </c>
      <c r="GZ251" s="208">
        <v>0</v>
      </c>
      <c r="HA251" s="208">
        <v>0</v>
      </c>
      <c r="HB251" s="208">
        <v>-5092709</v>
      </c>
      <c r="HC251" s="208">
        <v>15067</v>
      </c>
      <c r="HD251" s="208">
        <v>-5077642</v>
      </c>
      <c r="HE251" s="208">
        <v>35310655</v>
      </c>
      <c r="HF251" s="208">
        <v>422088</v>
      </c>
      <c r="HG251" s="208">
        <v>35732743</v>
      </c>
      <c r="HH251" s="187" t="s">
        <v>1054</v>
      </c>
    </row>
    <row r="252" spans="1:216" s="187" customFormat="1" x14ac:dyDescent="0.2">
      <c r="B252" s="429" t="s">
        <v>582</v>
      </c>
      <c r="C252" s="429" t="s">
        <v>581</v>
      </c>
      <c r="D252" s="208">
        <v>-1533372</v>
      </c>
      <c r="E252" s="208">
        <v>0</v>
      </c>
      <c r="F252" s="208">
        <v>-1533372</v>
      </c>
      <c r="G252" s="208">
        <v>-43242</v>
      </c>
      <c r="H252" s="208">
        <v>0</v>
      </c>
      <c r="I252" s="208">
        <v>-43242</v>
      </c>
      <c r="J252" s="208">
        <v>2179218</v>
      </c>
      <c r="K252" s="208">
        <v>0</v>
      </c>
      <c r="L252" s="208">
        <v>2179218</v>
      </c>
      <c r="M252" s="208">
        <v>12785</v>
      </c>
      <c r="N252" s="208">
        <v>0</v>
      </c>
      <c r="O252" s="208">
        <v>12785</v>
      </c>
      <c r="P252" s="208">
        <v>615389</v>
      </c>
      <c r="Q252" s="208">
        <v>0</v>
      </c>
      <c r="R252" s="208">
        <v>615389</v>
      </c>
      <c r="S252" s="208">
        <v>-6275803</v>
      </c>
      <c r="T252" s="208">
        <v>0</v>
      </c>
      <c r="U252" s="208">
        <v>-6275803</v>
      </c>
      <c r="V252" s="208">
        <v>-20035</v>
      </c>
      <c r="W252" s="208">
        <v>0</v>
      </c>
      <c r="X252" s="208">
        <v>-20035</v>
      </c>
      <c r="Y252" s="208">
        <v>-295390</v>
      </c>
      <c r="Z252" s="208">
        <v>0</v>
      </c>
      <c r="AA252" s="208">
        <v>-295390</v>
      </c>
      <c r="AB252" s="208">
        <v>-120176</v>
      </c>
      <c r="AC252" s="208">
        <v>0</v>
      </c>
      <c r="AD252" s="208">
        <v>-120176</v>
      </c>
      <c r="AE252" s="208">
        <v>-163597</v>
      </c>
      <c r="AF252" s="208">
        <v>0</v>
      </c>
      <c r="AG252" s="208">
        <v>-163597</v>
      </c>
      <c r="AH252" s="208">
        <v>0</v>
      </c>
      <c r="AI252" s="208">
        <v>0</v>
      </c>
      <c r="AJ252" s="208">
        <v>0</v>
      </c>
      <c r="AK252" s="208">
        <v>-266.25</v>
      </c>
      <c r="AL252" s="208">
        <v>0</v>
      </c>
      <c r="AM252" s="208">
        <v>-266.25</v>
      </c>
      <c r="AN252" s="208">
        <v>947999</v>
      </c>
      <c r="AO252" s="208">
        <v>0</v>
      </c>
      <c r="AP252" s="208">
        <v>947999</v>
      </c>
      <c r="AQ252" s="208">
        <v>119763</v>
      </c>
      <c r="AR252" s="208">
        <v>0</v>
      </c>
      <c r="AS252" s="208">
        <v>119763</v>
      </c>
      <c r="AT252" s="208">
        <v>-3688247</v>
      </c>
      <c r="AU252" s="208">
        <v>0</v>
      </c>
      <c r="AV252" s="208">
        <v>-3688247</v>
      </c>
      <c r="AW252" s="208">
        <v>-18441</v>
      </c>
      <c r="AX252" s="208">
        <v>0</v>
      </c>
      <c r="AY252" s="208">
        <v>-18441</v>
      </c>
      <c r="AZ252" s="208">
        <v>-37961</v>
      </c>
      <c r="BA252" s="208">
        <v>0</v>
      </c>
      <c r="BB252" s="208">
        <v>-37961</v>
      </c>
      <c r="BC252" s="208">
        <v>0</v>
      </c>
      <c r="BD252" s="208">
        <v>0</v>
      </c>
      <c r="BE252" s="208">
        <v>0</v>
      </c>
      <c r="BF252" s="208">
        <v>-71585</v>
      </c>
      <c r="BG252" s="208">
        <v>0</v>
      </c>
      <c r="BH252" s="208">
        <v>-71585</v>
      </c>
      <c r="BI252" s="208">
        <v>0</v>
      </c>
      <c r="BJ252" s="208">
        <v>0</v>
      </c>
      <c r="BK252" s="208">
        <v>0</v>
      </c>
      <c r="BL252" s="208">
        <v>-9319665</v>
      </c>
      <c r="BM252" s="208">
        <v>0</v>
      </c>
      <c r="BN252" s="208">
        <v>-9319665</v>
      </c>
      <c r="BO252" s="208">
        <v>-52327</v>
      </c>
      <c r="BP252" s="208">
        <v>0</v>
      </c>
      <c r="BQ252" s="208">
        <v>-52327</v>
      </c>
      <c r="BR252" s="208">
        <v>-9776</v>
      </c>
      <c r="BS252" s="208">
        <v>0</v>
      </c>
      <c r="BT252" s="208">
        <v>-9776</v>
      </c>
      <c r="BU252" s="208">
        <v>-1883879</v>
      </c>
      <c r="BV252" s="208">
        <v>0</v>
      </c>
      <c r="BW252" s="208">
        <v>-1883879</v>
      </c>
      <c r="BX252" s="208">
        <v>-19448</v>
      </c>
      <c r="BY252" s="208">
        <v>0</v>
      </c>
      <c r="BZ252" s="208">
        <v>-19448</v>
      </c>
      <c r="CA252" s="208">
        <v>-1965430</v>
      </c>
      <c r="CB252" s="208">
        <v>0</v>
      </c>
      <c r="CC252" s="208">
        <v>-1965430</v>
      </c>
      <c r="CD252" s="208">
        <v>-160389</v>
      </c>
      <c r="CE252" s="208">
        <v>0</v>
      </c>
      <c r="CF252" s="208">
        <v>-160389</v>
      </c>
      <c r="CG252" s="208">
        <v>-4693</v>
      </c>
      <c r="CH252" s="208">
        <v>0</v>
      </c>
      <c r="CI252" s="208">
        <v>-4693</v>
      </c>
      <c r="CJ252" s="208">
        <v>-38980</v>
      </c>
      <c r="CK252" s="208">
        <v>0</v>
      </c>
      <c r="CL252" s="208">
        <v>-38980</v>
      </c>
      <c r="CM252" s="208">
        <v>624</v>
      </c>
      <c r="CN252" s="208">
        <v>0</v>
      </c>
      <c r="CO252" s="208">
        <v>624</v>
      </c>
      <c r="CP252" s="208">
        <v>-4035</v>
      </c>
      <c r="CQ252" s="208">
        <v>0</v>
      </c>
      <c r="CR252" s="208">
        <v>-4035</v>
      </c>
      <c r="CS252" s="208">
        <v>0</v>
      </c>
      <c r="CT252" s="208">
        <v>0</v>
      </c>
      <c r="CU252" s="208">
        <v>0</v>
      </c>
      <c r="CV252" s="208">
        <v>0</v>
      </c>
      <c r="CW252" s="208">
        <v>0</v>
      </c>
      <c r="CX252" s="208">
        <v>0</v>
      </c>
      <c r="CY252" s="208">
        <v>0</v>
      </c>
      <c r="CZ252" s="208">
        <v>0</v>
      </c>
      <c r="DA252" s="208">
        <v>0</v>
      </c>
      <c r="DB252" s="208">
        <v>-5703</v>
      </c>
      <c r="DC252" s="208">
        <v>0</v>
      </c>
      <c r="DD252" s="208">
        <v>-5703</v>
      </c>
      <c r="DE252" s="208">
        <v>-3029</v>
      </c>
      <c r="DF252" s="208">
        <v>0</v>
      </c>
      <c r="DG252" s="208">
        <v>-3029</v>
      </c>
      <c r="DH252" s="208">
        <v>-14911</v>
      </c>
      <c r="DI252" s="208">
        <v>0</v>
      </c>
      <c r="DJ252" s="208">
        <v>-14911</v>
      </c>
      <c r="DK252" s="208">
        <v>-187</v>
      </c>
      <c r="DL252" s="208">
        <v>0</v>
      </c>
      <c r="DM252" s="208">
        <v>-187</v>
      </c>
      <c r="DN252" s="208">
        <v>0</v>
      </c>
      <c r="DO252" s="208">
        <v>0</v>
      </c>
      <c r="DP252" s="208">
        <v>-231303</v>
      </c>
      <c r="DQ252" s="208">
        <v>0</v>
      </c>
      <c r="DR252" s="208">
        <v>-231303</v>
      </c>
      <c r="DS252" s="208">
        <v>0</v>
      </c>
      <c r="DT252" s="208">
        <v>0</v>
      </c>
      <c r="DU252" s="208">
        <v>0</v>
      </c>
      <c r="DV252" s="208">
        <v>0</v>
      </c>
      <c r="DW252" s="208">
        <v>0</v>
      </c>
      <c r="DX252" s="208">
        <v>0</v>
      </c>
      <c r="DY252" s="208">
        <v>2094</v>
      </c>
      <c r="DZ252" s="208">
        <v>0</v>
      </c>
      <c r="EA252" s="208">
        <v>2094</v>
      </c>
      <c r="EB252" s="208">
        <v>0</v>
      </c>
      <c r="EC252" s="208">
        <v>0</v>
      </c>
      <c r="ED252" s="208">
        <v>0</v>
      </c>
      <c r="EE252" s="208">
        <v>0</v>
      </c>
      <c r="EF252" s="208">
        <v>0</v>
      </c>
      <c r="EG252" s="208">
        <v>0</v>
      </c>
      <c r="EH252" s="208">
        <v>0</v>
      </c>
      <c r="EI252" s="208">
        <v>0</v>
      </c>
      <c r="EJ252" s="208">
        <v>0</v>
      </c>
      <c r="EK252" s="208">
        <v>-71585</v>
      </c>
      <c r="EL252" s="208">
        <v>0</v>
      </c>
      <c r="EM252" s="208">
        <v>-71585</v>
      </c>
      <c r="EN252" s="208">
        <v>0</v>
      </c>
      <c r="EO252" s="208">
        <v>0</v>
      </c>
      <c r="EP252" s="208">
        <v>0</v>
      </c>
      <c r="EQ252" s="208">
        <v>-1500</v>
      </c>
      <c r="ER252" s="208">
        <v>0</v>
      </c>
      <c r="ES252" s="208">
        <v>-1500</v>
      </c>
      <c r="ET252" s="208">
        <v>0</v>
      </c>
      <c r="EU252" s="208">
        <v>0</v>
      </c>
      <c r="EV252" s="208">
        <v>0</v>
      </c>
      <c r="EW252" s="208">
        <v>-36124</v>
      </c>
      <c r="EX252" s="208">
        <v>0</v>
      </c>
      <c r="EY252" s="208">
        <v>-36124</v>
      </c>
      <c r="EZ252" s="208">
        <v>-3369</v>
      </c>
      <c r="FA252" s="208">
        <v>0</v>
      </c>
      <c r="FB252" s="208">
        <v>-3369</v>
      </c>
      <c r="FC252" s="208">
        <v>-173183</v>
      </c>
      <c r="FD252" s="208">
        <v>0</v>
      </c>
      <c r="FE252" s="208">
        <v>-173183</v>
      </c>
      <c r="FF252" s="208">
        <v>-1505</v>
      </c>
      <c r="FG252" s="208">
        <v>0</v>
      </c>
      <c r="FH252" s="208">
        <v>-1505</v>
      </c>
      <c r="FI252" s="208">
        <v>-84784</v>
      </c>
      <c r="FJ252" s="208">
        <v>0</v>
      </c>
      <c r="FK252" s="208">
        <v>-84784</v>
      </c>
      <c r="FL252" s="208">
        <v>-2651</v>
      </c>
      <c r="FM252" s="208">
        <v>0</v>
      </c>
      <c r="FN252" s="208">
        <v>-2651</v>
      </c>
      <c r="FO252" s="208">
        <v>0</v>
      </c>
      <c r="FP252" s="208">
        <v>0</v>
      </c>
      <c r="FQ252" s="208">
        <v>0</v>
      </c>
      <c r="FR252" s="208">
        <v>0</v>
      </c>
      <c r="FS252" s="208">
        <v>0</v>
      </c>
      <c r="FT252" s="208">
        <v>0</v>
      </c>
      <c r="FU252" s="208">
        <v>-372607</v>
      </c>
      <c r="FV252" s="208">
        <v>0</v>
      </c>
      <c r="FW252" s="208">
        <v>-372607</v>
      </c>
      <c r="FX252" s="208">
        <v>0</v>
      </c>
      <c r="FY252" s="208">
        <v>0</v>
      </c>
      <c r="FZ252" s="208">
        <v>0</v>
      </c>
      <c r="GA252" s="208">
        <v>0</v>
      </c>
      <c r="GB252" s="208">
        <v>0</v>
      </c>
      <c r="GC252" s="208">
        <v>0</v>
      </c>
      <c r="GD252" s="208">
        <v>0</v>
      </c>
      <c r="GE252" s="208">
        <v>0</v>
      </c>
      <c r="GF252" s="208">
        <v>0</v>
      </c>
      <c r="GG252" s="208">
        <v>57029444</v>
      </c>
      <c r="GH252" s="208">
        <v>0</v>
      </c>
      <c r="GI252" s="208">
        <v>57029444</v>
      </c>
      <c r="GJ252" s="208">
        <v>615389</v>
      </c>
      <c r="GK252" s="208">
        <v>0</v>
      </c>
      <c r="GL252" s="208">
        <v>615389</v>
      </c>
      <c r="GM252" s="208">
        <v>-9319665</v>
      </c>
      <c r="GN252" s="208">
        <v>0</v>
      </c>
      <c r="GO252" s="208">
        <v>-9319665</v>
      </c>
      <c r="GP252" s="208">
        <v>-1965430</v>
      </c>
      <c r="GQ252" s="208">
        <v>0</v>
      </c>
      <c r="GR252" s="208">
        <v>-1965430</v>
      </c>
      <c r="GS252" s="208">
        <v>-231303</v>
      </c>
      <c r="GT252" s="208">
        <v>0</v>
      </c>
      <c r="GU252" s="208">
        <v>-231303</v>
      </c>
      <c r="GV252" s="208">
        <v>-372607</v>
      </c>
      <c r="GW252" s="208">
        <v>0</v>
      </c>
      <c r="GX252" s="208">
        <v>-372607</v>
      </c>
      <c r="GY252" s="208">
        <v>0</v>
      </c>
      <c r="GZ252" s="208">
        <v>0</v>
      </c>
      <c r="HA252" s="208">
        <v>0</v>
      </c>
      <c r="HB252" s="208">
        <v>-11273616</v>
      </c>
      <c r="HC252" s="208">
        <v>0</v>
      </c>
      <c r="HD252" s="208">
        <v>-11273616</v>
      </c>
      <c r="HE252" s="208">
        <v>45755828</v>
      </c>
      <c r="HF252" s="208">
        <v>0</v>
      </c>
      <c r="HG252" s="208">
        <v>45755828</v>
      </c>
      <c r="HH252" s="187" t="s">
        <v>1054</v>
      </c>
    </row>
    <row r="253" spans="1:216" s="187" customFormat="1" x14ac:dyDescent="0.2">
      <c r="B253" s="429" t="s">
        <v>584</v>
      </c>
      <c r="C253" s="429" t="s">
        <v>583</v>
      </c>
      <c r="D253" s="208">
        <v>-650608</v>
      </c>
      <c r="E253" s="208">
        <v>0</v>
      </c>
      <c r="F253" s="208">
        <v>-650608</v>
      </c>
      <c r="G253" s="208">
        <v>7027</v>
      </c>
      <c r="H253" s="208">
        <v>0</v>
      </c>
      <c r="I253" s="208">
        <v>7027</v>
      </c>
      <c r="J253" s="208">
        <v>424033</v>
      </c>
      <c r="K253" s="208">
        <v>45122</v>
      </c>
      <c r="L253" s="208">
        <v>469155</v>
      </c>
      <c r="M253" s="208">
        <v>-20468</v>
      </c>
      <c r="N253" s="208">
        <v>2237</v>
      </c>
      <c r="O253" s="208">
        <v>-18231</v>
      </c>
      <c r="P253" s="208">
        <v>-240016</v>
      </c>
      <c r="Q253" s="208">
        <v>47359</v>
      </c>
      <c r="R253" s="208">
        <v>-192657</v>
      </c>
      <c r="S253" s="208">
        <v>-3265634</v>
      </c>
      <c r="T253" s="208">
        <v>0</v>
      </c>
      <c r="U253" s="208">
        <v>-3265634</v>
      </c>
      <c r="V253" s="208">
        <v>0</v>
      </c>
      <c r="W253" s="208">
        <v>0</v>
      </c>
      <c r="X253" s="208">
        <v>0</v>
      </c>
      <c r="Y253" s="208">
        <v>-138038</v>
      </c>
      <c r="Z253" s="208">
        <v>0</v>
      </c>
      <c r="AA253" s="208">
        <v>-138038</v>
      </c>
      <c r="AB253" s="208">
        <v>-39360</v>
      </c>
      <c r="AC253" s="208">
        <v>0</v>
      </c>
      <c r="AD253" s="208">
        <v>-39360</v>
      </c>
      <c r="AE253" s="208">
        <v>-98678</v>
      </c>
      <c r="AF253" s="208">
        <v>0</v>
      </c>
      <c r="AG253" s="208">
        <v>-98678</v>
      </c>
      <c r="AH253" s="208">
        <v>0</v>
      </c>
      <c r="AI253" s="208">
        <v>0</v>
      </c>
      <c r="AJ253" s="208">
        <v>0</v>
      </c>
      <c r="AK253" s="208">
        <v>0</v>
      </c>
      <c r="AL253" s="208">
        <v>0</v>
      </c>
      <c r="AM253" s="208">
        <v>0</v>
      </c>
      <c r="AN253" s="208">
        <v>491262</v>
      </c>
      <c r="AO253" s="208">
        <v>81842</v>
      </c>
      <c r="AP253" s="208">
        <v>573104</v>
      </c>
      <c r="AQ253" s="208">
        <v>-4686</v>
      </c>
      <c r="AR253" s="208">
        <v>-323.35000000000002</v>
      </c>
      <c r="AS253" s="208">
        <v>-5009.3500000000004</v>
      </c>
      <c r="AT253" s="208">
        <v>-1242296</v>
      </c>
      <c r="AU253" s="208">
        <v>0</v>
      </c>
      <c r="AV253" s="208">
        <v>-1242296</v>
      </c>
      <c r="AW253" s="208">
        <v>-2992</v>
      </c>
      <c r="AX253" s="208">
        <v>0</v>
      </c>
      <c r="AY253" s="208">
        <v>-2992</v>
      </c>
      <c r="AZ253" s="208">
        <v>-21475</v>
      </c>
      <c r="BA253" s="208">
        <v>0</v>
      </c>
      <c r="BB253" s="208">
        <v>-21475</v>
      </c>
      <c r="BC253" s="208">
        <v>0</v>
      </c>
      <c r="BD253" s="208">
        <v>0</v>
      </c>
      <c r="BE253" s="208">
        <v>0</v>
      </c>
      <c r="BF253" s="208">
        <v>-6939</v>
      </c>
      <c r="BG253" s="208">
        <v>0</v>
      </c>
      <c r="BH253" s="208">
        <v>-6939</v>
      </c>
      <c r="BI253" s="208">
        <v>0</v>
      </c>
      <c r="BJ253" s="208">
        <v>0</v>
      </c>
      <c r="BK253" s="208">
        <v>0</v>
      </c>
      <c r="BL253" s="208">
        <v>-4190798</v>
      </c>
      <c r="BM253" s="208">
        <v>81519</v>
      </c>
      <c r="BN253" s="208">
        <v>-4109279</v>
      </c>
      <c r="BO253" s="208">
        <v>0</v>
      </c>
      <c r="BP253" s="208">
        <v>0</v>
      </c>
      <c r="BQ253" s="208">
        <v>0</v>
      </c>
      <c r="BR253" s="208">
        <v>0</v>
      </c>
      <c r="BS253" s="208">
        <v>0</v>
      </c>
      <c r="BT253" s="208">
        <v>0</v>
      </c>
      <c r="BU253" s="208">
        <v>-400444</v>
      </c>
      <c r="BV253" s="208">
        <v>-1923</v>
      </c>
      <c r="BW253" s="208">
        <v>-402367</v>
      </c>
      <c r="BX253" s="208">
        <v>-32815</v>
      </c>
      <c r="BY253" s="208">
        <v>-11699</v>
      </c>
      <c r="BZ253" s="208">
        <v>-44514</v>
      </c>
      <c r="CA253" s="208">
        <v>-433259</v>
      </c>
      <c r="CB253" s="208">
        <v>-13622</v>
      </c>
      <c r="CC253" s="208">
        <v>-446881</v>
      </c>
      <c r="CD253" s="208">
        <v>-49029</v>
      </c>
      <c r="CE253" s="208">
        <v>0</v>
      </c>
      <c r="CF253" s="208">
        <v>-49029</v>
      </c>
      <c r="CG253" s="208">
        <v>-748</v>
      </c>
      <c r="CH253" s="208">
        <v>0</v>
      </c>
      <c r="CI253" s="208">
        <v>-748</v>
      </c>
      <c r="CJ253" s="208">
        <v>-233805</v>
      </c>
      <c r="CK253" s="208">
        <v>0</v>
      </c>
      <c r="CL253" s="208">
        <v>-233805</v>
      </c>
      <c r="CM253" s="208">
        <v>0</v>
      </c>
      <c r="CN253" s="208">
        <v>0</v>
      </c>
      <c r="CO253" s="208">
        <v>0</v>
      </c>
      <c r="CP253" s="208">
        <v>-4284</v>
      </c>
      <c r="CQ253" s="208">
        <v>0</v>
      </c>
      <c r="CR253" s="208">
        <v>-4284</v>
      </c>
      <c r="CS253" s="208">
        <v>0</v>
      </c>
      <c r="CT253" s="208">
        <v>0</v>
      </c>
      <c r="CU253" s="208">
        <v>0</v>
      </c>
      <c r="CV253" s="208">
        <v>0</v>
      </c>
      <c r="CW253" s="208">
        <v>0</v>
      </c>
      <c r="CX253" s="208">
        <v>0</v>
      </c>
      <c r="CY253" s="208">
        <v>0</v>
      </c>
      <c r="CZ253" s="208">
        <v>0</v>
      </c>
      <c r="DA253" s="208">
        <v>0</v>
      </c>
      <c r="DB253" s="208">
        <v>0</v>
      </c>
      <c r="DC253" s="208">
        <v>0</v>
      </c>
      <c r="DD253" s="208">
        <v>0</v>
      </c>
      <c r="DE253" s="208">
        <v>0</v>
      </c>
      <c r="DF253" s="208">
        <v>0</v>
      </c>
      <c r="DG253" s="208">
        <v>0</v>
      </c>
      <c r="DH253" s="208">
        <v>0</v>
      </c>
      <c r="DI253" s="208">
        <v>-161181</v>
      </c>
      <c r="DJ253" s="208">
        <v>-161181</v>
      </c>
      <c r="DK253" s="208">
        <v>0</v>
      </c>
      <c r="DL253" s="208">
        <v>0</v>
      </c>
      <c r="DM253" s="208">
        <v>0</v>
      </c>
      <c r="DN253" s="208">
        <v>-161181</v>
      </c>
      <c r="DO253" s="208">
        <v>0</v>
      </c>
      <c r="DP253" s="208">
        <v>-287866</v>
      </c>
      <c r="DQ253" s="208">
        <v>-161181</v>
      </c>
      <c r="DR253" s="208">
        <v>-449047</v>
      </c>
      <c r="DS253" s="208">
        <v>0</v>
      </c>
      <c r="DT253" s="208">
        <v>0</v>
      </c>
      <c r="DU253" s="208">
        <v>0</v>
      </c>
      <c r="DV253" s="208">
        <v>0</v>
      </c>
      <c r="DW253" s="208">
        <v>0</v>
      </c>
      <c r="DX253" s="208">
        <v>0</v>
      </c>
      <c r="DY253" s="208">
        <v>0</v>
      </c>
      <c r="DZ253" s="208">
        <v>0</v>
      </c>
      <c r="EA253" s="208">
        <v>0</v>
      </c>
      <c r="EB253" s="208">
        <v>0</v>
      </c>
      <c r="EC253" s="208">
        <v>0</v>
      </c>
      <c r="ED253" s="208">
        <v>0</v>
      </c>
      <c r="EE253" s="208">
        <v>0</v>
      </c>
      <c r="EF253" s="208">
        <v>0</v>
      </c>
      <c r="EG253" s="208">
        <v>0</v>
      </c>
      <c r="EH253" s="208">
        <v>0</v>
      </c>
      <c r="EI253" s="208">
        <v>0</v>
      </c>
      <c r="EJ253" s="208">
        <v>0</v>
      </c>
      <c r="EK253" s="208">
        <v>-6939</v>
      </c>
      <c r="EL253" s="208">
        <v>0</v>
      </c>
      <c r="EM253" s="208">
        <v>-6939</v>
      </c>
      <c r="EN253" s="208">
        <v>0</v>
      </c>
      <c r="EO253" s="208">
        <v>0</v>
      </c>
      <c r="EP253" s="208">
        <v>0</v>
      </c>
      <c r="EQ253" s="208">
        <v>0</v>
      </c>
      <c r="ER253" s="208">
        <v>0</v>
      </c>
      <c r="ES253" s="208">
        <v>0</v>
      </c>
      <c r="ET253" s="208">
        <v>0</v>
      </c>
      <c r="EU253" s="208">
        <v>0</v>
      </c>
      <c r="EV253" s="208">
        <v>0</v>
      </c>
      <c r="EW253" s="208">
        <v>-19004</v>
      </c>
      <c r="EX253" s="208">
        <v>0</v>
      </c>
      <c r="EY253" s="208">
        <v>-19004</v>
      </c>
      <c r="EZ253" s="208">
        <v>1547</v>
      </c>
      <c r="FA253" s="208">
        <v>0</v>
      </c>
      <c r="FB253" s="208">
        <v>1547</v>
      </c>
      <c r="FC253" s="208">
        <v>-78412</v>
      </c>
      <c r="FD253" s="208">
        <v>0</v>
      </c>
      <c r="FE253" s="208">
        <v>-78412</v>
      </c>
      <c r="FF253" s="208">
        <v>107</v>
      </c>
      <c r="FG253" s="208">
        <v>0</v>
      </c>
      <c r="FH253" s="208">
        <v>107</v>
      </c>
      <c r="FI253" s="208">
        <v>-51858</v>
      </c>
      <c r="FJ253" s="208">
        <v>0</v>
      </c>
      <c r="FK253" s="208">
        <v>-51858</v>
      </c>
      <c r="FL253" s="208">
        <v>-583.55999999999995</v>
      </c>
      <c r="FM253" s="208">
        <v>0</v>
      </c>
      <c r="FN253" s="208">
        <v>-583.55999999999995</v>
      </c>
      <c r="FO253" s="208">
        <v>0</v>
      </c>
      <c r="FP253" s="208">
        <v>0</v>
      </c>
      <c r="FQ253" s="208">
        <v>0</v>
      </c>
      <c r="FR253" s="208">
        <v>0</v>
      </c>
      <c r="FS253" s="208">
        <v>0</v>
      </c>
      <c r="FT253" s="208">
        <v>0</v>
      </c>
      <c r="FU253" s="208">
        <v>-155143</v>
      </c>
      <c r="FV253" s="208">
        <v>0</v>
      </c>
      <c r="FW253" s="208">
        <v>-155143</v>
      </c>
      <c r="FX253" s="208">
        <v>0</v>
      </c>
      <c r="FY253" s="208">
        <v>0</v>
      </c>
      <c r="FZ253" s="208">
        <v>0</v>
      </c>
      <c r="GA253" s="208">
        <v>0</v>
      </c>
      <c r="GB253" s="208">
        <v>0</v>
      </c>
      <c r="GC253" s="208">
        <v>0</v>
      </c>
      <c r="GD253" s="208">
        <v>0</v>
      </c>
      <c r="GE253" s="208">
        <v>0</v>
      </c>
      <c r="GF253" s="208">
        <v>0</v>
      </c>
      <c r="GG253" s="208">
        <v>27655865</v>
      </c>
      <c r="GH253" s="208">
        <v>3009193</v>
      </c>
      <c r="GI253" s="208">
        <v>30665058</v>
      </c>
      <c r="GJ253" s="208">
        <v>-240016</v>
      </c>
      <c r="GK253" s="208">
        <v>47359</v>
      </c>
      <c r="GL253" s="208">
        <v>-192657</v>
      </c>
      <c r="GM253" s="208">
        <v>-4190798</v>
      </c>
      <c r="GN253" s="208">
        <v>81519</v>
      </c>
      <c r="GO253" s="208">
        <v>-4109279</v>
      </c>
      <c r="GP253" s="208">
        <v>-433259</v>
      </c>
      <c r="GQ253" s="208">
        <v>-13622</v>
      </c>
      <c r="GR253" s="208">
        <v>-446881</v>
      </c>
      <c r="GS253" s="208">
        <v>-287866</v>
      </c>
      <c r="GT253" s="208">
        <v>-161181</v>
      </c>
      <c r="GU253" s="208">
        <v>-449047</v>
      </c>
      <c r="GV253" s="208">
        <v>-155143</v>
      </c>
      <c r="GW253" s="208">
        <v>0</v>
      </c>
      <c r="GX253" s="208">
        <v>-155143</v>
      </c>
      <c r="GY253" s="208">
        <v>0</v>
      </c>
      <c r="GZ253" s="208">
        <v>0</v>
      </c>
      <c r="HA253" s="208">
        <v>0</v>
      </c>
      <c r="HB253" s="208">
        <v>-5307082</v>
      </c>
      <c r="HC253" s="208">
        <v>-45925</v>
      </c>
      <c r="HD253" s="208">
        <v>-5353007</v>
      </c>
      <c r="HE253" s="208">
        <v>22348783</v>
      </c>
      <c r="HF253" s="208">
        <v>2963268</v>
      </c>
      <c r="HG253" s="208">
        <v>25312051</v>
      </c>
      <c r="HH253" s="187" t="s">
        <v>1054</v>
      </c>
    </row>
    <row r="254" spans="1:216" s="187" customFormat="1" x14ac:dyDescent="0.2">
      <c r="B254" s="429" t="s">
        <v>586</v>
      </c>
      <c r="C254" s="429" t="s">
        <v>585</v>
      </c>
      <c r="D254" s="208">
        <v>-829728</v>
      </c>
      <c r="E254" s="208">
        <v>0</v>
      </c>
      <c r="F254" s="208">
        <v>-829728</v>
      </c>
      <c r="G254" s="208">
        <v>-130610</v>
      </c>
      <c r="H254" s="208">
        <v>0</v>
      </c>
      <c r="I254" s="208">
        <v>-130610</v>
      </c>
      <c r="J254" s="208">
        <v>1936159</v>
      </c>
      <c r="K254" s="208">
        <v>0</v>
      </c>
      <c r="L254" s="208">
        <v>1936159</v>
      </c>
      <c r="M254" s="208">
        <v>271</v>
      </c>
      <c r="N254" s="208">
        <v>0</v>
      </c>
      <c r="O254" s="208">
        <v>271</v>
      </c>
      <c r="P254" s="208">
        <v>976092</v>
      </c>
      <c r="Q254" s="208">
        <v>0</v>
      </c>
      <c r="R254" s="208">
        <v>976092</v>
      </c>
      <c r="S254" s="208">
        <v>-4020341</v>
      </c>
      <c r="T254" s="208">
        <v>0</v>
      </c>
      <c r="U254" s="208">
        <v>-4020341</v>
      </c>
      <c r="V254" s="208">
        <v>-19900</v>
      </c>
      <c r="W254" s="208">
        <v>0</v>
      </c>
      <c r="X254" s="208">
        <v>-19900</v>
      </c>
      <c r="Y254" s="208">
        <v>-44110</v>
      </c>
      <c r="Z254" s="208">
        <v>0</v>
      </c>
      <c r="AA254" s="208">
        <v>-44110</v>
      </c>
      <c r="AB254" s="208">
        <v>-29324</v>
      </c>
      <c r="AC254" s="208">
        <v>0</v>
      </c>
      <c r="AD254" s="208">
        <v>-29324</v>
      </c>
      <c r="AE254" s="208">
        <v>-14786</v>
      </c>
      <c r="AF254" s="208">
        <v>0</v>
      </c>
      <c r="AG254" s="208">
        <v>-14786</v>
      </c>
      <c r="AH254" s="208">
        <v>0</v>
      </c>
      <c r="AI254" s="208">
        <v>0</v>
      </c>
      <c r="AJ254" s="208">
        <v>0</v>
      </c>
      <c r="AK254" s="208">
        <v>0</v>
      </c>
      <c r="AL254" s="208">
        <v>0</v>
      </c>
      <c r="AM254" s="208">
        <v>0</v>
      </c>
      <c r="AN254" s="208">
        <v>657840</v>
      </c>
      <c r="AO254" s="208">
        <v>0</v>
      </c>
      <c r="AP254" s="208">
        <v>657840</v>
      </c>
      <c r="AQ254" s="208">
        <v>102296</v>
      </c>
      <c r="AR254" s="208">
        <v>0</v>
      </c>
      <c r="AS254" s="208">
        <v>102296</v>
      </c>
      <c r="AT254" s="208">
        <v>-2210609</v>
      </c>
      <c r="AU254" s="208">
        <v>0</v>
      </c>
      <c r="AV254" s="208">
        <v>-2210609</v>
      </c>
      <c r="AW254" s="208">
        <v>-20425</v>
      </c>
      <c r="AX254" s="208">
        <v>0</v>
      </c>
      <c r="AY254" s="208">
        <v>-20425</v>
      </c>
      <c r="AZ254" s="208">
        <v>-64899</v>
      </c>
      <c r="BA254" s="208">
        <v>0</v>
      </c>
      <c r="BB254" s="208">
        <v>-64899</v>
      </c>
      <c r="BC254" s="208">
        <v>0</v>
      </c>
      <c r="BD254" s="208">
        <v>0</v>
      </c>
      <c r="BE254" s="208">
        <v>0</v>
      </c>
      <c r="BF254" s="208">
        <v>0</v>
      </c>
      <c r="BG254" s="208">
        <v>0</v>
      </c>
      <c r="BH254" s="208">
        <v>0</v>
      </c>
      <c r="BI254" s="208">
        <v>0</v>
      </c>
      <c r="BJ254" s="208">
        <v>0</v>
      </c>
      <c r="BK254" s="208">
        <v>0</v>
      </c>
      <c r="BL254" s="208">
        <v>-5600248</v>
      </c>
      <c r="BM254" s="208">
        <v>0</v>
      </c>
      <c r="BN254" s="208">
        <v>-5600248</v>
      </c>
      <c r="BO254" s="208">
        <v>-9386</v>
      </c>
      <c r="BP254" s="208">
        <v>0</v>
      </c>
      <c r="BQ254" s="208">
        <v>-9386</v>
      </c>
      <c r="BR254" s="208">
        <v>0</v>
      </c>
      <c r="BS254" s="208">
        <v>0</v>
      </c>
      <c r="BT254" s="208">
        <v>0</v>
      </c>
      <c r="BU254" s="208">
        <v>-1389710</v>
      </c>
      <c r="BV254" s="208">
        <v>0</v>
      </c>
      <c r="BW254" s="208">
        <v>-1389710</v>
      </c>
      <c r="BX254" s="208">
        <v>127144</v>
      </c>
      <c r="BY254" s="208">
        <v>0</v>
      </c>
      <c r="BZ254" s="208">
        <v>127144</v>
      </c>
      <c r="CA254" s="208">
        <v>-1271952</v>
      </c>
      <c r="CB254" s="208">
        <v>0</v>
      </c>
      <c r="CC254" s="208">
        <v>-1271952</v>
      </c>
      <c r="CD254" s="208">
        <v>-3673</v>
      </c>
      <c r="CE254" s="208">
        <v>0</v>
      </c>
      <c r="CF254" s="208">
        <v>-3673</v>
      </c>
      <c r="CG254" s="208">
        <v>0</v>
      </c>
      <c r="CH254" s="208">
        <v>0</v>
      </c>
      <c r="CI254" s="208">
        <v>0</v>
      </c>
      <c r="CJ254" s="208">
        <v>-64841</v>
      </c>
      <c r="CK254" s="208">
        <v>0</v>
      </c>
      <c r="CL254" s="208">
        <v>-64841</v>
      </c>
      <c r="CM254" s="208">
        <v>-1926</v>
      </c>
      <c r="CN254" s="208">
        <v>0</v>
      </c>
      <c r="CO254" s="208">
        <v>-1926</v>
      </c>
      <c r="CP254" s="208">
        <v>0</v>
      </c>
      <c r="CQ254" s="208">
        <v>0</v>
      </c>
      <c r="CR254" s="208">
        <v>0</v>
      </c>
      <c r="CS254" s="208">
        <v>0</v>
      </c>
      <c r="CT254" s="208">
        <v>0</v>
      </c>
      <c r="CU254" s="208">
        <v>0</v>
      </c>
      <c r="CV254" s="208">
        <v>0</v>
      </c>
      <c r="CW254" s="208">
        <v>0</v>
      </c>
      <c r="CX254" s="208">
        <v>0</v>
      </c>
      <c r="CY254" s="208">
        <v>0</v>
      </c>
      <c r="CZ254" s="208">
        <v>0</v>
      </c>
      <c r="DA254" s="208">
        <v>0</v>
      </c>
      <c r="DB254" s="208">
        <v>0</v>
      </c>
      <c r="DC254" s="208">
        <v>0</v>
      </c>
      <c r="DD254" s="208">
        <v>0</v>
      </c>
      <c r="DE254" s="208">
        <v>0</v>
      </c>
      <c r="DF254" s="208">
        <v>0</v>
      </c>
      <c r="DG254" s="208">
        <v>0</v>
      </c>
      <c r="DH254" s="208">
        <v>0</v>
      </c>
      <c r="DI254" s="208">
        <v>0</v>
      </c>
      <c r="DJ254" s="208">
        <v>0</v>
      </c>
      <c r="DK254" s="208">
        <v>0</v>
      </c>
      <c r="DL254" s="208">
        <v>0</v>
      </c>
      <c r="DM254" s="208">
        <v>0</v>
      </c>
      <c r="DN254" s="208">
        <v>0</v>
      </c>
      <c r="DO254" s="208">
        <v>0</v>
      </c>
      <c r="DP254" s="208">
        <v>-70440</v>
      </c>
      <c r="DQ254" s="208">
        <v>0</v>
      </c>
      <c r="DR254" s="208">
        <v>-70440</v>
      </c>
      <c r="DS254" s="208">
        <v>0</v>
      </c>
      <c r="DT254" s="208">
        <v>0</v>
      </c>
      <c r="DU254" s="208">
        <v>0</v>
      </c>
      <c r="DV254" s="208">
        <v>0</v>
      </c>
      <c r="DW254" s="208">
        <v>0</v>
      </c>
      <c r="DX254" s="208">
        <v>0</v>
      </c>
      <c r="DY254" s="208">
        <v>2623</v>
      </c>
      <c r="DZ254" s="208">
        <v>0</v>
      </c>
      <c r="EA254" s="208">
        <v>2623</v>
      </c>
      <c r="EB254" s="208">
        <v>0</v>
      </c>
      <c r="EC254" s="208">
        <v>0</v>
      </c>
      <c r="ED254" s="208">
        <v>0</v>
      </c>
      <c r="EE254" s="208">
        <v>0</v>
      </c>
      <c r="EF254" s="208">
        <v>0</v>
      </c>
      <c r="EG254" s="208">
        <v>0</v>
      </c>
      <c r="EH254" s="208">
        <v>0</v>
      </c>
      <c r="EI254" s="208">
        <v>0</v>
      </c>
      <c r="EJ254" s="208">
        <v>0</v>
      </c>
      <c r="EK254" s="208">
        <v>0</v>
      </c>
      <c r="EL254" s="208">
        <v>0</v>
      </c>
      <c r="EM254" s="208">
        <v>0</v>
      </c>
      <c r="EN254" s="208">
        <v>0</v>
      </c>
      <c r="EO254" s="208">
        <v>0</v>
      </c>
      <c r="EP254" s="208">
        <v>0</v>
      </c>
      <c r="EQ254" s="208">
        <v>0</v>
      </c>
      <c r="ER254" s="208">
        <v>0</v>
      </c>
      <c r="ES254" s="208">
        <v>0</v>
      </c>
      <c r="ET254" s="208">
        <v>0</v>
      </c>
      <c r="EU254" s="208">
        <v>0</v>
      </c>
      <c r="EV254" s="208">
        <v>0</v>
      </c>
      <c r="EW254" s="208">
        <v>-10750</v>
      </c>
      <c r="EX254" s="208">
        <v>0</v>
      </c>
      <c r="EY254" s="208">
        <v>-10750</v>
      </c>
      <c r="EZ254" s="208">
        <v>-118</v>
      </c>
      <c r="FA254" s="208">
        <v>0</v>
      </c>
      <c r="FB254" s="208">
        <v>-118</v>
      </c>
      <c r="FC254" s="208">
        <v>-96515</v>
      </c>
      <c r="FD254" s="208">
        <v>0</v>
      </c>
      <c r="FE254" s="208">
        <v>-96515</v>
      </c>
      <c r="FF254" s="208">
        <v>7635</v>
      </c>
      <c r="FG254" s="208">
        <v>0</v>
      </c>
      <c r="FH254" s="208">
        <v>7635</v>
      </c>
      <c r="FI254" s="208">
        <v>-50488</v>
      </c>
      <c r="FJ254" s="208">
        <v>0</v>
      </c>
      <c r="FK254" s="208">
        <v>-50488</v>
      </c>
      <c r="FL254" s="208">
        <v>-263</v>
      </c>
      <c r="FM254" s="208">
        <v>0</v>
      </c>
      <c r="FN254" s="208">
        <v>-263</v>
      </c>
      <c r="FO254" s="208">
        <v>0</v>
      </c>
      <c r="FP254" s="208">
        <v>0</v>
      </c>
      <c r="FQ254" s="208">
        <v>0</v>
      </c>
      <c r="FR254" s="208">
        <v>0</v>
      </c>
      <c r="FS254" s="208">
        <v>0</v>
      </c>
      <c r="FT254" s="208">
        <v>0</v>
      </c>
      <c r="FU254" s="208">
        <v>-147876</v>
      </c>
      <c r="FV254" s="208">
        <v>0</v>
      </c>
      <c r="FW254" s="208">
        <v>-147876</v>
      </c>
      <c r="FX254" s="208">
        <v>0</v>
      </c>
      <c r="FY254" s="208">
        <v>0</v>
      </c>
      <c r="FZ254" s="208">
        <v>0</v>
      </c>
      <c r="GA254" s="208">
        <v>0</v>
      </c>
      <c r="GB254" s="208">
        <v>0</v>
      </c>
      <c r="GC254" s="208">
        <v>0</v>
      </c>
      <c r="GD254" s="208">
        <v>0</v>
      </c>
      <c r="GE254" s="208">
        <v>0</v>
      </c>
      <c r="GF254" s="208">
        <v>0</v>
      </c>
      <c r="GG254" s="208">
        <v>36251737</v>
      </c>
      <c r="GH254" s="208">
        <v>0</v>
      </c>
      <c r="GI254" s="208">
        <v>36251737</v>
      </c>
      <c r="GJ254" s="208">
        <v>976092</v>
      </c>
      <c r="GK254" s="208">
        <v>0</v>
      </c>
      <c r="GL254" s="208">
        <v>976092</v>
      </c>
      <c r="GM254" s="208">
        <v>-5600248</v>
      </c>
      <c r="GN254" s="208">
        <v>0</v>
      </c>
      <c r="GO254" s="208">
        <v>-5600248</v>
      </c>
      <c r="GP254" s="208">
        <v>-1271952</v>
      </c>
      <c r="GQ254" s="208">
        <v>0</v>
      </c>
      <c r="GR254" s="208">
        <v>-1271952</v>
      </c>
      <c r="GS254" s="208">
        <v>-70440</v>
      </c>
      <c r="GT254" s="208">
        <v>0</v>
      </c>
      <c r="GU254" s="208">
        <v>-70440</v>
      </c>
      <c r="GV254" s="208">
        <v>-147876</v>
      </c>
      <c r="GW254" s="208">
        <v>0</v>
      </c>
      <c r="GX254" s="208">
        <v>-147876</v>
      </c>
      <c r="GY254" s="208">
        <v>0</v>
      </c>
      <c r="GZ254" s="208">
        <v>0</v>
      </c>
      <c r="HA254" s="208">
        <v>0</v>
      </c>
      <c r="HB254" s="208">
        <v>-6114424</v>
      </c>
      <c r="HC254" s="208">
        <v>0</v>
      </c>
      <c r="HD254" s="208">
        <v>-6114424</v>
      </c>
      <c r="HE254" s="208">
        <v>30137313</v>
      </c>
      <c r="HF254" s="208">
        <v>0</v>
      </c>
      <c r="HG254" s="208">
        <v>30137313</v>
      </c>
      <c r="HH254" s="187" t="s">
        <v>1056</v>
      </c>
    </row>
    <row r="255" spans="1:216" s="187" customFormat="1" x14ac:dyDescent="0.2">
      <c r="B255" s="429" t="s">
        <v>588</v>
      </c>
      <c r="C255" s="429" t="s">
        <v>587</v>
      </c>
      <c r="D255" s="208">
        <v>-2020364</v>
      </c>
      <c r="E255" s="208">
        <v>0</v>
      </c>
      <c r="F255" s="208">
        <v>-2020364</v>
      </c>
      <c r="G255" s="208">
        <v>295045</v>
      </c>
      <c r="H255" s="208">
        <v>0</v>
      </c>
      <c r="I255" s="208">
        <v>295045</v>
      </c>
      <c r="J255" s="208">
        <v>4117756</v>
      </c>
      <c r="K255" s="208">
        <v>0</v>
      </c>
      <c r="L255" s="208">
        <v>4117756</v>
      </c>
      <c r="M255" s="208">
        <v>-87782</v>
      </c>
      <c r="N255" s="208">
        <v>0</v>
      </c>
      <c r="O255" s="208">
        <v>-87782</v>
      </c>
      <c r="P255" s="208">
        <v>2304655</v>
      </c>
      <c r="Q255" s="208">
        <v>0</v>
      </c>
      <c r="R255" s="208">
        <v>2304655</v>
      </c>
      <c r="S255" s="208">
        <v>-5973904</v>
      </c>
      <c r="T255" s="208">
        <v>0</v>
      </c>
      <c r="U255" s="208">
        <v>-5973904</v>
      </c>
      <c r="V255" s="208">
        <v>-16392</v>
      </c>
      <c r="W255" s="208">
        <v>0</v>
      </c>
      <c r="X255" s="208">
        <v>-16392</v>
      </c>
      <c r="Y255" s="208">
        <v>-213376</v>
      </c>
      <c r="Z255" s="208">
        <v>0</v>
      </c>
      <c r="AA255" s="208">
        <v>-213376</v>
      </c>
      <c r="AB255" s="208">
        <v>-48711</v>
      </c>
      <c r="AC255" s="208">
        <v>0</v>
      </c>
      <c r="AD255" s="208">
        <v>-48711</v>
      </c>
      <c r="AE255" s="208">
        <v>-164665</v>
      </c>
      <c r="AF255" s="208">
        <v>0</v>
      </c>
      <c r="AG255" s="208">
        <v>-164665</v>
      </c>
      <c r="AH255" s="208">
        <v>0</v>
      </c>
      <c r="AI255" s="208">
        <v>0</v>
      </c>
      <c r="AJ255" s="208">
        <v>0</v>
      </c>
      <c r="AK255" s="208">
        <v>-890</v>
      </c>
      <c r="AL255" s="208">
        <v>0</v>
      </c>
      <c r="AM255" s="208">
        <v>-890</v>
      </c>
      <c r="AN255" s="208">
        <v>2728022</v>
      </c>
      <c r="AO255" s="208">
        <v>0</v>
      </c>
      <c r="AP255" s="208">
        <v>2728022</v>
      </c>
      <c r="AQ255" s="208">
        <v>-2179</v>
      </c>
      <c r="AR255" s="208">
        <v>0</v>
      </c>
      <c r="AS255" s="208">
        <v>-2179</v>
      </c>
      <c r="AT255" s="208">
        <v>-11720212</v>
      </c>
      <c r="AU255" s="208">
        <v>0</v>
      </c>
      <c r="AV255" s="208">
        <v>-11720212</v>
      </c>
      <c r="AW255" s="208">
        <v>-834</v>
      </c>
      <c r="AX255" s="208">
        <v>0</v>
      </c>
      <c r="AY255" s="208">
        <v>-834</v>
      </c>
      <c r="AZ255" s="208">
        <v>-54849</v>
      </c>
      <c r="BA255" s="208">
        <v>0</v>
      </c>
      <c r="BB255" s="208">
        <v>-54849</v>
      </c>
      <c r="BC255" s="208">
        <v>0</v>
      </c>
      <c r="BD255" s="208">
        <v>0</v>
      </c>
      <c r="BE255" s="208">
        <v>0</v>
      </c>
      <c r="BF255" s="208">
        <v>0</v>
      </c>
      <c r="BG255" s="208">
        <v>0</v>
      </c>
      <c r="BH255" s="208">
        <v>0</v>
      </c>
      <c r="BI255" s="208">
        <v>0</v>
      </c>
      <c r="BJ255" s="208">
        <v>0</v>
      </c>
      <c r="BK255" s="208">
        <v>0</v>
      </c>
      <c r="BL255" s="208">
        <v>-15237332</v>
      </c>
      <c r="BM255" s="208">
        <v>0</v>
      </c>
      <c r="BN255" s="208">
        <v>-15237332</v>
      </c>
      <c r="BO255" s="208">
        <v>-14494</v>
      </c>
      <c r="BP255" s="208">
        <v>0</v>
      </c>
      <c r="BQ255" s="208">
        <v>-14494</v>
      </c>
      <c r="BR255" s="208">
        <v>-13164</v>
      </c>
      <c r="BS255" s="208">
        <v>0</v>
      </c>
      <c r="BT255" s="208">
        <v>-13164</v>
      </c>
      <c r="BU255" s="208">
        <v>-3488642</v>
      </c>
      <c r="BV255" s="208">
        <v>0</v>
      </c>
      <c r="BW255" s="208">
        <v>-3488642</v>
      </c>
      <c r="BX255" s="208">
        <v>-76174</v>
      </c>
      <c r="BY255" s="208">
        <v>0</v>
      </c>
      <c r="BZ255" s="208">
        <v>-76174</v>
      </c>
      <c r="CA255" s="208">
        <v>-3592474</v>
      </c>
      <c r="CB255" s="208">
        <v>0</v>
      </c>
      <c r="CC255" s="208">
        <v>-3592474</v>
      </c>
      <c r="CD255" s="208">
        <v>0</v>
      </c>
      <c r="CE255" s="208">
        <v>0</v>
      </c>
      <c r="CF255" s="208">
        <v>0</v>
      </c>
      <c r="CG255" s="208">
        <v>0</v>
      </c>
      <c r="CH255" s="208">
        <v>0</v>
      </c>
      <c r="CI255" s="208">
        <v>0</v>
      </c>
      <c r="CJ255" s="208">
        <v>-104198</v>
      </c>
      <c r="CK255" s="208">
        <v>0</v>
      </c>
      <c r="CL255" s="208">
        <v>-104198</v>
      </c>
      <c r="CM255" s="208">
        <v>-1562</v>
      </c>
      <c r="CN255" s="208">
        <v>0</v>
      </c>
      <c r="CO255" s="208">
        <v>-1562</v>
      </c>
      <c r="CP255" s="208">
        <v>0</v>
      </c>
      <c r="CQ255" s="208">
        <v>0</v>
      </c>
      <c r="CR255" s="208">
        <v>0</v>
      </c>
      <c r="CS255" s="208">
        <v>0</v>
      </c>
      <c r="CT255" s="208">
        <v>0</v>
      </c>
      <c r="CU255" s="208">
        <v>0</v>
      </c>
      <c r="CV255" s="208">
        <v>0</v>
      </c>
      <c r="CW255" s="208">
        <v>0</v>
      </c>
      <c r="CX255" s="208">
        <v>0</v>
      </c>
      <c r="CY255" s="208">
        <v>0</v>
      </c>
      <c r="CZ255" s="208">
        <v>0</v>
      </c>
      <c r="DA255" s="208">
        <v>0</v>
      </c>
      <c r="DB255" s="208">
        <v>0</v>
      </c>
      <c r="DC255" s="208">
        <v>0</v>
      </c>
      <c r="DD255" s="208">
        <v>0</v>
      </c>
      <c r="DE255" s="208">
        <v>0</v>
      </c>
      <c r="DF255" s="208">
        <v>0</v>
      </c>
      <c r="DG255" s="208">
        <v>0</v>
      </c>
      <c r="DH255" s="208">
        <v>-39140</v>
      </c>
      <c r="DI255" s="208">
        <v>0</v>
      </c>
      <c r="DJ255" s="208">
        <v>-39140</v>
      </c>
      <c r="DK255" s="208">
        <v>2177</v>
      </c>
      <c r="DL255" s="208">
        <v>0</v>
      </c>
      <c r="DM255" s="208">
        <v>2177</v>
      </c>
      <c r="DN255" s="208">
        <v>0</v>
      </c>
      <c r="DO255" s="208">
        <v>0</v>
      </c>
      <c r="DP255" s="208">
        <v>-142723</v>
      </c>
      <c r="DQ255" s="208">
        <v>0</v>
      </c>
      <c r="DR255" s="208">
        <v>-142723</v>
      </c>
      <c r="DS255" s="208">
        <v>0</v>
      </c>
      <c r="DT255" s="208">
        <v>0</v>
      </c>
      <c r="DU255" s="208">
        <v>0</v>
      </c>
      <c r="DV255" s="208">
        <v>0</v>
      </c>
      <c r="DW255" s="208">
        <v>0</v>
      </c>
      <c r="DX255" s="208">
        <v>0</v>
      </c>
      <c r="DY255" s="208">
        <v>1463</v>
      </c>
      <c r="DZ255" s="208">
        <v>0</v>
      </c>
      <c r="EA255" s="208">
        <v>1463</v>
      </c>
      <c r="EB255" s="208">
        <v>0</v>
      </c>
      <c r="EC255" s="208">
        <v>0</v>
      </c>
      <c r="ED255" s="208">
        <v>0</v>
      </c>
      <c r="EE255" s="208">
        <v>0</v>
      </c>
      <c r="EF255" s="208">
        <v>0</v>
      </c>
      <c r="EG255" s="208">
        <v>0</v>
      </c>
      <c r="EH255" s="208">
        <v>0</v>
      </c>
      <c r="EI255" s="208">
        <v>0</v>
      </c>
      <c r="EJ255" s="208">
        <v>0</v>
      </c>
      <c r="EK255" s="208">
        <v>0</v>
      </c>
      <c r="EL255" s="208">
        <v>0</v>
      </c>
      <c r="EM255" s="208">
        <v>0</v>
      </c>
      <c r="EN255" s="208">
        <v>0</v>
      </c>
      <c r="EO255" s="208">
        <v>0</v>
      </c>
      <c r="EP255" s="208">
        <v>0</v>
      </c>
      <c r="EQ255" s="208">
        <v>0</v>
      </c>
      <c r="ER255" s="208">
        <v>0</v>
      </c>
      <c r="ES255" s="208">
        <v>0</v>
      </c>
      <c r="ET255" s="208">
        <v>0</v>
      </c>
      <c r="EU255" s="208">
        <v>0</v>
      </c>
      <c r="EV255" s="208">
        <v>0</v>
      </c>
      <c r="EW255" s="208">
        <v>-20125</v>
      </c>
      <c r="EX255" s="208">
        <v>0</v>
      </c>
      <c r="EY255" s="208">
        <v>-20125</v>
      </c>
      <c r="EZ255" s="208">
        <v>-3221</v>
      </c>
      <c r="FA255" s="208">
        <v>0</v>
      </c>
      <c r="FB255" s="208">
        <v>-3221</v>
      </c>
      <c r="FC255" s="208">
        <v>-148344</v>
      </c>
      <c r="FD255" s="208">
        <v>0</v>
      </c>
      <c r="FE255" s="208">
        <v>-148344</v>
      </c>
      <c r="FF255" s="208">
        <v>13740</v>
      </c>
      <c r="FG255" s="208">
        <v>0</v>
      </c>
      <c r="FH255" s="208">
        <v>13740</v>
      </c>
      <c r="FI255" s="208">
        <v>-67000</v>
      </c>
      <c r="FJ255" s="208">
        <v>0</v>
      </c>
      <c r="FK255" s="208">
        <v>-67000</v>
      </c>
      <c r="FL255" s="208">
        <v>-1000</v>
      </c>
      <c r="FM255" s="208">
        <v>0</v>
      </c>
      <c r="FN255" s="208">
        <v>-1000</v>
      </c>
      <c r="FO255" s="208">
        <v>0</v>
      </c>
      <c r="FP255" s="208">
        <v>0</v>
      </c>
      <c r="FQ255" s="208">
        <v>0</v>
      </c>
      <c r="FR255" s="208">
        <v>0</v>
      </c>
      <c r="FS255" s="208">
        <v>0</v>
      </c>
      <c r="FT255" s="208">
        <v>0</v>
      </c>
      <c r="FU255" s="208">
        <v>-224487</v>
      </c>
      <c r="FV255" s="208">
        <v>0</v>
      </c>
      <c r="FW255" s="208">
        <v>-224487</v>
      </c>
      <c r="FX255" s="208">
        <v>0</v>
      </c>
      <c r="FY255" s="208">
        <v>0</v>
      </c>
      <c r="FZ255" s="208">
        <v>0</v>
      </c>
      <c r="GA255" s="208">
        <v>0</v>
      </c>
      <c r="GB255" s="208">
        <v>0</v>
      </c>
      <c r="GC255" s="208">
        <v>0</v>
      </c>
      <c r="GD255" s="208">
        <v>0</v>
      </c>
      <c r="GE255" s="208">
        <v>0</v>
      </c>
      <c r="GF255" s="208">
        <v>0</v>
      </c>
      <c r="GG255" s="208">
        <v>127949802</v>
      </c>
      <c r="GH255" s="208">
        <v>0</v>
      </c>
      <c r="GI255" s="208">
        <v>127949802</v>
      </c>
      <c r="GJ255" s="208">
        <v>2304655</v>
      </c>
      <c r="GK255" s="208">
        <v>0</v>
      </c>
      <c r="GL255" s="208">
        <v>2304655</v>
      </c>
      <c r="GM255" s="208">
        <v>-15237332</v>
      </c>
      <c r="GN255" s="208">
        <v>0</v>
      </c>
      <c r="GO255" s="208">
        <v>-15237332</v>
      </c>
      <c r="GP255" s="208">
        <v>-3592474</v>
      </c>
      <c r="GQ255" s="208">
        <v>0</v>
      </c>
      <c r="GR255" s="208">
        <v>-3592474</v>
      </c>
      <c r="GS255" s="208">
        <v>-142723</v>
      </c>
      <c r="GT255" s="208">
        <v>0</v>
      </c>
      <c r="GU255" s="208">
        <v>-142723</v>
      </c>
      <c r="GV255" s="208">
        <v>-224487</v>
      </c>
      <c r="GW255" s="208">
        <v>0</v>
      </c>
      <c r="GX255" s="208">
        <v>-224487</v>
      </c>
      <c r="GY255" s="208">
        <v>0</v>
      </c>
      <c r="GZ255" s="208">
        <v>0</v>
      </c>
      <c r="HA255" s="208">
        <v>0</v>
      </c>
      <c r="HB255" s="208">
        <v>-16892361</v>
      </c>
      <c r="HC255" s="208">
        <v>0</v>
      </c>
      <c r="HD255" s="208">
        <v>-16892361</v>
      </c>
      <c r="HE255" s="208">
        <v>111057441</v>
      </c>
      <c r="HF255" s="208">
        <v>0</v>
      </c>
      <c r="HG255" s="208">
        <v>111057441</v>
      </c>
      <c r="HH255" s="187" t="s">
        <v>742</v>
      </c>
    </row>
    <row r="256" spans="1:216" s="187" customFormat="1" x14ac:dyDescent="0.2">
      <c r="B256" s="429" t="s">
        <v>590</v>
      </c>
      <c r="C256" s="429" t="s">
        <v>589</v>
      </c>
      <c r="D256" s="208">
        <v>-1242872</v>
      </c>
      <c r="E256" s="208">
        <v>0</v>
      </c>
      <c r="F256" s="208">
        <v>-1242872</v>
      </c>
      <c r="G256" s="208">
        <v>77999</v>
      </c>
      <c r="H256" s="208">
        <v>0</v>
      </c>
      <c r="I256" s="208">
        <v>77999</v>
      </c>
      <c r="J256" s="208">
        <v>2438657</v>
      </c>
      <c r="K256" s="208">
        <v>0</v>
      </c>
      <c r="L256" s="208">
        <v>2438657</v>
      </c>
      <c r="M256" s="208">
        <v>236160</v>
      </c>
      <c r="N256" s="208">
        <v>0</v>
      </c>
      <c r="O256" s="208">
        <v>236160</v>
      </c>
      <c r="P256" s="208">
        <v>1509944</v>
      </c>
      <c r="Q256" s="208">
        <v>0</v>
      </c>
      <c r="R256" s="208">
        <v>1509944</v>
      </c>
      <c r="S256" s="208">
        <v>-7209338</v>
      </c>
      <c r="T256" s="208">
        <v>0</v>
      </c>
      <c r="U256" s="208">
        <v>-7209338</v>
      </c>
      <c r="V256" s="208">
        <v>-30974</v>
      </c>
      <c r="W256" s="208">
        <v>0</v>
      </c>
      <c r="X256" s="208">
        <v>-30974</v>
      </c>
      <c r="Y256" s="208">
        <v>-75138</v>
      </c>
      <c r="Z256" s="208">
        <v>0</v>
      </c>
      <c r="AA256" s="208">
        <v>-75138</v>
      </c>
      <c r="AB256" s="208">
        <v>-40510</v>
      </c>
      <c r="AC256" s="208">
        <v>0</v>
      </c>
      <c r="AD256" s="208">
        <v>-40510</v>
      </c>
      <c r="AE256" s="208">
        <v>-13632</v>
      </c>
      <c r="AF256" s="208">
        <v>0</v>
      </c>
      <c r="AG256" s="208">
        <v>-13632</v>
      </c>
      <c r="AH256" s="208">
        <v>-5995</v>
      </c>
      <c r="AI256" s="208">
        <v>0</v>
      </c>
      <c r="AJ256" s="208">
        <v>-5995</v>
      </c>
      <c r="AK256" s="208">
        <v>-13409</v>
      </c>
      <c r="AL256" s="208">
        <v>0</v>
      </c>
      <c r="AM256" s="208">
        <v>-13409</v>
      </c>
      <c r="AN256" s="208">
        <v>991205</v>
      </c>
      <c r="AO256" s="208">
        <v>0</v>
      </c>
      <c r="AP256" s="208">
        <v>991205</v>
      </c>
      <c r="AQ256" s="208">
        <v>-4286</v>
      </c>
      <c r="AR256" s="208">
        <v>0</v>
      </c>
      <c r="AS256" s="208">
        <v>-4286</v>
      </c>
      <c r="AT256" s="208">
        <v>-4979174</v>
      </c>
      <c r="AU256" s="208">
        <v>0</v>
      </c>
      <c r="AV256" s="208">
        <v>-4979174</v>
      </c>
      <c r="AW256" s="208">
        <v>-72464</v>
      </c>
      <c r="AX256" s="208">
        <v>0</v>
      </c>
      <c r="AY256" s="208">
        <v>-72464</v>
      </c>
      <c r="AZ256" s="208">
        <v>-51369</v>
      </c>
      <c r="BA256" s="208">
        <v>0</v>
      </c>
      <c r="BB256" s="208">
        <v>-51369</v>
      </c>
      <c r="BC256" s="208">
        <v>0</v>
      </c>
      <c r="BD256" s="208">
        <v>0</v>
      </c>
      <c r="BE256" s="208">
        <v>0</v>
      </c>
      <c r="BF256" s="208">
        <v>0</v>
      </c>
      <c r="BG256" s="208">
        <v>0</v>
      </c>
      <c r="BH256" s="208">
        <v>0</v>
      </c>
      <c r="BI256" s="208">
        <v>0</v>
      </c>
      <c r="BJ256" s="208">
        <v>0</v>
      </c>
      <c r="BK256" s="208">
        <v>0</v>
      </c>
      <c r="BL256" s="208">
        <v>-11400564</v>
      </c>
      <c r="BM256" s="208">
        <v>0</v>
      </c>
      <c r="BN256" s="208">
        <v>-11400564</v>
      </c>
      <c r="BO256" s="208">
        <v>-1140</v>
      </c>
      <c r="BP256" s="208">
        <v>0</v>
      </c>
      <c r="BQ256" s="208">
        <v>-1140</v>
      </c>
      <c r="BR256" s="208">
        <v>0</v>
      </c>
      <c r="BS256" s="208">
        <v>0</v>
      </c>
      <c r="BT256" s="208">
        <v>0</v>
      </c>
      <c r="BU256" s="208">
        <v>-1595940</v>
      </c>
      <c r="BV256" s="208">
        <v>0</v>
      </c>
      <c r="BW256" s="208">
        <v>-1595940</v>
      </c>
      <c r="BX256" s="208">
        <v>123700</v>
      </c>
      <c r="BY256" s="208">
        <v>0</v>
      </c>
      <c r="BZ256" s="208">
        <v>123700</v>
      </c>
      <c r="CA256" s="208">
        <v>-1473380</v>
      </c>
      <c r="CB256" s="208">
        <v>0</v>
      </c>
      <c r="CC256" s="208">
        <v>-1473380</v>
      </c>
      <c r="CD256" s="208">
        <v>-74055</v>
      </c>
      <c r="CE256" s="208">
        <v>0</v>
      </c>
      <c r="CF256" s="208">
        <v>-74055</v>
      </c>
      <c r="CG256" s="208">
        <v>-432</v>
      </c>
      <c r="CH256" s="208">
        <v>0</v>
      </c>
      <c r="CI256" s="208">
        <v>-432</v>
      </c>
      <c r="CJ256" s="208">
        <v>-39141</v>
      </c>
      <c r="CK256" s="208">
        <v>0</v>
      </c>
      <c r="CL256" s="208">
        <v>-39141</v>
      </c>
      <c r="CM256" s="208">
        <v>-1922</v>
      </c>
      <c r="CN256" s="208">
        <v>0</v>
      </c>
      <c r="CO256" s="208">
        <v>-1922</v>
      </c>
      <c r="CP256" s="208">
        <v>-3796</v>
      </c>
      <c r="CQ256" s="208">
        <v>0</v>
      </c>
      <c r="CR256" s="208">
        <v>-3796</v>
      </c>
      <c r="CS256" s="208">
        <v>0</v>
      </c>
      <c r="CT256" s="208">
        <v>0</v>
      </c>
      <c r="CU256" s="208">
        <v>0</v>
      </c>
      <c r="CV256" s="208">
        <v>0</v>
      </c>
      <c r="CW256" s="208">
        <v>0</v>
      </c>
      <c r="CX256" s="208">
        <v>0</v>
      </c>
      <c r="CY256" s="208">
        <v>0</v>
      </c>
      <c r="CZ256" s="208">
        <v>0</v>
      </c>
      <c r="DA256" s="208">
        <v>0</v>
      </c>
      <c r="DB256" s="208">
        <v>0</v>
      </c>
      <c r="DC256" s="208">
        <v>0</v>
      </c>
      <c r="DD256" s="208">
        <v>0</v>
      </c>
      <c r="DE256" s="208">
        <v>0</v>
      </c>
      <c r="DF256" s="208">
        <v>0</v>
      </c>
      <c r="DG256" s="208">
        <v>0</v>
      </c>
      <c r="DH256" s="208">
        <v>0</v>
      </c>
      <c r="DI256" s="208">
        <v>0</v>
      </c>
      <c r="DJ256" s="208">
        <v>0</v>
      </c>
      <c r="DK256" s="208">
        <v>0</v>
      </c>
      <c r="DL256" s="208">
        <v>0</v>
      </c>
      <c r="DM256" s="208">
        <v>0</v>
      </c>
      <c r="DN256" s="208">
        <v>0</v>
      </c>
      <c r="DO256" s="208">
        <v>0</v>
      </c>
      <c r="DP256" s="208">
        <v>-119346</v>
      </c>
      <c r="DQ256" s="208">
        <v>0</v>
      </c>
      <c r="DR256" s="208">
        <v>-119346</v>
      </c>
      <c r="DS256" s="208">
        <v>0</v>
      </c>
      <c r="DT256" s="208">
        <v>0</v>
      </c>
      <c r="DU256" s="208">
        <v>0</v>
      </c>
      <c r="DV256" s="208">
        <v>0</v>
      </c>
      <c r="DW256" s="208">
        <v>0</v>
      </c>
      <c r="DX256" s="208">
        <v>0</v>
      </c>
      <c r="DY256" s="208">
        <v>2048</v>
      </c>
      <c r="DZ256" s="208">
        <v>0</v>
      </c>
      <c r="EA256" s="208">
        <v>2048</v>
      </c>
      <c r="EB256" s="208">
        <v>0</v>
      </c>
      <c r="EC256" s="208">
        <v>0</v>
      </c>
      <c r="ED256" s="208">
        <v>0</v>
      </c>
      <c r="EE256" s="208">
        <v>0</v>
      </c>
      <c r="EF256" s="208">
        <v>0</v>
      </c>
      <c r="EG256" s="208">
        <v>0</v>
      </c>
      <c r="EH256" s="208">
        <v>0</v>
      </c>
      <c r="EI256" s="208">
        <v>0</v>
      </c>
      <c r="EJ256" s="208">
        <v>0</v>
      </c>
      <c r="EK256" s="208">
        <v>0</v>
      </c>
      <c r="EL256" s="208">
        <v>0</v>
      </c>
      <c r="EM256" s="208">
        <v>0</v>
      </c>
      <c r="EN256" s="208">
        <v>0</v>
      </c>
      <c r="EO256" s="208">
        <v>0</v>
      </c>
      <c r="EP256" s="208">
        <v>0</v>
      </c>
      <c r="EQ256" s="208">
        <v>0</v>
      </c>
      <c r="ER256" s="208">
        <v>0</v>
      </c>
      <c r="ES256" s="208">
        <v>0</v>
      </c>
      <c r="ET256" s="208">
        <v>0</v>
      </c>
      <c r="EU256" s="208">
        <v>0</v>
      </c>
      <c r="EV256" s="208">
        <v>0</v>
      </c>
      <c r="EW256" s="208">
        <v>-17572</v>
      </c>
      <c r="EX256" s="208">
        <v>0</v>
      </c>
      <c r="EY256" s="208">
        <v>-17572</v>
      </c>
      <c r="EZ256" s="208">
        <v>-180</v>
      </c>
      <c r="FA256" s="208">
        <v>0</v>
      </c>
      <c r="FB256" s="208">
        <v>-180</v>
      </c>
      <c r="FC256" s="208">
        <v>-154380</v>
      </c>
      <c r="FD256" s="208">
        <v>0</v>
      </c>
      <c r="FE256" s="208">
        <v>-154380</v>
      </c>
      <c r="FF256" s="208">
        <v>0</v>
      </c>
      <c r="FG256" s="208">
        <v>0</v>
      </c>
      <c r="FH256" s="208">
        <v>0</v>
      </c>
      <c r="FI256" s="208">
        <v>-24970</v>
      </c>
      <c r="FJ256" s="208">
        <v>0</v>
      </c>
      <c r="FK256" s="208">
        <v>-24970</v>
      </c>
      <c r="FL256" s="208">
        <v>-945</v>
      </c>
      <c r="FM256" s="208">
        <v>0</v>
      </c>
      <c r="FN256" s="208">
        <v>-945</v>
      </c>
      <c r="FO256" s="208">
        <v>0</v>
      </c>
      <c r="FP256" s="208">
        <v>0</v>
      </c>
      <c r="FQ256" s="208">
        <v>0</v>
      </c>
      <c r="FR256" s="208">
        <v>0</v>
      </c>
      <c r="FS256" s="208">
        <v>0</v>
      </c>
      <c r="FT256" s="208">
        <v>0</v>
      </c>
      <c r="FU256" s="208">
        <v>-195999</v>
      </c>
      <c r="FV256" s="208">
        <v>0</v>
      </c>
      <c r="FW256" s="208">
        <v>-195999</v>
      </c>
      <c r="FX256" s="208">
        <v>0</v>
      </c>
      <c r="FY256" s="208">
        <v>0</v>
      </c>
      <c r="FZ256" s="208">
        <v>0</v>
      </c>
      <c r="GA256" s="208">
        <v>0</v>
      </c>
      <c r="GB256" s="208">
        <v>0</v>
      </c>
      <c r="GC256" s="208">
        <v>0</v>
      </c>
      <c r="GD256" s="208">
        <v>0</v>
      </c>
      <c r="GE256" s="208">
        <v>0</v>
      </c>
      <c r="GF256" s="208">
        <v>0</v>
      </c>
      <c r="GG256" s="208">
        <v>58090054</v>
      </c>
      <c r="GH256" s="208">
        <v>0</v>
      </c>
      <c r="GI256" s="208">
        <v>58090054</v>
      </c>
      <c r="GJ256" s="208">
        <v>1509944</v>
      </c>
      <c r="GK256" s="208">
        <v>0</v>
      </c>
      <c r="GL256" s="208">
        <v>1509944</v>
      </c>
      <c r="GM256" s="208">
        <v>-11400564</v>
      </c>
      <c r="GN256" s="208">
        <v>0</v>
      </c>
      <c r="GO256" s="208">
        <v>-11400564</v>
      </c>
      <c r="GP256" s="208">
        <v>-1473380</v>
      </c>
      <c r="GQ256" s="208">
        <v>0</v>
      </c>
      <c r="GR256" s="208">
        <v>-1473380</v>
      </c>
      <c r="GS256" s="208">
        <v>-119346</v>
      </c>
      <c r="GT256" s="208">
        <v>0</v>
      </c>
      <c r="GU256" s="208">
        <v>-119346</v>
      </c>
      <c r="GV256" s="208">
        <v>-195999</v>
      </c>
      <c r="GW256" s="208">
        <v>0</v>
      </c>
      <c r="GX256" s="208">
        <v>-195999</v>
      </c>
      <c r="GY256" s="208">
        <v>0</v>
      </c>
      <c r="GZ256" s="208">
        <v>0</v>
      </c>
      <c r="HA256" s="208">
        <v>0</v>
      </c>
      <c r="HB256" s="208">
        <v>-11679345</v>
      </c>
      <c r="HC256" s="208">
        <v>0</v>
      </c>
      <c r="HD256" s="208">
        <v>-11679345</v>
      </c>
      <c r="HE256" s="208">
        <v>46410709</v>
      </c>
      <c r="HF256" s="208">
        <v>0</v>
      </c>
      <c r="HG256" s="208">
        <v>46410709</v>
      </c>
      <c r="HH256" s="187" t="s">
        <v>742</v>
      </c>
    </row>
    <row r="257" spans="1:216" s="187" customFormat="1" x14ac:dyDescent="0.2">
      <c r="B257" s="429" t="s">
        <v>592</v>
      </c>
      <c r="C257" s="429" t="s">
        <v>591</v>
      </c>
      <c r="D257" s="208">
        <v>-16452021</v>
      </c>
      <c r="E257" s="208">
        <v>0</v>
      </c>
      <c r="F257" s="208">
        <v>-16452021</v>
      </c>
      <c r="G257" s="208">
        <v>-316664</v>
      </c>
      <c r="H257" s="208">
        <v>0</v>
      </c>
      <c r="I257" s="208">
        <v>-316664</v>
      </c>
      <c r="J257" s="208">
        <v>943805</v>
      </c>
      <c r="K257" s="208">
        <v>0</v>
      </c>
      <c r="L257" s="208">
        <v>943805</v>
      </c>
      <c r="M257" s="208">
        <v>17609</v>
      </c>
      <c r="N257" s="208">
        <v>0</v>
      </c>
      <c r="O257" s="208">
        <v>17609</v>
      </c>
      <c r="P257" s="208">
        <v>-15807271</v>
      </c>
      <c r="Q257" s="208">
        <v>0</v>
      </c>
      <c r="R257" s="208">
        <v>-15807271</v>
      </c>
      <c r="S257" s="208">
        <v>-8268400</v>
      </c>
      <c r="T257" s="208">
        <v>0</v>
      </c>
      <c r="U257" s="208">
        <v>-8268400</v>
      </c>
      <c r="V257" s="208">
        <v>-58045</v>
      </c>
      <c r="W257" s="208">
        <v>0</v>
      </c>
      <c r="X257" s="208">
        <v>-58045</v>
      </c>
      <c r="Y257" s="208">
        <v>-428667</v>
      </c>
      <c r="Z257" s="208">
        <v>0</v>
      </c>
      <c r="AA257" s="208">
        <v>-428667</v>
      </c>
      <c r="AB257" s="208">
        <v>-218597</v>
      </c>
      <c r="AC257" s="208">
        <v>0</v>
      </c>
      <c r="AD257" s="208">
        <v>-218597</v>
      </c>
      <c r="AE257" s="208">
        <v>-220206</v>
      </c>
      <c r="AF257" s="208">
        <v>0</v>
      </c>
      <c r="AG257" s="208">
        <v>-220206</v>
      </c>
      <c r="AH257" s="208">
        <v>3282</v>
      </c>
      <c r="AI257" s="208">
        <v>0</v>
      </c>
      <c r="AJ257" s="208">
        <v>3282</v>
      </c>
      <c r="AK257" s="208">
        <v>1554</v>
      </c>
      <c r="AL257" s="208">
        <v>0</v>
      </c>
      <c r="AM257" s="208">
        <v>1554</v>
      </c>
      <c r="AN257" s="208">
        <v>8382158</v>
      </c>
      <c r="AO257" s="208">
        <v>0</v>
      </c>
      <c r="AP257" s="208">
        <v>8382158</v>
      </c>
      <c r="AQ257" s="208">
        <v>585199</v>
      </c>
      <c r="AR257" s="208">
        <v>0</v>
      </c>
      <c r="AS257" s="208">
        <v>585199</v>
      </c>
      <c r="AT257" s="208">
        <v>-34928753</v>
      </c>
      <c r="AU257" s="208">
        <v>0</v>
      </c>
      <c r="AV257" s="208">
        <v>-34928753</v>
      </c>
      <c r="AW257" s="208">
        <v>-848081</v>
      </c>
      <c r="AX257" s="208">
        <v>0</v>
      </c>
      <c r="AY257" s="208">
        <v>-848081</v>
      </c>
      <c r="AZ257" s="208">
        <v>-38032</v>
      </c>
      <c r="BA257" s="208">
        <v>0</v>
      </c>
      <c r="BB257" s="208">
        <v>-38032</v>
      </c>
      <c r="BC257" s="208">
        <v>0</v>
      </c>
      <c r="BD257" s="208">
        <v>0</v>
      </c>
      <c r="BE257" s="208">
        <v>0</v>
      </c>
      <c r="BF257" s="208">
        <v>0</v>
      </c>
      <c r="BG257" s="208">
        <v>0</v>
      </c>
      <c r="BH257" s="208">
        <v>0</v>
      </c>
      <c r="BI257" s="208">
        <v>0</v>
      </c>
      <c r="BJ257" s="208">
        <v>0</v>
      </c>
      <c r="BK257" s="208">
        <v>0</v>
      </c>
      <c r="BL257" s="208">
        <v>-35544576</v>
      </c>
      <c r="BM257" s="208">
        <v>0</v>
      </c>
      <c r="BN257" s="208">
        <v>-35544576</v>
      </c>
      <c r="BO257" s="208">
        <v>-8909</v>
      </c>
      <c r="BP257" s="208">
        <v>0</v>
      </c>
      <c r="BQ257" s="208">
        <v>-8909</v>
      </c>
      <c r="BR257" s="208">
        <v>-57457</v>
      </c>
      <c r="BS257" s="208">
        <v>0</v>
      </c>
      <c r="BT257" s="208">
        <v>-57457</v>
      </c>
      <c r="BU257" s="208">
        <v>-12762752</v>
      </c>
      <c r="BV257" s="208">
        <v>0</v>
      </c>
      <c r="BW257" s="208">
        <v>-12762752</v>
      </c>
      <c r="BX257" s="208">
        <v>-3586304</v>
      </c>
      <c r="BY257" s="208">
        <v>0</v>
      </c>
      <c r="BZ257" s="208">
        <v>-3586304</v>
      </c>
      <c r="CA257" s="208">
        <v>-16415422</v>
      </c>
      <c r="CB257" s="208">
        <v>0</v>
      </c>
      <c r="CC257" s="208">
        <v>-16415422</v>
      </c>
      <c r="CD257" s="208">
        <v>-381206</v>
      </c>
      <c r="CE257" s="208">
        <v>0</v>
      </c>
      <c r="CF257" s="208">
        <v>-381206</v>
      </c>
      <c r="CG257" s="208">
        <v>-10485</v>
      </c>
      <c r="CH257" s="208">
        <v>0</v>
      </c>
      <c r="CI257" s="208">
        <v>-10485</v>
      </c>
      <c r="CJ257" s="208">
        <v>-83909</v>
      </c>
      <c r="CK257" s="208">
        <v>0</v>
      </c>
      <c r="CL257" s="208">
        <v>-83909</v>
      </c>
      <c r="CM257" s="208">
        <v>-17937</v>
      </c>
      <c r="CN257" s="208">
        <v>0</v>
      </c>
      <c r="CO257" s="208">
        <v>-17937</v>
      </c>
      <c r="CP257" s="208">
        <v>0</v>
      </c>
      <c r="CQ257" s="208">
        <v>0</v>
      </c>
      <c r="CR257" s="208">
        <v>0</v>
      </c>
      <c r="CS257" s="208">
        <v>0</v>
      </c>
      <c r="CT257" s="208">
        <v>0</v>
      </c>
      <c r="CU257" s="208">
        <v>0</v>
      </c>
      <c r="CV257" s="208">
        <v>0</v>
      </c>
      <c r="CW257" s="208">
        <v>0</v>
      </c>
      <c r="CX257" s="208">
        <v>0</v>
      </c>
      <c r="CY257" s="208">
        <v>0</v>
      </c>
      <c r="CZ257" s="208">
        <v>0</v>
      </c>
      <c r="DA257" s="208">
        <v>0</v>
      </c>
      <c r="DB257" s="208">
        <v>0</v>
      </c>
      <c r="DC257" s="208">
        <v>0</v>
      </c>
      <c r="DD257" s="208">
        <v>0</v>
      </c>
      <c r="DE257" s="208">
        <v>0</v>
      </c>
      <c r="DF257" s="208">
        <v>0</v>
      </c>
      <c r="DG257" s="208">
        <v>0</v>
      </c>
      <c r="DH257" s="208">
        <v>0</v>
      </c>
      <c r="DI257" s="208">
        <v>0</v>
      </c>
      <c r="DJ257" s="208">
        <v>0</v>
      </c>
      <c r="DK257" s="208">
        <v>-166</v>
      </c>
      <c r="DL257" s="208">
        <v>0</v>
      </c>
      <c r="DM257" s="208">
        <v>-166</v>
      </c>
      <c r="DN257" s="208">
        <v>0</v>
      </c>
      <c r="DO257" s="208">
        <v>0</v>
      </c>
      <c r="DP257" s="208">
        <v>-493703</v>
      </c>
      <c r="DQ257" s="208">
        <v>0</v>
      </c>
      <c r="DR257" s="208">
        <v>-493703</v>
      </c>
      <c r="DS257" s="208">
        <v>0</v>
      </c>
      <c r="DT257" s="208">
        <v>0</v>
      </c>
      <c r="DU257" s="208">
        <v>0</v>
      </c>
      <c r="DV257" s="208">
        <v>0</v>
      </c>
      <c r="DW257" s="208">
        <v>0</v>
      </c>
      <c r="DX257" s="208">
        <v>0</v>
      </c>
      <c r="DY257" s="208">
        <v>322</v>
      </c>
      <c r="DZ257" s="208">
        <v>0</v>
      </c>
      <c r="EA257" s="208">
        <v>322</v>
      </c>
      <c r="EB257" s="208">
        <v>0</v>
      </c>
      <c r="EC257" s="208">
        <v>0</v>
      </c>
      <c r="ED257" s="208">
        <v>0</v>
      </c>
      <c r="EE257" s="208">
        <v>0</v>
      </c>
      <c r="EF257" s="208">
        <v>0</v>
      </c>
      <c r="EG257" s="208">
        <v>0</v>
      </c>
      <c r="EH257" s="208">
        <v>-1357</v>
      </c>
      <c r="EI257" s="208">
        <v>0</v>
      </c>
      <c r="EJ257" s="208">
        <v>-1357</v>
      </c>
      <c r="EK257" s="208">
        <v>0</v>
      </c>
      <c r="EL257" s="208">
        <v>0</v>
      </c>
      <c r="EM257" s="208">
        <v>0</v>
      </c>
      <c r="EN257" s="208">
        <v>0</v>
      </c>
      <c r="EO257" s="208">
        <v>0</v>
      </c>
      <c r="EP257" s="208">
        <v>0</v>
      </c>
      <c r="EQ257" s="208">
        <v>0</v>
      </c>
      <c r="ER257" s="208">
        <v>0</v>
      </c>
      <c r="ES257" s="208">
        <v>0</v>
      </c>
      <c r="ET257" s="208">
        <v>0</v>
      </c>
      <c r="EU257" s="208">
        <v>0</v>
      </c>
      <c r="EV257" s="208">
        <v>0</v>
      </c>
      <c r="EW257" s="208">
        <v>-456145</v>
      </c>
      <c r="EX257" s="208">
        <v>0</v>
      </c>
      <c r="EY257" s="208">
        <v>-456145</v>
      </c>
      <c r="EZ257" s="208">
        <v>4291</v>
      </c>
      <c r="FA257" s="208">
        <v>0</v>
      </c>
      <c r="FB257" s="208">
        <v>4291</v>
      </c>
      <c r="FC257" s="208">
        <v>-1890430</v>
      </c>
      <c r="FD257" s="208">
        <v>0</v>
      </c>
      <c r="FE257" s="208">
        <v>-1890430</v>
      </c>
      <c r="FF257" s="208">
        <v>-54973</v>
      </c>
      <c r="FG257" s="208">
        <v>0</v>
      </c>
      <c r="FH257" s="208">
        <v>-54973</v>
      </c>
      <c r="FI257" s="208">
        <v>-104627</v>
      </c>
      <c r="FJ257" s="208">
        <v>0</v>
      </c>
      <c r="FK257" s="208">
        <v>-104627</v>
      </c>
      <c r="FL257" s="208">
        <v>2577</v>
      </c>
      <c r="FM257" s="208">
        <v>0</v>
      </c>
      <c r="FN257" s="208">
        <v>2577</v>
      </c>
      <c r="FO257" s="208">
        <v>0</v>
      </c>
      <c r="FP257" s="208">
        <v>0</v>
      </c>
      <c r="FQ257" s="208">
        <v>0</v>
      </c>
      <c r="FR257" s="208">
        <v>0</v>
      </c>
      <c r="FS257" s="208">
        <v>0</v>
      </c>
      <c r="FT257" s="208">
        <v>0</v>
      </c>
      <c r="FU257" s="208">
        <v>-2500342</v>
      </c>
      <c r="FV257" s="208">
        <v>0</v>
      </c>
      <c r="FW257" s="208">
        <v>-2500342</v>
      </c>
      <c r="FX257" s="208">
        <v>0</v>
      </c>
      <c r="FY257" s="208">
        <v>0</v>
      </c>
      <c r="FZ257" s="208">
        <v>0</v>
      </c>
      <c r="GA257" s="208">
        <v>37</v>
      </c>
      <c r="GB257" s="208">
        <v>0</v>
      </c>
      <c r="GC257" s="208">
        <v>37</v>
      </c>
      <c r="GD257" s="208">
        <v>37</v>
      </c>
      <c r="GE257" s="208">
        <v>0</v>
      </c>
      <c r="GF257" s="208">
        <v>37</v>
      </c>
      <c r="GG257" s="208">
        <v>360427346</v>
      </c>
      <c r="GH257" s="208">
        <v>0</v>
      </c>
      <c r="GI257" s="208">
        <v>360427346</v>
      </c>
      <c r="GJ257" s="208">
        <v>-15807271</v>
      </c>
      <c r="GK257" s="208">
        <v>0</v>
      </c>
      <c r="GL257" s="208">
        <v>-15807271</v>
      </c>
      <c r="GM257" s="208">
        <v>-35544576</v>
      </c>
      <c r="GN257" s="208">
        <v>0</v>
      </c>
      <c r="GO257" s="208">
        <v>-35544576</v>
      </c>
      <c r="GP257" s="208">
        <v>-16415422</v>
      </c>
      <c r="GQ257" s="208">
        <v>0</v>
      </c>
      <c r="GR257" s="208">
        <v>-16415422</v>
      </c>
      <c r="GS257" s="208">
        <v>-493703</v>
      </c>
      <c r="GT257" s="208">
        <v>0</v>
      </c>
      <c r="GU257" s="208">
        <v>-493703</v>
      </c>
      <c r="GV257" s="208">
        <v>-2500342</v>
      </c>
      <c r="GW257" s="208">
        <v>0</v>
      </c>
      <c r="GX257" s="208">
        <v>-2500342</v>
      </c>
      <c r="GY257" s="208">
        <v>37</v>
      </c>
      <c r="GZ257" s="208">
        <v>0</v>
      </c>
      <c r="HA257" s="208">
        <v>37</v>
      </c>
      <c r="HB257" s="208">
        <v>-70761277</v>
      </c>
      <c r="HC257" s="208">
        <v>0</v>
      </c>
      <c r="HD257" s="208">
        <v>-70761277</v>
      </c>
      <c r="HE257" s="208">
        <v>289666069</v>
      </c>
      <c r="HF257" s="208">
        <v>0</v>
      </c>
      <c r="HG257" s="208">
        <v>289666069</v>
      </c>
      <c r="HH257" s="187" t="s">
        <v>1057</v>
      </c>
    </row>
    <row r="258" spans="1:216" s="187" customFormat="1" x14ac:dyDescent="0.2">
      <c r="A258" s="187" t="s">
        <v>1811</v>
      </c>
      <c r="B258" s="429" t="s">
        <v>594</v>
      </c>
      <c r="C258" s="429" t="s">
        <v>593</v>
      </c>
      <c r="D258" s="208">
        <v>-1002148</v>
      </c>
      <c r="E258" s="208">
        <v>0</v>
      </c>
      <c r="F258" s="208">
        <v>-1002148</v>
      </c>
      <c r="G258" s="208">
        <v>-81548</v>
      </c>
      <c r="H258" s="208">
        <v>0</v>
      </c>
      <c r="I258" s="208">
        <v>-81548</v>
      </c>
      <c r="J258" s="208">
        <v>461815</v>
      </c>
      <c r="K258" s="208">
        <v>0</v>
      </c>
      <c r="L258" s="208">
        <v>461815</v>
      </c>
      <c r="M258" s="208">
        <v>128733</v>
      </c>
      <c r="N258" s="208">
        <v>0</v>
      </c>
      <c r="O258" s="208">
        <v>128733</v>
      </c>
      <c r="P258" s="208">
        <v>-493148</v>
      </c>
      <c r="Q258" s="208">
        <v>0</v>
      </c>
      <c r="R258" s="208">
        <v>-493148</v>
      </c>
      <c r="S258" s="208">
        <v>-2261142</v>
      </c>
      <c r="T258" s="208">
        <v>0</v>
      </c>
      <c r="U258" s="208">
        <v>-2261142</v>
      </c>
      <c r="V258" s="208">
        <v>0</v>
      </c>
      <c r="W258" s="208">
        <v>0</v>
      </c>
      <c r="X258" s="208">
        <v>0</v>
      </c>
      <c r="Y258" s="208">
        <v>-120985</v>
      </c>
      <c r="Z258" s="208">
        <v>0</v>
      </c>
      <c r="AA258" s="208">
        <v>-120985</v>
      </c>
      <c r="AB258" s="208">
        <v>-37684</v>
      </c>
      <c r="AC258" s="208">
        <v>0</v>
      </c>
      <c r="AD258" s="208">
        <v>-37684</v>
      </c>
      <c r="AE258" s="208">
        <v>-83301</v>
      </c>
      <c r="AF258" s="208">
        <v>0</v>
      </c>
      <c r="AG258" s="208">
        <v>-83301</v>
      </c>
      <c r="AH258" s="208">
        <v>0</v>
      </c>
      <c r="AI258" s="208">
        <v>0</v>
      </c>
      <c r="AJ258" s="208">
        <v>0</v>
      </c>
      <c r="AK258" s="208">
        <v>0</v>
      </c>
      <c r="AL258" s="208">
        <v>0</v>
      </c>
      <c r="AM258" s="208">
        <v>0</v>
      </c>
      <c r="AN258" s="208">
        <v>1216643</v>
      </c>
      <c r="AO258" s="208">
        <v>0</v>
      </c>
      <c r="AP258" s="208">
        <v>1216643</v>
      </c>
      <c r="AQ258" s="208">
        <v>31708</v>
      </c>
      <c r="AR258" s="208">
        <v>0</v>
      </c>
      <c r="AS258" s="208">
        <v>31708</v>
      </c>
      <c r="AT258" s="208">
        <v>-2549082</v>
      </c>
      <c r="AU258" s="208">
        <v>0</v>
      </c>
      <c r="AV258" s="208">
        <v>-2549082</v>
      </c>
      <c r="AW258" s="208">
        <v>88641</v>
      </c>
      <c r="AX258" s="208">
        <v>0</v>
      </c>
      <c r="AY258" s="208">
        <v>88641</v>
      </c>
      <c r="AZ258" s="208">
        <v>-15382</v>
      </c>
      <c r="BA258" s="208">
        <v>0</v>
      </c>
      <c r="BB258" s="208">
        <v>-15382</v>
      </c>
      <c r="BC258" s="208">
        <v>-203</v>
      </c>
      <c r="BD258" s="208">
        <v>0</v>
      </c>
      <c r="BE258" s="208">
        <v>-203</v>
      </c>
      <c r="BF258" s="208">
        <v>0</v>
      </c>
      <c r="BG258" s="208">
        <v>0</v>
      </c>
      <c r="BH258" s="208">
        <v>0</v>
      </c>
      <c r="BI258" s="208">
        <v>0</v>
      </c>
      <c r="BJ258" s="208">
        <v>0</v>
      </c>
      <c r="BK258" s="208">
        <v>0</v>
      </c>
      <c r="BL258" s="208">
        <v>-3609802</v>
      </c>
      <c r="BM258" s="208">
        <v>0</v>
      </c>
      <c r="BN258" s="208">
        <v>-3609802</v>
      </c>
      <c r="BO258" s="208">
        <v>-46487</v>
      </c>
      <c r="BP258" s="208">
        <v>0</v>
      </c>
      <c r="BQ258" s="208">
        <v>-46487</v>
      </c>
      <c r="BR258" s="208">
        <v>0</v>
      </c>
      <c r="BS258" s="208">
        <v>0</v>
      </c>
      <c r="BT258" s="208">
        <v>0</v>
      </c>
      <c r="BU258" s="208">
        <v>-1498707</v>
      </c>
      <c r="BV258" s="208">
        <v>0</v>
      </c>
      <c r="BW258" s="208">
        <v>-1498707</v>
      </c>
      <c r="BX258" s="208">
        <v>-39720</v>
      </c>
      <c r="BY258" s="208">
        <v>0</v>
      </c>
      <c r="BZ258" s="208">
        <v>-39720</v>
      </c>
      <c r="CA258" s="208">
        <v>-1584914</v>
      </c>
      <c r="CB258" s="208">
        <v>0</v>
      </c>
      <c r="CC258" s="208">
        <v>-1584914</v>
      </c>
      <c r="CD258" s="208">
        <v>-49479</v>
      </c>
      <c r="CE258" s="208">
        <v>0</v>
      </c>
      <c r="CF258" s="208">
        <v>-49479</v>
      </c>
      <c r="CG258" s="208">
        <v>0</v>
      </c>
      <c r="CH258" s="208">
        <v>0</v>
      </c>
      <c r="CI258" s="208">
        <v>0</v>
      </c>
      <c r="CJ258" s="208">
        <v>-98502</v>
      </c>
      <c r="CK258" s="208">
        <v>0</v>
      </c>
      <c r="CL258" s="208">
        <v>-98502</v>
      </c>
      <c r="CM258" s="208">
        <v>-30715</v>
      </c>
      <c r="CN258" s="208">
        <v>0</v>
      </c>
      <c r="CO258" s="208">
        <v>-30715</v>
      </c>
      <c r="CP258" s="208">
        <v>-3205</v>
      </c>
      <c r="CQ258" s="208">
        <v>0</v>
      </c>
      <c r="CR258" s="208">
        <v>-3205</v>
      </c>
      <c r="CS258" s="208">
        <v>-51</v>
      </c>
      <c r="CT258" s="208">
        <v>0</v>
      </c>
      <c r="CU258" s="208">
        <v>-51</v>
      </c>
      <c r="CV258" s="208">
        <v>0</v>
      </c>
      <c r="CW258" s="208">
        <v>0</v>
      </c>
      <c r="CX258" s="208">
        <v>0</v>
      </c>
      <c r="CY258" s="208">
        <v>0</v>
      </c>
      <c r="CZ258" s="208">
        <v>0</v>
      </c>
      <c r="DA258" s="208">
        <v>0</v>
      </c>
      <c r="DB258" s="208">
        <v>0</v>
      </c>
      <c r="DC258" s="208">
        <v>0</v>
      </c>
      <c r="DD258" s="208">
        <v>0</v>
      </c>
      <c r="DE258" s="208">
        <v>0</v>
      </c>
      <c r="DF258" s="208">
        <v>0</v>
      </c>
      <c r="DG258" s="208">
        <v>0</v>
      </c>
      <c r="DH258" s="208">
        <v>0</v>
      </c>
      <c r="DI258" s="208">
        <v>0</v>
      </c>
      <c r="DJ258" s="208">
        <v>0</v>
      </c>
      <c r="DK258" s="208">
        <v>0</v>
      </c>
      <c r="DL258" s="208">
        <v>0</v>
      </c>
      <c r="DM258" s="208">
        <v>0</v>
      </c>
      <c r="DN258" s="208">
        <v>0</v>
      </c>
      <c r="DO258" s="208">
        <v>0</v>
      </c>
      <c r="DP258" s="208">
        <v>-181952</v>
      </c>
      <c r="DQ258" s="208">
        <v>0</v>
      </c>
      <c r="DR258" s="208">
        <v>-181952</v>
      </c>
      <c r="DS258" s="208">
        <v>0</v>
      </c>
      <c r="DT258" s="208">
        <v>0</v>
      </c>
      <c r="DU258" s="208">
        <v>0</v>
      </c>
      <c r="DV258" s="208">
        <v>0</v>
      </c>
      <c r="DW258" s="208">
        <v>0</v>
      </c>
      <c r="DX258" s="208">
        <v>0</v>
      </c>
      <c r="DY258" s="208">
        <v>0</v>
      </c>
      <c r="DZ258" s="208">
        <v>0</v>
      </c>
      <c r="EA258" s="208">
        <v>0</v>
      </c>
      <c r="EB258" s="208">
        <v>0</v>
      </c>
      <c r="EC258" s="208">
        <v>0</v>
      </c>
      <c r="ED258" s="208">
        <v>0</v>
      </c>
      <c r="EE258" s="208">
        <v>0</v>
      </c>
      <c r="EF258" s="208">
        <v>0</v>
      </c>
      <c r="EG258" s="208">
        <v>0</v>
      </c>
      <c r="EH258" s="208">
        <v>0</v>
      </c>
      <c r="EI258" s="208">
        <v>0</v>
      </c>
      <c r="EJ258" s="208">
        <v>0</v>
      </c>
      <c r="EK258" s="208">
        <v>0</v>
      </c>
      <c r="EL258" s="208">
        <v>0</v>
      </c>
      <c r="EM258" s="208">
        <v>0</v>
      </c>
      <c r="EN258" s="208">
        <v>0</v>
      </c>
      <c r="EO258" s="208">
        <v>0</v>
      </c>
      <c r="EP258" s="208">
        <v>0</v>
      </c>
      <c r="EQ258" s="208">
        <v>0</v>
      </c>
      <c r="ER258" s="208">
        <v>0</v>
      </c>
      <c r="ES258" s="208">
        <v>0</v>
      </c>
      <c r="ET258" s="208">
        <v>0</v>
      </c>
      <c r="EU258" s="208">
        <v>0</v>
      </c>
      <c r="EV258" s="208">
        <v>0</v>
      </c>
      <c r="EW258" s="208">
        <v>-17924</v>
      </c>
      <c r="EX258" s="208">
        <v>0</v>
      </c>
      <c r="EY258" s="208">
        <v>-17924</v>
      </c>
      <c r="EZ258" s="208">
        <v>31</v>
      </c>
      <c r="FA258" s="208">
        <v>0</v>
      </c>
      <c r="FB258" s="208">
        <v>31</v>
      </c>
      <c r="FC258" s="208">
        <v>-148410</v>
      </c>
      <c r="FD258" s="208">
        <v>0</v>
      </c>
      <c r="FE258" s="208">
        <v>-148410</v>
      </c>
      <c r="FF258" s="208">
        <v>1030</v>
      </c>
      <c r="FG258" s="208">
        <v>0</v>
      </c>
      <c r="FH258" s="208">
        <v>1030</v>
      </c>
      <c r="FI258" s="208">
        <v>-29145</v>
      </c>
      <c r="FJ258" s="208">
        <v>0</v>
      </c>
      <c r="FK258" s="208">
        <v>-29145</v>
      </c>
      <c r="FL258" s="208">
        <v>-2921</v>
      </c>
      <c r="FM258" s="208">
        <v>0</v>
      </c>
      <c r="FN258" s="208">
        <v>-2921</v>
      </c>
      <c r="FO258" s="208">
        <v>0</v>
      </c>
      <c r="FP258" s="208">
        <v>0</v>
      </c>
      <c r="FQ258" s="208">
        <v>0</v>
      </c>
      <c r="FR258" s="208">
        <v>0</v>
      </c>
      <c r="FS258" s="208">
        <v>0</v>
      </c>
      <c r="FT258" s="208">
        <v>0</v>
      </c>
      <c r="FU258" s="208">
        <v>-197339</v>
      </c>
      <c r="FV258" s="208">
        <v>0</v>
      </c>
      <c r="FW258" s="208">
        <v>-197339</v>
      </c>
      <c r="FX258" s="208">
        <v>0</v>
      </c>
      <c r="FY258" s="208">
        <v>0</v>
      </c>
      <c r="FZ258" s="208">
        <v>0</v>
      </c>
      <c r="GA258" s="208">
        <v>0</v>
      </c>
      <c r="GB258" s="208">
        <v>0</v>
      </c>
      <c r="GC258" s="208">
        <v>0</v>
      </c>
      <c r="GD258" s="208">
        <v>0</v>
      </c>
      <c r="GE258" s="208">
        <v>0</v>
      </c>
      <c r="GF258" s="208">
        <v>0</v>
      </c>
      <c r="GG258" s="208">
        <v>57120651</v>
      </c>
      <c r="GH258" s="208">
        <v>0</v>
      </c>
      <c r="GI258" s="208">
        <v>57120651</v>
      </c>
      <c r="GJ258" s="208">
        <v>-493148</v>
      </c>
      <c r="GK258" s="208">
        <v>0</v>
      </c>
      <c r="GL258" s="208">
        <v>-493148</v>
      </c>
      <c r="GM258" s="208">
        <v>-3609802</v>
      </c>
      <c r="GN258" s="208">
        <v>0</v>
      </c>
      <c r="GO258" s="208">
        <v>-3609802</v>
      </c>
      <c r="GP258" s="208">
        <v>-1584914</v>
      </c>
      <c r="GQ258" s="208">
        <v>0</v>
      </c>
      <c r="GR258" s="208">
        <v>-1584914</v>
      </c>
      <c r="GS258" s="208">
        <v>-181952</v>
      </c>
      <c r="GT258" s="208">
        <v>0</v>
      </c>
      <c r="GU258" s="208">
        <v>-181952</v>
      </c>
      <c r="GV258" s="208">
        <v>-197339</v>
      </c>
      <c r="GW258" s="208">
        <v>0</v>
      </c>
      <c r="GX258" s="208">
        <v>-197339</v>
      </c>
      <c r="GY258" s="208">
        <v>0</v>
      </c>
      <c r="GZ258" s="208">
        <v>0</v>
      </c>
      <c r="HA258" s="208">
        <v>0</v>
      </c>
      <c r="HB258" s="208">
        <v>-6067155</v>
      </c>
      <c r="HC258" s="208">
        <v>0</v>
      </c>
      <c r="HD258" s="208">
        <v>-6067155</v>
      </c>
      <c r="HE258" s="208">
        <v>51053496</v>
      </c>
      <c r="HF258" s="208">
        <v>0</v>
      </c>
      <c r="HG258" s="208">
        <v>51053496</v>
      </c>
      <c r="HH258" s="187" t="s">
        <v>1054</v>
      </c>
    </row>
    <row r="259" spans="1:216" s="187" customFormat="1" x14ac:dyDescent="0.2">
      <c r="B259" s="429" t="s">
        <v>596</v>
      </c>
      <c r="C259" s="429" t="s">
        <v>595</v>
      </c>
      <c r="D259" s="208">
        <v>-668207</v>
      </c>
      <c r="E259" s="208">
        <v>-6</v>
      </c>
      <c r="F259" s="208">
        <v>-668213</v>
      </c>
      <c r="G259" s="208">
        <v>84342</v>
      </c>
      <c r="H259" s="208">
        <v>-136782</v>
      </c>
      <c r="I259" s="208">
        <v>-52440</v>
      </c>
      <c r="J259" s="208">
        <v>974350</v>
      </c>
      <c r="K259" s="208">
        <v>20860</v>
      </c>
      <c r="L259" s="208">
        <v>995210</v>
      </c>
      <c r="M259" s="208">
        <v>-509687</v>
      </c>
      <c r="N259" s="208">
        <v>0</v>
      </c>
      <c r="O259" s="208">
        <v>-509687</v>
      </c>
      <c r="P259" s="208">
        <v>-119202</v>
      </c>
      <c r="Q259" s="208">
        <v>-115928</v>
      </c>
      <c r="R259" s="208">
        <v>-235130</v>
      </c>
      <c r="S259" s="208">
        <v>-3214445</v>
      </c>
      <c r="T259" s="208">
        <v>-31000</v>
      </c>
      <c r="U259" s="208">
        <v>-3245445</v>
      </c>
      <c r="V259" s="208">
        <v>0</v>
      </c>
      <c r="W259" s="208">
        <v>0</v>
      </c>
      <c r="X259" s="208">
        <v>0</v>
      </c>
      <c r="Y259" s="208">
        <v>-150744</v>
      </c>
      <c r="Z259" s="208">
        <v>0</v>
      </c>
      <c r="AA259" s="208">
        <v>-150744</v>
      </c>
      <c r="AB259" s="208">
        <v>-68833</v>
      </c>
      <c r="AC259" s="208">
        <v>0</v>
      </c>
      <c r="AD259" s="208">
        <v>-68833</v>
      </c>
      <c r="AE259" s="208">
        <v>-81911</v>
      </c>
      <c r="AF259" s="208">
        <v>0</v>
      </c>
      <c r="AG259" s="208">
        <v>-81911</v>
      </c>
      <c r="AH259" s="208">
        <v>0</v>
      </c>
      <c r="AI259" s="208">
        <v>0</v>
      </c>
      <c r="AJ259" s="208">
        <v>0</v>
      </c>
      <c r="AK259" s="208">
        <v>0</v>
      </c>
      <c r="AL259" s="208">
        <v>0</v>
      </c>
      <c r="AM259" s="208">
        <v>0</v>
      </c>
      <c r="AN259" s="208">
        <v>1227121</v>
      </c>
      <c r="AO259" s="208">
        <v>44120</v>
      </c>
      <c r="AP259" s="208">
        <v>1271241</v>
      </c>
      <c r="AQ259" s="208">
        <v>124337</v>
      </c>
      <c r="AR259" s="208">
        <v>0</v>
      </c>
      <c r="AS259" s="208">
        <v>124337</v>
      </c>
      <c r="AT259" s="208">
        <v>-4541568</v>
      </c>
      <c r="AU259" s="208">
        <v>-1140691</v>
      </c>
      <c r="AV259" s="208">
        <v>-5682259</v>
      </c>
      <c r="AW259" s="208">
        <v>70280</v>
      </c>
      <c r="AX259" s="208">
        <v>-1515748</v>
      </c>
      <c r="AY259" s="208">
        <v>-1445468</v>
      </c>
      <c r="AZ259" s="208">
        <v>-94428</v>
      </c>
      <c r="BA259" s="208">
        <v>0</v>
      </c>
      <c r="BB259" s="208">
        <v>-94428</v>
      </c>
      <c r="BC259" s="208">
        <v>4109</v>
      </c>
      <c r="BD259" s="208">
        <v>0</v>
      </c>
      <c r="BE259" s="208">
        <v>4109</v>
      </c>
      <c r="BF259" s="208">
        <v>0</v>
      </c>
      <c r="BG259" s="208">
        <v>0</v>
      </c>
      <c r="BH259" s="208">
        <v>0</v>
      </c>
      <c r="BI259" s="208">
        <v>0</v>
      </c>
      <c r="BJ259" s="208">
        <v>0</v>
      </c>
      <c r="BK259" s="208">
        <v>0</v>
      </c>
      <c r="BL259" s="208">
        <v>-6575338</v>
      </c>
      <c r="BM259" s="208">
        <v>-2643319</v>
      </c>
      <c r="BN259" s="208">
        <v>-9218657</v>
      </c>
      <c r="BO259" s="208">
        <v>-2828</v>
      </c>
      <c r="BP259" s="208">
        <v>0</v>
      </c>
      <c r="BQ259" s="208">
        <v>-2828</v>
      </c>
      <c r="BR259" s="208">
        <v>-617</v>
      </c>
      <c r="BS259" s="208">
        <v>0</v>
      </c>
      <c r="BT259" s="208">
        <v>-617</v>
      </c>
      <c r="BU259" s="208">
        <v>-1751252</v>
      </c>
      <c r="BV259" s="208">
        <v>0</v>
      </c>
      <c r="BW259" s="208">
        <v>-1751252</v>
      </c>
      <c r="BX259" s="208">
        <v>46220</v>
      </c>
      <c r="BY259" s="208">
        <v>0</v>
      </c>
      <c r="BZ259" s="208">
        <v>46220</v>
      </c>
      <c r="CA259" s="208">
        <v>-1708477</v>
      </c>
      <c r="CB259" s="208">
        <v>0</v>
      </c>
      <c r="CC259" s="208">
        <v>-1708477</v>
      </c>
      <c r="CD259" s="208">
        <v>-144653</v>
      </c>
      <c r="CE259" s="208">
        <v>0</v>
      </c>
      <c r="CF259" s="208">
        <v>-144653</v>
      </c>
      <c r="CG259" s="208">
        <v>3276</v>
      </c>
      <c r="CH259" s="208">
        <v>0</v>
      </c>
      <c r="CI259" s="208">
        <v>3276</v>
      </c>
      <c r="CJ259" s="208">
        <v>-18877</v>
      </c>
      <c r="CK259" s="208">
        <v>0</v>
      </c>
      <c r="CL259" s="208">
        <v>-18877</v>
      </c>
      <c r="CM259" s="208">
        <v>0</v>
      </c>
      <c r="CN259" s="208">
        <v>0</v>
      </c>
      <c r="CO259" s="208">
        <v>0</v>
      </c>
      <c r="CP259" s="208">
        <v>0</v>
      </c>
      <c r="CQ259" s="208">
        <v>0</v>
      </c>
      <c r="CR259" s="208">
        <v>0</v>
      </c>
      <c r="CS259" s="208">
        <v>1027</v>
      </c>
      <c r="CT259" s="208">
        <v>0</v>
      </c>
      <c r="CU259" s="208">
        <v>1027</v>
      </c>
      <c r="CV259" s="208">
        <v>0</v>
      </c>
      <c r="CW259" s="208">
        <v>0</v>
      </c>
      <c r="CX259" s="208">
        <v>0</v>
      </c>
      <c r="CY259" s="208">
        <v>0</v>
      </c>
      <c r="CZ259" s="208">
        <v>0</v>
      </c>
      <c r="DA259" s="208">
        <v>0</v>
      </c>
      <c r="DB259" s="208">
        <v>0</v>
      </c>
      <c r="DC259" s="208">
        <v>0</v>
      </c>
      <c r="DD259" s="208">
        <v>0</v>
      </c>
      <c r="DE259" s="208">
        <v>0</v>
      </c>
      <c r="DF259" s="208">
        <v>0</v>
      </c>
      <c r="DG259" s="208">
        <v>0</v>
      </c>
      <c r="DH259" s="208">
        <v>0</v>
      </c>
      <c r="DI259" s="208">
        <v>0</v>
      </c>
      <c r="DJ259" s="208">
        <v>0</v>
      </c>
      <c r="DK259" s="208">
        <v>0</v>
      </c>
      <c r="DL259" s="208">
        <v>0</v>
      </c>
      <c r="DM259" s="208">
        <v>0</v>
      </c>
      <c r="DN259" s="208">
        <v>0</v>
      </c>
      <c r="DO259" s="208">
        <v>0</v>
      </c>
      <c r="DP259" s="208">
        <v>-159227</v>
      </c>
      <c r="DQ259" s="208">
        <v>0</v>
      </c>
      <c r="DR259" s="208">
        <v>-159227</v>
      </c>
      <c r="DS259" s="208">
        <v>0</v>
      </c>
      <c r="DT259" s="208">
        <v>0</v>
      </c>
      <c r="DU259" s="208">
        <v>0</v>
      </c>
      <c r="DV259" s="208">
        <v>0</v>
      </c>
      <c r="DW259" s="208">
        <v>0</v>
      </c>
      <c r="DX259" s="208">
        <v>0</v>
      </c>
      <c r="DY259" s="208">
        <v>6403</v>
      </c>
      <c r="DZ259" s="208">
        <v>0</v>
      </c>
      <c r="EA259" s="208">
        <v>6403</v>
      </c>
      <c r="EB259" s="208">
        <v>0</v>
      </c>
      <c r="EC259" s="208">
        <v>0</v>
      </c>
      <c r="ED259" s="208">
        <v>0</v>
      </c>
      <c r="EE259" s="208">
        <v>0</v>
      </c>
      <c r="EF259" s="208">
        <v>0</v>
      </c>
      <c r="EG259" s="208">
        <v>0</v>
      </c>
      <c r="EH259" s="208">
        <v>0</v>
      </c>
      <c r="EI259" s="208">
        <v>0</v>
      </c>
      <c r="EJ259" s="208">
        <v>0</v>
      </c>
      <c r="EK259" s="208">
        <v>0</v>
      </c>
      <c r="EL259" s="208">
        <v>0</v>
      </c>
      <c r="EM259" s="208">
        <v>0</v>
      </c>
      <c r="EN259" s="208">
        <v>0</v>
      </c>
      <c r="EO259" s="208">
        <v>0</v>
      </c>
      <c r="EP259" s="208">
        <v>0</v>
      </c>
      <c r="EQ259" s="208">
        <v>-1500</v>
      </c>
      <c r="ER259" s="208">
        <v>0</v>
      </c>
      <c r="ES259" s="208">
        <v>-1500</v>
      </c>
      <c r="ET259" s="208">
        <v>0</v>
      </c>
      <c r="EU259" s="208">
        <v>0</v>
      </c>
      <c r="EV259" s="208">
        <v>0</v>
      </c>
      <c r="EW259" s="208">
        <v>-13928</v>
      </c>
      <c r="EX259" s="208">
        <v>0</v>
      </c>
      <c r="EY259" s="208">
        <v>-13928</v>
      </c>
      <c r="EZ259" s="208">
        <v>-716</v>
      </c>
      <c r="FA259" s="208">
        <v>0</v>
      </c>
      <c r="FB259" s="208">
        <v>-716</v>
      </c>
      <c r="FC259" s="208">
        <v>-116181</v>
      </c>
      <c r="FD259" s="208">
        <v>0</v>
      </c>
      <c r="FE259" s="208">
        <v>-116181</v>
      </c>
      <c r="FF259" s="208">
        <v>1214</v>
      </c>
      <c r="FG259" s="208">
        <v>0</v>
      </c>
      <c r="FH259" s="208">
        <v>1214</v>
      </c>
      <c r="FI259" s="208">
        <v>-50019</v>
      </c>
      <c r="FJ259" s="208">
        <v>0</v>
      </c>
      <c r="FK259" s="208">
        <v>-50019</v>
      </c>
      <c r="FL259" s="208">
        <v>1419</v>
      </c>
      <c r="FM259" s="208">
        <v>0</v>
      </c>
      <c r="FN259" s="208">
        <v>1419</v>
      </c>
      <c r="FO259" s="208">
        <v>0</v>
      </c>
      <c r="FP259" s="208">
        <v>0</v>
      </c>
      <c r="FQ259" s="208">
        <v>0</v>
      </c>
      <c r="FR259" s="208">
        <v>0</v>
      </c>
      <c r="FS259" s="208">
        <v>0</v>
      </c>
      <c r="FT259" s="208">
        <v>0</v>
      </c>
      <c r="FU259" s="208">
        <v>-173308</v>
      </c>
      <c r="FV259" s="208">
        <v>0</v>
      </c>
      <c r="FW259" s="208">
        <v>-173308</v>
      </c>
      <c r="FX259" s="208">
        <v>0</v>
      </c>
      <c r="FY259" s="208">
        <v>0</v>
      </c>
      <c r="FZ259" s="208">
        <v>0</v>
      </c>
      <c r="GA259" s="208">
        <v>0</v>
      </c>
      <c r="GB259" s="208">
        <v>0</v>
      </c>
      <c r="GC259" s="208">
        <v>0</v>
      </c>
      <c r="GD259" s="208">
        <v>0</v>
      </c>
      <c r="GE259" s="208">
        <v>0</v>
      </c>
      <c r="GF259" s="208">
        <v>0</v>
      </c>
      <c r="GG259" s="208">
        <v>63725889</v>
      </c>
      <c r="GH259" s="208">
        <v>3374111</v>
      </c>
      <c r="GI259" s="208">
        <v>67100000</v>
      </c>
      <c r="GJ259" s="208">
        <v>-119202</v>
      </c>
      <c r="GK259" s="208">
        <v>-115928</v>
      </c>
      <c r="GL259" s="208">
        <v>-235130</v>
      </c>
      <c r="GM259" s="208">
        <v>-6575338</v>
      </c>
      <c r="GN259" s="208">
        <v>-2643319</v>
      </c>
      <c r="GO259" s="208">
        <v>-9218657</v>
      </c>
      <c r="GP259" s="208">
        <v>-1708477</v>
      </c>
      <c r="GQ259" s="208">
        <v>0</v>
      </c>
      <c r="GR259" s="208">
        <v>-1708477</v>
      </c>
      <c r="GS259" s="208">
        <v>-159227</v>
      </c>
      <c r="GT259" s="208">
        <v>0</v>
      </c>
      <c r="GU259" s="208">
        <v>-159227</v>
      </c>
      <c r="GV259" s="208">
        <v>-173308</v>
      </c>
      <c r="GW259" s="208">
        <v>0</v>
      </c>
      <c r="GX259" s="208">
        <v>-173308</v>
      </c>
      <c r="GY259" s="208">
        <v>0</v>
      </c>
      <c r="GZ259" s="208">
        <v>0</v>
      </c>
      <c r="HA259" s="208">
        <v>0</v>
      </c>
      <c r="HB259" s="208">
        <v>-8735552</v>
      </c>
      <c r="HC259" s="208">
        <v>-2759247</v>
      </c>
      <c r="HD259" s="208">
        <v>-11494799</v>
      </c>
      <c r="HE259" s="208">
        <v>54990337</v>
      </c>
      <c r="HF259" s="208">
        <v>614864</v>
      </c>
      <c r="HG259" s="208">
        <v>55605201</v>
      </c>
      <c r="HH259" s="187" t="s">
        <v>1054</v>
      </c>
    </row>
    <row r="260" spans="1:216" s="187" customFormat="1" x14ac:dyDescent="0.2">
      <c r="B260" s="429" t="s">
        <v>598</v>
      </c>
      <c r="C260" s="429" t="s">
        <v>597</v>
      </c>
      <c r="D260" s="208">
        <v>-733764</v>
      </c>
      <c r="E260" s="208">
        <v>0</v>
      </c>
      <c r="F260" s="208">
        <v>-733764</v>
      </c>
      <c r="G260" s="208">
        <v>-22881</v>
      </c>
      <c r="H260" s="208">
        <v>0</v>
      </c>
      <c r="I260" s="208">
        <v>-22881</v>
      </c>
      <c r="J260" s="208">
        <v>1018536</v>
      </c>
      <c r="K260" s="208">
        <v>0</v>
      </c>
      <c r="L260" s="208">
        <v>1018536</v>
      </c>
      <c r="M260" s="208">
        <v>-35035</v>
      </c>
      <c r="N260" s="208">
        <v>0</v>
      </c>
      <c r="O260" s="208">
        <v>-35035</v>
      </c>
      <c r="P260" s="208">
        <v>226856</v>
      </c>
      <c r="Q260" s="208">
        <v>0</v>
      </c>
      <c r="R260" s="208">
        <v>226856</v>
      </c>
      <c r="S260" s="208">
        <v>-3606245</v>
      </c>
      <c r="T260" s="208">
        <v>0</v>
      </c>
      <c r="U260" s="208">
        <v>-3606245</v>
      </c>
      <c r="V260" s="208">
        <v>0</v>
      </c>
      <c r="W260" s="208">
        <v>0</v>
      </c>
      <c r="X260" s="208">
        <v>0</v>
      </c>
      <c r="Y260" s="208">
        <v>-144056</v>
      </c>
      <c r="Z260" s="208">
        <v>0</v>
      </c>
      <c r="AA260" s="208">
        <v>-144056</v>
      </c>
      <c r="AB260" s="208">
        <v>-17678</v>
      </c>
      <c r="AC260" s="208">
        <v>0</v>
      </c>
      <c r="AD260" s="208">
        <v>-17678</v>
      </c>
      <c r="AE260" s="208">
        <v>-126084</v>
      </c>
      <c r="AF260" s="208">
        <v>0</v>
      </c>
      <c r="AG260" s="208">
        <v>-126084</v>
      </c>
      <c r="AH260" s="208">
        <v>0</v>
      </c>
      <c r="AI260" s="208">
        <v>0</v>
      </c>
      <c r="AJ260" s="208">
        <v>0</v>
      </c>
      <c r="AK260" s="208">
        <v>0</v>
      </c>
      <c r="AL260" s="208">
        <v>0</v>
      </c>
      <c r="AM260" s="208">
        <v>0</v>
      </c>
      <c r="AN260" s="208">
        <v>1043820</v>
      </c>
      <c r="AO260" s="208">
        <v>0</v>
      </c>
      <c r="AP260" s="208">
        <v>1043820</v>
      </c>
      <c r="AQ260" s="208">
        <v>3742</v>
      </c>
      <c r="AR260" s="208">
        <v>0</v>
      </c>
      <c r="AS260" s="208">
        <v>3742</v>
      </c>
      <c r="AT260" s="208">
        <v>-3405704</v>
      </c>
      <c r="AU260" s="208">
        <v>0</v>
      </c>
      <c r="AV260" s="208">
        <v>-3405704</v>
      </c>
      <c r="AW260" s="208">
        <v>2844</v>
      </c>
      <c r="AX260" s="208">
        <v>0</v>
      </c>
      <c r="AY260" s="208">
        <v>2844</v>
      </c>
      <c r="AZ260" s="208">
        <v>-22116</v>
      </c>
      <c r="BA260" s="208">
        <v>0</v>
      </c>
      <c r="BB260" s="208">
        <v>-22116</v>
      </c>
      <c r="BC260" s="208">
        <v>0</v>
      </c>
      <c r="BD260" s="208">
        <v>0</v>
      </c>
      <c r="BE260" s="208">
        <v>0</v>
      </c>
      <c r="BF260" s="208">
        <v>-44262</v>
      </c>
      <c r="BG260" s="208">
        <v>0</v>
      </c>
      <c r="BH260" s="208">
        <v>-44262</v>
      </c>
      <c r="BI260" s="208">
        <v>59</v>
      </c>
      <c r="BJ260" s="208">
        <v>0</v>
      </c>
      <c r="BK260" s="208">
        <v>59</v>
      </c>
      <c r="BL260" s="208">
        <v>-6171918</v>
      </c>
      <c r="BM260" s="208">
        <v>0</v>
      </c>
      <c r="BN260" s="208">
        <v>-6171918</v>
      </c>
      <c r="BO260" s="208">
        <v>-10104</v>
      </c>
      <c r="BP260" s="208">
        <v>0</v>
      </c>
      <c r="BQ260" s="208">
        <v>-10104</v>
      </c>
      <c r="BR260" s="208">
        <v>-50818</v>
      </c>
      <c r="BS260" s="208">
        <v>0</v>
      </c>
      <c r="BT260" s="208">
        <v>-50818</v>
      </c>
      <c r="BU260" s="208">
        <v>-1042614</v>
      </c>
      <c r="BV260" s="208">
        <v>0</v>
      </c>
      <c r="BW260" s="208">
        <v>-1042614</v>
      </c>
      <c r="BX260" s="208">
        <v>-21084</v>
      </c>
      <c r="BY260" s="208">
        <v>0</v>
      </c>
      <c r="BZ260" s="208">
        <v>-21084</v>
      </c>
      <c r="CA260" s="208">
        <v>-1124620</v>
      </c>
      <c r="CB260" s="208">
        <v>0</v>
      </c>
      <c r="CC260" s="208">
        <v>-1124620</v>
      </c>
      <c r="CD260" s="208">
        <v>-45169</v>
      </c>
      <c r="CE260" s="208">
        <v>0</v>
      </c>
      <c r="CF260" s="208">
        <v>-45169</v>
      </c>
      <c r="CG260" s="208">
        <v>-389</v>
      </c>
      <c r="CH260" s="208">
        <v>0</v>
      </c>
      <c r="CI260" s="208">
        <v>-389</v>
      </c>
      <c r="CJ260" s="208">
        <v>-103342</v>
      </c>
      <c r="CK260" s="208">
        <v>0</v>
      </c>
      <c r="CL260" s="208">
        <v>-103342</v>
      </c>
      <c r="CM260" s="208">
        <v>6582</v>
      </c>
      <c r="CN260" s="208">
        <v>0</v>
      </c>
      <c r="CO260" s="208">
        <v>6582</v>
      </c>
      <c r="CP260" s="208">
        <v>-4396</v>
      </c>
      <c r="CQ260" s="208">
        <v>0</v>
      </c>
      <c r="CR260" s="208">
        <v>-4396</v>
      </c>
      <c r="CS260" s="208">
        <v>0</v>
      </c>
      <c r="CT260" s="208">
        <v>0</v>
      </c>
      <c r="CU260" s="208">
        <v>0</v>
      </c>
      <c r="CV260" s="208">
        <v>0</v>
      </c>
      <c r="CW260" s="208">
        <v>0</v>
      </c>
      <c r="CX260" s="208">
        <v>0</v>
      </c>
      <c r="CY260" s="208">
        <v>3319</v>
      </c>
      <c r="CZ260" s="208">
        <v>0</v>
      </c>
      <c r="DA260" s="208">
        <v>3319</v>
      </c>
      <c r="DB260" s="208">
        <v>-861</v>
      </c>
      <c r="DC260" s="208">
        <v>0</v>
      </c>
      <c r="DD260" s="208">
        <v>-861</v>
      </c>
      <c r="DE260" s="208">
        <v>0</v>
      </c>
      <c r="DF260" s="208">
        <v>0</v>
      </c>
      <c r="DG260" s="208">
        <v>0</v>
      </c>
      <c r="DH260" s="208">
        <v>0</v>
      </c>
      <c r="DI260" s="208">
        <v>0</v>
      </c>
      <c r="DJ260" s="208">
        <v>0</v>
      </c>
      <c r="DK260" s="208">
        <v>0</v>
      </c>
      <c r="DL260" s="208">
        <v>0</v>
      </c>
      <c r="DM260" s="208">
        <v>0</v>
      </c>
      <c r="DN260" s="208">
        <v>0</v>
      </c>
      <c r="DO260" s="208">
        <v>0</v>
      </c>
      <c r="DP260" s="208">
        <v>-144256</v>
      </c>
      <c r="DQ260" s="208">
        <v>0</v>
      </c>
      <c r="DR260" s="208">
        <v>-144256</v>
      </c>
      <c r="DS260" s="208">
        <v>0</v>
      </c>
      <c r="DT260" s="208">
        <v>0</v>
      </c>
      <c r="DU260" s="208">
        <v>0</v>
      </c>
      <c r="DV260" s="208">
        <v>0</v>
      </c>
      <c r="DW260" s="208">
        <v>0</v>
      </c>
      <c r="DX260" s="208">
        <v>0</v>
      </c>
      <c r="DY260" s="208">
        <v>0</v>
      </c>
      <c r="DZ260" s="208">
        <v>0</v>
      </c>
      <c r="EA260" s="208">
        <v>0</v>
      </c>
      <c r="EB260" s="208">
        <v>0</v>
      </c>
      <c r="EC260" s="208">
        <v>0</v>
      </c>
      <c r="ED260" s="208">
        <v>0</v>
      </c>
      <c r="EE260" s="208">
        <v>0</v>
      </c>
      <c r="EF260" s="208">
        <v>0</v>
      </c>
      <c r="EG260" s="208">
        <v>0</v>
      </c>
      <c r="EH260" s="208">
        <v>0</v>
      </c>
      <c r="EI260" s="208">
        <v>0</v>
      </c>
      <c r="EJ260" s="208">
        <v>0</v>
      </c>
      <c r="EK260" s="208">
        <v>-43153</v>
      </c>
      <c r="EL260" s="208">
        <v>0</v>
      </c>
      <c r="EM260" s="208">
        <v>-43153</v>
      </c>
      <c r="EN260" s="208">
        <v>-3260</v>
      </c>
      <c r="EO260" s="208">
        <v>0</v>
      </c>
      <c r="EP260" s="208">
        <v>-3260</v>
      </c>
      <c r="EQ260" s="208">
        <v>-3677</v>
      </c>
      <c r="ER260" s="208">
        <v>0</v>
      </c>
      <c r="ES260" s="208">
        <v>-3677</v>
      </c>
      <c r="ET260" s="208">
        <v>0</v>
      </c>
      <c r="EU260" s="208">
        <v>0</v>
      </c>
      <c r="EV260" s="208">
        <v>0</v>
      </c>
      <c r="EW260" s="208">
        <v>-12426</v>
      </c>
      <c r="EX260" s="208">
        <v>0</v>
      </c>
      <c r="EY260" s="208">
        <v>-12426</v>
      </c>
      <c r="EZ260" s="208">
        <v>1946</v>
      </c>
      <c r="FA260" s="208">
        <v>0</v>
      </c>
      <c r="FB260" s="208">
        <v>1946</v>
      </c>
      <c r="FC260" s="208">
        <v>-88401</v>
      </c>
      <c r="FD260" s="208">
        <v>0</v>
      </c>
      <c r="FE260" s="208">
        <v>-88401</v>
      </c>
      <c r="FF260" s="208">
        <v>-29740</v>
      </c>
      <c r="FG260" s="208">
        <v>0</v>
      </c>
      <c r="FH260" s="208">
        <v>-29740</v>
      </c>
      <c r="FI260" s="208">
        <v>-32167</v>
      </c>
      <c r="FJ260" s="208">
        <v>0</v>
      </c>
      <c r="FK260" s="208">
        <v>-32167</v>
      </c>
      <c r="FL260" s="208">
        <v>0</v>
      </c>
      <c r="FM260" s="208">
        <v>0</v>
      </c>
      <c r="FN260" s="208">
        <v>0</v>
      </c>
      <c r="FO260" s="208">
        <v>0</v>
      </c>
      <c r="FP260" s="208">
        <v>0</v>
      </c>
      <c r="FQ260" s="208">
        <v>0</v>
      </c>
      <c r="FR260" s="208">
        <v>0</v>
      </c>
      <c r="FS260" s="208">
        <v>0</v>
      </c>
      <c r="FT260" s="208">
        <v>0</v>
      </c>
      <c r="FU260" s="208">
        <v>-210878</v>
      </c>
      <c r="FV260" s="208">
        <v>0</v>
      </c>
      <c r="FW260" s="208">
        <v>-210878</v>
      </c>
      <c r="FX260" s="208">
        <v>0</v>
      </c>
      <c r="FY260" s="208">
        <v>0</v>
      </c>
      <c r="FZ260" s="208">
        <v>0</v>
      </c>
      <c r="GA260" s="208">
        <v>0</v>
      </c>
      <c r="GB260" s="208">
        <v>0</v>
      </c>
      <c r="GC260" s="208">
        <v>0</v>
      </c>
      <c r="GD260" s="208">
        <v>0</v>
      </c>
      <c r="GE260" s="208">
        <v>0</v>
      </c>
      <c r="GF260" s="208">
        <v>0</v>
      </c>
      <c r="GG260" s="208">
        <v>55218990</v>
      </c>
      <c r="GH260" s="208">
        <v>0</v>
      </c>
      <c r="GI260" s="208">
        <v>55218990</v>
      </c>
      <c r="GJ260" s="208">
        <v>226856</v>
      </c>
      <c r="GK260" s="208">
        <v>0</v>
      </c>
      <c r="GL260" s="208">
        <v>226856</v>
      </c>
      <c r="GM260" s="208">
        <v>-6171918</v>
      </c>
      <c r="GN260" s="208">
        <v>0</v>
      </c>
      <c r="GO260" s="208">
        <v>-6171918</v>
      </c>
      <c r="GP260" s="208">
        <v>-1124620</v>
      </c>
      <c r="GQ260" s="208">
        <v>0</v>
      </c>
      <c r="GR260" s="208">
        <v>-1124620</v>
      </c>
      <c r="GS260" s="208">
        <v>-144256</v>
      </c>
      <c r="GT260" s="208">
        <v>0</v>
      </c>
      <c r="GU260" s="208">
        <v>-144256</v>
      </c>
      <c r="GV260" s="208">
        <v>-210878</v>
      </c>
      <c r="GW260" s="208">
        <v>0</v>
      </c>
      <c r="GX260" s="208">
        <v>-210878</v>
      </c>
      <c r="GY260" s="208">
        <v>0</v>
      </c>
      <c r="GZ260" s="208">
        <v>0</v>
      </c>
      <c r="HA260" s="208">
        <v>0</v>
      </c>
      <c r="HB260" s="208">
        <v>-7424816</v>
      </c>
      <c r="HC260" s="208">
        <v>0</v>
      </c>
      <c r="HD260" s="208">
        <v>-7424816</v>
      </c>
      <c r="HE260" s="208">
        <v>47794174</v>
      </c>
      <c r="HF260" s="208">
        <v>0</v>
      </c>
      <c r="HG260" s="208">
        <v>47794174</v>
      </c>
      <c r="HH260" s="187" t="s">
        <v>1054</v>
      </c>
    </row>
    <row r="261" spans="1:216" s="187" customFormat="1" x14ac:dyDescent="0.2">
      <c r="B261" s="429" t="s">
        <v>600</v>
      </c>
      <c r="C261" s="429" t="s">
        <v>599</v>
      </c>
      <c r="D261" s="208">
        <v>-754064</v>
      </c>
      <c r="E261" s="208">
        <v>0</v>
      </c>
      <c r="F261" s="208">
        <v>-754064</v>
      </c>
      <c r="G261" s="208">
        <v>107935</v>
      </c>
      <c r="H261" s="208">
        <v>0</v>
      </c>
      <c r="I261" s="208">
        <v>107935</v>
      </c>
      <c r="J261" s="208">
        <v>2271216</v>
      </c>
      <c r="K261" s="208">
        <v>0</v>
      </c>
      <c r="L261" s="208">
        <v>2271216</v>
      </c>
      <c r="M261" s="208">
        <v>-34393</v>
      </c>
      <c r="N261" s="208">
        <v>0</v>
      </c>
      <c r="O261" s="208">
        <v>-34393</v>
      </c>
      <c r="P261" s="208">
        <v>1590694</v>
      </c>
      <c r="Q261" s="208">
        <v>0</v>
      </c>
      <c r="R261" s="208">
        <v>1590694</v>
      </c>
      <c r="S261" s="208">
        <v>-5111127</v>
      </c>
      <c r="T261" s="208">
        <v>0</v>
      </c>
      <c r="U261" s="208">
        <v>-5111127</v>
      </c>
      <c r="V261" s="208">
        <v>-5392</v>
      </c>
      <c r="W261" s="208">
        <v>0</v>
      </c>
      <c r="X261" s="208">
        <v>-5392</v>
      </c>
      <c r="Y261" s="208">
        <v>-111483</v>
      </c>
      <c r="Z261" s="208">
        <v>0</v>
      </c>
      <c r="AA261" s="208">
        <v>-111483</v>
      </c>
      <c r="AB261" s="208">
        <v>-16185</v>
      </c>
      <c r="AC261" s="208">
        <v>0</v>
      </c>
      <c r="AD261" s="208">
        <v>-16185</v>
      </c>
      <c r="AE261" s="208">
        <v>-94297</v>
      </c>
      <c r="AF261" s="208">
        <v>0</v>
      </c>
      <c r="AG261" s="208">
        <v>-94297</v>
      </c>
      <c r="AH261" s="208">
        <v>0</v>
      </c>
      <c r="AI261" s="208">
        <v>0</v>
      </c>
      <c r="AJ261" s="208">
        <v>0</v>
      </c>
      <c r="AK261" s="208">
        <v>0</v>
      </c>
      <c r="AL261" s="208">
        <v>0</v>
      </c>
      <c r="AM261" s="208">
        <v>0</v>
      </c>
      <c r="AN261" s="208">
        <v>1194437</v>
      </c>
      <c r="AO261" s="208">
        <v>0</v>
      </c>
      <c r="AP261" s="208">
        <v>1194437</v>
      </c>
      <c r="AQ261" s="208">
        <v>-27914</v>
      </c>
      <c r="AR261" s="208">
        <v>0</v>
      </c>
      <c r="AS261" s="208">
        <v>-27914</v>
      </c>
      <c r="AT261" s="208">
        <v>-3625099</v>
      </c>
      <c r="AU261" s="208">
        <v>0</v>
      </c>
      <c r="AV261" s="208">
        <v>-3625099</v>
      </c>
      <c r="AW261" s="208">
        <v>-4612</v>
      </c>
      <c r="AX261" s="208">
        <v>0</v>
      </c>
      <c r="AY261" s="208">
        <v>-4612</v>
      </c>
      <c r="AZ261" s="208">
        <v>-75001</v>
      </c>
      <c r="BA261" s="208">
        <v>0</v>
      </c>
      <c r="BB261" s="208">
        <v>-75001</v>
      </c>
      <c r="BC261" s="208">
        <v>-3065</v>
      </c>
      <c r="BD261" s="208">
        <v>0</v>
      </c>
      <c r="BE261" s="208">
        <v>-3065</v>
      </c>
      <c r="BF261" s="208">
        <v>0</v>
      </c>
      <c r="BG261" s="208">
        <v>0</v>
      </c>
      <c r="BH261" s="208">
        <v>0</v>
      </c>
      <c r="BI261" s="208">
        <v>0</v>
      </c>
      <c r="BJ261" s="208">
        <v>0</v>
      </c>
      <c r="BK261" s="208">
        <v>0</v>
      </c>
      <c r="BL261" s="208">
        <v>-7763864</v>
      </c>
      <c r="BM261" s="208">
        <v>0</v>
      </c>
      <c r="BN261" s="208">
        <v>-7763864</v>
      </c>
      <c r="BO261" s="208">
        <v>-35134</v>
      </c>
      <c r="BP261" s="208">
        <v>0</v>
      </c>
      <c r="BQ261" s="208">
        <v>-35134</v>
      </c>
      <c r="BR261" s="208">
        <v>-2052</v>
      </c>
      <c r="BS261" s="208">
        <v>0</v>
      </c>
      <c r="BT261" s="208">
        <v>-2052</v>
      </c>
      <c r="BU261" s="208">
        <v>-2337878</v>
      </c>
      <c r="BV261" s="208">
        <v>0</v>
      </c>
      <c r="BW261" s="208">
        <v>-2337878</v>
      </c>
      <c r="BX261" s="208">
        <v>-141741</v>
      </c>
      <c r="BY261" s="208">
        <v>0</v>
      </c>
      <c r="BZ261" s="208">
        <v>-141741</v>
      </c>
      <c r="CA261" s="208">
        <v>-2516805</v>
      </c>
      <c r="CB261" s="208">
        <v>0</v>
      </c>
      <c r="CC261" s="208">
        <v>-2516805</v>
      </c>
      <c r="CD261" s="208">
        <v>-277656</v>
      </c>
      <c r="CE261" s="208">
        <v>0</v>
      </c>
      <c r="CF261" s="208">
        <v>-277656</v>
      </c>
      <c r="CG261" s="208">
        <v>-5885</v>
      </c>
      <c r="CH261" s="208">
        <v>0</v>
      </c>
      <c r="CI261" s="208">
        <v>-5885</v>
      </c>
      <c r="CJ261" s="208">
        <v>-30173</v>
      </c>
      <c r="CK261" s="208">
        <v>0</v>
      </c>
      <c r="CL261" s="208">
        <v>-30173</v>
      </c>
      <c r="CM261" s="208">
        <v>-4163</v>
      </c>
      <c r="CN261" s="208">
        <v>0</v>
      </c>
      <c r="CO261" s="208">
        <v>-4163</v>
      </c>
      <c r="CP261" s="208">
        <v>-12221</v>
      </c>
      <c r="CQ261" s="208">
        <v>0</v>
      </c>
      <c r="CR261" s="208">
        <v>-12221</v>
      </c>
      <c r="CS261" s="208">
        <v>0</v>
      </c>
      <c r="CT261" s="208">
        <v>0</v>
      </c>
      <c r="CU261" s="208">
        <v>0</v>
      </c>
      <c r="CV261" s="208">
        <v>0</v>
      </c>
      <c r="CW261" s="208">
        <v>0</v>
      </c>
      <c r="CX261" s="208">
        <v>0</v>
      </c>
      <c r="CY261" s="208">
        <v>0</v>
      </c>
      <c r="CZ261" s="208">
        <v>0</v>
      </c>
      <c r="DA261" s="208">
        <v>0</v>
      </c>
      <c r="DB261" s="208">
        <v>0</v>
      </c>
      <c r="DC261" s="208">
        <v>0</v>
      </c>
      <c r="DD261" s="208">
        <v>0</v>
      </c>
      <c r="DE261" s="208">
        <v>0</v>
      </c>
      <c r="DF261" s="208">
        <v>0</v>
      </c>
      <c r="DG261" s="208">
        <v>0</v>
      </c>
      <c r="DH261" s="208">
        <v>-6120</v>
      </c>
      <c r="DI261" s="208">
        <v>0</v>
      </c>
      <c r="DJ261" s="208">
        <v>-6120</v>
      </c>
      <c r="DK261" s="208">
        <v>-62</v>
      </c>
      <c r="DL261" s="208">
        <v>0</v>
      </c>
      <c r="DM261" s="208">
        <v>-62</v>
      </c>
      <c r="DN261" s="208">
        <v>0</v>
      </c>
      <c r="DO261" s="208">
        <v>0</v>
      </c>
      <c r="DP261" s="208">
        <v>-336280</v>
      </c>
      <c r="DQ261" s="208">
        <v>0</v>
      </c>
      <c r="DR261" s="208">
        <v>-336280</v>
      </c>
      <c r="DS261" s="208">
        <v>0</v>
      </c>
      <c r="DT261" s="208">
        <v>0</v>
      </c>
      <c r="DU261" s="208">
        <v>0</v>
      </c>
      <c r="DV261" s="208">
        <v>0</v>
      </c>
      <c r="DW261" s="208">
        <v>0</v>
      </c>
      <c r="DX261" s="208">
        <v>0</v>
      </c>
      <c r="DY261" s="208">
        <v>0</v>
      </c>
      <c r="DZ261" s="208">
        <v>0</v>
      </c>
      <c r="EA261" s="208">
        <v>0</v>
      </c>
      <c r="EB261" s="208">
        <v>0</v>
      </c>
      <c r="EC261" s="208">
        <v>0</v>
      </c>
      <c r="ED261" s="208">
        <v>0</v>
      </c>
      <c r="EE261" s="208">
        <v>0</v>
      </c>
      <c r="EF261" s="208">
        <v>0</v>
      </c>
      <c r="EG261" s="208">
        <v>0</v>
      </c>
      <c r="EH261" s="208">
        <v>0</v>
      </c>
      <c r="EI261" s="208">
        <v>0</v>
      </c>
      <c r="EJ261" s="208">
        <v>0</v>
      </c>
      <c r="EK261" s="208">
        <v>0</v>
      </c>
      <c r="EL261" s="208">
        <v>0</v>
      </c>
      <c r="EM261" s="208">
        <v>0</v>
      </c>
      <c r="EN261" s="208">
        <v>0</v>
      </c>
      <c r="EO261" s="208">
        <v>0</v>
      </c>
      <c r="EP261" s="208">
        <v>0</v>
      </c>
      <c r="EQ261" s="208">
        <v>0</v>
      </c>
      <c r="ER261" s="208">
        <v>0</v>
      </c>
      <c r="ES261" s="208">
        <v>0</v>
      </c>
      <c r="ET261" s="208">
        <v>0</v>
      </c>
      <c r="EU261" s="208">
        <v>0</v>
      </c>
      <c r="EV261" s="208">
        <v>0</v>
      </c>
      <c r="EW261" s="208">
        <v>-22357</v>
      </c>
      <c r="EX261" s="208">
        <v>0</v>
      </c>
      <c r="EY261" s="208">
        <v>-22357</v>
      </c>
      <c r="EZ261" s="208">
        <v>0</v>
      </c>
      <c r="FA261" s="208">
        <v>0</v>
      </c>
      <c r="FB261" s="208">
        <v>0</v>
      </c>
      <c r="FC261" s="208">
        <v>-112455</v>
      </c>
      <c r="FD261" s="208">
        <v>0</v>
      </c>
      <c r="FE261" s="208">
        <v>-112455</v>
      </c>
      <c r="FF261" s="208">
        <v>4463</v>
      </c>
      <c r="FG261" s="208">
        <v>0</v>
      </c>
      <c r="FH261" s="208">
        <v>4463</v>
      </c>
      <c r="FI261" s="208">
        <v>-49592</v>
      </c>
      <c r="FJ261" s="208">
        <v>0</v>
      </c>
      <c r="FK261" s="208">
        <v>-49592</v>
      </c>
      <c r="FL261" s="208">
        <v>-2255</v>
      </c>
      <c r="FM261" s="208">
        <v>0</v>
      </c>
      <c r="FN261" s="208">
        <v>-2255</v>
      </c>
      <c r="FO261" s="208">
        <v>0</v>
      </c>
      <c r="FP261" s="208">
        <v>0</v>
      </c>
      <c r="FQ261" s="208">
        <v>0</v>
      </c>
      <c r="FR261" s="208">
        <v>0</v>
      </c>
      <c r="FS261" s="208">
        <v>0</v>
      </c>
      <c r="FT261" s="208">
        <v>0</v>
      </c>
      <c r="FU261" s="208">
        <v>-182196</v>
      </c>
      <c r="FV261" s="208">
        <v>0</v>
      </c>
      <c r="FW261" s="208">
        <v>-182196</v>
      </c>
      <c r="FX261" s="208">
        <v>0</v>
      </c>
      <c r="FY261" s="208">
        <v>0</v>
      </c>
      <c r="FZ261" s="208">
        <v>0</v>
      </c>
      <c r="GA261" s="208">
        <v>0</v>
      </c>
      <c r="GB261" s="208">
        <v>0</v>
      </c>
      <c r="GC261" s="208">
        <v>0</v>
      </c>
      <c r="GD261" s="208">
        <v>0</v>
      </c>
      <c r="GE261" s="208">
        <v>0</v>
      </c>
      <c r="GF261" s="208">
        <v>0</v>
      </c>
      <c r="GG261" s="208">
        <v>60760201</v>
      </c>
      <c r="GH261" s="208">
        <v>0</v>
      </c>
      <c r="GI261" s="208">
        <v>60760201</v>
      </c>
      <c r="GJ261" s="208">
        <v>1590694</v>
      </c>
      <c r="GK261" s="208">
        <v>0</v>
      </c>
      <c r="GL261" s="208">
        <v>1590694</v>
      </c>
      <c r="GM261" s="208">
        <v>-7763864</v>
      </c>
      <c r="GN261" s="208">
        <v>0</v>
      </c>
      <c r="GO261" s="208">
        <v>-7763864</v>
      </c>
      <c r="GP261" s="208">
        <v>-2516805</v>
      </c>
      <c r="GQ261" s="208">
        <v>0</v>
      </c>
      <c r="GR261" s="208">
        <v>-2516805</v>
      </c>
      <c r="GS261" s="208">
        <v>-336280</v>
      </c>
      <c r="GT261" s="208">
        <v>0</v>
      </c>
      <c r="GU261" s="208">
        <v>-336280</v>
      </c>
      <c r="GV261" s="208">
        <v>-182196</v>
      </c>
      <c r="GW261" s="208">
        <v>0</v>
      </c>
      <c r="GX261" s="208">
        <v>-182196</v>
      </c>
      <c r="GY261" s="208">
        <v>0</v>
      </c>
      <c r="GZ261" s="208">
        <v>0</v>
      </c>
      <c r="HA261" s="208">
        <v>0</v>
      </c>
      <c r="HB261" s="208">
        <v>-9208451</v>
      </c>
      <c r="HC261" s="208">
        <v>0</v>
      </c>
      <c r="HD261" s="208">
        <v>-9208451</v>
      </c>
      <c r="HE261" s="208">
        <v>51551750</v>
      </c>
      <c r="HF261" s="208">
        <v>0</v>
      </c>
      <c r="HG261" s="208">
        <v>51551750</v>
      </c>
      <c r="HH261" s="187" t="s">
        <v>1056</v>
      </c>
    </row>
    <row r="262" spans="1:216" s="187" customFormat="1" x14ac:dyDescent="0.2">
      <c r="B262" s="429" t="s">
        <v>602</v>
      </c>
      <c r="C262" s="429" t="s">
        <v>601</v>
      </c>
      <c r="D262" s="208">
        <v>-1365197</v>
      </c>
      <c r="E262" s="208">
        <v>0</v>
      </c>
      <c r="F262" s="208">
        <v>-1365197</v>
      </c>
      <c r="G262" s="208">
        <v>-203610</v>
      </c>
      <c r="H262" s="208">
        <v>0</v>
      </c>
      <c r="I262" s="208">
        <v>-203610</v>
      </c>
      <c r="J262" s="208">
        <v>1273732</v>
      </c>
      <c r="K262" s="208">
        <v>0</v>
      </c>
      <c r="L262" s="208">
        <v>1273732</v>
      </c>
      <c r="M262" s="208">
        <v>206545</v>
      </c>
      <c r="N262" s="208">
        <v>0</v>
      </c>
      <c r="O262" s="208">
        <v>206545</v>
      </c>
      <c r="P262" s="208">
        <v>-88530</v>
      </c>
      <c r="Q262" s="208">
        <v>0</v>
      </c>
      <c r="R262" s="208">
        <v>-88530</v>
      </c>
      <c r="S262" s="208">
        <v>-4209024</v>
      </c>
      <c r="T262" s="208">
        <v>0</v>
      </c>
      <c r="U262" s="208">
        <v>-4209024</v>
      </c>
      <c r="V262" s="208">
        <v>-2554</v>
      </c>
      <c r="W262" s="208">
        <v>0</v>
      </c>
      <c r="X262" s="208">
        <v>-2554</v>
      </c>
      <c r="Y262" s="208">
        <v>-149218</v>
      </c>
      <c r="Z262" s="208">
        <v>0</v>
      </c>
      <c r="AA262" s="208">
        <v>-149218</v>
      </c>
      <c r="AB262" s="208">
        <v>-35002</v>
      </c>
      <c r="AC262" s="208">
        <v>0</v>
      </c>
      <c r="AD262" s="208">
        <v>-35002</v>
      </c>
      <c r="AE262" s="208">
        <v>-112333</v>
      </c>
      <c r="AF262" s="208">
        <v>0</v>
      </c>
      <c r="AG262" s="208">
        <v>-112333</v>
      </c>
      <c r="AH262" s="208">
        <v>0</v>
      </c>
      <c r="AI262" s="208">
        <v>0</v>
      </c>
      <c r="AJ262" s="208">
        <v>0</v>
      </c>
      <c r="AK262" s="208">
        <v>385</v>
      </c>
      <c r="AL262" s="208">
        <v>0</v>
      </c>
      <c r="AM262" s="208">
        <v>385</v>
      </c>
      <c r="AN262" s="208">
        <v>1168407</v>
      </c>
      <c r="AO262" s="208">
        <v>0</v>
      </c>
      <c r="AP262" s="208">
        <v>1168407</v>
      </c>
      <c r="AQ262" s="208">
        <v>4641</v>
      </c>
      <c r="AR262" s="208">
        <v>0</v>
      </c>
      <c r="AS262" s="208">
        <v>4641</v>
      </c>
      <c r="AT262" s="208">
        <v>-2842154</v>
      </c>
      <c r="AU262" s="208">
        <v>0</v>
      </c>
      <c r="AV262" s="208">
        <v>-2842154</v>
      </c>
      <c r="AW262" s="208">
        <v>-330356</v>
      </c>
      <c r="AX262" s="208">
        <v>0</v>
      </c>
      <c r="AY262" s="208">
        <v>-330356</v>
      </c>
      <c r="AZ262" s="208">
        <v>-55808</v>
      </c>
      <c r="BA262" s="208">
        <v>0</v>
      </c>
      <c r="BB262" s="208">
        <v>-55808</v>
      </c>
      <c r="BC262" s="208">
        <v>8430</v>
      </c>
      <c r="BD262" s="208">
        <v>0</v>
      </c>
      <c r="BE262" s="208">
        <v>8430</v>
      </c>
      <c r="BF262" s="208">
        <v>-14888</v>
      </c>
      <c r="BG262" s="208">
        <v>0</v>
      </c>
      <c r="BH262" s="208">
        <v>-14888</v>
      </c>
      <c r="BI262" s="208">
        <v>197</v>
      </c>
      <c r="BJ262" s="208">
        <v>0</v>
      </c>
      <c r="BK262" s="208">
        <v>197</v>
      </c>
      <c r="BL262" s="208">
        <v>-6419773</v>
      </c>
      <c r="BM262" s="208">
        <v>0</v>
      </c>
      <c r="BN262" s="208">
        <v>-6419773</v>
      </c>
      <c r="BO262" s="208">
        <v>0</v>
      </c>
      <c r="BP262" s="208">
        <v>0</v>
      </c>
      <c r="BQ262" s="208">
        <v>0</v>
      </c>
      <c r="BR262" s="208">
        <v>0</v>
      </c>
      <c r="BS262" s="208">
        <v>0</v>
      </c>
      <c r="BT262" s="208">
        <v>0</v>
      </c>
      <c r="BU262" s="208">
        <v>-1942707</v>
      </c>
      <c r="BV262" s="208">
        <v>0</v>
      </c>
      <c r="BW262" s="208">
        <v>-1942707</v>
      </c>
      <c r="BX262" s="208">
        <v>4550</v>
      </c>
      <c r="BY262" s="208">
        <v>0</v>
      </c>
      <c r="BZ262" s="208">
        <v>4550</v>
      </c>
      <c r="CA262" s="208">
        <v>-1938157</v>
      </c>
      <c r="CB262" s="208">
        <v>0</v>
      </c>
      <c r="CC262" s="208">
        <v>-1938157</v>
      </c>
      <c r="CD262" s="208">
        <v>-250225</v>
      </c>
      <c r="CE262" s="208">
        <v>0</v>
      </c>
      <c r="CF262" s="208">
        <v>-250225</v>
      </c>
      <c r="CG262" s="208">
        <v>-26070</v>
      </c>
      <c r="CH262" s="208">
        <v>0</v>
      </c>
      <c r="CI262" s="208">
        <v>-26070</v>
      </c>
      <c r="CJ262" s="208">
        <v>-78628</v>
      </c>
      <c r="CK262" s="208">
        <v>0</v>
      </c>
      <c r="CL262" s="208">
        <v>-78628</v>
      </c>
      <c r="CM262" s="208">
        <v>0</v>
      </c>
      <c r="CN262" s="208">
        <v>0</v>
      </c>
      <c r="CO262" s="208">
        <v>0</v>
      </c>
      <c r="CP262" s="208">
        <v>-4467</v>
      </c>
      <c r="CQ262" s="208">
        <v>0</v>
      </c>
      <c r="CR262" s="208">
        <v>-4467</v>
      </c>
      <c r="CS262" s="208">
        <v>0</v>
      </c>
      <c r="CT262" s="208">
        <v>0</v>
      </c>
      <c r="CU262" s="208">
        <v>0</v>
      </c>
      <c r="CV262" s="208">
        <v>0</v>
      </c>
      <c r="CW262" s="208">
        <v>0</v>
      </c>
      <c r="CX262" s="208">
        <v>0</v>
      </c>
      <c r="CY262" s="208">
        <v>0</v>
      </c>
      <c r="CZ262" s="208">
        <v>0</v>
      </c>
      <c r="DA262" s="208">
        <v>0</v>
      </c>
      <c r="DB262" s="208">
        <v>0</v>
      </c>
      <c r="DC262" s="208">
        <v>0</v>
      </c>
      <c r="DD262" s="208">
        <v>0</v>
      </c>
      <c r="DE262" s="208">
        <v>0</v>
      </c>
      <c r="DF262" s="208">
        <v>0</v>
      </c>
      <c r="DG262" s="208">
        <v>0</v>
      </c>
      <c r="DH262" s="208">
        <v>-4665</v>
      </c>
      <c r="DI262" s="208">
        <v>0</v>
      </c>
      <c r="DJ262" s="208">
        <v>-4665</v>
      </c>
      <c r="DK262" s="208">
        <v>0</v>
      </c>
      <c r="DL262" s="208">
        <v>0</v>
      </c>
      <c r="DM262" s="208">
        <v>0</v>
      </c>
      <c r="DN262" s="208">
        <v>0</v>
      </c>
      <c r="DO262" s="208">
        <v>0</v>
      </c>
      <c r="DP262" s="208">
        <v>-364055</v>
      </c>
      <c r="DQ262" s="208">
        <v>0</v>
      </c>
      <c r="DR262" s="208">
        <v>-364055</v>
      </c>
      <c r="DS262" s="208">
        <v>0</v>
      </c>
      <c r="DT262" s="208">
        <v>0</v>
      </c>
      <c r="DU262" s="208">
        <v>0</v>
      </c>
      <c r="DV262" s="208">
        <v>0</v>
      </c>
      <c r="DW262" s="208">
        <v>0</v>
      </c>
      <c r="DX262" s="208">
        <v>0</v>
      </c>
      <c r="DY262" s="208">
        <v>340</v>
      </c>
      <c r="DZ262" s="208">
        <v>0</v>
      </c>
      <c r="EA262" s="208">
        <v>340</v>
      </c>
      <c r="EB262" s="208">
        <v>0</v>
      </c>
      <c r="EC262" s="208">
        <v>0</v>
      </c>
      <c r="ED262" s="208">
        <v>0</v>
      </c>
      <c r="EE262" s="208">
        <v>0</v>
      </c>
      <c r="EF262" s="208">
        <v>0</v>
      </c>
      <c r="EG262" s="208">
        <v>0</v>
      </c>
      <c r="EH262" s="208">
        <v>0</v>
      </c>
      <c r="EI262" s="208">
        <v>0</v>
      </c>
      <c r="EJ262" s="208">
        <v>0</v>
      </c>
      <c r="EK262" s="208">
        <v>-14247</v>
      </c>
      <c r="EL262" s="208">
        <v>0</v>
      </c>
      <c r="EM262" s="208">
        <v>-14247</v>
      </c>
      <c r="EN262" s="208">
        <v>196.68</v>
      </c>
      <c r="EO262" s="208">
        <v>0</v>
      </c>
      <c r="EP262" s="208">
        <v>196.68</v>
      </c>
      <c r="EQ262" s="208">
        <v>-1500</v>
      </c>
      <c r="ER262" s="208">
        <v>0</v>
      </c>
      <c r="ES262" s="208">
        <v>-1500</v>
      </c>
      <c r="ET262" s="208">
        <v>0</v>
      </c>
      <c r="EU262" s="208">
        <v>0</v>
      </c>
      <c r="EV262" s="208">
        <v>0</v>
      </c>
      <c r="EW262" s="208">
        <v>-30329</v>
      </c>
      <c r="EX262" s="208">
        <v>0</v>
      </c>
      <c r="EY262" s="208">
        <v>-30329</v>
      </c>
      <c r="EZ262" s="208">
        <v>4186</v>
      </c>
      <c r="FA262" s="208">
        <v>0</v>
      </c>
      <c r="FB262" s="208">
        <v>4186</v>
      </c>
      <c r="FC262" s="208">
        <v>-181219</v>
      </c>
      <c r="FD262" s="208">
        <v>0</v>
      </c>
      <c r="FE262" s="208">
        <v>-181219</v>
      </c>
      <c r="FF262" s="208">
        <v>513</v>
      </c>
      <c r="FG262" s="208">
        <v>0</v>
      </c>
      <c r="FH262" s="208">
        <v>513</v>
      </c>
      <c r="FI262" s="208">
        <v>-51998</v>
      </c>
      <c r="FJ262" s="208">
        <v>0</v>
      </c>
      <c r="FK262" s="208">
        <v>-51998</v>
      </c>
      <c r="FL262" s="208">
        <v>-2679</v>
      </c>
      <c r="FM262" s="208">
        <v>0</v>
      </c>
      <c r="FN262" s="208">
        <v>-2679</v>
      </c>
      <c r="FO262" s="208">
        <v>0</v>
      </c>
      <c r="FP262" s="208">
        <v>0</v>
      </c>
      <c r="FQ262" s="208">
        <v>0</v>
      </c>
      <c r="FR262" s="208">
        <v>0</v>
      </c>
      <c r="FS262" s="208">
        <v>0</v>
      </c>
      <c r="FT262" s="208">
        <v>0</v>
      </c>
      <c r="FU262" s="208">
        <v>-276736</v>
      </c>
      <c r="FV262" s="208">
        <v>0</v>
      </c>
      <c r="FW262" s="208">
        <v>-276736</v>
      </c>
      <c r="FX262" s="208">
        <v>0</v>
      </c>
      <c r="FY262" s="208">
        <v>0</v>
      </c>
      <c r="FZ262" s="208">
        <v>0</v>
      </c>
      <c r="GA262" s="208">
        <v>-295</v>
      </c>
      <c r="GB262" s="208">
        <v>0</v>
      </c>
      <c r="GC262" s="208">
        <v>-295</v>
      </c>
      <c r="GD262" s="208">
        <v>-295</v>
      </c>
      <c r="GE262" s="208">
        <v>0</v>
      </c>
      <c r="GF262" s="208">
        <v>-295</v>
      </c>
      <c r="GG262" s="208">
        <v>60454804</v>
      </c>
      <c r="GH262" s="208">
        <v>0</v>
      </c>
      <c r="GI262" s="208">
        <v>60454804</v>
      </c>
      <c r="GJ262" s="208">
        <v>-88530</v>
      </c>
      <c r="GK262" s="208">
        <v>0</v>
      </c>
      <c r="GL262" s="208">
        <v>-88530</v>
      </c>
      <c r="GM262" s="208">
        <v>-6419773</v>
      </c>
      <c r="GN262" s="208">
        <v>0</v>
      </c>
      <c r="GO262" s="208">
        <v>-6419773</v>
      </c>
      <c r="GP262" s="208">
        <v>-1938157</v>
      </c>
      <c r="GQ262" s="208">
        <v>0</v>
      </c>
      <c r="GR262" s="208">
        <v>-1938157</v>
      </c>
      <c r="GS262" s="208">
        <v>-364055</v>
      </c>
      <c r="GT262" s="208">
        <v>0</v>
      </c>
      <c r="GU262" s="208">
        <v>-364055</v>
      </c>
      <c r="GV262" s="208">
        <v>-276736</v>
      </c>
      <c r="GW262" s="208">
        <v>0</v>
      </c>
      <c r="GX262" s="208">
        <v>-276736</v>
      </c>
      <c r="GY262" s="208">
        <v>-295</v>
      </c>
      <c r="GZ262" s="208">
        <v>0</v>
      </c>
      <c r="HA262" s="208">
        <v>-295</v>
      </c>
      <c r="HB262" s="208">
        <v>-9087546</v>
      </c>
      <c r="HC262" s="208">
        <v>0</v>
      </c>
      <c r="HD262" s="208">
        <v>-9087546</v>
      </c>
      <c r="HE262" s="208">
        <v>51367258</v>
      </c>
      <c r="HF262" s="208">
        <v>0</v>
      </c>
      <c r="HG262" s="208">
        <v>51367258</v>
      </c>
      <c r="HH262" s="187" t="s">
        <v>1054</v>
      </c>
    </row>
    <row r="263" spans="1:216" s="187" customFormat="1" x14ac:dyDescent="0.2">
      <c r="B263" s="429" t="s">
        <v>604</v>
      </c>
      <c r="C263" s="429" t="s">
        <v>603</v>
      </c>
      <c r="D263" s="208">
        <v>-1571714</v>
      </c>
      <c r="E263" s="208">
        <v>0</v>
      </c>
      <c r="F263" s="208">
        <v>-1571714</v>
      </c>
      <c r="G263" s="208">
        <v>-17143</v>
      </c>
      <c r="H263" s="208">
        <v>0</v>
      </c>
      <c r="I263" s="208">
        <v>-17143</v>
      </c>
      <c r="J263" s="208">
        <v>445104</v>
      </c>
      <c r="K263" s="208">
        <v>0</v>
      </c>
      <c r="L263" s="208">
        <v>445104</v>
      </c>
      <c r="M263" s="208">
        <v>-1990</v>
      </c>
      <c r="N263" s="208">
        <v>0</v>
      </c>
      <c r="O263" s="208">
        <v>-1990</v>
      </c>
      <c r="P263" s="208">
        <v>-1145743</v>
      </c>
      <c r="Q263" s="208">
        <v>0</v>
      </c>
      <c r="R263" s="208">
        <v>-1145743</v>
      </c>
      <c r="S263" s="208">
        <v>-3509413</v>
      </c>
      <c r="T263" s="208">
        <v>0</v>
      </c>
      <c r="U263" s="208">
        <v>-3509413</v>
      </c>
      <c r="V263" s="208">
        <v>0</v>
      </c>
      <c r="W263" s="208">
        <v>0</v>
      </c>
      <c r="X263" s="208">
        <v>0</v>
      </c>
      <c r="Y263" s="208">
        <v>-87384</v>
      </c>
      <c r="Z263" s="208">
        <v>0</v>
      </c>
      <c r="AA263" s="208">
        <v>-87384</v>
      </c>
      <c r="AB263" s="208">
        <v>-22097</v>
      </c>
      <c r="AC263" s="208">
        <v>0</v>
      </c>
      <c r="AD263" s="208">
        <v>-22097</v>
      </c>
      <c r="AE263" s="208">
        <v>-64079</v>
      </c>
      <c r="AF263" s="208">
        <v>0</v>
      </c>
      <c r="AG263" s="208">
        <v>-64079</v>
      </c>
      <c r="AH263" s="208">
        <v>0</v>
      </c>
      <c r="AI263" s="208">
        <v>0</v>
      </c>
      <c r="AJ263" s="208">
        <v>0</v>
      </c>
      <c r="AK263" s="208">
        <v>0</v>
      </c>
      <c r="AL263" s="208">
        <v>0</v>
      </c>
      <c r="AM263" s="208">
        <v>0</v>
      </c>
      <c r="AN263" s="208">
        <v>451410</v>
      </c>
      <c r="AO263" s="208">
        <v>0</v>
      </c>
      <c r="AP263" s="208">
        <v>451410</v>
      </c>
      <c r="AQ263" s="208">
        <v>-4594</v>
      </c>
      <c r="AR263" s="208">
        <v>0</v>
      </c>
      <c r="AS263" s="208">
        <v>-4594</v>
      </c>
      <c r="AT263" s="208">
        <v>-1492653</v>
      </c>
      <c r="AU263" s="208">
        <v>0</v>
      </c>
      <c r="AV263" s="208">
        <v>-1492653</v>
      </c>
      <c r="AW263" s="208">
        <v>-5177</v>
      </c>
      <c r="AX263" s="208">
        <v>0</v>
      </c>
      <c r="AY263" s="208">
        <v>-5177</v>
      </c>
      <c r="AZ263" s="208">
        <v>-49205</v>
      </c>
      <c r="BA263" s="208">
        <v>0</v>
      </c>
      <c r="BB263" s="208">
        <v>-49205</v>
      </c>
      <c r="BC263" s="208">
        <v>-382</v>
      </c>
      <c r="BD263" s="208">
        <v>0</v>
      </c>
      <c r="BE263" s="208">
        <v>-382</v>
      </c>
      <c r="BF263" s="208">
        <v>-10020</v>
      </c>
      <c r="BG263" s="208">
        <v>0</v>
      </c>
      <c r="BH263" s="208">
        <v>-10020</v>
      </c>
      <c r="BI263" s="208">
        <v>0</v>
      </c>
      <c r="BJ263" s="208">
        <v>0</v>
      </c>
      <c r="BK263" s="208">
        <v>0</v>
      </c>
      <c r="BL263" s="208">
        <v>-4707418</v>
      </c>
      <c r="BM263" s="208">
        <v>0</v>
      </c>
      <c r="BN263" s="208">
        <v>-4707418</v>
      </c>
      <c r="BO263" s="208">
        <v>-58918</v>
      </c>
      <c r="BP263" s="208">
        <v>0</v>
      </c>
      <c r="BQ263" s="208">
        <v>-58918</v>
      </c>
      <c r="BR263" s="208">
        <v>0</v>
      </c>
      <c r="BS263" s="208">
        <v>0</v>
      </c>
      <c r="BT263" s="208">
        <v>0</v>
      </c>
      <c r="BU263" s="208">
        <v>-418169</v>
      </c>
      <c r="BV263" s="208">
        <v>0</v>
      </c>
      <c r="BW263" s="208">
        <v>-418169</v>
      </c>
      <c r="BX263" s="208">
        <v>11616</v>
      </c>
      <c r="BY263" s="208">
        <v>0</v>
      </c>
      <c r="BZ263" s="208">
        <v>11616</v>
      </c>
      <c r="CA263" s="208">
        <v>-465471</v>
      </c>
      <c r="CB263" s="208">
        <v>0</v>
      </c>
      <c r="CC263" s="208">
        <v>-465471</v>
      </c>
      <c r="CD263" s="208">
        <v>-100117</v>
      </c>
      <c r="CE263" s="208">
        <v>0</v>
      </c>
      <c r="CF263" s="208">
        <v>-100117</v>
      </c>
      <c r="CG263" s="208">
        <v>0</v>
      </c>
      <c r="CH263" s="208">
        <v>0</v>
      </c>
      <c r="CI263" s="208">
        <v>0</v>
      </c>
      <c r="CJ263" s="208">
        <v>-98997</v>
      </c>
      <c r="CK263" s="208">
        <v>0</v>
      </c>
      <c r="CL263" s="208">
        <v>-98997</v>
      </c>
      <c r="CM263" s="208">
        <v>0</v>
      </c>
      <c r="CN263" s="208">
        <v>0</v>
      </c>
      <c r="CO263" s="208">
        <v>0</v>
      </c>
      <c r="CP263" s="208">
        <v>-2885</v>
      </c>
      <c r="CQ263" s="208">
        <v>0</v>
      </c>
      <c r="CR263" s="208">
        <v>-2885</v>
      </c>
      <c r="CS263" s="208">
        <v>-95</v>
      </c>
      <c r="CT263" s="208">
        <v>0</v>
      </c>
      <c r="CU263" s="208">
        <v>-95</v>
      </c>
      <c r="CV263" s="208">
        <v>-2611</v>
      </c>
      <c r="CW263" s="208">
        <v>0</v>
      </c>
      <c r="CX263" s="208">
        <v>-2611</v>
      </c>
      <c r="CY263" s="208">
        <v>0</v>
      </c>
      <c r="CZ263" s="208">
        <v>0</v>
      </c>
      <c r="DA263" s="208">
        <v>0</v>
      </c>
      <c r="DB263" s="208">
        <v>0</v>
      </c>
      <c r="DC263" s="208">
        <v>0</v>
      </c>
      <c r="DD263" s="208">
        <v>0</v>
      </c>
      <c r="DE263" s="208">
        <v>0</v>
      </c>
      <c r="DF263" s="208">
        <v>0</v>
      </c>
      <c r="DG263" s="208">
        <v>0</v>
      </c>
      <c r="DH263" s="208">
        <v>0</v>
      </c>
      <c r="DI263" s="208">
        <v>0</v>
      </c>
      <c r="DJ263" s="208">
        <v>0</v>
      </c>
      <c r="DK263" s="208">
        <v>0</v>
      </c>
      <c r="DL263" s="208">
        <v>0</v>
      </c>
      <c r="DM263" s="208">
        <v>0</v>
      </c>
      <c r="DN263" s="208">
        <v>0</v>
      </c>
      <c r="DO263" s="208">
        <v>0</v>
      </c>
      <c r="DP263" s="208">
        <v>-204705</v>
      </c>
      <c r="DQ263" s="208">
        <v>0</v>
      </c>
      <c r="DR263" s="208">
        <v>-204705</v>
      </c>
      <c r="DS263" s="208">
        <v>0</v>
      </c>
      <c r="DT263" s="208">
        <v>0</v>
      </c>
      <c r="DU263" s="208">
        <v>0</v>
      </c>
      <c r="DV263" s="208">
        <v>0</v>
      </c>
      <c r="DW263" s="208">
        <v>0</v>
      </c>
      <c r="DX263" s="208">
        <v>0</v>
      </c>
      <c r="DY263" s="208">
        <v>556</v>
      </c>
      <c r="DZ263" s="208">
        <v>0</v>
      </c>
      <c r="EA263" s="208">
        <v>556</v>
      </c>
      <c r="EB263" s="208">
        <v>0</v>
      </c>
      <c r="EC263" s="208">
        <v>0</v>
      </c>
      <c r="ED263" s="208">
        <v>0</v>
      </c>
      <c r="EE263" s="208">
        <v>0</v>
      </c>
      <c r="EF263" s="208">
        <v>0</v>
      </c>
      <c r="EG263" s="208">
        <v>0</v>
      </c>
      <c r="EH263" s="208">
        <v>0</v>
      </c>
      <c r="EI263" s="208">
        <v>0</v>
      </c>
      <c r="EJ263" s="208">
        <v>0</v>
      </c>
      <c r="EK263" s="208">
        <v>-10020</v>
      </c>
      <c r="EL263" s="208">
        <v>0</v>
      </c>
      <c r="EM263" s="208">
        <v>-10020</v>
      </c>
      <c r="EN263" s="208">
        <v>0</v>
      </c>
      <c r="EO263" s="208">
        <v>0</v>
      </c>
      <c r="EP263" s="208">
        <v>0</v>
      </c>
      <c r="EQ263" s="208">
        <v>0</v>
      </c>
      <c r="ER263" s="208">
        <v>0</v>
      </c>
      <c r="ES263" s="208">
        <v>0</v>
      </c>
      <c r="ET263" s="208">
        <v>0</v>
      </c>
      <c r="EU263" s="208">
        <v>0</v>
      </c>
      <c r="EV263" s="208">
        <v>0</v>
      </c>
      <c r="EW263" s="208">
        <v>-59399</v>
      </c>
      <c r="EX263" s="208">
        <v>0</v>
      </c>
      <c r="EY263" s="208">
        <v>-59399</v>
      </c>
      <c r="EZ263" s="208">
        <v>-9869</v>
      </c>
      <c r="FA263" s="208">
        <v>0</v>
      </c>
      <c r="FB263" s="208">
        <v>-9869</v>
      </c>
      <c r="FC263" s="208">
        <v>-101664</v>
      </c>
      <c r="FD263" s="208">
        <v>0</v>
      </c>
      <c r="FE263" s="208">
        <v>-101664</v>
      </c>
      <c r="FF263" s="208">
        <v>9872</v>
      </c>
      <c r="FG263" s="208">
        <v>0</v>
      </c>
      <c r="FH263" s="208">
        <v>9872</v>
      </c>
      <c r="FI263" s="208">
        <v>-54309</v>
      </c>
      <c r="FJ263" s="208">
        <v>0</v>
      </c>
      <c r="FK263" s="208">
        <v>-54309</v>
      </c>
      <c r="FL263" s="208">
        <v>60</v>
      </c>
      <c r="FM263" s="208">
        <v>0</v>
      </c>
      <c r="FN263" s="208">
        <v>60</v>
      </c>
      <c r="FO263" s="208">
        <v>0</v>
      </c>
      <c r="FP263" s="208">
        <v>0</v>
      </c>
      <c r="FQ263" s="208">
        <v>0</v>
      </c>
      <c r="FR263" s="208">
        <v>0</v>
      </c>
      <c r="FS263" s="208">
        <v>0</v>
      </c>
      <c r="FT263" s="208">
        <v>0</v>
      </c>
      <c r="FU263" s="208">
        <v>-224773</v>
      </c>
      <c r="FV263" s="208">
        <v>0</v>
      </c>
      <c r="FW263" s="208">
        <v>-224773</v>
      </c>
      <c r="FX263" s="208">
        <v>0</v>
      </c>
      <c r="FY263" s="208">
        <v>0</v>
      </c>
      <c r="FZ263" s="208">
        <v>0</v>
      </c>
      <c r="GA263" s="208">
        <v>0</v>
      </c>
      <c r="GB263" s="208">
        <v>0</v>
      </c>
      <c r="GC263" s="208">
        <v>0</v>
      </c>
      <c r="GD263" s="208">
        <v>0</v>
      </c>
      <c r="GE263" s="208">
        <v>0</v>
      </c>
      <c r="GF263" s="208">
        <v>0</v>
      </c>
      <c r="GG263" s="208">
        <v>26737203</v>
      </c>
      <c r="GH263" s="208">
        <v>0</v>
      </c>
      <c r="GI263" s="208">
        <v>26737203</v>
      </c>
      <c r="GJ263" s="208">
        <v>-1145743</v>
      </c>
      <c r="GK263" s="208">
        <v>0</v>
      </c>
      <c r="GL263" s="208">
        <v>-1145743</v>
      </c>
      <c r="GM263" s="208">
        <v>-4707418</v>
      </c>
      <c r="GN263" s="208">
        <v>0</v>
      </c>
      <c r="GO263" s="208">
        <v>-4707418</v>
      </c>
      <c r="GP263" s="208">
        <v>-465471</v>
      </c>
      <c r="GQ263" s="208">
        <v>0</v>
      </c>
      <c r="GR263" s="208">
        <v>-465471</v>
      </c>
      <c r="GS263" s="208">
        <v>-204705</v>
      </c>
      <c r="GT263" s="208">
        <v>0</v>
      </c>
      <c r="GU263" s="208">
        <v>-204705</v>
      </c>
      <c r="GV263" s="208">
        <v>-224773</v>
      </c>
      <c r="GW263" s="208">
        <v>0</v>
      </c>
      <c r="GX263" s="208">
        <v>-224773</v>
      </c>
      <c r="GY263" s="208">
        <v>0</v>
      </c>
      <c r="GZ263" s="208">
        <v>0</v>
      </c>
      <c r="HA263" s="208">
        <v>0</v>
      </c>
      <c r="HB263" s="208">
        <v>-6748110</v>
      </c>
      <c r="HC263" s="208">
        <v>0</v>
      </c>
      <c r="HD263" s="208">
        <v>-6748110</v>
      </c>
      <c r="HE263" s="208">
        <v>19989093</v>
      </c>
      <c r="HF263" s="208">
        <v>0</v>
      </c>
      <c r="HG263" s="208">
        <v>19989093</v>
      </c>
      <c r="HH263" s="187" t="s">
        <v>1054</v>
      </c>
    </row>
    <row r="264" spans="1:216" s="187" customFormat="1" x14ac:dyDescent="0.2">
      <c r="A264" s="188"/>
      <c r="B264" s="429" t="s">
        <v>606</v>
      </c>
      <c r="C264" s="429" t="s">
        <v>605</v>
      </c>
      <c r="D264" s="208">
        <v>-173889</v>
      </c>
      <c r="E264" s="208">
        <v>0</v>
      </c>
      <c r="F264" s="208">
        <v>-173889</v>
      </c>
      <c r="G264" s="208">
        <v>1699</v>
      </c>
      <c r="H264" s="208">
        <v>0</v>
      </c>
      <c r="I264" s="208">
        <v>1699</v>
      </c>
      <c r="J264" s="208">
        <v>1431914</v>
      </c>
      <c r="K264" s="208">
        <v>0</v>
      </c>
      <c r="L264" s="208">
        <v>1431914</v>
      </c>
      <c r="M264" s="208">
        <v>364936</v>
      </c>
      <c r="N264" s="208">
        <v>0</v>
      </c>
      <c r="O264" s="208">
        <v>364936</v>
      </c>
      <c r="P264" s="208">
        <v>1624660</v>
      </c>
      <c r="Q264" s="208">
        <v>0</v>
      </c>
      <c r="R264" s="208">
        <v>1624660</v>
      </c>
      <c r="S264" s="208">
        <v>-1879971</v>
      </c>
      <c r="T264" s="208">
        <v>0</v>
      </c>
      <c r="U264" s="208">
        <v>-1879971</v>
      </c>
      <c r="V264" s="208">
        <v>0</v>
      </c>
      <c r="W264" s="208">
        <v>0</v>
      </c>
      <c r="X264" s="208">
        <v>0</v>
      </c>
      <c r="Y264" s="208">
        <v>-67908</v>
      </c>
      <c r="Z264" s="208">
        <v>0</v>
      </c>
      <c r="AA264" s="208">
        <v>-67908</v>
      </c>
      <c r="AB264" s="208">
        <v>-7231</v>
      </c>
      <c r="AC264" s="208">
        <v>0</v>
      </c>
      <c r="AD264" s="208">
        <v>-7231</v>
      </c>
      <c r="AE264" s="208">
        <v>-60677</v>
      </c>
      <c r="AF264" s="208">
        <v>0</v>
      </c>
      <c r="AG264" s="208">
        <v>-60677</v>
      </c>
      <c r="AH264" s="208">
        <v>0</v>
      </c>
      <c r="AI264" s="208">
        <v>0</v>
      </c>
      <c r="AJ264" s="208">
        <v>0</v>
      </c>
      <c r="AK264" s="208">
        <v>0</v>
      </c>
      <c r="AL264" s="208">
        <v>0</v>
      </c>
      <c r="AM264" s="208">
        <v>0</v>
      </c>
      <c r="AN264" s="208">
        <v>1170429</v>
      </c>
      <c r="AO264" s="208">
        <v>0</v>
      </c>
      <c r="AP264" s="208">
        <v>1170429</v>
      </c>
      <c r="AQ264" s="208">
        <v>-83906</v>
      </c>
      <c r="AR264" s="208">
        <v>0</v>
      </c>
      <c r="AS264" s="208">
        <v>-83906</v>
      </c>
      <c r="AT264" s="208">
        <v>-2445147</v>
      </c>
      <c r="AU264" s="208">
        <v>0</v>
      </c>
      <c r="AV264" s="208">
        <v>-2445147</v>
      </c>
      <c r="AW264" s="208">
        <v>112741</v>
      </c>
      <c r="AX264" s="208">
        <v>0</v>
      </c>
      <c r="AY264" s="208">
        <v>112741</v>
      </c>
      <c r="AZ264" s="208">
        <v>-4338</v>
      </c>
      <c r="BA264" s="208">
        <v>0</v>
      </c>
      <c r="BB264" s="208">
        <v>-4338</v>
      </c>
      <c r="BC264" s="208">
        <v>0</v>
      </c>
      <c r="BD264" s="208">
        <v>0</v>
      </c>
      <c r="BE264" s="208">
        <v>0</v>
      </c>
      <c r="BF264" s="208">
        <v>0</v>
      </c>
      <c r="BG264" s="208">
        <v>0</v>
      </c>
      <c r="BH264" s="208">
        <v>0</v>
      </c>
      <c r="BI264" s="208">
        <v>0</v>
      </c>
      <c r="BJ264" s="208">
        <v>0</v>
      </c>
      <c r="BK264" s="208">
        <v>0</v>
      </c>
      <c r="BL264" s="208">
        <v>-3198100</v>
      </c>
      <c r="BM264" s="208">
        <v>0</v>
      </c>
      <c r="BN264" s="208">
        <v>-3198100</v>
      </c>
      <c r="BO264" s="208">
        <v>0</v>
      </c>
      <c r="BP264" s="208">
        <v>0</v>
      </c>
      <c r="BQ264" s="208">
        <v>0</v>
      </c>
      <c r="BR264" s="208">
        <v>75</v>
      </c>
      <c r="BS264" s="208">
        <v>0</v>
      </c>
      <c r="BT264" s="208">
        <v>75</v>
      </c>
      <c r="BU264" s="208">
        <v>-2169579</v>
      </c>
      <c r="BV264" s="208">
        <v>0</v>
      </c>
      <c r="BW264" s="208">
        <v>-2169579</v>
      </c>
      <c r="BX264" s="208">
        <v>-132403</v>
      </c>
      <c r="BY264" s="208">
        <v>0</v>
      </c>
      <c r="BZ264" s="208">
        <v>-132403</v>
      </c>
      <c r="CA264" s="208">
        <v>-2301907</v>
      </c>
      <c r="CB264" s="208">
        <v>0</v>
      </c>
      <c r="CC264" s="208">
        <v>-2301907</v>
      </c>
      <c r="CD264" s="208">
        <v>-106566</v>
      </c>
      <c r="CE264" s="208">
        <v>0</v>
      </c>
      <c r="CF264" s="208">
        <v>-106566</v>
      </c>
      <c r="CG264" s="208">
        <v>-2205</v>
      </c>
      <c r="CH264" s="208">
        <v>0</v>
      </c>
      <c r="CI264" s="208">
        <v>-2205</v>
      </c>
      <c r="CJ264" s="208">
        <v>-46728</v>
      </c>
      <c r="CK264" s="208">
        <v>0</v>
      </c>
      <c r="CL264" s="208">
        <v>-46728</v>
      </c>
      <c r="CM264" s="208">
        <v>-2317</v>
      </c>
      <c r="CN264" s="208">
        <v>0</v>
      </c>
      <c r="CO264" s="208">
        <v>-2317</v>
      </c>
      <c r="CP264" s="208">
        <v>0</v>
      </c>
      <c r="CQ264" s="208">
        <v>0</v>
      </c>
      <c r="CR264" s="208">
        <v>0</v>
      </c>
      <c r="CS264" s="208">
        <v>0</v>
      </c>
      <c r="CT264" s="208">
        <v>0</v>
      </c>
      <c r="CU264" s="208">
        <v>0</v>
      </c>
      <c r="CV264" s="208">
        <v>0</v>
      </c>
      <c r="CW264" s="208">
        <v>0</v>
      </c>
      <c r="CX264" s="208">
        <v>0</v>
      </c>
      <c r="CY264" s="208">
        <v>0</v>
      </c>
      <c r="CZ264" s="208">
        <v>0</v>
      </c>
      <c r="DA264" s="208">
        <v>0</v>
      </c>
      <c r="DB264" s="208">
        <v>0</v>
      </c>
      <c r="DC264" s="208">
        <v>0</v>
      </c>
      <c r="DD264" s="208">
        <v>0</v>
      </c>
      <c r="DE264" s="208">
        <v>0</v>
      </c>
      <c r="DF264" s="208">
        <v>0</v>
      </c>
      <c r="DG264" s="208">
        <v>0</v>
      </c>
      <c r="DH264" s="208">
        <v>0</v>
      </c>
      <c r="DI264" s="208">
        <v>0</v>
      </c>
      <c r="DJ264" s="208">
        <v>0</v>
      </c>
      <c r="DK264" s="208">
        <v>0</v>
      </c>
      <c r="DL264" s="208">
        <v>0</v>
      </c>
      <c r="DM264" s="208">
        <v>0</v>
      </c>
      <c r="DN264" s="208">
        <v>0</v>
      </c>
      <c r="DO264" s="208">
        <v>0</v>
      </c>
      <c r="DP264" s="208">
        <v>-157816</v>
      </c>
      <c r="DQ264" s="208">
        <v>0</v>
      </c>
      <c r="DR264" s="208">
        <v>-157816</v>
      </c>
      <c r="DS264" s="208">
        <v>0</v>
      </c>
      <c r="DT264" s="208">
        <v>0</v>
      </c>
      <c r="DU264" s="208">
        <v>0</v>
      </c>
      <c r="DV264" s="208">
        <v>0</v>
      </c>
      <c r="DW264" s="208">
        <v>0</v>
      </c>
      <c r="DX264" s="208">
        <v>0</v>
      </c>
      <c r="DY264" s="208">
        <v>0</v>
      </c>
      <c r="DZ264" s="208">
        <v>0</v>
      </c>
      <c r="EA264" s="208">
        <v>0</v>
      </c>
      <c r="EB264" s="208">
        <v>0</v>
      </c>
      <c r="EC264" s="208">
        <v>0</v>
      </c>
      <c r="ED264" s="208">
        <v>0</v>
      </c>
      <c r="EE264" s="208">
        <v>0</v>
      </c>
      <c r="EF264" s="208">
        <v>0</v>
      </c>
      <c r="EG264" s="208">
        <v>0</v>
      </c>
      <c r="EH264" s="208">
        <v>0</v>
      </c>
      <c r="EI264" s="208">
        <v>0</v>
      </c>
      <c r="EJ264" s="208">
        <v>0</v>
      </c>
      <c r="EK264" s="208">
        <v>0</v>
      </c>
      <c r="EL264" s="208">
        <v>0</v>
      </c>
      <c r="EM264" s="208">
        <v>0</v>
      </c>
      <c r="EN264" s="208">
        <v>0</v>
      </c>
      <c r="EO264" s="208">
        <v>0</v>
      </c>
      <c r="EP264" s="208">
        <v>0</v>
      </c>
      <c r="EQ264" s="208">
        <v>0</v>
      </c>
      <c r="ER264" s="208">
        <v>0</v>
      </c>
      <c r="ES264" s="208">
        <v>0</v>
      </c>
      <c r="ET264" s="208">
        <v>0</v>
      </c>
      <c r="EU264" s="208">
        <v>0</v>
      </c>
      <c r="EV264" s="208">
        <v>0</v>
      </c>
      <c r="EW264" s="208">
        <v>-2109</v>
      </c>
      <c r="EX264" s="208">
        <v>0</v>
      </c>
      <c r="EY264" s="208">
        <v>-2109</v>
      </c>
      <c r="EZ264" s="208">
        <v>0</v>
      </c>
      <c r="FA264" s="208">
        <v>0</v>
      </c>
      <c r="FB264" s="208">
        <v>0</v>
      </c>
      <c r="FC264" s="208">
        <v>-36000</v>
      </c>
      <c r="FD264" s="208">
        <v>0</v>
      </c>
      <c r="FE264" s="208">
        <v>-36000</v>
      </c>
      <c r="FF264" s="208">
        <v>0</v>
      </c>
      <c r="FG264" s="208">
        <v>0</v>
      </c>
      <c r="FH264" s="208">
        <v>0</v>
      </c>
      <c r="FI264" s="208">
        <v>-13115</v>
      </c>
      <c r="FJ264" s="208">
        <v>0</v>
      </c>
      <c r="FK264" s="208">
        <v>-13115</v>
      </c>
      <c r="FL264" s="208">
        <v>-1000</v>
      </c>
      <c r="FM264" s="208">
        <v>0</v>
      </c>
      <c r="FN264" s="208">
        <v>-1000</v>
      </c>
      <c r="FO264" s="208">
        <v>0</v>
      </c>
      <c r="FP264" s="208">
        <v>0</v>
      </c>
      <c r="FQ264" s="208">
        <v>0</v>
      </c>
      <c r="FR264" s="208">
        <v>0</v>
      </c>
      <c r="FS264" s="208">
        <v>0</v>
      </c>
      <c r="FT264" s="208">
        <v>0</v>
      </c>
      <c r="FU264" s="208">
        <v>-52224</v>
      </c>
      <c r="FV264" s="208">
        <v>0</v>
      </c>
      <c r="FW264" s="208">
        <v>-52224</v>
      </c>
      <c r="FX264" s="208">
        <v>0</v>
      </c>
      <c r="FY264" s="208">
        <v>0</v>
      </c>
      <c r="FZ264" s="208">
        <v>0</v>
      </c>
      <c r="GA264" s="208">
        <v>0</v>
      </c>
      <c r="GB264" s="208">
        <v>0</v>
      </c>
      <c r="GC264" s="208">
        <v>0</v>
      </c>
      <c r="GD264" s="208">
        <v>0</v>
      </c>
      <c r="GE264" s="208">
        <v>0</v>
      </c>
      <c r="GF264" s="208">
        <v>0</v>
      </c>
      <c r="GG264" s="208">
        <v>49132326</v>
      </c>
      <c r="GH264" s="208">
        <v>0</v>
      </c>
      <c r="GI264" s="208">
        <v>49132326</v>
      </c>
      <c r="GJ264" s="208">
        <v>1624660</v>
      </c>
      <c r="GK264" s="208">
        <v>0</v>
      </c>
      <c r="GL264" s="208">
        <v>1624660</v>
      </c>
      <c r="GM264" s="208">
        <v>-3198100</v>
      </c>
      <c r="GN264" s="208">
        <v>0</v>
      </c>
      <c r="GO264" s="208">
        <v>-3198100</v>
      </c>
      <c r="GP264" s="208">
        <v>-2301907</v>
      </c>
      <c r="GQ264" s="208">
        <v>0</v>
      </c>
      <c r="GR264" s="208">
        <v>-2301907</v>
      </c>
      <c r="GS264" s="208">
        <v>-157816</v>
      </c>
      <c r="GT264" s="208">
        <v>0</v>
      </c>
      <c r="GU264" s="208">
        <v>-157816</v>
      </c>
      <c r="GV264" s="208">
        <v>-52224</v>
      </c>
      <c r="GW264" s="208">
        <v>0</v>
      </c>
      <c r="GX264" s="208">
        <v>-52224</v>
      </c>
      <c r="GY264" s="208">
        <v>0</v>
      </c>
      <c r="GZ264" s="208">
        <v>0</v>
      </c>
      <c r="HA264" s="208">
        <v>0</v>
      </c>
      <c r="HB264" s="208">
        <v>-4085387</v>
      </c>
      <c r="HC264" s="208">
        <v>0</v>
      </c>
      <c r="HD264" s="208">
        <v>-4085387</v>
      </c>
      <c r="HE264" s="208">
        <v>45046939</v>
      </c>
      <c r="HF264" s="208">
        <v>0</v>
      </c>
      <c r="HG264" s="208">
        <v>45046939</v>
      </c>
      <c r="HH264" s="187" t="s">
        <v>1054</v>
      </c>
    </row>
    <row r="265" spans="1:216" s="187" customFormat="1" x14ac:dyDescent="0.2">
      <c r="B265" s="429" t="s">
        <v>608</v>
      </c>
      <c r="C265" s="429" t="s">
        <v>607</v>
      </c>
      <c r="D265" s="208">
        <v>-1544598</v>
      </c>
      <c r="E265" s="208">
        <v>0</v>
      </c>
      <c r="F265" s="208">
        <v>-1544598</v>
      </c>
      <c r="G265" s="208">
        <v>-5159</v>
      </c>
      <c r="H265" s="208">
        <v>0</v>
      </c>
      <c r="I265" s="208">
        <v>-5159</v>
      </c>
      <c r="J265" s="208">
        <v>6344313</v>
      </c>
      <c r="K265" s="208">
        <v>0</v>
      </c>
      <c r="L265" s="208">
        <v>6344313</v>
      </c>
      <c r="M265" s="208">
        <v>-69812</v>
      </c>
      <c r="N265" s="208">
        <v>0</v>
      </c>
      <c r="O265" s="208">
        <v>-69812</v>
      </c>
      <c r="P265" s="208">
        <v>4724744</v>
      </c>
      <c r="Q265" s="208">
        <v>0</v>
      </c>
      <c r="R265" s="208">
        <v>4724744</v>
      </c>
      <c r="S265" s="208">
        <v>-11560128</v>
      </c>
      <c r="T265" s="208">
        <v>0</v>
      </c>
      <c r="U265" s="208">
        <v>-11560128</v>
      </c>
      <c r="V265" s="208">
        <v>-36542</v>
      </c>
      <c r="W265" s="208">
        <v>0</v>
      </c>
      <c r="X265" s="208">
        <v>-36542</v>
      </c>
      <c r="Y265" s="208">
        <v>-173821</v>
      </c>
      <c r="Z265" s="208">
        <v>0</v>
      </c>
      <c r="AA265" s="208">
        <v>-173821</v>
      </c>
      <c r="AB265" s="208">
        <v>-12324</v>
      </c>
      <c r="AC265" s="208">
        <v>0</v>
      </c>
      <c r="AD265" s="208">
        <v>-12324</v>
      </c>
      <c r="AE265" s="208">
        <v>-163376</v>
      </c>
      <c r="AF265" s="208">
        <v>0</v>
      </c>
      <c r="AG265" s="208">
        <v>-163376</v>
      </c>
      <c r="AH265" s="208">
        <v>0</v>
      </c>
      <c r="AI265" s="208">
        <v>0</v>
      </c>
      <c r="AJ265" s="208">
        <v>0</v>
      </c>
      <c r="AK265" s="208">
        <v>-1255</v>
      </c>
      <c r="AL265" s="208">
        <v>0</v>
      </c>
      <c r="AM265" s="208">
        <v>-1255</v>
      </c>
      <c r="AN265" s="208">
        <v>1933838</v>
      </c>
      <c r="AO265" s="208">
        <v>0</v>
      </c>
      <c r="AP265" s="208">
        <v>1933838</v>
      </c>
      <c r="AQ265" s="208">
        <v>11730</v>
      </c>
      <c r="AR265" s="208">
        <v>0</v>
      </c>
      <c r="AS265" s="208">
        <v>11730</v>
      </c>
      <c r="AT265" s="208">
        <v>-5085185</v>
      </c>
      <c r="AU265" s="208">
        <v>0</v>
      </c>
      <c r="AV265" s="208">
        <v>-5085185</v>
      </c>
      <c r="AW265" s="208">
        <v>-40355</v>
      </c>
      <c r="AX265" s="208">
        <v>0</v>
      </c>
      <c r="AY265" s="208">
        <v>-40355</v>
      </c>
      <c r="AZ265" s="208">
        <v>-233521</v>
      </c>
      <c r="BA265" s="208">
        <v>0</v>
      </c>
      <c r="BB265" s="208">
        <v>-233521</v>
      </c>
      <c r="BC265" s="208">
        <v>-1808</v>
      </c>
      <c r="BD265" s="208">
        <v>0</v>
      </c>
      <c r="BE265" s="208">
        <v>-1808</v>
      </c>
      <c r="BF265" s="208">
        <v>0</v>
      </c>
      <c r="BG265" s="208">
        <v>0</v>
      </c>
      <c r="BH265" s="208">
        <v>0</v>
      </c>
      <c r="BI265" s="208">
        <v>0</v>
      </c>
      <c r="BJ265" s="208">
        <v>0</v>
      </c>
      <c r="BK265" s="208">
        <v>0</v>
      </c>
      <c r="BL265" s="208">
        <v>-15149250</v>
      </c>
      <c r="BM265" s="208">
        <v>0</v>
      </c>
      <c r="BN265" s="208">
        <v>-15149250</v>
      </c>
      <c r="BO265" s="208">
        <v>0</v>
      </c>
      <c r="BP265" s="208">
        <v>0</v>
      </c>
      <c r="BQ265" s="208">
        <v>0</v>
      </c>
      <c r="BR265" s="208">
        <v>-656</v>
      </c>
      <c r="BS265" s="208">
        <v>0</v>
      </c>
      <c r="BT265" s="208">
        <v>-656</v>
      </c>
      <c r="BU265" s="208">
        <v>-4088224</v>
      </c>
      <c r="BV265" s="208">
        <v>0</v>
      </c>
      <c r="BW265" s="208">
        <v>-4088224</v>
      </c>
      <c r="BX265" s="208">
        <v>-151883</v>
      </c>
      <c r="BY265" s="208">
        <v>0</v>
      </c>
      <c r="BZ265" s="208">
        <v>-151883</v>
      </c>
      <c r="CA265" s="208">
        <v>-4240763</v>
      </c>
      <c r="CB265" s="208">
        <v>0</v>
      </c>
      <c r="CC265" s="208">
        <v>-4240763</v>
      </c>
      <c r="CD265" s="208">
        <v>0</v>
      </c>
      <c r="CE265" s="208">
        <v>0</v>
      </c>
      <c r="CF265" s="208">
        <v>0</v>
      </c>
      <c r="CG265" s="208">
        <v>0</v>
      </c>
      <c r="CH265" s="208">
        <v>0</v>
      </c>
      <c r="CI265" s="208">
        <v>0</v>
      </c>
      <c r="CJ265" s="208">
        <v>-59561</v>
      </c>
      <c r="CK265" s="208">
        <v>0</v>
      </c>
      <c r="CL265" s="208">
        <v>-59561</v>
      </c>
      <c r="CM265" s="208">
        <v>2528</v>
      </c>
      <c r="CN265" s="208">
        <v>0</v>
      </c>
      <c r="CO265" s="208">
        <v>2528</v>
      </c>
      <c r="CP265" s="208">
        <v>-21411</v>
      </c>
      <c r="CQ265" s="208">
        <v>0</v>
      </c>
      <c r="CR265" s="208">
        <v>-21411</v>
      </c>
      <c r="CS265" s="208">
        <v>0</v>
      </c>
      <c r="CT265" s="208">
        <v>0</v>
      </c>
      <c r="CU265" s="208">
        <v>0</v>
      </c>
      <c r="CV265" s="208">
        <v>0</v>
      </c>
      <c r="CW265" s="208">
        <v>0</v>
      </c>
      <c r="CX265" s="208">
        <v>0</v>
      </c>
      <c r="CY265" s="208">
        <v>0</v>
      </c>
      <c r="CZ265" s="208">
        <v>0</v>
      </c>
      <c r="DA265" s="208">
        <v>0</v>
      </c>
      <c r="DB265" s="208">
        <v>0</v>
      </c>
      <c r="DC265" s="208">
        <v>0</v>
      </c>
      <c r="DD265" s="208">
        <v>0</v>
      </c>
      <c r="DE265" s="208">
        <v>0</v>
      </c>
      <c r="DF265" s="208">
        <v>0</v>
      </c>
      <c r="DG265" s="208">
        <v>0</v>
      </c>
      <c r="DH265" s="208">
        <v>-101933</v>
      </c>
      <c r="DI265" s="208">
        <v>0</v>
      </c>
      <c r="DJ265" s="208">
        <v>-101933</v>
      </c>
      <c r="DK265" s="208">
        <v>-39961</v>
      </c>
      <c r="DL265" s="208">
        <v>0</v>
      </c>
      <c r="DM265" s="208">
        <v>-39961</v>
      </c>
      <c r="DN265" s="208">
        <v>0</v>
      </c>
      <c r="DO265" s="208">
        <v>0</v>
      </c>
      <c r="DP265" s="208">
        <v>-220338</v>
      </c>
      <c r="DQ265" s="208">
        <v>0</v>
      </c>
      <c r="DR265" s="208">
        <v>-220338</v>
      </c>
      <c r="DS265" s="208">
        <v>0</v>
      </c>
      <c r="DT265" s="208">
        <v>0</v>
      </c>
      <c r="DU265" s="208">
        <v>0</v>
      </c>
      <c r="DV265" s="208">
        <v>-2728</v>
      </c>
      <c r="DW265" s="208">
        <v>0</v>
      </c>
      <c r="DX265" s="208">
        <v>-2728</v>
      </c>
      <c r="DY265" s="208">
        <v>0</v>
      </c>
      <c r="DZ265" s="208">
        <v>0</v>
      </c>
      <c r="EA265" s="208">
        <v>0</v>
      </c>
      <c r="EB265" s="208">
        <v>0</v>
      </c>
      <c r="EC265" s="208">
        <v>0</v>
      </c>
      <c r="ED265" s="208">
        <v>0</v>
      </c>
      <c r="EE265" s="208">
        <v>0</v>
      </c>
      <c r="EF265" s="208">
        <v>0</v>
      </c>
      <c r="EG265" s="208">
        <v>0</v>
      </c>
      <c r="EH265" s="208">
        <v>0</v>
      </c>
      <c r="EI265" s="208">
        <v>0</v>
      </c>
      <c r="EJ265" s="208">
        <v>0</v>
      </c>
      <c r="EK265" s="208">
        <v>0</v>
      </c>
      <c r="EL265" s="208">
        <v>0</v>
      </c>
      <c r="EM265" s="208">
        <v>0</v>
      </c>
      <c r="EN265" s="208">
        <v>0</v>
      </c>
      <c r="EO265" s="208">
        <v>0</v>
      </c>
      <c r="EP265" s="208">
        <v>0</v>
      </c>
      <c r="EQ265" s="208">
        <v>0</v>
      </c>
      <c r="ER265" s="208">
        <v>0</v>
      </c>
      <c r="ES265" s="208">
        <v>0</v>
      </c>
      <c r="ET265" s="208">
        <v>0</v>
      </c>
      <c r="EU265" s="208">
        <v>0</v>
      </c>
      <c r="EV265" s="208">
        <v>0</v>
      </c>
      <c r="EW265" s="208">
        <v>-20105</v>
      </c>
      <c r="EX265" s="208">
        <v>0</v>
      </c>
      <c r="EY265" s="208">
        <v>-20105</v>
      </c>
      <c r="EZ265" s="208">
        <v>1954</v>
      </c>
      <c r="FA265" s="208">
        <v>0</v>
      </c>
      <c r="FB265" s="208">
        <v>1954</v>
      </c>
      <c r="FC265" s="208">
        <v>-163179</v>
      </c>
      <c r="FD265" s="208">
        <v>0</v>
      </c>
      <c r="FE265" s="208">
        <v>-163179</v>
      </c>
      <c r="FF265" s="208">
        <v>1151</v>
      </c>
      <c r="FG265" s="208">
        <v>0</v>
      </c>
      <c r="FH265" s="208">
        <v>1151</v>
      </c>
      <c r="FI265" s="208">
        <v>-71607</v>
      </c>
      <c r="FJ265" s="208">
        <v>0</v>
      </c>
      <c r="FK265" s="208">
        <v>-71607</v>
      </c>
      <c r="FL265" s="208">
        <v>-545</v>
      </c>
      <c r="FM265" s="208">
        <v>0</v>
      </c>
      <c r="FN265" s="208">
        <v>-545</v>
      </c>
      <c r="FO265" s="208">
        <v>0</v>
      </c>
      <c r="FP265" s="208">
        <v>0</v>
      </c>
      <c r="FQ265" s="208">
        <v>0</v>
      </c>
      <c r="FR265" s="208">
        <v>0</v>
      </c>
      <c r="FS265" s="208">
        <v>0</v>
      </c>
      <c r="FT265" s="208">
        <v>0</v>
      </c>
      <c r="FU265" s="208">
        <v>-255059</v>
      </c>
      <c r="FV265" s="208">
        <v>0</v>
      </c>
      <c r="FW265" s="208">
        <v>-255059</v>
      </c>
      <c r="FX265" s="208">
        <v>0</v>
      </c>
      <c r="FY265" s="208">
        <v>0</v>
      </c>
      <c r="FZ265" s="208">
        <v>0</v>
      </c>
      <c r="GA265" s="208">
        <v>0</v>
      </c>
      <c r="GB265" s="208">
        <v>0</v>
      </c>
      <c r="GC265" s="208">
        <v>0</v>
      </c>
      <c r="GD265" s="208">
        <v>0</v>
      </c>
      <c r="GE265" s="208">
        <v>0</v>
      </c>
      <c r="GF265" s="208">
        <v>0</v>
      </c>
      <c r="GG265" s="208">
        <v>108697639</v>
      </c>
      <c r="GH265" s="208">
        <v>0</v>
      </c>
      <c r="GI265" s="208">
        <v>108697639</v>
      </c>
      <c r="GJ265" s="208">
        <v>4724744</v>
      </c>
      <c r="GK265" s="208">
        <v>0</v>
      </c>
      <c r="GL265" s="208">
        <v>4724744</v>
      </c>
      <c r="GM265" s="208">
        <v>-15149250</v>
      </c>
      <c r="GN265" s="208">
        <v>0</v>
      </c>
      <c r="GO265" s="208">
        <v>-15149250</v>
      </c>
      <c r="GP265" s="208">
        <v>-4240763</v>
      </c>
      <c r="GQ265" s="208">
        <v>0</v>
      </c>
      <c r="GR265" s="208">
        <v>-4240763</v>
      </c>
      <c r="GS265" s="208">
        <v>-220338</v>
      </c>
      <c r="GT265" s="208">
        <v>0</v>
      </c>
      <c r="GU265" s="208">
        <v>-220338</v>
      </c>
      <c r="GV265" s="208">
        <v>-255059</v>
      </c>
      <c r="GW265" s="208">
        <v>0</v>
      </c>
      <c r="GX265" s="208">
        <v>-255059</v>
      </c>
      <c r="GY265" s="208">
        <v>0</v>
      </c>
      <c r="GZ265" s="208">
        <v>0</v>
      </c>
      <c r="HA265" s="208">
        <v>0</v>
      </c>
      <c r="HB265" s="208">
        <v>-15140666</v>
      </c>
      <c r="HC265" s="208">
        <v>0</v>
      </c>
      <c r="HD265" s="208">
        <v>-15140666</v>
      </c>
      <c r="HE265" s="208">
        <v>93556973</v>
      </c>
      <c r="HF265" s="208">
        <v>0</v>
      </c>
      <c r="HG265" s="208">
        <v>93556973</v>
      </c>
      <c r="HH265" s="187" t="s">
        <v>1056</v>
      </c>
    </row>
    <row r="266" spans="1:216" s="187" customFormat="1" x14ac:dyDescent="0.2">
      <c r="B266" s="429" t="s">
        <v>610</v>
      </c>
      <c r="C266" s="429" t="s">
        <v>609</v>
      </c>
      <c r="D266" s="208">
        <v>-2094693</v>
      </c>
      <c r="E266" s="208">
        <v>0</v>
      </c>
      <c r="F266" s="208">
        <v>-2094693</v>
      </c>
      <c r="G266" s="208">
        <v>-452076</v>
      </c>
      <c r="H266" s="208">
        <v>0</v>
      </c>
      <c r="I266" s="208">
        <v>-452076</v>
      </c>
      <c r="J266" s="208">
        <v>4698329</v>
      </c>
      <c r="K266" s="208">
        <v>54836</v>
      </c>
      <c r="L266" s="208">
        <v>4753165</v>
      </c>
      <c r="M266" s="208">
        <v>103931</v>
      </c>
      <c r="N266" s="208">
        <v>0</v>
      </c>
      <c r="O266" s="208">
        <v>103931</v>
      </c>
      <c r="P266" s="208">
        <v>2255491</v>
      </c>
      <c r="Q266" s="208">
        <v>54836</v>
      </c>
      <c r="R266" s="208">
        <v>2310327</v>
      </c>
      <c r="S266" s="208">
        <v>-4749256</v>
      </c>
      <c r="T266" s="208">
        <v>-42401</v>
      </c>
      <c r="U266" s="208">
        <v>-4791657</v>
      </c>
      <c r="V266" s="208">
        <v>0</v>
      </c>
      <c r="W266" s="208">
        <v>0</v>
      </c>
      <c r="X266" s="208">
        <v>0</v>
      </c>
      <c r="Y266" s="208">
        <v>-158427</v>
      </c>
      <c r="Z266" s="208">
        <v>-44953</v>
      </c>
      <c r="AA266" s="208">
        <v>-203380</v>
      </c>
      <c r="AB266" s="208">
        <v>-65998</v>
      </c>
      <c r="AC266" s="208">
        <v>-2118</v>
      </c>
      <c r="AD266" s="208">
        <v>-68116</v>
      </c>
      <c r="AE266" s="208">
        <v>-92137</v>
      </c>
      <c r="AF266" s="208">
        <v>-43127</v>
      </c>
      <c r="AG266" s="208">
        <v>-135264</v>
      </c>
      <c r="AH266" s="208">
        <v>0</v>
      </c>
      <c r="AI266" s="208">
        <v>0</v>
      </c>
      <c r="AJ266" s="208">
        <v>0</v>
      </c>
      <c r="AK266" s="208">
        <v>0</v>
      </c>
      <c r="AL266" s="208">
        <v>0</v>
      </c>
      <c r="AM266" s="208">
        <v>0</v>
      </c>
      <c r="AN266" s="208">
        <v>2062285</v>
      </c>
      <c r="AO266" s="208">
        <v>6177</v>
      </c>
      <c r="AP266" s="208">
        <v>2068462</v>
      </c>
      <c r="AQ266" s="208">
        <v>17382</v>
      </c>
      <c r="AR266" s="208">
        <v>0</v>
      </c>
      <c r="AS266" s="208">
        <v>17382</v>
      </c>
      <c r="AT266" s="208">
        <v>-5014067</v>
      </c>
      <c r="AU266" s="208">
        <v>0</v>
      </c>
      <c r="AV266" s="208">
        <v>-5014067</v>
      </c>
      <c r="AW266" s="208">
        <v>519</v>
      </c>
      <c r="AX266" s="208">
        <v>0</v>
      </c>
      <c r="AY266" s="208">
        <v>519</v>
      </c>
      <c r="AZ266" s="208">
        <v>-51972</v>
      </c>
      <c r="BA266" s="208">
        <v>0</v>
      </c>
      <c r="BB266" s="208">
        <v>-51972</v>
      </c>
      <c r="BC266" s="208">
        <v>-243</v>
      </c>
      <c r="BD266" s="208">
        <v>0</v>
      </c>
      <c r="BE266" s="208">
        <v>-243</v>
      </c>
      <c r="BF266" s="208">
        <v>-8997</v>
      </c>
      <c r="BG266" s="208">
        <v>0</v>
      </c>
      <c r="BH266" s="208">
        <v>-8997</v>
      </c>
      <c r="BI266" s="208">
        <v>0</v>
      </c>
      <c r="BJ266" s="208">
        <v>0</v>
      </c>
      <c r="BK266" s="208">
        <v>0</v>
      </c>
      <c r="BL266" s="208">
        <v>-7902776</v>
      </c>
      <c r="BM266" s="208">
        <v>-81177</v>
      </c>
      <c r="BN266" s="208">
        <v>-7983953</v>
      </c>
      <c r="BO266" s="208">
        <v>-55309</v>
      </c>
      <c r="BP266" s="208">
        <v>0</v>
      </c>
      <c r="BQ266" s="208">
        <v>-55309</v>
      </c>
      <c r="BR266" s="208">
        <v>-86225</v>
      </c>
      <c r="BS266" s="208">
        <v>0</v>
      </c>
      <c r="BT266" s="208">
        <v>-86225</v>
      </c>
      <c r="BU266" s="208">
        <v>-3575457</v>
      </c>
      <c r="BV266" s="208">
        <v>-15313</v>
      </c>
      <c r="BW266" s="208">
        <v>-3590770</v>
      </c>
      <c r="BX266" s="208">
        <v>-90972</v>
      </c>
      <c r="BY266" s="208">
        <v>0</v>
      </c>
      <c r="BZ266" s="208">
        <v>-90972</v>
      </c>
      <c r="CA266" s="208">
        <v>-3807963</v>
      </c>
      <c r="CB266" s="208">
        <v>-15313</v>
      </c>
      <c r="CC266" s="208">
        <v>-3823276</v>
      </c>
      <c r="CD266" s="208">
        <v>-193656</v>
      </c>
      <c r="CE266" s="208">
        <v>0</v>
      </c>
      <c r="CF266" s="208">
        <v>-193656</v>
      </c>
      <c r="CG266" s="208">
        <v>-2414</v>
      </c>
      <c r="CH266" s="208">
        <v>0</v>
      </c>
      <c r="CI266" s="208">
        <v>-2414</v>
      </c>
      <c r="CJ266" s="208">
        <v>-77342</v>
      </c>
      <c r="CK266" s="208">
        <v>0</v>
      </c>
      <c r="CL266" s="208">
        <v>-77342</v>
      </c>
      <c r="CM266" s="208">
        <v>-1619</v>
      </c>
      <c r="CN266" s="208">
        <v>0</v>
      </c>
      <c r="CO266" s="208">
        <v>-1619</v>
      </c>
      <c r="CP266" s="208">
        <v>-11394</v>
      </c>
      <c r="CQ266" s="208">
        <v>0</v>
      </c>
      <c r="CR266" s="208">
        <v>-11394</v>
      </c>
      <c r="CS266" s="208">
        <v>0</v>
      </c>
      <c r="CT266" s="208">
        <v>0</v>
      </c>
      <c r="CU266" s="208">
        <v>0</v>
      </c>
      <c r="CV266" s="208">
        <v>0</v>
      </c>
      <c r="CW266" s="208">
        <v>0</v>
      </c>
      <c r="CX266" s="208">
        <v>0</v>
      </c>
      <c r="CY266" s="208">
        <v>0</v>
      </c>
      <c r="CZ266" s="208">
        <v>0</v>
      </c>
      <c r="DA266" s="208">
        <v>0</v>
      </c>
      <c r="DB266" s="208">
        <v>0</v>
      </c>
      <c r="DC266" s="208">
        <v>0</v>
      </c>
      <c r="DD266" s="208">
        <v>0</v>
      </c>
      <c r="DE266" s="208">
        <v>0</v>
      </c>
      <c r="DF266" s="208">
        <v>0</v>
      </c>
      <c r="DG266" s="208">
        <v>0</v>
      </c>
      <c r="DH266" s="208">
        <v>-48767</v>
      </c>
      <c r="DI266" s="208">
        <v>-96781</v>
      </c>
      <c r="DJ266" s="208">
        <v>-145548</v>
      </c>
      <c r="DK266" s="208">
        <v>0</v>
      </c>
      <c r="DL266" s="208">
        <v>-7305</v>
      </c>
      <c r="DM266" s="208">
        <v>-7305</v>
      </c>
      <c r="DN266" s="208">
        <v>-59133</v>
      </c>
      <c r="DO266" s="208">
        <v>-44953</v>
      </c>
      <c r="DP266" s="208">
        <v>-335192</v>
      </c>
      <c r="DQ266" s="208">
        <v>-104086</v>
      </c>
      <c r="DR266" s="208">
        <v>-439278</v>
      </c>
      <c r="DS266" s="208">
        <v>0</v>
      </c>
      <c r="DT266" s="208">
        <v>0</v>
      </c>
      <c r="DU266" s="208">
        <v>0</v>
      </c>
      <c r="DV266" s="208">
        <v>0</v>
      </c>
      <c r="DW266" s="208">
        <v>0</v>
      </c>
      <c r="DX266" s="208">
        <v>0</v>
      </c>
      <c r="DY266" s="208">
        <v>3806</v>
      </c>
      <c r="DZ266" s="208">
        <v>0</v>
      </c>
      <c r="EA266" s="208">
        <v>3806</v>
      </c>
      <c r="EB266" s="208">
        <v>0</v>
      </c>
      <c r="EC266" s="208">
        <v>0</v>
      </c>
      <c r="ED266" s="208">
        <v>0</v>
      </c>
      <c r="EE266" s="208">
        <v>0</v>
      </c>
      <c r="EF266" s="208">
        <v>0</v>
      </c>
      <c r="EG266" s="208">
        <v>0</v>
      </c>
      <c r="EH266" s="208">
        <v>0</v>
      </c>
      <c r="EI266" s="208">
        <v>0</v>
      </c>
      <c r="EJ266" s="208">
        <v>0</v>
      </c>
      <c r="EK266" s="208">
        <v>-8997</v>
      </c>
      <c r="EL266" s="208">
        <v>0</v>
      </c>
      <c r="EM266" s="208">
        <v>-8997</v>
      </c>
      <c r="EN266" s="208">
        <v>0</v>
      </c>
      <c r="EO266" s="208">
        <v>0</v>
      </c>
      <c r="EP266" s="208">
        <v>0</v>
      </c>
      <c r="EQ266" s="208">
        <v>0</v>
      </c>
      <c r="ER266" s="208">
        <v>0</v>
      </c>
      <c r="ES266" s="208">
        <v>0</v>
      </c>
      <c r="ET266" s="208">
        <v>0</v>
      </c>
      <c r="EU266" s="208">
        <v>0</v>
      </c>
      <c r="EV266" s="208">
        <v>0</v>
      </c>
      <c r="EW266" s="208">
        <v>-22015</v>
      </c>
      <c r="EX266" s="208">
        <v>0</v>
      </c>
      <c r="EY266" s="208">
        <v>-22015</v>
      </c>
      <c r="EZ266" s="208">
        <v>0</v>
      </c>
      <c r="FA266" s="208">
        <v>0</v>
      </c>
      <c r="FB266" s="208">
        <v>0</v>
      </c>
      <c r="FC266" s="208">
        <v>-115674</v>
      </c>
      <c r="FD266" s="208">
        <v>0</v>
      </c>
      <c r="FE266" s="208">
        <v>-115674</v>
      </c>
      <c r="FF266" s="208">
        <v>7887</v>
      </c>
      <c r="FG266" s="208">
        <v>0</v>
      </c>
      <c r="FH266" s="208">
        <v>7887</v>
      </c>
      <c r="FI266" s="208">
        <v>-67720</v>
      </c>
      <c r="FJ266" s="208">
        <v>0</v>
      </c>
      <c r="FK266" s="208">
        <v>-67720</v>
      </c>
      <c r="FL266" s="208">
        <v>2125</v>
      </c>
      <c r="FM266" s="208">
        <v>0</v>
      </c>
      <c r="FN266" s="208">
        <v>2125</v>
      </c>
      <c r="FO266" s="208">
        <v>0</v>
      </c>
      <c r="FP266" s="208">
        <v>0</v>
      </c>
      <c r="FQ266" s="208">
        <v>0</v>
      </c>
      <c r="FR266" s="208">
        <v>0</v>
      </c>
      <c r="FS266" s="208">
        <v>0</v>
      </c>
      <c r="FT266" s="208">
        <v>0</v>
      </c>
      <c r="FU266" s="208">
        <v>-200588</v>
      </c>
      <c r="FV266" s="208">
        <v>0</v>
      </c>
      <c r="FW266" s="208">
        <v>-200588</v>
      </c>
      <c r="FX266" s="208">
        <v>0</v>
      </c>
      <c r="FY266" s="208">
        <v>0</v>
      </c>
      <c r="FZ266" s="208">
        <v>0</v>
      </c>
      <c r="GA266" s="208">
        <v>0</v>
      </c>
      <c r="GB266" s="208">
        <v>0</v>
      </c>
      <c r="GC266" s="208">
        <v>0</v>
      </c>
      <c r="GD266" s="208">
        <v>0</v>
      </c>
      <c r="GE266" s="208">
        <v>0</v>
      </c>
      <c r="GF266" s="208">
        <v>0</v>
      </c>
      <c r="GG266" s="208">
        <v>96800890</v>
      </c>
      <c r="GH266" s="208">
        <v>390237</v>
      </c>
      <c r="GI266" s="208">
        <v>97191127</v>
      </c>
      <c r="GJ266" s="208">
        <v>2255491</v>
      </c>
      <c r="GK266" s="208">
        <v>54836</v>
      </c>
      <c r="GL266" s="208">
        <v>2310327</v>
      </c>
      <c r="GM266" s="208">
        <v>-7902776</v>
      </c>
      <c r="GN266" s="208">
        <v>-81177</v>
      </c>
      <c r="GO266" s="208">
        <v>-7983953</v>
      </c>
      <c r="GP266" s="208">
        <v>-3807963</v>
      </c>
      <c r="GQ266" s="208">
        <v>-15313</v>
      </c>
      <c r="GR266" s="208">
        <v>-3823276</v>
      </c>
      <c r="GS266" s="208">
        <v>-335192</v>
      </c>
      <c r="GT266" s="208">
        <v>-104086</v>
      </c>
      <c r="GU266" s="208">
        <v>-439278</v>
      </c>
      <c r="GV266" s="208">
        <v>-200588</v>
      </c>
      <c r="GW266" s="208">
        <v>0</v>
      </c>
      <c r="GX266" s="208">
        <v>-200588</v>
      </c>
      <c r="GY266" s="208">
        <v>0</v>
      </c>
      <c r="GZ266" s="208">
        <v>0</v>
      </c>
      <c r="HA266" s="208">
        <v>0</v>
      </c>
      <c r="HB266" s="208">
        <v>-9991028</v>
      </c>
      <c r="HC266" s="208">
        <v>-145740</v>
      </c>
      <c r="HD266" s="208">
        <v>-10136768</v>
      </c>
      <c r="HE266" s="208">
        <v>86809862</v>
      </c>
      <c r="HF266" s="208">
        <v>244497</v>
      </c>
      <c r="HG266" s="208">
        <v>87054359</v>
      </c>
      <c r="HH266" s="187" t="s">
        <v>742</v>
      </c>
    </row>
    <row r="267" spans="1:216" s="187" customFormat="1" x14ac:dyDescent="0.2">
      <c r="B267" s="429" t="s">
        <v>612</v>
      </c>
      <c r="C267" s="429" t="s">
        <v>611</v>
      </c>
      <c r="D267" s="208">
        <v>-3000054</v>
      </c>
      <c r="E267" s="208">
        <v>-13259</v>
      </c>
      <c r="F267" s="208">
        <v>-3013313</v>
      </c>
      <c r="G267" s="208">
        <v>-7524</v>
      </c>
      <c r="H267" s="208">
        <v>0</v>
      </c>
      <c r="I267" s="208">
        <v>-7524</v>
      </c>
      <c r="J267" s="208">
        <v>2918538</v>
      </c>
      <c r="K267" s="208">
        <v>8704</v>
      </c>
      <c r="L267" s="208">
        <v>2927242</v>
      </c>
      <c r="M267" s="208">
        <v>8905</v>
      </c>
      <c r="N267" s="208">
        <v>0</v>
      </c>
      <c r="O267" s="208">
        <v>8905</v>
      </c>
      <c r="P267" s="208">
        <v>-80135</v>
      </c>
      <c r="Q267" s="208">
        <v>-4555</v>
      </c>
      <c r="R267" s="208">
        <v>-84690</v>
      </c>
      <c r="S267" s="208">
        <v>-9626496</v>
      </c>
      <c r="T267" s="208">
        <v>-45930</v>
      </c>
      <c r="U267" s="208">
        <v>-9672426</v>
      </c>
      <c r="V267" s="208">
        <v>-8595</v>
      </c>
      <c r="W267" s="208">
        <v>0</v>
      </c>
      <c r="X267" s="208">
        <v>-8595</v>
      </c>
      <c r="Y267" s="208">
        <v>-266240</v>
      </c>
      <c r="Z267" s="208">
        <v>0</v>
      </c>
      <c r="AA267" s="208">
        <v>-266240</v>
      </c>
      <c r="AB267" s="208">
        <v>-23722</v>
      </c>
      <c r="AC267" s="208">
        <v>0</v>
      </c>
      <c r="AD267" s="208">
        <v>-23722</v>
      </c>
      <c r="AE267" s="208">
        <v>-237547</v>
      </c>
      <c r="AF267" s="208">
        <v>0</v>
      </c>
      <c r="AG267" s="208">
        <v>-237547</v>
      </c>
      <c r="AH267" s="208">
        <v>-1045</v>
      </c>
      <c r="AI267" s="208">
        <v>0</v>
      </c>
      <c r="AJ267" s="208">
        <v>-1045</v>
      </c>
      <c r="AK267" s="208">
        <v>-452</v>
      </c>
      <c r="AL267" s="208">
        <v>0</v>
      </c>
      <c r="AM267" s="208">
        <v>-452</v>
      </c>
      <c r="AN267" s="208">
        <v>2249390</v>
      </c>
      <c r="AO267" s="208">
        <v>0</v>
      </c>
      <c r="AP267" s="208">
        <v>2249390</v>
      </c>
      <c r="AQ267" s="208">
        <v>-4126</v>
      </c>
      <c r="AR267" s="208">
        <v>0</v>
      </c>
      <c r="AS267" s="208">
        <v>-4126</v>
      </c>
      <c r="AT267" s="208">
        <v>-6913545</v>
      </c>
      <c r="AU267" s="208">
        <v>0</v>
      </c>
      <c r="AV267" s="208">
        <v>-6913545</v>
      </c>
      <c r="AW267" s="208">
        <v>-244154</v>
      </c>
      <c r="AX267" s="208">
        <v>0</v>
      </c>
      <c r="AY267" s="208">
        <v>-244154</v>
      </c>
      <c r="AZ267" s="208">
        <v>-61695</v>
      </c>
      <c r="BA267" s="208">
        <v>0</v>
      </c>
      <c r="BB267" s="208">
        <v>-61695</v>
      </c>
      <c r="BC267" s="208">
        <v>0</v>
      </c>
      <c r="BD267" s="208">
        <v>0</v>
      </c>
      <c r="BE267" s="208">
        <v>0</v>
      </c>
      <c r="BF267" s="208">
        <v>0</v>
      </c>
      <c r="BG267" s="208">
        <v>0</v>
      </c>
      <c r="BH267" s="208">
        <v>0</v>
      </c>
      <c r="BI267" s="208">
        <v>0</v>
      </c>
      <c r="BJ267" s="208">
        <v>0</v>
      </c>
      <c r="BK267" s="208">
        <v>0</v>
      </c>
      <c r="BL267" s="208">
        <v>-14866866</v>
      </c>
      <c r="BM267" s="208">
        <v>-45930</v>
      </c>
      <c r="BN267" s="208">
        <v>-14912796</v>
      </c>
      <c r="BO267" s="208">
        <v>-326379</v>
      </c>
      <c r="BP267" s="208">
        <v>0</v>
      </c>
      <c r="BQ267" s="208">
        <v>-326379</v>
      </c>
      <c r="BR267" s="208">
        <v>-64729</v>
      </c>
      <c r="BS267" s="208">
        <v>0</v>
      </c>
      <c r="BT267" s="208">
        <v>-64729</v>
      </c>
      <c r="BU267" s="208">
        <v>-3167728</v>
      </c>
      <c r="BV267" s="208">
        <v>-19205</v>
      </c>
      <c r="BW267" s="208">
        <v>-3186933</v>
      </c>
      <c r="BX267" s="208">
        <v>-9010</v>
      </c>
      <c r="BY267" s="208">
        <v>0</v>
      </c>
      <c r="BZ267" s="208">
        <v>-9010</v>
      </c>
      <c r="CA267" s="208">
        <v>-3567846</v>
      </c>
      <c r="CB267" s="208">
        <v>-19205</v>
      </c>
      <c r="CC267" s="208">
        <v>-3587051</v>
      </c>
      <c r="CD267" s="208">
        <v>-161765</v>
      </c>
      <c r="CE267" s="208">
        <v>0</v>
      </c>
      <c r="CF267" s="208">
        <v>-161765</v>
      </c>
      <c r="CG267" s="208">
        <v>1297</v>
      </c>
      <c r="CH267" s="208">
        <v>0</v>
      </c>
      <c r="CI267" s="208">
        <v>1297</v>
      </c>
      <c r="CJ267" s="208">
        <v>-168423</v>
      </c>
      <c r="CK267" s="208">
        <v>0</v>
      </c>
      <c r="CL267" s="208">
        <v>-168423</v>
      </c>
      <c r="CM267" s="208">
        <v>-7085</v>
      </c>
      <c r="CN267" s="208">
        <v>0</v>
      </c>
      <c r="CO267" s="208">
        <v>-7085</v>
      </c>
      <c r="CP267" s="208">
        <v>-10094</v>
      </c>
      <c r="CQ267" s="208">
        <v>0</v>
      </c>
      <c r="CR267" s="208">
        <v>-10094</v>
      </c>
      <c r="CS267" s="208">
        <v>0</v>
      </c>
      <c r="CT267" s="208">
        <v>0</v>
      </c>
      <c r="CU267" s="208">
        <v>0</v>
      </c>
      <c r="CV267" s="208">
        <v>0</v>
      </c>
      <c r="CW267" s="208">
        <v>0</v>
      </c>
      <c r="CX267" s="208">
        <v>0</v>
      </c>
      <c r="CY267" s="208">
        <v>0</v>
      </c>
      <c r="CZ267" s="208">
        <v>0</v>
      </c>
      <c r="DA267" s="208">
        <v>0</v>
      </c>
      <c r="DB267" s="208">
        <v>0</v>
      </c>
      <c r="DC267" s="208">
        <v>0</v>
      </c>
      <c r="DD267" s="208">
        <v>0</v>
      </c>
      <c r="DE267" s="208">
        <v>0</v>
      </c>
      <c r="DF267" s="208">
        <v>0</v>
      </c>
      <c r="DG267" s="208">
        <v>0</v>
      </c>
      <c r="DH267" s="208">
        <v>0</v>
      </c>
      <c r="DI267" s="208">
        <v>-65528</v>
      </c>
      <c r="DJ267" s="208">
        <v>-65528</v>
      </c>
      <c r="DK267" s="208">
        <v>0</v>
      </c>
      <c r="DL267" s="208">
        <v>-40</v>
      </c>
      <c r="DM267" s="208">
        <v>-40</v>
      </c>
      <c r="DN267" s="208">
        <v>-65568</v>
      </c>
      <c r="DO267" s="208">
        <v>0</v>
      </c>
      <c r="DP267" s="208">
        <v>-346070</v>
      </c>
      <c r="DQ267" s="208">
        <v>-65568</v>
      </c>
      <c r="DR267" s="208">
        <v>-411638</v>
      </c>
      <c r="DS267" s="208">
        <v>4646</v>
      </c>
      <c r="DT267" s="208">
        <v>0</v>
      </c>
      <c r="DU267" s="208">
        <v>4646</v>
      </c>
      <c r="DV267" s="208">
        <v>7142</v>
      </c>
      <c r="DW267" s="208">
        <v>0</v>
      </c>
      <c r="DX267" s="208">
        <v>7142</v>
      </c>
      <c r="DY267" s="208">
        <v>4887</v>
      </c>
      <c r="DZ267" s="208">
        <v>0</v>
      </c>
      <c r="EA267" s="208">
        <v>4887</v>
      </c>
      <c r="EB267" s="208">
        <v>0</v>
      </c>
      <c r="EC267" s="208">
        <v>0</v>
      </c>
      <c r="ED267" s="208">
        <v>0</v>
      </c>
      <c r="EE267" s="208">
        <v>0</v>
      </c>
      <c r="EF267" s="208">
        <v>0</v>
      </c>
      <c r="EG267" s="208">
        <v>0</v>
      </c>
      <c r="EH267" s="208">
        <v>0</v>
      </c>
      <c r="EI267" s="208">
        <v>0</v>
      </c>
      <c r="EJ267" s="208">
        <v>0</v>
      </c>
      <c r="EK267" s="208">
        <v>0</v>
      </c>
      <c r="EL267" s="208">
        <v>0</v>
      </c>
      <c r="EM267" s="208">
        <v>0</v>
      </c>
      <c r="EN267" s="208">
        <v>0</v>
      </c>
      <c r="EO267" s="208">
        <v>0</v>
      </c>
      <c r="EP267" s="208">
        <v>0</v>
      </c>
      <c r="EQ267" s="208">
        <v>-1500</v>
      </c>
      <c r="ER267" s="208">
        <v>0</v>
      </c>
      <c r="ES267" s="208">
        <v>-1500</v>
      </c>
      <c r="ET267" s="208">
        <v>0</v>
      </c>
      <c r="EU267" s="208">
        <v>0</v>
      </c>
      <c r="EV267" s="208">
        <v>0</v>
      </c>
      <c r="EW267" s="208">
        <v>-29688</v>
      </c>
      <c r="EX267" s="208">
        <v>0</v>
      </c>
      <c r="EY267" s="208">
        <v>-29688</v>
      </c>
      <c r="EZ267" s="208">
        <v>-275</v>
      </c>
      <c r="FA267" s="208">
        <v>0</v>
      </c>
      <c r="FB267" s="208">
        <v>-275</v>
      </c>
      <c r="FC267" s="208">
        <v>-243213</v>
      </c>
      <c r="FD267" s="208">
        <v>-1613</v>
      </c>
      <c r="FE267" s="208">
        <v>-244826</v>
      </c>
      <c r="FF267" s="208">
        <v>-41659</v>
      </c>
      <c r="FG267" s="208">
        <v>0</v>
      </c>
      <c r="FH267" s="208">
        <v>-41659</v>
      </c>
      <c r="FI267" s="208">
        <v>-91534</v>
      </c>
      <c r="FJ267" s="208">
        <v>0</v>
      </c>
      <c r="FK267" s="208">
        <v>-91534</v>
      </c>
      <c r="FL267" s="208">
        <v>1543</v>
      </c>
      <c r="FM267" s="208">
        <v>0</v>
      </c>
      <c r="FN267" s="208">
        <v>1543</v>
      </c>
      <c r="FO267" s="208">
        <v>0</v>
      </c>
      <c r="FP267" s="208">
        <v>0</v>
      </c>
      <c r="FQ267" s="208">
        <v>0</v>
      </c>
      <c r="FR267" s="208">
        <v>0</v>
      </c>
      <c r="FS267" s="208">
        <v>0</v>
      </c>
      <c r="FT267" s="208">
        <v>0</v>
      </c>
      <c r="FU267" s="208">
        <v>-389651</v>
      </c>
      <c r="FV267" s="208">
        <v>-1613</v>
      </c>
      <c r="FW267" s="208">
        <v>-391264</v>
      </c>
      <c r="FX267" s="208">
        <v>0</v>
      </c>
      <c r="FY267" s="208">
        <v>0</v>
      </c>
      <c r="FZ267" s="208">
        <v>0</v>
      </c>
      <c r="GA267" s="208">
        <v>0</v>
      </c>
      <c r="GB267" s="208">
        <v>0</v>
      </c>
      <c r="GC267" s="208">
        <v>0</v>
      </c>
      <c r="GD267" s="208">
        <v>0</v>
      </c>
      <c r="GE267" s="208">
        <v>0</v>
      </c>
      <c r="GF267" s="208">
        <v>0</v>
      </c>
      <c r="GG267" s="208">
        <v>111058262</v>
      </c>
      <c r="GH267" s="208">
        <v>958584</v>
      </c>
      <c r="GI267" s="208">
        <v>112016846</v>
      </c>
      <c r="GJ267" s="208">
        <v>-80135</v>
      </c>
      <c r="GK267" s="208">
        <v>-4555</v>
      </c>
      <c r="GL267" s="208">
        <v>-84690</v>
      </c>
      <c r="GM267" s="208">
        <v>-14866866</v>
      </c>
      <c r="GN267" s="208">
        <v>-45930</v>
      </c>
      <c r="GO267" s="208">
        <v>-14912796</v>
      </c>
      <c r="GP267" s="208">
        <v>-3567846</v>
      </c>
      <c r="GQ267" s="208">
        <v>-19205</v>
      </c>
      <c r="GR267" s="208">
        <v>-3587051</v>
      </c>
      <c r="GS267" s="208">
        <v>-346070</v>
      </c>
      <c r="GT267" s="208">
        <v>-65568</v>
      </c>
      <c r="GU267" s="208">
        <v>-411638</v>
      </c>
      <c r="GV267" s="208">
        <v>-389651</v>
      </c>
      <c r="GW267" s="208">
        <v>-1613</v>
      </c>
      <c r="GX267" s="208">
        <v>-391264</v>
      </c>
      <c r="GY267" s="208">
        <v>0</v>
      </c>
      <c r="GZ267" s="208">
        <v>0</v>
      </c>
      <c r="HA267" s="208">
        <v>0</v>
      </c>
      <c r="HB267" s="208">
        <v>-19250568</v>
      </c>
      <c r="HC267" s="208">
        <v>-136871</v>
      </c>
      <c r="HD267" s="208">
        <v>-19387439</v>
      </c>
      <c r="HE267" s="208">
        <v>91807694</v>
      </c>
      <c r="HF267" s="208">
        <v>821713</v>
      </c>
      <c r="HG267" s="208">
        <v>92629407</v>
      </c>
      <c r="HH267" s="187" t="s">
        <v>742</v>
      </c>
    </row>
    <row r="268" spans="1:216" s="187" customFormat="1" x14ac:dyDescent="0.2">
      <c r="B268" s="429" t="s">
        <v>614</v>
      </c>
      <c r="C268" s="429" t="s">
        <v>613</v>
      </c>
      <c r="D268" s="208">
        <v>-1037186.67</v>
      </c>
      <c r="E268" s="208">
        <v>0</v>
      </c>
      <c r="F268" s="208">
        <v>-1037186.67</v>
      </c>
      <c r="G268" s="208">
        <v>3992.11</v>
      </c>
      <c r="H268" s="208">
        <v>0</v>
      </c>
      <c r="I268" s="208">
        <v>3992.11</v>
      </c>
      <c r="J268" s="208">
        <v>1097907.8899999999</v>
      </c>
      <c r="K268" s="208">
        <v>0</v>
      </c>
      <c r="L268" s="208">
        <v>1097907.8899999999</v>
      </c>
      <c r="M268" s="208">
        <v>37386.07</v>
      </c>
      <c r="N268" s="208">
        <v>0</v>
      </c>
      <c r="O268" s="208">
        <v>37386.07</v>
      </c>
      <c r="P268" s="208">
        <v>102099</v>
      </c>
      <c r="Q268" s="208">
        <v>0</v>
      </c>
      <c r="R268" s="208">
        <v>102099</v>
      </c>
      <c r="S268" s="208">
        <v>-5840745.0700000003</v>
      </c>
      <c r="T268" s="208">
        <v>0</v>
      </c>
      <c r="U268" s="208">
        <v>-5840745.0700000003</v>
      </c>
      <c r="V268" s="208">
        <v>0</v>
      </c>
      <c r="W268" s="208">
        <v>0</v>
      </c>
      <c r="X268" s="208">
        <v>0</v>
      </c>
      <c r="Y268" s="208">
        <v>-200375.17</v>
      </c>
      <c r="Z268" s="208">
        <v>0</v>
      </c>
      <c r="AA268" s="208">
        <v>-200375.17</v>
      </c>
      <c r="AB268" s="208">
        <v>-74405.919999999998</v>
      </c>
      <c r="AC268" s="208">
        <v>0</v>
      </c>
      <c r="AD268" s="208">
        <v>-74405.919999999998</v>
      </c>
      <c r="AE268" s="208">
        <v>-117973.75999999999</v>
      </c>
      <c r="AF268" s="208">
        <v>0</v>
      </c>
      <c r="AG268" s="208">
        <v>-117973.75999999999</v>
      </c>
      <c r="AH268" s="208">
        <v>0</v>
      </c>
      <c r="AI268" s="208">
        <v>0</v>
      </c>
      <c r="AJ268" s="208">
        <v>0</v>
      </c>
      <c r="AK268" s="208">
        <v>0</v>
      </c>
      <c r="AL268" s="208">
        <v>0</v>
      </c>
      <c r="AM268" s="208">
        <v>0</v>
      </c>
      <c r="AN268" s="208">
        <v>1294937.99</v>
      </c>
      <c r="AO268" s="208">
        <v>0</v>
      </c>
      <c r="AP268" s="208">
        <v>1294937.99</v>
      </c>
      <c r="AQ268" s="208">
        <v>-14198.23</v>
      </c>
      <c r="AR268" s="208">
        <v>0</v>
      </c>
      <c r="AS268" s="208">
        <v>-14198.23</v>
      </c>
      <c r="AT268" s="208">
        <v>-4653434.49</v>
      </c>
      <c r="AU268" s="208">
        <v>0</v>
      </c>
      <c r="AV268" s="208">
        <v>-4653434.49</v>
      </c>
      <c r="AW268" s="208">
        <v>-1127205.25</v>
      </c>
      <c r="AX268" s="208">
        <v>0</v>
      </c>
      <c r="AY268" s="208">
        <v>-1127205.25</v>
      </c>
      <c r="AZ268" s="208">
        <v>-118245.77</v>
      </c>
      <c r="BA268" s="208">
        <v>0</v>
      </c>
      <c r="BB268" s="208">
        <v>-118245.77</v>
      </c>
      <c r="BC268" s="208">
        <v>-141.58000000000001</v>
      </c>
      <c r="BD268" s="208">
        <v>0</v>
      </c>
      <c r="BE268" s="208">
        <v>-141.58000000000001</v>
      </c>
      <c r="BF268" s="208">
        <v>-24761.3</v>
      </c>
      <c r="BG268" s="208">
        <v>0</v>
      </c>
      <c r="BH268" s="208">
        <v>-24761.3</v>
      </c>
      <c r="BI268" s="208">
        <v>0</v>
      </c>
      <c r="BJ268" s="208">
        <v>0</v>
      </c>
      <c r="BK268" s="208">
        <v>0</v>
      </c>
      <c r="BL268" s="208">
        <v>-10684169</v>
      </c>
      <c r="BM268" s="208">
        <v>0</v>
      </c>
      <c r="BN268" s="208">
        <v>-10684169</v>
      </c>
      <c r="BO268" s="208">
        <v>-64165.78</v>
      </c>
      <c r="BP268" s="208">
        <v>0</v>
      </c>
      <c r="BQ268" s="208">
        <v>-64165.78</v>
      </c>
      <c r="BR268" s="208">
        <v>44083.360000000001</v>
      </c>
      <c r="BS268" s="208">
        <v>0</v>
      </c>
      <c r="BT268" s="208">
        <v>44083.360000000001</v>
      </c>
      <c r="BU268" s="208">
        <v>-2445577.41</v>
      </c>
      <c r="BV268" s="208">
        <v>0</v>
      </c>
      <c r="BW268" s="208">
        <v>-2445577.41</v>
      </c>
      <c r="BX268" s="208">
        <v>1515856.6</v>
      </c>
      <c r="BY268" s="208">
        <v>0</v>
      </c>
      <c r="BZ268" s="208">
        <v>1515856.6</v>
      </c>
      <c r="CA268" s="208">
        <v>-949803</v>
      </c>
      <c r="CB268" s="208">
        <v>0</v>
      </c>
      <c r="CC268" s="208">
        <v>-949803</v>
      </c>
      <c r="CD268" s="208">
        <v>-13501.71</v>
      </c>
      <c r="CE268" s="208">
        <v>0</v>
      </c>
      <c r="CF268" s="208">
        <v>-13501.71</v>
      </c>
      <c r="CG268" s="208">
        <v>0</v>
      </c>
      <c r="CH268" s="208">
        <v>0</v>
      </c>
      <c r="CI268" s="208">
        <v>0</v>
      </c>
      <c r="CJ268" s="208">
        <v>-28467.51</v>
      </c>
      <c r="CK268" s="208">
        <v>0</v>
      </c>
      <c r="CL268" s="208">
        <v>-28467.51</v>
      </c>
      <c r="CM268" s="208">
        <v>380.31</v>
      </c>
      <c r="CN268" s="208">
        <v>0</v>
      </c>
      <c r="CO268" s="208">
        <v>380.31</v>
      </c>
      <c r="CP268" s="208">
        <v>0</v>
      </c>
      <c r="CQ268" s="208">
        <v>0</v>
      </c>
      <c r="CR268" s="208">
        <v>0</v>
      </c>
      <c r="CS268" s="208">
        <v>0</v>
      </c>
      <c r="CT268" s="208">
        <v>0</v>
      </c>
      <c r="CU268" s="208">
        <v>0</v>
      </c>
      <c r="CV268" s="208">
        <v>-25558.58</v>
      </c>
      <c r="CW268" s="208">
        <v>0</v>
      </c>
      <c r="CX268" s="208">
        <v>-25558.58</v>
      </c>
      <c r="CY268" s="208">
        <v>0</v>
      </c>
      <c r="CZ268" s="208">
        <v>0</v>
      </c>
      <c r="DA268" s="208">
        <v>0</v>
      </c>
      <c r="DB268" s="208">
        <v>0</v>
      </c>
      <c r="DC268" s="208">
        <v>0</v>
      </c>
      <c r="DD268" s="208">
        <v>0</v>
      </c>
      <c r="DE268" s="208">
        <v>0</v>
      </c>
      <c r="DF268" s="208">
        <v>0</v>
      </c>
      <c r="DG268" s="208">
        <v>0</v>
      </c>
      <c r="DH268" s="208">
        <v>0</v>
      </c>
      <c r="DI268" s="208">
        <v>0</v>
      </c>
      <c r="DJ268" s="208">
        <v>0</v>
      </c>
      <c r="DK268" s="208">
        <v>-11875.84</v>
      </c>
      <c r="DL268" s="208">
        <v>0</v>
      </c>
      <c r="DM268" s="208">
        <v>-11875.84</v>
      </c>
      <c r="DN268" s="208">
        <v>0</v>
      </c>
      <c r="DO268" s="208">
        <v>0</v>
      </c>
      <c r="DP268" s="208">
        <v>-79023</v>
      </c>
      <c r="DQ268" s="208">
        <v>0</v>
      </c>
      <c r="DR268" s="208">
        <v>-79023</v>
      </c>
      <c r="DS268" s="208">
        <v>0</v>
      </c>
      <c r="DT268" s="208">
        <v>0</v>
      </c>
      <c r="DU268" s="208">
        <v>0</v>
      </c>
      <c r="DV268" s="208">
        <v>0</v>
      </c>
      <c r="DW268" s="208">
        <v>0</v>
      </c>
      <c r="DX268" s="208">
        <v>0</v>
      </c>
      <c r="DY268" s="208">
        <v>1426.23</v>
      </c>
      <c r="DZ268" s="208">
        <v>0</v>
      </c>
      <c r="EA268" s="208">
        <v>1426.23</v>
      </c>
      <c r="EB268" s="208">
        <v>0</v>
      </c>
      <c r="EC268" s="208">
        <v>0</v>
      </c>
      <c r="ED268" s="208">
        <v>0</v>
      </c>
      <c r="EE268" s="208">
        <v>0</v>
      </c>
      <c r="EF268" s="208">
        <v>0</v>
      </c>
      <c r="EG268" s="208">
        <v>0</v>
      </c>
      <c r="EH268" s="208">
        <v>-211.44</v>
      </c>
      <c r="EI268" s="208">
        <v>0</v>
      </c>
      <c r="EJ268" s="208">
        <v>-211.44</v>
      </c>
      <c r="EK268" s="208">
        <v>0</v>
      </c>
      <c r="EL268" s="208">
        <v>0</v>
      </c>
      <c r="EM268" s="208">
        <v>0</v>
      </c>
      <c r="EN268" s="208">
        <v>0</v>
      </c>
      <c r="EO268" s="208">
        <v>0</v>
      </c>
      <c r="EP268" s="208">
        <v>0</v>
      </c>
      <c r="EQ268" s="208">
        <v>-1500</v>
      </c>
      <c r="ER268" s="208">
        <v>0</v>
      </c>
      <c r="ES268" s="208">
        <v>-1500</v>
      </c>
      <c r="ET268" s="208">
        <v>0</v>
      </c>
      <c r="EU268" s="208">
        <v>0</v>
      </c>
      <c r="EV268" s="208">
        <v>0</v>
      </c>
      <c r="EW268" s="208">
        <v>-26596.57</v>
      </c>
      <c r="EX268" s="208">
        <v>0</v>
      </c>
      <c r="EY268" s="208">
        <v>-26596.57</v>
      </c>
      <c r="EZ268" s="208">
        <v>2640.06</v>
      </c>
      <c r="FA268" s="208">
        <v>0</v>
      </c>
      <c r="FB268" s="208">
        <v>2640.06</v>
      </c>
      <c r="FC268" s="208">
        <v>-178079.7</v>
      </c>
      <c r="FD268" s="208">
        <v>0</v>
      </c>
      <c r="FE268" s="208">
        <v>-178079.7</v>
      </c>
      <c r="FF268" s="208">
        <v>0</v>
      </c>
      <c r="FG268" s="208">
        <v>0</v>
      </c>
      <c r="FH268" s="208">
        <v>0</v>
      </c>
      <c r="FI268" s="208">
        <v>-70488.95</v>
      </c>
      <c r="FJ268" s="208">
        <v>0</v>
      </c>
      <c r="FK268" s="208">
        <v>-70488.95</v>
      </c>
      <c r="FL268" s="208">
        <v>-3323.3</v>
      </c>
      <c r="FM268" s="208">
        <v>0</v>
      </c>
      <c r="FN268" s="208">
        <v>-3323.3</v>
      </c>
      <c r="FO268" s="208">
        <v>0</v>
      </c>
      <c r="FP268" s="208">
        <v>0</v>
      </c>
      <c r="FQ268" s="208">
        <v>0</v>
      </c>
      <c r="FR268" s="208">
        <v>0</v>
      </c>
      <c r="FS268" s="208">
        <v>0</v>
      </c>
      <c r="FT268" s="208">
        <v>0</v>
      </c>
      <c r="FU268" s="208">
        <v>-276134</v>
      </c>
      <c r="FV268" s="208">
        <v>0</v>
      </c>
      <c r="FW268" s="208">
        <v>-276134</v>
      </c>
      <c r="FX268" s="208">
        <v>-82137.89</v>
      </c>
      <c r="FY268" s="208">
        <v>0</v>
      </c>
      <c r="FZ268" s="208">
        <v>-82137.89</v>
      </c>
      <c r="GA268" s="208">
        <v>-15666.04</v>
      </c>
      <c r="GB268" s="208">
        <v>0</v>
      </c>
      <c r="GC268" s="208">
        <v>-15666.04</v>
      </c>
      <c r="GD268" s="208">
        <v>-97804</v>
      </c>
      <c r="GE268" s="208">
        <v>0</v>
      </c>
      <c r="GF268" s="208">
        <v>-97804</v>
      </c>
      <c r="GG268" s="208">
        <v>68437652.579999998</v>
      </c>
      <c r="GH268" s="208">
        <v>0</v>
      </c>
      <c r="GI268" s="208">
        <v>68437652.579999998</v>
      </c>
      <c r="GJ268" s="208">
        <v>102099</v>
      </c>
      <c r="GK268" s="208">
        <v>0</v>
      </c>
      <c r="GL268" s="208">
        <v>102099</v>
      </c>
      <c r="GM268" s="208">
        <v>-10684169</v>
      </c>
      <c r="GN268" s="208">
        <v>0</v>
      </c>
      <c r="GO268" s="208">
        <v>-10684169</v>
      </c>
      <c r="GP268" s="208">
        <v>-949803</v>
      </c>
      <c r="GQ268" s="208">
        <v>0</v>
      </c>
      <c r="GR268" s="208">
        <v>-949803</v>
      </c>
      <c r="GS268" s="208">
        <v>-79023</v>
      </c>
      <c r="GT268" s="208">
        <v>0</v>
      </c>
      <c r="GU268" s="208">
        <v>-79023</v>
      </c>
      <c r="GV268" s="208">
        <v>-276134</v>
      </c>
      <c r="GW268" s="208">
        <v>0</v>
      </c>
      <c r="GX268" s="208">
        <v>-276134</v>
      </c>
      <c r="GY268" s="208">
        <v>-97804</v>
      </c>
      <c r="GZ268" s="208">
        <v>0</v>
      </c>
      <c r="HA268" s="208">
        <v>-97804</v>
      </c>
      <c r="HB268" s="208">
        <v>-11984834</v>
      </c>
      <c r="HC268" s="208">
        <v>0</v>
      </c>
      <c r="HD268" s="208">
        <v>-11984834</v>
      </c>
      <c r="HE268" s="208">
        <v>56452818.579999998</v>
      </c>
      <c r="HF268" s="208">
        <v>0</v>
      </c>
      <c r="HG268" s="208">
        <v>56452818.579999998</v>
      </c>
      <c r="HH268" s="187" t="s">
        <v>1054</v>
      </c>
    </row>
    <row r="269" spans="1:216" s="187" customFormat="1" x14ac:dyDescent="0.2">
      <c r="B269" s="429" t="s">
        <v>616</v>
      </c>
      <c r="C269" s="429" t="s">
        <v>615</v>
      </c>
      <c r="D269" s="208">
        <v>-840335</v>
      </c>
      <c r="E269" s="208">
        <v>0</v>
      </c>
      <c r="F269" s="208">
        <v>-840335</v>
      </c>
      <c r="G269" s="208">
        <v>54240</v>
      </c>
      <c r="H269" s="208">
        <v>0</v>
      </c>
      <c r="I269" s="208">
        <v>54240</v>
      </c>
      <c r="J269" s="208">
        <v>614798</v>
      </c>
      <c r="K269" s="208">
        <v>0</v>
      </c>
      <c r="L269" s="208">
        <v>614798</v>
      </c>
      <c r="M269" s="208">
        <v>15897</v>
      </c>
      <c r="N269" s="208">
        <v>0</v>
      </c>
      <c r="O269" s="208">
        <v>15897</v>
      </c>
      <c r="P269" s="208">
        <v>-155400</v>
      </c>
      <c r="Q269" s="208">
        <v>0</v>
      </c>
      <c r="R269" s="208">
        <v>-155400</v>
      </c>
      <c r="S269" s="208">
        <v>-4173635</v>
      </c>
      <c r="T269" s="208">
        <v>0</v>
      </c>
      <c r="U269" s="208">
        <v>-4173635</v>
      </c>
      <c r="V269" s="208">
        <v>0</v>
      </c>
      <c r="W269" s="208">
        <v>0</v>
      </c>
      <c r="X269" s="208">
        <v>0</v>
      </c>
      <c r="Y269" s="208">
        <v>-170892</v>
      </c>
      <c r="Z269" s="208">
        <v>0</v>
      </c>
      <c r="AA269" s="208">
        <v>-170892</v>
      </c>
      <c r="AB269" s="208">
        <v>-55067</v>
      </c>
      <c r="AC269" s="208">
        <v>0</v>
      </c>
      <c r="AD269" s="208">
        <v>-55067</v>
      </c>
      <c r="AE269" s="208">
        <v>-107027</v>
      </c>
      <c r="AF269" s="208">
        <v>0</v>
      </c>
      <c r="AG269" s="208">
        <v>-107027</v>
      </c>
      <c r="AH269" s="208">
        <v>0</v>
      </c>
      <c r="AI269" s="208">
        <v>0</v>
      </c>
      <c r="AJ269" s="208">
        <v>0</v>
      </c>
      <c r="AK269" s="208">
        <v>0</v>
      </c>
      <c r="AL269" s="208">
        <v>0</v>
      </c>
      <c r="AM269" s="208">
        <v>0</v>
      </c>
      <c r="AN269" s="208">
        <v>618991</v>
      </c>
      <c r="AO269" s="208">
        <v>0</v>
      </c>
      <c r="AP269" s="208">
        <v>618991</v>
      </c>
      <c r="AQ269" s="208">
        <v>-3478</v>
      </c>
      <c r="AR269" s="208">
        <v>0</v>
      </c>
      <c r="AS269" s="208">
        <v>-3478</v>
      </c>
      <c r="AT269" s="208">
        <v>-2548750</v>
      </c>
      <c r="AU269" s="208">
        <v>0</v>
      </c>
      <c r="AV269" s="208">
        <v>-2548750</v>
      </c>
      <c r="AW269" s="208">
        <v>-75902</v>
      </c>
      <c r="AX269" s="208">
        <v>0</v>
      </c>
      <c r="AY269" s="208">
        <v>-75902</v>
      </c>
      <c r="AZ269" s="208">
        <v>-35335</v>
      </c>
      <c r="BA269" s="208">
        <v>0</v>
      </c>
      <c r="BB269" s="208">
        <v>-35335</v>
      </c>
      <c r="BC269" s="208">
        <v>-892</v>
      </c>
      <c r="BD269" s="208">
        <v>0</v>
      </c>
      <c r="BE269" s="208">
        <v>-892</v>
      </c>
      <c r="BF269" s="208">
        <v>-30559</v>
      </c>
      <c r="BG269" s="208">
        <v>0</v>
      </c>
      <c r="BH269" s="208">
        <v>-30559</v>
      </c>
      <c r="BI269" s="208">
        <v>0</v>
      </c>
      <c r="BJ269" s="208">
        <v>0</v>
      </c>
      <c r="BK269" s="208">
        <v>0</v>
      </c>
      <c r="BL269" s="208">
        <v>-6420452</v>
      </c>
      <c r="BM269" s="208">
        <v>0</v>
      </c>
      <c r="BN269" s="208">
        <v>-6420452</v>
      </c>
      <c r="BO269" s="208">
        <v>-20101</v>
      </c>
      <c r="BP269" s="208">
        <v>0</v>
      </c>
      <c r="BQ269" s="208">
        <v>-20101</v>
      </c>
      <c r="BR269" s="208">
        <v>-1469</v>
      </c>
      <c r="BS269" s="208">
        <v>0</v>
      </c>
      <c r="BT269" s="208">
        <v>-1469</v>
      </c>
      <c r="BU269" s="208">
        <v>-1073939</v>
      </c>
      <c r="BV269" s="208">
        <v>0</v>
      </c>
      <c r="BW269" s="208">
        <v>-1073939</v>
      </c>
      <c r="BX269" s="208">
        <v>-12323</v>
      </c>
      <c r="BY269" s="208">
        <v>0</v>
      </c>
      <c r="BZ269" s="208">
        <v>-12323</v>
      </c>
      <c r="CA269" s="208">
        <v>-1107832</v>
      </c>
      <c r="CB269" s="208">
        <v>0</v>
      </c>
      <c r="CC269" s="208">
        <v>-1107832</v>
      </c>
      <c r="CD269" s="208">
        <v>-90175</v>
      </c>
      <c r="CE269" s="208">
        <v>0</v>
      </c>
      <c r="CF269" s="208">
        <v>-90175</v>
      </c>
      <c r="CG269" s="208">
        <v>997</v>
      </c>
      <c r="CH269" s="208">
        <v>0</v>
      </c>
      <c r="CI269" s="208">
        <v>997</v>
      </c>
      <c r="CJ269" s="208">
        <v>-117969</v>
      </c>
      <c r="CK269" s="208">
        <v>0</v>
      </c>
      <c r="CL269" s="208">
        <v>-117969</v>
      </c>
      <c r="CM269" s="208">
        <v>-5172</v>
      </c>
      <c r="CN269" s="208">
        <v>0</v>
      </c>
      <c r="CO269" s="208">
        <v>-5172</v>
      </c>
      <c r="CP269" s="208">
        <v>0</v>
      </c>
      <c r="CQ269" s="208">
        <v>0</v>
      </c>
      <c r="CR269" s="208">
        <v>0</v>
      </c>
      <c r="CS269" s="208">
        <v>0</v>
      </c>
      <c r="CT269" s="208">
        <v>0</v>
      </c>
      <c r="CU269" s="208">
        <v>0</v>
      </c>
      <c r="CV269" s="208">
        <v>0</v>
      </c>
      <c r="CW269" s="208">
        <v>0</v>
      </c>
      <c r="CX269" s="208">
        <v>0</v>
      </c>
      <c r="CY269" s="208">
        <v>0</v>
      </c>
      <c r="CZ269" s="208">
        <v>0</v>
      </c>
      <c r="DA269" s="208">
        <v>0</v>
      </c>
      <c r="DB269" s="208">
        <v>0</v>
      </c>
      <c r="DC269" s="208">
        <v>0</v>
      </c>
      <c r="DD269" s="208">
        <v>0</v>
      </c>
      <c r="DE269" s="208">
        <v>0</v>
      </c>
      <c r="DF269" s="208">
        <v>0</v>
      </c>
      <c r="DG269" s="208">
        <v>0</v>
      </c>
      <c r="DH269" s="208">
        <v>0</v>
      </c>
      <c r="DI269" s="208">
        <v>0</v>
      </c>
      <c r="DJ269" s="208">
        <v>0</v>
      </c>
      <c r="DK269" s="208">
        <v>0</v>
      </c>
      <c r="DL269" s="208">
        <v>0</v>
      </c>
      <c r="DM269" s="208">
        <v>0</v>
      </c>
      <c r="DN269" s="208">
        <v>0</v>
      </c>
      <c r="DO269" s="208">
        <v>0</v>
      </c>
      <c r="DP269" s="208">
        <v>-212319</v>
      </c>
      <c r="DQ269" s="208">
        <v>0</v>
      </c>
      <c r="DR269" s="208">
        <v>-212319</v>
      </c>
      <c r="DS269" s="208">
        <v>0</v>
      </c>
      <c r="DT269" s="208">
        <v>0</v>
      </c>
      <c r="DU269" s="208">
        <v>0</v>
      </c>
      <c r="DV269" s="208">
        <v>0</v>
      </c>
      <c r="DW269" s="208">
        <v>0</v>
      </c>
      <c r="DX269" s="208">
        <v>0</v>
      </c>
      <c r="DY269" s="208">
        <v>1176</v>
      </c>
      <c r="DZ269" s="208">
        <v>0</v>
      </c>
      <c r="EA269" s="208">
        <v>1176</v>
      </c>
      <c r="EB269" s="208">
        <v>0</v>
      </c>
      <c r="EC269" s="208">
        <v>0</v>
      </c>
      <c r="ED269" s="208">
        <v>0</v>
      </c>
      <c r="EE269" s="208">
        <v>0</v>
      </c>
      <c r="EF269" s="208">
        <v>0</v>
      </c>
      <c r="EG269" s="208">
        <v>0</v>
      </c>
      <c r="EH269" s="208">
        <v>0</v>
      </c>
      <c r="EI269" s="208">
        <v>0</v>
      </c>
      <c r="EJ269" s="208">
        <v>0</v>
      </c>
      <c r="EK269" s="208">
        <v>-30559</v>
      </c>
      <c r="EL269" s="208">
        <v>0</v>
      </c>
      <c r="EM269" s="208">
        <v>-30559</v>
      </c>
      <c r="EN269" s="208">
        <v>-1500</v>
      </c>
      <c r="EO269" s="208">
        <v>0</v>
      </c>
      <c r="EP269" s="208">
        <v>-1500</v>
      </c>
      <c r="EQ269" s="208">
        <v>-1500</v>
      </c>
      <c r="ER269" s="208">
        <v>0</v>
      </c>
      <c r="ES269" s="208">
        <v>-1500</v>
      </c>
      <c r="ET269" s="208">
        <v>0</v>
      </c>
      <c r="EU269" s="208">
        <v>0</v>
      </c>
      <c r="EV269" s="208">
        <v>0</v>
      </c>
      <c r="EW269" s="208">
        <v>-26205</v>
      </c>
      <c r="EX269" s="208">
        <v>0</v>
      </c>
      <c r="EY269" s="208">
        <v>-26205</v>
      </c>
      <c r="EZ269" s="208">
        <v>-1105</v>
      </c>
      <c r="FA269" s="208">
        <v>0</v>
      </c>
      <c r="FB269" s="208">
        <v>-1105</v>
      </c>
      <c r="FC269" s="208">
        <v>-121867</v>
      </c>
      <c r="FD269" s="208">
        <v>0</v>
      </c>
      <c r="FE269" s="208">
        <v>-121867</v>
      </c>
      <c r="FF269" s="208">
        <v>7626</v>
      </c>
      <c r="FG269" s="208">
        <v>0</v>
      </c>
      <c r="FH269" s="208">
        <v>7626</v>
      </c>
      <c r="FI269" s="208">
        <v>-63868</v>
      </c>
      <c r="FJ269" s="208">
        <v>0</v>
      </c>
      <c r="FK269" s="208">
        <v>-63868</v>
      </c>
      <c r="FL269" s="208">
        <v>3668</v>
      </c>
      <c r="FM269" s="208">
        <v>0</v>
      </c>
      <c r="FN269" s="208">
        <v>3668</v>
      </c>
      <c r="FO269" s="208">
        <v>0</v>
      </c>
      <c r="FP269" s="208">
        <v>0</v>
      </c>
      <c r="FQ269" s="208">
        <v>0</v>
      </c>
      <c r="FR269" s="208">
        <v>0</v>
      </c>
      <c r="FS269" s="208">
        <v>0</v>
      </c>
      <c r="FT269" s="208">
        <v>0</v>
      </c>
      <c r="FU269" s="208">
        <v>-234134</v>
      </c>
      <c r="FV269" s="208">
        <v>0</v>
      </c>
      <c r="FW269" s="208">
        <v>-234134</v>
      </c>
      <c r="FX269" s="208">
        <v>0</v>
      </c>
      <c r="FY269" s="208">
        <v>0</v>
      </c>
      <c r="FZ269" s="208">
        <v>0</v>
      </c>
      <c r="GA269" s="208">
        <v>0</v>
      </c>
      <c r="GB269" s="208">
        <v>0</v>
      </c>
      <c r="GC269" s="208">
        <v>0</v>
      </c>
      <c r="GD269" s="208">
        <v>0</v>
      </c>
      <c r="GE269" s="208">
        <v>0</v>
      </c>
      <c r="GF269" s="208">
        <v>0</v>
      </c>
      <c r="GG269" s="208">
        <v>36487555</v>
      </c>
      <c r="GH269" s="208">
        <v>0</v>
      </c>
      <c r="GI269" s="208">
        <v>36487555</v>
      </c>
      <c r="GJ269" s="208">
        <v>-155400</v>
      </c>
      <c r="GK269" s="208">
        <v>0</v>
      </c>
      <c r="GL269" s="208">
        <v>-155400</v>
      </c>
      <c r="GM269" s="208">
        <v>-6420452</v>
      </c>
      <c r="GN269" s="208">
        <v>0</v>
      </c>
      <c r="GO269" s="208">
        <v>-6420452</v>
      </c>
      <c r="GP269" s="208">
        <v>-1107832</v>
      </c>
      <c r="GQ269" s="208">
        <v>0</v>
      </c>
      <c r="GR269" s="208">
        <v>-1107832</v>
      </c>
      <c r="GS269" s="208">
        <v>-212319</v>
      </c>
      <c r="GT269" s="208">
        <v>0</v>
      </c>
      <c r="GU269" s="208">
        <v>-212319</v>
      </c>
      <c r="GV269" s="208">
        <v>-234134</v>
      </c>
      <c r="GW269" s="208">
        <v>0</v>
      </c>
      <c r="GX269" s="208">
        <v>-234134</v>
      </c>
      <c r="GY269" s="208">
        <v>0</v>
      </c>
      <c r="GZ269" s="208">
        <v>0</v>
      </c>
      <c r="HA269" s="208">
        <v>0</v>
      </c>
      <c r="HB269" s="208">
        <v>-8130137</v>
      </c>
      <c r="HC269" s="208">
        <v>0</v>
      </c>
      <c r="HD269" s="208">
        <v>-8130137</v>
      </c>
      <c r="HE269" s="208">
        <v>28357418</v>
      </c>
      <c r="HF269" s="208">
        <v>0</v>
      </c>
      <c r="HG269" s="208">
        <v>28357418</v>
      </c>
      <c r="HH269" s="187" t="s">
        <v>1054</v>
      </c>
    </row>
    <row r="270" spans="1:216" s="187" customFormat="1" x14ac:dyDescent="0.2">
      <c r="A270" s="187" t="s">
        <v>1817</v>
      </c>
      <c r="B270" s="429" t="s">
        <v>618</v>
      </c>
      <c r="C270" s="429" t="s">
        <v>617</v>
      </c>
      <c r="D270" s="208">
        <v>-1631863</v>
      </c>
      <c r="E270" s="208">
        <v>0</v>
      </c>
      <c r="F270" s="208">
        <v>-1631863</v>
      </c>
      <c r="G270" s="208">
        <v>-6722</v>
      </c>
      <c r="H270" s="208">
        <v>0</v>
      </c>
      <c r="I270" s="208">
        <v>-6722</v>
      </c>
      <c r="J270" s="208">
        <v>7857300</v>
      </c>
      <c r="K270" s="208">
        <v>0</v>
      </c>
      <c r="L270" s="208">
        <v>7857300</v>
      </c>
      <c r="M270" s="208">
        <v>28317</v>
      </c>
      <c r="N270" s="208">
        <v>0</v>
      </c>
      <c r="O270" s="208">
        <v>28317</v>
      </c>
      <c r="P270" s="208">
        <v>6247032</v>
      </c>
      <c r="Q270" s="208">
        <v>0</v>
      </c>
      <c r="R270" s="208">
        <v>6247032</v>
      </c>
      <c r="S270" s="208">
        <v>-5603225</v>
      </c>
      <c r="T270" s="208">
        <v>0</v>
      </c>
      <c r="U270" s="208">
        <v>-5603225</v>
      </c>
      <c r="V270" s="208">
        <v>-2400</v>
      </c>
      <c r="W270" s="208">
        <v>0</v>
      </c>
      <c r="X270" s="208">
        <v>-2400</v>
      </c>
      <c r="Y270" s="208">
        <v>-215522</v>
      </c>
      <c r="Z270" s="208">
        <v>0</v>
      </c>
      <c r="AA270" s="208">
        <v>-215522</v>
      </c>
      <c r="AB270" s="208">
        <v>-45416</v>
      </c>
      <c r="AC270" s="208">
        <v>0</v>
      </c>
      <c r="AD270" s="208">
        <v>-45416</v>
      </c>
      <c r="AE270" s="208">
        <v>-163185</v>
      </c>
      <c r="AF270" s="208">
        <v>0</v>
      </c>
      <c r="AG270" s="208">
        <v>-163185</v>
      </c>
      <c r="AH270" s="208">
        <v>2703</v>
      </c>
      <c r="AI270" s="208">
        <v>0</v>
      </c>
      <c r="AJ270" s="208">
        <v>2703</v>
      </c>
      <c r="AK270" s="208">
        <v>8112</v>
      </c>
      <c r="AL270" s="208">
        <v>0</v>
      </c>
      <c r="AM270" s="208">
        <v>8112</v>
      </c>
      <c r="AN270" s="208">
        <v>1500236</v>
      </c>
      <c r="AO270" s="208">
        <v>0</v>
      </c>
      <c r="AP270" s="208">
        <v>1500236</v>
      </c>
      <c r="AQ270" s="208">
        <v>-26677</v>
      </c>
      <c r="AR270" s="208">
        <v>0</v>
      </c>
      <c r="AS270" s="208">
        <v>-26677</v>
      </c>
      <c r="AT270" s="208">
        <v>-3061970</v>
      </c>
      <c r="AU270" s="208">
        <v>0</v>
      </c>
      <c r="AV270" s="208">
        <v>-3061970</v>
      </c>
      <c r="AW270" s="208">
        <v>2862</v>
      </c>
      <c r="AX270" s="208">
        <v>0</v>
      </c>
      <c r="AY270" s="208">
        <v>2862</v>
      </c>
      <c r="AZ270" s="208">
        <v>-26735</v>
      </c>
      <c r="BA270" s="208">
        <v>0</v>
      </c>
      <c r="BB270" s="208">
        <v>-26735</v>
      </c>
      <c r="BC270" s="208">
        <v>0</v>
      </c>
      <c r="BD270" s="208">
        <v>0</v>
      </c>
      <c r="BE270" s="208">
        <v>0</v>
      </c>
      <c r="BF270" s="208">
        <v>-52168</v>
      </c>
      <c r="BG270" s="208">
        <v>0</v>
      </c>
      <c r="BH270" s="208">
        <v>-52168</v>
      </c>
      <c r="BI270" s="208">
        <v>-3498</v>
      </c>
      <c r="BJ270" s="208">
        <v>0</v>
      </c>
      <c r="BK270" s="208">
        <v>-3498</v>
      </c>
      <c r="BL270" s="208">
        <v>-7486697</v>
      </c>
      <c r="BM270" s="208">
        <v>0</v>
      </c>
      <c r="BN270" s="208">
        <v>-7486697</v>
      </c>
      <c r="BO270" s="208">
        <v>-54548</v>
      </c>
      <c r="BP270" s="208">
        <v>0</v>
      </c>
      <c r="BQ270" s="208">
        <v>-54548</v>
      </c>
      <c r="BR270" s="208">
        <v>0</v>
      </c>
      <c r="BS270" s="208">
        <v>0</v>
      </c>
      <c r="BT270" s="208">
        <v>0</v>
      </c>
      <c r="BU270" s="208">
        <v>-560092</v>
      </c>
      <c r="BV270" s="208">
        <v>0</v>
      </c>
      <c r="BW270" s="208">
        <v>-560092</v>
      </c>
      <c r="BX270" s="208">
        <v>-31884</v>
      </c>
      <c r="BY270" s="208">
        <v>0</v>
      </c>
      <c r="BZ270" s="208">
        <v>-31884</v>
      </c>
      <c r="CA270" s="208">
        <v>-646524</v>
      </c>
      <c r="CB270" s="208">
        <v>0</v>
      </c>
      <c r="CC270" s="208">
        <v>-646524</v>
      </c>
      <c r="CD270" s="208">
        <v>-56975</v>
      </c>
      <c r="CE270" s="208">
        <v>0</v>
      </c>
      <c r="CF270" s="208">
        <v>-56975</v>
      </c>
      <c r="CG270" s="208">
        <v>-129</v>
      </c>
      <c r="CH270" s="208">
        <v>0</v>
      </c>
      <c r="CI270" s="208">
        <v>-129</v>
      </c>
      <c r="CJ270" s="208">
        <v>-318865</v>
      </c>
      <c r="CK270" s="208">
        <v>0</v>
      </c>
      <c r="CL270" s="208">
        <v>-318865</v>
      </c>
      <c r="CM270" s="208">
        <v>2712</v>
      </c>
      <c r="CN270" s="208">
        <v>0</v>
      </c>
      <c r="CO270" s="208">
        <v>2712</v>
      </c>
      <c r="CP270" s="208">
        <v>-272</v>
      </c>
      <c r="CQ270" s="208">
        <v>0</v>
      </c>
      <c r="CR270" s="208">
        <v>-272</v>
      </c>
      <c r="CS270" s="208">
        <v>0</v>
      </c>
      <c r="CT270" s="208">
        <v>0</v>
      </c>
      <c r="CU270" s="208">
        <v>0</v>
      </c>
      <c r="CV270" s="208">
        <v>-3981</v>
      </c>
      <c r="CW270" s="208">
        <v>0</v>
      </c>
      <c r="CX270" s="208">
        <v>-3981</v>
      </c>
      <c r="CY270" s="208">
        <v>-2828</v>
      </c>
      <c r="CZ270" s="208">
        <v>0</v>
      </c>
      <c r="DA270" s="208">
        <v>-2828</v>
      </c>
      <c r="DB270" s="208">
        <v>-2189</v>
      </c>
      <c r="DC270" s="208">
        <v>0</v>
      </c>
      <c r="DD270" s="208">
        <v>-2189</v>
      </c>
      <c r="DE270" s="208">
        <v>0</v>
      </c>
      <c r="DF270" s="208">
        <v>0</v>
      </c>
      <c r="DG270" s="208">
        <v>0</v>
      </c>
      <c r="DH270" s="208">
        <v>0</v>
      </c>
      <c r="DI270" s="208">
        <v>0</v>
      </c>
      <c r="DJ270" s="208">
        <v>0</v>
      </c>
      <c r="DK270" s="208">
        <v>0</v>
      </c>
      <c r="DL270" s="208">
        <v>0</v>
      </c>
      <c r="DM270" s="208">
        <v>0</v>
      </c>
      <c r="DN270" s="208">
        <v>0</v>
      </c>
      <c r="DO270" s="208">
        <v>0</v>
      </c>
      <c r="DP270" s="208">
        <v>-382527</v>
      </c>
      <c r="DQ270" s="208">
        <v>0</v>
      </c>
      <c r="DR270" s="208">
        <v>-382527</v>
      </c>
      <c r="DS270" s="208">
        <v>0</v>
      </c>
      <c r="DT270" s="208">
        <v>0</v>
      </c>
      <c r="DU270" s="208">
        <v>0</v>
      </c>
      <c r="DV270" s="208">
        <v>0</v>
      </c>
      <c r="DW270" s="208">
        <v>0</v>
      </c>
      <c r="DX270" s="208">
        <v>0</v>
      </c>
      <c r="DY270" s="208">
        <v>4421</v>
      </c>
      <c r="DZ270" s="208">
        <v>0</v>
      </c>
      <c r="EA270" s="208">
        <v>4421</v>
      </c>
      <c r="EB270" s="208">
        <v>0</v>
      </c>
      <c r="EC270" s="208">
        <v>0</v>
      </c>
      <c r="ED270" s="208">
        <v>0</v>
      </c>
      <c r="EE270" s="208">
        <v>0</v>
      </c>
      <c r="EF270" s="208">
        <v>0</v>
      </c>
      <c r="EG270" s="208">
        <v>0</v>
      </c>
      <c r="EH270" s="208">
        <v>2317</v>
      </c>
      <c r="EI270" s="208">
        <v>0</v>
      </c>
      <c r="EJ270" s="208">
        <v>2317</v>
      </c>
      <c r="EK270" s="208">
        <v>-55100</v>
      </c>
      <c r="EL270" s="208">
        <v>0</v>
      </c>
      <c r="EM270" s="208">
        <v>-55100</v>
      </c>
      <c r="EN270" s="208">
        <v>-671</v>
      </c>
      <c r="EO270" s="208">
        <v>0</v>
      </c>
      <c r="EP270" s="208">
        <v>-671</v>
      </c>
      <c r="EQ270" s="208">
        <v>0</v>
      </c>
      <c r="ER270" s="208">
        <v>0</v>
      </c>
      <c r="ES270" s="208">
        <v>0</v>
      </c>
      <c r="ET270" s="208">
        <v>0</v>
      </c>
      <c r="EU270" s="208">
        <v>0</v>
      </c>
      <c r="EV270" s="208">
        <v>0</v>
      </c>
      <c r="EW270" s="208">
        <v>-74273</v>
      </c>
      <c r="EX270" s="208">
        <v>0</v>
      </c>
      <c r="EY270" s="208">
        <v>-74273</v>
      </c>
      <c r="EZ270" s="208">
        <v>1894</v>
      </c>
      <c r="FA270" s="208">
        <v>0</v>
      </c>
      <c r="FB270" s="208">
        <v>1894</v>
      </c>
      <c r="FC270" s="208">
        <v>-185765</v>
      </c>
      <c r="FD270" s="208">
        <v>0</v>
      </c>
      <c r="FE270" s="208">
        <v>-185765</v>
      </c>
      <c r="FF270" s="208">
        <v>-139043</v>
      </c>
      <c r="FG270" s="208">
        <v>0</v>
      </c>
      <c r="FH270" s="208">
        <v>-139043</v>
      </c>
      <c r="FI270" s="208">
        <v>-50270</v>
      </c>
      <c r="FJ270" s="208">
        <v>0</v>
      </c>
      <c r="FK270" s="208">
        <v>-50270</v>
      </c>
      <c r="FL270" s="208">
        <v>1000</v>
      </c>
      <c r="FM270" s="208">
        <v>0</v>
      </c>
      <c r="FN270" s="208">
        <v>1000</v>
      </c>
      <c r="FO270" s="208">
        <v>0</v>
      </c>
      <c r="FP270" s="208">
        <v>0</v>
      </c>
      <c r="FQ270" s="208">
        <v>0</v>
      </c>
      <c r="FR270" s="208">
        <v>0</v>
      </c>
      <c r="FS270" s="208">
        <v>0</v>
      </c>
      <c r="FT270" s="208">
        <v>0</v>
      </c>
      <c r="FU270" s="208">
        <v>-495490</v>
      </c>
      <c r="FV270" s="208">
        <v>0</v>
      </c>
      <c r="FW270" s="208">
        <v>-495490</v>
      </c>
      <c r="FX270" s="208">
        <v>-14400</v>
      </c>
      <c r="FY270" s="208">
        <v>0</v>
      </c>
      <c r="FZ270" s="208">
        <v>-14400</v>
      </c>
      <c r="GA270" s="208">
        <v>0</v>
      </c>
      <c r="GB270" s="208">
        <v>0</v>
      </c>
      <c r="GC270" s="208">
        <v>0</v>
      </c>
      <c r="GD270" s="208">
        <v>-14400</v>
      </c>
      <c r="GE270" s="208">
        <v>0</v>
      </c>
      <c r="GF270" s="208">
        <v>-14400</v>
      </c>
      <c r="GG270" s="208">
        <v>72205550</v>
      </c>
      <c r="GH270" s="208">
        <v>0</v>
      </c>
      <c r="GI270" s="208">
        <v>72205550</v>
      </c>
      <c r="GJ270" s="208">
        <v>6247032</v>
      </c>
      <c r="GK270" s="208">
        <v>0</v>
      </c>
      <c r="GL270" s="208">
        <v>6247032</v>
      </c>
      <c r="GM270" s="208">
        <v>-7486697</v>
      </c>
      <c r="GN270" s="208">
        <v>0</v>
      </c>
      <c r="GO270" s="208">
        <v>-7486697</v>
      </c>
      <c r="GP270" s="208">
        <v>-646524</v>
      </c>
      <c r="GQ270" s="208">
        <v>0</v>
      </c>
      <c r="GR270" s="208">
        <v>-646524</v>
      </c>
      <c r="GS270" s="208">
        <v>-382527</v>
      </c>
      <c r="GT270" s="208">
        <v>0</v>
      </c>
      <c r="GU270" s="208">
        <v>-382527</v>
      </c>
      <c r="GV270" s="208">
        <v>-495490</v>
      </c>
      <c r="GW270" s="208">
        <v>0</v>
      </c>
      <c r="GX270" s="208">
        <v>-495490</v>
      </c>
      <c r="GY270" s="208">
        <v>-14400</v>
      </c>
      <c r="GZ270" s="208">
        <v>0</v>
      </c>
      <c r="HA270" s="208">
        <v>-14400</v>
      </c>
      <c r="HB270" s="208">
        <v>-2778606</v>
      </c>
      <c r="HC270" s="208">
        <v>0</v>
      </c>
      <c r="HD270" s="208">
        <v>-2778606</v>
      </c>
      <c r="HE270" s="208">
        <v>69426944</v>
      </c>
      <c r="HF270" s="208">
        <v>0</v>
      </c>
      <c r="HG270" s="208">
        <v>69426944</v>
      </c>
      <c r="HH270" s="187" t="s">
        <v>1054</v>
      </c>
    </row>
    <row r="271" spans="1:216" s="187" customFormat="1" x14ac:dyDescent="0.2">
      <c r="B271" s="429" t="s">
        <v>620</v>
      </c>
      <c r="C271" s="429" t="s">
        <v>619</v>
      </c>
      <c r="D271" s="208">
        <v>-1970328</v>
      </c>
      <c r="E271" s="208">
        <v>0</v>
      </c>
      <c r="F271" s="208">
        <v>-1970328</v>
      </c>
      <c r="G271" s="208">
        <v>1361</v>
      </c>
      <c r="H271" s="208">
        <v>0</v>
      </c>
      <c r="I271" s="208">
        <v>1361</v>
      </c>
      <c r="J271" s="208">
        <v>4184400</v>
      </c>
      <c r="K271" s="208">
        <v>0</v>
      </c>
      <c r="L271" s="208">
        <v>4184400</v>
      </c>
      <c r="M271" s="208">
        <v>121090</v>
      </c>
      <c r="N271" s="208">
        <v>72</v>
      </c>
      <c r="O271" s="208">
        <v>121162</v>
      </c>
      <c r="P271" s="208">
        <v>2336523</v>
      </c>
      <c r="Q271" s="208">
        <v>72</v>
      </c>
      <c r="R271" s="208">
        <v>2336595</v>
      </c>
      <c r="S271" s="208">
        <v>-7891451</v>
      </c>
      <c r="T271" s="208">
        <v>0</v>
      </c>
      <c r="U271" s="208">
        <v>-7891451</v>
      </c>
      <c r="V271" s="208">
        <v>-5117</v>
      </c>
      <c r="W271" s="208">
        <v>0</v>
      </c>
      <c r="X271" s="208">
        <v>-5117</v>
      </c>
      <c r="Y271" s="208">
        <v>-205438</v>
      </c>
      <c r="Z271" s="208">
        <v>0</v>
      </c>
      <c r="AA271" s="208">
        <v>-205438</v>
      </c>
      <c r="AB271" s="208">
        <v>-89846</v>
      </c>
      <c r="AC271" s="208">
        <v>0</v>
      </c>
      <c r="AD271" s="208">
        <v>-89846</v>
      </c>
      <c r="AE271" s="208">
        <v>-104275.63</v>
      </c>
      <c r="AF271" s="208">
        <v>0</v>
      </c>
      <c r="AG271" s="208">
        <v>-104275.63</v>
      </c>
      <c r="AH271" s="208">
        <v>0</v>
      </c>
      <c r="AI271" s="208">
        <v>0</v>
      </c>
      <c r="AJ271" s="208">
        <v>0</v>
      </c>
      <c r="AK271" s="208">
        <v>0</v>
      </c>
      <c r="AL271" s="208">
        <v>0</v>
      </c>
      <c r="AM271" s="208">
        <v>0</v>
      </c>
      <c r="AN271" s="208">
        <v>2266997</v>
      </c>
      <c r="AO271" s="208">
        <v>24743</v>
      </c>
      <c r="AP271" s="208">
        <v>2291740</v>
      </c>
      <c r="AQ271" s="208">
        <v>-55520</v>
      </c>
      <c r="AR271" s="208">
        <v>-819</v>
      </c>
      <c r="AS271" s="208">
        <v>-56339</v>
      </c>
      <c r="AT271" s="208">
        <v>-8188462</v>
      </c>
      <c r="AU271" s="208">
        <v>-44528</v>
      </c>
      <c r="AV271" s="208">
        <v>-8232990</v>
      </c>
      <c r="AW271" s="208">
        <v>63392</v>
      </c>
      <c r="AX271" s="208">
        <v>0</v>
      </c>
      <c r="AY271" s="208">
        <v>63392</v>
      </c>
      <c r="AZ271" s="208">
        <v>-46475</v>
      </c>
      <c r="BA271" s="208">
        <v>0</v>
      </c>
      <c r="BB271" s="208">
        <v>-46475</v>
      </c>
      <c r="BC271" s="208">
        <v>0</v>
      </c>
      <c r="BD271" s="208">
        <v>0</v>
      </c>
      <c r="BE271" s="208">
        <v>0</v>
      </c>
      <c r="BF271" s="208">
        <v>-1505</v>
      </c>
      <c r="BG271" s="208">
        <v>0</v>
      </c>
      <c r="BH271" s="208">
        <v>-1505</v>
      </c>
      <c r="BI271" s="208">
        <v>0</v>
      </c>
      <c r="BJ271" s="208">
        <v>0</v>
      </c>
      <c r="BK271" s="208">
        <v>0</v>
      </c>
      <c r="BL271" s="208">
        <v>-14058462</v>
      </c>
      <c r="BM271" s="208">
        <v>-20604</v>
      </c>
      <c r="BN271" s="208">
        <v>-14079066</v>
      </c>
      <c r="BO271" s="208">
        <v>-549</v>
      </c>
      <c r="BP271" s="208">
        <v>0</v>
      </c>
      <c r="BQ271" s="208">
        <v>-549</v>
      </c>
      <c r="BR271" s="208">
        <v>-25781</v>
      </c>
      <c r="BS271" s="208">
        <v>0</v>
      </c>
      <c r="BT271" s="208">
        <v>-25781</v>
      </c>
      <c r="BU271" s="208">
        <v>-3102817</v>
      </c>
      <c r="BV271" s="208">
        <v>0</v>
      </c>
      <c r="BW271" s="208">
        <v>-3102817</v>
      </c>
      <c r="BX271" s="208">
        <v>-173086</v>
      </c>
      <c r="BY271" s="208">
        <v>0</v>
      </c>
      <c r="BZ271" s="208">
        <v>-173086</v>
      </c>
      <c r="CA271" s="208">
        <v>-3302233</v>
      </c>
      <c r="CB271" s="208">
        <v>0</v>
      </c>
      <c r="CC271" s="208">
        <v>-3302233</v>
      </c>
      <c r="CD271" s="208">
        <v>-57180</v>
      </c>
      <c r="CE271" s="208">
        <v>0</v>
      </c>
      <c r="CF271" s="208">
        <v>-57180</v>
      </c>
      <c r="CG271" s="208">
        <v>-2066</v>
      </c>
      <c r="CH271" s="208">
        <v>0</v>
      </c>
      <c r="CI271" s="208">
        <v>-2066</v>
      </c>
      <c r="CJ271" s="208">
        <v>-118326</v>
      </c>
      <c r="CK271" s="208">
        <v>0</v>
      </c>
      <c r="CL271" s="208">
        <v>-118326</v>
      </c>
      <c r="CM271" s="208">
        <v>1408</v>
      </c>
      <c r="CN271" s="208">
        <v>0</v>
      </c>
      <c r="CO271" s="208">
        <v>1408</v>
      </c>
      <c r="CP271" s="208">
        <v>-493</v>
      </c>
      <c r="CQ271" s="208">
        <v>0</v>
      </c>
      <c r="CR271" s="208">
        <v>-493</v>
      </c>
      <c r="CS271" s="208">
        <v>0</v>
      </c>
      <c r="CT271" s="208">
        <v>0</v>
      </c>
      <c r="CU271" s="208">
        <v>0</v>
      </c>
      <c r="CV271" s="208">
        <v>0</v>
      </c>
      <c r="CW271" s="208">
        <v>0</v>
      </c>
      <c r="CX271" s="208">
        <v>0</v>
      </c>
      <c r="CY271" s="208">
        <v>0</v>
      </c>
      <c r="CZ271" s="208">
        <v>0</v>
      </c>
      <c r="DA271" s="208">
        <v>0</v>
      </c>
      <c r="DB271" s="208">
        <v>0</v>
      </c>
      <c r="DC271" s="208">
        <v>0</v>
      </c>
      <c r="DD271" s="208">
        <v>0</v>
      </c>
      <c r="DE271" s="208">
        <v>0</v>
      </c>
      <c r="DF271" s="208">
        <v>0</v>
      </c>
      <c r="DG271" s="208">
        <v>0</v>
      </c>
      <c r="DH271" s="208">
        <v>0</v>
      </c>
      <c r="DI271" s="208">
        <v>0</v>
      </c>
      <c r="DJ271" s="208">
        <v>0</v>
      </c>
      <c r="DK271" s="208">
        <v>0</v>
      </c>
      <c r="DL271" s="208">
        <v>0</v>
      </c>
      <c r="DM271" s="208">
        <v>0</v>
      </c>
      <c r="DN271" s="208">
        <v>0</v>
      </c>
      <c r="DO271" s="208">
        <v>0</v>
      </c>
      <c r="DP271" s="208">
        <v>-176657</v>
      </c>
      <c r="DQ271" s="208">
        <v>0</v>
      </c>
      <c r="DR271" s="208">
        <v>-176657</v>
      </c>
      <c r="DS271" s="208">
        <v>0</v>
      </c>
      <c r="DT271" s="208">
        <v>0</v>
      </c>
      <c r="DU271" s="208">
        <v>0</v>
      </c>
      <c r="DV271" s="208">
        <v>0</v>
      </c>
      <c r="DW271" s="208">
        <v>0</v>
      </c>
      <c r="DX271" s="208">
        <v>0</v>
      </c>
      <c r="DY271" s="208">
        <v>6623</v>
      </c>
      <c r="DZ271" s="208">
        <v>0</v>
      </c>
      <c r="EA271" s="208">
        <v>6623</v>
      </c>
      <c r="EB271" s="208">
        <v>0</v>
      </c>
      <c r="EC271" s="208">
        <v>0</v>
      </c>
      <c r="ED271" s="208">
        <v>0</v>
      </c>
      <c r="EE271" s="208">
        <v>0</v>
      </c>
      <c r="EF271" s="208">
        <v>0</v>
      </c>
      <c r="EG271" s="208">
        <v>0</v>
      </c>
      <c r="EH271" s="208">
        <v>0</v>
      </c>
      <c r="EI271" s="208">
        <v>0</v>
      </c>
      <c r="EJ271" s="208">
        <v>0</v>
      </c>
      <c r="EK271" s="208">
        <v>-1505</v>
      </c>
      <c r="EL271" s="208">
        <v>0</v>
      </c>
      <c r="EM271" s="208">
        <v>-1505</v>
      </c>
      <c r="EN271" s="208">
        <v>0</v>
      </c>
      <c r="EO271" s="208">
        <v>0</v>
      </c>
      <c r="EP271" s="208">
        <v>0</v>
      </c>
      <c r="EQ271" s="208">
        <v>-554.79</v>
      </c>
      <c r="ER271" s="208">
        <v>0</v>
      </c>
      <c r="ES271" s="208">
        <v>-554.79</v>
      </c>
      <c r="ET271" s="208">
        <v>0</v>
      </c>
      <c r="EU271" s="208">
        <v>0</v>
      </c>
      <c r="EV271" s="208">
        <v>0</v>
      </c>
      <c r="EW271" s="208">
        <v>-29739.14</v>
      </c>
      <c r="EX271" s="208">
        <v>0</v>
      </c>
      <c r="EY271" s="208">
        <v>-29739.14</v>
      </c>
      <c r="EZ271" s="208">
        <v>88.38</v>
      </c>
      <c r="FA271" s="208">
        <v>0</v>
      </c>
      <c r="FB271" s="208">
        <v>88.38</v>
      </c>
      <c r="FC271" s="208">
        <v>-231022.1</v>
      </c>
      <c r="FD271" s="208">
        <v>-878</v>
      </c>
      <c r="FE271" s="208">
        <v>-231900.1</v>
      </c>
      <c r="FF271" s="208">
        <v>2500.98</v>
      </c>
      <c r="FG271" s="208">
        <v>0</v>
      </c>
      <c r="FH271" s="208">
        <v>2500.98</v>
      </c>
      <c r="FI271" s="208">
        <v>-73893.14</v>
      </c>
      <c r="FJ271" s="208">
        <v>0</v>
      </c>
      <c r="FK271" s="208">
        <v>-73893.14</v>
      </c>
      <c r="FL271" s="208">
        <v>-942.48</v>
      </c>
      <c r="FM271" s="208">
        <v>0</v>
      </c>
      <c r="FN271" s="208">
        <v>-942.48</v>
      </c>
      <c r="FO271" s="208">
        <v>0</v>
      </c>
      <c r="FP271" s="208">
        <v>0</v>
      </c>
      <c r="FQ271" s="208">
        <v>0</v>
      </c>
      <c r="FR271" s="208">
        <v>0</v>
      </c>
      <c r="FS271" s="208">
        <v>0</v>
      </c>
      <c r="FT271" s="208">
        <v>0</v>
      </c>
      <c r="FU271" s="208">
        <v>-328444</v>
      </c>
      <c r="FV271" s="208">
        <v>-878</v>
      </c>
      <c r="FW271" s="208">
        <v>-329322</v>
      </c>
      <c r="FX271" s="208">
        <v>0</v>
      </c>
      <c r="FY271" s="208">
        <v>0</v>
      </c>
      <c r="FZ271" s="208">
        <v>0</v>
      </c>
      <c r="GA271" s="208">
        <v>0</v>
      </c>
      <c r="GB271" s="208">
        <v>0</v>
      </c>
      <c r="GC271" s="208">
        <v>0</v>
      </c>
      <c r="GD271" s="208">
        <v>0</v>
      </c>
      <c r="GE271" s="208">
        <v>0</v>
      </c>
      <c r="GF271" s="208">
        <v>0</v>
      </c>
      <c r="GG271" s="208">
        <v>107747931</v>
      </c>
      <c r="GH271" s="208">
        <v>910525</v>
      </c>
      <c r="GI271" s="208">
        <v>108658456</v>
      </c>
      <c r="GJ271" s="208">
        <v>2336523</v>
      </c>
      <c r="GK271" s="208">
        <v>72</v>
      </c>
      <c r="GL271" s="208">
        <v>2336595</v>
      </c>
      <c r="GM271" s="208">
        <v>-14058462</v>
      </c>
      <c r="GN271" s="208">
        <v>-20604</v>
      </c>
      <c r="GO271" s="208">
        <v>-14079066</v>
      </c>
      <c r="GP271" s="208">
        <v>-3302233</v>
      </c>
      <c r="GQ271" s="208">
        <v>0</v>
      </c>
      <c r="GR271" s="208">
        <v>-3302233</v>
      </c>
      <c r="GS271" s="208">
        <v>-176657</v>
      </c>
      <c r="GT271" s="208">
        <v>0</v>
      </c>
      <c r="GU271" s="208">
        <v>-176657</v>
      </c>
      <c r="GV271" s="208">
        <v>-328444</v>
      </c>
      <c r="GW271" s="208">
        <v>-878</v>
      </c>
      <c r="GX271" s="208">
        <v>-329322</v>
      </c>
      <c r="GY271" s="208">
        <v>0</v>
      </c>
      <c r="GZ271" s="208">
        <v>0</v>
      </c>
      <c r="HA271" s="208">
        <v>0</v>
      </c>
      <c r="HB271" s="208">
        <v>-15529273</v>
      </c>
      <c r="HC271" s="208">
        <v>-21410</v>
      </c>
      <c r="HD271" s="208">
        <v>-15550683</v>
      </c>
      <c r="HE271" s="208">
        <v>92218658</v>
      </c>
      <c r="HF271" s="208">
        <v>889115</v>
      </c>
      <c r="HG271" s="208">
        <v>93107773</v>
      </c>
      <c r="HH271" s="187" t="s">
        <v>1056</v>
      </c>
    </row>
    <row r="272" spans="1:216" s="187" customFormat="1" x14ac:dyDescent="0.2">
      <c r="B272" s="429" t="s">
        <v>622</v>
      </c>
      <c r="C272" s="429" t="s">
        <v>621</v>
      </c>
      <c r="D272" s="208">
        <v>-583793</v>
      </c>
      <c r="E272" s="208">
        <v>0</v>
      </c>
      <c r="F272" s="208">
        <v>-583793</v>
      </c>
      <c r="G272" s="208">
        <v>5123</v>
      </c>
      <c r="H272" s="208">
        <v>0</v>
      </c>
      <c r="I272" s="208">
        <v>5123</v>
      </c>
      <c r="J272" s="208">
        <v>834552</v>
      </c>
      <c r="K272" s="208">
        <v>0</v>
      </c>
      <c r="L272" s="208">
        <v>834552</v>
      </c>
      <c r="M272" s="208">
        <v>-15845</v>
      </c>
      <c r="N272" s="208">
        <v>0</v>
      </c>
      <c r="O272" s="208">
        <v>-15845</v>
      </c>
      <c r="P272" s="208">
        <v>240037</v>
      </c>
      <c r="Q272" s="208">
        <v>0</v>
      </c>
      <c r="R272" s="208">
        <v>240037</v>
      </c>
      <c r="S272" s="208">
        <v>-2825493</v>
      </c>
      <c r="T272" s="208">
        <v>0</v>
      </c>
      <c r="U272" s="208">
        <v>-2825493</v>
      </c>
      <c r="V272" s="208">
        <v>-15412</v>
      </c>
      <c r="W272" s="208">
        <v>0</v>
      </c>
      <c r="X272" s="208">
        <v>-15412</v>
      </c>
      <c r="Y272" s="208">
        <v>-122482</v>
      </c>
      <c r="Z272" s="208">
        <v>0</v>
      </c>
      <c r="AA272" s="208">
        <v>-122482</v>
      </c>
      <c r="AB272" s="208">
        <v>-27689</v>
      </c>
      <c r="AC272" s="208">
        <v>0</v>
      </c>
      <c r="AD272" s="208">
        <v>-27689</v>
      </c>
      <c r="AE272" s="208">
        <v>-94793</v>
      </c>
      <c r="AF272" s="208">
        <v>0</v>
      </c>
      <c r="AG272" s="208">
        <v>-94793</v>
      </c>
      <c r="AH272" s="208">
        <v>0</v>
      </c>
      <c r="AI272" s="208">
        <v>0</v>
      </c>
      <c r="AJ272" s="208">
        <v>0</v>
      </c>
      <c r="AK272" s="208">
        <v>-1732</v>
      </c>
      <c r="AL272" s="208">
        <v>0</v>
      </c>
      <c r="AM272" s="208">
        <v>-1732</v>
      </c>
      <c r="AN272" s="208">
        <v>874946</v>
      </c>
      <c r="AO272" s="208">
        <v>0</v>
      </c>
      <c r="AP272" s="208">
        <v>874946</v>
      </c>
      <c r="AQ272" s="208">
        <v>-2878</v>
      </c>
      <c r="AR272" s="208">
        <v>0</v>
      </c>
      <c r="AS272" s="208">
        <v>-2878</v>
      </c>
      <c r="AT272" s="208">
        <v>-1733476</v>
      </c>
      <c r="AU272" s="208">
        <v>0</v>
      </c>
      <c r="AV272" s="208">
        <v>-1733476</v>
      </c>
      <c r="AW272" s="208">
        <v>0</v>
      </c>
      <c r="AX272" s="208">
        <v>0</v>
      </c>
      <c r="AY272" s="208">
        <v>0</v>
      </c>
      <c r="AZ272" s="208">
        <v>-5768</v>
      </c>
      <c r="BA272" s="208">
        <v>0</v>
      </c>
      <c r="BB272" s="208">
        <v>-5768</v>
      </c>
      <c r="BC272" s="208">
        <v>0</v>
      </c>
      <c r="BD272" s="208">
        <v>0</v>
      </c>
      <c r="BE272" s="208">
        <v>0</v>
      </c>
      <c r="BF272" s="208">
        <v>0</v>
      </c>
      <c r="BG272" s="208">
        <v>0</v>
      </c>
      <c r="BH272" s="208">
        <v>0</v>
      </c>
      <c r="BI272" s="208">
        <v>0</v>
      </c>
      <c r="BJ272" s="208">
        <v>0</v>
      </c>
      <c r="BK272" s="208">
        <v>0</v>
      </c>
      <c r="BL272" s="208">
        <v>-3815151</v>
      </c>
      <c r="BM272" s="208">
        <v>0</v>
      </c>
      <c r="BN272" s="208">
        <v>-3815151</v>
      </c>
      <c r="BO272" s="208">
        <v>0</v>
      </c>
      <c r="BP272" s="208">
        <v>0</v>
      </c>
      <c r="BQ272" s="208">
        <v>0</v>
      </c>
      <c r="BR272" s="208">
        <v>363</v>
      </c>
      <c r="BS272" s="208">
        <v>0</v>
      </c>
      <c r="BT272" s="208">
        <v>363</v>
      </c>
      <c r="BU272" s="208">
        <v>-1048473</v>
      </c>
      <c r="BV272" s="208">
        <v>0</v>
      </c>
      <c r="BW272" s="208">
        <v>-1048473</v>
      </c>
      <c r="BX272" s="208">
        <v>-50137</v>
      </c>
      <c r="BY272" s="208">
        <v>0</v>
      </c>
      <c r="BZ272" s="208">
        <v>-50137</v>
      </c>
      <c r="CA272" s="208">
        <v>-1098247</v>
      </c>
      <c r="CB272" s="208">
        <v>0</v>
      </c>
      <c r="CC272" s="208">
        <v>-1098247</v>
      </c>
      <c r="CD272" s="208">
        <v>-94782</v>
      </c>
      <c r="CE272" s="208">
        <v>0</v>
      </c>
      <c r="CF272" s="208">
        <v>-94782</v>
      </c>
      <c r="CG272" s="208">
        <v>0</v>
      </c>
      <c r="CH272" s="208">
        <v>0</v>
      </c>
      <c r="CI272" s="208">
        <v>0</v>
      </c>
      <c r="CJ272" s="208">
        <v>-186150</v>
      </c>
      <c r="CK272" s="208">
        <v>0</v>
      </c>
      <c r="CL272" s="208">
        <v>-186150</v>
      </c>
      <c r="CM272" s="208">
        <v>0</v>
      </c>
      <c r="CN272" s="208">
        <v>0</v>
      </c>
      <c r="CO272" s="208">
        <v>0</v>
      </c>
      <c r="CP272" s="208">
        <v>-1442</v>
      </c>
      <c r="CQ272" s="208">
        <v>0</v>
      </c>
      <c r="CR272" s="208">
        <v>-1442</v>
      </c>
      <c r="CS272" s="208">
        <v>0</v>
      </c>
      <c r="CT272" s="208">
        <v>0</v>
      </c>
      <c r="CU272" s="208">
        <v>0</v>
      </c>
      <c r="CV272" s="208">
        <v>0</v>
      </c>
      <c r="CW272" s="208">
        <v>0</v>
      </c>
      <c r="CX272" s="208">
        <v>0</v>
      </c>
      <c r="CY272" s="208">
        <v>0</v>
      </c>
      <c r="CZ272" s="208">
        <v>0</v>
      </c>
      <c r="DA272" s="208">
        <v>0</v>
      </c>
      <c r="DB272" s="208">
        <v>0</v>
      </c>
      <c r="DC272" s="208">
        <v>0</v>
      </c>
      <c r="DD272" s="208">
        <v>0</v>
      </c>
      <c r="DE272" s="208">
        <v>0</v>
      </c>
      <c r="DF272" s="208">
        <v>0</v>
      </c>
      <c r="DG272" s="208">
        <v>0</v>
      </c>
      <c r="DH272" s="208">
        <v>0</v>
      </c>
      <c r="DI272" s="208">
        <v>0</v>
      </c>
      <c r="DJ272" s="208">
        <v>0</v>
      </c>
      <c r="DK272" s="208">
        <v>0</v>
      </c>
      <c r="DL272" s="208">
        <v>0</v>
      </c>
      <c r="DM272" s="208">
        <v>0</v>
      </c>
      <c r="DN272" s="208">
        <v>0</v>
      </c>
      <c r="DO272" s="208">
        <v>0</v>
      </c>
      <c r="DP272" s="208">
        <v>-282374</v>
      </c>
      <c r="DQ272" s="208">
        <v>0</v>
      </c>
      <c r="DR272" s="208">
        <v>-282374</v>
      </c>
      <c r="DS272" s="208">
        <v>0</v>
      </c>
      <c r="DT272" s="208">
        <v>0</v>
      </c>
      <c r="DU272" s="208">
        <v>0</v>
      </c>
      <c r="DV272" s="208">
        <v>0</v>
      </c>
      <c r="DW272" s="208">
        <v>0</v>
      </c>
      <c r="DX272" s="208">
        <v>0</v>
      </c>
      <c r="DY272" s="208">
        <v>0</v>
      </c>
      <c r="DZ272" s="208">
        <v>0</v>
      </c>
      <c r="EA272" s="208">
        <v>0</v>
      </c>
      <c r="EB272" s="208">
        <v>0</v>
      </c>
      <c r="EC272" s="208">
        <v>0</v>
      </c>
      <c r="ED272" s="208">
        <v>0</v>
      </c>
      <c r="EE272" s="208">
        <v>0</v>
      </c>
      <c r="EF272" s="208">
        <v>0</v>
      </c>
      <c r="EG272" s="208">
        <v>0</v>
      </c>
      <c r="EH272" s="208">
        <v>0</v>
      </c>
      <c r="EI272" s="208">
        <v>0</v>
      </c>
      <c r="EJ272" s="208">
        <v>0</v>
      </c>
      <c r="EK272" s="208">
        <v>0</v>
      </c>
      <c r="EL272" s="208">
        <v>0</v>
      </c>
      <c r="EM272" s="208">
        <v>0</v>
      </c>
      <c r="EN272" s="208">
        <v>0</v>
      </c>
      <c r="EO272" s="208">
        <v>0</v>
      </c>
      <c r="EP272" s="208">
        <v>0</v>
      </c>
      <c r="EQ272" s="208">
        <v>0</v>
      </c>
      <c r="ER272" s="208">
        <v>0</v>
      </c>
      <c r="ES272" s="208">
        <v>0</v>
      </c>
      <c r="ET272" s="208">
        <v>0</v>
      </c>
      <c r="EU272" s="208">
        <v>0</v>
      </c>
      <c r="EV272" s="208">
        <v>0</v>
      </c>
      <c r="EW272" s="208">
        <v>-20118</v>
      </c>
      <c r="EX272" s="208">
        <v>0</v>
      </c>
      <c r="EY272" s="208">
        <v>-20118</v>
      </c>
      <c r="EZ272" s="208">
        <v>0</v>
      </c>
      <c r="FA272" s="208">
        <v>0</v>
      </c>
      <c r="FB272" s="208">
        <v>0</v>
      </c>
      <c r="FC272" s="208">
        <v>-104199</v>
      </c>
      <c r="FD272" s="208">
        <v>0</v>
      </c>
      <c r="FE272" s="208">
        <v>-104199</v>
      </c>
      <c r="FF272" s="208">
        <v>0</v>
      </c>
      <c r="FG272" s="208">
        <v>0</v>
      </c>
      <c r="FH272" s="208">
        <v>0</v>
      </c>
      <c r="FI272" s="208">
        <v>-17775</v>
      </c>
      <c r="FJ272" s="208">
        <v>0</v>
      </c>
      <c r="FK272" s="208">
        <v>-17775</v>
      </c>
      <c r="FL272" s="208">
        <v>-362</v>
      </c>
      <c r="FM272" s="208">
        <v>0</v>
      </c>
      <c r="FN272" s="208">
        <v>-362</v>
      </c>
      <c r="FO272" s="208">
        <v>0</v>
      </c>
      <c r="FP272" s="208">
        <v>0</v>
      </c>
      <c r="FQ272" s="208">
        <v>0</v>
      </c>
      <c r="FR272" s="208">
        <v>0</v>
      </c>
      <c r="FS272" s="208">
        <v>0</v>
      </c>
      <c r="FT272" s="208">
        <v>0</v>
      </c>
      <c r="FU272" s="208">
        <v>-142454</v>
      </c>
      <c r="FV272" s="208">
        <v>0</v>
      </c>
      <c r="FW272" s="208">
        <v>-142454</v>
      </c>
      <c r="FX272" s="208">
        <v>0</v>
      </c>
      <c r="FY272" s="208">
        <v>0</v>
      </c>
      <c r="FZ272" s="208">
        <v>0</v>
      </c>
      <c r="GA272" s="208">
        <v>0</v>
      </c>
      <c r="GB272" s="208">
        <v>0</v>
      </c>
      <c r="GC272" s="208">
        <v>0</v>
      </c>
      <c r="GD272" s="208">
        <v>0</v>
      </c>
      <c r="GE272" s="208">
        <v>0</v>
      </c>
      <c r="GF272" s="208">
        <v>0</v>
      </c>
      <c r="GG272" s="208">
        <v>42280508</v>
      </c>
      <c r="GH272" s="208">
        <v>0</v>
      </c>
      <c r="GI272" s="208">
        <v>42280508</v>
      </c>
      <c r="GJ272" s="208">
        <v>240037</v>
      </c>
      <c r="GK272" s="208">
        <v>0</v>
      </c>
      <c r="GL272" s="208">
        <v>240037</v>
      </c>
      <c r="GM272" s="208">
        <v>-3815151</v>
      </c>
      <c r="GN272" s="208">
        <v>0</v>
      </c>
      <c r="GO272" s="208">
        <v>-3815151</v>
      </c>
      <c r="GP272" s="208">
        <v>-1098247</v>
      </c>
      <c r="GQ272" s="208">
        <v>0</v>
      </c>
      <c r="GR272" s="208">
        <v>-1098247</v>
      </c>
      <c r="GS272" s="208">
        <v>-282374</v>
      </c>
      <c r="GT272" s="208">
        <v>0</v>
      </c>
      <c r="GU272" s="208">
        <v>-282374</v>
      </c>
      <c r="GV272" s="208">
        <v>-142454</v>
      </c>
      <c r="GW272" s="208">
        <v>0</v>
      </c>
      <c r="GX272" s="208">
        <v>-142454</v>
      </c>
      <c r="GY272" s="208">
        <v>0</v>
      </c>
      <c r="GZ272" s="208">
        <v>0</v>
      </c>
      <c r="HA272" s="208">
        <v>0</v>
      </c>
      <c r="HB272" s="208">
        <v>-5098189</v>
      </c>
      <c r="HC272" s="208">
        <v>0</v>
      </c>
      <c r="HD272" s="208">
        <v>-5098189</v>
      </c>
      <c r="HE272" s="208">
        <v>37182319</v>
      </c>
      <c r="HF272" s="208">
        <v>0</v>
      </c>
      <c r="HG272" s="208">
        <v>37182319</v>
      </c>
      <c r="HH272" s="187" t="s">
        <v>1054</v>
      </c>
    </row>
    <row r="273" spans="2:216" s="187" customFormat="1" x14ac:dyDescent="0.2">
      <c r="B273" s="429" t="s">
        <v>624</v>
      </c>
      <c r="C273" s="429" t="s">
        <v>623</v>
      </c>
      <c r="D273" s="208">
        <v>-1256344</v>
      </c>
      <c r="E273" s="208">
        <v>0</v>
      </c>
      <c r="F273" s="208">
        <v>-1256344</v>
      </c>
      <c r="G273" s="208">
        <v>119801</v>
      </c>
      <c r="H273" s="208">
        <v>0</v>
      </c>
      <c r="I273" s="208">
        <v>119801</v>
      </c>
      <c r="J273" s="208">
        <v>1000859</v>
      </c>
      <c r="K273" s="208">
        <v>0</v>
      </c>
      <c r="L273" s="208">
        <v>1000859</v>
      </c>
      <c r="M273" s="208">
        <v>273686</v>
      </c>
      <c r="N273" s="208">
        <v>0</v>
      </c>
      <c r="O273" s="208">
        <v>273686</v>
      </c>
      <c r="P273" s="208">
        <v>138002</v>
      </c>
      <c r="Q273" s="208">
        <v>0</v>
      </c>
      <c r="R273" s="208">
        <v>138002</v>
      </c>
      <c r="S273" s="208">
        <v>-4803219</v>
      </c>
      <c r="T273" s="208">
        <v>0</v>
      </c>
      <c r="U273" s="208">
        <v>-4803219</v>
      </c>
      <c r="V273" s="208">
        <v>-10528</v>
      </c>
      <c r="W273" s="208">
        <v>0</v>
      </c>
      <c r="X273" s="208">
        <v>-10528</v>
      </c>
      <c r="Y273" s="208">
        <v>-121094</v>
      </c>
      <c r="Z273" s="208">
        <v>0</v>
      </c>
      <c r="AA273" s="208">
        <v>-121094</v>
      </c>
      <c r="AB273" s="208">
        <v>-20050</v>
      </c>
      <c r="AC273" s="208">
        <v>0</v>
      </c>
      <c r="AD273" s="208">
        <v>-20050</v>
      </c>
      <c r="AE273" s="208">
        <v>-101017</v>
      </c>
      <c r="AF273" s="208">
        <v>0</v>
      </c>
      <c r="AG273" s="208">
        <v>-101017</v>
      </c>
      <c r="AH273" s="208">
        <v>0</v>
      </c>
      <c r="AI273" s="208">
        <v>0</v>
      </c>
      <c r="AJ273" s="208">
        <v>0</v>
      </c>
      <c r="AK273" s="208">
        <v>-26</v>
      </c>
      <c r="AL273" s="208">
        <v>0</v>
      </c>
      <c r="AM273" s="208">
        <v>-26</v>
      </c>
      <c r="AN273" s="208">
        <v>1340273</v>
      </c>
      <c r="AO273" s="208">
        <v>0</v>
      </c>
      <c r="AP273" s="208">
        <v>1340273</v>
      </c>
      <c r="AQ273" s="208">
        <v>-5411</v>
      </c>
      <c r="AR273" s="208">
        <v>0</v>
      </c>
      <c r="AS273" s="208">
        <v>-5411</v>
      </c>
      <c r="AT273" s="208">
        <v>-6898058</v>
      </c>
      <c r="AU273" s="208">
        <v>0</v>
      </c>
      <c r="AV273" s="208">
        <v>-6898058</v>
      </c>
      <c r="AW273" s="208">
        <v>-395148</v>
      </c>
      <c r="AX273" s="208">
        <v>0</v>
      </c>
      <c r="AY273" s="208">
        <v>-395148</v>
      </c>
      <c r="AZ273" s="208">
        <v>-36719</v>
      </c>
      <c r="BA273" s="208">
        <v>0</v>
      </c>
      <c r="BB273" s="208">
        <v>-36719</v>
      </c>
      <c r="BC273" s="208">
        <v>0</v>
      </c>
      <c r="BD273" s="208">
        <v>0</v>
      </c>
      <c r="BE273" s="208">
        <v>0</v>
      </c>
      <c r="BF273" s="208">
        <v>0</v>
      </c>
      <c r="BG273" s="208">
        <v>0</v>
      </c>
      <c r="BH273" s="208">
        <v>0</v>
      </c>
      <c r="BI273" s="208">
        <v>0</v>
      </c>
      <c r="BJ273" s="208">
        <v>0</v>
      </c>
      <c r="BK273" s="208">
        <v>0</v>
      </c>
      <c r="BL273" s="208">
        <v>-10919376</v>
      </c>
      <c r="BM273" s="208">
        <v>0</v>
      </c>
      <c r="BN273" s="208">
        <v>-10919376</v>
      </c>
      <c r="BO273" s="208">
        <v>-38586</v>
      </c>
      <c r="BP273" s="208">
        <v>0</v>
      </c>
      <c r="BQ273" s="208">
        <v>-38586</v>
      </c>
      <c r="BR273" s="208">
        <v>-4793</v>
      </c>
      <c r="BS273" s="208">
        <v>0</v>
      </c>
      <c r="BT273" s="208">
        <v>-4793</v>
      </c>
      <c r="BU273" s="208">
        <v>-963968</v>
      </c>
      <c r="BV273" s="208">
        <v>0</v>
      </c>
      <c r="BW273" s="208">
        <v>-963968</v>
      </c>
      <c r="BX273" s="208">
        <v>-53528</v>
      </c>
      <c r="BY273" s="208">
        <v>0</v>
      </c>
      <c r="BZ273" s="208">
        <v>-53528</v>
      </c>
      <c r="CA273" s="208">
        <v>-1060875</v>
      </c>
      <c r="CB273" s="208">
        <v>0</v>
      </c>
      <c r="CC273" s="208">
        <v>-1060875</v>
      </c>
      <c r="CD273" s="208">
        <v>0</v>
      </c>
      <c r="CE273" s="208">
        <v>0</v>
      </c>
      <c r="CF273" s="208">
        <v>0</v>
      </c>
      <c r="CG273" s="208">
        <v>-1091</v>
      </c>
      <c r="CH273" s="208">
        <v>0</v>
      </c>
      <c r="CI273" s="208">
        <v>-1091</v>
      </c>
      <c r="CJ273" s="208">
        <v>-89782</v>
      </c>
      <c r="CK273" s="208">
        <v>0</v>
      </c>
      <c r="CL273" s="208">
        <v>-89782</v>
      </c>
      <c r="CM273" s="208">
        <v>0</v>
      </c>
      <c r="CN273" s="208">
        <v>0</v>
      </c>
      <c r="CO273" s="208">
        <v>0</v>
      </c>
      <c r="CP273" s="208">
        <v>0</v>
      </c>
      <c r="CQ273" s="208">
        <v>0</v>
      </c>
      <c r="CR273" s="208">
        <v>0</v>
      </c>
      <c r="CS273" s="208">
        <v>0</v>
      </c>
      <c r="CT273" s="208">
        <v>0</v>
      </c>
      <c r="CU273" s="208">
        <v>0</v>
      </c>
      <c r="CV273" s="208">
        <v>0</v>
      </c>
      <c r="CW273" s="208">
        <v>0</v>
      </c>
      <c r="CX273" s="208">
        <v>0</v>
      </c>
      <c r="CY273" s="208">
        <v>0</v>
      </c>
      <c r="CZ273" s="208">
        <v>0</v>
      </c>
      <c r="DA273" s="208">
        <v>0</v>
      </c>
      <c r="DB273" s="208">
        <v>0</v>
      </c>
      <c r="DC273" s="208">
        <v>0</v>
      </c>
      <c r="DD273" s="208">
        <v>0</v>
      </c>
      <c r="DE273" s="208">
        <v>0</v>
      </c>
      <c r="DF273" s="208">
        <v>0</v>
      </c>
      <c r="DG273" s="208">
        <v>0</v>
      </c>
      <c r="DH273" s="208">
        <v>0</v>
      </c>
      <c r="DI273" s="208">
        <v>0</v>
      </c>
      <c r="DJ273" s="208">
        <v>0</v>
      </c>
      <c r="DK273" s="208">
        <v>0</v>
      </c>
      <c r="DL273" s="208">
        <v>0</v>
      </c>
      <c r="DM273" s="208">
        <v>0</v>
      </c>
      <c r="DN273" s="208">
        <v>0</v>
      </c>
      <c r="DO273" s="208">
        <v>0</v>
      </c>
      <c r="DP273" s="208">
        <v>-90873</v>
      </c>
      <c r="DQ273" s="208">
        <v>0</v>
      </c>
      <c r="DR273" s="208">
        <v>-90873</v>
      </c>
      <c r="DS273" s="208">
        <v>0</v>
      </c>
      <c r="DT273" s="208">
        <v>0</v>
      </c>
      <c r="DU273" s="208">
        <v>0</v>
      </c>
      <c r="DV273" s="208">
        <v>0</v>
      </c>
      <c r="DW273" s="208">
        <v>0</v>
      </c>
      <c r="DX273" s="208">
        <v>0</v>
      </c>
      <c r="DY273" s="208">
        <v>0</v>
      </c>
      <c r="DZ273" s="208">
        <v>0</v>
      </c>
      <c r="EA273" s="208">
        <v>0</v>
      </c>
      <c r="EB273" s="208">
        <v>0</v>
      </c>
      <c r="EC273" s="208">
        <v>0</v>
      </c>
      <c r="ED273" s="208">
        <v>0</v>
      </c>
      <c r="EE273" s="208">
        <v>0</v>
      </c>
      <c r="EF273" s="208">
        <v>0</v>
      </c>
      <c r="EG273" s="208">
        <v>0</v>
      </c>
      <c r="EH273" s="208">
        <v>0</v>
      </c>
      <c r="EI273" s="208">
        <v>0</v>
      </c>
      <c r="EJ273" s="208">
        <v>0</v>
      </c>
      <c r="EK273" s="208">
        <v>0</v>
      </c>
      <c r="EL273" s="208">
        <v>0</v>
      </c>
      <c r="EM273" s="208">
        <v>0</v>
      </c>
      <c r="EN273" s="208">
        <v>0</v>
      </c>
      <c r="EO273" s="208">
        <v>0</v>
      </c>
      <c r="EP273" s="208">
        <v>0</v>
      </c>
      <c r="EQ273" s="208">
        <v>0</v>
      </c>
      <c r="ER273" s="208">
        <v>0</v>
      </c>
      <c r="ES273" s="208">
        <v>0</v>
      </c>
      <c r="ET273" s="208">
        <v>0</v>
      </c>
      <c r="EU273" s="208">
        <v>0</v>
      </c>
      <c r="EV273" s="208">
        <v>0</v>
      </c>
      <c r="EW273" s="208">
        <v>-14448</v>
      </c>
      <c r="EX273" s="208">
        <v>0</v>
      </c>
      <c r="EY273" s="208">
        <v>-14448</v>
      </c>
      <c r="EZ273" s="208">
        <v>3094</v>
      </c>
      <c r="FA273" s="208">
        <v>0</v>
      </c>
      <c r="FB273" s="208">
        <v>3094</v>
      </c>
      <c r="FC273" s="208">
        <v>-210504</v>
      </c>
      <c r="FD273" s="208">
        <v>0</v>
      </c>
      <c r="FE273" s="208">
        <v>-210504</v>
      </c>
      <c r="FF273" s="208">
        <v>6128</v>
      </c>
      <c r="FG273" s="208">
        <v>0</v>
      </c>
      <c r="FH273" s="208">
        <v>6128</v>
      </c>
      <c r="FI273" s="208">
        <v>-17687</v>
      </c>
      <c r="FJ273" s="208">
        <v>0</v>
      </c>
      <c r="FK273" s="208">
        <v>-17687</v>
      </c>
      <c r="FL273" s="208">
        <v>0</v>
      </c>
      <c r="FM273" s="208">
        <v>0</v>
      </c>
      <c r="FN273" s="208">
        <v>0</v>
      </c>
      <c r="FO273" s="208">
        <v>0</v>
      </c>
      <c r="FP273" s="208">
        <v>0</v>
      </c>
      <c r="FQ273" s="208">
        <v>0</v>
      </c>
      <c r="FR273" s="208">
        <v>0</v>
      </c>
      <c r="FS273" s="208">
        <v>0</v>
      </c>
      <c r="FT273" s="208">
        <v>0</v>
      </c>
      <c r="FU273" s="208">
        <v>-233417</v>
      </c>
      <c r="FV273" s="208">
        <v>0</v>
      </c>
      <c r="FW273" s="208">
        <v>-233417</v>
      </c>
      <c r="FX273" s="208">
        <v>0</v>
      </c>
      <c r="FY273" s="208">
        <v>0</v>
      </c>
      <c r="FZ273" s="208">
        <v>0</v>
      </c>
      <c r="GA273" s="208">
        <v>0</v>
      </c>
      <c r="GB273" s="208">
        <v>0</v>
      </c>
      <c r="GC273" s="208">
        <v>0</v>
      </c>
      <c r="GD273" s="208">
        <v>0</v>
      </c>
      <c r="GE273" s="208">
        <v>0</v>
      </c>
      <c r="GF273" s="208">
        <v>0</v>
      </c>
      <c r="GG273" s="208">
        <v>67365678</v>
      </c>
      <c r="GH273" s="208">
        <v>0</v>
      </c>
      <c r="GI273" s="208">
        <v>67365678</v>
      </c>
      <c r="GJ273" s="208">
        <v>138002</v>
      </c>
      <c r="GK273" s="208">
        <v>0</v>
      </c>
      <c r="GL273" s="208">
        <v>138002</v>
      </c>
      <c r="GM273" s="208">
        <v>-10919376</v>
      </c>
      <c r="GN273" s="208">
        <v>0</v>
      </c>
      <c r="GO273" s="208">
        <v>-10919376</v>
      </c>
      <c r="GP273" s="208">
        <v>-1060875</v>
      </c>
      <c r="GQ273" s="208">
        <v>0</v>
      </c>
      <c r="GR273" s="208">
        <v>-1060875</v>
      </c>
      <c r="GS273" s="208">
        <v>-90873</v>
      </c>
      <c r="GT273" s="208">
        <v>0</v>
      </c>
      <c r="GU273" s="208">
        <v>-90873</v>
      </c>
      <c r="GV273" s="208">
        <v>-233417</v>
      </c>
      <c r="GW273" s="208">
        <v>0</v>
      </c>
      <c r="GX273" s="208">
        <v>-233417</v>
      </c>
      <c r="GY273" s="208">
        <v>0</v>
      </c>
      <c r="GZ273" s="208">
        <v>0</v>
      </c>
      <c r="HA273" s="208">
        <v>0</v>
      </c>
      <c r="HB273" s="208">
        <v>-12166539</v>
      </c>
      <c r="HC273" s="208">
        <v>0</v>
      </c>
      <c r="HD273" s="208">
        <v>-12166539</v>
      </c>
      <c r="HE273" s="208">
        <v>55199139</v>
      </c>
      <c r="HF273" s="208">
        <v>0</v>
      </c>
      <c r="HG273" s="208">
        <v>55199139</v>
      </c>
      <c r="HH273" s="187" t="s">
        <v>1055</v>
      </c>
    </row>
    <row r="274" spans="2:216" s="187" customFormat="1" x14ac:dyDescent="0.2">
      <c r="B274" s="429" t="s">
        <v>626</v>
      </c>
      <c r="C274" s="429" t="s">
        <v>625</v>
      </c>
      <c r="D274" s="208">
        <v>-1092980</v>
      </c>
      <c r="E274" s="208">
        <v>0</v>
      </c>
      <c r="F274" s="208">
        <v>-1092980</v>
      </c>
      <c r="G274" s="208">
        <v>43686</v>
      </c>
      <c r="H274" s="208">
        <v>0</v>
      </c>
      <c r="I274" s="208">
        <v>43686</v>
      </c>
      <c r="J274" s="208">
        <v>690050</v>
      </c>
      <c r="K274" s="208">
        <v>0</v>
      </c>
      <c r="L274" s="208">
        <v>690050</v>
      </c>
      <c r="M274" s="208">
        <v>-228338</v>
      </c>
      <c r="N274" s="208">
        <v>0</v>
      </c>
      <c r="O274" s="208">
        <v>-228338</v>
      </c>
      <c r="P274" s="208">
        <v>-587582</v>
      </c>
      <c r="Q274" s="208">
        <v>0</v>
      </c>
      <c r="R274" s="208">
        <v>-587582</v>
      </c>
      <c r="S274" s="208">
        <v>-5521357</v>
      </c>
      <c r="T274" s="208">
        <v>0</v>
      </c>
      <c r="U274" s="208">
        <v>-5521357</v>
      </c>
      <c r="V274" s="208">
        <v>-10355</v>
      </c>
      <c r="W274" s="208">
        <v>0</v>
      </c>
      <c r="X274" s="208">
        <v>-10355</v>
      </c>
      <c r="Y274" s="208">
        <v>-136555</v>
      </c>
      <c r="Z274" s="208">
        <v>0</v>
      </c>
      <c r="AA274" s="208">
        <v>-136555</v>
      </c>
      <c r="AB274" s="208">
        <v>-44761</v>
      </c>
      <c r="AC274" s="208">
        <v>0</v>
      </c>
      <c r="AD274" s="208">
        <v>-44761</v>
      </c>
      <c r="AE274" s="208">
        <v>-91794</v>
      </c>
      <c r="AF274" s="208">
        <v>0</v>
      </c>
      <c r="AG274" s="208">
        <v>-91794</v>
      </c>
      <c r="AH274" s="208">
        <v>-530</v>
      </c>
      <c r="AI274" s="208">
        <v>0</v>
      </c>
      <c r="AJ274" s="208">
        <v>-530</v>
      </c>
      <c r="AK274" s="208">
        <v>-116</v>
      </c>
      <c r="AL274" s="208">
        <v>0</v>
      </c>
      <c r="AM274" s="208">
        <v>-116</v>
      </c>
      <c r="AN274" s="208">
        <v>1193931</v>
      </c>
      <c r="AO274" s="208">
        <v>0</v>
      </c>
      <c r="AP274" s="208">
        <v>1193931</v>
      </c>
      <c r="AQ274" s="208">
        <v>2090</v>
      </c>
      <c r="AR274" s="208">
        <v>0</v>
      </c>
      <c r="AS274" s="208">
        <v>2090</v>
      </c>
      <c r="AT274" s="208">
        <v>-3331251</v>
      </c>
      <c r="AU274" s="208">
        <v>0</v>
      </c>
      <c r="AV274" s="208">
        <v>-3331251</v>
      </c>
      <c r="AW274" s="208">
        <v>-14243</v>
      </c>
      <c r="AX274" s="208">
        <v>0</v>
      </c>
      <c r="AY274" s="208">
        <v>-14243</v>
      </c>
      <c r="AZ274" s="208">
        <v>-93511</v>
      </c>
      <c r="BA274" s="208">
        <v>0</v>
      </c>
      <c r="BB274" s="208">
        <v>-93511</v>
      </c>
      <c r="BC274" s="208">
        <v>0</v>
      </c>
      <c r="BD274" s="208">
        <v>0</v>
      </c>
      <c r="BE274" s="208">
        <v>0</v>
      </c>
      <c r="BF274" s="208">
        <v>-23021</v>
      </c>
      <c r="BG274" s="208">
        <v>0</v>
      </c>
      <c r="BH274" s="208">
        <v>-23021</v>
      </c>
      <c r="BI274" s="208">
        <v>0</v>
      </c>
      <c r="BJ274" s="208">
        <v>0</v>
      </c>
      <c r="BK274" s="208">
        <v>0</v>
      </c>
      <c r="BL274" s="208">
        <v>-7923917</v>
      </c>
      <c r="BM274" s="208">
        <v>0</v>
      </c>
      <c r="BN274" s="208">
        <v>-7923917</v>
      </c>
      <c r="BO274" s="208">
        <v>-320507</v>
      </c>
      <c r="BP274" s="208">
        <v>0</v>
      </c>
      <c r="BQ274" s="208">
        <v>-320507</v>
      </c>
      <c r="BR274" s="208">
        <v>0</v>
      </c>
      <c r="BS274" s="208">
        <v>0</v>
      </c>
      <c r="BT274" s="208">
        <v>0</v>
      </c>
      <c r="BU274" s="208">
        <v>-1813874</v>
      </c>
      <c r="BV274" s="208">
        <v>0</v>
      </c>
      <c r="BW274" s="208">
        <v>-1813874</v>
      </c>
      <c r="BX274" s="208">
        <v>100917</v>
      </c>
      <c r="BY274" s="208">
        <v>0</v>
      </c>
      <c r="BZ274" s="208">
        <v>100917</v>
      </c>
      <c r="CA274" s="208">
        <v>-2033464</v>
      </c>
      <c r="CB274" s="208">
        <v>0</v>
      </c>
      <c r="CC274" s="208">
        <v>-2033464</v>
      </c>
      <c r="CD274" s="208">
        <v>-228103</v>
      </c>
      <c r="CE274" s="208">
        <v>0</v>
      </c>
      <c r="CF274" s="208">
        <v>-228103</v>
      </c>
      <c r="CG274" s="208">
        <v>-646</v>
      </c>
      <c r="CH274" s="208">
        <v>0</v>
      </c>
      <c r="CI274" s="208">
        <v>-646</v>
      </c>
      <c r="CJ274" s="208">
        <v>-100948</v>
      </c>
      <c r="CK274" s="208">
        <v>0</v>
      </c>
      <c r="CL274" s="208">
        <v>-100948</v>
      </c>
      <c r="CM274" s="208">
        <v>1816</v>
      </c>
      <c r="CN274" s="208">
        <v>0</v>
      </c>
      <c r="CO274" s="208">
        <v>1816</v>
      </c>
      <c r="CP274" s="208">
        <v>-23378</v>
      </c>
      <c r="CQ274" s="208">
        <v>0</v>
      </c>
      <c r="CR274" s="208">
        <v>-23378</v>
      </c>
      <c r="CS274" s="208">
        <v>0</v>
      </c>
      <c r="CT274" s="208">
        <v>0</v>
      </c>
      <c r="CU274" s="208">
        <v>0</v>
      </c>
      <c r="CV274" s="208">
        <v>0</v>
      </c>
      <c r="CW274" s="208">
        <v>0</v>
      </c>
      <c r="CX274" s="208">
        <v>0</v>
      </c>
      <c r="CY274" s="208">
        <v>0</v>
      </c>
      <c r="CZ274" s="208">
        <v>0</v>
      </c>
      <c r="DA274" s="208">
        <v>0</v>
      </c>
      <c r="DB274" s="208">
        <v>-14682</v>
      </c>
      <c r="DC274" s="208">
        <v>0</v>
      </c>
      <c r="DD274" s="208">
        <v>-14682</v>
      </c>
      <c r="DE274" s="208">
        <v>1210</v>
      </c>
      <c r="DF274" s="208">
        <v>0</v>
      </c>
      <c r="DG274" s="208">
        <v>1210</v>
      </c>
      <c r="DH274" s="208">
        <v>0</v>
      </c>
      <c r="DI274" s="208">
        <v>0</v>
      </c>
      <c r="DJ274" s="208">
        <v>0</v>
      </c>
      <c r="DK274" s="208">
        <v>0</v>
      </c>
      <c r="DL274" s="208">
        <v>0</v>
      </c>
      <c r="DM274" s="208">
        <v>0</v>
      </c>
      <c r="DN274" s="208">
        <v>0</v>
      </c>
      <c r="DO274" s="208">
        <v>0</v>
      </c>
      <c r="DP274" s="208">
        <v>-364731</v>
      </c>
      <c r="DQ274" s="208">
        <v>0</v>
      </c>
      <c r="DR274" s="208">
        <v>-364731</v>
      </c>
      <c r="DS274" s="208">
        <v>0</v>
      </c>
      <c r="DT274" s="208">
        <v>0</v>
      </c>
      <c r="DU274" s="208">
        <v>0</v>
      </c>
      <c r="DV274" s="208">
        <v>0</v>
      </c>
      <c r="DW274" s="208">
        <v>0</v>
      </c>
      <c r="DX274" s="208">
        <v>0</v>
      </c>
      <c r="DY274" s="208">
        <v>1164</v>
      </c>
      <c r="DZ274" s="208">
        <v>0</v>
      </c>
      <c r="EA274" s="208">
        <v>1164</v>
      </c>
      <c r="EB274" s="208">
        <v>0</v>
      </c>
      <c r="EC274" s="208">
        <v>0</v>
      </c>
      <c r="ED274" s="208">
        <v>0</v>
      </c>
      <c r="EE274" s="208">
        <v>0</v>
      </c>
      <c r="EF274" s="208">
        <v>0</v>
      </c>
      <c r="EG274" s="208">
        <v>0</v>
      </c>
      <c r="EH274" s="208">
        <v>0</v>
      </c>
      <c r="EI274" s="208">
        <v>0</v>
      </c>
      <c r="EJ274" s="208">
        <v>0</v>
      </c>
      <c r="EK274" s="208">
        <v>-23021</v>
      </c>
      <c r="EL274" s="208">
        <v>0</v>
      </c>
      <c r="EM274" s="208">
        <v>-23021</v>
      </c>
      <c r="EN274" s="208">
        <v>0</v>
      </c>
      <c r="EO274" s="208">
        <v>0</v>
      </c>
      <c r="EP274" s="208">
        <v>0</v>
      </c>
      <c r="EQ274" s="208">
        <v>-1500</v>
      </c>
      <c r="ER274" s="208">
        <v>0</v>
      </c>
      <c r="ES274" s="208">
        <v>-1500</v>
      </c>
      <c r="ET274" s="208">
        <v>0</v>
      </c>
      <c r="EU274" s="208">
        <v>0</v>
      </c>
      <c r="EV274" s="208">
        <v>0</v>
      </c>
      <c r="EW274" s="208">
        <v>-31327</v>
      </c>
      <c r="EX274" s="208">
        <v>0</v>
      </c>
      <c r="EY274" s="208">
        <v>-31327</v>
      </c>
      <c r="EZ274" s="208">
        <v>-946</v>
      </c>
      <c r="FA274" s="208">
        <v>0</v>
      </c>
      <c r="FB274" s="208">
        <v>-946</v>
      </c>
      <c r="FC274" s="208">
        <v>-73565</v>
      </c>
      <c r="FD274" s="208">
        <v>0</v>
      </c>
      <c r="FE274" s="208">
        <v>-73565</v>
      </c>
      <c r="FF274" s="208">
        <v>2942</v>
      </c>
      <c r="FG274" s="208">
        <v>0</v>
      </c>
      <c r="FH274" s="208">
        <v>2942</v>
      </c>
      <c r="FI274" s="208">
        <v>-58567</v>
      </c>
      <c r="FJ274" s="208">
        <v>0</v>
      </c>
      <c r="FK274" s="208">
        <v>-58567</v>
      </c>
      <c r="FL274" s="208">
        <v>984</v>
      </c>
      <c r="FM274" s="208">
        <v>0</v>
      </c>
      <c r="FN274" s="208">
        <v>984</v>
      </c>
      <c r="FO274" s="208">
        <v>0</v>
      </c>
      <c r="FP274" s="208">
        <v>0</v>
      </c>
      <c r="FQ274" s="208">
        <v>0</v>
      </c>
      <c r="FR274" s="208">
        <v>0</v>
      </c>
      <c r="FS274" s="208">
        <v>0</v>
      </c>
      <c r="FT274" s="208">
        <v>0</v>
      </c>
      <c r="FU274" s="208">
        <v>-183836</v>
      </c>
      <c r="FV274" s="208">
        <v>0</v>
      </c>
      <c r="FW274" s="208">
        <v>-183836</v>
      </c>
      <c r="FX274" s="208">
        <v>0</v>
      </c>
      <c r="FY274" s="208">
        <v>0</v>
      </c>
      <c r="FZ274" s="208">
        <v>0</v>
      </c>
      <c r="GA274" s="208">
        <v>0</v>
      </c>
      <c r="GB274" s="208">
        <v>0</v>
      </c>
      <c r="GC274" s="208">
        <v>0</v>
      </c>
      <c r="GD274" s="208">
        <v>0</v>
      </c>
      <c r="GE274" s="208">
        <v>0</v>
      </c>
      <c r="GF274" s="208">
        <v>0</v>
      </c>
      <c r="GG274" s="208">
        <v>61628859</v>
      </c>
      <c r="GH274" s="208">
        <v>0</v>
      </c>
      <c r="GI274" s="208">
        <v>61628859</v>
      </c>
      <c r="GJ274" s="208">
        <v>-587582</v>
      </c>
      <c r="GK274" s="208">
        <v>0</v>
      </c>
      <c r="GL274" s="208">
        <v>-587582</v>
      </c>
      <c r="GM274" s="208">
        <v>-7923917</v>
      </c>
      <c r="GN274" s="208">
        <v>0</v>
      </c>
      <c r="GO274" s="208">
        <v>-7923917</v>
      </c>
      <c r="GP274" s="208">
        <v>-2033464</v>
      </c>
      <c r="GQ274" s="208">
        <v>0</v>
      </c>
      <c r="GR274" s="208">
        <v>-2033464</v>
      </c>
      <c r="GS274" s="208">
        <v>-364731</v>
      </c>
      <c r="GT274" s="208">
        <v>0</v>
      </c>
      <c r="GU274" s="208">
        <v>-364731</v>
      </c>
      <c r="GV274" s="208">
        <v>-183836</v>
      </c>
      <c r="GW274" s="208">
        <v>0</v>
      </c>
      <c r="GX274" s="208">
        <v>-183836</v>
      </c>
      <c r="GY274" s="208">
        <v>0</v>
      </c>
      <c r="GZ274" s="208">
        <v>0</v>
      </c>
      <c r="HA274" s="208">
        <v>0</v>
      </c>
      <c r="HB274" s="208">
        <v>-11093530</v>
      </c>
      <c r="HC274" s="208">
        <v>0</v>
      </c>
      <c r="HD274" s="208">
        <v>-11093530</v>
      </c>
      <c r="HE274" s="208">
        <v>50535329</v>
      </c>
      <c r="HF274" s="208">
        <v>0</v>
      </c>
      <c r="HG274" s="208">
        <v>50535329</v>
      </c>
      <c r="HH274" s="187" t="s">
        <v>1054</v>
      </c>
    </row>
    <row r="275" spans="2:216" s="187" customFormat="1" x14ac:dyDescent="0.2">
      <c r="B275" s="429" t="s">
        <v>628</v>
      </c>
      <c r="C275" s="429" t="s">
        <v>627</v>
      </c>
      <c r="D275" s="208">
        <v>-842066</v>
      </c>
      <c r="E275" s="208">
        <v>0</v>
      </c>
      <c r="F275" s="208">
        <v>-842066</v>
      </c>
      <c r="G275" s="208">
        <v>57392</v>
      </c>
      <c r="H275" s="208">
        <v>0</v>
      </c>
      <c r="I275" s="208">
        <v>57392</v>
      </c>
      <c r="J275" s="208">
        <v>5809903</v>
      </c>
      <c r="K275" s="208">
        <v>0</v>
      </c>
      <c r="L275" s="208">
        <v>5809903</v>
      </c>
      <c r="M275" s="208">
        <v>63655</v>
      </c>
      <c r="N275" s="208">
        <v>0</v>
      </c>
      <c r="O275" s="208">
        <v>63655</v>
      </c>
      <c r="P275" s="208">
        <v>5088884</v>
      </c>
      <c r="Q275" s="208">
        <v>0</v>
      </c>
      <c r="R275" s="208">
        <v>5088884</v>
      </c>
      <c r="S275" s="208">
        <v>-5041614</v>
      </c>
      <c r="T275" s="208">
        <v>0</v>
      </c>
      <c r="U275" s="208">
        <v>-5041614</v>
      </c>
      <c r="V275" s="208">
        <v>-28773</v>
      </c>
      <c r="W275" s="208">
        <v>0</v>
      </c>
      <c r="X275" s="208">
        <v>-28773</v>
      </c>
      <c r="Y275" s="208">
        <v>-102736</v>
      </c>
      <c r="Z275" s="208">
        <v>0</v>
      </c>
      <c r="AA275" s="208">
        <v>-102736</v>
      </c>
      <c r="AB275" s="208">
        <v>2</v>
      </c>
      <c r="AC275" s="208">
        <v>0</v>
      </c>
      <c r="AD275" s="208">
        <v>2</v>
      </c>
      <c r="AE275" s="208">
        <v>-102317</v>
      </c>
      <c r="AF275" s="208">
        <v>0</v>
      </c>
      <c r="AG275" s="208">
        <v>-102317</v>
      </c>
      <c r="AH275" s="208">
        <v>0</v>
      </c>
      <c r="AI275" s="208">
        <v>0</v>
      </c>
      <c r="AJ275" s="208">
        <v>0</v>
      </c>
      <c r="AK275" s="208">
        <v>-1462</v>
      </c>
      <c r="AL275" s="208">
        <v>0</v>
      </c>
      <c r="AM275" s="208">
        <v>-1462</v>
      </c>
      <c r="AN275" s="208">
        <v>2693308</v>
      </c>
      <c r="AO275" s="208">
        <v>0</v>
      </c>
      <c r="AP275" s="208">
        <v>2693308</v>
      </c>
      <c r="AQ275" s="208">
        <v>90779</v>
      </c>
      <c r="AR275" s="208">
        <v>0</v>
      </c>
      <c r="AS275" s="208">
        <v>90779</v>
      </c>
      <c r="AT275" s="208">
        <v>-6782825</v>
      </c>
      <c r="AU275" s="208">
        <v>0</v>
      </c>
      <c r="AV275" s="208">
        <v>-6782825</v>
      </c>
      <c r="AW275" s="208">
        <v>666105</v>
      </c>
      <c r="AX275" s="208">
        <v>0</v>
      </c>
      <c r="AY275" s="208">
        <v>666105</v>
      </c>
      <c r="AZ275" s="208">
        <v>-87098</v>
      </c>
      <c r="BA275" s="208">
        <v>0</v>
      </c>
      <c r="BB275" s="208">
        <v>-87098</v>
      </c>
      <c r="BC275" s="208">
        <v>0</v>
      </c>
      <c r="BD275" s="208">
        <v>0</v>
      </c>
      <c r="BE275" s="208">
        <v>0</v>
      </c>
      <c r="BF275" s="208">
        <v>-5544</v>
      </c>
      <c r="BG275" s="208">
        <v>0</v>
      </c>
      <c r="BH275" s="208">
        <v>-5544</v>
      </c>
      <c r="BI275" s="208">
        <v>0</v>
      </c>
      <c r="BJ275" s="208">
        <v>0</v>
      </c>
      <c r="BK275" s="208">
        <v>0</v>
      </c>
      <c r="BL275" s="208">
        <v>-8569625</v>
      </c>
      <c r="BM275" s="208">
        <v>0</v>
      </c>
      <c r="BN275" s="208">
        <v>-8569625</v>
      </c>
      <c r="BO275" s="208">
        <v>-48982</v>
      </c>
      <c r="BP275" s="208">
        <v>0</v>
      </c>
      <c r="BQ275" s="208">
        <v>-48982</v>
      </c>
      <c r="BR275" s="208">
        <v>-13343</v>
      </c>
      <c r="BS275" s="208">
        <v>0</v>
      </c>
      <c r="BT275" s="208">
        <v>-13343</v>
      </c>
      <c r="BU275" s="208">
        <v>-3713641</v>
      </c>
      <c r="BV275" s="208">
        <v>0</v>
      </c>
      <c r="BW275" s="208">
        <v>-3713641</v>
      </c>
      <c r="BX275" s="208">
        <v>48567</v>
      </c>
      <c r="BY275" s="208">
        <v>0</v>
      </c>
      <c r="BZ275" s="208">
        <v>48567</v>
      </c>
      <c r="CA275" s="208">
        <v>-3727399</v>
      </c>
      <c r="CB275" s="208">
        <v>0</v>
      </c>
      <c r="CC275" s="208">
        <v>-3727399</v>
      </c>
      <c r="CD275" s="208">
        <v>-208605</v>
      </c>
      <c r="CE275" s="208">
        <v>0</v>
      </c>
      <c r="CF275" s="208">
        <v>-208605</v>
      </c>
      <c r="CG275" s="208">
        <v>-827</v>
      </c>
      <c r="CH275" s="208">
        <v>0</v>
      </c>
      <c r="CI275" s="208">
        <v>-827</v>
      </c>
      <c r="CJ275" s="208">
        <v>-59606</v>
      </c>
      <c r="CK275" s="208">
        <v>0</v>
      </c>
      <c r="CL275" s="208">
        <v>-59606</v>
      </c>
      <c r="CM275" s="208">
        <v>0</v>
      </c>
      <c r="CN275" s="208">
        <v>0</v>
      </c>
      <c r="CO275" s="208">
        <v>0</v>
      </c>
      <c r="CP275" s="208">
        <v>-21774</v>
      </c>
      <c r="CQ275" s="208">
        <v>0</v>
      </c>
      <c r="CR275" s="208">
        <v>-21774</v>
      </c>
      <c r="CS275" s="208">
        <v>0</v>
      </c>
      <c r="CT275" s="208">
        <v>0</v>
      </c>
      <c r="CU275" s="208">
        <v>0</v>
      </c>
      <c r="CV275" s="208">
        <v>0</v>
      </c>
      <c r="CW275" s="208">
        <v>0</v>
      </c>
      <c r="CX275" s="208">
        <v>0</v>
      </c>
      <c r="CY275" s="208">
        <v>0</v>
      </c>
      <c r="CZ275" s="208">
        <v>0</v>
      </c>
      <c r="DA275" s="208">
        <v>0</v>
      </c>
      <c r="DB275" s="208">
        <v>0</v>
      </c>
      <c r="DC275" s="208">
        <v>0</v>
      </c>
      <c r="DD275" s="208">
        <v>0</v>
      </c>
      <c r="DE275" s="208">
        <v>0</v>
      </c>
      <c r="DF275" s="208">
        <v>0</v>
      </c>
      <c r="DG275" s="208">
        <v>0</v>
      </c>
      <c r="DH275" s="208">
        <v>0</v>
      </c>
      <c r="DI275" s="208">
        <v>0</v>
      </c>
      <c r="DJ275" s="208">
        <v>0</v>
      </c>
      <c r="DK275" s="208">
        <v>0</v>
      </c>
      <c r="DL275" s="208">
        <v>0</v>
      </c>
      <c r="DM275" s="208">
        <v>0</v>
      </c>
      <c r="DN275" s="208">
        <v>0</v>
      </c>
      <c r="DO275" s="208">
        <v>0</v>
      </c>
      <c r="DP275" s="208">
        <v>-290812</v>
      </c>
      <c r="DQ275" s="208">
        <v>0</v>
      </c>
      <c r="DR275" s="208">
        <v>-290812</v>
      </c>
      <c r="DS275" s="208">
        <v>0</v>
      </c>
      <c r="DT275" s="208">
        <v>0</v>
      </c>
      <c r="DU275" s="208">
        <v>0</v>
      </c>
      <c r="DV275" s="208">
        <v>0</v>
      </c>
      <c r="DW275" s="208">
        <v>0</v>
      </c>
      <c r="DX275" s="208">
        <v>0</v>
      </c>
      <c r="DY275" s="208">
        <v>0</v>
      </c>
      <c r="DZ275" s="208">
        <v>0</v>
      </c>
      <c r="EA275" s="208">
        <v>0</v>
      </c>
      <c r="EB275" s="208">
        <v>0</v>
      </c>
      <c r="EC275" s="208">
        <v>0</v>
      </c>
      <c r="ED275" s="208">
        <v>0</v>
      </c>
      <c r="EE275" s="208">
        <v>0</v>
      </c>
      <c r="EF275" s="208">
        <v>0</v>
      </c>
      <c r="EG275" s="208">
        <v>0</v>
      </c>
      <c r="EH275" s="208">
        <v>0</v>
      </c>
      <c r="EI275" s="208">
        <v>0</v>
      </c>
      <c r="EJ275" s="208">
        <v>0</v>
      </c>
      <c r="EK275" s="208">
        <v>-5543</v>
      </c>
      <c r="EL275" s="208">
        <v>0</v>
      </c>
      <c r="EM275" s="208">
        <v>-5543</v>
      </c>
      <c r="EN275" s="208">
        <v>0</v>
      </c>
      <c r="EO275" s="208">
        <v>0</v>
      </c>
      <c r="EP275" s="208">
        <v>0</v>
      </c>
      <c r="EQ275" s="208">
        <v>0</v>
      </c>
      <c r="ER275" s="208">
        <v>0</v>
      </c>
      <c r="ES275" s="208">
        <v>0</v>
      </c>
      <c r="ET275" s="208">
        <v>0</v>
      </c>
      <c r="EU275" s="208">
        <v>0</v>
      </c>
      <c r="EV275" s="208">
        <v>0</v>
      </c>
      <c r="EW275" s="208">
        <v>-11058</v>
      </c>
      <c r="EX275" s="208">
        <v>0</v>
      </c>
      <c r="EY275" s="208">
        <v>-11058</v>
      </c>
      <c r="EZ275" s="208">
        <v>514</v>
      </c>
      <c r="FA275" s="208">
        <v>0</v>
      </c>
      <c r="FB275" s="208">
        <v>514</v>
      </c>
      <c r="FC275" s="208">
        <v>-52824</v>
      </c>
      <c r="FD275" s="208">
        <v>0</v>
      </c>
      <c r="FE275" s="208">
        <v>-52824</v>
      </c>
      <c r="FF275" s="208">
        <v>6578</v>
      </c>
      <c r="FG275" s="208">
        <v>0</v>
      </c>
      <c r="FH275" s="208">
        <v>6578</v>
      </c>
      <c r="FI275" s="208">
        <v>-47997</v>
      </c>
      <c r="FJ275" s="208">
        <v>0</v>
      </c>
      <c r="FK275" s="208">
        <v>-47997</v>
      </c>
      <c r="FL275" s="208">
        <v>-10693</v>
      </c>
      <c r="FM275" s="208">
        <v>0</v>
      </c>
      <c r="FN275" s="208">
        <v>-10693</v>
      </c>
      <c r="FO275" s="208">
        <v>0</v>
      </c>
      <c r="FP275" s="208">
        <v>0</v>
      </c>
      <c r="FQ275" s="208">
        <v>0</v>
      </c>
      <c r="FR275" s="208">
        <v>0</v>
      </c>
      <c r="FS275" s="208">
        <v>0</v>
      </c>
      <c r="FT275" s="208">
        <v>0</v>
      </c>
      <c r="FU275" s="208">
        <v>-121023</v>
      </c>
      <c r="FV275" s="208">
        <v>0</v>
      </c>
      <c r="FW275" s="208">
        <v>-121023</v>
      </c>
      <c r="FX275" s="208">
        <v>0</v>
      </c>
      <c r="FY275" s="208">
        <v>0</v>
      </c>
      <c r="FZ275" s="208">
        <v>0</v>
      </c>
      <c r="GA275" s="208">
        <v>0</v>
      </c>
      <c r="GB275" s="208">
        <v>0</v>
      </c>
      <c r="GC275" s="208">
        <v>0</v>
      </c>
      <c r="GD275" s="208">
        <v>0</v>
      </c>
      <c r="GE275" s="208">
        <v>0</v>
      </c>
      <c r="GF275" s="208">
        <v>0</v>
      </c>
      <c r="GG275" s="208">
        <v>120213855</v>
      </c>
      <c r="GH275" s="208">
        <v>0</v>
      </c>
      <c r="GI275" s="208">
        <v>120213855</v>
      </c>
      <c r="GJ275" s="208">
        <v>5088884</v>
      </c>
      <c r="GK275" s="208">
        <v>0</v>
      </c>
      <c r="GL275" s="208">
        <v>5088884</v>
      </c>
      <c r="GM275" s="208">
        <v>-8569625</v>
      </c>
      <c r="GN275" s="208">
        <v>0</v>
      </c>
      <c r="GO275" s="208">
        <v>-8569625</v>
      </c>
      <c r="GP275" s="208">
        <v>-3727399</v>
      </c>
      <c r="GQ275" s="208">
        <v>0</v>
      </c>
      <c r="GR275" s="208">
        <v>-3727399</v>
      </c>
      <c r="GS275" s="208">
        <v>-290812</v>
      </c>
      <c r="GT275" s="208">
        <v>0</v>
      </c>
      <c r="GU275" s="208">
        <v>-290812</v>
      </c>
      <c r="GV275" s="208">
        <v>-121023</v>
      </c>
      <c r="GW275" s="208">
        <v>0</v>
      </c>
      <c r="GX275" s="208">
        <v>-121023</v>
      </c>
      <c r="GY275" s="208">
        <v>0</v>
      </c>
      <c r="GZ275" s="208">
        <v>0</v>
      </c>
      <c r="HA275" s="208">
        <v>0</v>
      </c>
      <c r="HB275" s="208">
        <v>-7619975</v>
      </c>
      <c r="HC275" s="208">
        <v>0</v>
      </c>
      <c r="HD275" s="208">
        <v>-7619975</v>
      </c>
      <c r="HE275" s="208">
        <v>112593880</v>
      </c>
      <c r="HF275" s="208">
        <v>0</v>
      </c>
      <c r="HG275" s="208">
        <v>112593880</v>
      </c>
      <c r="HH275" s="187" t="s">
        <v>742</v>
      </c>
    </row>
    <row r="276" spans="2:216" s="187" customFormat="1" x14ac:dyDescent="0.2">
      <c r="B276" s="429" t="s">
        <v>630</v>
      </c>
      <c r="C276" s="429" t="s">
        <v>629</v>
      </c>
      <c r="D276" s="208">
        <v>-1033127</v>
      </c>
      <c r="E276" s="208">
        <v>0</v>
      </c>
      <c r="F276" s="208">
        <v>-1033127</v>
      </c>
      <c r="G276" s="208">
        <v>38452</v>
      </c>
      <c r="H276" s="208">
        <v>0</v>
      </c>
      <c r="I276" s="208">
        <v>38452</v>
      </c>
      <c r="J276" s="208">
        <v>2793359</v>
      </c>
      <c r="K276" s="208">
        <v>0</v>
      </c>
      <c r="L276" s="208">
        <v>2793359</v>
      </c>
      <c r="M276" s="208">
        <v>-89611</v>
      </c>
      <c r="N276" s="208">
        <v>0</v>
      </c>
      <c r="O276" s="208">
        <v>-89611</v>
      </c>
      <c r="P276" s="208">
        <v>1709073</v>
      </c>
      <c r="Q276" s="208">
        <v>0</v>
      </c>
      <c r="R276" s="208">
        <v>1709073</v>
      </c>
      <c r="S276" s="208">
        <v>-9121717</v>
      </c>
      <c r="T276" s="208">
        <v>0</v>
      </c>
      <c r="U276" s="208">
        <v>-9121717</v>
      </c>
      <c r="V276" s="208">
        <v>-1299</v>
      </c>
      <c r="W276" s="208">
        <v>0</v>
      </c>
      <c r="X276" s="208">
        <v>-1299</v>
      </c>
      <c r="Y276" s="208">
        <v>-304014</v>
      </c>
      <c r="Z276" s="208">
        <v>0</v>
      </c>
      <c r="AA276" s="208">
        <v>-304014</v>
      </c>
      <c r="AB276" s="208">
        <v>-66076</v>
      </c>
      <c r="AC276" s="208">
        <v>0</v>
      </c>
      <c r="AD276" s="208">
        <v>-66076</v>
      </c>
      <c r="AE276" s="208">
        <v>-230894</v>
      </c>
      <c r="AF276" s="208">
        <v>0</v>
      </c>
      <c r="AG276" s="208">
        <v>-230894</v>
      </c>
      <c r="AH276" s="208">
        <v>0</v>
      </c>
      <c r="AI276" s="208">
        <v>0</v>
      </c>
      <c r="AJ276" s="208">
        <v>0</v>
      </c>
      <c r="AK276" s="208">
        <v>0</v>
      </c>
      <c r="AL276" s="208">
        <v>0</v>
      </c>
      <c r="AM276" s="208">
        <v>0</v>
      </c>
      <c r="AN276" s="208">
        <v>1251881</v>
      </c>
      <c r="AO276" s="208">
        <v>0</v>
      </c>
      <c r="AP276" s="208">
        <v>1251881</v>
      </c>
      <c r="AQ276" s="208">
        <v>-22446</v>
      </c>
      <c r="AR276" s="208">
        <v>0</v>
      </c>
      <c r="AS276" s="208">
        <v>-22446</v>
      </c>
      <c r="AT276" s="208">
        <v>-3959024</v>
      </c>
      <c r="AU276" s="208">
        <v>0</v>
      </c>
      <c r="AV276" s="208">
        <v>-3959024</v>
      </c>
      <c r="AW276" s="208">
        <v>-15891</v>
      </c>
      <c r="AX276" s="208">
        <v>0</v>
      </c>
      <c r="AY276" s="208">
        <v>-15891</v>
      </c>
      <c r="AZ276" s="208">
        <v>-136267</v>
      </c>
      <c r="BA276" s="208">
        <v>0</v>
      </c>
      <c r="BB276" s="208">
        <v>-136267</v>
      </c>
      <c r="BC276" s="208">
        <v>0</v>
      </c>
      <c r="BD276" s="208">
        <v>0</v>
      </c>
      <c r="BE276" s="208">
        <v>0</v>
      </c>
      <c r="BF276" s="208">
        <v>0</v>
      </c>
      <c r="BG276" s="208">
        <v>0</v>
      </c>
      <c r="BH276" s="208">
        <v>0</v>
      </c>
      <c r="BI276" s="208">
        <v>0</v>
      </c>
      <c r="BJ276" s="208">
        <v>0</v>
      </c>
      <c r="BK276" s="208">
        <v>0</v>
      </c>
      <c r="BL276" s="208">
        <v>-12307478</v>
      </c>
      <c r="BM276" s="208">
        <v>0</v>
      </c>
      <c r="BN276" s="208">
        <v>-12307478</v>
      </c>
      <c r="BO276" s="208">
        <v>-333</v>
      </c>
      <c r="BP276" s="208">
        <v>0</v>
      </c>
      <c r="BQ276" s="208">
        <v>-333</v>
      </c>
      <c r="BR276" s="208">
        <v>0</v>
      </c>
      <c r="BS276" s="208">
        <v>0</v>
      </c>
      <c r="BT276" s="208">
        <v>0</v>
      </c>
      <c r="BU276" s="208">
        <v>-2024227</v>
      </c>
      <c r="BV276" s="208">
        <v>0</v>
      </c>
      <c r="BW276" s="208">
        <v>-2024227</v>
      </c>
      <c r="BX276" s="208">
        <v>-234849</v>
      </c>
      <c r="BY276" s="208">
        <v>0</v>
      </c>
      <c r="BZ276" s="208">
        <v>-234849</v>
      </c>
      <c r="CA276" s="208">
        <v>-2259409</v>
      </c>
      <c r="CB276" s="208">
        <v>0</v>
      </c>
      <c r="CC276" s="208">
        <v>-2259409</v>
      </c>
      <c r="CD276" s="208">
        <v>-20317</v>
      </c>
      <c r="CE276" s="208">
        <v>0</v>
      </c>
      <c r="CF276" s="208">
        <v>-20317</v>
      </c>
      <c r="CG276" s="208">
        <v>-1203</v>
      </c>
      <c r="CH276" s="208">
        <v>0</v>
      </c>
      <c r="CI276" s="208">
        <v>-1203</v>
      </c>
      <c r="CJ276" s="208">
        <v>-27247</v>
      </c>
      <c r="CK276" s="208">
        <v>0</v>
      </c>
      <c r="CL276" s="208">
        <v>-27247</v>
      </c>
      <c r="CM276" s="208">
        <v>0</v>
      </c>
      <c r="CN276" s="208">
        <v>0</v>
      </c>
      <c r="CO276" s="208">
        <v>0</v>
      </c>
      <c r="CP276" s="208">
        <v>-1037</v>
      </c>
      <c r="CQ276" s="208">
        <v>0</v>
      </c>
      <c r="CR276" s="208">
        <v>-1037</v>
      </c>
      <c r="CS276" s="208">
        <v>0</v>
      </c>
      <c r="CT276" s="208">
        <v>0</v>
      </c>
      <c r="CU276" s="208">
        <v>0</v>
      </c>
      <c r="CV276" s="208">
        <v>0</v>
      </c>
      <c r="CW276" s="208">
        <v>0</v>
      </c>
      <c r="CX276" s="208">
        <v>0</v>
      </c>
      <c r="CY276" s="208">
        <v>0</v>
      </c>
      <c r="CZ276" s="208">
        <v>0</v>
      </c>
      <c r="DA276" s="208">
        <v>0</v>
      </c>
      <c r="DB276" s="208">
        <v>0</v>
      </c>
      <c r="DC276" s="208">
        <v>0</v>
      </c>
      <c r="DD276" s="208">
        <v>0</v>
      </c>
      <c r="DE276" s="208">
        <v>0</v>
      </c>
      <c r="DF276" s="208">
        <v>0</v>
      </c>
      <c r="DG276" s="208">
        <v>0</v>
      </c>
      <c r="DH276" s="208">
        <v>0</v>
      </c>
      <c r="DI276" s="208">
        <v>0</v>
      </c>
      <c r="DJ276" s="208">
        <v>0</v>
      </c>
      <c r="DK276" s="208">
        <v>0</v>
      </c>
      <c r="DL276" s="208">
        <v>0</v>
      </c>
      <c r="DM276" s="208">
        <v>0</v>
      </c>
      <c r="DN276" s="208">
        <v>0</v>
      </c>
      <c r="DO276" s="208">
        <v>0</v>
      </c>
      <c r="DP276" s="208">
        <v>-49804</v>
      </c>
      <c r="DQ276" s="208">
        <v>0</v>
      </c>
      <c r="DR276" s="208">
        <v>-49804</v>
      </c>
      <c r="DS276" s="208">
        <v>0</v>
      </c>
      <c r="DT276" s="208">
        <v>0</v>
      </c>
      <c r="DU276" s="208">
        <v>0</v>
      </c>
      <c r="DV276" s="208">
        <v>0</v>
      </c>
      <c r="DW276" s="208">
        <v>0</v>
      </c>
      <c r="DX276" s="208">
        <v>0</v>
      </c>
      <c r="DY276" s="208">
        <v>0</v>
      </c>
      <c r="DZ276" s="208">
        <v>0</v>
      </c>
      <c r="EA276" s="208">
        <v>0</v>
      </c>
      <c r="EB276" s="208">
        <v>0</v>
      </c>
      <c r="EC276" s="208">
        <v>0</v>
      </c>
      <c r="ED276" s="208">
        <v>0</v>
      </c>
      <c r="EE276" s="208">
        <v>0</v>
      </c>
      <c r="EF276" s="208">
        <v>0</v>
      </c>
      <c r="EG276" s="208">
        <v>0</v>
      </c>
      <c r="EH276" s="208">
        <v>0</v>
      </c>
      <c r="EI276" s="208">
        <v>0</v>
      </c>
      <c r="EJ276" s="208">
        <v>0</v>
      </c>
      <c r="EK276" s="208">
        <v>0</v>
      </c>
      <c r="EL276" s="208">
        <v>0</v>
      </c>
      <c r="EM276" s="208">
        <v>0</v>
      </c>
      <c r="EN276" s="208">
        <v>0</v>
      </c>
      <c r="EO276" s="208">
        <v>0</v>
      </c>
      <c r="EP276" s="208">
        <v>0</v>
      </c>
      <c r="EQ276" s="208">
        <v>-1500</v>
      </c>
      <c r="ER276" s="208">
        <v>0</v>
      </c>
      <c r="ES276" s="208">
        <v>-1500</v>
      </c>
      <c r="ET276" s="208">
        <v>-1500</v>
      </c>
      <c r="EU276" s="208">
        <v>0</v>
      </c>
      <c r="EV276" s="208">
        <v>-1500</v>
      </c>
      <c r="EW276" s="208">
        <v>-23472</v>
      </c>
      <c r="EX276" s="208">
        <v>0</v>
      </c>
      <c r="EY276" s="208">
        <v>-23472</v>
      </c>
      <c r="EZ276" s="208">
        <v>287</v>
      </c>
      <c r="FA276" s="208">
        <v>0</v>
      </c>
      <c r="FB276" s="208">
        <v>287</v>
      </c>
      <c r="FC276" s="208">
        <v>-136212</v>
      </c>
      <c r="FD276" s="208">
        <v>0</v>
      </c>
      <c r="FE276" s="208">
        <v>-136212</v>
      </c>
      <c r="FF276" s="208">
        <v>8752</v>
      </c>
      <c r="FG276" s="208">
        <v>0</v>
      </c>
      <c r="FH276" s="208">
        <v>8752</v>
      </c>
      <c r="FI276" s="208">
        <v>-63749</v>
      </c>
      <c r="FJ276" s="208">
        <v>0</v>
      </c>
      <c r="FK276" s="208">
        <v>-63749</v>
      </c>
      <c r="FL276" s="208">
        <v>-1056</v>
      </c>
      <c r="FM276" s="208">
        <v>0</v>
      </c>
      <c r="FN276" s="208">
        <v>-1056</v>
      </c>
      <c r="FO276" s="208">
        <v>0</v>
      </c>
      <c r="FP276" s="208">
        <v>0</v>
      </c>
      <c r="FQ276" s="208">
        <v>0</v>
      </c>
      <c r="FR276" s="208">
        <v>0</v>
      </c>
      <c r="FS276" s="208">
        <v>0</v>
      </c>
      <c r="FT276" s="208">
        <v>0</v>
      </c>
      <c r="FU276" s="208">
        <v>-218450</v>
      </c>
      <c r="FV276" s="208">
        <v>0</v>
      </c>
      <c r="FW276" s="208">
        <v>-218450</v>
      </c>
      <c r="FX276" s="208">
        <v>0</v>
      </c>
      <c r="FY276" s="208">
        <v>0</v>
      </c>
      <c r="FZ276" s="208">
        <v>0</v>
      </c>
      <c r="GA276" s="208">
        <v>0</v>
      </c>
      <c r="GB276" s="208">
        <v>0</v>
      </c>
      <c r="GC276" s="208">
        <v>0</v>
      </c>
      <c r="GD276" s="208">
        <v>0</v>
      </c>
      <c r="GE276" s="208">
        <v>0</v>
      </c>
      <c r="GF276" s="208">
        <v>0</v>
      </c>
      <c r="GG276" s="208">
        <v>69695346</v>
      </c>
      <c r="GH276" s="208">
        <v>0</v>
      </c>
      <c r="GI276" s="208">
        <v>69695346</v>
      </c>
      <c r="GJ276" s="208">
        <v>1709073</v>
      </c>
      <c r="GK276" s="208">
        <v>0</v>
      </c>
      <c r="GL276" s="208">
        <v>1709073</v>
      </c>
      <c r="GM276" s="208">
        <v>-12307478</v>
      </c>
      <c r="GN276" s="208">
        <v>0</v>
      </c>
      <c r="GO276" s="208">
        <v>-12307478</v>
      </c>
      <c r="GP276" s="208">
        <v>-2259409</v>
      </c>
      <c r="GQ276" s="208">
        <v>0</v>
      </c>
      <c r="GR276" s="208">
        <v>-2259409</v>
      </c>
      <c r="GS276" s="208">
        <v>-49804</v>
      </c>
      <c r="GT276" s="208">
        <v>0</v>
      </c>
      <c r="GU276" s="208">
        <v>-49804</v>
      </c>
      <c r="GV276" s="208">
        <v>-218450</v>
      </c>
      <c r="GW276" s="208">
        <v>0</v>
      </c>
      <c r="GX276" s="208">
        <v>-218450</v>
      </c>
      <c r="GY276" s="208">
        <v>0</v>
      </c>
      <c r="GZ276" s="208">
        <v>0</v>
      </c>
      <c r="HA276" s="208">
        <v>0</v>
      </c>
      <c r="HB276" s="208">
        <v>-13126068</v>
      </c>
      <c r="HC276" s="208">
        <v>0</v>
      </c>
      <c r="HD276" s="208">
        <v>-13126068</v>
      </c>
      <c r="HE276" s="208">
        <v>56569278</v>
      </c>
      <c r="HF276" s="208">
        <v>0</v>
      </c>
      <c r="HG276" s="208">
        <v>56569278</v>
      </c>
      <c r="HH276" s="187" t="s">
        <v>1056</v>
      </c>
    </row>
    <row r="277" spans="2:216" s="187" customFormat="1" x14ac:dyDescent="0.2">
      <c r="B277" s="429" t="s">
        <v>632</v>
      </c>
      <c r="C277" s="429" t="s">
        <v>631</v>
      </c>
      <c r="D277" s="208">
        <v>-530294</v>
      </c>
      <c r="E277" s="208">
        <v>0</v>
      </c>
      <c r="F277" s="208">
        <v>-530294</v>
      </c>
      <c r="G277" s="208">
        <v>8169</v>
      </c>
      <c r="H277" s="208">
        <v>0</v>
      </c>
      <c r="I277" s="208">
        <v>8169</v>
      </c>
      <c r="J277" s="208">
        <v>1241158</v>
      </c>
      <c r="K277" s="208">
        <v>0</v>
      </c>
      <c r="L277" s="208">
        <v>1241158</v>
      </c>
      <c r="M277" s="208">
        <v>3273</v>
      </c>
      <c r="N277" s="208">
        <v>0</v>
      </c>
      <c r="O277" s="208">
        <v>3273</v>
      </c>
      <c r="P277" s="208">
        <v>722306</v>
      </c>
      <c r="Q277" s="208">
        <v>0</v>
      </c>
      <c r="R277" s="208">
        <v>722306</v>
      </c>
      <c r="S277" s="208">
        <v>-2173307</v>
      </c>
      <c r="T277" s="208">
        <v>0</v>
      </c>
      <c r="U277" s="208">
        <v>-2173307</v>
      </c>
      <c r="V277" s="208">
        <v>0</v>
      </c>
      <c r="W277" s="208">
        <v>0</v>
      </c>
      <c r="X277" s="208">
        <v>0</v>
      </c>
      <c r="Y277" s="208">
        <v>-31480</v>
      </c>
      <c r="Z277" s="208">
        <v>0</v>
      </c>
      <c r="AA277" s="208">
        <v>-31480</v>
      </c>
      <c r="AB277" s="208">
        <v>11457</v>
      </c>
      <c r="AC277" s="208">
        <v>0</v>
      </c>
      <c r="AD277" s="208">
        <v>11457</v>
      </c>
      <c r="AE277" s="208">
        <v>-37124</v>
      </c>
      <c r="AF277" s="208">
        <v>0</v>
      </c>
      <c r="AG277" s="208">
        <v>-37124</v>
      </c>
      <c r="AH277" s="208">
        <v>-3305</v>
      </c>
      <c r="AI277" s="208">
        <v>0</v>
      </c>
      <c r="AJ277" s="208">
        <v>-3305</v>
      </c>
      <c r="AK277" s="208">
        <v>-2509</v>
      </c>
      <c r="AL277" s="208">
        <v>0</v>
      </c>
      <c r="AM277" s="208">
        <v>-2509</v>
      </c>
      <c r="AN277" s="208">
        <v>817694</v>
      </c>
      <c r="AO277" s="208">
        <v>0</v>
      </c>
      <c r="AP277" s="208">
        <v>817694</v>
      </c>
      <c r="AQ277" s="208">
        <v>-9036</v>
      </c>
      <c r="AR277" s="208">
        <v>0</v>
      </c>
      <c r="AS277" s="208">
        <v>-9036</v>
      </c>
      <c r="AT277" s="208">
        <v>-1399306</v>
      </c>
      <c r="AU277" s="208">
        <v>0</v>
      </c>
      <c r="AV277" s="208">
        <v>-1399306</v>
      </c>
      <c r="AW277" s="208">
        <v>5515</v>
      </c>
      <c r="AX277" s="208">
        <v>0</v>
      </c>
      <c r="AY277" s="208">
        <v>5515</v>
      </c>
      <c r="AZ277" s="208">
        <v>-44437</v>
      </c>
      <c r="BA277" s="208">
        <v>0</v>
      </c>
      <c r="BB277" s="208">
        <v>-44437</v>
      </c>
      <c r="BC277" s="208">
        <v>0</v>
      </c>
      <c r="BD277" s="208">
        <v>0</v>
      </c>
      <c r="BE277" s="208">
        <v>0</v>
      </c>
      <c r="BF277" s="208">
        <v>0</v>
      </c>
      <c r="BG277" s="208">
        <v>0</v>
      </c>
      <c r="BH277" s="208">
        <v>0</v>
      </c>
      <c r="BI277" s="208">
        <v>0</v>
      </c>
      <c r="BJ277" s="208">
        <v>0</v>
      </c>
      <c r="BK277" s="208">
        <v>0</v>
      </c>
      <c r="BL277" s="208">
        <v>-2834357</v>
      </c>
      <c r="BM277" s="208">
        <v>0</v>
      </c>
      <c r="BN277" s="208">
        <v>-2834357</v>
      </c>
      <c r="BO277" s="208">
        <v>0</v>
      </c>
      <c r="BP277" s="208">
        <v>0</v>
      </c>
      <c r="BQ277" s="208">
        <v>0</v>
      </c>
      <c r="BR277" s="208">
        <v>0</v>
      </c>
      <c r="BS277" s="208">
        <v>0</v>
      </c>
      <c r="BT277" s="208">
        <v>0</v>
      </c>
      <c r="BU277" s="208">
        <v>-952564</v>
      </c>
      <c r="BV277" s="208">
        <v>0</v>
      </c>
      <c r="BW277" s="208">
        <v>-952564</v>
      </c>
      <c r="BX277" s="208">
        <v>-36710</v>
      </c>
      <c r="BY277" s="208">
        <v>0</v>
      </c>
      <c r="BZ277" s="208">
        <v>-36710</v>
      </c>
      <c r="CA277" s="208">
        <v>-989274</v>
      </c>
      <c r="CB277" s="208">
        <v>0</v>
      </c>
      <c r="CC277" s="208">
        <v>-989274</v>
      </c>
      <c r="CD277" s="208">
        <v>-16263</v>
      </c>
      <c r="CE277" s="208">
        <v>0</v>
      </c>
      <c r="CF277" s="208">
        <v>-16263</v>
      </c>
      <c r="CG277" s="208">
        <v>0</v>
      </c>
      <c r="CH277" s="208">
        <v>0</v>
      </c>
      <c r="CI277" s="208">
        <v>0</v>
      </c>
      <c r="CJ277" s="208">
        <v>-2190</v>
      </c>
      <c r="CK277" s="208">
        <v>0</v>
      </c>
      <c r="CL277" s="208">
        <v>-2190</v>
      </c>
      <c r="CM277" s="208">
        <v>0</v>
      </c>
      <c r="CN277" s="208">
        <v>0</v>
      </c>
      <c r="CO277" s="208">
        <v>0</v>
      </c>
      <c r="CP277" s="208">
        <v>-1107</v>
      </c>
      <c r="CQ277" s="208">
        <v>0</v>
      </c>
      <c r="CR277" s="208">
        <v>-1107</v>
      </c>
      <c r="CS277" s="208">
        <v>0</v>
      </c>
      <c r="CT277" s="208">
        <v>0</v>
      </c>
      <c r="CU277" s="208">
        <v>0</v>
      </c>
      <c r="CV277" s="208">
        <v>0</v>
      </c>
      <c r="CW277" s="208">
        <v>0</v>
      </c>
      <c r="CX277" s="208">
        <v>0</v>
      </c>
      <c r="CY277" s="208">
        <v>0</v>
      </c>
      <c r="CZ277" s="208">
        <v>0</v>
      </c>
      <c r="DA277" s="208">
        <v>0</v>
      </c>
      <c r="DB277" s="208">
        <v>0</v>
      </c>
      <c r="DC277" s="208">
        <v>0</v>
      </c>
      <c r="DD277" s="208">
        <v>0</v>
      </c>
      <c r="DE277" s="208">
        <v>0</v>
      </c>
      <c r="DF277" s="208">
        <v>0</v>
      </c>
      <c r="DG277" s="208">
        <v>0</v>
      </c>
      <c r="DH277" s="208">
        <v>0</v>
      </c>
      <c r="DI277" s="208">
        <v>0</v>
      </c>
      <c r="DJ277" s="208">
        <v>0</v>
      </c>
      <c r="DK277" s="208">
        <v>0</v>
      </c>
      <c r="DL277" s="208">
        <v>0</v>
      </c>
      <c r="DM277" s="208">
        <v>0</v>
      </c>
      <c r="DN277" s="208">
        <v>0</v>
      </c>
      <c r="DO277" s="208">
        <v>0</v>
      </c>
      <c r="DP277" s="208">
        <v>-19560</v>
      </c>
      <c r="DQ277" s="208">
        <v>0</v>
      </c>
      <c r="DR277" s="208">
        <v>-19560</v>
      </c>
      <c r="DS277" s="208">
        <v>0</v>
      </c>
      <c r="DT277" s="208">
        <v>0</v>
      </c>
      <c r="DU277" s="208">
        <v>0</v>
      </c>
      <c r="DV277" s="208">
        <v>0</v>
      </c>
      <c r="DW277" s="208">
        <v>0</v>
      </c>
      <c r="DX277" s="208">
        <v>0</v>
      </c>
      <c r="DY277" s="208">
        <v>0</v>
      </c>
      <c r="DZ277" s="208">
        <v>0</v>
      </c>
      <c r="EA277" s="208">
        <v>0</v>
      </c>
      <c r="EB277" s="208">
        <v>0</v>
      </c>
      <c r="EC277" s="208">
        <v>0</v>
      </c>
      <c r="ED277" s="208">
        <v>0</v>
      </c>
      <c r="EE277" s="208">
        <v>0</v>
      </c>
      <c r="EF277" s="208">
        <v>0</v>
      </c>
      <c r="EG277" s="208">
        <v>0</v>
      </c>
      <c r="EH277" s="208">
        <v>0</v>
      </c>
      <c r="EI277" s="208">
        <v>0</v>
      </c>
      <c r="EJ277" s="208">
        <v>0</v>
      </c>
      <c r="EK277" s="208">
        <v>0</v>
      </c>
      <c r="EL277" s="208">
        <v>0</v>
      </c>
      <c r="EM277" s="208">
        <v>0</v>
      </c>
      <c r="EN277" s="208">
        <v>0</v>
      </c>
      <c r="EO277" s="208">
        <v>0</v>
      </c>
      <c r="EP277" s="208">
        <v>0</v>
      </c>
      <c r="EQ277" s="208">
        <v>-1500</v>
      </c>
      <c r="ER277" s="208">
        <v>0</v>
      </c>
      <c r="ES277" s="208">
        <v>-1500</v>
      </c>
      <c r="ET277" s="208">
        <v>0</v>
      </c>
      <c r="EU277" s="208">
        <v>0</v>
      </c>
      <c r="EV277" s="208">
        <v>0</v>
      </c>
      <c r="EW277" s="208">
        <v>-7078</v>
      </c>
      <c r="EX277" s="208">
        <v>0</v>
      </c>
      <c r="EY277" s="208">
        <v>-7078</v>
      </c>
      <c r="EZ277" s="208">
        <v>0</v>
      </c>
      <c r="FA277" s="208">
        <v>0</v>
      </c>
      <c r="FB277" s="208">
        <v>0</v>
      </c>
      <c r="FC277" s="208">
        <v>-103170</v>
      </c>
      <c r="FD277" s="208">
        <v>0</v>
      </c>
      <c r="FE277" s="208">
        <v>-103170</v>
      </c>
      <c r="FF277" s="208">
        <v>3134</v>
      </c>
      <c r="FG277" s="208">
        <v>0</v>
      </c>
      <c r="FH277" s="208">
        <v>3134</v>
      </c>
      <c r="FI277" s="208">
        <v>-15879</v>
      </c>
      <c r="FJ277" s="208">
        <v>0</v>
      </c>
      <c r="FK277" s="208">
        <v>-15879</v>
      </c>
      <c r="FL277" s="208">
        <v>85</v>
      </c>
      <c r="FM277" s="208">
        <v>0</v>
      </c>
      <c r="FN277" s="208">
        <v>85</v>
      </c>
      <c r="FO277" s="208">
        <v>0</v>
      </c>
      <c r="FP277" s="208">
        <v>0</v>
      </c>
      <c r="FQ277" s="208">
        <v>0</v>
      </c>
      <c r="FR277" s="208">
        <v>0</v>
      </c>
      <c r="FS277" s="208">
        <v>0</v>
      </c>
      <c r="FT277" s="208">
        <v>0</v>
      </c>
      <c r="FU277" s="208">
        <v>-124408</v>
      </c>
      <c r="FV277" s="208">
        <v>0</v>
      </c>
      <c r="FW277" s="208">
        <v>-124408</v>
      </c>
      <c r="FX277" s="208">
        <v>0</v>
      </c>
      <c r="FY277" s="208">
        <v>0</v>
      </c>
      <c r="FZ277" s="208">
        <v>0</v>
      </c>
      <c r="GA277" s="208">
        <v>0</v>
      </c>
      <c r="GB277" s="208">
        <v>0</v>
      </c>
      <c r="GC277" s="208">
        <v>0</v>
      </c>
      <c r="GD277" s="208">
        <v>0</v>
      </c>
      <c r="GE277" s="208">
        <v>0</v>
      </c>
      <c r="GF277" s="208">
        <v>0</v>
      </c>
      <c r="GG277" s="208">
        <v>38714721</v>
      </c>
      <c r="GH277" s="208">
        <v>0</v>
      </c>
      <c r="GI277" s="208">
        <v>38714721</v>
      </c>
      <c r="GJ277" s="208">
        <v>722306</v>
      </c>
      <c r="GK277" s="208">
        <v>0</v>
      </c>
      <c r="GL277" s="208">
        <v>722306</v>
      </c>
      <c r="GM277" s="208">
        <v>-2834357</v>
      </c>
      <c r="GN277" s="208">
        <v>0</v>
      </c>
      <c r="GO277" s="208">
        <v>-2834357</v>
      </c>
      <c r="GP277" s="208">
        <v>-989274</v>
      </c>
      <c r="GQ277" s="208">
        <v>0</v>
      </c>
      <c r="GR277" s="208">
        <v>-989274</v>
      </c>
      <c r="GS277" s="208">
        <v>-19560</v>
      </c>
      <c r="GT277" s="208">
        <v>0</v>
      </c>
      <c r="GU277" s="208">
        <v>-19560</v>
      </c>
      <c r="GV277" s="208">
        <v>-124408</v>
      </c>
      <c r="GW277" s="208">
        <v>0</v>
      </c>
      <c r="GX277" s="208">
        <v>-124408</v>
      </c>
      <c r="GY277" s="208">
        <v>0</v>
      </c>
      <c r="GZ277" s="208">
        <v>0</v>
      </c>
      <c r="HA277" s="208">
        <v>0</v>
      </c>
      <c r="HB277" s="208">
        <v>-3245293</v>
      </c>
      <c r="HC277" s="208">
        <v>0</v>
      </c>
      <c r="HD277" s="208">
        <v>-3245293</v>
      </c>
      <c r="HE277" s="208">
        <v>35469428</v>
      </c>
      <c r="HF277" s="208">
        <v>0</v>
      </c>
      <c r="HG277" s="208">
        <v>35469428</v>
      </c>
      <c r="HH277" s="187" t="s">
        <v>1054</v>
      </c>
    </row>
    <row r="278" spans="2:216" s="187" customFormat="1" x14ac:dyDescent="0.2">
      <c r="B278" s="429" t="s">
        <v>634</v>
      </c>
      <c r="C278" s="429" t="s">
        <v>633</v>
      </c>
      <c r="D278" s="208">
        <v>-1091743</v>
      </c>
      <c r="E278" s="208">
        <v>0</v>
      </c>
      <c r="F278" s="208">
        <v>-1091743</v>
      </c>
      <c r="G278" s="208">
        <v>14840</v>
      </c>
      <c r="H278" s="208">
        <v>0</v>
      </c>
      <c r="I278" s="208">
        <v>14840</v>
      </c>
      <c r="J278" s="208">
        <v>181996</v>
      </c>
      <c r="K278" s="208">
        <v>0</v>
      </c>
      <c r="L278" s="208">
        <v>181996</v>
      </c>
      <c r="M278" s="208">
        <v>562</v>
      </c>
      <c r="N278" s="208">
        <v>0</v>
      </c>
      <c r="O278" s="208">
        <v>562</v>
      </c>
      <c r="P278" s="208">
        <v>-894345</v>
      </c>
      <c r="Q278" s="208">
        <v>0</v>
      </c>
      <c r="R278" s="208">
        <v>-894345</v>
      </c>
      <c r="S278" s="208">
        <v>-3215894</v>
      </c>
      <c r="T278" s="208">
        <v>0</v>
      </c>
      <c r="U278" s="208">
        <v>-3215894</v>
      </c>
      <c r="V278" s="208">
        <v>0</v>
      </c>
      <c r="W278" s="208">
        <v>0</v>
      </c>
      <c r="X278" s="208">
        <v>0</v>
      </c>
      <c r="Y278" s="208">
        <v>-43158</v>
      </c>
      <c r="Z278" s="208">
        <v>0</v>
      </c>
      <c r="AA278" s="208">
        <v>-43158</v>
      </c>
      <c r="AB278" s="208">
        <v>3113</v>
      </c>
      <c r="AC278" s="208">
        <v>0</v>
      </c>
      <c r="AD278" s="208">
        <v>3113</v>
      </c>
      <c r="AE278" s="208">
        <v>-46270.99</v>
      </c>
      <c r="AF278" s="208">
        <v>0</v>
      </c>
      <c r="AG278" s="208">
        <v>-46270.99</v>
      </c>
      <c r="AH278" s="208">
        <v>0</v>
      </c>
      <c r="AI278" s="208">
        <v>0</v>
      </c>
      <c r="AJ278" s="208">
        <v>0</v>
      </c>
      <c r="AK278" s="208">
        <v>0</v>
      </c>
      <c r="AL278" s="208">
        <v>0</v>
      </c>
      <c r="AM278" s="208">
        <v>0</v>
      </c>
      <c r="AN278" s="208">
        <v>467967</v>
      </c>
      <c r="AO278" s="208">
        <v>0</v>
      </c>
      <c r="AP278" s="208">
        <v>467967</v>
      </c>
      <c r="AQ278" s="208">
        <v>7991</v>
      </c>
      <c r="AR278" s="208">
        <v>0</v>
      </c>
      <c r="AS278" s="208">
        <v>7991</v>
      </c>
      <c r="AT278" s="208">
        <v>-3353375</v>
      </c>
      <c r="AU278" s="208">
        <v>0</v>
      </c>
      <c r="AV278" s="208">
        <v>-3353375</v>
      </c>
      <c r="AW278" s="208">
        <v>-7578</v>
      </c>
      <c r="AX278" s="208">
        <v>0</v>
      </c>
      <c r="AY278" s="208">
        <v>-7578</v>
      </c>
      <c r="AZ278" s="208">
        <v>-37880</v>
      </c>
      <c r="BA278" s="208">
        <v>0</v>
      </c>
      <c r="BB278" s="208">
        <v>-37880</v>
      </c>
      <c r="BC278" s="208">
        <v>0</v>
      </c>
      <c r="BD278" s="208">
        <v>0</v>
      </c>
      <c r="BE278" s="208">
        <v>0</v>
      </c>
      <c r="BF278" s="208">
        <v>-16577</v>
      </c>
      <c r="BG278" s="208">
        <v>0</v>
      </c>
      <c r="BH278" s="208">
        <v>-16577</v>
      </c>
      <c r="BI278" s="208">
        <v>-904</v>
      </c>
      <c r="BJ278" s="208">
        <v>0</v>
      </c>
      <c r="BK278" s="208">
        <v>-904</v>
      </c>
      <c r="BL278" s="208">
        <v>-6199408</v>
      </c>
      <c r="BM278" s="208">
        <v>0</v>
      </c>
      <c r="BN278" s="208">
        <v>-6199408</v>
      </c>
      <c r="BO278" s="208">
        <v>0</v>
      </c>
      <c r="BP278" s="208">
        <v>0</v>
      </c>
      <c r="BQ278" s="208">
        <v>0</v>
      </c>
      <c r="BR278" s="208">
        <v>0</v>
      </c>
      <c r="BS278" s="208">
        <v>0</v>
      </c>
      <c r="BT278" s="208">
        <v>0</v>
      </c>
      <c r="BU278" s="208">
        <v>-545463</v>
      </c>
      <c r="BV278" s="208">
        <v>0</v>
      </c>
      <c r="BW278" s="208">
        <v>-545463</v>
      </c>
      <c r="BX278" s="208">
        <v>-19227</v>
      </c>
      <c r="BY278" s="208">
        <v>0</v>
      </c>
      <c r="BZ278" s="208">
        <v>-19227</v>
      </c>
      <c r="CA278" s="208">
        <v>-564690</v>
      </c>
      <c r="CB278" s="208">
        <v>0</v>
      </c>
      <c r="CC278" s="208">
        <v>-564690</v>
      </c>
      <c r="CD278" s="208">
        <v>-47872</v>
      </c>
      <c r="CE278" s="208">
        <v>0</v>
      </c>
      <c r="CF278" s="208">
        <v>-47872</v>
      </c>
      <c r="CG278" s="208">
        <v>-148</v>
      </c>
      <c r="CH278" s="208">
        <v>0</v>
      </c>
      <c r="CI278" s="208">
        <v>-148</v>
      </c>
      <c r="CJ278" s="208">
        <v>-12167</v>
      </c>
      <c r="CK278" s="208">
        <v>0</v>
      </c>
      <c r="CL278" s="208">
        <v>-12167</v>
      </c>
      <c r="CM278" s="208">
        <v>0</v>
      </c>
      <c r="CN278" s="208">
        <v>0</v>
      </c>
      <c r="CO278" s="208">
        <v>0</v>
      </c>
      <c r="CP278" s="208">
        <v>-76</v>
      </c>
      <c r="CQ278" s="208">
        <v>0</v>
      </c>
      <c r="CR278" s="208">
        <v>-76</v>
      </c>
      <c r="CS278" s="208">
        <v>0</v>
      </c>
      <c r="CT278" s="208">
        <v>0</v>
      </c>
      <c r="CU278" s="208">
        <v>0</v>
      </c>
      <c r="CV278" s="208">
        <v>0</v>
      </c>
      <c r="CW278" s="208">
        <v>0</v>
      </c>
      <c r="CX278" s="208">
        <v>0</v>
      </c>
      <c r="CY278" s="208">
        <v>-904</v>
      </c>
      <c r="CZ278" s="208">
        <v>0</v>
      </c>
      <c r="DA278" s="208">
        <v>-904</v>
      </c>
      <c r="DB278" s="208">
        <v>0</v>
      </c>
      <c r="DC278" s="208">
        <v>0</v>
      </c>
      <c r="DD278" s="208">
        <v>0</v>
      </c>
      <c r="DE278" s="208">
        <v>0</v>
      </c>
      <c r="DF278" s="208">
        <v>0</v>
      </c>
      <c r="DG278" s="208">
        <v>0</v>
      </c>
      <c r="DH278" s="208">
        <v>0</v>
      </c>
      <c r="DI278" s="208">
        <v>0</v>
      </c>
      <c r="DJ278" s="208">
        <v>0</v>
      </c>
      <c r="DK278" s="208">
        <v>0</v>
      </c>
      <c r="DL278" s="208">
        <v>0</v>
      </c>
      <c r="DM278" s="208">
        <v>0</v>
      </c>
      <c r="DN278" s="208">
        <v>0</v>
      </c>
      <c r="DO278" s="208">
        <v>0</v>
      </c>
      <c r="DP278" s="208">
        <v>-61167</v>
      </c>
      <c r="DQ278" s="208">
        <v>0</v>
      </c>
      <c r="DR278" s="208">
        <v>-61167</v>
      </c>
      <c r="DS278" s="208">
        <v>0</v>
      </c>
      <c r="DT278" s="208">
        <v>0</v>
      </c>
      <c r="DU278" s="208">
        <v>0</v>
      </c>
      <c r="DV278" s="208">
        <v>0</v>
      </c>
      <c r="DW278" s="208">
        <v>0</v>
      </c>
      <c r="DX278" s="208">
        <v>0</v>
      </c>
      <c r="DY278" s="208">
        <v>0</v>
      </c>
      <c r="DZ278" s="208">
        <v>0</v>
      </c>
      <c r="EA278" s="208">
        <v>0</v>
      </c>
      <c r="EB278" s="208">
        <v>0</v>
      </c>
      <c r="EC278" s="208">
        <v>0</v>
      </c>
      <c r="ED278" s="208">
        <v>0</v>
      </c>
      <c r="EE278" s="208">
        <v>0</v>
      </c>
      <c r="EF278" s="208">
        <v>0</v>
      </c>
      <c r="EG278" s="208">
        <v>0</v>
      </c>
      <c r="EH278" s="208">
        <v>0</v>
      </c>
      <c r="EI278" s="208">
        <v>0</v>
      </c>
      <c r="EJ278" s="208">
        <v>0</v>
      </c>
      <c r="EK278" s="208">
        <v>-16577</v>
      </c>
      <c r="EL278" s="208">
        <v>0</v>
      </c>
      <c r="EM278" s="208">
        <v>-16577</v>
      </c>
      <c r="EN278" s="208">
        <v>0</v>
      </c>
      <c r="EO278" s="208">
        <v>0</v>
      </c>
      <c r="EP278" s="208">
        <v>0</v>
      </c>
      <c r="EQ278" s="208">
        <v>0</v>
      </c>
      <c r="ER278" s="208">
        <v>0</v>
      </c>
      <c r="ES278" s="208">
        <v>0</v>
      </c>
      <c r="ET278" s="208">
        <v>0</v>
      </c>
      <c r="EU278" s="208">
        <v>0</v>
      </c>
      <c r="EV278" s="208">
        <v>0</v>
      </c>
      <c r="EW278" s="208">
        <v>-64763</v>
      </c>
      <c r="EX278" s="208">
        <v>0</v>
      </c>
      <c r="EY278" s="208">
        <v>-64763</v>
      </c>
      <c r="EZ278" s="208">
        <v>9508</v>
      </c>
      <c r="FA278" s="208">
        <v>0</v>
      </c>
      <c r="FB278" s="208">
        <v>9508</v>
      </c>
      <c r="FC278" s="208">
        <v>-102344</v>
      </c>
      <c r="FD278" s="208">
        <v>0</v>
      </c>
      <c r="FE278" s="208">
        <v>-102344</v>
      </c>
      <c r="FF278" s="208">
        <v>540</v>
      </c>
      <c r="FG278" s="208">
        <v>0</v>
      </c>
      <c r="FH278" s="208">
        <v>540</v>
      </c>
      <c r="FI278" s="208">
        <v>-32395</v>
      </c>
      <c r="FJ278" s="208">
        <v>0</v>
      </c>
      <c r="FK278" s="208">
        <v>-32395</v>
      </c>
      <c r="FL278" s="208">
        <v>1101</v>
      </c>
      <c r="FM278" s="208">
        <v>0</v>
      </c>
      <c r="FN278" s="208">
        <v>1101</v>
      </c>
      <c r="FO278" s="208">
        <v>0</v>
      </c>
      <c r="FP278" s="208">
        <v>0</v>
      </c>
      <c r="FQ278" s="208">
        <v>0</v>
      </c>
      <c r="FR278" s="208">
        <v>0</v>
      </c>
      <c r="FS278" s="208">
        <v>0</v>
      </c>
      <c r="FT278" s="208">
        <v>0</v>
      </c>
      <c r="FU278" s="208">
        <v>-204930</v>
      </c>
      <c r="FV278" s="208">
        <v>0</v>
      </c>
      <c r="FW278" s="208">
        <v>-204930</v>
      </c>
      <c r="FX278" s="208">
        <v>0</v>
      </c>
      <c r="FY278" s="208">
        <v>0</v>
      </c>
      <c r="FZ278" s="208">
        <v>0</v>
      </c>
      <c r="GA278" s="208">
        <v>0</v>
      </c>
      <c r="GB278" s="208">
        <v>0</v>
      </c>
      <c r="GC278" s="208">
        <v>0</v>
      </c>
      <c r="GD278" s="208">
        <v>0</v>
      </c>
      <c r="GE278" s="208">
        <v>0</v>
      </c>
      <c r="GF278" s="208">
        <v>0</v>
      </c>
      <c r="GG278" s="208">
        <v>29271259</v>
      </c>
      <c r="GH278" s="208">
        <v>0</v>
      </c>
      <c r="GI278" s="208">
        <v>29271259</v>
      </c>
      <c r="GJ278" s="208">
        <v>-894345</v>
      </c>
      <c r="GK278" s="208">
        <v>0</v>
      </c>
      <c r="GL278" s="208">
        <v>-894345</v>
      </c>
      <c r="GM278" s="208">
        <v>-6199408</v>
      </c>
      <c r="GN278" s="208">
        <v>0</v>
      </c>
      <c r="GO278" s="208">
        <v>-6199408</v>
      </c>
      <c r="GP278" s="208">
        <v>-564690</v>
      </c>
      <c r="GQ278" s="208">
        <v>0</v>
      </c>
      <c r="GR278" s="208">
        <v>-564690</v>
      </c>
      <c r="GS278" s="208">
        <v>-61167</v>
      </c>
      <c r="GT278" s="208">
        <v>0</v>
      </c>
      <c r="GU278" s="208">
        <v>-61167</v>
      </c>
      <c r="GV278" s="208">
        <v>-204930</v>
      </c>
      <c r="GW278" s="208">
        <v>0</v>
      </c>
      <c r="GX278" s="208">
        <v>-204930</v>
      </c>
      <c r="GY278" s="208">
        <v>0</v>
      </c>
      <c r="GZ278" s="208">
        <v>0</v>
      </c>
      <c r="HA278" s="208">
        <v>0</v>
      </c>
      <c r="HB278" s="208">
        <v>-7924540</v>
      </c>
      <c r="HC278" s="208">
        <v>0</v>
      </c>
      <c r="HD278" s="208">
        <v>-7924540</v>
      </c>
      <c r="HE278" s="208">
        <v>21346719</v>
      </c>
      <c r="HF278" s="208">
        <v>0</v>
      </c>
      <c r="HG278" s="208">
        <v>21346719</v>
      </c>
      <c r="HH278" s="187" t="s">
        <v>1054</v>
      </c>
    </row>
    <row r="279" spans="2:216" s="187" customFormat="1" x14ac:dyDescent="0.2">
      <c r="B279" s="429" t="s">
        <v>636</v>
      </c>
      <c r="C279" s="429" t="s">
        <v>635</v>
      </c>
      <c r="D279" s="208">
        <v>-967217</v>
      </c>
      <c r="E279" s="208">
        <v>0</v>
      </c>
      <c r="F279" s="208">
        <v>-967217</v>
      </c>
      <c r="G279" s="208">
        <v>7073</v>
      </c>
      <c r="H279" s="208">
        <v>0</v>
      </c>
      <c r="I279" s="208">
        <v>7073</v>
      </c>
      <c r="J279" s="208">
        <v>2070972</v>
      </c>
      <c r="K279" s="208">
        <v>0</v>
      </c>
      <c r="L279" s="208">
        <v>2070972</v>
      </c>
      <c r="M279" s="208">
        <v>-221774</v>
      </c>
      <c r="N279" s="208">
        <v>0</v>
      </c>
      <c r="O279" s="208">
        <v>-221774</v>
      </c>
      <c r="P279" s="208">
        <v>889054</v>
      </c>
      <c r="Q279" s="208">
        <v>0</v>
      </c>
      <c r="R279" s="208">
        <v>889054</v>
      </c>
      <c r="S279" s="208">
        <v>-4442459</v>
      </c>
      <c r="T279" s="208">
        <v>0</v>
      </c>
      <c r="U279" s="208">
        <v>-4442459</v>
      </c>
      <c r="V279" s="208">
        <v>-45231</v>
      </c>
      <c r="W279" s="208">
        <v>0</v>
      </c>
      <c r="X279" s="208">
        <v>-45231</v>
      </c>
      <c r="Y279" s="208">
        <v>-173515</v>
      </c>
      <c r="Z279" s="208">
        <v>0</v>
      </c>
      <c r="AA279" s="208">
        <v>-173515</v>
      </c>
      <c r="AB279" s="208">
        <v>-42953</v>
      </c>
      <c r="AC279" s="208">
        <v>0</v>
      </c>
      <c r="AD279" s="208">
        <v>-42953</v>
      </c>
      <c r="AE279" s="208">
        <v>-129928</v>
      </c>
      <c r="AF279" s="208">
        <v>0</v>
      </c>
      <c r="AG279" s="208">
        <v>-129928</v>
      </c>
      <c r="AH279" s="208">
        <v>-5060</v>
      </c>
      <c r="AI279" s="208">
        <v>0</v>
      </c>
      <c r="AJ279" s="208">
        <v>-5060</v>
      </c>
      <c r="AK279" s="208">
        <v>-8001</v>
      </c>
      <c r="AL279" s="208">
        <v>0</v>
      </c>
      <c r="AM279" s="208">
        <v>-8001</v>
      </c>
      <c r="AN279" s="208">
        <v>902008</v>
      </c>
      <c r="AO279" s="208">
        <v>0</v>
      </c>
      <c r="AP279" s="208">
        <v>902008</v>
      </c>
      <c r="AQ279" s="208">
        <v>-23420</v>
      </c>
      <c r="AR279" s="208">
        <v>0</v>
      </c>
      <c r="AS279" s="208">
        <v>-23420</v>
      </c>
      <c r="AT279" s="208">
        <v>-4257718</v>
      </c>
      <c r="AU279" s="208">
        <v>0</v>
      </c>
      <c r="AV279" s="208">
        <v>-4257718</v>
      </c>
      <c r="AW279" s="208">
        <v>-567</v>
      </c>
      <c r="AX279" s="208">
        <v>0</v>
      </c>
      <c r="AY279" s="208">
        <v>-567</v>
      </c>
      <c r="AZ279" s="208">
        <v>-59340</v>
      </c>
      <c r="BA279" s="208">
        <v>0</v>
      </c>
      <c r="BB279" s="208">
        <v>-59340</v>
      </c>
      <c r="BC279" s="208">
        <v>0</v>
      </c>
      <c r="BD279" s="208">
        <v>0</v>
      </c>
      <c r="BE279" s="208">
        <v>0</v>
      </c>
      <c r="BF279" s="208">
        <v>-31720</v>
      </c>
      <c r="BG279" s="208">
        <v>0</v>
      </c>
      <c r="BH279" s="208">
        <v>-31720</v>
      </c>
      <c r="BI279" s="208">
        <v>-1767</v>
      </c>
      <c r="BJ279" s="208">
        <v>0</v>
      </c>
      <c r="BK279" s="208">
        <v>-1767</v>
      </c>
      <c r="BL279" s="208">
        <v>-8088498</v>
      </c>
      <c r="BM279" s="208">
        <v>0</v>
      </c>
      <c r="BN279" s="208">
        <v>-8088498</v>
      </c>
      <c r="BO279" s="208">
        <v>0</v>
      </c>
      <c r="BP279" s="208">
        <v>0</v>
      </c>
      <c r="BQ279" s="208">
        <v>0</v>
      </c>
      <c r="BR279" s="208">
        <v>-5656</v>
      </c>
      <c r="BS279" s="208">
        <v>0</v>
      </c>
      <c r="BT279" s="208">
        <v>-5656</v>
      </c>
      <c r="BU279" s="208">
        <v>-1244556</v>
      </c>
      <c r="BV279" s="208">
        <v>0</v>
      </c>
      <c r="BW279" s="208">
        <v>-1244556</v>
      </c>
      <c r="BX279" s="208">
        <v>20239</v>
      </c>
      <c r="BY279" s="208">
        <v>0</v>
      </c>
      <c r="BZ279" s="208">
        <v>20239</v>
      </c>
      <c r="CA279" s="208">
        <v>-1229973</v>
      </c>
      <c r="CB279" s="208">
        <v>0</v>
      </c>
      <c r="CC279" s="208">
        <v>-1229973</v>
      </c>
      <c r="CD279" s="208">
        <v>-248836</v>
      </c>
      <c r="CE279" s="208">
        <v>0</v>
      </c>
      <c r="CF279" s="208">
        <v>-248836</v>
      </c>
      <c r="CG279" s="208">
        <v>2384</v>
      </c>
      <c r="CH279" s="208">
        <v>0</v>
      </c>
      <c r="CI279" s="208">
        <v>2384</v>
      </c>
      <c r="CJ279" s="208">
        <v>-74840</v>
      </c>
      <c r="CK279" s="208">
        <v>0</v>
      </c>
      <c r="CL279" s="208">
        <v>-74840</v>
      </c>
      <c r="CM279" s="208">
        <v>-3131</v>
      </c>
      <c r="CN279" s="208">
        <v>0</v>
      </c>
      <c r="CO279" s="208">
        <v>-3131</v>
      </c>
      <c r="CP279" s="208">
        <v>-2391</v>
      </c>
      <c r="CQ279" s="208">
        <v>0</v>
      </c>
      <c r="CR279" s="208">
        <v>-2391</v>
      </c>
      <c r="CS279" s="208">
        <v>0</v>
      </c>
      <c r="CT279" s="208">
        <v>0</v>
      </c>
      <c r="CU279" s="208">
        <v>0</v>
      </c>
      <c r="CV279" s="208">
        <v>0</v>
      </c>
      <c r="CW279" s="208">
        <v>0</v>
      </c>
      <c r="CX279" s="208">
        <v>0</v>
      </c>
      <c r="CY279" s="208">
        <v>0</v>
      </c>
      <c r="CZ279" s="208">
        <v>0</v>
      </c>
      <c r="DA279" s="208">
        <v>0</v>
      </c>
      <c r="DB279" s="208">
        <v>0</v>
      </c>
      <c r="DC279" s="208">
        <v>0</v>
      </c>
      <c r="DD279" s="208">
        <v>0</v>
      </c>
      <c r="DE279" s="208">
        <v>0</v>
      </c>
      <c r="DF279" s="208">
        <v>0</v>
      </c>
      <c r="DG279" s="208">
        <v>0</v>
      </c>
      <c r="DH279" s="208">
        <v>0</v>
      </c>
      <c r="DI279" s="208">
        <v>0</v>
      </c>
      <c r="DJ279" s="208">
        <v>0</v>
      </c>
      <c r="DK279" s="208">
        <v>0</v>
      </c>
      <c r="DL279" s="208">
        <v>0</v>
      </c>
      <c r="DM279" s="208">
        <v>0</v>
      </c>
      <c r="DN279" s="208">
        <v>0</v>
      </c>
      <c r="DO279" s="208">
        <v>0</v>
      </c>
      <c r="DP279" s="208">
        <v>-326814</v>
      </c>
      <c r="DQ279" s="208">
        <v>0</v>
      </c>
      <c r="DR279" s="208">
        <v>-326814</v>
      </c>
      <c r="DS279" s="208">
        <v>157</v>
      </c>
      <c r="DT279" s="208">
        <v>0</v>
      </c>
      <c r="DU279" s="208">
        <v>157</v>
      </c>
      <c r="DV279" s="208">
        <v>25328</v>
      </c>
      <c r="DW279" s="208">
        <v>0</v>
      </c>
      <c r="DX279" s="208">
        <v>25328</v>
      </c>
      <c r="DY279" s="208">
        <v>1092</v>
      </c>
      <c r="DZ279" s="208">
        <v>0</v>
      </c>
      <c r="EA279" s="208">
        <v>1092</v>
      </c>
      <c r="EB279" s="208">
        <v>0</v>
      </c>
      <c r="EC279" s="208">
        <v>0</v>
      </c>
      <c r="ED279" s="208">
        <v>0</v>
      </c>
      <c r="EE279" s="208">
        <v>0</v>
      </c>
      <c r="EF279" s="208">
        <v>0</v>
      </c>
      <c r="EG279" s="208">
        <v>0</v>
      </c>
      <c r="EH279" s="208">
        <v>609</v>
      </c>
      <c r="EI279" s="208">
        <v>0</v>
      </c>
      <c r="EJ279" s="208">
        <v>609</v>
      </c>
      <c r="EK279" s="208">
        <v>-31257</v>
      </c>
      <c r="EL279" s="208">
        <v>0</v>
      </c>
      <c r="EM279" s="208">
        <v>-31257</v>
      </c>
      <c r="EN279" s="208">
        <v>-1941</v>
      </c>
      <c r="EO279" s="208">
        <v>0</v>
      </c>
      <c r="EP279" s="208">
        <v>-1941</v>
      </c>
      <c r="EQ279" s="208">
        <v>-1368</v>
      </c>
      <c r="ER279" s="208">
        <v>0</v>
      </c>
      <c r="ES279" s="208">
        <v>-1368</v>
      </c>
      <c r="ET279" s="208">
        <v>-1500</v>
      </c>
      <c r="EU279" s="208">
        <v>0</v>
      </c>
      <c r="EV279" s="208">
        <v>-1500</v>
      </c>
      <c r="EW279" s="208">
        <v>-17912</v>
      </c>
      <c r="EX279" s="208">
        <v>0</v>
      </c>
      <c r="EY279" s="208">
        <v>-17912</v>
      </c>
      <c r="EZ279" s="208">
        <v>787</v>
      </c>
      <c r="FA279" s="208">
        <v>0</v>
      </c>
      <c r="FB279" s="208">
        <v>787</v>
      </c>
      <c r="FC279" s="208">
        <v>-120091</v>
      </c>
      <c r="FD279" s="208">
        <v>0</v>
      </c>
      <c r="FE279" s="208">
        <v>-120091</v>
      </c>
      <c r="FF279" s="208">
        <v>13958</v>
      </c>
      <c r="FG279" s="208">
        <v>0</v>
      </c>
      <c r="FH279" s="208">
        <v>13958</v>
      </c>
      <c r="FI279" s="208">
        <v>-50071</v>
      </c>
      <c r="FJ279" s="208">
        <v>0</v>
      </c>
      <c r="FK279" s="208">
        <v>-50071</v>
      </c>
      <c r="FL279" s="208">
        <v>85</v>
      </c>
      <c r="FM279" s="208">
        <v>0</v>
      </c>
      <c r="FN279" s="208">
        <v>85</v>
      </c>
      <c r="FO279" s="208">
        <v>0</v>
      </c>
      <c r="FP279" s="208">
        <v>0</v>
      </c>
      <c r="FQ279" s="208">
        <v>0</v>
      </c>
      <c r="FR279" s="208">
        <v>0</v>
      </c>
      <c r="FS279" s="208">
        <v>0</v>
      </c>
      <c r="FT279" s="208">
        <v>0</v>
      </c>
      <c r="FU279" s="208">
        <v>-182124</v>
      </c>
      <c r="FV279" s="208">
        <v>0</v>
      </c>
      <c r="FW279" s="208">
        <v>-182124</v>
      </c>
      <c r="FX279" s="208">
        <v>0</v>
      </c>
      <c r="FY279" s="208">
        <v>0</v>
      </c>
      <c r="FZ279" s="208">
        <v>0</v>
      </c>
      <c r="GA279" s="208">
        <v>0</v>
      </c>
      <c r="GB279" s="208">
        <v>0</v>
      </c>
      <c r="GC279" s="208">
        <v>0</v>
      </c>
      <c r="GD279" s="208">
        <v>0</v>
      </c>
      <c r="GE279" s="208">
        <v>0</v>
      </c>
      <c r="GF279" s="208">
        <v>0</v>
      </c>
      <c r="GG279" s="208">
        <v>48997545</v>
      </c>
      <c r="GH279" s="208">
        <v>0</v>
      </c>
      <c r="GI279" s="208">
        <v>48997545</v>
      </c>
      <c r="GJ279" s="208">
        <v>889054</v>
      </c>
      <c r="GK279" s="208">
        <v>0</v>
      </c>
      <c r="GL279" s="208">
        <v>889054</v>
      </c>
      <c r="GM279" s="208">
        <v>-8088498</v>
      </c>
      <c r="GN279" s="208">
        <v>0</v>
      </c>
      <c r="GO279" s="208">
        <v>-8088498</v>
      </c>
      <c r="GP279" s="208">
        <v>-1229973</v>
      </c>
      <c r="GQ279" s="208">
        <v>0</v>
      </c>
      <c r="GR279" s="208">
        <v>-1229973</v>
      </c>
      <c r="GS279" s="208">
        <v>-326814</v>
      </c>
      <c r="GT279" s="208">
        <v>0</v>
      </c>
      <c r="GU279" s="208">
        <v>-326814</v>
      </c>
      <c r="GV279" s="208">
        <v>-182124</v>
      </c>
      <c r="GW279" s="208">
        <v>0</v>
      </c>
      <c r="GX279" s="208">
        <v>-182124</v>
      </c>
      <c r="GY279" s="208">
        <v>0</v>
      </c>
      <c r="GZ279" s="208">
        <v>0</v>
      </c>
      <c r="HA279" s="208">
        <v>0</v>
      </c>
      <c r="HB279" s="208">
        <v>-8938355</v>
      </c>
      <c r="HC279" s="208">
        <v>0</v>
      </c>
      <c r="HD279" s="208">
        <v>-8938355</v>
      </c>
      <c r="HE279" s="208">
        <v>40059190</v>
      </c>
      <c r="HF279" s="208">
        <v>0</v>
      </c>
      <c r="HG279" s="208">
        <v>40059190</v>
      </c>
      <c r="HH279" s="187" t="s">
        <v>1054</v>
      </c>
    </row>
    <row r="280" spans="2:216" s="187" customFormat="1" x14ac:dyDescent="0.2">
      <c r="B280" s="429" t="s">
        <v>638</v>
      </c>
      <c r="C280" s="429" t="s">
        <v>637</v>
      </c>
      <c r="D280" s="208">
        <v>-1015705</v>
      </c>
      <c r="E280" s="208">
        <v>0</v>
      </c>
      <c r="F280" s="208">
        <v>-1015705</v>
      </c>
      <c r="G280" s="208">
        <v>35586</v>
      </c>
      <c r="H280" s="208">
        <v>0</v>
      </c>
      <c r="I280" s="208">
        <v>35586</v>
      </c>
      <c r="J280" s="208">
        <v>1053972</v>
      </c>
      <c r="K280" s="208">
        <v>0</v>
      </c>
      <c r="L280" s="208">
        <v>1053972</v>
      </c>
      <c r="M280" s="208">
        <v>-16682</v>
      </c>
      <c r="N280" s="208">
        <v>0</v>
      </c>
      <c r="O280" s="208">
        <v>-16682</v>
      </c>
      <c r="P280" s="208">
        <v>57171</v>
      </c>
      <c r="Q280" s="208">
        <v>0</v>
      </c>
      <c r="R280" s="208">
        <v>57171</v>
      </c>
      <c r="S280" s="208">
        <v>-6057625</v>
      </c>
      <c r="T280" s="208">
        <v>0</v>
      </c>
      <c r="U280" s="208">
        <v>-6057625</v>
      </c>
      <c r="V280" s="208">
        <v>-12136</v>
      </c>
      <c r="W280" s="208">
        <v>0</v>
      </c>
      <c r="X280" s="208">
        <v>-12136</v>
      </c>
      <c r="Y280" s="208">
        <v>-4339</v>
      </c>
      <c r="Z280" s="208">
        <v>0</v>
      </c>
      <c r="AA280" s="208">
        <v>-4339</v>
      </c>
      <c r="AB280" s="208">
        <v>8577</v>
      </c>
      <c r="AC280" s="208">
        <v>0</v>
      </c>
      <c r="AD280" s="208">
        <v>8577</v>
      </c>
      <c r="AE280" s="208">
        <v>-12916</v>
      </c>
      <c r="AF280" s="208">
        <v>0</v>
      </c>
      <c r="AG280" s="208">
        <v>-12916</v>
      </c>
      <c r="AH280" s="208">
        <v>0</v>
      </c>
      <c r="AI280" s="208">
        <v>0</v>
      </c>
      <c r="AJ280" s="208">
        <v>0</v>
      </c>
      <c r="AK280" s="208">
        <v>0</v>
      </c>
      <c r="AL280" s="208">
        <v>0</v>
      </c>
      <c r="AM280" s="208">
        <v>0</v>
      </c>
      <c r="AN280" s="208">
        <v>594104</v>
      </c>
      <c r="AO280" s="208">
        <v>0</v>
      </c>
      <c r="AP280" s="208">
        <v>594104</v>
      </c>
      <c r="AQ280" s="208">
        <v>-7293</v>
      </c>
      <c r="AR280" s="208">
        <v>0</v>
      </c>
      <c r="AS280" s="208">
        <v>-7293</v>
      </c>
      <c r="AT280" s="208">
        <v>-2906772</v>
      </c>
      <c r="AU280" s="208">
        <v>0</v>
      </c>
      <c r="AV280" s="208">
        <v>-2906772</v>
      </c>
      <c r="AW280" s="208">
        <v>-10569</v>
      </c>
      <c r="AX280" s="208">
        <v>0</v>
      </c>
      <c r="AY280" s="208">
        <v>-10569</v>
      </c>
      <c r="AZ280" s="208">
        <v>-73945</v>
      </c>
      <c r="BA280" s="208">
        <v>0</v>
      </c>
      <c r="BB280" s="208">
        <v>-73945</v>
      </c>
      <c r="BC280" s="208">
        <v>9050</v>
      </c>
      <c r="BD280" s="208">
        <v>0</v>
      </c>
      <c r="BE280" s="208">
        <v>9050</v>
      </c>
      <c r="BF280" s="208">
        <v>-35465</v>
      </c>
      <c r="BG280" s="208">
        <v>0</v>
      </c>
      <c r="BH280" s="208">
        <v>-35465</v>
      </c>
      <c r="BI280" s="208">
        <v>0</v>
      </c>
      <c r="BJ280" s="208">
        <v>0</v>
      </c>
      <c r="BK280" s="208">
        <v>0</v>
      </c>
      <c r="BL280" s="208">
        <v>-8492854</v>
      </c>
      <c r="BM280" s="208">
        <v>0</v>
      </c>
      <c r="BN280" s="208">
        <v>-8492854</v>
      </c>
      <c r="BO280" s="208">
        <v>0</v>
      </c>
      <c r="BP280" s="208">
        <v>0</v>
      </c>
      <c r="BQ280" s="208">
        <v>0</v>
      </c>
      <c r="BR280" s="208">
        <v>0</v>
      </c>
      <c r="BS280" s="208">
        <v>0</v>
      </c>
      <c r="BT280" s="208">
        <v>0</v>
      </c>
      <c r="BU280" s="208">
        <v>-900803</v>
      </c>
      <c r="BV280" s="208">
        <v>0</v>
      </c>
      <c r="BW280" s="208">
        <v>-900803</v>
      </c>
      <c r="BX280" s="208">
        <v>-87246</v>
      </c>
      <c r="BY280" s="208">
        <v>0</v>
      </c>
      <c r="BZ280" s="208">
        <v>-87246</v>
      </c>
      <c r="CA280" s="208">
        <v>-988049</v>
      </c>
      <c r="CB280" s="208">
        <v>0</v>
      </c>
      <c r="CC280" s="208">
        <v>-988049</v>
      </c>
      <c r="CD280" s="208">
        <v>-82775</v>
      </c>
      <c r="CE280" s="208">
        <v>0</v>
      </c>
      <c r="CF280" s="208">
        <v>-82775</v>
      </c>
      <c r="CG280" s="208">
        <v>-2185</v>
      </c>
      <c r="CH280" s="208">
        <v>0</v>
      </c>
      <c r="CI280" s="208">
        <v>-2185</v>
      </c>
      <c r="CJ280" s="208">
        <v>-36165</v>
      </c>
      <c r="CK280" s="208">
        <v>0</v>
      </c>
      <c r="CL280" s="208">
        <v>-36165</v>
      </c>
      <c r="CM280" s="208">
        <v>0</v>
      </c>
      <c r="CN280" s="208">
        <v>0</v>
      </c>
      <c r="CO280" s="208">
        <v>0</v>
      </c>
      <c r="CP280" s="208">
        <v>-6908</v>
      </c>
      <c r="CQ280" s="208">
        <v>0</v>
      </c>
      <c r="CR280" s="208">
        <v>-6908</v>
      </c>
      <c r="CS280" s="208">
        <v>2262</v>
      </c>
      <c r="CT280" s="208">
        <v>0</v>
      </c>
      <c r="CU280" s="208">
        <v>2262</v>
      </c>
      <c r="CV280" s="208">
        <v>0</v>
      </c>
      <c r="CW280" s="208">
        <v>0</v>
      </c>
      <c r="CX280" s="208">
        <v>0</v>
      </c>
      <c r="CY280" s="208">
        <v>0</v>
      </c>
      <c r="CZ280" s="208">
        <v>0</v>
      </c>
      <c r="DA280" s="208">
        <v>0</v>
      </c>
      <c r="DB280" s="208">
        <v>-5875</v>
      </c>
      <c r="DC280" s="208">
        <v>0</v>
      </c>
      <c r="DD280" s="208">
        <v>-5875</v>
      </c>
      <c r="DE280" s="208">
        <v>0</v>
      </c>
      <c r="DF280" s="208">
        <v>0</v>
      </c>
      <c r="DG280" s="208">
        <v>0</v>
      </c>
      <c r="DH280" s="208">
        <v>0</v>
      </c>
      <c r="DI280" s="208">
        <v>0</v>
      </c>
      <c r="DJ280" s="208">
        <v>0</v>
      </c>
      <c r="DK280" s="208">
        <v>0</v>
      </c>
      <c r="DL280" s="208">
        <v>0</v>
      </c>
      <c r="DM280" s="208">
        <v>0</v>
      </c>
      <c r="DN280" s="208">
        <v>0</v>
      </c>
      <c r="DO280" s="208">
        <v>0</v>
      </c>
      <c r="DP280" s="208">
        <v>-131646</v>
      </c>
      <c r="DQ280" s="208">
        <v>0</v>
      </c>
      <c r="DR280" s="208">
        <v>-131646</v>
      </c>
      <c r="DS280" s="208">
        <v>0</v>
      </c>
      <c r="DT280" s="208">
        <v>0</v>
      </c>
      <c r="DU280" s="208">
        <v>0</v>
      </c>
      <c r="DV280" s="208">
        <v>0</v>
      </c>
      <c r="DW280" s="208">
        <v>0</v>
      </c>
      <c r="DX280" s="208">
        <v>0</v>
      </c>
      <c r="DY280" s="208">
        <v>0</v>
      </c>
      <c r="DZ280" s="208">
        <v>0</v>
      </c>
      <c r="EA280" s="208">
        <v>0</v>
      </c>
      <c r="EB280" s="208">
        <v>0</v>
      </c>
      <c r="EC280" s="208">
        <v>0</v>
      </c>
      <c r="ED280" s="208">
        <v>0</v>
      </c>
      <c r="EE280" s="208">
        <v>0</v>
      </c>
      <c r="EF280" s="208">
        <v>0</v>
      </c>
      <c r="EG280" s="208">
        <v>0</v>
      </c>
      <c r="EH280" s="208">
        <v>2169</v>
      </c>
      <c r="EI280" s="208">
        <v>0</v>
      </c>
      <c r="EJ280" s="208">
        <v>2169</v>
      </c>
      <c r="EK280" s="208">
        <v>-35465</v>
      </c>
      <c r="EL280" s="208">
        <v>0</v>
      </c>
      <c r="EM280" s="208">
        <v>-35465</v>
      </c>
      <c r="EN280" s="208">
        <v>0</v>
      </c>
      <c r="EO280" s="208">
        <v>0</v>
      </c>
      <c r="EP280" s="208">
        <v>0</v>
      </c>
      <c r="EQ280" s="208">
        <v>-1500</v>
      </c>
      <c r="ER280" s="208">
        <v>0</v>
      </c>
      <c r="ES280" s="208">
        <v>-1500</v>
      </c>
      <c r="ET280" s="208">
        <v>0</v>
      </c>
      <c r="EU280" s="208">
        <v>0</v>
      </c>
      <c r="EV280" s="208">
        <v>0</v>
      </c>
      <c r="EW280" s="208">
        <v>-30075</v>
      </c>
      <c r="EX280" s="208">
        <v>0</v>
      </c>
      <c r="EY280" s="208">
        <v>-30075</v>
      </c>
      <c r="EZ280" s="208">
        <v>2766</v>
      </c>
      <c r="FA280" s="208">
        <v>0</v>
      </c>
      <c r="FB280" s="208">
        <v>2766</v>
      </c>
      <c r="FC280" s="208">
        <v>-142795</v>
      </c>
      <c r="FD280" s="208">
        <v>0</v>
      </c>
      <c r="FE280" s="208">
        <v>-142795</v>
      </c>
      <c r="FF280" s="208">
        <v>7110</v>
      </c>
      <c r="FG280" s="208">
        <v>0</v>
      </c>
      <c r="FH280" s="208">
        <v>7110</v>
      </c>
      <c r="FI280" s="208">
        <v>-108537</v>
      </c>
      <c r="FJ280" s="208">
        <v>0</v>
      </c>
      <c r="FK280" s="208">
        <v>-108537</v>
      </c>
      <c r="FL280" s="208">
        <v>-1411</v>
      </c>
      <c r="FM280" s="208">
        <v>0</v>
      </c>
      <c r="FN280" s="208">
        <v>-1411</v>
      </c>
      <c r="FO280" s="208">
        <v>0</v>
      </c>
      <c r="FP280" s="208">
        <v>0</v>
      </c>
      <c r="FQ280" s="208">
        <v>0</v>
      </c>
      <c r="FR280" s="208">
        <v>0</v>
      </c>
      <c r="FS280" s="208">
        <v>0</v>
      </c>
      <c r="FT280" s="208">
        <v>0</v>
      </c>
      <c r="FU280" s="208">
        <v>-307738</v>
      </c>
      <c r="FV280" s="208">
        <v>0</v>
      </c>
      <c r="FW280" s="208">
        <v>-307738</v>
      </c>
      <c r="FX280" s="208">
        <v>-2796</v>
      </c>
      <c r="FY280" s="208">
        <v>0</v>
      </c>
      <c r="FZ280" s="208">
        <v>-2796</v>
      </c>
      <c r="GA280" s="208">
        <v>-652</v>
      </c>
      <c r="GB280" s="208">
        <v>0</v>
      </c>
      <c r="GC280" s="208">
        <v>-652</v>
      </c>
      <c r="GD280" s="208">
        <v>-3448</v>
      </c>
      <c r="GE280" s="208">
        <v>0</v>
      </c>
      <c r="GF280" s="208">
        <v>-3448</v>
      </c>
      <c r="GG280" s="208">
        <v>40496825</v>
      </c>
      <c r="GH280" s="208">
        <v>0</v>
      </c>
      <c r="GI280" s="208">
        <v>40496825</v>
      </c>
      <c r="GJ280" s="208">
        <v>57171</v>
      </c>
      <c r="GK280" s="208">
        <v>0</v>
      </c>
      <c r="GL280" s="208">
        <v>57171</v>
      </c>
      <c r="GM280" s="208">
        <v>-8492854</v>
      </c>
      <c r="GN280" s="208">
        <v>0</v>
      </c>
      <c r="GO280" s="208">
        <v>-8492854</v>
      </c>
      <c r="GP280" s="208">
        <v>-988049</v>
      </c>
      <c r="GQ280" s="208">
        <v>0</v>
      </c>
      <c r="GR280" s="208">
        <v>-988049</v>
      </c>
      <c r="GS280" s="208">
        <v>-131646</v>
      </c>
      <c r="GT280" s="208">
        <v>0</v>
      </c>
      <c r="GU280" s="208">
        <v>-131646</v>
      </c>
      <c r="GV280" s="208">
        <v>-307738</v>
      </c>
      <c r="GW280" s="208">
        <v>0</v>
      </c>
      <c r="GX280" s="208">
        <v>-307738</v>
      </c>
      <c r="GY280" s="208">
        <v>-3448</v>
      </c>
      <c r="GZ280" s="208">
        <v>0</v>
      </c>
      <c r="HA280" s="208">
        <v>-3448</v>
      </c>
      <c r="HB280" s="208">
        <v>-9866564</v>
      </c>
      <c r="HC280" s="208">
        <v>0</v>
      </c>
      <c r="HD280" s="208">
        <v>-9866564</v>
      </c>
      <c r="HE280" s="208">
        <v>30630261</v>
      </c>
      <c r="HF280" s="208">
        <v>0</v>
      </c>
      <c r="HG280" s="208">
        <v>30630261</v>
      </c>
      <c r="HH280" s="187" t="s">
        <v>1054</v>
      </c>
    </row>
    <row r="281" spans="2:216" s="187" customFormat="1" x14ac:dyDescent="0.2">
      <c r="B281" s="429" t="s">
        <v>640</v>
      </c>
      <c r="C281" s="429" t="s">
        <v>639</v>
      </c>
      <c r="D281" s="208">
        <v>-1866111</v>
      </c>
      <c r="E281" s="208">
        <v>0</v>
      </c>
      <c r="F281" s="208">
        <v>-1866111</v>
      </c>
      <c r="G281" s="208">
        <v>-46098</v>
      </c>
      <c r="H281" s="208">
        <v>0</v>
      </c>
      <c r="I281" s="208">
        <v>-46098</v>
      </c>
      <c r="J281" s="208">
        <v>1817597</v>
      </c>
      <c r="K281" s="208">
        <v>0</v>
      </c>
      <c r="L281" s="208">
        <v>1817597</v>
      </c>
      <c r="M281" s="208">
        <v>-62425</v>
      </c>
      <c r="N281" s="208">
        <v>0</v>
      </c>
      <c r="O281" s="208">
        <v>-62425</v>
      </c>
      <c r="P281" s="208">
        <v>-157037</v>
      </c>
      <c r="Q281" s="208">
        <v>0</v>
      </c>
      <c r="R281" s="208">
        <v>-157037</v>
      </c>
      <c r="S281" s="208">
        <v>-4863378</v>
      </c>
      <c r="T281" s="208">
        <v>0</v>
      </c>
      <c r="U281" s="208">
        <v>-4863378</v>
      </c>
      <c r="V281" s="208">
        <v>-14776</v>
      </c>
      <c r="W281" s="208">
        <v>0</v>
      </c>
      <c r="X281" s="208">
        <v>-14776</v>
      </c>
      <c r="Y281" s="208">
        <v>-120393</v>
      </c>
      <c r="Z281" s="208">
        <v>0</v>
      </c>
      <c r="AA281" s="208">
        <v>-120393</v>
      </c>
      <c r="AB281" s="208">
        <v>-25963</v>
      </c>
      <c r="AC281" s="208">
        <v>0</v>
      </c>
      <c r="AD281" s="208">
        <v>-25963</v>
      </c>
      <c r="AE281" s="208">
        <v>-80436</v>
      </c>
      <c r="AF281" s="208">
        <v>0</v>
      </c>
      <c r="AG281" s="208">
        <v>-80436</v>
      </c>
      <c r="AH281" s="208">
        <v>-6552</v>
      </c>
      <c r="AI281" s="208">
        <v>0</v>
      </c>
      <c r="AJ281" s="208">
        <v>-6552</v>
      </c>
      <c r="AK281" s="208">
        <v>-3215</v>
      </c>
      <c r="AL281" s="208">
        <v>0</v>
      </c>
      <c r="AM281" s="208">
        <v>-3215</v>
      </c>
      <c r="AN281" s="208">
        <v>1804020</v>
      </c>
      <c r="AO281" s="208">
        <v>0</v>
      </c>
      <c r="AP281" s="208">
        <v>1804020</v>
      </c>
      <c r="AQ281" s="208">
        <v>-7660</v>
      </c>
      <c r="AR281" s="208">
        <v>0</v>
      </c>
      <c r="AS281" s="208">
        <v>-7660</v>
      </c>
      <c r="AT281" s="208">
        <v>-5441760</v>
      </c>
      <c r="AU281" s="208">
        <v>0</v>
      </c>
      <c r="AV281" s="208">
        <v>-5441760</v>
      </c>
      <c r="AW281" s="208">
        <v>-413796</v>
      </c>
      <c r="AX281" s="208">
        <v>0</v>
      </c>
      <c r="AY281" s="208">
        <v>-413796</v>
      </c>
      <c r="AZ281" s="208">
        <v>-32662</v>
      </c>
      <c r="BA281" s="208">
        <v>0</v>
      </c>
      <c r="BB281" s="208">
        <v>-32662</v>
      </c>
      <c r="BC281" s="208">
        <v>0</v>
      </c>
      <c r="BD281" s="208">
        <v>0</v>
      </c>
      <c r="BE281" s="208">
        <v>0</v>
      </c>
      <c r="BF281" s="208">
        <v>-1435</v>
      </c>
      <c r="BG281" s="208">
        <v>0</v>
      </c>
      <c r="BH281" s="208">
        <v>-1435</v>
      </c>
      <c r="BI281" s="208">
        <v>5355</v>
      </c>
      <c r="BJ281" s="208">
        <v>0</v>
      </c>
      <c r="BK281" s="208">
        <v>5355</v>
      </c>
      <c r="BL281" s="208">
        <v>-9071709</v>
      </c>
      <c r="BM281" s="208">
        <v>0</v>
      </c>
      <c r="BN281" s="208">
        <v>-9071709</v>
      </c>
      <c r="BO281" s="208">
        <v>-221521</v>
      </c>
      <c r="BP281" s="208">
        <v>0</v>
      </c>
      <c r="BQ281" s="208">
        <v>-221521</v>
      </c>
      <c r="BR281" s="208">
        <v>-144150</v>
      </c>
      <c r="BS281" s="208">
        <v>0</v>
      </c>
      <c r="BT281" s="208">
        <v>-144150</v>
      </c>
      <c r="BU281" s="208">
        <v>-1675669</v>
      </c>
      <c r="BV281" s="208">
        <v>0</v>
      </c>
      <c r="BW281" s="208">
        <v>-1675669</v>
      </c>
      <c r="BX281" s="208">
        <v>-179285</v>
      </c>
      <c r="BY281" s="208">
        <v>0</v>
      </c>
      <c r="BZ281" s="208">
        <v>-179285</v>
      </c>
      <c r="CA281" s="208">
        <v>-2220625</v>
      </c>
      <c r="CB281" s="208">
        <v>0</v>
      </c>
      <c r="CC281" s="208">
        <v>-2220625</v>
      </c>
      <c r="CD281" s="208">
        <v>-259520</v>
      </c>
      <c r="CE281" s="208">
        <v>0</v>
      </c>
      <c r="CF281" s="208">
        <v>-259520</v>
      </c>
      <c r="CG281" s="208">
        <v>-15240</v>
      </c>
      <c r="CH281" s="208">
        <v>0</v>
      </c>
      <c r="CI281" s="208">
        <v>-15240</v>
      </c>
      <c r="CJ281" s="208">
        <v>-58323</v>
      </c>
      <c r="CK281" s="208">
        <v>0</v>
      </c>
      <c r="CL281" s="208">
        <v>-58323</v>
      </c>
      <c r="CM281" s="208">
        <v>0</v>
      </c>
      <c r="CN281" s="208">
        <v>0</v>
      </c>
      <c r="CO281" s="208">
        <v>0</v>
      </c>
      <c r="CP281" s="208">
        <v>-6961</v>
      </c>
      <c r="CQ281" s="208">
        <v>0</v>
      </c>
      <c r="CR281" s="208">
        <v>-6961</v>
      </c>
      <c r="CS281" s="208">
        <v>0</v>
      </c>
      <c r="CT281" s="208">
        <v>0</v>
      </c>
      <c r="CU281" s="208">
        <v>0</v>
      </c>
      <c r="CV281" s="208">
        <v>0</v>
      </c>
      <c r="CW281" s="208">
        <v>0</v>
      </c>
      <c r="CX281" s="208">
        <v>0</v>
      </c>
      <c r="CY281" s="208">
        <v>0</v>
      </c>
      <c r="CZ281" s="208">
        <v>0</v>
      </c>
      <c r="DA281" s="208">
        <v>0</v>
      </c>
      <c r="DB281" s="208">
        <v>0</v>
      </c>
      <c r="DC281" s="208">
        <v>0</v>
      </c>
      <c r="DD281" s="208">
        <v>0</v>
      </c>
      <c r="DE281" s="208">
        <v>0</v>
      </c>
      <c r="DF281" s="208">
        <v>0</v>
      </c>
      <c r="DG281" s="208">
        <v>0</v>
      </c>
      <c r="DH281" s="208">
        <v>-55000</v>
      </c>
      <c r="DI281" s="208">
        <v>0</v>
      </c>
      <c r="DJ281" s="208">
        <v>-55000</v>
      </c>
      <c r="DK281" s="208">
        <v>-55000</v>
      </c>
      <c r="DL281" s="208">
        <v>0</v>
      </c>
      <c r="DM281" s="208">
        <v>-55000</v>
      </c>
      <c r="DN281" s="208">
        <v>0</v>
      </c>
      <c r="DO281" s="208">
        <v>0</v>
      </c>
      <c r="DP281" s="208">
        <v>-450044</v>
      </c>
      <c r="DQ281" s="208">
        <v>0</v>
      </c>
      <c r="DR281" s="208">
        <v>-450044</v>
      </c>
      <c r="DS281" s="208">
        <v>0</v>
      </c>
      <c r="DT281" s="208">
        <v>0</v>
      </c>
      <c r="DU281" s="208">
        <v>0</v>
      </c>
      <c r="DV281" s="208">
        <v>0</v>
      </c>
      <c r="DW281" s="208">
        <v>0</v>
      </c>
      <c r="DX281" s="208">
        <v>0</v>
      </c>
      <c r="DY281" s="208">
        <v>1638</v>
      </c>
      <c r="DZ281" s="208">
        <v>0</v>
      </c>
      <c r="EA281" s="208">
        <v>1638</v>
      </c>
      <c r="EB281" s="208">
        <v>0</v>
      </c>
      <c r="EC281" s="208">
        <v>0</v>
      </c>
      <c r="ED281" s="208">
        <v>0</v>
      </c>
      <c r="EE281" s="208">
        <v>0</v>
      </c>
      <c r="EF281" s="208">
        <v>0</v>
      </c>
      <c r="EG281" s="208">
        <v>0</v>
      </c>
      <c r="EH281" s="208">
        <v>0</v>
      </c>
      <c r="EI281" s="208">
        <v>0</v>
      </c>
      <c r="EJ281" s="208">
        <v>0</v>
      </c>
      <c r="EK281" s="208">
        <v>-1435</v>
      </c>
      <c r="EL281" s="208">
        <v>0</v>
      </c>
      <c r="EM281" s="208">
        <v>-1435</v>
      </c>
      <c r="EN281" s="208">
        <v>5355</v>
      </c>
      <c r="EO281" s="208">
        <v>0</v>
      </c>
      <c r="EP281" s="208">
        <v>5355</v>
      </c>
      <c r="EQ281" s="208">
        <v>-1500</v>
      </c>
      <c r="ER281" s="208">
        <v>0</v>
      </c>
      <c r="ES281" s="208">
        <v>-1500</v>
      </c>
      <c r="ET281" s="208">
        <v>0</v>
      </c>
      <c r="EU281" s="208">
        <v>0</v>
      </c>
      <c r="EV281" s="208">
        <v>0</v>
      </c>
      <c r="EW281" s="208">
        <v>-36373</v>
      </c>
      <c r="EX281" s="208">
        <v>0</v>
      </c>
      <c r="EY281" s="208">
        <v>-36373</v>
      </c>
      <c r="EZ281" s="208">
        <v>0</v>
      </c>
      <c r="FA281" s="208">
        <v>0</v>
      </c>
      <c r="FB281" s="208">
        <v>0</v>
      </c>
      <c r="FC281" s="208">
        <v>-192395</v>
      </c>
      <c r="FD281" s="208">
        <v>0</v>
      </c>
      <c r="FE281" s="208">
        <v>-192395</v>
      </c>
      <c r="FF281" s="208">
        <v>2180</v>
      </c>
      <c r="FG281" s="208">
        <v>0</v>
      </c>
      <c r="FH281" s="208">
        <v>2180</v>
      </c>
      <c r="FI281" s="208">
        <v>-49195</v>
      </c>
      <c r="FJ281" s="208">
        <v>0</v>
      </c>
      <c r="FK281" s="208">
        <v>-49195</v>
      </c>
      <c r="FL281" s="208">
        <v>1258</v>
      </c>
      <c r="FM281" s="208">
        <v>0</v>
      </c>
      <c r="FN281" s="208">
        <v>1258</v>
      </c>
      <c r="FO281" s="208">
        <v>0</v>
      </c>
      <c r="FP281" s="208">
        <v>0</v>
      </c>
      <c r="FQ281" s="208">
        <v>0</v>
      </c>
      <c r="FR281" s="208">
        <v>0</v>
      </c>
      <c r="FS281" s="208">
        <v>0</v>
      </c>
      <c r="FT281" s="208">
        <v>0</v>
      </c>
      <c r="FU281" s="208">
        <v>-270467</v>
      </c>
      <c r="FV281" s="208">
        <v>0</v>
      </c>
      <c r="FW281" s="208">
        <v>-270467</v>
      </c>
      <c r="FX281" s="208">
        <v>0</v>
      </c>
      <c r="FY281" s="208">
        <v>0</v>
      </c>
      <c r="FZ281" s="208">
        <v>0</v>
      </c>
      <c r="GA281" s="208">
        <v>0</v>
      </c>
      <c r="GB281" s="208">
        <v>0</v>
      </c>
      <c r="GC281" s="208">
        <v>0</v>
      </c>
      <c r="GD281" s="208">
        <v>0</v>
      </c>
      <c r="GE281" s="208">
        <v>0</v>
      </c>
      <c r="GF281" s="208">
        <v>0</v>
      </c>
      <c r="GG281" s="208">
        <v>85820103</v>
      </c>
      <c r="GH281" s="208">
        <v>0</v>
      </c>
      <c r="GI281" s="208">
        <v>85820103</v>
      </c>
      <c r="GJ281" s="208">
        <v>-157037</v>
      </c>
      <c r="GK281" s="208">
        <v>0</v>
      </c>
      <c r="GL281" s="208">
        <v>-157037</v>
      </c>
      <c r="GM281" s="208">
        <v>-9071709</v>
      </c>
      <c r="GN281" s="208">
        <v>0</v>
      </c>
      <c r="GO281" s="208">
        <v>-9071709</v>
      </c>
      <c r="GP281" s="208">
        <v>-2220625</v>
      </c>
      <c r="GQ281" s="208">
        <v>0</v>
      </c>
      <c r="GR281" s="208">
        <v>-2220625</v>
      </c>
      <c r="GS281" s="208">
        <v>-450044</v>
      </c>
      <c r="GT281" s="208">
        <v>0</v>
      </c>
      <c r="GU281" s="208">
        <v>-450044</v>
      </c>
      <c r="GV281" s="208">
        <v>-270467</v>
      </c>
      <c r="GW281" s="208">
        <v>0</v>
      </c>
      <c r="GX281" s="208">
        <v>-270467</v>
      </c>
      <c r="GY281" s="208">
        <v>0</v>
      </c>
      <c r="GZ281" s="208">
        <v>0</v>
      </c>
      <c r="HA281" s="208">
        <v>0</v>
      </c>
      <c r="HB281" s="208">
        <v>-12169882</v>
      </c>
      <c r="HC281" s="208">
        <v>0</v>
      </c>
      <c r="HD281" s="208">
        <v>-12169882</v>
      </c>
      <c r="HE281" s="208">
        <v>73650221</v>
      </c>
      <c r="HF281" s="208">
        <v>0</v>
      </c>
      <c r="HG281" s="208">
        <v>73650221</v>
      </c>
      <c r="HH281" s="187" t="s">
        <v>742</v>
      </c>
    </row>
    <row r="282" spans="2:216" s="187" customFormat="1" x14ac:dyDescent="0.2">
      <c r="B282" s="429" t="s">
        <v>642</v>
      </c>
      <c r="C282" s="429" t="s">
        <v>641</v>
      </c>
      <c r="D282" s="208">
        <v>-784667</v>
      </c>
      <c r="E282" s="208">
        <v>0</v>
      </c>
      <c r="F282" s="208">
        <v>-784667</v>
      </c>
      <c r="G282" s="208">
        <v>-23269</v>
      </c>
      <c r="H282" s="208">
        <v>0</v>
      </c>
      <c r="I282" s="208">
        <v>-23269</v>
      </c>
      <c r="J282" s="208">
        <v>519722</v>
      </c>
      <c r="K282" s="208">
        <v>0</v>
      </c>
      <c r="L282" s="208">
        <v>519722</v>
      </c>
      <c r="M282" s="208">
        <v>26697</v>
      </c>
      <c r="N282" s="208">
        <v>0</v>
      </c>
      <c r="O282" s="208">
        <v>26697</v>
      </c>
      <c r="P282" s="208">
        <v>-261517</v>
      </c>
      <c r="Q282" s="208">
        <v>0</v>
      </c>
      <c r="R282" s="208">
        <v>-261517</v>
      </c>
      <c r="S282" s="208">
        <v>-6381012</v>
      </c>
      <c r="T282" s="208">
        <v>0</v>
      </c>
      <c r="U282" s="208">
        <v>-6381012</v>
      </c>
      <c r="V282" s="208">
        <v>-23357</v>
      </c>
      <c r="W282" s="208">
        <v>0</v>
      </c>
      <c r="X282" s="208">
        <v>-23357</v>
      </c>
      <c r="Y282" s="208">
        <v>-54761</v>
      </c>
      <c r="Z282" s="208">
        <v>0</v>
      </c>
      <c r="AA282" s="208">
        <v>-54761</v>
      </c>
      <c r="AB282" s="208">
        <v>-2202</v>
      </c>
      <c r="AC282" s="208">
        <v>0</v>
      </c>
      <c r="AD282" s="208">
        <v>-2202</v>
      </c>
      <c r="AE282" s="208">
        <v>-30573</v>
      </c>
      <c r="AF282" s="208">
        <v>0</v>
      </c>
      <c r="AG282" s="208">
        <v>-30573</v>
      </c>
      <c r="AH282" s="208">
        <v>-5778</v>
      </c>
      <c r="AI282" s="208">
        <v>0</v>
      </c>
      <c r="AJ282" s="208">
        <v>-5778</v>
      </c>
      <c r="AK282" s="208">
        <v>-12693</v>
      </c>
      <c r="AL282" s="208">
        <v>0</v>
      </c>
      <c r="AM282" s="208">
        <v>-12693</v>
      </c>
      <c r="AN282" s="208">
        <v>588970</v>
      </c>
      <c r="AO282" s="208">
        <v>0</v>
      </c>
      <c r="AP282" s="208">
        <v>588970</v>
      </c>
      <c r="AQ282" s="208">
        <v>-559</v>
      </c>
      <c r="AR282" s="208">
        <v>0</v>
      </c>
      <c r="AS282" s="208">
        <v>-559</v>
      </c>
      <c r="AT282" s="208">
        <v>-2309120</v>
      </c>
      <c r="AU282" s="208">
        <v>0</v>
      </c>
      <c r="AV282" s="208">
        <v>-2309120</v>
      </c>
      <c r="AW282" s="208">
        <v>131</v>
      </c>
      <c r="AX282" s="208">
        <v>0</v>
      </c>
      <c r="AY282" s="208">
        <v>131</v>
      </c>
      <c r="AZ282" s="208">
        <v>-170241</v>
      </c>
      <c r="BA282" s="208">
        <v>0</v>
      </c>
      <c r="BB282" s="208">
        <v>-170241</v>
      </c>
      <c r="BC282" s="208">
        <v>3564</v>
      </c>
      <c r="BD282" s="208">
        <v>0</v>
      </c>
      <c r="BE282" s="208">
        <v>3564</v>
      </c>
      <c r="BF282" s="208">
        <v>-33509</v>
      </c>
      <c r="BG282" s="208">
        <v>0</v>
      </c>
      <c r="BH282" s="208">
        <v>-33509</v>
      </c>
      <c r="BI282" s="208">
        <v>0</v>
      </c>
      <c r="BJ282" s="208">
        <v>0</v>
      </c>
      <c r="BK282" s="208">
        <v>0</v>
      </c>
      <c r="BL282" s="208">
        <v>-8356537</v>
      </c>
      <c r="BM282" s="208">
        <v>0</v>
      </c>
      <c r="BN282" s="208">
        <v>-8356537</v>
      </c>
      <c r="BO282" s="208">
        <v>-41301</v>
      </c>
      <c r="BP282" s="208">
        <v>0</v>
      </c>
      <c r="BQ282" s="208">
        <v>-41301</v>
      </c>
      <c r="BR282" s="208">
        <v>0</v>
      </c>
      <c r="BS282" s="208">
        <v>0</v>
      </c>
      <c r="BT282" s="208">
        <v>0</v>
      </c>
      <c r="BU282" s="208">
        <v>-684224</v>
      </c>
      <c r="BV282" s="208">
        <v>0</v>
      </c>
      <c r="BW282" s="208">
        <v>-684224</v>
      </c>
      <c r="BX282" s="208">
        <v>-16432</v>
      </c>
      <c r="BY282" s="208">
        <v>0</v>
      </c>
      <c r="BZ282" s="208">
        <v>-16432</v>
      </c>
      <c r="CA282" s="208">
        <v>-741957</v>
      </c>
      <c r="CB282" s="208">
        <v>0</v>
      </c>
      <c r="CC282" s="208">
        <v>-741957</v>
      </c>
      <c r="CD282" s="208">
        <v>-29773</v>
      </c>
      <c r="CE282" s="208">
        <v>0</v>
      </c>
      <c r="CF282" s="208">
        <v>-29773</v>
      </c>
      <c r="CG282" s="208">
        <v>0</v>
      </c>
      <c r="CH282" s="208">
        <v>0</v>
      </c>
      <c r="CI282" s="208">
        <v>0</v>
      </c>
      <c r="CJ282" s="208">
        <v>0</v>
      </c>
      <c r="CK282" s="208">
        <v>0</v>
      </c>
      <c r="CL282" s="208">
        <v>0</v>
      </c>
      <c r="CM282" s="208">
        <v>0</v>
      </c>
      <c r="CN282" s="208">
        <v>0</v>
      </c>
      <c r="CO282" s="208">
        <v>0</v>
      </c>
      <c r="CP282" s="208">
        <v>0</v>
      </c>
      <c r="CQ282" s="208">
        <v>0</v>
      </c>
      <c r="CR282" s="208">
        <v>0</v>
      </c>
      <c r="CS282" s="208">
        <v>0</v>
      </c>
      <c r="CT282" s="208">
        <v>0</v>
      </c>
      <c r="CU282" s="208">
        <v>0</v>
      </c>
      <c r="CV282" s="208">
        <v>0</v>
      </c>
      <c r="CW282" s="208">
        <v>0</v>
      </c>
      <c r="CX282" s="208">
        <v>0</v>
      </c>
      <c r="CY282" s="208">
        <v>0</v>
      </c>
      <c r="CZ282" s="208">
        <v>0</v>
      </c>
      <c r="DA282" s="208">
        <v>0</v>
      </c>
      <c r="DB282" s="208">
        <v>0</v>
      </c>
      <c r="DC282" s="208">
        <v>0</v>
      </c>
      <c r="DD282" s="208">
        <v>0</v>
      </c>
      <c r="DE282" s="208">
        <v>0</v>
      </c>
      <c r="DF282" s="208">
        <v>0</v>
      </c>
      <c r="DG282" s="208">
        <v>0</v>
      </c>
      <c r="DH282" s="208">
        <v>0</v>
      </c>
      <c r="DI282" s="208">
        <v>0</v>
      </c>
      <c r="DJ282" s="208">
        <v>0</v>
      </c>
      <c r="DK282" s="208">
        <v>0</v>
      </c>
      <c r="DL282" s="208">
        <v>0</v>
      </c>
      <c r="DM282" s="208">
        <v>0</v>
      </c>
      <c r="DN282" s="208">
        <v>0</v>
      </c>
      <c r="DO282" s="208">
        <v>0</v>
      </c>
      <c r="DP282" s="208">
        <v>-29773</v>
      </c>
      <c r="DQ282" s="208">
        <v>0</v>
      </c>
      <c r="DR282" s="208">
        <v>-29773</v>
      </c>
      <c r="DS282" s="208">
        <v>2297</v>
      </c>
      <c r="DT282" s="208">
        <v>0</v>
      </c>
      <c r="DU282" s="208">
        <v>2297</v>
      </c>
      <c r="DV282" s="208">
        <v>0</v>
      </c>
      <c r="DW282" s="208">
        <v>0</v>
      </c>
      <c r="DX282" s="208">
        <v>0</v>
      </c>
      <c r="DY282" s="208">
        <v>0</v>
      </c>
      <c r="DZ282" s="208">
        <v>0</v>
      </c>
      <c r="EA282" s="208">
        <v>0</v>
      </c>
      <c r="EB282" s="208">
        <v>0</v>
      </c>
      <c r="EC282" s="208">
        <v>0</v>
      </c>
      <c r="ED282" s="208">
        <v>0</v>
      </c>
      <c r="EE282" s="208">
        <v>0</v>
      </c>
      <c r="EF282" s="208">
        <v>0</v>
      </c>
      <c r="EG282" s="208">
        <v>0</v>
      </c>
      <c r="EH282" s="208">
        <v>0</v>
      </c>
      <c r="EI282" s="208">
        <v>0</v>
      </c>
      <c r="EJ282" s="208">
        <v>0</v>
      </c>
      <c r="EK282" s="208">
        <v>-33508</v>
      </c>
      <c r="EL282" s="208">
        <v>0</v>
      </c>
      <c r="EM282" s="208">
        <v>-33508</v>
      </c>
      <c r="EN282" s="208">
        <v>0</v>
      </c>
      <c r="EO282" s="208">
        <v>0</v>
      </c>
      <c r="EP282" s="208">
        <v>0</v>
      </c>
      <c r="EQ282" s="208">
        <v>-1500</v>
      </c>
      <c r="ER282" s="208">
        <v>0</v>
      </c>
      <c r="ES282" s="208">
        <v>-1500</v>
      </c>
      <c r="ET282" s="208">
        <v>0</v>
      </c>
      <c r="EU282" s="208">
        <v>0</v>
      </c>
      <c r="EV282" s="208">
        <v>0</v>
      </c>
      <c r="EW282" s="208">
        <v>-14288</v>
      </c>
      <c r="EX282" s="208">
        <v>0</v>
      </c>
      <c r="EY282" s="208">
        <v>-14288</v>
      </c>
      <c r="EZ282" s="208">
        <v>0</v>
      </c>
      <c r="FA282" s="208">
        <v>0</v>
      </c>
      <c r="FB282" s="208">
        <v>0</v>
      </c>
      <c r="FC282" s="208">
        <v>-108581</v>
      </c>
      <c r="FD282" s="208">
        <v>0</v>
      </c>
      <c r="FE282" s="208">
        <v>-108581</v>
      </c>
      <c r="FF282" s="208">
        <v>3186</v>
      </c>
      <c r="FG282" s="208">
        <v>0</v>
      </c>
      <c r="FH282" s="208">
        <v>3186</v>
      </c>
      <c r="FI282" s="208">
        <v>-38499</v>
      </c>
      <c r="FJ282" s="208">
        <v>0</v>
      </c>
      <c r="FK282" s="208">
        <v>-38499</v>
      </c>
      <c r="FL282" s="208">
        <v>-255</v>
      </c>
      <c r="FM282" s="208">
        <v>0</v>
      </c>
      <c r="FN282" s="208">
        <v>-255</v>
      </c>
      <c r="FO282" s="208">
        <v>0</v>
      </c>
      <c r="FP282" s="208">
        <v>0</v>
      </c>
      <c r="FQ282" s="208">
        <v>0</v>
      </c>
      <c r="FR282" s="208">
        <v>0</v>
      </c>
      <c r="FS282" s="208">
        <v>0</v>
      </c>
      <c r="FT282" s="208">
        <v>0</v>
      </c>
      <c r="FU282" s="208">
        <v>-191148</v>
      </c>
      <c r="FV282" s="208">
        <v>0</v>
      </c>
      <c r="FW282" s="208">
        <v>-191148</v>
      </c>
      <c r="FX282" s="208">
        <v>0</v>
      </c>
      <c r="FY282" s="208">
        <v>0</v>
      </c>
      <c r="FZ282" s="208">
        <v>0</v>
      </c>
      <c r="GA282" s="208">
        <v>0</v>
      </c>
      <c r="GB282" s="208">
        <v>0</v>
      </c>
      <c r="GC282" s="208">
        <v>0</v>
      </c>
      <c r="GD282" s="208">
        <v>0</v>
      </c>
      <c r="GE282" s="208">
        <v>0</v>
      </c>
      <c r="GF282" s="208">
        <v>0</v>
      </c>
      <c r="GG282" s="208">
        <v>37506539</v>
      </c>
      <c r="GH282" s="208">
        <v>0</v>
      </c>
      <c r="GI282" s="208">
        <v>37506539</v>
      </c>
      <c r="GJ282" s="208">
        <v>-261517</v>
      </c>
      <c r="GK282" s="208">
        <v>0</v>
      </c>
      <c r="GL282" s="208">
        <v>-261517</v>
      </c>
      <c r="GM282" s="208">
        <v>-8356537</v>
      </c>
      <c r="GN282" s="208">
        <v>0</v>
      </c>
      <c r="GO282" s="208">
        <v>-8356537</v>
      </c>
      <c r="GP282" s="208">
        <v>-741957</v>
      </c>
      <c r="GQ282" s="208">
        <v>0</v>
      </c>
      <c r="GR282" s="208">
        <v>-741957</v>
      </c>
      <c r="GS282" s="208">
        <v>-29773</v>
      </c>
      <c r="GT282" s="208">
        <v>0</v>
      </c>
      <c r="GU282" s="208">
        <v>-29773</v>
      </c>
      <c r="GV282" s="208">
        <v>-191148</v>
      </c>
      <c r="GW282" s="208">
        <v>0</v>
      </c>
      <c r="GX282" s="208">
        <v>-191148</v>
      </c>
      <c r="GY282" s="208">
        <v>0</v>
      </c>
      <c r="GZ282" s="208">
        <v>0</v>
      </c>
      <c r="HA282" s="208">
        <v>0</v>
      </c>
      <c r="HB282" s="208">
        <v>-9580932</v>
      </c>
      <c r="HC282" s="208">
        <v>0</v>
      </c>
      <c r="HD282" s="208">
        <v>-9580932</v>
      </c>
      <c r="HE282" s="208">
        <v>27925607</v>
      </c>
      <c r="HF282" s="208">
        <v>0</v>
      </c>
      <c r="HG282" s="208">
        <v>27925607</v>
      </c>
      <c r="HH282" s="187" t="s">
        <v>1054</v>
      </c>
    </row>
    <row r="283" spans="2:216" s="187" customFormat="1" x14ac:dyDescent="0.2">
      <c r="B283" s="429" t="s">
        <v>644</v>
      </c>
      <c r="C283" s="429" t="s">
        <v>643</v>
      </c>
      <c r="D283" s="208">
        <v>-1047505</v>
      </c>
      <c r="E283" s="208">
        <v>0</v>
      </c>
      <c r="F283" s="208">
        <v>-1047505</v>
      </c>
      <c r="G283" s="208">
        <v>15096</v>
      </c>
      <c r="H283" s="208">
        <v>0</v>
      </c>
      <c r="I283" s="208">
        <v>15096</v>
      </c>
      <c r="J283" s="208">
        <v>958305</v>
      </c>
      <c r="K283" s="208">
        <v>0</v>
      </c>
      <c r="L283" s="208">
        <v>958305</v>
      </c>
      <c r="M283" s="208">
        <v>-58392</v>
      </c>
      <c r="N283" s="208">
        <v>0</v>
      </c>
      <c r="O283" s="208">
        <v>-58392</v>
      </c>
      <c r="P283" s="208">
        <v>-132496</v>
      </c>
      <c r="Q283" s="208">
        <v>0</v>
      </c>
      <c r="R283" s="208">
        <v>-132496</v>
      </c>
      <c r="S283" s="208">
        <v>-4230470</v>
      </c>
      <c r="T283" s="208">
        <v>0</v>
      </c>
      <c r="U283" s="208">
        <v>-4230470</v>
      </c>
      <c r="V283" s="208">
        <v>-29671</v>
      </c>
      <c r="W283" s="208">
        <v>0</v>
      </c>
      <c r="X283" s="208">
        <v>-29671</v>
      </c>
      <c r="Y283" s="208">
        <v>-147033</v>
      </c>
      <c r="Z283" s="208">
        <v>0</v>
      </c>
      <c r="AA283" s="208">
        <v>-147033</v>
      </c>
      <c r="AB283" s="208">
        <v>-35558</v>
      </c>
      <c r="AC283" s="208">
        <v>0</v>
      </c>
      <c r="AD283" s="208">
        <v>-35558</v>
      </c>
      <c r="AE283" s="208">
        <v>-120266</v>
      </c>
      <c r="AF283" s="208">
        <v>0</v>
      </c>
      <c r="AG283" s="208">
        <v>-120266</v>
      </c>
      <c r="AH283" s="208">
        <v>554</v>
      </c>
      <c r="AI283" s="208">
        <v>0</v>
      </c>
      <c r="AJ283" s="208">
        <v>554</v>
      </c>
      <c r="AK283" s="208">
        <v>2959</v>
      </c>
      <c r="AL283" s="208">
        <v>0</v>
      </c>
      <c r="AM283" s="208">
        <v>2959</v>
      </c>
      <c r="AN283" s="208">
        <v>1247917</v>
      </c>
      <c r="AO283" s="208">
        <v>0</v>
      </c>
      <c r="AP283" s="208">
        <v>1247917</v>
      </c>
      <c r="AQ283" s="208">
        <v>-6645</v>
      </c>
      <c r="AR283" s="208">
        <v>0</v>
      </c>
      <c r="AS283" s="208">
        <v>-6645</v>
      </c>
      <c r="AT283" s="208">
        <v>-3114260</v>
      </c>
      <c r="AU283" s="208">
        <v>0</v>
      </c>
      <c r="AV283" s="208">
        <v>-3114260</v>
      </c>
      <c r="AW283" s="208">
        <v>76100</v>
      </c>
      <c r="AX283" s="208">
        <v>0</v>
      </c>
      <c r="AY283" s="208">
        <v>76100</v>
      </c>
      <c r="AZ283" s="208">
        <v>-45559</v>
      </c>
      <c r="BA283" s="208">
        <v>0</v>
      </c>
      <c r="BB283" s="208">
        <v>-45559</v>
      </c>
      <c r="BC283" s="208">
        <v>0</v>
      </c>
      <c r="BD283" s="208">
        <v>0</v>
      </c>
      <c r="BE283" s="208">
        <v>0</v>
      </c>
      <c r="BF283" s="208">
        <v>-37423</v>
      </c>
      <c r="BG283" s="208">
        <v>0</v>
      </c>
      <c r="BH283" s="208">
        <v>-37423</v>
      </c>
      <c r="BI283" s="208">
        <v>0</v>
      </c>
      <c r="BJ283" s="208">
        <v>0</v>
      </c>
      <c r="BK283" s="208">
        <v>0</v>
      </c>
      <c r="BL283" s="208">
        <v>-6257373</v>
      </c>
      <c r="BM283" s="208">
        <v>0</v>
      </c>
      <c r="BN283" s="208">
        <v>-6257373</v>
      </c>
      <c r="BO283" s="208">
        <v>-115638</v>
      </c>
      <c r="BP283" s="208">
        <v>0</v>
      </c>
      <c r="BQ283" s="208">
        <v>-115638</v>
      </c>
      <c r="BR283" s="208">
        <v>-21183</v>
      </c>
      <c r="BS283" s="208">
        <v>0</v>
      </c>
      <c r="BT283" s="208">
        <v>-21183</v>
      </c>
      <c r="BU283" s="208">
        <v>-2228666</v>
      </c>
      <c r="BV283" s="208">
        <v>0</v>
      </c>
      <c r="BW283" s="208">
        <v>-2228666</v>
      </c>
      <c r="BX283" s="208">
        <v>-111819</v>
      </c>
      <c r="BY283" s="208">
        <v>0</v>
      </c>
      <c r="BZ283" s="208">
        <v>-111819</v>
      </c>
      <c r="CA283" s="208">
        <v>-2477306</v>
      </c>
      <c r="CB283" s="208">
        <v>0</v>
      </c>
      <c r="CC283" s="208">
        <v>-2477306</v>
      </c>
      <c r="CD283" s="208">
        <v>-182899</v>
      </c>
      <c r="CE283" s="208">
        <v>0</v>
      </c>
      <c r="CF283" s="208">
        <v>-182899</v>
      </c>
      <c r="CG283" s="208">
        <v>-2199</v>
      </c>
      <c r="CH283" s="208">
        <v>0</v>
      </c>
      <c r="CI283" s="208">
        <v>-2199</v>
      </c>
      <c r="CJ283" s="208">
        <v>-164355</v>
      </c>
      <c r="CK283" s="208">
        <v>0</v>
      </c>
      <c r="CL283" s="208">
        <v>-164355</v>
      </c>
      <c r="CM283" s="208">
        <v>-1509</v>
      </c>
      <c r="CN283" s="208">
        <v>0</v>
      </c>
      <c r="CO283" s="208">
        <v>-1509</v>
      </c>
      <c r="CP283" s="208">
        <v>-11390</v>
      </c>
      <c r="CQ283" s="208">
        <v>0</v>
      </c>
      <c r="CR283" s="208">
        <v>-11390</v>
      </c>
      <c r="CS283" s="208">
        <v>0</v>
      </c>
      <c r="CT283" s="208">
        <v>0</v>
      </c>
      <c r="CU283" s="208">
        <v>0</v>
      </c>
      <c r="CV283" s="208">
        <v>-31135</v>
      </c>
      <c r="CW283" s="208">
        <v>0</v>
      </c>
      <c r="CX283" s="208">
        <v>-31135</v>
      </c>
      <c r="CY283" s="208">
        <v>-24991</v>
      </c>
      <c r="CZ283" s="208">
        <v>0</v>
      </c>
      <c r="DA283" s="208">
        <v>-24991</v>
      </c>
      <c r="DB283" s="208">
        <v>0</v>
      </c>
      <c r="DC283" s="208">
        <v>0</v>
      </c>
      <c r="DD283" s="208">
        <v>0</v>
      </c>
      <c r="DE283" s="208">
        <v>0</v>
      </c>
      <c r="DF283" s="208">
        <v>0</v>
      </c>
      <c r="DG283" s="208">
        <v>0</v>
      </c>
      <c r="DH283" s="208">
        <v>0</v>
      </c>
      <c r="DI283" s="208">
        <v>0</v>
      </c>
      <c r="DJ283" s="208">
        <v>0</v>
      </c>
      <c r="DK283" s="208">
        <v>0</v>
      </c>
      <c r="DL283" s="208">
        <v>0</v>
      </c>
      <c r="DM283" s="208">
        <v>0</v>
      </c>
      <c r="DN283" s="208">
        <v>0</v>
      </c>
      <c r="DO283" s="208">
        <v>0</v>
      </c>
      <c r="DP283" s="208">
        <v>-418478</v>
      </c>
      <c r="DQ283" s="208">
        <v>0</v>
      </c>
      <c r="DR283" s="208">
        <v>-418478</v>
      </c>
      <c r="DS283" s="208">
        <v>1953</v>
      </c>
      <c r="DT283" s="208">
        <v>0</v>
      </c>
      <c r="DU283" s="208">
        <v>1953</v>
      </c>
      <c r="DV283" s="208">
        <v>0</v>
      </c>
      <c r="DW283" s="208">
        <v>0</v>
      </c>
      <c r="DX283" s="208">
        <v>0</v>
      </c>
      <c r="DY283" s="208">
        <v>2015</v>
      </c>
      <c r="DZ283" s="208">
        <v>0</v>
      </c>
      <c r="EA283" s="208">
        <v>2015</v>
      </c>
      <c r="EB283" s="208">
        <v>0</v>
      </c>
      <c r="EC283" s="208">
        <v>0</v>
      </c>
      <c r="ED283" s="208">
        <v>0</v>
      </c>
      <c r="EE283" s="208">
        <v>0</v>
      </c>
      <c r="EF283" s="208">
        <v>0</v>
      </c>
      <c r="EG283" s="208">
        <v>0</v>
      </c>
      <c r="EH283" s="208">
        <v>0</v>
      </c>
      <c r="EI283" s="208">
        <v>0</v>
      </c>
      <c r="EJ283" s="208">
        <v>0</v>
      </c>
      <c r="EK283" s="208">
        <v>-31135</v>
      </c>
      <c r="EL283" s="208">
        <v>0</v>
      </c>
      <c r="EM283" s="208">
        <v>-31135</v>
      </c>
      <c r="EN283" s="208">
        <v>-24991</v>
      </c>
      <c r="EO283" s="208">
        <v>0</v>
      </c>
      <c r="EP283" s="208">
        <v>-24991</v>
      </c>
      <c r="EQ283" s="208">
        <v>-1500</v>
      </c>
      <c r="ER283" s="208">
        <v>0</v>
      </c>
      <c r="ES283" s="208">
        <v>-1500</v>
      </c>
      <c r="ET283" s="208">
        <v>-1500</v>
      </c>
      <c r="EU283" s="208">
        <v>0</v>
      </c>
      <c r="EV283" s="208">
        <v>-1500</v>
      </c>
      <c r="EW283" s="208">
        <v>-17986</v>
      </c>
      <c r="EX283" s="208">
        <v>0</v>
      </c>
      <c r="EY283" s="208">
        <v>-17986</v>
      </c>
      <c r="EZ283" s="208">
        <v>0</v>
      </c>
      <c r="FA283" s="208">
        <v>0</v>
      </c>
      <c r="FB283" s="208">
        <v>0</v>
      </c>
      <c r="FC283" s="208">
        <v>-181726</v>
      </c>
      <c r="FD283" s="208">
        <v>0</v>
      </c>
      <c r="FE283" s="208">
        <v>-181726</v>
      </c>
      <c r="FF283" s="208">
        <v>0</v>
      </c>
      <c r="FG283" s="208">
        <v>0</v>
      </c>
      <c r="FH283" s="208">
        <v>0</v>
      </c>
      <c r="FI283" s="208">
        <v>-42636</v>
      </c>
      <c r="FJ283" s="208">
        <v>0</v>
      </c>
      <c r="FK283" s="208">
        <v>-42636</v>
      </c>
      <c r="FL283" s="208">
        <v>-3545</v>
      </c>
      <c r="FM283" s="208">
        <v>0</v>
      </c>
      <c r="FN283" s="208">
        <v>-3545</v>
      </c>
      <c r="FO283" s="208">
        <v>0</v>
      </c>
      <c r="FP283" s="208">
        <v>0</v>
      </c>
      <c r="FQ283" s="208">
        <v>0</v>
      </c>
      <c r="FR283" s="208">
        <v>0</v>
      </c>
      <c r="FS283" s="208">
        <v>0</v>
      </c>
      <c r="FT283" s="208">
        <v>0</v>
      </c>
      <c r="FU283" s="208">
        <v>-301051</v>
      </c>
      <c r="FV283" s="208">
        <v>0</v>
      </c>
      <c r="FW283" s="208">
        <v>-301051</v>
      </c>
      <c r="FX283" s="208">
        <v>-6107</v>
      </c>
      <c r="FY283" s="208">
        <v>0</v>
      </c>
      <c r="FZ283" s="208">
        <v>-6107</v>
      </c>
      <c r="GA283" s="208">
        <v>0</v>
      </c>
      <c r="GB283" s="208">
        <v>0</v>
      </c>
      <c r="GC283" s="208">
        <v>0</v>
      </c>
      <c r="GD283" s="208">
        <v>-6107</v>
      </c>
      <c r="GE283" s="208">
        <v>0</v>
      </c>
      <c r="GF283" s="208">
        <v>-6107</v>
      </c>
      <c r="GG283" s="208">
        <v>65002965</v>
      </c>
      <c r="GH283" s="208">
        <v>0</v>
      </c>
      <c r="GI283" s="208">
        <v>65002965</v>
      </c>
      <c r="GJ283" s="208">
        <v>-132496</v>
      </c>
      <c r="GK283" s="208">
        <v>0</v>
      </c>
      <c r="GL283" s="208">
        <v>-132496</v>
      </c>
      <c r="GM283" s="208">
        <v>-6257373</v>
      </c>
      <c r="GN283" s="208">
        <v>0</v>
      </c>
      <c r="GO283" s="208">
        <v>-6257373</v>
      </c>
      <c r="GP283" s="208">
        <v>-2477306</v>
      </c>
      <c r="GQ283" s="208">
        <v>0</v>
      </c>
      <c r="GR283" s="208">
        <v>-2477306</v>
      </c>
      <c r="GS283" s="208">
        <v>-418478</v>
      </c>
      <c r="GT283" s="208">
        <v>0</v>
      </c>
      <c r="GU283" s="208">
        <v>-418478</v>
      </c>
      <c r="GV283" s="208">
        <v>-301051</v>
      </c>
      <c r="GW283" s="208">
        <v>0</v>
      </c>
      <c r="GX283" s="208">
        <v>-301051</v>
      </c>
      <c r="GY283" s="208">
        <v>-6107</v>
      </c>
      <c r="GZ283" s="208">
        <v>0</v>
      </c>
      <c r="HA283" s="208">
        <v>-6107</v>
      </c>
      <c r="HB283" s="208">
        <v>-9592811</v>
      </c>
      <c r="HC283" s="208">
        <v>0</v>
      </c>
      <c r="HD283" s="208">
        <v>-9592811</v>
      </c>
      <c r="HE283" s="208">
        <v>55410154</v>
      </c>
      <c r="HF283" s="208">
        <v>0</v>
      </c>
      <c r="HG283" s="208">
        <v>55410154</v>
      </c>
      <c r="HH283" s="187" t="s">
        <v>1054</v>
      </c>
    </row>
    <row r="284" spans="2:216" s="187" customFormat="1" x14ac:dyDescent="0.2">
      <c r="B284" s="429" t="s">
        <v>646</v>
      </c>
      <c r="C284" s="429" t="s">
        <v>645</v>
      </c>
      <c r="D284" s="208">
        <v>-1164296</v>
      </c>
      <c r="E284" s="208">
        <v>0</v>
      </c>
      <c r="F284" s="208">
        <v>-1164296</v>
      </c>
      <c r="G284" s="208">
        <v>-186288</v>
      </c>
      <c r="H284" s="208">
        <v>0</v>
      </c>
      <c r="I284" s="208">
        <v>-186288</v>
      </c>
      <c r="J284" s="208">
        <v>342099</v>
      </c>
      <c r="K284" s="208">
        <v>0</v>
      </c>
      <c r="L284" s="208">
        <v>342099</v>
      </c>
      <c r="M284" s="208">
        <v>6569</v>
      </c>
      <c r="N284" s="208">
        <v>0</v>
      </c>
      <c r="O284" s="208">
        <v>6569</v>
      </c>
      <c r="P284" s="208">
        <v>-1001916</v>
      </c>
      <c r="Q284" s="208">
        <v>0</v>
      </c>
      <c r="R284" s="208">
        <v>-1001916</v>
      </c>
      <c r="S284" s="208">
        <v>-2946123</v>
      </c>
      <c r="T284" s="208">
        <v>0</v>
      </c>
      <c r="U284" s="208">
        <v>-2946123</v>
      </c>
      <c r="V284" s="208">
        <v>-7964</v>
      </c>
      <c r="W284" s="208">
        <v>0</v>
      </c>
      <c r="X284" s="208">
        <v>-7964</v>
      </c>
      <c r="Y284" s="208">
        <v>-179672</v>
      </c>
      <c r="Z284" s="208">
        <v>0</v>
      </c>
      <c r="AA284" s="208">
        <v>-179672</v>
      </c>
      <c r="AB284" s="208">
        <v>-72618</v>
      </c>
      <c r="AC284" s="208">
        <v>0</v>
      </c>
      <c r="AD284" s="208">
        <v>-72618</v>
      </c>
      <c r="AE284" s="208">
        <v>-100395</v>
      </c>
      <c r="AF284" s="208">
        <v>0</v>
      </c>
      <c r="AG284" s="208">
        <v>-100395</v>
      </c>
      <c r="AH284" s="208">
        <v>1870</v>
      </c>
      <c r="AI284" s="208">
        <v>0</v>
      </c>
      <c r="AJ284" s="208">
        <v>1870</v>
      </c>
      <c r="AK284" s="208">
        <v>-2759</v>
      </c>
      <c r="AL284" s="208">
        <v>0</v>
      </c>
      <c r="AM284" s="208">
        <v>-2759</v>
      </c>
      <c r="AN284" s="208">
        <v>866735</v>
      </c>
      <c r="AO284" s="208">
        <v>0</v>
      </c>
      <c r="AP284" s="208">
        <v>866735</v>
      </c>
      <c r="AQ284" s="208">
        <v>13949</v>
      </c>
      <c r="AR284" s="208">
        <v>0</v>
      </c>
      <c r="AS284" s="208">
        <v>13949</v>
      </c>
      <c r="AT284" s="208">
        <v>-1354958</v>
      </c>
      <c r="AU284" s="208">
        <v>0</v>
      </c>
      <c r="AV284" s="208">
        <v>-1354958</v>
      </c>
      <c r="AW284" s="208">
        <v>-20830</v>
      </c>
      <c r="AX284" s="208">
        <v>0</v>
      </c>
      <c r="AY284" s="208">
        <v>-20830</v>
      </c>
      <c r="AZ284" s="208">
        <v>-34882</v>
      </c>
      <c r="BA284" s="208">
        <v>0</v>
      </c>
      <c r="BB284" s="208">
        <v>-34882</v>
      </c>
      <c r="BC284" s="208">
        <v>0</v>
      </c>
      <c r="BD284" s="208">
        <v>0</v>
      </c>
      <c r="BE284" s="208">
        <v>0</v>
      </c>
      <c r="BF284" s="208">
        <v>0</v>
      </c>
      <c r="BG284" s="208">
        <v>0</v>
      </c>
      <c r="BH284" s="208">
        <v>0</v>
      </c>
      <c r="BI284" s="208">
        <v>-2821</v>
      </c>
      <c r="BJ284" s="208">
        <v>0</v>
      </c>
      <c r="BK284" s="208">
        <v>-2821</v>
      </c>
      <c r="BL284" s="208">
        <v>-3658602</v>
      </c>
      <c r="BM284" s="208">
        <v>0</v>
      </c>
      <c r="BN284" s="208">
        <v>-3658602</v>
      </c>
      <c r="BO284" s="208">
        <v>0</v>
      </c>
      <c r="BP284" s="208">
        <v>0</v>
      </c>
      <c r="BQ284" s="208">
        <v>0</v>
      </c>
      <c r="BR284" s="208">
        <v>0</v>
      </c>
      <c r="BS284" s="208">
        <v>0</v>
      </c>
      <c r="BT284" s="208">
        <v>0</v>
      </c>
      <c r="BU284" s="208">
        <v>-610430</v>
      </c>
      <c r="BV284" s="208">
        <v>0</v>
      </c>
      <c r="BW284" s="208">
        <v>-610430</v>
      </c>
      <c r="BX284" s="208">
        <v>20167</v>
      </c>
      <c r="BY284" s="208">
        <v>0</v>
      </c>
      <c r="BZ284" s="208">
        <v>20167</v>
      </c>
      <c r="CA284" s="208">
        <v>-590263</v>
      </c>
      <c r="CB284" s="208">
        <v>0</v>
      </c>
      <c r="CC284" s="208">
        <v>-590263</v>
      </c>
      <c r="CD284" s="208">
        <v>-68334</v>
      </c>
      <c r="CE284" s="208">
        <v>0</v>
      </c>
      <c r="CF284" s="208">
        <v>-68334</v>
      </c>
      <c r="CG284" s="208">
        <v>-366</v>
      </c>
      <c r="CH284" s="208">
        <v>0</v>
      </c>
      <c r="CI284" s="208">
        <v>-366</v>
      </c>
      <c r="CJ284" s="208">
        <v>-4258</v>
      </c>
      <c r="CK284" s="208">
        <v>0</v>
      </c>
      <c r="CL284" s="208">
        <v>-4258</v>
      </c>
      <c r="CM284" s="208">
        <v>0</v>
      </c>
      <c r="CN284" s="208">
        <v>0</v>
      </c>
      <c r="CO284" s="208">
        <v>0</v>
      </c>
      <c r="CP284" s="208">
        <v>-627</v>
      </c>
      <c r="CQ284" s="208">
        <v>0</v>
      </c>
      <c r="CR284" s="208">
        <v>-627</v>
      </c>
      <c r="CS284" s="208">
        <v>0</v>
      </c>
      <c r="CT284" s="208">
        <v>0</v>
      </c>
      <c r="CU284" s="208">
        <v>0</v>
      </c>
      <c r="CV284" s="208">
        <v>-2821</v>
      </c>
      <c r="CW284" s="208">
        <v>0</v>
      </c>
      <c r="CX284" s="208">
        <v>-2821</v>
      </c>
      <c r="CY284" s="208">
        <v>0</v>
      </c>
      <c r="CZ284" s="208">
        <v>0</v>
      </c>
      <c r="DA284" s="208">
        <v>0</v>
      </c>
      <c r="DB284" s="208">
        <v>-4821</v>
      </c>
      <c r="DC284" s="208">
        <v>0</v>
      </c>
      <c r="DD284" s="208">
        <v>-4821</v>
      </c>
      <c r="DE284" s="208">
        <v>4976</v>
      </c>
      <c r="DF284" s="208">
        <v>0</v>
      </c>
      <c r="DG284" s="208">
        <v>4976</v>
      </c>
      <c r="DH284" s="208">
        <v>0</v>
      </c>
      <c r="DI284" s="208">
        <v>0</v>
      </c>
      <c r="DJ284" s="208">
        <v>0</v>
      </c>
      <c r="DK284" s="208">
        <v>0</v>
      </c>
      <c r="DL284" s="208">
        <v>0</v>
      </c>
      <c r="DM284" s="208">
        <v>0</v>
      </c>
      <c r="DN284" s="208">
        <v>0</v>
      </c>
      <c r="DO284" s="208">
        <v>0</v>
      </c>
      <c r="DP284" s="208">
        <v>-76251</v>
      </c>
      <c r="DQ284" s="208">
        <v>0</v>
      </c>
      <c r="DR284" s="208">
        <v>-76251</v>
      </c>
      <c r="DS284" s="208">
        <v>0</v>
      </c>
      <c r="DT284" s="208">
        <v>0</v>
      </c>
      <c r="DU284" s="208">
        <v>0</v>
      </c>
      <c r="DV284" s="208">
        <v>0</v>
      </c>
      <c r="DW284" s="208">
        <v>0</v>
      </c>
      <c r="DX284" s="208">
        <v>0</v>
      </c>
      <c r="DY284" s="208">
        <v>3000</v>
      </c>
      <c r="DZ284" s="208">
        <v>0</v>
      </c>
      <c r="EA284" s="208">
        <v>3000</v>
      </c>
      <c r="EB284" s="208">
        <v>0</v>
      </c>
      <c r="EC284" s="208">
        <v>0</v>
      </c>
      <c r="ED284" s="208">
        <v>0</v>
      </c>
      <c r="EE284" s="208">
        <v>0</v>
      </c>
      <c r="EF284" s="208">
        <v>0</v>
      </c>
      <c r="EG284" s="208">
        <v>0</v>
      </c>
      <c r="EH284" s="208">
        <v>0</v>
      </c>
      <c r="EI284" s="208">
        <v>0</v>
      </c>
      <c r="EJ284" s="208">
        <v>0</v>
      </c>
      <c r="EK284" s="208">
        <v>-25730</v>
      </c>
      <c r="EL284" s="208">
        <v>0</v>
      </c>
      <c r="EM284" s="208">
        <v>-25730</v>
      </c>
      <c r="EN284" s="208">
        <v>-6418</v>
      </c>
      <c r="EO284" s="208">
        <v>0</v>
      </c>
      <c r="EP284" s="208">
        <v>-6418</v>
      </c>
      <c r="EQ284" s="208">
        <v>0</v>
      </c>
      <c r="ER284" s="208">
        <v>0</v>
      </c>
      <c r="ES284" s="208">
        <v>0</v>
      </c>
      <c r="ET284" s="208">
        <v>0</v>
      </c>
      <c r="EU284" s="208">
        <v>0</v>
      </c>
      <c r="EV284" s="208">
        <v>0</v>
      </c>
      <c r="EW284" s="208">
        <v>-3971</v>
      </c>
      <c r="EX284" s="208">
        <v>0</v>
      </c>
      <c r="EY284" s="208">
        <v>-3971</v>
      </c>
      <c r="EZ284" s="208">
        <v>143</v>
      </c>
      <c r="FA284" s="208">
        <v>0</v>
      </c>
      <c r="FB284" s="208">
        <v>143</v>
      </c>
      <c r="FC284" s="208">
        <v>-60171</v>
      </c>
      <c r="FD284" s="208">
        <v>0</v>
      </c>
      <c r="FE284" s="208">
        <v>-60171</v>
      </c>
      <c r="FF284" s="208">
        <v>0</v>
      </c>
      <c r="FG284" s="208">
        <v>0</v>
      </c>
      <c r="FH284" s="208">
        <v>0</v>
      </c>
      <c r="FI284" s="208">
        <v>-33165</v>
      </c>
      <c r="FJ284" s="208">
        <v>0</v>
      </c>
      <c r="FK284" s="208">
        <v>-33165</v>
      </c>
      <c r="FL284" s="208">
        <v>1000</v>
      </c>
      <c r="FM284" s="208">
        <v>0</v>
      </c>
      <c r="FN284" s="208">
        <v>1000</v>
      </c>
      <c r="FO284" s="208">
        <v>0</v>
      </c>
      <c r="FP284" s="208">
        <v>0</v>
      </c>
      <c r="FQ284" s="208">
        <v>0</v>
      </c>
      <c r="FR284" s="208">
        <v>0</v>
      </c>
      <c r="FS284" s="208">
        <v>0</v>
      </c>
      <c r="FT284" s="208">
        <v>0</v>
      </c>
      <c r="FU284" s="208">
        <v>-125312</v>
      </c>
      <c r="FV284" s="208">
        <v>0</v>
      </c>
      <c r="FW284" s="208">
        <v>-125312</v>
      </c>
      <c r="FX284" s="208">
        <v>0</v>
      </c>
      <c r="FY284" s="208">
        <v>0</v>
      </c>
      <c r="FZ284" s="208">
        <v>0</v>
      </c>
      <c r="GA284" s="208">
        <v>0</v>
      </c>
      <c r="GB284" s="208">
        <v>0</v>
      </c>
      <c r="GC284" s="208">
        <v>0</v>
      </c>
      <c r="GD284" s="208">
        <v>0</v>
      </c>
      <c r="GE284" s="208">
        <v>0</v>
      </c>
      <c r="GF284" s="208">
        <v>0</v>
      </c>
      <c r="GG284" s="208">
        <v>44180579</v>
      </c>
      <c r="GH284" s="208">
        <v>0</v>
      </c>
      <c r="GI284" s="208">
        <v>44180579</v>
      </c>
      <c r="GJ284" s="208">
        <v>-1001916</v>
      </c>
      <c r="GK284" s="208">
        <v>0</v>
      </c>
      <c r="GL284" s="208">
        <v>-1001916</v>
      </c>
      <c r="GM284" s="208">
        <v>-3658602</v>
      </c>
      <c r="GN284" s="208">
        <v>0</v>
      </c>
      <c r="GO284" s="208">
        <v>-3658602</v>
      </c>
      <c r="GP284" s="208">
        <v>-590263</v>
      </c>
      <c r="GQ284" s="208">
        <v>0</v>
      </c>
      <c r="GR284" s="208">
        <v>-590263</v>
      </c>
      <c r="GS284" s="208">
        <v>-76251</v>
      </c>
      <c r="GT284" s="208">
        <v>0</v>
      </c>
      <c r="GU284" s="208">
        <v>-76251</v>
      </c>
      <c r="GV284" s="208">
        <v>-125312</v>
      </c>
      <c r="GW284" s="208">
        <v>0</v>
      </c>
      <c r="GX284" s="208">
        <v>-125312</v>
      </c>
      <c r="GY284" s="208">
        <v>0</v>
      </c>
      <c r="GZ284" s="208">
        <v>0</v>
      </c>
      <c r="HA284" s="208">
        <v>0</v>
      </c>
      <c r="HB284" s="208">
        <v>-5452344</v>
      </c>
      <c r="HC284" s="208">
        <v>0</v>
      </c>
      <c r="HD284" s="208">
        <v>-5452344</v>
      </c>
      <c r="HE284" s="208">
        <v>38728235</v>
      </c>
      <c r="HF284" s="208">
        <v>0</v>
      </c>
      <c r="HG284" s="208">
        <v>38728235</v>
      </c>
      <c r="HH284" s="187" t="s">
        <v>1054</v>
      </c>
    </row>
    <row r="285" spans="2:216" s="187" customFormat="1" x14ac:dyDescent="0.2">
      <c r="B285" s="429" t="s">
        <v>648</v>
      </c>
      <c r="C285" s="429" t="s">
        <v>647</v>
      </c>
      <c r="D285" s="208">
        <v>-1158096</v>
      </c>
      <c r="E285" s="208">
        <v>0</v>
      </c>
      <c r="F285" s="208">
        <v>-1158096</v>
      </c>
      <c r="G285" s="208">
        <v>4305</v>
      </c>
      <c r="H285" s="208">
        <v>0</v>
      </c>
      <c r="I285" s="208">
        <v>4305</v>
      </c>
      <c r="J285" s="208">
        <v>1258880</v>
      </c>
      <c r="K285" s="208">
        <v>0</v>
      </c>
      <c r="L285" s="208">
        <v>1258880</v>
      </c>
      <c r="M285" s="208">
        <v>-43165</v>
      </c>
      <c r="N285" s="208">
        <v>0</v>
      </c>
      <c r="O285" s="208">
        <v>-43165</v>
      </c>
      <c r="P285" s="208">
        <v>61924</v>
      </c>
      <c r="Q285" s="208">
        <v>0</v>
      </c>
      <c r="R285" s="208">
        <v>61924</v>
      </c>
      <c r="S285" s="208">
        <v>-6149185</v>
      </c>
      <c r="T285" s="208">
        <v>0</v>
      </c>
      <c r="U285" s="208">
        <v>-6149185</v>
      </c>
      <c r="V285" s="208">
        <v>-2907</v>
      </c>
      <c r="W285" s="208">
        <v>0</v>
      </c>
      <c r="X285" s="208">
        <v>-2907</v>
      </c>
      <c r="Y285" s="208">
        <v>-201640</v>
      </c>
      <c r="Z285" s="208">
        <v>0</v>
      </c>
      <c r="AA285" s="208">
        <v>-201640</v>
      </c>
      <c r="AB285" s="208">
        <v>-59576</v>
      </c>
      <c r="AC285" s="208">
        <v>0</v>
      </c>
      <c r="AD285" s="208">
        <v>-59576</v>
      </c>
      <c r="AE285" s="208">
        <v>-139682</v>
      </c>
      <c r="AF285" s="208">
        <v>0</v>
      </c>
      <c r="AG285" s="208">
        <v>-139682</v>
      </c>
      <c r="AH285" s="208">
        <v>0</v>
      </c>
      <c r="AI285" s="208">
        <v>0</v>
      </c>
      <c r="AJ285" s="208">
        <v>0</v>
      </c>
      <c r="AK285" s="208">
        <v>0</v>
      </c>
      <c r="AL285" s="208">
        <v>0</v>
      </c>
      <c r="AM285" s="208">
        <v>0</v>
      </c>
      <c r="AN285" s="208">
        <v>831041</v>
      </c>
      <c r="AO285" s="208">
        <v>0</v>
      </c>
      <c r="AP285" s="208">
        <v>831041</v>
      </c>
      <c r="AQ285" s="208">
        <v>-776</v>
      </c>
      <c r="AR285" s="208">
        <v>0</v>
      </c>
      <c r="AS285" s="208">
        <v>-776</v>
      </c>
      <c r="AT285" s="208">
        <v>-4420662</v>
      </c>
      <c r="AU285" s="208">
        <v>0</v>
      </c>
      <c r="AV285" s="208">
        <v>-4420662</v>
      </c>
      <c r="AW285" s="208">
        <v>-7319</v>
      </c>
      <c r="AX285" s="208">
        <v>0</v>
      </c>
      <c r="AY285" s="208">
        <v>-7319</v>
      </c>
      <c r="AZ285" s="208">
        <v>-41761</v>
      </c>
      <c r="BA285" s="208">
        <v>0</v>
      </c>
      <c r="BB285" s="208">
        <v>-41761</v>
      </c>
      <c r="BC285" s="208">
        <v>0</v>
      </c>
      <c r="BD285" s="208">
        <v>0</v>
      </c>
      <c r="BE285" s="208">
        <v>0</v>
      </c>
      <c r="BF285" s="208">
        <v>-4869</v>
      </c>
      <c r="BG285" s="208">
        <v>0</v>
      </c>
      <c r="BH285" s="208">
        <v>-4869</v>
      </c>
      <c r="BI285" s="208">
        <v>0</v>
      </c>
      <c r="BJ285" s="208">
        <v>0</v>
      </c>
      <c r="BK285" s="208">
        <v>0</v>
      </c>
      <c r="BL285" s="208">
        <v>-9995171</v>
      </c>
      <c r="BM285" s="208">
        <v>0</v>
      </c>
      <c r="BN285" s="208">
        <v>-9995171</v>
      </c>
      <c r="BO285" s="208">
        <v>0</v>
      </c>
      <c r="BP285" s="208">
        <v>0</v>
      </c>
      <c r="BQ285" s="208">
        <v>0</v>
      </c>
      <c r="BR285" s="208">
        <v>0</v>
      </c>
      <c r="BS285" s="208">
        <v>0</v>
      </c>
      <c r="BT285" s="208">
        <v>0</v>
      </c>
      <c r="BU285" s="208">
        <v>-1657990</v>
      </c>
      <c r="BV285" s="208">
        <v>0</v>
      </c>
      <c r="BW285" s="208">
        <v>-1657990</v>
      </c>
      <c r="BX285" s="208">
        <v>-163301</v>
      </c>
      <c r="BY285" s="208">
        <v>0</v>
      </c>
      <c r="BZ285" s="208">
        <v>-163301</v>
      </c>
      <c r="CA285" s="208">
        <v>-1821291</v>
      </c>
      <c r="CB285" s="208">
        <v>0</v>
      </c>
      <c r="CC285" s="208">
        <v>-1821291</v>
      </c>
      <c r="CD285" s="208">
        <v>-209372</v>
      </c>
      <c r="CE285" s="208">
        <v>0</v>
      </c>
      <c r="CF285" s="208">
        <v>-209372</v>
      </c>
      <c r="CG285" s="208">
        <v>-5791</v>
      </c>
      <c r="CH285" s="208">
        <v>0</v>
      </c>
      <c r="CI285" s="208">
        <v>-5791</v>
      </c>
      <c r="CJ285" s="208">
        <v>-63538</v>
      </c>
      <c r="CK285" s="208">
        <v>0</v>
      </c>
      <c r="CL285" s="208">
        <v>-63538</v>
      </c>
      <c r="CM285" s="208">
        <v>0</v>
      </c>
      <c r="CN285" s="208">
        <v>0</v>
      </c>
      <c r="CO285" s="208">
        <v>0</v>
      </c>
      <c r="CP285" s="208">
        <v>-789</v>
      </c>
      <c r="CQ285" s="208">
        <v>0</v>
      </c>
      <c r="CR285" s="208">
        <v>-789</v>
      </c>
      <c r="CS285" s="208">
        <v>0</v>
      </c>
      <c r="CT285" s="208">
        <v>0</v>
      </c>
      <c r="CU285" s="208">
        <v>0</v>
      </c>
      <c r="CV285" s="208">
        <v>0</v>
      </c>
      <c r="CW285" s="208">
        <v>0</v>
      </c>
      <c r="CX285" s="208">
        <v>0</v>
      </c>
      <c r="CY285" s="208">
        <v>0</v>
      </c>
      <c r="CZ285" s="208">
        <v>0</v>
      </c>
      <c r="DA285" s="208">
        <v>0</v>
      </c>
      <c r="DB285" s="208">
        <v>0</v>
      </c>
      <c r="DC285" s="208">
        <v>0</v>
      </c>
      <c r="DD285" s="208">
        <v>0</v>
      </c>
      <c r="DE285" s="208">
        <v>0</v>
      </c>
      <c r="DF285" s="208">
        <v>0</v>
      </c>
      <c r="DG285" s="208">
        <v>0</v>
      </c>
      <c r="DH285" s="208">
        <v>0</v>
      </c>
      <c r="DI285" s="208">
        <v>0</v>
      </c>
      <c r="DJ285" s="208">
        <v>0</v>
      </c>
      <c r="DK285" s="208">
        <v>0</v>
      </c>
      <c r="DL285" s="208">
        <v>0</v>
      </c>
      <c r="DM285" s="208">
        <v>0</v>
      </c>
      <c r="DN285" s="208">
        <v>0</v>
      </c>
      <c r="DO285" s="208">
        <v>0</v>
      </c>
      <c r="DP285" s="208">
        <v>-279490</v>
      </c>
      <c r="DQ285" s="208">
        <v>0</v>
      </c>
      <c r="DR285" s="208">
        <v>-279490</v>
      </c>
      <c r="DS285" s="208">
        <v>563</v>
      </c>
      <c r="DT285" s="208">
        <v>0</v>
      </c>
      <c r="DU285" s="208">
        <v>563</v>
      </c>
      <c r="DV285" s="208">
        <v>0</v>
      </c>
      <c r="DW285" s="208">
        <v>0</v>
      </c>
      <c r="DX285" s="208">
        <v>0</v>
      </c>
      <c r="DY285" s="208">
        <v>-1500</v>
      </c>
      <c r="DZ285" s="208">
        <v>0</v>
      </c>
      <c r="EA285" s="208">
        <v>-1500</v>
      </c>
      <c r="EB285" s="208">
        <v>0</v>
      </c>
      <c r="EC285" s="208">
        <v>0</v>
      </c>
      <c r="ED285" s="208">
        <v>0</v>
      </c>
      <c r="EE285" s="208">
        <v>0</v>
      </c>
      <c r="EF285" s="208">
        <v>0</v>
      </c>
      <c r="EG285" s="208">
        <v>0</v>
      </c>
      <c r="EH285" s="208">
        <v>0</v>
      </c>
      <c r="EI285" s="208">
        <v>0</v>
      </c>
      <c r="EJ285" s="208">
        <v>0</v>
      </c>
      <c r="EK285" s="208">
        <v>-3956</v>
      </c>
      <c r="EL285" s="208">
        <v>0</v>
      </c>
      <c r="EM285" s="208">
        <v>-3956</v>
      </c>
      <c r="EN285" s="208">
        <v>0</v>
      </c>
      <c r="EO285" s="208">
        <v>0</v>
      </c>
      <c r="EP285" s="208">
        <v>0</v>
      </c>
      <c r="EQ285" s="208">
        <v>-1500</v>
      </c>
      <c r="ER285" s="208">
        <v>0</v>
      </c>
      <c r="ES285" s="208">
        <v>-1500</v>
      </c>
      <c r="ET285" s="208">
        <v>0</v>
      </c>
      <c r="EU285" s="208">
        <v>0</v>
      </c>
      <c r="EV285" s="208">
        <v>0</v>
      </c>
      <c r="EW285" s="208">
        <v>-39964</v>
      </c>
      <c r="EX285" s="208">
        <v>0</v>
      </c>
      <c r="EY285" s="208">
        <v>-39964</v>
      </c>
      <c r="EZ285" s="208">
        <v>3995</v>
      </c>
      <c r="FA285" s="208">
        <v>0</v>
      </c>
      <c r="FB285" s="208">
        <v>3995</v>
      </c>
      <c r="FC285" s="208">
        <v>-140753</v>
      </c>
      <c r="FD285" s="208">
        <v>0</v>
      </c>
      <c r="FE285" s="208">
        <v>-140753</v>
      </c>
      <c r="FF285" s="208">
        <v>1007</v>
      </c>
      <c r="FG285" s="208">
        <v>0</v>
      </c>
      <c r="FH285" s="208">
        <v>1007</v>
      </c>
      <c r="FI285" s="208">
        <v>-48499</v>
      </c>
      <c r="FJ285" s="208">
        <v>0</v>
      </c>
      <c r="FK285" s="208">
        <v>-48499</v>
      </c>
      <c r="FL285" s="208">
        <v>1589</v>
      </c>
      <c r="FM285" s="208">
        <v>0</v>
      </c>
      <c r="FN285" s="208">
        <v>1589</v>
      </c>
      <c r="FO285" s="208">
        <v>0</v>
      </c>
      <c r="FP285" s="208">
        <v>0</v>
      </c>
      <c r="FQ285" s="208">
        <v>0</v>
      </c>
      <c r="FR285" s="208">
        <v>0</v>
      </c>
      <c r="FS285" s="208">
        <v>0</v>
      </c>
      <c r="FT285" s="208">
        <v>0</v>
      </c>
      <c r="FU285" s="208">
        <v>-229018</v>
      </c>
      <c r="FV285" s="208">
        <v>0</v>
      </c>
      <c r="FW285" s="208">
        <v>-229018</v>
      </c>
      <c r="FX285" s="208">
        <v>0</v>
      </c>
      <c r="FY285" s="208">
        <v>0</v>
      </c>
      <c r="FZ285" s="208">
        <v>0</v>
      </c>
      <c r="GA285" s="208">
        <v>0</v>
      </c>
      <c r="GB285" s="208">
        <v>0</v>
      </c>
      <c r="GC285" s="208">
        <v>0</v>
      </c>
      <c r="GD285" s="208">
        <v>0</v>
      </c>
      <c r="GE285" s="208">
        <v>0</v>
      </c>
      <c r="GF285" s="208">
        <v>0</v>
      </c>
      <c r="GG285" s="208">
        <v>46381321</v>
      </c>
      <c r="GH285" s="208">
        <v>0</v>
      </c>
      <c r="GI285" s="208">
        <v>46381321</v>
      </c>
      <c r="GJ285" s="208">
        <v>61924</v>
      </c>
      <c r="GK285" s="208">
        <v>0</v>
      </c>
      <c r="GL285" s="208">
        <v>61924</v>
      </c>
      <c r="GM285" s="208">
        <v>-9995171</v>
      </c>
      <c r="GN285" s="208">
        <v>0</v>
      </c>
      <c r="GO285" s="208">
        <v>-9995171</v>
      </c>
      <c r="GP285" s="208">
        <v>-1821291</v>
      </c>
      <c r="GQ285" s="208">
        <v>0</v>
      </c>
      <c r="GR285" s="208">
        <v>-1821291</v>
      </c>
      <c r="GS285" s="208">
        <v>-279490</v>
      </c>
      <c r="GT285" s="208">
        <v>0</v>
      </c>
      <c r="GU285" s="208">
        <v>-279490</v>
      </c>
      <c r="GV285" s="208">
        <v>-229018</v>
      </c>
      <c r="GW285" s="208">
        <v>0</v>
      </c>
      <c r="GX285" s="208">
        <v>-229018</v>
      </c>
      <c r="GY285" s="208">
        <v>0</v>
      </c>
      <c r="GZ285" s="208">
        <v>0</v>
      </c>
      <c r="HA285" s="208">
        <v>0</v>
      </c>
      <c r="HB285" s="208">
        <v>-12263046</v>
      </c>
      <c r="HC285" s="208">
        <v>0</v>
      </c>
      <c r="HD285" s="208">
        <v>-12263046</v>
      </c>
      <c r="HE285" s="208">
        <v>34118275</v>
      </c>
      <c r="HF285" s="208">
        <v>0</v>
      </c>
      <c r="HG285" s="208">
        <v>34118275</v>
      </c>
      <c r="HH285" s="187" t="s">
        <v>1054</v>
      </c>
    </row>
    <row r="286" spans="2:216" s="187" customFormat="1" x14ac:dyDescent="0.2">
      <c r="B286" s="429" t="s">
        <v>650</v>
      </c>
      <c r="C286" s="429" t="s">
        <v>649</v>
      </c>
      <c r="D286" s="208">
        <v>-499864</v>
      </c>
      <c r="E286" s="208">
        <v>0</v>
      </c>
      <c r="F286" s="208">
        <v>-499864</v>
      </c>
      <c r="G286" s="208">
        <v>-1042</v>
      </c>
      <c r="H286" s="208">
        <v>0</v>
      </c>
      <c r="I286" s="208">
        <v>-1042</v>
      </c>
      <c r="J286" s="208">
        <v>456499</v>
      </c>
      <c r="K286" s="208">
        <v>0</v>
      </c>
      <c r="L286" s="208">
        <v>456499</v>
      </c>
      <c r="M286" s="208">
        <v>14551</v>
      </c>
      <c r="N286" s="208">
        <v>0</v>
      </c>
      <c r="O286" s="208">
        <v>14551</v>
      </c>
      <c r="P286" s="208">
        <v>-29856</v>
      </c>
      <c r="Q286" s="208">
        <v>0</v>
      </c>
      <c r="R286" s="208">
        <v>-29856</v>
      </c>
      <c r="S286" s="208">
        <v>-1763765</v>
      </c>
      <c r="T286" s="208">
        <v>0</v>
      </c>
      <c r="U286" s="208">
        <v>-1763765</v>
      </c>
      <c r="V286" s="208">
        <v>0</v>
      </c>
      <c r="W286" s="208">
        <v>0</v>
      </c>
      <c r="X286" s="208">
        <v>0</v>
      </c>
      <c r="Y286" s="208">
        <v>-55657</v>
      </c>
      <c r="Z286" s="208">
        <v>0</v>
      </c>
      <c r="AA286" s="208">
        <v>-55657</v>
      </c>
      <c r="AB286" s="208">
        <v>0</v>
      </c>
      <c r="AC286" s="208">
        <v>0</v>
      </c>
      <c r="AD286" s="208">
        <v>0</v>
      </c>
      <c r="AE286" s="208">
        <v>-55657</v>
      </c>
      <c r="AF286" s="208">
        <v>0</v>
      </c>
      <c r="AG286" s="208">
        <v>-55657</v>
      </c>
      <c r="AH286" s="208">
        <v>0</v>
      </c>
      <c r="AI286" s="208">
        <v>0</v>
      </c>
      <c r="AJ286" s="208">
        <v>0</v>
      </c>
      <c r="AK286" s="208">
        <v>1801</v>
      </c>
      <c r="AL286" s="208">
        <v>0</v>
      </c>
      <c r="AM286" s="208">
        <v>1801</v>
      </c>
      <c r="AN286" s="208">
        <v>653712</v>
      </c>
      <c r="AO286" s="208">
        <v>0</v>
      </c>
      <c r="AP286" s="208">
        <v>653712</v>
      </c>
      <c r="AQ286" s="208">
        <v>-2989</v>
      </c>
      <c r="AR286" s="208">
        <v>0</v>
      </c>
      <c r="AS286" s="208">
        <v>-2989</v>
      </c>
      <c r="AT286" s="208">
        <v>-2556005</v>
      </c>
      <c r="AU286" s="208">
        <v>0</v>
      </c>
      <c r="AV286" s="208">
        <v>-2556005</v>
      </c>
      <c r="AW286" s="208">
        <v>-7723</v>
      </c>
      <c r="AX286" s="208">
        <v>0</v>
      </c>
      <c r="AY286" s="208">
        <v>-7723</v>
      </c>
      <c r="AZ286" s="208">
        <v>-27012</v>
      </c>
      <c r="BA286" s="208">
        <v>0</v>
      </c>
      <c r="BB286" s="208">
        <v>-27012</v>
      </c>
      <c r="BC286" s="208">
        <v>0</v>
      </c>
      <c r="BD286" s="208">
        <v>0</v>
      </c>
      <c r="BE286" s="208">
        <v>0</v>
      </c>
      <c r="BF286" s="208">
        <v>-3303</v>
      </c>
      <c r="BG286" s="208">
        <v>0</v>
      </c>
      <c r="BH286" s="208">
        <v>-3303</v>
      </c>
      <c r="BI286" s="208">
        <v>-4262</v>
      </c>
      <c r="BJ286" s="208">
        <v>0</v>
      </c>
      <c r="BK286" s="208">
        <v>-4262</v>
      </c>
      <c r="BL286" s="208">
        <v>-3767004</v>
      </c>
      <c r="BM286" s="208">
        <v>0</v>
      </c>
      <c r="BN286" s="208">
        <v>-3767004</v>
      </c>
      <c r="BO286" s="208">
        <v>-2154</v>
      </c>
      <c r="BP286" s="208">
        <v>0</v>
      </c>
      <c r="BQ286" s="208">
        <v>-2154</v>
      </c>
      <c r="BR286" s="208">
        <v>-194</v>
      </c>
      <c r="BS286" s="208">
        <v>0</v>
      </c>
      <c r="BT286" s="208">
        <v>-194</v>
      </c>
      <c r="BU286" s="208">
        <v>-900004</v>
      </c>
      <c r="BV286" s="208">
        <v>0</v>
      </c>
      <c r="BW286" s="208">
        <v>-900004</v>
      </c>
      <c r="BX286" s="208">
        <v>-139303</v>
      </c>
      <c r="BY286" s="208">
        <v>0</v>
      </c>
      <c r="BZ286" s="208">
        <v>-139303</v>
      </c>
      <c r="CA286" s="208">
        <v>-1041655</v>
      </c>
      <c r="CB286" s="208">
        <v>0</v>
      </c>
      <c r="CC286" s="208">
        <v>-1041655</v>
      </c>
      <c r="CD286" s="208">
        <v>-11294</v>
      </c>
      <c r="CE286" s="208">
        <v>0</v>
      </c>
      <c r="CF286" s="208">
        <v>-11294</v>
      </c>
      <c r="CG286" s="208">
        <v>-144</v>
      </c>
      <c r="CH286" s="208">
        <v>0</v>
      </c>
      <c r="CI286" s="208">
        <v>-144</v>
      </c>
      <c r="CJ286" s="208">
        <v>-178220</v>
      </c>
      <c r="CK286" s="208">
        <v>0</v>
      </c>
      <c r="CL286" s="208">
        <v>-178220</v>
      </c>
      <c r="CM286" s="208">
        <v>0</v>
      </c>
      <c r="CN286" s="208">
        <v>0</v>
      </c>
      <c r="CO286" s="208">
        <v>0</v>
      </c>
      <c r="CP286" s="208">
        <v>0</v>
      </c>
      <c r="CQ286" s="208">
        <v>0</v>
      </c>
      <c r="CR286" s="208">
        <v>0</v>
      </c>
      <c r="CS286" s="208">
        <v>0</v>
      </c>
      <c r="CT286" s="208">
        <v>0</v>
      </c>
      <c r="CU286" s="208">
        <v>0</v>
      </c>
      <c r="CV286" s="208">
        <v>-3303</v>
      </c>
      <c r="CW286" s="208">
        <v>0</v>
      </c>
      <c r="CX286" s="208">
        <v>-3303</v>
      </c>
      <c r="CY286" s="208">
        <v>-1245</v>
      </c>
      <c r="CZ286" s="208">
        <v>0</v>
      </c>
      <c r="DA286" s="208">
        <v>-1245</v>
      </c>
      <c r="DB286" s="208">
        <v>0</v>
      </c>
      <c r="DC286" s="208">
        <v>0</v>
      </c>
      <c r="DD286" s="208">
        <v>0</v>
      </c>
      <c r="DE286" s="208">
        <v>0</v>
      </c>
      <c r="DF286" s="208">
        <v>0</v>
      </c>
      <c r="DG286" s="208">
        <v>0</v>
      </c>
      <c r="DH286" s="208">
        <v>0</v>
      </c>
      <c r="DI286" s="208">
        <v>0</v>
      </c>
      <c r="DJ286" s="208">
        <v>0</v>
      </c>
      <c r="DK286" s="208">
        <v>0</v>
      </c>
      <c r="DL286" s="208">
        <v>0</v>
      </c>
      <c r="DM286" s="208">
        <v>0</v>
      </c>
      <c r="DN286" s="208">
        <v>0</v>
      </c>
      <c r="DO286" s="208">
        <v>0</v>
      </c>
      <c r="DP286" s="208">
        <v>-194206</v>
      </c>
      <c r="DQ286" s="208">
        <v>0</v>
      </c>
      <c r="DR286" s="208">
        <v>-194206</v>
      </c>
      <c r="DS286" s="208">
        <v>0</v>
      </c>
      <c r="DT286" s="208">
        <v>0</v>
      </c>
      <c r="DU286" s="208">
        <v>0</v>
      </c>
      <c r="DV286" s="208">
        <v>0</v>
      </c>
      <c r="DW286" s="208">
        <v>0</v>
      </c>
      <c r="DX286" s="208">
        <v>0</v>
      </c>
      <c r="DY286" s="208">
        <v>0</v>
      </c>
      <c r="DZ286" s="208">
        <v>0</v>
      </c>
      <c r="EA286" s="208">
        <v>0</v>
      </c>
      <c r="EB286" s="208">
        <v>0</v>
      </c>
      <c r="EC286" s="208">
        <v>0</v>
      </c>
      <c r="ED286" s="208">
        <v>0</v>
      </c>
      <c r="EE286" s="208">
        <v>0</v>
      </c>
      <c r="EF286" s="208">
        <v>0</v>
      </c>
      <c r="EG286" s="208">
        <v>0</v>
      </c>
      <c r="EH286" s="208">
        <v>0</v>
      </c>
      <c r="EI286" s="208">
        <v>0</v>
      </c>
      <c r="EJ286" s="208">
        <v>0</v>
      </c>
      <c r="EK286" s="208">
        <v>0</v>
      </c>
      <c r="EL286" s="208">
        <v>0</v>
      </c>
      <c r="EM286" s="208">
        <v>0</v>
      </c>
      <c r="EN286" s="208">
        <v>0</v>
      </c>
      <c r="EO286" s="208">
        <v>0</v>
      </c>
      <c r="EP286" s="208">
        <v>0</v>
      </c>
      <c r="EQ286" s="208">
        <v>0</v>
      </c>
      <c r="ER286" s="208">
        <v>0</v>
      </c>
      <c r="ES286" s="208">
        <v>0</v>
      </c>
      <c r="ET286" s="208">
        <v>0</v>
      </c>
      <c r="EU286" s="208">
        <v>0</v>
      </c>
      <c r="EV286" s="208">
        <v>0</v>
      </c>
      <c r="EW286" s="208">
        <v>-14588</v>
      </c>
      <c r="EX286" s="208">
        <v>0</v>
      </c>
      <c r="EY286" s="208">
        <v>-14588</v>
      </c>
      <c r="EZ286" s="208">
        <v>665</v>
      </c>
      <c r="FA286" s="208">
        <v>0</v>
      </c>
      <c r="FB286" s="208">
        <v>665</v>
      </c>
      <c r="FC286" s="208">
        <v>-69000</v>
      </c>
      <c r="FD286" s="208">
        <v>0</v>
      </c>
      <c r="FE286" s="208">
        <v>-69000</v>
      </c>
      <c r="FF286" s="208">
        <v>0</v>
      </c>
      <c r="FG286" s="208">
        <v>0</v>
      </c>
      <c r="FH286" s="208">
        <v>0</v>
      </c>
      <c r="FI286" s="208">
        <v>-28671</v>
      </c>
      <c r="FJ286" s="208">
        <v>0</v>
      </c>
      <c r="FK286" s="208">
        <v>-28671</v>
      </c>
      <c r="FL286" s="208">
        <v>0</v>
      </c>
      <c r="FM286" s="208">
        <v>0</v>
      </c>
      <c r="FN286" s="208">
        <v>0</v>
      </c>
      <c r="FO286" s="208">
        <v>0</v>
      </c>
      <c r="FP286" s="208">
        <v>0</v>
      </c>
      <c r="FQ286" s="208">
        <v>0</v>
      </c>
      <c r="FR286" s="208">
        <v>0</v>
      </c>
      <c r="FS286" s="208">
        <v>0</v>
      </c>
      <c r="FT286" s="208">
        <v>0</v>
      </c>
      <c r="FU286" s="208">
        <v>-111594</v>
      </c>
      <c r="FV286" s="208">
        <v>0</v>
      </c>
      <c r="FW286" s="208">
        <v>-111594</v>
      </c>
      <c r="FX286" s="208">
        <v>0</v>
      </c>
      <c r="FY286" s="208">
        <v>0</v>
      </c>
      <c r="FZ286" s="208">
        <v>0</v>
      </c>
      <c r="GA286" s="208">
        <v>0</v>
      </c>
      <c r="GB286" s="208">
        <v>0</v>
      </c>
      <c r="GC286" s="208">
        <v>0</v>
      </c>
      <c r="GD286" s="208">
        <v>0</v>
      </c>
      <c r="GE286" s="208">
        <v>0</v>
      </c>
      <c r="GF286" s="208">
        <v>0</v>
      </c>
      <c r="GG286" s="208">
        <v>33997828</v>
      </c>
      <c r="GH286" s="208">
        <v>0</v>
      </c>
      <c r="GI286" s="208">
        <v>33997828</v>
      </c>
      <c r="GJ286" s="208">
        <v>-29856</v>
      </c>
      <c r="GK286" s="208">
        <v>0</v>
      </c>
      <c r="GL286" s="208">
        <v>-29856</v>
      </c>
      <c r="GM286" s="208">
        <v>-3767004</v>
      </c>
      <c r="GN286" s="208">
        <v>0</v>
      </c>
      <c r="GO286" s="208">
        <v>-3767004</v>
      </c>
      <c r="GP286" s="208">
        <v>-1041655</v>
      </c>
      <c r="GQ286" s="208">
        <v>0</v>
      </c>
      <c r="GR286" s="208">
        <v>-1041655</v>
      </c>
      <c r="GS286" s="208">
        <v>-194206</v>
      </c>
      <c r="GT286" s="208">
        <v>0</v>
      </c>
      <c r="GU286" s="208">
        <v>-194206</v>
      </c>
      <c r="GV286" s="208">
        <v>-111594</v>
      </c>
      <c r="GW286" s="208">
        <v>0</v>
      </c>
      <c r="GX286" s="208">
        <v>-111594</v>
      </c>
      <c r="GY286" s="208">
        <v>0</v>
      </c>
      <c r="GZ286" s="208">
        <v>0</v>
      </c>
      <c r="HA286" s="208">
        <v>0</v>
      </c>
      <c r="HB286" s="208">
        <v>-5144315</v>
      </c>
      <c r="HC286" s="208">
        <v>0</v>
      </c>
      <c r="HD286" s="208">
        <v>-5144315</v>
      </c>
      <c r="HE286" s="208">
        <v>28853513</v>
      </c>
      <c r="HF286" s="208">
        <v>0</v>
      </c>
      <c r="HG286" s="208">
        <v>28853513</v>
      </c>
      <c r="HH286" s="187" t="s">
        <v>1054</v>
      </c>
    </row>
    <row r="287" spans="2:216" s="187" customFormat="1" x14ac:dyDescent="0.2">
      <c r="B287" s="429" t="s">
        <v>652</v>
      </c>
      <c r="C287" s="429" t="s">
        <v>651</v>
      </c>
      <c r="D287" s="208">
        <v>-884668</v>
      </c>
      <c r="E287" s="208">
        <v>0</v>
      </c>
      <c r="F287" s="208">
        <v>-884668</v>
      </c>
      <c r="G287" s="208">
        <v>63485</v>
      </c>
      <c r="H287" s="208">
        <v>0</v>
      </c>
      <c r="I287" s="208">
        <v>63485</v>
      </c>
      <c r="J287" s="208">
        <v>2558511</v>
      </c>
      <c r="K287" s="208">
        <v>0</v>
      </c>
      <c r="L287" s="208">
        <v>2558511</v>
      </c>
      <c r="M287" s="208">
        <v>269000</v>
      </c>
      <c r="N287" s="208">
        <v>0</v>
      </c>
      <c r="O287" s="208">
        <v>269000</v>
      </c>
      <c r="P287" s="208">
        <v>2006328</v>
      </c>
      <c r="Q287" s="208">
        <v>0</v>
      </c>
      <c r="R287" s="208">
        <v>2006328</v>
      </c>
      <c r="S287" s="208">
        <v>-3983443</v>
      </c>
      <c r="T287" s="208">
        <v>0</v>
      </c>
      <c r="U287" s="208">
        <v>-3983443</v>
      </c>
      <c r="V287" s="208">
        <v>-18116</v>
      </c>
      <c r="W287" s="208">
        <v>0</v>
      </c>
      <c r="X287" s="208">
        <v>-18116</v>
      </c>
      <c r="Y287" s="208">
        <v>-110256</v>
      </c>
      <c r="Z287" s="208">
        <v>0</v>
      </c>
      <c r="AA287" s="208">
        <v>-110256</v>
      </c>
      <c r="AB287" s="208">
        <v>-31692</v>
      </c>
      <c r="AC287" s="208">
        <v>0</v>
      </c>
      <c r="AD287" s="208">
        <v>-31692</v>
      </c>
      <c r="AE287" s="208">
        <v>-78564</v>
      </c>
      <c r="AF287" s="208">
        <v>0</v>
      </c>
      <c r="AG287" s="208">
        <v>-78564</v>
      </c>
      <c r="AH287" s="208">
        <v>2821</v>
      </c>
      <c r="AI287" s="208">
        <v>0</v>
      </c>
      <c r="AJ287" s="208">
        <v>2821</v>
      </c>
      <c r="AK287" s="208">
        <v>491</v>
      </c>
      <c r="AL287" s="208">
        <v>0</v>
      </c>
      <c r="AM287" s="208">
        <v>491</v>
      </c>
      <c r="AN287" s="208">
        <v>3092392</v>
      </c>
      <c r="AO287" s="208">
        <v>0</v>
      </c>
      <c r="AP287" s="208">
        <v>3092392</v>
      </c>
      <c r="AQ287" s="208">
        <v>252787</v>
      </c>
      <c r="AR287" s="208">
        <v>0</v>
      </c>
      <c r="AS287" s="208">
        <v>252787</v>
      </c>
      <c r="AT287" s="208">
        <v>-4387442</v>
      </c>
      <c r="AU287" s="208">
        <v>0</v>
      </c>
      <c r="AV287" s="208">
        <v>-4387442</v>
      </c>
      <c r="AW287" s="208">
        <v>6083</v>
      </c>
      <c r="AX287" s="208">
        <v>0</v>
      </c>
      <c r="AY287" s="208">
        <v>6083</v>
      </c>
      <c r="AZ287" s="208">
        <v>-41580</v>
      </c>
      <c r="BA287" s="208">
        <v>0</v>
      </c>
      <c r="BB287" s="208">
        <v>-41580</v>
      </c>
      <c r="BC287" s="208">
        <v>-731</v>
      </c>
      <c r="BD287" s="208">
        <v>0</v>
      </c>
      <c r="BE287" s="208">
        <v>-731</v>
      </c>
      <c r="BF287" s="208">
        <v>0</v>
      </c>
      <c r="BG287" s="208">
        <v>0</v>
      </c>
      <c r="BH287" s="208">
        <v>0</v>
      </c>
      <c r="BI287" s="208">
        <v>0</v>
      </c>
      <c r="BJ287" s="208">
        <v>0</v>
      </c>
      <c r="BK287" s="208">
        <v>0</v>
      </c>
      <c r="BL287" s="208">
        <v>-5172190</v>
      </c>
      <c r="BM287" s="208">
        <v>0</v>
      </c>
      <c r="BN287" s="208">
        <v>-5172190</v>
      </c>
      <c r="BO287" s="208">
        <v>0</v>
      </c>
      <c r="BP287" s="208">
        <v>0</v>
      </c>
      <c r="BQ287" s="208">
        <v>0</v>
      </c>
      <c r="BR287" s="208">
        <v>-188970</v>
      </c>
      <c r="BS287" s="208">
        <v>0</v>
      </c>
      <c r="BT287" s="208">
        <v>-188970</v>
      </c>
      <c r="BU287" s="208">
        <v>-4402887</v>
      </c>
      <c r="BV287" s="208">
        <v>0</v>
      </c>
      <c r="BW287" s="208">
        <v>-4402887</v>
      </c>
      <c r="BX287" s="208">
        <v>-350396</v>
      </c>
      <c r="BY287" s="208">
        <v>0</v>
      </c>
      <c r="BZ287" s="208">
        <v>-350396</v>
      </c>
      <c r="CA287" s="208">
        <v>-4942253</v>
      </c>
      <c r="CB287" s="208">
        <v>0</v>
      </c>
      <c r="CC287" s="208">
        <v>-4942253</v>
      </c>
      <c r="CD287" s="208">
        <v>-43639</v>
      </c>
      <c r="CE287" s="208">
        <v>0</v>
      </c>
      <c r="CF287" s="208">
        <v>-43639</v>
      </c>
      <c r="CG287" s="208">
        <v>0</v>
      </c>
      <c r="CH287" s="208">
        <v>0</v>
      </c>
      <c r="CI287" s="208">
        <v>0</v>
      </c>
      <c r="CJ287" s="208">
        <v>-27780</v>
      </c>
      <c r="CK287" s="208">
        <v>0</v>
      </c>
      <c r="CL287" s="208">
        <v>-27780</v>
      </c>
      <c r="CM287" s="208">
        <v>444</v>
      </c>
      <c r="CN287" s="208">
        <v>0</v>
      </c>
      <c r="CO287" s="208">
        <v>444</v>
      </c>
      <c r="CP287" s="208">
        <v>-1366</v>
      </c>
      <c r="CQ287" s="208">
        <v>0</v>
      </c>
      <c r="CR287" s="208">
        <v>-1366</v>
      </c>
      <c r="CS287" s="208">
        <v>-46</v>
      </c>
      <c r="CT287" s="208">
        <v>0</v>
      </c>
      <c r="CU287" s="208">
        <v>-46</v>
      </c>
      <c r="CV287" s="208">
        <v>0</v>
      </c>
      <c r="CW287" s="208">
        <v>0</v>
      </c>
      <c r="CX287" s="208">
        <v>0</v>
      </c>
      <c r="CY287" s="208">
        <v>0</v>
      </c>
      <c r="CZ287" s="208">
        <v>0</v>
      </c>
      <c r="DA287" s="208">
        <v>0</v>
      </c>
      <c r="DB287" s="208">
        <v>0</v>
      </c>
      <c r="DC287" s="208">
        <v>0</v>
      </c>
      <c r="DD287" s="208">
        <v>0</v>
      </c>
      <c r="DE287" s="208">
        <v>0</v>
      </c>
      <c r="DF287" s="208">
        <v>0</v>
      </c>
      <c r="DG287" s="208">
        <v>0</v>
      </c>
      <c r="DH287" s="208">
        <v>0</v>
      </c>
      <c r="DI287" s="208">
        <v>0</v>
      </c>
      <c r="DJ287" s="208">
        <v>0</v>
      </c>
      <c r="DK287" s="208">
        <v>0</v>
      </c>
      <c r="DL287" s="208">
        <v>0</v>
      </c>
      <c r="DM287" s="208">
        <v>0</v>
      </c>
      <c r="DN287" s="208">
        <v>0</v>
      </c>
      <c r="DO287" s="208">
        <v>0</v>
      </c>
      <c r="DP287" s="208">
        <v>-72387</v>
      </c>
      <c r="DQ287" s="208">
        <v>0</v>
      </c>
      <c r="DR287" s="208">
        <v>-72387</v>
      </c>
      <c r="DS287" s="208">
        <v>0</v>
      </c>
      <c r="DT287" s="208">
        <v>0</v>
      </c>
      <c r="DU287" s="208">
        <v>0</v>
      </c>
      <c r="DV287" s="208">
        <v>0</v>
      </c>
      <c r="DW287" s="208">
        <v>0</v>
      </c>
      <c r="DX287" s="208">
        <v>0</v>
      </c>
      <c r="DY287" s="208">
        <v>2684</v>
      </c>
      <c r="DZ287" s="208">
        <v>0</v>
      </c>
      <c r="EA287" s="208">
        <v>2684</v>
      </c>
      <c r="EB287" s="208">
        <v>0</v>
      </c>
      <c r="EC287" s="208">
        <v>0</v>
      </c>
      <c r="ED287" s="208">
        <v>0</v>
      </c>
      <c r="EE287" s="208">
        <v>0</v>
      </c>
      <c r="EF287" s="208">
        <v>0</v>
      </c>
      <c r="EG287" s="208">
        <v>0</v>
      </c>
      <c r="EH287" s="208">
        <v>0</v>
      </c>
      <c r="EI287" s="208">
        <v>0</v>
      </c>
      <c r="EJ287" s="208">
        <v>0</v>
      </c>
      <c r="EK287" s="208">
        <v>0</v>
      </c>
      <c r="EL287" s="208">
        <v>0</v>
      </c>
      <c r="EM287" s="208">
        <v>0</v>
      </c>
      <c r="EN287" s="208">
        <v>0</v>
      </c>
      <c r="EO287" s="208">
        <v>0</v>
      </c>
      <c r="EP287" s="208">
        <v>0</v>
      </c>
      <c r="EQ287" s="208">
        <v>0</v>
      </c>
      <c r="ER287" s="208">
        <v>0</v>
      </c>
      <c r="ES287" s="208">
        <v>0</v>
      </c>
      <c r="ET287" s="208">
        <v>0</v>
      </c>
      <c r="EU287" s="208">
        <v>0</v>
      </c>
      <c r="EV287" s="208">
        <v>0</v>
      </c>
      <c r="EW287" s="208">
        <v>-7515</v>
      </c>
      <c r="EX287" s="208">
        <v>0</v>
      </c>
      <c r="EY287" s="208">
        <v>-7515</v>
      </c>
      <c r="EZ287" s="208">
        <v>759</v>
      </c>
      <c r="FA287" s="208">
        <v>0</v>
      </c>
      <c r="FB287" s="208">
        <v>759</v>
      </c>
      <c r="FC287" s="208">
        <v>-161348</v>
      </c>
      <c r="FD287" s="208">
        <v>0</v>
      </c>
      <c r="FE287" s="208">
        <v>-161348</v>
      </c>
      <c r="FF287" s="208">
        <v>10952</v>
      </c>
      <c r="FG287" s="208">
        <v>0</v>
      </c>
      <c r="FH287" s="208">
        <v>10952</v>
      </c>
      <c r="FI287" s="208">
        <v>-18586</v>
      </c>
      <c r="FJ287" s="208">
        <v>0</v>
      </c>
      <c r="FK287" s="208">
        <v>-18586</v>
      </c>
      <c r="FL287" s="208">
        <v>0</v>
      </c>
      <c r="FM287" s="208">
        <v>0</v>
      </c>
      <c r="FN287" s="208">
        <v>0</v>
      </c>
      <c r="FO287" s="208">
        <v>0</v>
      </c>
      <c r="FP287" s="208">
        <v>0</v>
      </c>
      <c r="FQ287" s="208">
        <v>0</v>
      </c>
      <c r="FR287" s="208">
        <v>0</v>
      </c>
      <c r="FS287" s="208">
        <v>0</v>
      </c>
      <c r="FT287" s="208">
        <v>0</v>
      </c>
      <c r="FU287" s="208">
        <v>-173054</v>
      </c>
      <c r="FV287" s="208">
        <v>0</v>
      </c>
      <c r="FW287" s="208">
        <v>-173054</v>
      </c>
      <c r="FX287" s="208">
        <v>0</v>
      </c>
      <c r="FY287" s="208">
        <v>0</v>
      </c>
      <c r="FZ287" s="208">
        <v>0</v>
      </c>
      <c r="GA287" s="208">
        <v>0</v>
      </c>
      <c r="GB287" s="208">
        <v>0</v>
      </c>
      <c r="GC287" s="208">
        <v>0</v>
      </c>
      <c r="GD287" s="208">
        <v>0</v>
      </c>
      <c r="GE287" s="208">
        <v>0</v>
      </c>
      <c r="GF287" s="208">
        <v>0</v>
      </c>
      <c r="GG287" s="208">
        <v>129459718</v>
      </c>
      <c r="GH287" s="208">
        <v>0</v>
      </c>
      <c r="GI287" s="208">
        <v>129459718</v>
      </c>
      <c r="GJ287" s="208">
        <v>2006328</v>
      </c>
      <c r="GK287" s="208">
        <v>0</v>
      </c>
      <c r="GL287" s="208">
        <v>2006328</v>
      </c>
      <c r="GM287" s="208">
        <v>-5172190</v>
      </c>
      <c r="GN287" s="208">
        <v>0</v>
      </c>
      <c r="GO287" s="208">
        <v>-5172190</v>
      </c>
      <c r="GP287" s="208">
        <v>-4942253</v>
      </c>
      <c r="GQ287" s="208">
        <v>0</v>
      </c>
      <c r="GR287" s="208">
        <v>-4942253</v>
      </c>
      <c r="GS287" s="208">
        <v>-72387</v>
      </c>
      <c r="GT287" s="208">
        <v>0</v>
      </c>
      <c r="GU287" s="208">
        <v>-72387</v>
      </c>
      <c r="GV287" s="208">
        <v>-173054</v>
      </c>
      <c r="GW287" s="208">
        <v>0</v>
      </c>
      <c r="GX287" s="208">
        <v>-173054</v>
      </c>
      <c r="GY287" s="208">
        <v>0</v>
      </c>
      <c r="GZ287" s="208">
        <v>0</v>
      </c>
      <c r="HA287" s="208">
        <v>0</v>
      </c>
      <c r="HB287" s="208">
        <v>-8353556</v>
      </c>
      <c r="HC287" s="208">
        <v>0</v>
      </c>
      <c r="HD287" s="208">
        <v>-8353556</v>
      </c>
      <c r="HE287" s="208">
        <v>121106162</v>
      </c>
      <c r="HF287" s="208">
        <v>0</v>
      </c>
      <c r="HG287" s="208">
        <v>121106162</v>
      </c>
      <c r="HH287" s="187" t="s">
        <v>742</v>
      </c>
    </row>
    <row r="288" spans="2:216" s="187" customFormat="1" x14ac:dyDescent="0.2">
      <c r="B288" s="429" t="s">
        <v>654</v>
      </c>
      <c r="C288" s="429" t="s">
        <v>653</v>
      </c>
      <c r="D288" s="208">
        <v>-859733</v>
      </c>
      <c r="E288" s="208">
        <v>0</v>
      </c>
      <c r="F288" s="208">
        <v>-859733</v>
      </c>
      <c r="G288" s="208">
        <v>4546</v>
      </c>
      <c r="H288" s="208">
        <v>0</v>
      </c>
      <c r="I288" s="208">
        <v>4546</v>
      </c>
      <c r="J288" s="208">
        <v>521759</v>
      </c>
      <c r="K288" s="208">
        <v>0</v>
      </c>
      <c r="L288" s="208">
        <v>521759</v>
      </c>
      <c r="M288" s="208">
        <v>59888</v>
      </c>
      <c r="N288" s="208">
        <v>0</v>
      </c>
      <c r="O288" s="208">
        <v>59888</v>
      </c>
      <c r="P288" s="208">
        <v>-273540</v>
      </c>
      <c r="Q288" s="208">
        <v>0</v>
      </c>
      <c r="R288" s="208">
        <v>-273540</v>
      </c>
      <c r="S288" s="208">
        <v>-2989194</v>
      </c>
      <c r="T288" s="208">
        <v>0</v>
      </c>
      <c r="U288" s="208">
        <v>-2989194</v>
      </c>
      <c r="V288" s="208">
        <v>0</v>
      </c>
      <c r="W288" s="208">
        <v>0</v>
      </c>
      <c r="X288" s="208">
        <v>0</v>
      </c>
      <c r="Y288" s="208">
        <v>-114821</v>
      </c>
      <c r="Z288" s="208">
        <v>0</v>
      </c>
      <c r="AA288" s="208">
        <v>-114821</v>
      </c>
      <c r="AB288" s="208">
        <v>-25762</v>
      </c>
      <c r="AC288" s="208">
        <v>0</v>
      </c>
      <c r="AD288" s="208">
        <v>-25762</v>
      </c>
      <c r="AE288" s="208">
        <v>-89059</v>
      </c>
      <c r="AF288" s="208">
        <v>0</v>
      </c>
      <c r="AG288" s="208">
        <v>-89059</v>
      </c>
      <c r="AH288" s="208">
        <v>0</v>
      </c>
      <c r="AI288" s="208">
        <v>0</v>
      </c>
      <c r="AJ288" s="208">
        <v>0</v>
      </c>
      <c r="AK288" s="208">
        <v>0</v>
      </c>
      <c r="AL288" s="208">
        <v>0</v>
      </c>
      <c r="AM288" s="208">
        <v>0</v>
      </c>
      <c r="AN288" s="208">
        <v>1418213</v>
      </c>
      <c r="AO288" s="208">
        <v>0</v>
      </c>
      <c r="AP288" s="208">
        <v>1418213</v>
      </c>
      <c r="AQ288" s="208">
        <v>-1445</v>
      </c>
      <c r="AR288" s="208">
        <v>0</v>
      </c>
      <c r="AS288" s="208">
        <v>-1445</v>
      </c>
      <c r="AT288" s="208">
        <v>-5212714</v>
      </c>
      <c r="AU288" s="208">
        <v>0</v>
      </c>
      <c r="AV288" s="208">
        <v>-5212714</v>
      </c>
      <c r="AW288" s="208">
        <v>7826</v>
      </c>
      <c r="AX288" s="208">
        <v>0</v>
      </c>
      <c r="AY288" s="208">
        <v>7826</v>
      </c>
      <c r="AZ288" s="208">
        <v>-68360</v>
      </c>
      <c r="BA288" s="208">
        <v>0</v>
      </c>
      <c r="BB288" s="208">
        <v>-68360</v>
      </c>
      <c r="BC288" s="208">
        <v>0</v>
      </c>
      <c r="BD288" s="208">
        <v>0</v>
      </c>
      <c r="BE288" s="208">
        <v>0</v>
      </c>
      <c r="BF288" s="208">
        <v>-6124</v>
      </c>
      <c r="BG288" s="208">
        <v>0</v>
      </c>
      <c r="BH288" s="208">
        <v>-6124</v>
      </c>
      <c r="BI288" s="208">
        <v>0</v>
      </c>
      <c r="BJ288" s="208">
        <v>0</v>
      </c>
      <c r="BK288" s="208">
        <v>0</v>
      </c>
      <c r="BL288" s="208">
        <v>-6966619</v>
      </c>
      <c r="BM288" s="208">
        <v>0</v>
      </c>
      <c r="BN288" s="208">
        <v>-6966619</v>
      </c>
      <c r="BO288" s="208">
        <v>-59898</v>
      </c>
      <c r="BP288" s="208">
        <v>0</v>
      </c>
      <c r="BQ288" s="208">
        <v>-59898</v>
      </c>
      <c r="BR288" s="208">
        <v>-1325</v>
      </c>
      <c r="BS288" s="208">
        <v>0</v>
      </c>
      <c r="BT288" s="208">
        <v>-1325</v>
      </c>
      <c r="BU288" s="208">
        <v>-2739511</v>
      </c>
      <c r="BV288" s="208">
        <v>0</v>
      </c>
      <c r="BW288" s="208">
        <v>-2739511</v>
      </c>
      <c r="BX288" s="208">
        <v>-257141</v>
      </c>
      <c r="BY288" s="208">
        <v>0</v>
      </c>
      <c r="BZ288" s="208">
        <v>-257141</v>
      </c>
      <c r="CA288" s="208">
        <v>-3057875</v>
      </c>
      <c r="CB288" s="208">
        <v>0</v>
      </c>
      <c r="CC288" s="208">
        <v>-3057875</v>
      </c>
      <c r="CD288" s="208">
        <v>-130817</v>
      </c>
      <c r="CE288" s="208">
        <v>0</v>
      </c>
      <c r="CF288" s="208">
        <v>-130817</v>
      </c>
      <c r="CG288" s="208">
        <v>797</v>
      </c>
      <c r="CH288" s="208">
        <v>0</v>
      </c>
      <c r="CI288" s="208">
        <v>797</v>
      </c>
      <c r="CJ288" s="208">
        <v>-47080</v>
      </c>
      <c r="CK288" s="208">
        <v>0</v>
      </c>
      <c r="CL288" s="208">
        <v>-47080</v>
      </c>
      <c r="CM288" s="208">
        <v>-976</v>
      </c>
      <c r="CN288" s="208">
        <v>0</v>
      </c>
      <c r="CO288" s="208">
        <v>-976</v>
      </c>
      <c r="CP288" s="208">
        <v>-14418</v>
      </c>
      <c r="CQ288" s="208">
        <v>0</v>
      </c>
      <c r="CR288" s="208">
        <v>-14418</v>
      </c>
      <c r="CS288" s="208">
        <v>0</v>
      </c>
      <c r="CT288" s="208">
        <v>0</v>
      </c>
      <c r="CU288" s="208">
        <v>0</v>
      </c>
      <c r="CV288" s="208">
        <v>-8640</v>
      </c>
      <c r="CW288" s="208">
        <v>0</v>
      </c>
      <c r="CX288" s="208">
        <v>-8640</v>
      </c>
      <c r="CY288" s="208">
        <v>0</v>
      </c>
      <c r="CZ288" s="208">
        <v>0</v>
      </c>
      <c r="DA288" s="208">
        <v>0</v>
      </c>
      <c r="DB288" s="208">
        <v>-6125</v>
      </c>
      <c r="DC288" s="208">
        <v>0</v>
      </c>
      <c r="DD288" s="208">
        <v>-6125</v>
      </c>
      <c r="DE288" s="208">
        <v>0</v>
      </c>
      <c r="DF288" s="208">
        <v>0</v>
      </c>
      <c r="DG288" s="208">
        <v>0</v>
      </c>
      <c r="DH288" s="208">
        <v>0</v>
      </c>
      <c r="DI288" s="208">
        <v>0</v>
      </c>
      <c r="DJ288" s="208">
        <v>0</v>
      </c>
      <c r="DK288" s="208">
        <v>0</v>
      </c>
      <c r="DL288" s="208">
        <v>0</v>
      </c>
      <c r="DM288" s="208">
        <v>0</v>
      </c>
      <c r="DN288" s="208">
        <v>0</v>
      </c>
      <c r="DO288" s="208">
        <v>0</v>
      </c>
      <c r="DP288" s="208">
        <v>-207259</v>
      </c>
      <c r="DQ288" s="208">
        <v>0</v>
      </c>
      <c r="DR288" s="208">
        <v>-207259</v>
      </c>
      <c r="DS288" s="208">
        <v>0</v>
      </c>
      <c r="DT288" s="208">
        <v>0</v>
      </c>
      <c r="DU288" s="208">
        <v>0</v>
      </c>
      <c r="DV288" s="208">
        <v>0</v>
      </c>
      <c r="DW288" s="208">
        <v>0</v>
      </c>
      <c r="DX288" s="208">
        <v>0</v>
      </c>
      <c r="DY288" s="208">
        <v>2224</v>
      </c>
      <c r="DZ288" s="208">
        <v>0</v>
      </c>
      <c r="EA288" s="208">
        <v>2224</v>
      </c>
      <c r="EB288" s="208">
        <v>0</v>
      </c>
      <c r="EC288" s="208">
        <v>0</v>
      </c>
      <c r="ED288" s="208">
        <v>0</v>
      </c>
      <c r="EE288" s="208">
        <v>0</v>
      </c>
      <c r="EF288" s="208">
        <v>0</v>
      </c>
      <c r="EG288" s="208">
        <v>0</v>
      </c>
      <c r="EH288" s="208">
        <v>0</v>
      </c>
      <c r="EI288" s="208">
        <v>0</v>
      </c>
      <c r="EJ288" s="208">
        <v>0</v>
      </c>
      <c r="EK288" s="208">
        <v>0</v>
      </c>
      <c r="EL288" s="208">
        <v>0</v>
      </c>
      <c r="EM288" s="208">
        <v>0</v>
      </c>
      <c r="EN288" s="208">
        <v>0</v>
      </c>
      <c r="EO288" s="208">
        <v>0</v>
      </c>
      <c r="EP288" s="208">
        <v>0</v>
      </c>
      <c r="EQ288" s="208">
        <v>0</v>
      </c>
      <c r="ER288" s="208">
        <v>0</v>
      </c>
      <c r="ES288" s="208">
        <v>0</v>
      </c>
      <c r="ET288" s="208">
        <v>0</v>
      </c>
      <c r="EU288" s="208">
        <v>0</v>
      </c>
      <c r="EV288" s="208">
        <v>0</v>
      </c>
      <c r="EW288" s="208">
        <v>-24437</v>
      </c>
      <c r="EX288" s="208">
        <v>0</v>
      </c>
      <c r="EY288" s="208">
        <v>-24437</v>
      </c>
      <c r="EZ288" s="208">
        <v>314</v>
      </c>
      <c r="FA288" s="208">
        <v>0</v>
      </c>
      <c r="FB288" s="208">
        <v>314</v>
      </c>
      <c r="FC288" s="208">
        <v>-120726</v>
      </c>
      <c r="FD288" s="208">
        <v>0</v>
      </c>
      <c r="FE288" s="208">
        <v>-120726</v>
      </c>
      <c r="FF288" s="208">
        <v>2305</v>
      </c>
      <c r="FG288" s="208">
        <v>0</v>
      </c>
      <c r="FH288" s="208">
        <v>2305</v>
      </c>
      <c r="FI288" s="208">
        <v>-51715</v>
      </c>
      <c r="FJ288" s="208">
        <v>0</v>
      </c>
      <c r="FK288" s="208">
        <v>-51715</v>
      </c>
      <c r="FL288" s="208">
        <v>0</v>
      </c>
      <c r="FM288" s="208">
        <v>0</v>
      </c>
      <c r="FN288" s="208">
        <v>0</v>
      </c>
      <c r="FO288" s="208">
        <v>0</v>
      </c>
      <c r="FP288" s="208">
        <v>0</v>
      </c>
      <c r="FQ288" s="208">
        <v>0</v>
      </c>
      <c r="FR288" s="208">
        <v>0</v>
      </c>
      <c r="FS288" s="208">
        <v>0</v>
      </c>
      <c r="FT288" s="208">
        <v>0</v>
      </c>
      <c r="FU288" s="208">
        <v>-192035</v>
      </c>
      <c r="FV288" s="208">
        <v>0</v>
      </c>
      <c r="FW288" s="208">
        <v>-192035</v>
      </c>
      <c r="FX288" s="208">
        <v>0</v>
      </c>
      <c r="FY288" s="208">
        <v>0</v>
      </c>
      <c r="FZ288" s="208">
        <v>0</v>
      </c>
      <c r="GA288" s="208">
        <v>0</v>
      </c>
      <c r="GB288" s="208">
        <v>0</v>
      </c>
      <c r="GC288" s="208">
        <v>0</v>
      </c>
      <c r="GD288" s="208">
        <v>0</v>
      </c>
      <c r="GE288" s="208">
        <v>0</v>
      </c>
      <c r="GF288" s="208">
        <v>0</v>
      </c>
      <c r="GG288" s="208">
        <v>68216224</v>
      </c>
      <c r="GH288" s="208">
        <v>0</v>
      </c>
      <c r="GI288" s="208">
        <v>68216224</v>
      </c>
      <c r="GJ288" s="208">
        <v>-273540</v>
      </c>
      <c r="GK288" s="208">
        <v>0</v>
      </c>
      <c r="GL288" s="208">
        <v>-273540</v>
      </c>
      <c r="GM288" s="208">
        <v>-6966619</v>
      </c>
      <c r="GN288" s="208">
        <v>0</v>
      </c>
      <c r="GO288" s="208">
        <v>-6966619</v>
      </c>
      <c r="GP288" s="208">
        <v>-3057875</v>
      </c>
      <c r="GQ288" s="208">
        <v>0</v>
      </c>
      <c r="GR288" s="208">
        <v>-3057875</v>
      </c>
      <c r="GS288" s="208">
        <v>-207259</v>
      </c>
      <c r="GT288" s="208">
        <v>0</v>
      </c>
      <c r="GU288" s="208">
        <v>-207259</v>
      </c>
      <c r="GV288" s="208">
        <v>-192035</v>
      </c>
      <c r="GW288" s="208">
        <v>0</v>
      </c>
      <c r="GX288" s="208">
        <v>-192035</v>
      </c>
      <c r="GY288" s="208">
        <v>0</v>
      </c>
      <c r="GZ288" s="208">
        <v>0</v>
      </c>
      <c r="HA288" s="208">
        <v>0</v>
      </c>
      <c r="HB288" s="208">
        <v>-10697328</v>
      </c>
      <c r="HC288" s="208">
        <v>0</v>
      </c>
      <c r="HD288" s="208">
        <v>-10697328</v>
      </c>
      <c r="HE288" s="208">
        <v>57518896</v>
      </c>
      <c r="HF288" s="208">
        <v>0</v>
      </c>
      <c r="HG288" s="208">
        <v>57518896</v>
      </c>
      <c r="HH288" s="187" t="s">
        <v>1054</v>
      </c>
    </row>
    <row r="289" spans="1:216" s="187" customFormat="1" x14ac:dyDescent="0.2">
      <c r="B289" s="429" t="s">
        <v>656</v>
      </c>
      <c r="C289" s="429" t="s">
        <v>655</v>
      </c>
      <c r="D289" s="208">
        <v>-641454</v>
      </c>
      <c r="E289" s="208">
        <v>0</v>
      </c>
      <c r="F289" s="208">
        <v>-641454</v>
      </c>
      <c r="G289" s="208">
        <v>18643</v>
      </c>
      <c r="H289" s="208">
        <v>0</v>
      </c>
      <c r="I289" s="208">
        <v>18643</v>
      </c>
      <c r="J289" s="208">
        <v>2766861</v>
      </c>
      <c r="K289" s="208">
        <v>0</v>
      </c>
      <c r="L289" s="208">
        <v>2766861</v>
      </c>
      <c r="M289" s="208">
        <v>-3186</v>
      </c>
      <c r="N289" s="208">
        <v>0</v>
      </c>
      <c r="O289" s="208">
        <v>-3186</v>
      </c>
      <c r="P289" s="208">
        <v>2140864</v>
      </c>
      <c r="Q289" s="208">
        <v>0</v>
      </c>
      <c r="R289" s="208">
        <v>2140864</v>
      </c>
      <c r="S289" s="208">
        <v>-6851527</v>
      </c>
      <c r="T289" s="208">
        <v>0</v>
      </c>
      <c r="U289" s="208">
        <v>-6851527</v>
      </c>
      <c r="V289" s="208">
        <v>0</v>
      </c>
      <c r="W289" s="208">
        <v>0</v>
      </c>
      <c r="X289" s="208">
        <v>0</v>
      </c>
      <c r="Y289" s="208">
        <v>-181895</v>
      </c>
      <c r="Z289" s="208">
        <v>0</v>
      </c>
      <c r="AA289" s="208">
        <v>-181895</v>
      </c>
      <c r="AB289" s="208">
        <v>-20292</v>
      </c>
      <c r="AC289" s="208">
        <v>0</v>
      </c>
      <c r="AD289" s="208">
        <v>-20292</v>
      </c>
      <c r="AE289" s="208">
        <v>-159951</v>
      </c>
      <c r="AF289" s="208">
        <v>0</v>
      </c>
      <c r="AG289" s="208">
        <v>-159951</v>
      </c>
      <c r="AH289" s="208">
        <v>0</v>
      </c>
      <c r="AI289" s="208">
        <v>0</v>
      </c>
      <c r="AJ289" s="208">
        <v>0</v>
      </c>
      <c r="AK289" s="208">
        <v>0</v>
      </c>
      <c r="AL289" s="208">
        <v>0</v>
      </c>
      <c r="AM289" s="208">
        <v>0</v>
      </c>
      <c r="AN289" s="208">
        <v>714600</v>
      </c>
      <c r="AO289" s="208">
        <v>0</v>
      </c>
      <c r="AP289" s="208">
        <v>714600</v>
      </c>
      <c r="AQ289" s="208">
        <v>-3786</v>
      </c>
      <c r="AR289" s="208">
        <v>0</v>
      </c>
      <c r="AS289" s="208">
        <v>-3786</v>
      </c>
      <c r="AT289" s="208">
        <v>-3760329</v>
      </c>
      <c r="AU289" s="208">
        <v>0</v>
      </c>
      <c r="AV289" s="208">
        <v>-3760329</v>
      </c>
      <c r="AW289" s="208">
        <v>154508</v>
      </c>
      <c r="AX289" s="208">
        <v>0</v>
      </c>
      <c r="AY289" s="208">
        <v>154508</v>
      </c>
      <c r="AZ289" s="208">
        <v>-119869</v>
      </c>
      <c r="BA289" s="208">
        <v>0</v>
      </c>
      <c r="BB289" s="208">
        <v>-119869</v>
      </c>
      <c r="BC289" s="208">
        <v>-20207</v>
      </c>
      <c r="BD289" s="208">
        <v>0</v>
      </c>
      <c r="BE289" s="208">
        <v>-20207</v>
      </c>
      <c r="BF289" s="208">
        <v>0</v>
      </c>
      <c r="BG289" s="208">
        <v>0</v>
      </c>
      <c r="BH289" s="208">
        <v>0</v>
      </c>
      <c r="BI289" s="208">
        <v>0</v>
      </c>
      <c r="BJ289" s="208">
        <v>0</v>
      </c>
      <c r="BK289" s="208">
        <v>0</v>
      </c>
      <c r="BL289" s="208">
        <v>-10068505</v>
      </c>
      <c r="BM289" s="208">
        <v>0</v>
      </c>
      <c r="BN289" s="208">
        <v>-10068505</v>
      </c>
      <c r="BO289" s="208">
        <v>-2223</v>
      </c>
      <c r="BP289" s="208">
        <v>0</v>
      </c>
      <c r="BQ289" s="208">
        <v>-2223</v>
      </c>
      <c r="BR289" s="208">
        <v>-925</v>
      </c>
      <c r="BS289" s="208">
        <v>0</v>
      </c>
      <c r="BT289" s="208">
        <v>-925</v>
      </c>
      <c r="BU289" s="208">
        <v>-1083973</v>
      </c>
      <c r="BV289" s="208">
        <v>0</v>
      </c>
      <c r="BW289" s="208">
        <v>-1083973</v>
      </c>
      <c r="BX289" s="208">
        <v>14507</v>
      </c>
      <c r="BY289" s="208">
        <v>0</v>
      </c>
      <c r="BZ289" s="208">
        <v>14507</v>
      </c>
      <c r="CA289" s="208">
        <v>-1072614</v>
      </c>
      <c r="CB289" s="208">
        <v>0</v>
      </c>
      <c r="CC289" s="208">
        <v>-1072614</v>
      </c>
      <c r="CD289" s="208">
        <v>-82163</v>
      </c>
      <c r="CE289" s="208">
        <v>0</v>
      </c>
      <c r="CF289" s="208">
        <v>-82163</v>
      </c>
      <c r="CG289" s="208">
        <v>3684</v>
      </c>
      <c r="CH289" s="208">
        <v>0</v>
      </c>
      <c r="CI289" s="208">
        <v>3684</v>
      </c>
      <c r="CJ289" s="208">
        <v>-409843</v>
      </c>
      <c r="CK289" s="208">
        <v>0</v>
      </c>
      <c r="CL289" s="208">
        <v>-409843</v>
      </c>
      <c r="CM289" s="208">
        <v>-25905</v>
      </c>
      <c r="CN289" s="208">
        <v>0</v>
      </c>
      <c r="CO289" s="208">
        <v>-25905</v>
      </c>
      <c r="CP289" s="208">
        <v>-9157</v>
      </c>
      <c r="CQ289" s="208">
        <v>0</v>
      </c>
      <c r="CR289" s="208">
        <v>-9157</v>
      </c>
      <c r="CS289" s="208">
        <v>-5052</v>
      </c>
      <c r="CT289" s="208">
        <v>0</v>
      </c>
      <c r="CU289" s="208">
        <v>-5052</v>
      </c>
      <c r="CV289" s="208">
        <v>0</v>
      </c>
      <c r="CW289" s="208">
        <v>0</v>
      </c>
      <c r="CX289" s="208">
        <v>0</v>
      </c>
      <c r="CY289" s="208">
        <v>0</v>
      </c>
      <c r="CZ289" s="208">
        <v>0</v>
      </c>
      <c r="DA289" s="208">
        <v>0</v>
      </c>
      <c r="DB289" s="208">
        <v>0</v>
      </c>
      <c r="DC289" s="208">
        <v>0</v>
      </c>
      <c r="DD289" s="208">
        <v>0</v>
      </c>
      <c r="DE289" s="208">
        <v>0</v>
      </c>
      <c r="DF289" s="208">
        <v>0</v>
      </c>
      <c r="DG289" s="208">
        <v>0</v>
      </c>
      <c r="DH289" s="208">
        <v>0</v>
      </c>
      <c r="DI289" s="208">
        <v>0</v>
      </c>
      <c r="DJ289" s="208">
        <v>0</v>
      </c>
      <c r="DK289" s="208">
        <v>0</v>
      </c>
      <c r="DL289" s="208">
        <v>0</v>
      </c>
      <c r="DM289" s="208">
        <v>0</v>
      </c>
      <c r="DN289" s="208">
        <v>0</v>
      </c>
      <c r="DO289" s="208">
        <v>0</v>
      </c>
      <c r="DP289" s="208">
        <v>-528436</v>
      </c>
      <c r="DQ289" s="208">
        <v>0</v>
      </c>
      <c r="DR289" s="208">
        <v>-528436</v>
      </c>
      <c r="DS289" s="208">
        <v>0</v>
      </c>
      <c r="DT289" s="208">
        <v>0</v>
      </c>
      <c r="DU289" s="208">
        <v>0</v>
      </c>
      <c r="DV289" s="208">
        <v>3572</v>
      </c>
      <c r="DW289" s="208">
        <v>0</v>
      </c>
      <c r="DX289" s="208">
        <v>3572</v>
      </c>
      <c r="DY289" s="208">
        <v>49</v>
      </c>
      <c r="DZ289" s="208">
        <v>0</v>
      </c>
      <c r="EA289" s="208">
        <v>49</v>
      </c>
      <c r="EB289" s="208">
        <v>0</v>
      </c>
      <c r="EC289" s="208">
        <v>0</v>
      </c>
      <c r="ED289" s="208">
        <v>0</v>
      </c>
      <c r="EE289" s="208">
        <v>0</v>
      </c>
      <c r="EF289" s="208">
        <v>0</v>
      </c>
      <c r="EG289" s="208">
        <v>0</v>
      </c>
      <c r="EH289" s="208">
        <v>507</v>
      </c>
      <c r="EI289" s="208">
        <v>0</v>
      </c>
      <c r="EJ289" s="208">
        <v>507</v>
      </c>
      <c r="EK289" s="208">
        <v>0</v>
      </c>
      <c r="EL289" s="208">
        <v>0</v>
      </c>
      <c r="EM289" s="208">
        <v>0</v>
      </c>
      <c r="EN289" s="208">
        <v>0</v>
      </c>
      <c r="EO289" s="208">
        <v>0</v>
      </c>
      <c r="EP289" s="208">
        <v>0</v>
      </c>
      <c r="EQ289" s="208">
        <v>-740</v>
      </c>
      <c r="ER289" s="208">
        <v>0</v>
      </c>
      <c r="ES289" s="208">
        <v>-740</v>
      </c>
      <c r="ET289" s="208">
        <v>0</v>
      </c>
      <c r="EU289" s="208">
        <v>0</v>
      </c>
      <c r="EV289" s="208">
        <v>0</v>
      </c>
      <c r="EW289" s="208">
        <v>-4941</v>
      </c>
      <c r="EX289" s="208">
        <v>0</v>
      </c>
      <c r="EY289" s="208">
        <v>-4941</v>
      </c>
      <c r="EZ289" s="208">
        <v>476</v>
      </c>
      <c r="FA289" s="208">
        <v>0</v>
      </c>
      <c r="FB289" s="208">
        <v>476</v>
      </c>
      <c r="FC289" s="208">
        <v>-139139</v>
      </c>
      <c r="FD289" s="208">
        <v>0</v>
      </c>
      <c r="FE289" s="208">
        <v>-139139</v>
      </c>
      <c r="FF289" s="208">
        <v>1005</v>
      </c>
      <c r="FG289" s="208">
        <v>0</v>
      </c>
      <c r="FH289" s="208">
        <v>1005</v>
      </c>
      <c r="FI289" s="208">
        <v>-45740</v>
      </c>
      <c r="FJ289" s="208">
        <v>0</v>
      </c>
      <c r="FK289" s="208">
        <v>-45740</v>
      </c>
      <c r="FL289" s="208">
        <v>-2200</v>
      </c>
      <c r="FM289" s="208">
        <v>0</v>
      </c>
      <c r="FN289" s="208">
        <v>-2200</v>
      </c>
      <c r="FO289" s="208">
        <v>0</v>
      </c>
      <c r="FP289" s="208">
        <v>0</v>
      </c>
      <c r="FQ289" s="208">
        <v>0</v>
      </c>
      <c r="FR289" s="208">
        <v>0</v>
      </c>
      <c r="FS289" s="208">
        <v>0</v>
      </c>
      <c r="FT289" s="208">
        <v>0</v>
      </c>
      <c r="FU289" s="208">
        <v>-187151</v>
      </c>
      <c r="FV289" s="208">
        <v>0</v>
      </c>
      <c r="FW289" s="208">
        <v>-187151</v>
      </c>
      <c r="FX289" s="208">
        <v>0</v>
      </c>
      <c r="FY289" s="208">
        <v>0</v>
      </c>
      <c r="FZ289" s="208">
        <v>0</v>
      </c>
      <c r="GA289" s="208">
        <v>0</v>
      </c>
      <c r="GB289" s="208">
        <v>0</v>
      </c>
      <c r="GC289" s="208">
        <v>0</v>
      </c>
      <c r="GD289" s="208">
        <v>0</v>
      </c>
      <c r="GE289" s="208">
        <v>0</v>
      </c>
      <c r="GF289" s="208">
        <v>0</v>
      </c>
      <c r="GG289" s="208">
        <v>44911260</v>
      </c>
      <c r="GH289" s="208">
        <v>0</v>
      </c>
      <c r="GI289" s="208">
        <v>44911260</v>
      </c>
      <c r="GJ289" s="208">
        <v>2140864</v>
      </c>
      <c r="GK289" s="208">
        <v>0</v>
      </c>
      <c r="GL289" s="208">
        <v>2140864</v>
      </c>
      <c r="GM289" s="208">
        <v>-10068505</v>
      </c>
      <c r="GN289" s="208">
        <v>0</v>
      </c>
      <c r="GO289" s="208">
        <v>-10068505</v>
      </c>
      <c r="GP289" s="208">
        <v>-1072614</v>
      </c>
      <c r="GQ289" s="208">
        <v>0</v>
      </c>
      <c r="GR289" s="208">
        <v>-1072614</v>
      </c>
      <c r="GS289" s="208">
        <v>-528436</v>
      </c>
      <c r="GT289" s="208">
        <v>0</v>
      </c>
      <c r="GU289" s="208">
        <v>-528436</v>
      </c>
      <c r="GV289" s="208">
        <v>-187151</v>
      </c>
      <c r="GW289" s="208">
        <v>0</v>
      </c>
      <c r="GX289" s="208">
        <v>-187151</v>
      </c>
      <c r="GY289" s="208">
        <v>0</v>
      </c>
      <c r="GZ289" s="208">
        <v>0</v>
      </c>
      <c r="HA289" s="208">
        <v>0</v>
      </c>
      <c r="HB289" s="208">
        <v>-9715842</v>
      </c>
      <c r="HC289" s="208">
        <v>0</v>
      </c>
      <c r="HD289" s="208">
        <v>-9715842</v>
      </c>
      <c r="HE289" s="208">
        <v>35195418</v>
      </c>
      <c r="HF289" s="208">
        <v>0</v>
      </c>
      <c r="HG289" s="208">
        <v>35195418</v>
      </c>
      <c r="HH289" s="187" t="s">
        <v>742</v>
      </c>
    </row>
    <row r="290" spans="1:216" s="187" customFormat="1" x14ac:dyDescent="0.2">
      <c r="A290" s="187" t="s">
        <v>1817</v>
      </c>
      <c r="B290" s="429" t="s">
        <v>658</v>
      </c>
      <c r="C290" s="429" t="s">
        <v>657</v>
      </c>
      <c r="D290" s="208">
        <v>-884995</v>
      </c>
      <c r="E290" s="208">
        <v>0</v>
      </c>
      <c r="F290" s="208">
        <v>-884995</v>
      </c>
      <c r="G290" s="208">
        <v>347505</v>
      </c>
      <c r="H290" s="208">
        <v>0</v>
      </c>
      <c r="I290" s="208">
        <v>347505</v>
      </c>
      <c r="J290" s="208">
        <v>0</v>
      </c>
      <c r="K290" s="208">
        <v>0</v>
      </c>
      <c r="L290" s="208">
        <v>0</v>
      </c>
      <c r="M290" s="208">
        <v>0</v>
      </c>
      <c r="N290" s="208">
        <v>0</v>
      </c>
      <c r="O290" s="208">
        <v>0</v>
      </c>
      <c r="P290" s="208">
        <v>-537490</v>
      </c>
      <c r="Q290" s="208">
        <v>0</v>
      </c>
      <c r="R290" s="208">
        <v>-537490</v>
      </c>
      <c r="S290" s="208">
        <v>-4276842</v>
      </c>
      <c r="T290" s="208">
        <v>0</v>
      </c>
      <c r="U290" s="208">
        <v>-4276842</v>
      </c>
      <c r="V290" s="208">
        <v>-1557</v>
      </c>
      <c r="W290" s="208">
        <v>0</v>
      </c>
      <c r="X290" s="208">
        <v>-1557</v>
      </c>
      <c r="Y290" s="208">
        <v>-137364</v>
      </c>
      <c r="Z290" s="208">
        <v>0</v>
      </c>
      <c r="AA290" s="208">
        <v>-137364</v>
      </c>
      <c r="AB290" s="208">
        <v>0</v>
      </c>
      <c r="AC290" s="208">
        <v>0</v>
      </c>
      <c r="AD290" s="208">
        <v>0</v>
      </c>
      <c r="AE290" s="208">
        <v>-137364</v>
      </c>
      <c r="AF290" s="208">
        <v>0</v>
      </c>
      <c r="AG290" s="208">
        <v>-137364</v>
      </c>
      <c r="AH290" s="208">
        <v>0</v>
      </c>
      <c r="AI290" s="208">
        <v>0</v>
      </c>
      <c r="AJ290" s="208">
        <v>0</v>
      </c>
      <c r="AK290" s="208">
        <v>0</v>
      </c>
      <c r="AL290" s="208">
        <v>0</v>
      </c>
      <c r="AM290" s="208">
        <v>0</v>
      </c>
      <c r="AN290" s="208">
        <v>224842</v>
      </c>
      <c r="AO290" s="208">
        <v>0</v>
      </c>
      <c r="AP290" s="208">
        <v>224842</v>
      </c>
      <c r="AQ290" s="208">
        <v>-684</v>
      </c>
      <c r="AR290" s="208">
        <v>0</v>
      </c>
      <c r="AS290" s="208">
        <v>-684</v>
      </c>
      <c r="AT290" s="208">
        <v>-1503514</v>
      </c>
      <c r="AU290" s="208">
        <v>0</v>
      </c>
      <c r="AV290" s="208">
        <v>-1503514</v>
      </c>
      <c r="AW290" s="208">
        <v>9132</v>
      </c>
      <c r="AX290" s="208">
        <v>0</v>
      </c>
      <c r="AY290" s="208">
        <v>9132</v>
      </c>
      <c r="AZ290" s="208">
        <v>-27302</v>
      </c>
      <c r="BA290" s="208">
        <v>0</v>
      </c>
      <c r="BB290" s="208">
        <v>-27302</v>
      </c>
      <c r="BC290" s="208">
        <v>0</v>
      </c>
      <c r="BD290" s="208">
        <v>0</v>
      </c>
      <c r="BE290" s="208">
        <v>0</v>
      </c>
      <c r="BF290" s="208">
        <v>-47500</v>
      </c>
      <c r="BG290" s="208">
        <v>0</v>
      </c>
      <c r="BH290" s="208">
        <v>-47500</v>
      </c>
      <c r="BI290" s="208">
        <v>-995</v>
      </c>
      <c r="BJ290" s="208">
        <v>0</v>
      </c>
      <c r="BK290" s="208">
        <v>-995</v>
      </c>
      <c r="BL290" s="208">
        <v>-5760227</v>
      </c>
      <c r="BM290" s="208">
        <v>0</v>
      </c>
      <c r="BN290" s="208">
        <v>-5760227</v>
      </c>
      <c r="BO290" s="208">
        <v>0</v>
      </c>
      <c r="BP290" s="208">
        <v>0</v>
      </c>
      <c r="BQ290" s="208">
        <v>0</v>
      </c>
      <c r="BR290" s="208">
        <v>0</v>
      </c>
      <c r="BS290" s="208">
        <v>0</v>
      </c>
      <c r="BT290" s="208">
        <v>0</v>
      </c>
      <c r="BU290" s="208">
        <v>-483115</v>
      </c>
      <c r="BV290" s="208">
        <v>0</v>
      </c>
      <c r="BW290" s="208">
        <v>-483115</v>
      </c>
      <c r="BX290" s="208">
        <v>-3071</v>
      </c>
      <c r="BY290" s="208">
        <v>0</v>
      </c>
      <c r="BZ290" s="208">
        <v>-3071</v>
      </c>
      <c r="CA290" s="208">
        <v>-486186</v>
      </c>
      <c r="CB290" s="208">
        <v>0</v>
      </c>
      <c r="CC290" s="208">
        <v>-486186</v>
      </c>
      <c r="CD290" s="208">
        <v>-97730</v>
      </c>
      <c r="CE290" s="208">
        <v>0</v>
      </c>
      <c r="CF290" s="208">
        <v>-97730</v>
      </c>
      <c r="CG290" s="208">
        <v>-796</v>
      </c>
      <c r="CH290" s="208">
        <v>0</v>
      </c>
      <c r="CI290" s="208">
        <v>-796</v>
      </c>
      <c r="CJ290" s="208">
        <v>-6053</v>
      </c>
      <c r="CK290" s="208">
        <v>0</v>
      </c>
      <c r="CL290" s="208">
        <v>-6053</v>
      </c>
      <c r="CM290" s="208">
        <v>-1993</v>
      </c>
      <c r="CN290" s="208">
        <v>0</v>
      </c>
      <c r="CO290" s="208">
        <v>-1993</v>
      </c>
      <c r="CP290" s="208">
        <v>-3458</v>
      </c>
      <c r="CQ290" s="208">
        <v>0</v>
      </c>
      <c r="CR290" s="208">
        <v>-3458</v>
      </c>
      <c r="CS290" s="208">
        <v>0</v>
      </c>
      <c r="CT290" s="208">
        <v>0</v>
      </c>
      <c r="CU290" s="208">
        <v>0</v>
      </c>
      <c r="CV290" s="208">
        <v>0</v>
      </c>
      <c r="CW290" s="208">
        <v>0</v>
      </c>
      <c r="CX290" s="208">
        <v>0</v>
      </c>
      <c r="CY290" s="208">
        <v>0</v>
      </c>
      <c r="CZ290" s="208">
        <v>0</v>
      </c>
      <c r="DA290" s="208">
        <v>0</v>
      </c>
      <c r="DB290" s="208">
        <v>-12024</v>
      </c>
      <c r="DC290" s="208">
        <v>0</v>
      </c>
      <c r="DD290" s="208">
        <v>-12024</v>
      </c>
      <c r="DE290" s="208">
        <v>0</v>
      </c>
      <c r="DF290" s="208">
        <v>0</v>
      </c>
      <c r="DG290" s="208">
        <v>0</v>
      </c>
      <c r="DH290" s="208">
        <v>0</v>
      </c>
      <c r="DI290" s="208">
        <v>0</v>
      </c>
      <c r="DJ290" s="208">
        <v>0</v>
      </c>
      <c r="DK290" s="208">
        <v>0</v>
      </c>
      <c r="DL290" s="208">
        <v>0</v>
      </c>
      <c r="DM290" s="208">
        <v>0</v>
      </c>
      <c r="DN290" s="208">
        <v>0</v>
      </c>
      <c r="DO290" s="208">
        <v>0</v>
      </c>
      <c r="DP290" s="208">
        <v>-122054</v>
      </c>
      <c r="DQ290" s="208">
        <v>0</v>
      </c>
      <c r="DR290" s="208">
        <v>-122054</v>
      </c>
      <c r="DS290" s="208">
        <v>0</v>
      </c>
      <c r="DT290" s="208">
        <v>0</v>
      </c>
      <c r="DU290" s="208">
        <v>0</v>
      </c>
      <c r="DV290" s="208">
        <v>0</v>
      </c>
      <c r="DW290" s="208">
        <v>0</v>
      </c>
      <c r="DX290" s="208">
        <v>0</v>
      </c>
      <c r="DY290" s="208">
        <v>0</v>
      </c>
      <c r="DZ290" s="208">
        <v>0</v>
      </c>
      <c r="EA290" s="208">
        <v>0</v>
      </c>
      <c r="EB290" s="208">
        <v>0</v>
      </c>
      <c r="EC290" s="208">
        <v>0</v>
      </c>
      <c r="ED290" s="208">
        <v>0</v>
      </c>
      <c r="EE290" s="208">
        <v>0</v>
      </c>
      <c r="EF290" s="208">
        <v>0</v>
      </c>
      <c r="EG290" s="208">
        <v>0</v>
      </c>
      <c r="EH290" s="208">
        <v>0</v>
      </c>
      <c r="EI290" s="208">
        <v>0</v>
      </c>
      <c r="EJ290" s="208">
        <v>0</v>
      </c>
      <c r="EK290" s="208">
        <v>-50379</v>
      </c>
      <c r="EL290" s="208">
        <v>0</v>
      </c>
      <c r="EM290" s="208">
        <v>-50379</v>
      </c>
      <c r="EN290" s="208">
        <v>-995</v>
      </c>
      <c r="EO290" s="208">
        <v>0</v>
      </c>
      <c r="EP290" s="208">
        <v>-995</v>
      </c>
      <c r="EQ290" s="208">
        <v>0</v>
      </c>
      <c r="ER290" s="208">
        <v>0</v>
      </c>
      <c r="ES290" s="208">
        <v>0</v>
      </c>
      <c r="ET290" s="208">
        <v>0</v>
      </c>
      <c r="EU290" s="208">
        <v>0</v>
      </c>
      <c r="EV290" s="208">
        <v>0</v>
      </c>
      <c r="EW290" s="208">
        <v>-27484</v>
      </c>
      <c r="EX290" s="208">
        <v>0</v>
      </c>
      <c r="EY290" s="208">
        <v>-27484</v>
      </c>
      <c r="EZ290" s="208">
        <v>0</v>
      </c>
      <c r="FA290" s="208">
        <v>0</v>
      </c>
      <c r="FB290" s="208">
        <v>0</v>
      </c>
      <c r="FC290" s="208">
        <v>-82347</v>
      </c>
      <c r="FD290" s="208">
        <v>0</v>
      </c>
      <c r="FE290" s="208">
        <v>-82347</v>
      </c>
      <c r="FF290" s="208">
        <v>0</v>
      </c>
      <c r="FG290" s="208">
        <v>0</v>
      </c>
      <c r="FH290" s="208">
        <v>0</v>
      </c>
      <c r="FI290" s="208">
        <v>-29576</v>
      </c>
      <c r="FJ290" s="208">
        <v>0</v>
      </c>
      <c r="FK290" s="208">
        <v>-29576</v>
      </c>
      <c r="FL290" s="208">
        <v>0</v>
      </c>
      <c r="FM290" s="208">
        <v>0</v>
      </c>
      <c r="FN290" s="208">
        <v>0</v>
      </c>
      <c r="FO290" s="208">
        <v>0</v>
      </c>
      <c r="FP290" s="208">
        <v>0</v>
      </c>
      <c r="FQ290" s="208">
        <v>0</v>
      </c>
      <c r="FR290" s="208">
        <v>0</v>
      </c>
      <c r="FS290" s="208">
        <v>0</v>
      </c>
      <c r="FT290" s="208">
        <v>0</v>
      </c>
      <c r="FU290" s="208">
        <v>-190781</v>
      </c>
      <c r="FV290" s="208">
        <v>0</v>
      </c>
      <c r="FW290" s="208">
        <v>-190781</v>
      </c>
      <c r="FX290" s="208">
        <v>0</v>
      </c>
      <c r="FY290" s="208">
        <v>0</v>
      </c>
      <c r="FZ290" s="208">
        <v>0</v>
      </c>
      <c r="GA290" s="208">
        <v>0</v>
      </c>
      <c r="GB290" s="208">
        <v>0</v>
      </c>
      <c r="GC290" s="208">
        <v>0</v>
      </c>
      <c r="GD290" s="208">
        <v>0</v>
      </c>
      <c r="GE290" s="208">
        <v>0</v>
      </c>
      <c r="GF290" s="208">
        <v>0</v>
      </c>
      <c r="GG290" s="208">
        <v>18626258</v>
      </c>
      <c r="GH290" s="208">
        <v>0</v>
      </c>
      <c r="GI290" s="208">
        <v>18626258</v>
      </c>
      <c r="GJ290" s="208">
        <v>-537490</v>
      </c>
      <c r="GK290" s="208">
        <v>0</v>
      </c>
      <c r="GL290" s="208">
        <v>-537490</v>
      </c>
      <c r="GM290" s="208">
        <v>-5760227</v>
      </c>
      <c r="GN290" s="208">
        <v>0</v>
      </c>
      <c r="GO290" s="208">
        <v>-5760227</v>
      </c>
      <c r="GP290" s="208">
        <v>-486186</v>
      </c>
      <c r="GQ290" s="208">
        <v>0</v>
      </c>
      <c r="GR290" s="208">
        <v>-486186</v>
      </c>
      <c r="GS290" s="208">
        <v>-122054</v>
      </c>
      <c r="GT290" s="208">
        <v>0</v>
      </c>
      <c r="GU290" s="208">
        <v>-122054</v>
      </c>
      <c r="GV290" s="208">
        <v>-190781</v>
      </c>
      <c r="GW290" s="208">
        <v>0</v>
      </c>
      <c r="GX290" s="208">
        <v>-190781</v>
      </c>
      <c r="GY290" s="208">
        <v>0</v>
      </c>
      <c r="GZ290" s="208">
        <v>0</v>
      </c>
      <c r="HA290" s="208">
        <v>0</v>
      </c>
      <c r="HB290" s="208">
        <v>-7096738</v>
      </c>
      <c r="HC290" s="208">
        <v>0</v>
      </c>
      <c r="HD290" s="208">
        <v>-7096738</v>
      </c>
      <c r="HE290" s="208">
        <v>11529520</v>
      </c>
      <c r="HF290" s="208">
        <v>0</v>
      </c>
      <c r="HG290" s="208">
        <v>11529520</v>
      </c>
      <c r="HH290" s="187" t="s">
        <v>1054</v>
      </c>
    </row>
    <row r="291" spans="1:216" s="187" customFormat="1" x14ac:dyDescent="0.2">
      <c r="A291" s="187" t="s">
        <v>1811</v>
      </c>
      <c r="B291" s="429" t="s">
        <v>660</v>
      </c>
      <c r="C291" s="429" t="s">
        <v>659</v>
      </c>
      <c r="D291" s="208">
        <v>-19259550</v>
      </c>
      <c r="E291" s="208">
        <v>0</v>
      </c>
      <c r="F291" s="208">
        <v>-19259550</v>
      </c>
      <c r="G291" s="208">
        <v>-603455</v>
      </c>
      <c r="H291" s="208">
        <v>0</v>
      </c>
      <c r="I291" s="208">
        <v>-603455</v>
      </c>
      <c r="J291" s="208">
        <v>5385348</v>
      </c>
      <c r="K291" s="208">
        <v>0</v>
      </c>
      <c r="L291" s="208">
        <v>5385348</v>
      </c>
      <c r="M291" s="208">
        <v>-350940</v>
      </c>
      <c r="N291" s="208">
        <v>0</v>
      </c>
      <c r="O291" s="208">
        <v>-350940</v>
      </c>
      <c r="P291" s="208">
        <v>-14828597</v>
      </c>
      <c r="Q291" s="208">
        <v>0</v>
      </c>
      <c r="R291" s="208">
        <v>-14828597</v>
      </c>
      <c r="S291" s="208">
        <v>-9393287</v>
      </c>
      <c r="T291" s="208">
        <v>0</v>
      </c>
      <c r="U291" s="208">
        <v>-9393287</v>
      </c>
      <c r="V291" s="208">
        <v>0</v>
      </c>
      <c r="W291" s="208">
        <v>0</v>
      </c>
      <c r="X291" s="208">
        <v>0</v>
      </c>
      <c r="Y291" s="208">
        <v>-833428</v>
      </c>
      <c r="Z291" s="208">
        <v>0</v>
      </c>
      <c r="AA291" s="208">
        <v>-833428</v>
      </c>
      <c r="AB291" s="208">
        <v>-274640</v>
      </c>
      <c r="AC291" s="208">
        <v>0</v>
      </c>
      <c r="AD291" s="208">
        <v>-274640</v>
      </c>
      <c r="AE291" s="208">
        <v>0</v>
      </c>
      <c r="AF291" s="208">
        <v>0</v>
      </c>
      <c r="AG291" s="208">
        <v>0</v>
      </c>
      <c r="AH291" s="208">
        <v>0</v>
      </c>
      <c r="AI291" s="208">
        <v>0</v>
      </c>
      <c r="AJ291" s="208">
        <v>0</v>
      </c>
      <c r="AK291" s="208">
        <v>0</v>
      </c>
      <c r="AL291" s="208">
        <v>0</v>
      </c>
      <c r="AM291" s="208">
        <v>0</v>
      </c>
      <c r="AN291" s="208">
        <v>11698316</v>
      </c>
      <c r="AO291" s="208">
        <v>0</v>
      </c>
      <c r="AP291" s="208">
        <v>11698316</v>
      </c>
      <c r="AQ291" s="208">
        <v>-699170</v>
      </c>
      <c r="AR291" s="208">
        <v>0</v>
      </c>
      <c r="AS291" s="208">
        <v>-699170</v>
      </c>
      <c r="AT291" s="208">
        <v>-18359886</v>
      </c>
      <c r="AU291" s="208">
        <v>0</v>
      </c>
      <c r="AV291" s="208">
        <v>-18359886</v>
      </c>
      <c r="AW291" s="208">
        <v>-813458</v>
      </c>
      <c r="AX291" s="208">
        <v>0</v>
      </c>
      <c r="AY291" s="208">
        <v>-813458</v>
      </c>
      <c r="AZ291" s="208">
        <v>0</v>
      </c>
      <c r="BA291" s="208">
        <v>0</v>
      </c>
      <c r="BB291" s="208">
        <v>0</v>
      </c>
      <c r="BC291" s="208">
        <v>0</v>
      </c>
      <c r="BD291" s="208">
        <v>0</v>
      </c>
      <c r="BE291" s="208">
        <v>0</v>
      </c>
      <c r="BF291" s="208">
        <v>0</v>
      </c>
      <c r="BG291" s="208">
        <v>0</v>
      </c>
      <c r="BH291" s="208">
        <v>0</v>
      </c>
      <c r="BI291" s="208">
        <v>0</v>
      </c>
      <c r="BJ291" s="208">
        <v>0</v>
      </c>
      <c r="BK291" s="208">
        <v>0</v>
      </c>
      <c r="BL291" s="208">
        <v>-18400913</v>
      </c>
      <c r="BM291" s="208">
        <v>0</v>
      </c>
      <c r="BN291" s="208">
        <v>-18400913</v>
      </c>
      <c r="BO291" s="208">
        <v>0</v>
      </c>
      <c r="BP291" s="208">
        <v>0</v>
      </c>
      <c r="BQ291" s="208">
        <v>0</v>
      </c>
      <c r="BR291" s="208">
        <v>0</v>
      </c>
      <c r="BS291" s="208">
        <v>0</v>
      </c>
      <c r="BT291" s="208">
        <v>0</v>
      </c>
      <c r="BU291" s="208">
        <v>-11613184</v>
      </c>
      <c r="BV291" s="208">
        <v>0</v>
      </c>
      <c r="BW291" s="208">
        <v>-11613184</v>
      </c>
      <c r="BX291" s="208">
        <v>-3111374</v>
      </c>
      <c r="BY291" s="208">
        <v>0</v>
      </c>
      <c r="BZ291" s="208">
        <v>-3111374</v>
      </c>
      <c r="CA291" s="208">
        <v>-14724558</v>
      </c>
      <c r="CB291" s="208">
        <v>0</v>
      </c>
      <c r="CC291" s="208">
        <v>-14724558</v>
      </c>
      <c r="CD291" s="208">
        <v>-483398</v>
      </c>
      <c r="CE291" s="208">
        <v>0</v>
      </c>
      <c r="CF291" s="208">
        <v>-483398</v>
      </c>
      <c r="CG291" s="208">
        <v>-23970</v>
      </c>
      <c r="CH291" s="208">
        <v>0</v>
      </c>
      <c r="CI291" s="208">
        <v>-23970</v>
      </c>
      <c r="CJ291" s="208">
        <v>-459799</v>
      </c>
      <c r="CK291" s="208">
        <v>0</v>
      </c>
      <c r="CL291" s="208">
        <v>-459799</v>
      </c>
      <c r="CM291" s="208">
        <v>-13919</v>
      </c>
      <c r="CN291" s="208">
        <v>0</v>
      </c>
      <c r="CO291" s="208">
        <v>-13919</v>
      </c>
      <c r="CP291" s="208">
        <v>0</v>
      </c>
      <c r="CQ291" s="208">
        <v>0</v>
      </c>
      <c r="CR291" s="208">
        <v>0</v>
      </c>
      <c r="CS291" s="208">
        <v>0</v>
      </c>
      <c r="CT291" s="208">
        <v>0</v>
      </c>
      <c r="CU291" s="208">
        <v>0</v>
      </c>
      <c r="CV291" s="208">
        <v>0</v>
      </c>
      <c r="CW291" s="208">
        <v>0</v>
      </c>
      <c r="CX291" s="208">
        <v>0</v>
      </c>
      <c r="CY291" s="208">
        <v>0</v>
      </c>
      <c r="CZ291" s="208">
        <v>0</v>
      </c>
      <c r="DA291" s="208">
        <v>0</v>
      </c>
      <c r="DB291" s="208">
        <v>0</v>
      </c>
      <c r="DC291" s="208">
        <v>0</v>
      </c>
      <c r="DD291" s="208">
        <v>0</v>
      </c>
      <c r="DE291" s="208">
        <v>0</v>
      </c>
      <c r="DF291" s="208">
        <v>0</v>
      </c>
      <c r="DG291" s="208">
        <v>0</v>
      </c>
      <c r="DH291" s="208">
        <v>0</v>
      </c>
      <c r="DI291" s="208">
        <v>0</v>
      </c>
      <c r="DJ291" s="208">
        <v>0</v>
      </c>
      <c r="DK291" s="208">
        <v>0</v>
      </c>
      <c r="DL291" s="208">
        <v>0</v>
      </c>
      <c r="DM291" s="208">
        <v>0</v>
      </c>
      <c r="DN291" s="208">
        <v>0</v>
      </c>
      <c r="DO291" s="208">
        <v>0</v>
      </c>
      <c r="DP291" s="208">
        <v>-981086</v>
      </c>
      <c r="DQ291" s="208">
        <v>0</v>
      </c>
      <c r="DR291" s="208">
        <v>-981086</v>
      </c>
      <c r="DS291" s="208">
        <v>0</v>
      </c>
      <c r="DT291" s="208">
        <v>0</v>
      </c>
      <c r="DU291" s="208">
        <v>0</v>
      </c>
      <c r="DV291" s="208">
        <v>0</v>
      </c>
      <c r="DW291" s="208">
        <v>0</v>
      </c>
      <c r="DX291" s="208">
        <v>0</v>
      </c>
      <c r="DY291" s="208">
        <v>7985</v>
      </c>
      <c r="DZ291" s="208">
        <v>0</v>
      </c>
      <c r="EA291" s="208">
        <v>7985</v>
      </c>
      <c r="EB291" s="208">
        <v>0</v>
      </c>
      <c r="EC291" s="208">
        <v>0</v>
      </c>
      <c r="ED291" s="208">
        <v>0</v>
      </c>
      <c r="EE291" s="208">
        <v>0</v>
      </c>
      <c r="EF291" s="208">
        <v>0</v>
      </c>
      <c r="EG291" s="208">
        <v>0</v>
      </c>
      <c r="EH291" s="208">
        <v>-2327</v>
      </c>
      <c r="EI291" s="208">
        <v>0</v>
      </c>
      <c r="EJ291" s="208">
        <v>-2327</v>
      </c>
      <c r="EK291" s="208">
        <v>0</v>
      </c>
      <c r="EL291" s="208">
        <v>0</v>
      </c>
      <c r="EM291" s="208">
        <v>0</v>
      </c>
      <c r="EN291" s="208">
        <v>0</v>
      </c>
      <c r="EO291" s="208">
        <v>0</v>
      </c>
      <c r="EP291" s="208">
        <v>0</v>
      </c>
      <c r="EQ291" s="208">
        <v>0</v>
      </c>
      <c r="ER291" s="208">
        <v>0</v>
      </c>
      <c r="ES291" s="208">
        <v>0</v>
      </c>
      <c r="ET291" s="208">
        <v>0</v>
      </c>
      <c r="EU291" s="208">
        <v>0</v>
      </c>
      <c r="EV291" s="208">
        <v>0</v>
      </c>
      <c r="EW291" s="208">
        <v>-592211</v>
      </c>
      <c r="EX291" s="208">
        <v>0</v>
      </c>
      <c r="EY291" s="208">
        <v>-592211</v>
      </c>
      <c r="EZ291" s="208">
        <v>7776</v>
      </c>
      <c r="FA291" s="208">
        <v>0</v>
      </c>
      <c r="FB291" s="208">
        <v>7776</v>
      </c>
      <c r="FC291" s="208">
        <v>-1907692</v>
      </c>
      <c r="FD291" s="208">
        <v>0</v>
      </c>
      <c r="FE291" s="208">
        <v>-1907692</v>
      </c>
      <c r="FF291" s="208">
        <v>162384</v>
      </c>
      <c r="FG291" s="208">
        <v>0</v>
      </c>
      <c r="FH291" s="208">
        <v>162384</v>
      </c>
      <c r="FI291" s="208">
        <v>-78431</v>
      </c>
      <c r="FJ291" s="208">
        <v>0</v>
      </c>
      <c r="FK291" s="208">
        <v>-78431</v>
      </c>
      <c r="FL291" s="208">
        <v>80</v>
      </c>
      <c r="FM291" s="208">
        <v>0</v>
      </c>
      <c r="FN291" s="208">
        <v>80</v>
      </c>
      <c r="FO291" s="208">
        <v>0</v>
      </c>
      <c r="FP291" s="208">
        <v>0</v>
      </c>
      <c r="FQ291" s="208">
        <v>0</v>
      </c>
      <c r="FR291" s="208">
        <v>0</v>
      </c>
      <c r="FS291" s="208">
        <v>0</v>
      </c>
      <c r="FT291" s="208">
        <v>0</v>
      </c>
      <c r="FU291" s="208">
        <v>-2402436</v>
      </c>
      <c r="FV291" s="208">
        <v>0</v>
      </c>
      <c r="FW291" s="208">
        <v>-2402436</v>
      </c>
      <c r="FX291" s="208">
        <v>0</v>
      </c>
      <c r="FY291" s="208">
        <v>0</v>
      </c>
      <c r="FZ291" s="208">
        <v>0</v>
      </c>
      <c r="GA291" s="208">
        <v>0</v>
      </c>
      <c r="GB291" s="208">
        <v>0</v>
      </c>
      <c r="GC291" s="208">
        <v>0</v>
      </c>
      <c r="GD291" s="208">
        <v>0</v>
      </c>
      <c r="GE291" s="208">
        <v>0</v>
      </c>
      <c r="GF291" s="208">
        <v>0</v>
      </c>
      <c r="GG291" s="208">
        <v>470801797</v>
      </c>
      <c r="GH291" s="208">
        <v>0</v>
      </c>
      <c r="GI291" s="208">
        <v>470801797</v>
      </c>
      <c r="GJ291" s="208">
        <v>-14828597</v>
      </c>
      <c r="GK291" s="208">
        <v>0</v>
      </c>
      <c r="GL291" s="208">
        <v>-14828597</v>
      </c>
      <c r="GM291" s="208">
        <v>-18400913</v>
      </c>
      <c r="GN291" s="208">
        <v>0</v>
      </c>
      <c r="GO291" s="208">
        <v>-18400913</v>
      </c>
      <c r="GP291" s="208">
        <v>-14724558</v>
      </c>
      <c r="GQ291" s="208">
        <v>0</v>
      </c>
      <c r="GR291" s="208">
        <v>-14724558</v>
      </c>
      <c r="GS291" s="208">
        <v>-981086</v>
      </c>
      <c r="GT291" s="208">
        <v>0</v>
      </c>
      <c r="GU291" s="208">
        <v>-981086</v>
      </c>
      <c r="GV291" s="208">
        <v>-2402436</v>
      </c>
      <c r="GW291" s="208">
        <v>0</v>
      </c>
      <c r="GX291" s="208">
        <v>-2402436</v>
      </c>
      <c r="GY291" s="208">
        <v>0</v>
      </c>
      <c r="GZ291" s="208">
        <v>0</v>
      </c>
      <c r="HA291" s="208">
        <v>0</v>
      </c>
      <c r="HB291" s="208">
        <v>-51337590</v>
      </c>
      <c r="HC291" s="208">
        <v>0</v>
      </c>
      <c r="HD291" s="208">
        <v>-51337590</v>
      </c>
      <c r="HE291" s="208">
        <v>419464207</v>
      </c>
      <c r="HF291" s="208">
        <v>0</v>
      </c>
      <c r="HG291" s="208">
        <v>419464207</v>
      </c>
      <c r="HH291" s="187" t="s">
        <v>1057</v>
      </c>
    </row>
    <row r="292" spans="1:216" s="187" customFormat="1" x14ac:dyDescent="0.2">
      <c r="B292" s="429" t="s">
        <v>662</v>
      </c>
      <c r="C292" s="429" t="s">
        <v>661</v>
      </c>
      <c r="D292" s="208">
        <v>-1185450.6599999999</v>
      </c>
      <c r="E292" s="208">
        <v>0</v>
      </c>
      <c r="F292" s="208">
        <v>-1185450.6599999999</v>
      </c>
      <c r="G292" s="208">
        <v>-4259.38</v>
      </c>
      <c r="H292" s="208">
        <v>0</v>
      </c>
      <c r="I292" s="208">
        <v>-4259.38</v>
      </c>
      <c r="J292" s="208">
        <v>4824031.4800000004</v>
      </c>
      <c r="K292" s="208">
        <v>0</v>
      </c>
      <c r="L292" s="208">
        <v>4824031.4800000004</v>
      </c>
      <c r="M292" s="208">
        <v>319959.7</v>
      </c>
      <c r="N292" s="208">
        <v>0</v>
      </c>
      <c r="O292" s="208">
        <v>319959.7</v>
      </c>
      <c r="P292" s="208">
        <v>3954281</v>
      </c>
      <c r="Q292" s="208">
        <v>0</v>
      </c>
      <c r="R292" s="208">
        <v>3954281</v>
      </c>
      <c r="S292" s="208">
        <v>-8235000.4800000004</v>
      </c>
      <c r="T292" s="208">
        <v>0</v>
      </c>
      <c r="U292" s="208">
        <v>-8235000.4800000004</v>
      </c>
      <c r="V292" s="208">
        <v>0</v>
      </c>
      <c r="W292" s="208">
        <v>0</v>
      </c>
      <c r="X292" s="208">
        <v>0</v>
      </c>
      <c r="Y292" s="208">
        <v>-157634.45000000001</v>
      </c>
      <c r="Z292" s="208">
        <v>0</v>
      </c>
      <c r="AA292" s="208">
        <v>-157634.45000000001</v>
      </c>
      <c r="AB292" s="208">
        <v>-29636.75</v>
      </c>
      <c r="AC292" s="208">
        <v>0</v>
      </c>
      <c r="AD292" s="208">
        <v>-29636.75</v>
      </c>
      <c r="AE292" s="208">
        <v>-127997.7</v>
      </c>
      <c r="AF292" s="208">
        <v>0</v>
      </c>
      <c r="AG292" s="208">
        <v>-127997.7</v>
      </c>
      <c r="AH292" s="208">
        <v>0</v>
      </c>
      <c r="AI292" s="208">
        <v>0</v>
      </c>
      <c r="AJ292" s="208">
        <v>0</v>
      </c>
      <c r="AK292" s="208">
        <v>0</v>
      </c>
      <c r="AL292" s="208">
        <v>0</v>
      </c>
      <c r="AM292" s="208">
        <v>0</v>
      </c>
      <c r="AN292" s="208">
        <v>3882198</v>
      </c>
      <c r="AO292" s="208">
        <v>0</v>
      </c>
      <c r="AP292" s="208">
        <v>3882198</v>
      </c>
      <c r="AQ292" s="208">
        <v>-164082</v>
      </c>
      <c r="AR292" s="208">
        <v>0</v>
      </c>
      <c r="AS292" s="208">
        <v>-164082</v>
      </c>
      <c r="AT292" s="208">
        <v>-4940541</v>
      </c>
      <c r="AU292" s="208">
        <v>0</v>
      </c>
      <c r="AV292" s="208">
        <v>-4940541</v>
      </c>
      <c r="AW292" s="208">
        <v>47944</v>
      </c>
      <c r="AX292" s="208">
        <v>0</v>
      </c>
      <c r="AY292" s="208">
        <v>47944</v>
      </c>
      <c r="AZ292" s="208">
        <v>-59061</v>
      </c>
      <c r="BA292" s="208">
        <v>0</v>
      </c>
      <c r="BB292" s="208">
        <v>-59061</v>
      </c>
      <c r="BC292" s="208">
        <v>0</v>
      </c>
      <c r="BD292" s="208">
        <v>0</v>
      </c>
      <c r="BE292" s="208">
        <v>0</v>
      </c>
      <c r="BF292" s="208">
        <v>-605</v>
      </c>
      <c r="BG292" s="208">
        <v>0</v>
      </c>
      <c r="BH292" s="208">
        <v>-605</v>
      </c>
      <c r="BI292" s="208">
        <v>0</v>
      </c>
      <c r="BJ292" s="208">
        <v>0</v>
      </c>
      <c r="BK292" s="208">
        <v>0</v>
      </c>
      <c r="BL292" s="208">
        <v>-9626782</v>
      </c>
      <c r="BM292" s="208">
        <v>0</v>
      </c>
      <c r="BN292" s="208">
        <v>-9626782</v>
      </c>
      <c r="BO292" s="208">
        <v>0</v>
      </c>
      <c r="BP292" s="208">
        <v>0</v>
      </c>
      <c r="BQ292" s="208">
        <v>0</v>
      </c>
      <c r="BR292" s="208">
        <v>0</v>
      </c>
      <c r="BS292" s="208">
        <v>0</v>
      </c>
      <c r="BT292" s="208">
        <v>0</v>
      </c>
      <c r="BU292" s="208">
        <v>-5875524</v>
      </c>
      <c r="BV292" s="208">
        <v>0</v>
      </c>
      <c r="BW292" s="208">
        <v>-5875524</v>
      </c>
      <c r="BX292" s="208">
        <v>-451765</v>
      </c>
      <c r="BY292" s="208">
        <v>0</v>
      </c>
      <c r="BZ292" s="208">
        <v>-451765</v>
      </c>
      <c r="CA292" s="208">
        <v>-6327289</v>
      </c>
      <c r="CB292" s="208">
        <v>0</v>
      </c>
      <c r="CC292" s="208">
        <v>-6327289</v>
      </c>
      <c r="CD292" s="208">
        <v>-50027</v>
      </c>
      <c r="CE292" s="208">
        <v>0</v>
      </c>
      <c r="CF292" s="208">
        <v>-50027</v>
      </c>
      <c r="CG292" s="208">
        <v>0</v>
      </c>
      <c r="CH292" s="208">
        <v>0</v>
      </c>
      <c r="CI292" s="208">
        <v>0</v>
      </c>
      <c r="CJ292" s="208">
        <v>-825646</v>
      </c>
      <c r="CK292" s="208">
        <v>0</v>
      </c>
      <c r="CL292" s="208">
        <v>-825646</v>
      </c>
      <c r="CM292" s="208">
        <v>-32327</v>
      </c>
      <c r="CN292" s="208">
        <v>0</v>
      </c>
      <c r="CO292" s="208">
        <v>-32327</v>
      </c>
      <c r="CP292" s="208">
        <v>-10747</v>
      </c>
      <c r="CQ292" s="208">
        <v>0</v>
      </c>
      <c r="CR292" s="208">
        <v>-10747</v>
      </c>
      <c r="CS292" s="208">
        <v>0</v>
      </c>
      <c r="CT292" s="208">
        <v>0</v>
      </c>
      <c r="CU292" s="208">
        <v>0</v>
      </c>
      <c r="CV292" s="208">
        <v>-605</v>
      </c>
      <c r="CW292" s="208">
        <v>0</v>
      </c>
      <c r="CX292" s="208">
        <v>-605</v>
      </c>
      <c r="CY292" s="208">
        <v>0</v>
      </c>
      <c r="CZ292" s="208">
        <v>0</v>
      </c>
      <c r="DA292" s="208">
        <v>0</v>
      </c>
      <c r="DB292" s="208">
        <v>0</v>
      </c>
      <c r="DC292" s="208">
        <v>0</v>
      </c>
      <c r="DD292" s="208">
        <v>0</v>
      </c>
      <c r="DE292" s="208">
        <v>0</v>
      </c>
      <c r="DF292" s="208">
        <v>0</v>
      </c>
      <c r="DG292" s="208">
        <v>0</v>
      </c>
      <c r="DH292" s="208">
        <v>0</v>
      </c>
      <c r="DI292" s="208">
        <v>0</v>
      </c>
      <c r="DJ292" s="208">
        <v>0</v>
      </c>
      <c r="DK292" s="208">
        <v>0</v>
      </c>
      <c r="DL292" s="208">
        <v>0</v>
      </c>
      <c r="DM292" s="208">
        <v>0</v>
      </c>
      <c r="DN292" s="208">
        <v>0</v>
      </c>
      <c r="DO292" s="208">
        <v>0</v>
      </c>
      <c r="DP292" s="208">
        <v>-919352</v>
      </c>
      <c r="DQ292" s="208">
        <v>0</v>
      </c>
      <c r="DR292" s="208">
        <v>-919352</v>
      </c>
      <c r="DS292" s="208">
        <v>0</v>
      </c>
      <c r="DT292" s="208">
        <v>0</v>
      </c>
      <c r="DU292" s="208">
        <v>0</v>
      </c>
      <c r="DV292" s="208">
        <v>-28935</v>
      </c>
      <c r="DW292" s="208">
        <v>0</v>
      </c>
      <c r="DX292" s="208">
        <v>-28935</v>
      </c>
      <c r="DY292" s="208">
        <v>-615</v>
      </c>
      <c r="DZ292" s="208">
        <v>0</v>
      </c>
      <c r="EA292" s="208">
        <v>-615</v>
      </c>
      <c r="EB292" s="208">
        <v>0</v>
      </c>
      <c r="EC292" s="208">
        <v>0</v>
      </c>
      <c r="ED292" s="208">
        <v>0</v>
      </c>
      <c r="EE292" s="208">
        <v>0</v>
      </c>
      <c r="EF292" s="208">
        <v>0</v>
      </c>
      <c r="EG292" s="208">
        <v>0</v>
      </c>
      <c r="EH292" s="208">
        <v>943.13</v>
      </c>
      <c r="EI292" s="208">
        <v>0</v>
      </c>
      <c r="EJ292" s="208">
        <v>943.13</v>
      </c>
      <c r="EK292" s="208">
        <v>0</v>
      </c>
      <c r="EL292" s="208">
        <v>0</v>
      </c>
      <c r="EM292" s="208">
        <v>0</v>
      </c>
      <c r="EN292" s="208">
        <v>0</v>
      </c>
      <c r="EO292" s="208">
        <v>0</v>
      </c>
      <c r="EP292" s="208">
        <v>0</v>
      </c>
      <c r="EQ292" s="208">
        <v>0</v>
      </c>
      <c r="ER292" s="208">
        <v>0</v>
      </c>
      <c r="ES292" s="208">
        <v>0</v>
      </c>
      <c r="ET292" s="208">
        <v>0</v>
      </c>
      <c r="EU292" s="208">
        <v>0</v>
      </c>
      <c r="EV292" s="208">
        <v>0</v>
      </c>
      <c r="EW292" s="208">
        <v>-14428</v>
      </c>
      <c r="EX292" s="208">
        <v>0</v>
      </c>
      <c r="EY292" s="208">
        <v>-14428</v>
      </c>
      <c r="EZ292" s="208">
        <v>0</v>
      </c>
      <c r="FA292" s="208">
        <v>0</v>
      </c>
      <c r="FB292" s="208">
        <v>0</v>
      </c>
      <c r="FC292" s="208">
        <v>-185735</v>
      </c>
      <c r="FD292" s="208">
        <v>0</v>
      </c>
      <c r="FE292" s="208">
        <v>-185735</v>
      </c>
      <c r="FF292" s="208">
        <v>-174738</v>
      </c>
      <c r="FG292" s="208">
        <v>0</v>
      </c>
      <c r="FH292" s="208">
        <v>-174738</v>
      </c>
      <c r="FI292" s="208">
        <v>-32403</v>
      </c>
      <c r="FJ292" s="208">
        <v>0</v>
      </c>
      <c r="FK292" s="208">
        <v>-32403</v>
      </c>
      <c r="FL292" s="208">
        <v>-2658</v>
      </c>
      <c r="FM292" s="208">
        <v>0</v>
      </c>
      <c r="FN292" s="208">
        <v>-2658</v>
      </c>
      <c r="FO292" s="208">
        <v>0</v>
      </c>
      <c r="FP292" s="208">
        <v>0</v>
      </c>
      <c r="FQ292" s="208">
        <v>0</v>
      </c>
      <c r="FR292" s="208">
        <v>0</v>
      </c>
      <c r="FS292" s="208">
        <v>0</v>
      </c>
      <c r="FT292" s="208">
        <v>0</v>
      </c>
      <c r="FU292" s="208">
        <v>-438569</v>
      </c>
      <c r="FV292" s="208">
        <v>0</v>
      </c>
      <c r="FW292" s="208">
        <v>-438569</v>
      </c>
      <c r="FX292" s="208">
        <v>0</v>
      </c>
      <c r="FY292" s="208">
        <v>0</v>
      </c>
      <c r="FZ292" s="208">
        <v>0</v>
      </c>
      <c r="GA292" s="208">
        <v>0</v>
      </c>
      <c r="GB292" s="208">
        <v>0</v>
      </c>
      <c r="GC292" s="208">
        <v>0</v>
      </c>
      <c r="GD292" s="208">
        <v>0</v>
      </c>
      <c r="GE292" s="208">
        <v>0</v>
      </c>
      <c r="GF292" s="208">
        <v>0</v>
      </c>
      <c r="GG292" s="208">
        <v>172307218</v>
      </c>
      <c r="GH292" s="208">
        <v>0</v>
      </c>
      <c r="GI292" s="208">
        <v>172307218</v>
      </c>
      <c r="GJ292" s="208">
        <v>3954281</v>
      </c>
      <c r="GK292" s="208">
        <v>0</v>
      </c>
      <c r="GL292" s="208">
        <v>3954281</v>
      </c>
      <c r="GM292" s="208">
        <v>-9626782</v>
      </c>
      <c r="GN292" s="208">
        <v>0</v>
      </c>
      <c r="GO292" s="208">
        <v>-9626782</v>
      </c>
      <c r="GP292" s="208">
        <v>-6327289</v>
      </c>
      <c r="GQ292" s="208">
        <v>0</v>
      </c>
      <c r="GR292" s="208">
        <v>-6327289</v>
      </c>
      <c r="GS292" s="208">
        <v>-919352</v>
      </c>
      <c r="GT292" s="208">
        <v>0</v>
      </c>
      <c r="GU292" s="208">
        <v>-919352</v>
      </c>
      <c r="GV292" s="208">
        <v>-438569</v>
      </c>
      <c r="GW292" s="208">
        <v>0</v>
      </c>
      <c r="GX292" s="208">
        <v>-438569</v>
      </c>
      <c r="GY292" s="208">
        <v>0</v>
      </c>
      <c r="GZ292" s="208">
        <v>0</v>
      </c>
      <c r="HA292" s="208">
        <v>0</v>
      </c>
      <c r="HB292" s="208">
        <v>-13357711</v>
      </c>
      <c r="HC292" s="208">
        <v>0</v>
      </c>
      <c r="HD292" s="208">
        <v>-13357711</v>
      </c>
      <c r="HE292" s="208">
        <v>158949507</v>
      </c>
      <c r="HF292" s="208">
        <v>0</v>
      </c>
      <c r="HG292" s="208">
        <v>158949507</v>
      </c>
      <c r="HH292" s="187" t="s">
        <v>1056</v>
      </c>
    </row>
    <row r="293" spans="1:216" s="187" customFormat="1" x14ac:dyDescent="0.2">
      <c r="B293" s="429" t="s">
        <v>664</v>
      </c>
      <c r="C293" s="429" t="s">
        <v>663</v>
      </c>
      <c r="D293" s="208">
        <v>-763175</v>
      </c>
      <c r="E293" s="208">
        <v>0</v>
      </c>
      <c r="F293" s="208">
        <v>-763175</v>
      </c>
      <c r="G293" s="208">
        <v>-316986</v>
      </c>
      <c r="H293" s="208">
        <v>0</v>
      </c>
      <c r="I293" s="208">
        <v>-316986</v>
      </c>
      <c r="J293" s="208">
        <v>858899</v>
      </c>
      <c r="K293" s="208">
        <v>0</v>
      </c>
      <c r="L293" s="208">
        <v>858899</v>
      </c>
      <c r="M293" s="208">
        <v>70676</v>
      </c>
      <c r="N293" s="208">
        <v>0</v>
      </c>
      <c r="O293" s="208">
        <v>70676</v>
      </c>
      <c r="P293" s="208">
        <v>-150586</v>
      </c>
      <c r="Q293" s="208">
        <v>0</v>
      </c>
      <c r="R293" s="208">
        <v>-150586</v>
      </c>
      <c r="S293" s="208">
        <v>-3954160</v>
      </c>
      <c r="T293" s="208">
        <v>0</v>
      </c>
      <c r="U293" s="208">
        <v>-3954160</v>
      </c>
      <c r="V293" s="208">
        <v>-4077</v>
      </c>
      <c r="W293" s="208">
        <v>0</v>
      </c>
      <c r="X293" s="208">
        <v>-4077</v>
      </c>
      <c r="Y293" s="208">
        <v>-244033</v>
      </c>
      <c r="Z293" s="208">
        <v>0</v>
      </c>
      <c r="AA293" s="208">
        <v>-244033</v>
      </c>
      <c r="AB293" s="208">
        <v>-81430</v>
      </c>
      <c r="AC293" s="208">
        <v>0</v>
      </c>
      <c r="AD293" s="208">
        <v>-81430</v>
      </c>
      <c r="AE293" s="208">
        <v>-152805</v>
      </c>
      <c r="AF293" s="208">
        <v>0</v>
      </c>
      <c r="AG293" s="208">
        <v>-152805</v>
      </c>
      <c r="AH293" s="208">
        <v>0</v>
      </c>
      <c r="AI293" s="208">
        <v>0</v>
      </c>
      <c r="AJ293" s="208">
        <v>0</v>
      </c>
      <c r="AK293" s="208">
        <v>0</v>
      </c>
      <c r="AL293" s="208">
        <v>0</v>
      </c>
      <c r="AM293" s="208">
        <v>0</v>
      </c>
      <c r="AN293" s="208">
        <v>1270959</v>
      </c>
      <c r="AO293" s="208">
        <v>0</v>
      </c>
      <c r="AP293" s="208">
        <v>1270959</v>
      </c>
      <c r="AQ293" s="208">
        <v>-45155</v>
      </c>
      <c r="AR293" s="208">
        <v>0</v>
      </c>
      <c r="AS293" s="208">
        <v>-45155</v>
      </c>
      <c r="AT293" s="208">
        <v>-4792661</v>
      </c>
      <c r="AU293" s="208">
        <v>0</v>
      </c>
      <c r="AV293" s="208">
        <v>-4792661</v>
      </c>
      <c r="AW293" s="208">
        <v>-56121</v>
      </c>
      <c r="AX293" s="208">
        <v>0</v>
      </c>
      <c r="AY293" s="208">
        <v>-56121</v>
      </c>
      <c r="AZ293" s="208">
        <v>-25212</v>
      </c>
      <c r="BA293" s="208">
        <v>0</v>
      </c>
      <c r="BB293" s="208">
        <v>-25212</v>
      </c>
      <c r="BC293" s="208">
        <v>0</v>
      </c>
      <c r="BD293" s="208">
        <v>0</v>
      </c>
      <c r="BE293" s="208">
        <v>0</v>
      </c>
      <c r="BF293" s="208">
        <v>-7093</v>
      </c>
      <c r="BG293" s="208">
        <v>0</v>
      </c>
      <c r="BH293" s="208">
        <v>-7093</v>
      </c>
      <c r="BI293" s="208">
        <v>0</v>
      </c>
      <c r="BJ293" s="208">
        <v>0</v>
      </c>
      <c r="BK293" s="208">
        <v>0</v>
      </c>
      <c r="BL293" s="208">
        <v>-7853476</v>
      </c>
      <c r="BM293" s="208">
        <v>0</v>
      </c>
      <c r="BN293" s="208">
        <v>-7853476</v>
      </c>
      <c r="BO293" s="208">
        <v>-40693</v>
      </c>
      <c r="BP293" s="208">
        <v>0</v>
      </c>
      <c r="BQ293" s="208">
        <v>-40693</v>
      </c>
      <c r="BR293" s="208">
        <v>265</v>
      </c>
      <c r="BS293" s="208">
        <v>0</v>
      </c>
      <c r="BT293" s="208">
        <v>265</v>
      </c>
      <c r="BU293" s="208">
        <v>-1817197</v>
      </c>
      <c r="BV293" s="208">
        <v>0</v>
      </c>
      <c r="BW293" s="208">
        <v>-1817197</v>
      </c>
      <c r="BX293" s="208">
        <v>-46812</v>
      </c>
      <c r="BY293" s="208">
        <v>0</v>
      </c>
      <c r="BZ293" s="208">
        <v>-46812</v>
      </c>
      <c r="CA293" s="208">
        <v>-1904437</v>
      </c>
      <c r="CB293" s="208">
        <v>0</v>
      </c>
      <c r="CC293" s="208">
        <v>-1904437</v>
      </c>
      <c r="CD293" s="208">
        <v>-28083</v>
      </c>
      <c r="CE293" s="208">
        <v>0</v>
      </c>
      <c r="CF293" s="208">
        <v>-28083</v>
      </c>
      <c r="CG293" s="208">
        <v>-3217</v>
      </c>
      <c r="CH293" s="208">
        <v>0</v>
      </c>
      <c r="CI293" s="208">
        <v>-3217</v>
      </c>
      <c r="CJ293" s="208">
        <v>-37833</v>
      </c>
      <c r="CK293" s="208">
        <v>0</v>
      </c>
      <c r="CL293" s="208">
        <v>-37833</v>
      </c>
      <c r="CM293" s="208">
        <v>0</v>
      </c>
      <c r="CN293" s="208">
        <v>0</v>
      </c>
      <c r="CO293" s="208">
        <v>0</v>
      </c>
      <c r="CP293" s="208">
        <v>-1087</v>
      </c>
      <c r="CQ293" s="208">
        <v>0</v>
      </c>
      <c r="CR293" s="208">
        <v>-1087</v>
      </c>
      <c r="CS293" s="208">
        <v>0</v>
      </c>
      <c r="CT293" s="208">
        <v>0</v>
      </c>
      <c r="CU293" s="208">
        <v>0</v>
      </c>
      <c r="CV293" s="208">
        <v>-7093</v>
      </c>
      <c r="CW293" s="208">
        <v>0</v>
      </c>
      <c r="CX293" s="208">
        <v>-7093</v>
      </c>
      <c r="CY293" s="208">
        <v>0</v>
      </c>
      <c r="CZ293" s="208">
        <v>0</v>
      </c>
      <c r="DA293" s="208">
        <v>0</v>
      </c>
      <c r="DB293" s="208">
        <v>-24810</v>
      </c>
      <c r="DC293" s="208">
        <v>0</v>
      </c>
      <c r="DD293" s="208">
        <v>-24810</v>
      </c>
      <c r="DE293" s="208">
        <v>0</v>
      </c>
      <c r="DF293" s="208">
        <v>0</v>
      </c>
      <c r="DG293" s="208">
        <v>0</v>
      </c>
      <c r="DH293" s="208">
        <v>0</v>
      </c>
      <c r="DI293" s="208">
        <v>0</v>
      </c>
      <c r="DJ293" s="208">
        <v>0</v>
      </c>
      <c r="DK293" s="208">
        <v>454</v>
      </c>
      <c r="DL293" s="208">
        <v>0</v>
      </c>
      <c r="DM293" s="208">
        <v>454</v>
      </c>
      <c r="DN293" s="208">
        <v>0</v>
      </c>
      <c r="DO293" s="208">
        <v>0</v>
      </c>
      <c r="DP293" s="208">
        <v>-101669</v>
      </c>
      <c r="DQ293" s="208">
        <v>0</v>
      </c>
      <c r="DR293" s="208">
        <v>-101669</v>
      </c>
      <c r="DS293" s="208">
        <v>0</v>
      </c>
      <c r="DT293" s="208">
        <v>0</v>
      </c>
      <c r="DU293" s="208">
        <v>0</v>
      </c>
      <c r="DV293" s="208">
        <v>0</v>
      </c>
      <c r="DW293" s="208">
        <v>0</v>
      </c>
      <c r="DX293" s="208">
        <v>0</v>
      </c>
      <c r="DY293" s="208">
        <v>5547</v>
      </c>
      <c r="DZ293" s="208">
        <v>0</v>
      </c>
      <c r="EA293" s="208">
        <v>5547</v>
      </c>
      <c r="EB293" s="208">
        <v>0</v>
      </c>
      <c r="EC293" s="208">
        <v>0</v>
      </c>
      <c r="ED293" s="208">
        <v>0</v>
      </c>
      <c r="EE293" s="208">
        <v>0</v>
      </c>
      <c r="EF293" s="208">
        <v>0</v>
      </c>
      <c r="EG293" s="208">
        <v>0</v>
      </c>
      <c r="EH293" s="208">
        <v>0</v>
      </c>
      <c r="EI293" s="208">
        <v>0</v>
      </c>
      <c r="EJ293" s="208">
        <v>0</v>
      </c>
      <c r="EK293" s="208">
        <v>0</v>
      </c>
      <c r="EL293" s="208">
        <v>0</v>
      </c>
      <c r="EM293" s="208">
        <v>0</v>
      </c>
      <c r="EN293" s="208">
        <v>0</v>
      </c>
      <c r="EO293" s="208">
        <v>0</v>
      </c>
      <c r="EP293" s="208">
        <v>0</v>
      </c>
      <c r="EQ293" s="208">
        <v>-1500</v>
      </c>
      <c r="ER293" s="208">
        <v>0</v>
      </c>
      <c r="ES293" s="208">
        <v>-1500</v>
      </c>
      <c r="ET293" s="208">
        <v>0</v>
      </c>
      <c r="EU293" s="208">
        <v>0</v>
      </c>
      <c r="EV293" s="208">
        <v>0</v>
      </c>
      <c r="EW293" s="208">
        <v>-19783</v>
      </c>
      <c r="EX293" s="208">
        <v>0</v>
      </c>
      <c r="EY293" s="208">
        <v>-19783</v>
      </c>
      <c r="EZ293" s="208">
        <v>736</v>
      </c>
      <c r="FA293" s="208">
        <v>0</v>
      </c>
      <c r="FB293" s="208">
        <v>736</v>
      </c>
      <c r="FC293" s="208">
        <v>-125979</v>
      </c>
      <c r="FD293" s="208">
        <v>0</v>
      </c>
      <c r="FE293" s="208">
        <v>-125979</v>
      </c>
      <c r="FF293" s="208">
        <v>2871</v>
      </c>
      <c r="FG293" s="208">
        <v>0</v>
      </c>
      <c r="FH293" s="208">
        <v>2871</v>
      </c>
      <c r="FI293" s="208">
        <v>-46742</v>
      </c>
      <c r="FJ293" s="208">
        <v>0</v>
      </c>
      <c r="FK293" s="208">
        <v>-46742</v>
      </c>
      <c r="FL293" s="208">
        <v>189</v>
      </c>
      <c r="FM293" s="208">
        <v>0</v>
      </c>
      <c r="FN293" s="208">
        <v>189</v>
      </c>
      <c r="FO293" s="208">
        <v>0</v>
      </c>
      <c r="FP293" s="208">
        <v>0</v>
      </c>
      <c r="FQ293" s="208">
        <v>0</v>
      </c>
      <c r="FR293" s="208">
        <v>0</v>
      </c>
      <c r="FS293" s="208">
        <v>0</v>
      </c>
      <c r="FT293" s="208">
        <v>0</v>
      </c>
      <c r="FU293" s="208">
        <v>-184661</v>
      </c>
      <c r="FV293" s="208">
        <v>0</v>
      </c>
      <c r="FW293" s="208">
        <v>-184661</v>
      </c>
      <c r="FX293" s="208">
        <v>0</v>
      </c>
      <c r="FY293" s="208">
        <v>0</v>
      </c>
      <c r="FZ293" s="208">
        <v>0</v>
      </c>
      <c r="GA293" s="208">
        <v>0</v>
      </c>
      <c r="GB293" s="208">
        <v>0</v>
      </c>
      <c r="GC293" s="208">
        <v>0</v>
      </c>
      <c r="GD293" s="208">
        <v>0</v>
      </c>
      <c r="GE293" s="208">
        <v>0</v>
      </c>
      <c r="GF293" s="208">
        <v>0</v>
      </c>
      <c r="GG293" s="208">
        <v>63319911</v>
      </c>
      <c r="GH293" s="208">
        <v>0</v>
      </c>
      <c r="GI293" s="208">
        <v>63319911</v>
      </c>
      <c r="GJ293" s="208">
        <v>-150586</v>
      </c>
      <c r="GK293" s="208">
        <v>0</v>
      </c>
      <c r="GL293" s="208">
        <v>-150586</v>
      </c>
      <c r="GM293" s="208">
        <v>-7853476</v>
      </c>
      <c r="GN293" s="208">
        <v>0</v>
      </c>
      <c r="GO293" s="208">
        <v>-7853476</v>
      </c>
      <c r="GP293" s="208">
        <v>-1904437</v>
      </c>
      <c r="GQ293" s="208">
        <v>0</v>
      </c>
      <c r="GR293" s="208">
        <v>-1904437</v>
      </c>
      <c r="GS293" s="208">
        <v>-101669</v>
      </c>
      <c r="GT293" s="208">
        <v>0</v>
      </c>
      <c r="GU293" s="208">
        <v>-101669</v>
      </c>
      <c r="GV293" s="208">
        <v>-184661</v>
      </c>
      <c r="GW293" s="208">
        <v>0</v>
      </c>
      <c r="GX293" s="208">
        <v>-184661</v>
      </c>
      <c r="GY293" s="208">
        <v>0</v>
      </c>
      <c r="GZ293" s="208">
        <v>0</v>
      </c>
      <c r="HA293" s="208">
        <v>0</v>
      </c>
      <c r="HB293" s="208">
        <v>-10194829</v>
      </c>
      <c r="HC293" s="208">
        <v>0</v>
      </c>
      <c r="HD293" s="208">
        <v>-10194829</v>
      </c>
      <c r="HE293" s="208">
        <v>53125082</v>
      </c>
      <c r="HF293" s="208">
        <v>0</v>
      </c>
      <c r="HG293" s="208">
        <v>53125082</v>
      </c>
      <c r="HH293" s="187" t="s">
        <v>1054</v>
      </c>
    </row>
    <row r="294" spans="1:216" s="187" customFormat="1" x14ac:dyDescent="0.2">
      <c r="B294" s="429" t="s">
        <v>666</v>
      </c>
      <c r="C294" s="429" t="s">
        <v>665</v>
      </c>
      <c r="D294" s="208">
        <v>-1054776</v>
      </c>
      <c r="E294" s="208">
        <v>0</v>
      </c>
      <c r="F294" s="208">
        <v>-1054776</v>
      </c>
      <c r="G294" s="208">
        <v>14563.84</v>
      </c>
      <c r="H294" s="208">
        <v>0</v>
      </c>
      <c r="I294" s="208">
        <v>14563.84</v>
      </c>
      <c r="J294" s="208">
        <v>1418810</v>
      </c>
      <c r="K294" s="208">
        <v>0</v>
      </c>
      <c r="L294" s="208">
        <v>1418810</v>
      </c>
      <c r="M294" s="208">
        <v>-3660</v>
      </c>
      <c r="N294" s="208">
        <v>0</v>
      </c>
      <c r="O294" s="208">
        <v>-3660</v>
      </c>
      <c r="P294" s="208">
        <v>374938</v>
      </c>
      <c r="Q294" s="208">
        <v>0</v>
      </c>
      <c r="R294" s="208">
        <v>374938</v>
      </c>
      <c r="S294" s="208">
        <v>-3346466</v>
      </c>
      <c r="T294" s="208">
        <v>0</v>
      </c>
      <c r="U294" s="208">
        <v>-3346466</v>
      </c>
      <c r="V294" s="208">
        <v>-25786</v>
      </c>
      <c r="W294" s="208">
        <v>0</v>
      </c>
      <c r="X294" s="208">
        <v>-25786</v>
      </c>
      <c r="Y294" s="208">
        <v>-110202</v>
      </c>
      <c r="Z294" s="208">
        <v>0</v>
      </c>
      <c r="AA294" s="208">
        <v>-110202</v>
      </c>
      <c r="AB294" s="208">
        <v>-37279</v>
      </c>
      <c r="AC294" s="208">
        <v>0</v>
      </c>
      <c r="AD294" s="208">
        <v>-37279</v>
      </c>
      <c r="AE294" s="208">
        <v>-72923</v>
      </c>
      <c r="AF294" s="208">
        <v>0</v>
      </c>
      <c r="AG294" s="208">
        <v>-72923</v>
      </c>
      <c r="AH294" s="208">
        <v>-1512</v>
      </c>
      <c r="AI294" s="208">
        <v>0</v>
      </c>
      <c r="AJ294" s="208">
        <v>-1512</v>
      </c>
      <c r="AK294" s="208">
        <v>384</v>
      </c>
      <c r="AL294" s="208">
        <v>0</v>
      </c>
      <c r="AM294" s="208">
        <v>384</v>
      </c>
      <c r="AN294" s="208">
        <v>1010499</v>
      </c>
      <c r="AO294" s="208">
        <v>0</v>
      </c>
      <c r="AP294" s="208">
        <v>1010499</v>
      </c>
      <c r="AQ294" s="208">
        <v>-16182.22</v>
      </c>
      <c r="AR294" s="208">
        <v>0</v>
      </c>
      <c r="AS294" s="208">
        <v>-16182.22</v>
      </c>
      <c r="AT294" s="208">
        <v>-2066197</v>
      </c>
      <c r="AU294" s="208">
        <v>0</v>
      </c>
      <c r="AV294" s="208">
        <v>-2066197</v>
      </c>
      <c r="AW294" s="208">
        <v>19549</v>
      </c>
      <c r="AX294" s="208">
        <v>0</v>
      </c>
      <c r="AY294" s="208">
        <v>19549</v>
      </c>
      <c r="AZ294" s="208">
        <v>-16111</v>
      </c>
      <c r="BA294" s="208">
        <v>0</v>
      </c>
      <c r="BB294" s="208">
        <v>-16111</v>
      </c>
      <c r="BC294" s="208">
        <v>0</v>
      </c>
      <c r="BD294" s="208">
        <v>0</v>
      </c>
      <c r="BE294" s="208">
        <v>0</v>
      </c>
      <c r="BF294" s="208">
        <v>-31694</v>
      </c>
      <c r="BG294" s="208">
        <v>0</v>
      </c>
      <c r="BH294" s="208">
        <v>-31694</v>
      </c>
      <c r="BI294" s="208">
        <v>0</v>
      </c>
      <c r="BJ294" s="208">
        <v>0</v>
      </c>
      <c r="BK294" s="208">
        <v>0</v>
      </c>
      <c r="BL294" s="208">
        <v>-4556804</v>
      </c>
      <c r="BM294" s="208">
        <v>0</v>
      </c>
      <c r="BN294" s="208">
        <v>-4556804</v>
      </c>
      <c r="BO294" s="208">
        <v>-7207</v>
      </c>
      <c r="BP294" s="208">
        <v>0</v>
      </c>
      <c r="BQ294" s="208">
        <v>-7207</v>
      </c>
      <c r="BR294" s="208">
        <v>-3860</v>
      </c>
      <c r="BS294" s="208">
        <v>0</v>
      </c>
      <c r="BT294" s="208">
        <v>-3860</v>
      </c>
      <c r="BU294" s="208">
        <v>-963221</v>
      </c>
      <c r="BV294" s="208">
        <v>0</v>
      </c>
      <c r="BW294" s="208">
        <v>-963221</v>
      </c>
      <c r="BX294" s="208">
        <v>16473</v>
      </c>
      <c r="BY294" s="208">
        <v>0</v>
      </c>
      <c r="BZ294" s="208">
        <v>16473</v>
      </c>
      <c r="CA294" s="208">
        <v>-957815</v>
      </c>
      <c r="CB294" s="208">
        <v>0</v>
      </c>
      <c r="CC294" s="208">
        <v>-957815</v>
      </c>
      <c r="CD294" s="208">
        <v>-53724</v>
      </c>
      <c r="CE294" s="208">
        <v>0</v>
      </c>
      <c r="CF294" s="208">
        <v>-53724</v>
      </c>
      <c r="CG294" s="208">
        <v>413</v>
      </c>
      <c r="CH294" s="208">
        <v>0</v>
      </c>
      <c r="CI294" s="208">
        <v>413</v>
      </c>
      <c r="CJ294" s="208">
        <v>-125549</v>
      </c>
      <c r="CK294" s="208">
        <v>0</v>
      </c>
      <c r="CL294" s="208">
        <v>-125549</v>
      </c>
      <c r="CM294" s="208">
        <v>4294</v>
      </c>
      <c r="CN294" s="208">
        <v>0</v>
      </c>
      <c r="CO294" s="208">
        <v>4294</v>
      </c>
      <c r="CP294" s="208">
        <v>-168</v>
      </c>
      <c r="CQ294" s="208">
        <v>0</v>
      </c>
      <c r="CR294" s="208">
        <v>-168</v>
      </c>
      <c r="CS294" s="208">
        <v>0</v>
      </c>
      <c r="CT294" s="208">
        <v>0</v>
      </c>
      <c r="CU294" s="208">
        <v>0</v>
      </c>
      <c r="CV294" s="208">
        <v>0</v>
      </c>
      <c r="CW294" s="208">
        <v>0</v>
      </c>
      <c r="CX294" s="208">
        <v>0</v>
      </c>
      <c r="CY294" s="208">
        <v>0</v>
      </c>
      <c r="CZ294" s="208">
        <v>0</v>
      </c>
      <c r="DA294" s="208">
        <v>0</v>
      </c>
      <c r="DB294" s="208">
        <v>-66068</v>
      </c>
      <c r="DC294" s="208">
        <v>0</v>
      </c>
      <c r="DD294" s="208">
        <v>-66068</v>
      </c>
      <c r="DE294" s="208">
        <v>0</v>
      </c>
      <c r="DF294" s="208">
        <v>0</v>
      </c>
      <c r="DG294" s="208">
        <v>0</v>
      </c>
      <c r="DH294" s="208">
        <v>-39200</v>
      </c>
      <c r="DI294" s="208">
        <v>0</v>
      </c>
      <c r="DJ294" s="208">
        <v>-39200</v>
      </c>
      <c r="DK294" s="208">
        <v>0</v>
      </c>
      <c r="DL294" s="208">
        <v>0</v>
      </c>
      <c r="DM294" s="208">
        <v>0</v>
      </c>
      <c r="DN294" s="208">
        <v>0</v>
      </c>
      <c r="DO294" s="208">
        <v>0</v>
      </c>
      <c r="DP294" s="208">
        <v>-280002</v>
      </c>
      <c r="DQ294" s="208">
        <v>0</v>
      </c>
      <c r="DR294" s="208">
        <v>-280002</v>
      </c>
      <c r="DS294" s="208">
        <v>0</v>
      </c>
      <c r="DT294" s="208">
        <v>0</v>
      </c>
      <c r="DU294" s="208">
        <v>0</v>
      </c>
      <c r="DV294" s="208">
        <v>0</v>
      </c>
      <c r="DW294" s="208">
        <v>0</v>
      </c>
      <c r="DX294" s="208">
        <v>0</v>
      </c>
      <c r="DY294" s="208">
        <v>2500</v>
      </c>
      <c r="DZ294" s="208">
        <v>0</v>
      </c>
      <c r="EA294" s="208">
        <v>2500</v>
      </c>
      <c r="EB294" s="208">
        <v>0</v>
      </c>
      <c r="EC294" s="208">
        <v>0</v>
      </c>
      <c r="ED294" s="208">
        <v>0</v>
      </c>
      <c r="EE294" s="208">
        <v>0</v>
      </c>
      <c r="EF294" s="208">
        <v>0</v>
      </c>
      <c r="EG294" s="208">
        <v>0</v>
      </c>
      <c r="EH294" s="208">
        <v>0</v>
      </c>
      <c r="EI294" s="208">
        <v>0</v>
      </c>
      <c r="EJ294" s="208">
        <v>0</v>
      </c>
      <c r="EK294" s="208">
        <v>-31694</v>
      </c>
      <c r="EL294" s="208">
        <v>0</v>
      </c>
      <c r="EM294" s="208">
        <v>-31694</v>
      </c>
      <c r="EN294" s="208">
        <v>0</v>
      </c>
      <c r="EO294" s="208">
        <v>0</v>
      </c>
      <c r="EP294" s="208">
        <v>0</v>
      </c>
      <c r="EQ294" s="208">
        <v>-1500</v>
      </c>
      <c r="ER294" s="208">
        <v>0</v>
      </c>
      <c r="ES294" s="208">
        <v>-1500</v>
      </c>
      <c r="ET294" s="208">
        <v>0</v>
      </c>
      <c r="EU294" s="208">
        <v>0</v>
      </c>
      <c r="EV294" s="208">
        <v>0</v>
      </c>
      <c r="EW294" s="208">
        <v>-129928</v>
      </c>
      <c r="EX294" s="208">
        <v>0</v>
      </c>
      <c r="EY294" s="208">
        <v>-129928</v>
      </c>
      <c r="EZ294" s="208">
        <v>24.27</v>
      </c>
      <c r="FA294" s="208">
        <v>0</v>
      </c>
      <c r="FB294" s="208">
        <v>24.27</v>
      </c>
      <c r="FC294" s="208">
        <v>-83218</v>
      </c>
      <c r="FD294" s="208">
        <v>0</v>
      </c>
      <c r="FE294" s="208">
        <v>-83218</v>
      </c>
      <c r="FF294" s="208">
        <v>-661</v>
      </c>
      <c r="FG294" s="208">
        <v>0</v>
      </c>
      <c r="FH294" s="208">
        <v>-661</v>
      </c>
      <c r="FI294" s="208">
        <v>-45710</v>
      </c>
      <c r="FJ294" s="208">
        <v>0</v>
      </c>
      <c r="FK294" s="208">
        <v>-45710</v>
      </c>
      <c r="FL294" s="208">
        <v>-74</v>
      </c>
      <c r="FM294" s="208">
        <v>0</v>
      </c>
      <c r="FN294" s="208">
        <v>-74</v>
      </c>
      <c r="FO294" s="208">
        <v>0</v>
      </c>
      <c r="FP294" s="208">
        <v>0</v>
      </c>
      <c r="FQ294" s="208">
        <v>0</v>
      </c>
      <c r="FR294" s="208">
        <v>0</v>
      </c>
      <c r="FS294" s="208">
        <v>0</v>
      </c>
      <c r="FT294" s="208">
        <v>0</v>
      </c>
      <c r="FU294" s="208">
        <v>-290261</v>
      </c>
      <c r="FV294" s="208">
        <v>0</v>
      </c>
      <c r="FW294" s="208">
        <v>-290261</v>
      </c>
      <c r="FX294" s="208">
        <v>0</v>
      </c>
      <c r="FY294" s="208">
        <v>0</v>
      </c>
      <c r="FZ294" s="208">
        <v>0</v>
      </c>
      <c r="GA294" s="208">
        <v>0</v>
      </c>
      <c r="GB294" s="208">
        <v>0</v>
      </c>
      <c r="GC294" s="208">
        <v>0</v>
      </c>
      <c r="GD294" s="208">
        <v>0</v>
      </c>
      <c r="GE294" s="208">
        <v>0</v>
      </c>
      <c r="GF294" s="208">
        <v>0</v>
      </c>
      <c r="GG294" s="208">
        <v>50514097</v>
      </c>
      <c r="GH294" s="208">
        <v>0</v>
      </c>
      <c r="GI294" s="208">
        <v>50514097</v>
      </c>
      <c r="GJ294" s="208">
        <v>374938</v>
      </c>
      <c r="GK294" s="208">
        <v>0</v>
      </c>
      <c r="GL294" s="208">
        <v>374938</v>
      </c>
      <c r="GM294" s="208">
        <v>-4556804</v>
      </c>
      <c r="GN294" s="208">
        <v>0</v>
      </c>
      <c r="GO294" s="208">
        <v>-4556804</v>
      </c>
      <c r="GP294" s="208">
        <v>-957815</v>
      </c>
      <c r="GQ294" s="208">
        <v>0</v>
      </c>
      <c r="GR294" s="208">
        <v>-957815</v>
      </c>
      <c r="GS294" s="208">
        <v>-280002</v>
      </c>
      <c r="GT294" s="208">
        <v>0</v>
      </c>
      <c r="GU294" s="208">
        <v>-280002</v>
      </c>
      <c r="GV294" s="208">
        <v>-290261</v>
      </c>
      <c r="GW294" s="208">
        <v>0</v>
      </c>
      <c r="GX294" s="208">
        <v>-290261</v>
      </c>
      <c r="GY294" s="208">
        <v>0</v>
      </c>
      <c r="GZ294" s="208">
        <v>0</v>
      </c>
      <c r="HA294" s="208">
        <v>0</v>
      </c>
      <c r="HB294" s="208">
        <v>-5709944</v>
      </c>
      <c r="HC294" s="208">
        <v>0</v>
      </c>
      <c r="HD294" s="208">
        <v>-5709944</v>
      </c>
      <c r="HE294" s="208">
        <v>44804153</v>
      </c>
      <c r="HF294" s="208">
        <v>0</v>
      </c>
      <c r="HG294" s="208">
        <v>44804153</v>
      </c>
      <c r="HH294" s="187" t="s">
        <v>1054</v>
      </c>
    </row>
    <row r="295" spans="1:216" s="187" customFormat="1" x14ac:dyDescent="0.2">
      <c r="B295" s="429" t="s">
        <v>668</v>
      </c>
      <c r="C295" s="429" t="s">
        <v>667</v>
      </c>
      <c r="D295" s="208">
        <v>-734931</v>
      </c>
      <c r="E295" s="208">
        <v>-21284</v>
      </c>
      <c r="F295" s="208">
        <v>-756215</v>
      </c>
      <c r="G295" s="208">
        <v>-1096</v>
      </c>
      <c r="H295" s="208">
        <v>1674</v>
      </c>
      <c r="I295" s="208">
        <v>578</v>
      </c>
      <c r="J295" s="208">
        <v>4412626</v>
      </c>
      <c r="K295" s="208">
        <v>19190</v>
      </c>
      <c r="L295" s="208">
        <v>4431816</v>
      </c>
      <c r="M295" s="208">
        <v>22262</v>
      </c>
      <c r="N295" s="208">
        <v>863</v>
      </c>
      <c r="O295" s="208">
        <v>23125</v>
      </c>
      <c r="P295" s="208">
        <v>3698861</v>
      </c>
      <c r="Q295" s="208">
        <v>443</v>
      </c>
      <c r="R295" s="208">
        <v>3699304</v>
      </c>
      <c r="S295" s="208">
        <v>-2683106</v>
      </c>
      <c r="T295" s="208">
        <v>-37741</v>
      </c>
      <c r="U295" s="208">
        <v>-2720847</v>
      </c>
      <c r="V295" s="208">
        <v>0</v>
      </c>
      <c r="W295" s="208">
        <v>0</v>
      </c>
      <c r="X295" s="208">
        <v>0</v>
      </c>
      <c r="Y295" s="208">
        <v>-74697</v>
      </c>
      <c r="Z295" s="208">
        <v>-19456</v>
      </c>
      <c r="AA295" s="208">
        <v>-94153</v>
      </c>
      <c r="AB295" s="208">
        <v>-16955</v>
      </c>
      <c r="AC295" s="208">
        <v>-12357</v>
      </c>
      <c r="AD295" s="208">
        <v>-29312</v>
      </c>
      <c r="AE295" s="208">
        <v>-57241</v>
      </c>
      <c r="AF295" s="208">
        <v>-7098</v>
      </c>
      <c r="AG295" s="208">
        <v>-64339</v>
      </c>
      <c r="AH295" s="208">
        <v>0</v>
      </c>
      <c r="AI295" s="208">
        <v>0</v>
      </c>
      <c r="AJ295" s="208">
        <v>0</v>
      </c>
      <c r="AK295" s="208">
        <v>0</v>
      </c>
      <c r="AL295" s="208">
        <v>0</v>
      </c>
      <c r="AM295" s="208">
        <v>0</v>
      </c>
      <c r="AN295" s="208">
        <v>1378504</v>
      </c>
      <c r="AO295" s="208">
        <v>98121</v>
      </c>
      <c r="AP295" s="208">
        <v>1476625</v>
      </c>
      <c r="AQ295" s="208">
        <v>-31509</v>
      </c>
      <c r="AR295" s="208">
        <v>17840</v>
      </c>
      <c r="AS295" s="208">
        <v>-13669</v>
      </c>
      <c r="AT295" s="208">
        <v>-7849070</v>
      </c>
      <c r="AU295" s="208">
        <v>-214221</v>
      </c>
      <c r="AV295" s="208">
        <v>-8063291</v>
      </c>
      <c r="AW295" s="208">
        <v>136355</v>
      </c>
      <c r="AX295" s="208">
        <v>-2731</v>
      </c>
      <c r="AY295" s="208">
        <v>133624</v>
      </c>
      <c r="AZ295" s="208">
        <v>-101222</v>
      </c>
      <c r="BA295" s="208">
        <v>0</v>
      </c>
      <c r="BB295" s="208">
        <v>-101222</v>
      </c>
      <c r="BC295" s="208">
        <v>0</v>
      </c>
      <c r="BD295" s="208">
        <v>0</v>
      </c>
      <c r="BE295" s="208">
        <v>0</v>
      </c>
      <c r="BF295" s="208">
        <v>-24201</v>
      </c>
      <c r="BG295" s="208">
        <v>0</v>
      </c>
      <c r="BH295" s="208">
        <v>-24201</v>
      </c>
      <c r="BI295" s="208">
        <v>-277</v>
      </c>
      <c r="BJ295" s="208">
        <v>0</v>
      </c>
      <c r="BK295" s="208">
        <v>-277</v>
      </c>
      <c r="BL295" s="208">
        <v>-9249223</v>
      </c>
      <c r="BM295" s="208">
        <v>-158188</v>
      </c>
      <c r="BN295" s="208">
        <v>-9407411</v>
      </c>
      <c r="BO295" s="208">
        <v>-33638</v>
      </c>
      <c r="BP295" s="208">
        <v>0</v>
      </c>
      <c r="BQ295" s="208">
        <v>-33638</v>
      </c>
      <c r="BR295" s="208">
        <v>-5454</v>
      </c>
      <c r="BS295" s="208">
        <v>0</v>
      </c>
      <c r="BT295" s="208">
        <v>-5454</v>
      </c>
      <c r="BU295" s="208">
        <v>-1242862</v>
      </c>
      <c r="BV295" s="208">
        <v>-83017</v>
      </c>
      <c r="BW295" s="208">
        <v>-1325879</v>
      </c>
      <c r="BX295" s="208">
        <v>52182</v>
      </c>
      <c r="BY295" s="208">
        <v>9778</v>
      </c>
      <c r="BZ295" s="208">
        <v>61960</v>
      </c>
      <c r="CA295" s="208">
        <v>-1229772</v>
      </c>
      <c r="CB295" s="208">
        <v>-73239</v>
      </c>
      <c r="CC295" s="208">
        <v>-1303011</v>
      </c>
      <c r="CD295" s="208">
        <v>-168386</v>
      </c>
      <c r="CE295" s="208">
        <v>-1692</v>
      </c>
      <c r="CF295" s="208">
        <v>-170078</v>
      </c>
      <c r="CG295" s="208">
        <v>-60</v>
      </c>
      <c r="CH295" s="208">
        <v>-683</v>
      </c>
      <c r="CI295" s="208">
        <v>-743</v>
      </c>
      <c r="CJ295" s="208">
        <v>-6050</v>
      </c>
      <c r="CK295" s="208">
        <v>0</v>
      </c>
      <c r="CL295" s="208">
        <v>-6050</v>
      </c>
      <c r="CM295" s="208">
        <v>0</v>
      </c>
      <c r="CN295" s="208">
        <v>0</v>
      </c>
      <c r="CO295" s="208">
        <v>0</v>
      </c>
      <c r="CP295" s="208">
        <v>-6326</v>
      </c>
      <c r="CQ295" s="208">
        <v>0</v>
      </c>
      <c r="CR295" s="208">
        <v>-6326</v>
      </c>
      <c r="CS295" s="208">
        <v>0</v>
      </c>
      <c r="CT295" s="208">
        <v>0</v>
      </c>
      <c r="CU295" s="208">
        <v>0</v>
      </c>
      <c r="CV295" s="208">
        <v>0</v>
      </c>
      <c r="CW295" s="208">
        <v>0</v>
      </c>
      <c r="CX295" s="208">
        <v>0</v>
      </c>
      <c r="CY295" s="208">
        <v>0</v>
      </c>
      <c r="CZ295" s="208">
        <v>0</v>
      </c>
      <c r="DA295" s="208">
        <v>0</v>
      </c>
      <c r="DB295" s="208">
        <v>0</v>
      </c>
      <c r="DC295" s="208">
        <v>0</v>
      </c>
      <c r="DD295" s="208">
        <v>0</v>
      </c>
      <c r="DE295" s="208">
        <v>0</v>
      </c>
      <c r="DF295" s="208">
        <v>0</v>
      </c>
      <c r="DG295" s="208">
        <v>0</v>
      </c>
      <c r="DH295" s="208">
        <v>0</v>
      </c>
      <c r="DI295" s="208">
        <v>-838309</v>
      </c>
      <c r="DJ295" s="208">
        <v>-838309</v>
      </c>
      <c r="DK295" s="208">
        <v>0</v>
      </c>
      <c r="DL295" s="208">
        <v>-515313</v>
      </c>
      <c r="DM295" s="208">
        <v>-515313</v>
      </c>
      <c r="DN295" s="208">
        <v>-1353622</v>
      </c>
      <c r="DO295" s="208">
        <v>0</v>
      </c>
      <c r="DP295" s="208">
        <v>-180822</v>
      </c>
      <c r="DQ295" s="208">
        <v>-1355997</v>
      </c>
      <c r="DR295" s="208">
        <v>-1536819</v>
      </c>
      <c r="DS295" s="208">
        <v>0</v>
      </c>
      <c r="DT295" s="208">
        <v>0</v>
      </c>
      <c r="DU295" s="208">
        <v>0</v>
      </c>
      <c r="DV295" s="208">
        <v>0</v>
      </c>
      <c r="DW295" s="208">
        <v>0</v>
      </c>
      <c r="DX295" s="208">
        <v>0</v>
      </c>
      <c r="DY295" s="208">
        <v>288</v>
      </c>
      <c r="DZ295" s="208">
        <v>0</v>
      </c>
      <c r="EA295" s="208">
        <v>288</v>
      </c>
      <c r="EB295" s="208">
        <v>0</v>
      </c>
      <c r="EC295" s="208">
        <v>0</v>
      </c>
      <c r="ED295" s="208">
        <v>0</v>
      </c>
      <c r="EE295" s="208">
        <v>0</v>
      </c>
      <c r="EF295" s="208">
        <v>0</v>
      </c>
      <c r="EG295" s="208">
        <v>0</v>
      </c>
      <c r="EH295" s="208">
        <v>0</v>
      </c>
      <c r="EI295" s="208">
        <v>0</v>
      </c>
      <c r="EJ295" s="208">
        <v>0</v>
      </c>
      <c r="EK295" s="208">
        <v>-24201</v>
      </c>
      <c r="EL295" s="208">
        <v>0</v>
      </c>
      <c r="EM295" s="208">
        <v>-24201</v>
      </c>
      <c r="EN295" s="208">
        <v>-277</v>
      </c>
      <c r="EO295" s="208">
        <v>0</v>
      </c>
      <c r="EP295" s="208">
        <v>-277</v>
      </c>
      <c r="EQ295" s="208">
        <v>0</v>
      </c>
      <c r="ER295" s="208">
        <v>0</v>
      </c>
      <c r="ES295" s="208">
        <v>0</v>
      </c>
      <c r="ET295" s="208">
        <v>0</v>
      </c>
      <c r="EU295" s="208">
        <v>0</v>
      </c>
      <c r="EV295" s="208">
        <v>0</v>
      </c>
      <c r="EW295" s="208">
        <v>-25641</v>
      </c>
      <c r="EX295" s="208">
        <v>0</v>
      </c>
      <c r="EY295" s="208">
        <v>-25641</v>
      </c>
      <c r="EZ295" s="208">
        <v>1694</v>
      </c>
      <c r="FA295" s="208">
        <v>0</v>
      </c>
      <c r="FB295" s="208">
        <v>1694</v>
      </c>
      <c r="FC295" s="208">
        <v>-136886</v>
      </c>
      <c r="FD295" s="208">
        <v>-3973</v>
      </c>
      <c r="FE295" s="208">
        <v>-140859</v>
      </c>
      <c r="FF295" s="208">
        <v>9786</v>
      </c>
      <c r="FG295" s="208">
        <v>0</v>
      </c>
      <c r="FH295" s="208">
        <v>9786</v>
      </c>
      <c r="FI295" s="208">
        <v>-45548</v>
      </c>
      <c r="FJ295" s="208">
        <v>0</v>
      </c>
      <c r="FK295" s="208">
        <v>-45548</v>
      </c>
      <c r="FL295" s="208">
        <v>-3000</v>
      </c>
      <c r="FM295" s="208">
        <v>0</v>
      </c>
      <c r="FN295" s="208">
        <v>-3000</v>
      </c>
      <c r="FO295" s="208">
        <v>0</v>
      </c>
      <c r="FP295" s="208">
        <v>0</v>
      </c>
      <c r="FQ295" s="208">
        <v>0</v>
      </c>
      <c r="FR295" s="208">
        <v>0</v>
      </c>
      <c r="FS295" s="208">
        <v>0</v>
      </c>
      <c r="FT295" s="208">
        <v>0</v>
      </c>
      <c r="FU295" s="208">
        <v>-223785</v>
      </c>
      <c r="FV295" s="208">
        <v>-3973</v>
      </c>
      <c r="FW295" s="208">
        <v>-227758</v>
      </c>
      <c r="FX295" s="208">
        <v>0</v>
      </c>
      <c r="FY295" s="208">
        <v>0</v>
      </c>
      <c r="FZ295" s="208">
        <v>0</v>
      </c>
      <c r="GA295" s="208">
        <v>0</v>
      </c>
      <c r="GB295" s="208">
        <v>0</v>
      </c>
      <c r="GC295" s="208">
        <v>0</v>
      </c>
      <c r="GD295" s="208">
        <v>0</v>
      </c>
      <c r="GE295" s="208">
        <v>0</v>
      </c>
      <c r="GF295" s="208">
        <v>0</v>
      </c>
      <c r="GG295" s="208">
        <v>64346030</v>
      </c>
      <c r="GH295" s="208">
        <v>4913337</v>
      </c>
      <c r="GI295" s="208">
        <v>69259367</v>
      </c>
      <c r="GJ295" s="208">
        <v>3698861</v>
      </c>
      <c r="GK295" s="208">
        <v>443</v>
      </c>
      <c r="GL295" s="208">
        <v>3699304</v>
      </c>
      <c r="GM295" s="208">
        <v>-9249223</v>
      </c>
      <c r="GN295" s="208">
        <v>-158188</v>
      </c>
      <c r="GO295" s="208">
        <v>-9407411</v>
      </c>
      <c r="GP295" s="208">
        <v>-1229772</v>
      </c>
      <c r="GQ295" s="208">
        <v>-73239</v>
      </c>
      <c r="GR295" s="208">
        <v>-1303011</v>
      </c>
      <c r="GS295" s="208">
        <v>-180822</v>
      </c>
      <c r="GT295" s="208">
        <v>-1355997</v>
      </c>
      <c r="GU295" s="208">
        <v>-1536819</v>
      </c>
      <c r="GV295" s="208">
        <v>-223785</v>
      </c>
      <c r="GW295" s="208">
        <v>-3973</v>
      </c>
      <c r="GX295" s="208">
        <v>-227758</v>
      </c>
      <c r="GY295" s="208">
        <v>0</v>
      </c>
      <c r="GZ295" s="208">
        <v>0</v>
      </c>
      <c r="HA295" s="208">
        <v>0</v>
      </c>
      <c r="HB295" s="208">
        <v>-7184741</v>
      </c>
      <c r="HC295" s="208">
        <v>-1590954</v>
      </c>
      <c r="HD295" s="208">
        <v>-8775695</v>
      </c>
      <c r="HE295" s="208">
        <v>57161289</v>
      </c>
      <c r="HF295" s="208">
        <v>3322383</v>
      </c>
      <c r="HG295" s="208">
        <v>60483672</v>
      </c>
      <c r="HH295" s="187" t="s">
        <v>1054</v>
      </c>
    </row>
    <row r="296" spans="1:216" s="187" customFormat="1" x14ac:dyDescent="0.2">
      <c r="B296" s="429" t="s">
        <v>670</v>
      </c>
      <c r="C296" s="429" t="s">
        <v>669</v>
      </c>
      <c r="D296" s="208">
        <v>-3812386</v>
      </c>
      <c r="E296" s="208">
        <v>0</v>
      </c>
      <c r="F296" s="208">
        <v>-3812386</v>
      </c>
      <c r="G296" s="208">
        <v>-387321</v>
      </c>
      <c r="H296" s="208">
        <v>0</v>
      </c>
      <c r="I296" s="208">
        <v>-387321</v>
      </c>
      <c r="J296" s="208">
        <v>5949834</v>
      </c>
      <c r="K296" s="208">
        <v>0</v>
      </c>
      <c r="L296" s="208">
        <v>5949834</v>
      </c>
      <c r="M296" s="208">
        <v>634825</v>
      </c>
      <c r="N296" s="208">
        <v>0</v>
      </c>
      <c r="O296" s="208">
        <v>634825</v>
      </c>
      <c r="P296" s="208">
        <v>2384952</v>
      </c>
      <c r="Q296" s="208">
        <v>0</v>
      </c>
      <c r="R296" s="208">
        <v>2384952</v>
      </c>
      <c r="S296" s="208">
        <v>-12188538</v>
      </c>
      <c r="T296" s="208">
        <v>0</v>
      </c>
      <c r="U296" s="208">
        <v>-12188538</v>
      </c>
      <c r="V296" s="208">
        <v>-10000</v>
      </c>
      <c r="W296" s="208">
        <v>0</v>
      </c>
      <c r="X296" s="208">
        <v>-10000</v>
      </c>
      <c r="Y296" s="208">
        <v>-105859</v>
      </c>
      <c r="Z296" s="208">
        <v>0</v>
      </c>
      <c r="AA296" s="208">
        <v>-105859</v>
      </c>
      <c r="AB296" s="208">
        <v>-26457</v>
      </c>
      <c r="AC296" s="208">
        <v>0</v>
      </c>
      <c r="AD296" s="208">
        <v>-26457</v>
      </c>
      <c r="AE296" s="208">
        <v>-74860</v>
      </c>
      <c r="AF296" s="208">
        <v>0</v>
      </c>
      <c r="AG296" s="208">
        <v>-74860</v>
      </c>
      <c r="AH296" s="208">
        <v>0</v>
      </c>
      <c r="AI296" s="208">
        <v>0</v>
      </c>
      <c r="AJ296" s="208">
        <v>0</v>
      </c>
      <c r="AK296" s="208">
        <v>0</v>
      </c>
      <c r="AL296" s="208">
        <v>0</v>
      </c>
      <c r="AM296" s="208">
        <v>0</v>
      </c>
      <c r="AN296" s="208">
        <v>2984365</v>
      </c>
      <c r="AO296" s="208">
        <v>0</v>
      </c>
      <c r="AP296" s="208">
        <v>2984365</v>
      </c>
      <c r="AQ296" s="208">
        <v>-12973</v>
      </c>
      <c r="AR296" s="208">
        <v>0</v>
      </c>
      <c r="AS296" s="208">
        <v>-12973</v>
      </c>
      <c r="AT296" s="208">
        <v>-7860068</v>
      </c>
      <c r="AU296" s="208">
        <v>0</v>
      </c>
      <c r="AV296" s="208">
        <v>-7860068</v>
      </c>
      <c r="AW296" s="208">
        <v>29247</v>
      </c>
      <c r="AX296" s="208">
        <v>0</v>
      </c>
      <c r="AY296" s="208">
        <v>29247</v>
      </c>
      <c r="AZ296" s="208">
        <v>-91522</v>
      </c>
      <c r="BA296" s="208">
        <v>0</v>
      </c>
      <c r="BB296" s="208">
        <v>-91522</v>
      </c>
      <c r="BC296" s="208">
        <v>0</v>
      </c>
      <c r="BD296" s="208">
        <v>0</v>
      </c>
      <c r="BE296" s="208">
        <v>0</v>
      </c>
      <c r="BF296" s="208">
        <v>-13072</v>
      </c>
      <c r="BG296" s="208">
        <v>0</v>
      </c>
      <c r="BH296" s="208">
        <v>-13072</v>
      </c>
      <c r="BI296" s="208">
        <v>0</v>
      </c>
      <c r="BJ296" s="208">
        <v>0</v>
      </c>
      <c r="BK296" s="208">
        <v>0</v>
      </c>
      <c r="BL296" s="208">
        <v>-17258420</v>
      </c>
      <c r="BM296" s="208">
        <v>0</v>
      </c>
      <c r="BN296" s="208">
        <v>-17258420</v>
      </c>
      <c r="BO296" s="208">
        <v>-179272</v>
      </c>
      <c r="BP296" s="208">
        <v>0</v>
      </c>
      <c r="BQ296" s="208">
        <v>-179272</v>
      </c>
      <c r="BR296" s="208">
        <v>0</v>
      </c>
      <c r="BS296" s="208">
        <v>0</v>
      </c>
      <c r="BT296" s="208">
        <v>0</v>
      </c>
      <c r="BU296" s="208">
        <v>-5028207</v>
      </c>
      <c r="BV296" s="208">
        <v>0</v>
      </c>
      <c r="BW296" s="208">
        <v>-5028207</v>
      </c>
      <c r="BX296" s="208">
        <v>40136</v>
      </c>
      <c r="BY296" s="208">
        <v>0</v>
      </c>
      <c r="BZ296" s="208">
        <v>40136</v>
      </c>
      <c r="CA296" s="208">
        <v>-5167343</v>
      </c>
      <c r="CB296" s="208">
        <v>0</v>
      </c>
      <c r="CC296" s="208">
        <v>-5167343</v>
      </c>
      <c r="CD296" s="208">
        <v>-646027</v>
      </c>
      <c r="CE296" s="208">
        <v>0</v>
      </c>
      <c r="CF296" s="208">
        <v>-646027</v>
      </c>
      <c r="CG296" s="208">
        <v>6559</v>
      </c>
      <c r="CH296" s="208">
        <v>0</v>
      </c>
      <c r="CI296" s="208">
        <v>6559</v>
      </c>
      <c r="CJ296" s="208">
        <v>-543383</v>
      </c>
      <c r="CK296" s="208">
        <v>0</v>
      </c>
      <c r="CL296" s="208">
        <v>-543383</v>
      </c>
      <c r="CM296" s="208">
        <v>-95124</v>
      </c>
      <c r="CN296" s="208">
        <v>0</v>
      </c>
      <c r="CO296" s="208">
        <v>-95124</v>
      </c>
      <c r="CP296" s="208">
        <v>-11542</v>
      </c>
      <c r="CQ296" s="208">
        <v>0</v>
      </c>
      <c r="CR296" s="208">
        <v>-11542</v>
      </c>
      <c r="CS296" s="208">
        <v>0</v>
      </c>
      <c r="CT296" s="208">
        <v>0</v>
      </c>
      <c r="CU296" s="208">
        <v>0</v>
      </c>
      <c r="CV296" s="208">
        <v>0</v>
      </c>
      <c r="CW296" s="208">
        <v>0</v>
      </c>
      <c r="CX296" s="208">
        <v>0</v>
      </c>
      <c r="CY296" s="208">
        <v>0</v>
      </c>
      <c r="CZ296" s="208">
        <v>0</v>
      </c>
      <c r="DA296" s="208">
        <v>0</v>
      </c>
      <c r="DB296" s="208">
        <v>0</v>
      </c>
      <c r="DC296" s="208">
        <v>0</v>
      </c>
      <c r="DD296" s="208">
        <v>0</v>
      </c>
      <c r="DE296" s="208">
        <v>0</v>
      </c>
      <c r="DF296" s="208">
        <v>0</v>
      </c>
      <c r="DG296" s="208">
        <v>0</v>
      </c>
      <c r="DH296" s="208">
        <v>0</v>
      </c>
      <c r="DI296" s="208">
        <v>-70960</v>
      </c>
      <c r="DJ296" s="208">
        <v>-70960</v>
      </c>
      <c r="DK296" s="208">
        <v>0</v>
      </c>
      <c r="DL296" s="208">
        <v>0</v>
      </c>
      <c r="DM296" s="208">
        <v>0</v>
      </c>
      <c r="DN296" s="208">
        <v>-70960</v>
      </c>
      <c r="DO296" s="208">
        <v>0</v>
      </c>
      <c r="DP296" s="208">
        <v>-1289517</v>
      </c>
      <c r="DQ296" s="208">
        <v>-70960</v>
      </c>
      <c r="DR296" s="208">
        <v>-1360477</v>
      </c>
      <c r="DS296" s="208">
        <v>0</v>
      </c>
      <c r="DT296" s="208">
        <v>0</v>
      </c>
      <c r="DU296" s="208">
        <v>0</v>
      </c>
      <c r="DV296" s="208">
        <v>0</v>
      </c>
      <c r="DW296" s="208">
        <v>0</v>
      </c>
      <c r="DX296" s="208">
        <v>0</v>
      </c>
      <c r="DY296" s="208">
        <v>0</v>
      </c>
      <c r="DZ296" s="208">
        <v>0</v>
      </c>
      <c r="EA296" s="208">
        <v>0</v>
      </c>
      <c r="EB296" s="208">
        <v>0</v>
      </c>
      <c r="EC296" s="208">
        <v>0</v>
      </c>
      <c r="ED296" s="208">
        <v>0</v>
      </c>
      <c r="EE296" s="208">
        <v>0</v>
      </c>
      <c r="EF296" s="208">
        <v>0</v>
      </c>
      <c r="EG296" s="208">
        <v>0</v>
      </c>
      <c r="EH296" s="208">
        <v>0</v>
      </c>
      <c r="EI296" s="208">
        <v>0</v>
      </c>
      <c r="EJ296" s="208">
        <v>0</v>
      </c>
      <c r="EK296" s="208">
        <v>0</v>
      </c>
      <c r="EL296" s="208">
        <v>0</v>
      </c>
      <c r="EM296" s="208">
        <v>0</v>
      </c>
      <c r="EN296" s="208">
        <v>0</v>
      </c>
      <c r="EO296" s="208">
        <v>0</v>
      </c>
      <c r="EP296" s="208">
        <v>0</v>
      </c>
      <c r="EQ296" s="208">
        <v>-554</v>
      </c>
      <c r="ER296" s="208">
        <v>0</v>
      </c>
      <c r="ES296" s="208">
        <v>-554</v>
      </c>
      <c r="ET296" s="208">
        <v>0</v>
      </c>
      <c r="EU296" s="208">
        <v>0</v>
      </c>
      <c r="EV296" s="208">
        <v>0</v>
      </c>
      <c r="EW296" s="208">
        <v>-68249</v>
      </c>
      <c r="EX296" s="208">
        <v>0</v>
      </c>
      <c r="EY296" s="208">
        <v>-68249</v>
      </c>
      <c r="EZ296" s="208">
        <v>1432</v>
      </c>
      <c r="FA296" s="208">
        <v>0</v>
      </c>
      <c r="FB296" s="208">
        <v>1432</v>
      </c>
      <c r="FC296" s="208">
        <v>-364967</v>
      </c>
      <c r="FD296" s="208">
        <v>0</v>
      </c>
      <c r="FE296" s="208">
        <v>-364967</v>
      </c>
      <c r="FF296" s="208">
        <v>13485</v>
      </c>
      <c r="FG296" s="208">
        <v>0</v>
      </c>
      <c r="FH296" s="208">
        <v>13485</v>
      </c>
      <c r="FI296" s="208">
        <v>-105699</v>
      </c>
      <c r="FJ296" s="208">
        <v>0</v>
      </c>
      <c r="FK296" s="208">
        <v>-105699</v>
      </c>
      <c r="FL296" s="208">
        <v>-63</v>
      </c>
      <c r="FM296" s="208">
        <v>0</v>
      </c>
      <c r="FN296" s="208">
        <v>-63</v>
      </c>
      <c r="FO296" s="208">
        <v>0</v>
      </c>
      <c r="FP296" s="208">
        <v>0</v>
      </c>
      <c r="FQ296" s="208">
        <v>0</v>
      </c>
      <c r="FR296" s="208">
        <v>0</v>
      </c>
      <c r="FS296" s="208">
        <v>0</v>
      </c>
      <c r="FT296" s="208">
        <v>0</v>
      </c>
      <c r="FU296" s="208">
        <v>-524615</v>
      </c>
      <c r="FV296" s="208">
        <v>0</v>
      </c>
      <c r="FW296" s="208">
        <v>-524615</v>
      </c>
      <c r="FX296" s="208">
        <v>0</v>
      </c>
      <c r="FY296" s="208">
        <v>0</v>
      </c>
      <c r="FZ296" s="208">
        <v>0</v>
      </c>
      <c r="GA296" s="208">
        <v>0</v>
      </c>
      <c r="GB296" s="208">
        <v>0</v>
      </c>
      <c r="GC296" s="208">
        <v>0</v>
      </c>
      <c r="GD296" s="208">
        <v>0</v>
      </c>
      <c r="GE296" s="208">
        <v>0</v>
      </c>
      <c r="GF296" s="208">
        <v>0</v>
      </c>
      <c r="GG296" s="208">
        <v>154774299</v>
      </c>
      <c r="GH296" s="208">
        <v>89910</v>
      </c>
      <c r="GI296" s="208">
        <v>154864209</v>
      </c>
      <c r="GJ296" s="208">
        <v>2384952</v>
      </c>
      <c r="GK296" s="208">
        <v>0</v>
      </c>
      <c r="GL296" s="208">
        <v>2384952</v>
      </c>
      <c r="GM296" s="208">
        <v>-17258420</v>
      </c>
      <c r="GN296" s="208">
        <v>0</v>
      </c>
      <c r="GO296" s="208">
        <v>-17258420</v>
      </c>
      <c r="GP296" s="208">
        <v>-5167343</v>
      </c>
      <c r="GQ296" s="208">
        <v>0</v>
      </c>
      <c r="GR296" s="208">
        <v>-5167343</v>
      </c>
      <c r="GS296" s="208">
        <v>-1289517</v>
      </c>
      <c r="GT296" s="208">
        <v>-70960</v>
      </c>
      <c r="GU296" s="208">
        <v>-1360477</v>
      </c>
      <c r="GV296" s="208">
        <v>-524615</v>
      </c>
      <c r="GW296" s="208">
        <v>0</v>
      </c>
      <c r="GX296" s="208">
        <v>-524615</v>
      </c>
      <c r="GY296" s="208">
        <v>0</v>
      </c>
      <c r="GZ296" s="208">
        <v>0</v>
      </c>
      <c r="HA296" s="208">
        <v>0</v>
      </c>
      <c r="HB296" s="208">
        <v>-21854943</v>
      </c>
      <c r="HC296" s="208">
        <v>-70960</v>
      </c>
      <c r="HD296" s="208">
        <v>-21925903</v>
      </c>
      <c r="HE296" s="208">
        <v>132919356</v>
      </c>
      <c r="HF296" s="208">
        <v>18950</v>
      </c>
      <c r="HG296" s="208">
        <v>132938306</v>
      </c>
      <c r="HH296" s="187" t="s">
        <v>1056</v>
      </c>
    </row>
    <row r="297" spans="1:216" s="187" customFormat="1" x14ac:dyDescent="0.2">
      <c r="B297" s="429" t="s">
        <v>672</v>
      </c>
      <c r="C297" s="429" t="s">
        <v>671</v>
      </c>
      <c r="D297" s="208">
        <v>-3151614</v>
      </c>
      <c r="E297" s="208">
        <v>-2085</v>
      </c>
      <c r="F297" s="208">
        <v>-3153699</v>
      </c>
      <c r="G297" s="208">
        <v>77098</v>
      </c>
      <c r="H297" s="208">
        <v>-518</v>
      </c>
      <c r="I297" s="208">
        <v>76580</v>
      </c>
      <c r="J297" s="208">
        <v>1613997</v>
      </c>
      <c r="K297" s="208">
        <v>0</v>
      </c>
      <c r="L297" s="208">
        <v>1613997</v>
      </c>
      <c r="M297" s="208">
        <v>12136</v>
      </c>
      <c r="N297" s="208">
        <v>0</v>
      </c>
      <c r="O297" s="208">
        <v>12136</v>
      </c>
      <c r="P297" s="208">
        <v>-1448383</v>
      </c>
      <c r="Q297" s="208">
        <v>-2603</v>
      </c>
      <c r="R297" s="208">
        <v>-1450986</v>
      </c>
      <c r="S297" s="208">
        <v>-9420698</v>
      </c>
      <c r="T297" s="208">
        <v>-1076</v>
      </c>
      <c r="U297" s="208">
        <v>-9421774</v>
      </c>
      <c r="V297" s="208">
        <v>-34863</v>
      </c>
      <c r="W297" s="208">
        <v>0</v>
      </c>
      <c r="X297" s="208">
        <v>-34863</v>
      </c>
      <c r="Y297" s="208">
        <v>50242</v>
      </c>
      <c r="Z297" s="208">
        <v>0</v>
      </c>
      <c r="AA297" s="208">
        <v>50242</v>
      </c>
      <c r="AB297" s="208">
        <v>74864</v>
      </c>
      <c r="AC297" s="208">
        <v>0</v>
      </c>
      <c r="AD297" s="208">
        <v>74864</v>
      </c>
      <c r="AE297" s="208">
        <v>-24622</v>
      </c>
      <c r="AF297" s="208">
        <v>0</v>
      </c>
      <c r="AG297" s="208">
        <v>-24622</v>
      </c>
      <c r="AH297" s="208">
        <v>-845</v>
      </c>
      <c r="AI297" s="208">
        <v>0</v>
      </c>
      <c r="AJ297" s="208">
        <v>-845</v>
      </c>
      <c r="AK297" s="208">
        <v>3388</v>
      </c>
      <c r="AL297" s="208">
        <v>0</v>
      </c>
      <c r="AM297" s="208">
        <v>3388</v>
      </c>
      <c r="AN297" s="208">
        <v>1694909</v>
      </c>
      <c r="AO297" s="208">
        <v>0</v>
      </c>
      <c r="AP297" s="208">
        <v>1694909</v>
      </c>
      <c r="AQ297" s="208">
        <v>5681</v>
      </c>
      <c r="AR297" s="208">
        <v>0</v>
      </c>
      <c r="AS297" s="208">
        <v>5681</v>
      </c>
      <c r="AT297" s="208">
        <v>-5617915</v>
      </c>
      <c r="AU297" s="208">
        <v>0</v>
      </c>
      <c r="AV297" s="208">
        <v>-5617915</v>
      </c>
      <c r="AW297" s="208">
        <v>-41190</v>
      </c>
      <c r="AX297" s="208">
        <v>0</v>
      </c>
      <c r="AY297" s="208">
        <v>-41190</v>
      </c>
      <c r="AZ297" s="208">
        <v>-52677</v>
      </c>
      <c r="BA297" s="208">
        <v>0</v>
      </c>
      <c r="BB297" s="208">
        <v>-52677</v>
      </c>
      <c r="BC297" s="208">
        <v>-41894</v>
      </c>
      <c r="BD297" s="208">
        <v>0</v>
      </c>
      <c r="BE297" s="208">
        <v>-41894</v>
      </c>
      <c r="BF297" s="208">
        <v>0</v>
      </c>
      <c r="BG297" s="208">
        <v>0</v>
      </c>
      <c r="BH297" s="208">
        <v>0</v>
      </c>
      <c r="BI297" s="208">
        <v>0</v>
      </c>
      <c r="BJ297" s="208">
        <v>0</v>
      </c>
      <c r="BK297" s="208">
        <v>0</v>
      </c>
      <c r="BL297" s="208">
        <v>-13423542</v>
      </c>
      <c r="BM297" s="208">
        <v>-1076</v>
      </c>
      <c r="BN297" s="208">
        <v>-13424618</v>
      </c>
      <c r="BO297" s="208">
        <v>-16684</v>
      </c>
      <c r="BP297" s="208">
        <v>0</v>
      </c>
      <c r="BQ297" s="208">
        <v>-16684</v>
      </c>
      <c r="BR297" s="208">
        <v>-8380</v>
      </c>
      <c r="BS297" s="208">
        <v>0</v>
      </c>
      <c r="BT297" s="208">
        <v>-8380</v>
      </c>
      <c r="BU297" s="208">
        <v>-2649826</v>
      </c>
      <c r="BV297" s="208">
        <v>0</v>
      </c>
      <c r="BW297" s="208">
        <v>-2649826</v>
      </c>
      <c r="BX297" s="208">
        <v>-21820</v>
      </c>
      <c r="BY297" s="208">
        <v>0</v>
      </c>
      <c r="BZ297" s="208">
        <v>-21820</v>
      </c>
      <c r="CA297" s="208">
        <v>-2696710</v>
      </c>
      <c r="CB297" s="208">
        <v>0</v>
      </c>
      <c r="CC297" s="208">
        <v>-2696710</v>
      </c>
      <c r="CD297" s="208">
        <v>-136354</v>
      </c>
      <c r="CE297" s="208">
        <v>0</v>
      </c>
      <c r="CF297" s="208">
        <v>-136354</v>
      </c>
      <c r="CG297" s="208">
        <v>1410</v>
      </c>
      <c r="CH297" s="208">
        <v>0</v>
      </c>
      <c r="CI297" s="208">
        <v>1410</v>
      </c>
      <c r="CJ297" s="208">
        <v>-26749</v>
      </c>
      <c r="CK297" s="208">
        <v>0</v>
      </c>
      <c r="CL297" s="208">
        <v>-26749</v>
      </c>
      <c r="CM297" s="208">
        <v>26057</v>
      </c>
      <c r="CN297" s="208">
        <v>0</v>
      </c>
      <c r="CO297" s="208">
        <v>26057</v>
      </c>
      <c r="CP297" s="208">
        <v>-3479</v>
      </c>
      <c r="CQ297" s="208">
        <v>0</v>
      </c>
      <c r="CR297" s="208">
        <v>-3479</v>
      </c>
      <c r="CS297" s="208">
        <v>0</v>
      </c>
      <c r="CT297" s="208">
        <v>0</v>
      </c>
      <c r="CU297" s="208">
        <v>0</v>
      </c>
      <c r="CV297" s="208">
        <v>0</v>
      </c>
      <c r="CW297" s="208">
        <v>0</v>
      </c>
      <c r="CX297" s="208">
        <v>0</v>
      </c>
      <c r="CY297" s="208">
        <v>0</v>
      </c>
      <c r="CZ297" s="208">
        <v>0</v>
      </c>
      <c r="DA297" s="208">
        <v>0</v>
      </c>
      <c r="DB297" s="208">
        <v>0</v>
      </c>
      <c r="DC297" s="208">
        <v>0</v>
      </c>
      <c r="DD297" s="208">
        <v>0</v>
      </c>
      <c r="DE297" s="208">
        <v>0</v>
      </c>
      <c r="DF297" s="208">
        <v>0</v>
      </c>
      <c r="DG297" s="208">
        <v>0</v>
      </c>
      <c r="DH297" s="208">
        <v>0</v>
      </c>
      <c r="DI297" s="208">
        <v>-17640</v>
      </c>
      <c r="DJ297" s="208">
        <v>-17640</v>
      </c>
      <c r="DK297" s="208">
        <v>0</v>
      </c>
      <c r="DL297" s="208">
        <v>0</v>
      </c>
      <c r="DM297" s="208">
        <v>0</v>
      </c>
      <c r="DN297" s="208">
        <v>-17640</v>
      </c>
      <c r="DO297" s="208">
        <v>0</v>
      </c>
      <c r="DP297" s="208">
        <v>-139115</v>
      </c>
      <c r="DQ297" s="208">
        <v>-17640</v>
      </c>
      <c r="DR297" s="208">
        <v>-156755</v>
      </c>
      <c r="DS297" s="208">
        <v>0</v>
      </c>
      <c r="DT297" s="208">
        <v>0</v>
      </c>
      <c r="DU297" s="208">
        <v>0</v>
      </c>
      <c r="DV297" s="208">
        <v>0</v>
      </c>
      <c r="DW297" s="208">
        <v>0</v>
      </c>
      <c r="DX297" s="208">
        <v>0</v>
      </c>
      <c r="DY297" s="208">
        <v>-1593</v>
      </c>
      <c r="DZ297" s="208">
        <v>0</v>
      </c>
      <c r="EA297" s="208">
        <v>-1593</v>
      </c>
      <c r="EB297" s="208">
        <v>0</v>
      </c>
      <c r="EC297" s="208">
        <v>0</v>
      </c>
      <c r="ED297" s="208">
        <v>0</v>
      </c>
      <c r="EE297" s="208">
        <v>0</v>
      </c>
      <c r="EF297" s="208">
        <v>0</v>
      </c>
      <c r="EG297" s="208">
        <v>0</v>
      </c>
      <c r="EH297" s="208">
        <v>0</v>
      </c>
      <c r="EI297" s="208">
        <v>0</v>
      </c>
      <c r="EJ297" s="208">
        <v>0</v>
      </c>
      <c r="EK297" s="208">
        <v>0</v>
      </c>
      <c r="EL297" s="208">
        <v>0</v>
      </c>
      <c r="EM297" s="208">
        <v>0</v>
      </c>
      <c r="EN297" s="208">
        <v>0</v>
      </c>
      <c r="EO297" s="208">
        <v>0</v>
      </c>
      <c r="EP297" s="208">
        <v>0</v>
      </c>
      <c r="EQ297" s="208">
        <v>0</v>
      </c>
      <c r="ER297" s="208">
        <v>0</v>
      </c>
      <c r="ES297" s="208">
        <v>0</v>
      </c>
      <c r="ET297" s="208">
        <v>0</v>
      </c>
      <c r="EU297" s="208">
        <v>0</v>
      </c>
      <c r="EV297" s="208">
        <v>0</v>
      </c>
      <c r="EW297" s="208">
        <v>-22252</v>
      </c>
      <c r="EX297" s="208">
        <v>0</v>
      </c>
      <c r="EY297" s="208">
        <v>-22252</v>
      </c>
      <c r="EZ297" s="208">
        <v>3917</v>
      </c>
      <c r="FA297" s="208">
        <v>0</v>
      </c>
      <c r="FB297" s="208">
        <v>3917</v>
      </c>
      <c r="FC297" s="208">
        <v>-142900</v>
      </c>
      <c r="FD297" s="208">
        <v>0</v>
      </c>
      <c r="FE297" s="208">
        <v>-142900</v>
      </c>
      <c r="FF297" s="208">
        <v>2887</v>
      </c>
      <c r="FG297" s="208">
        <v>0</v>
      </c>
      <c r="FH297" s="208">
        <v>2887</v>
      </c>
      <c r="FI297" s="208">
        <v>-42701</v>
      </c>
      <c r="FJ297" s="208">
        <v>0</v>
      </c>
      <c r="FK297" s="208">
        <v>-42701</v>
      </c>
      <c r="FL297" s="208">
        <v>-1167</v>
      </c>
      <c r="FM297" s="208">
        <v>0</v>
      </c>
      <c r="FN297" s="208">
        <v>-1167</v>
      </c>
      <c r="FO297" s="208">
        <v>0</v>
      </c>
      <c r="FP297" s="208">
        <v>0</v>
      </c>
      <c r="FQ297" s="208">
        <v>0</v>
      </c>
      <c r="FR297" s="208">
        <v>0</v>
      </c>
      <c r="FS297" s="208">
        <v>0</v>
      </c>
      <c r="FT297" s="208">
        <v>0</v>
      </c>
      <c r="FU297" s="208">
        <v>-203809</v>
      </c>
      <c r="FV297" s="208">
        <v>0</v>
      </c>
      <c r="FW297" s="208">
        <v>-203809</v>
      </c>
      <c r="FX297" s="208">
        <v>0</v>
      </c>
      <c r="FY297" s="208">
        <v>0</v>
      </c>
      <c r="FZ297" s="208">
        <v>0</v>
      </c>
      <c r="GA297" s="208">
        <v>0</v>
      </c>
      <c r="GB297" s="208">
        <v>0</v>
      </c>
      <c r="GC297" s="208">
        <v>0</v>
      </c>
      <c r="GD297" s="208">
        <v>0</v>
      </c>
      <c r="GE297" s="208">
        <v>0</v>
      </c>
      <c r="GF297" s="208">
        <v>0</v>
      </c>
      <c r="GG297" s="208">
        <v>90021806</v>
      </c>
      <c r="GH297" s="208">
        <v>213203</v>
      </c>
      <c r="GI297" s="208">
        <v>90235009</v>
      </c>
      <c r="GJ297" s="208">
        <v>-1448383</v>
      </c>
      <c r="GK297" s="208">
        <v>-2603</v>
      </c>
      <c r="GL297" s="208">
        <v>-1450986</v>
      </c>
      <c r="GM297" s="208">
        <v>-13423542</v>
      </c>
      <c r="GN297" s="208">
        <v>-1076</v>
      </c>
      <c r="GO297" s="208">
        <v>-13424618</v>
      </c>
      <c r="GP297" s="208">
        <v>-2696710</v>
      </c>
      <c r="GQ297" s="208">
        <v>0</v>
      </c>
      <c r="GR297" s="208">
        <v>-2696710</v>
      </c>
      <c r="GS297" s="208">
        <v>-139115</v>
      </c>
      <c r="GT297" s="208">
        <v>-17640</v>
      </c>
      <c r="GU297" s="208">
        <v>-156755</v>
      </c>
      <c r="GV297" s="208">
        <v>-203809</v>
      </c>
      <c r="GW297" s="208">
        <v>0</v>
      </c>
      <c r="GX297" s="208">
        <v>-203809</v>
      </c>
      <c r="GY297" s="208">
        <v>0</v>
      </c>
      <c r="GZ297" s="208">
        <v>0</v>
      </c>
      <c r="HA297" s="208">
        <v>0</v>
      </c>
      <c r="HB297" s="208">
        <v>-17911559</v>
      </c>
      <c r="HC297" s="208">
        <v>-21319</v>
      </c>
      <c r="HD297" s="208">
        <v>-17932878</v>
      </c>
      <c r="HE297" s="208">
        <v>72110247</v>
      </c>
      <c r="HF297" s="208">
        <v>191884</v>
      </c>
      <c r="HG297" s="208">
        <v>72302131</v>
      </c>
      <c r="HH297" s="187" t="s">
        <v>1056</v>
      </c>
    </row>
    <row r="298" spans="1:216" s="187" customFormat="1" x14ac:dyDescent="0.2">
      <c r="B298" s="429" t="s">
        <v>674</v>
      </c>
      <c r="C298" s="429" t="s">
        <v>673</v>
      </c>
      <c r="D298" s="208">
        <v>-5953814</v>
      </c>
      <c r="E298" s="208">
        <v>0</v>
      </c>
      <c r="F298" s="208">
        <v>-5953814</v>
      </c>
      <c r="G298" s="208">
        <v>866517</v>
      </c>
      <c r="H298" s="208">
        <v>0</v>
      </c>
      <c r="I298" s="208">
        <v>866517</v>
      </c>
      <c r="J298" s="208">
        <v>941285</v>
      </c>
      <c r="K298" s="208">
        <v>0</v>
      </c>
      <c r="L298" s="208">
        <v>941285</v>
      </c>
      <c r="M298" s="208">
        <v>270348</v>
      </c>
      <c r="N298" s="208">
        <v>0</v>
      </c>
      <c r="O298" s="208">
        <v>270348</v>
      </c>
      <c r="P298" s="208">
        <v>-3875664</v>
      </c>
      <c r="Q298" s="208">
        <v>0</v>
      </c>
      <c r="R298" s="208">
        <v>-3875664</v>
      </c>
      <c r="S298" s="208">
        <v>-8078034</v>
      </c>
      <c r="T298" s="208">
        <v>0</v>
      </c>
      <c r="U298" s="208">
        <v>-8078034</v>
      </c>
      <c r="V298" s="208">
        <v>0</v>
      </c>
      <c r="W298" s="208">
        <v>0</v>
      </c>
      <c r="X298" s="208">
        <v>0</v>
      </c>
      <c r="Y298" s="208">
        <v>3717</v>
      </c>
      <c r="Z298" s="208">
        <v>0</v>
      </c>
      <c r="AA298" s="208">
        <v>3717</v>
      </c>
      <c r="AB298" s="208">
        <v>2374</v>
      </c>
      <c r="AC298" s="208">
        <v>0</v>
      </c>
      <c r="AD298" s="208">
        <v>2374</v>
      </c>
      <c r="AE298" s="208">
        <v>978</v>
      </c>
      <c r="AF298" s="208">
        <v>0</v>
      </c>
      <c r="AG298" s="208">
        <v>978</v>
      </c>
      <c r="AH298" s="208">
        <v>0</v>
      </c>
      <c r="AI298" s="208">
        <v>0</v>
      </c>
      <c r="AJ298" s="208">
        <v>0</v>
      </c>
      <c r="AK298" s="208">
        <v>0</v>
      </c>
      <c r="AL298" s="208">
        <v>0</v>
      </c>
      <c r="AM298" s="208">
        <v>0</v>
      </c>
      <c r="AN298" s="208">
        <v>1448116</v>
      </c>
      <c r="AO298" s="208">
        <v>0</v>
      </c>
      <c r="AP298" s="208">
        <v>1448116</v>
      </c>
      <c r="AQ298" s="208">
        <v>-62844</v>
      </c>
      <c r="AR298" s="208">
        <v>0</v>
      </c>
      <c r="AS298" s="208">
        <v>-62844</v>
      </c>
      <c r="AT298" s="208">
        <v>-6459371</v>
      </c>
      <c r="AU298" s="208">
        <v>0</v>
      </c>
      <c r="AV298" s="208">
        <v>-6459371</v>
      </c>
      <c r="AW298" s="208">
        <v>-223547</v>
      </c>
      <c r="AX298" s="208">
        <v>0</v>
      </c>
      <c r="AY298" s="208">
        <v>-223547</v>
      </c>
      <c r="AZ298" s="208">
        <v>-66619</v>
      </c>
      <c r="BA298" s="208">
        <v>0</v>
      </c>
      <c r="BB298" s="208">
        <v>-66619</v>
      </c>
      <c r="BC298" s="208">
        <v>0</v>
      </c>
      <c r="BD298" s="208">
        <v>0</v>
      </c>
      <c r="BE298" s="208">
        <v>0</v>
      </c>
      <c r="BF298" s="208">
        <v>0</v>
      </c>
      <c r="BG298" s="208">
        <v>0</v>
      </c>
      <c r="BH298" s="208">
        <v>0</v>
      </c>
      <c r="BI298" s="208">
        <v>0</v>
      </c>
      <c r="BJ298" s="208">
        <v>0</v>
      </c>
      <c r="BK298" s="208">
        <v>0</v>
      </c>
      <c r="BL298" s="208">
        <v>-13438582</v>
      </c>
      <c r="BM298" s="208">
        <v>0</v>
      </c>
      <c r="BN298" s="208">
        <v>-13438582</v>
      </c>
      <c r="BO298" s="208">
        <v>0</v>
      </c>
      <c r="BP298" s="208">
        <v>0</v>
      </c>
      <c r="BQ298" s="208">
        <v>0</v>
      </c>
      <c r="BR298" s="208">
        <v>0</v>
      </c>
      <c r="BS298" s="208">
        <v>0</v>
      </c>
      <c r="BT298" s="208">
        <v>0</v>
      </c>
      <c r="BU298" s="208">
        <v>-1230442</v>
      </c>
      <c r="BV298" s="208">
        <v>0</v>
      </c>
      <c r="BW298" s="208">
        <v>-1230442</v>
      </c>
      <c r="BX298" s="208">
        <v>-35638</v>
      </c>
      <c r="BY298" s="208">
        <v>0</v>
      </c>
      <c r="BZ298" s="208">
        <v>-35638</v>
      </c>
      <c r="CA298" s="208">
        <v>-1266080</v>
      </c>
      <c r="CB298" s="208">
        <v>0</v>
      </c>
      <c r="CC298" s="208">
        <v>-1266080</v>
      </c>
      <c r="CD298" s="208">
        <v>-233323</v>
      </c>
      <c r="CE298" s="208">
        <v>0</v>
      </c>
      <c r="CF298" s="208">
        <v>-233323</v>
      </c>
      <c r="CG298" s="208">
        <v>-433</v>
      </c>
      <c r="CH298" s="208">
        <v>0</v>
      </c>
      <c r="CI298" s="208">
        <v>-433</v>
      </c>
      <c r="CJ298" s="208">
        <v>-221620</v>
      </c>
      <c r="CK298" s="208">
        <v>0</v>
      </c>
      <c r="CL298" s="208">
        <v>-221620</v>
      </c>
      <c r="CM298" s="208">
        <v>-14046</v>
      </c>
      <c r="CN298" s="208">
        <v>0</v>
      </c>
      <c r="CO298" s="208">
        <v>-14046</v>
      </c>
      <c r="CP298" s="208">
        <v>-6302</v>
      </c>
      <c r="CQ298" s="208">
        <v>0</v>
      </c>
      <c r="CR298" s="208">
        <v>-6302</v>
      </c>
      <c r="CS298" s="208">
        <v>0</v>
      </c>
      <c r="CT298" s="208">
        <v>0</v>
      </c>
      <c r="CU298" s="208">
        <v>0</v>
      </c>
      <c r="CV298" s="208">
        <v>0</v>
      </c>
      <c r="CW298" s="208">
        <v>0</v>
      </c>
      <c r="CX298" s="208">
        <v>0</v>
      </c>
      <c r="CY298" s="208">
        <v>0</v>
      </c>
      <c r="CZ298" s="208">
        <v>0</v>
      </c>
      <c r="DA298" s="208">
        <v>0</v>
      </c>
      <c r="DB298" s="208">
        <v>0</v>
      </c>
      <c r="DC298" s="208">
        <v>0</v>
      </c>
      <c r="DD298" s="208">
        <v>0</v>
      </c>
      <c r="DE298" s="208">
        <v>0</v>
      </c>
      <c r="DF298" s="208">
        <v>0</v>
      </c>
      <c r="DG298" s="208">
        <v>0</v>
      </c>
      <c r="DH298" s="208">
        <v>0</v>
      </c>
      <c r="DI298" s="208">
        <v>0</v>
      </c>
      <c r="DJ298" s="208">
        <v>0</v>
      </c>
      <c r="DK298" s="208">
        <v>0</v>
      </c>
      <c r="DL298" s="208">
        <v>0</v>
      </c>
      <c r="DM298" s="208">
        <v>0</v>
      </c>
      <c r="DN298" s="208">
        <v>0</v>
      </c>
      <c r="DO298" s="208">
        <v>0</v>
      </c>
      <c r="DP298" s="208">
        <v>-475724</v>
      </c>
      <c r="DQ298" s="208">
        <v>0</v>
      </c>
      <c r="DR298" s="208">
        <v>-475724</v>
      </c>
      <c r="DS298" s="208">
        <v>2378</v>
      </c>
      <c r="DT298" s="208">
        <v>0</v>
      </c>
      <c r="DU298" s="208">
        <v>2378</v>
      </c>
      <c r="DV298" s="208">
        <v>0</v>
      </c>
      <c r="DW298" s="208">
        <v>0</v>
      </c>
      <c r="DX298" s="208">
        <v>0</v>
      </c>
      <c r="DY298" s="208">
        <v>5296</v>
      </c>
      <c r="DZ298" s="208">
        <v>0</v>
      </c>
      <c r="EA298" s="208">
        <v>5296</v>
      </c>
      <c r="EB298" s="208">
        <v>0</v>
      </c>
      <c r="EC298" s="208">
        <v>0</v>
      </c>
      <c r="ED298" s="208">
        <v>0</v>
      </c>
      <c r="EE298" s="208">
        <v>0</v>
      </c>
      <c r="EF298" s="208">
        <v>0</v>
      </c>
      <c r="EG298" s="208">
        <v>0</v>
      </c>
      <c r="EH298" s="208">
        <v>0</v>
      </c>
      <c r="EI298" s="208">
        <v>0</v>
      </c>
      <c r="EJ298" s="208">
        <v>0</v>
      </c>
      <c r="EK298" s="208">
        <v>0</v>
      </c>
      <c r="EL298" s="208">
        <v>0</v>
      </c>
      <c r="EM298" s="208">
        <v>0</v>
      </c>
      <c r="EN298" s="208">
        <v>0</v>
      </c>
      <c r="EO298" s="208">
        <v>0</v>
      </c>
      <c r="EP298" s="208">
        <v>0</v>
      </c>
      <c r="EQ298" s="208">
        <v>0</v>
      </c>
      <c r="ER298" s="208">
        <v>0</v>
      </c>
      <c r="ES298" s="208">
        <v>0</v>
      </c>
      <c r="ET298" s="208">
        <v>0</v>
      </c>
      <c r="EU298" s="208">
        <v>0</v>
      </c>
      <c r="EV298" s="208">
        <v>0</v>
      </c>
      <c r="EW298" s="208">
        <v>-234259</v>
      </c>
      <c r="EX298" s="208">
        <v>0</v>
      </c>
      <c r="EY298" s="208">
        <v>-234259</v>
      </c>
      <c r="EZ298" s="208">
        <v>3196</v>
      </c>
      <c r="FA298" s="208">
        <v>0</v>
      </c>
      <c r="FB298" s="208">
        <v>3196</v>
      </c>
      <c r="FC298" s="208">
        <v>-486203</v>
      </c>
      <c r="FD298" s="208">
        <v>0</v>
      </c>
      <c r="FE298" s="208">
        <v>-486203</v>
      </c>
      <c r="FF298" s="208">
        <v>-346981</v>
      </c>
      <c r="FG298" s="208">
        <v>0</v>
      </c>
      <c r="FH298" s="208">
        <v>-346981</v>
      </c>
      <c r="FI298" s="208">
        <v>-29011</v>
      </c>
      <c r="FJ298" s="208">
        <v>0</v>
      </c>
      <c r="FK298" s="208">
        <v>-29011</v>
      </c>
      <c r="FL298" s="208">
        <v>971</v>
      </c>
      <c r="FM298" s="208">
        <v>0</v>
      </c>
      <c r="FN298" s="208">
        <v>971</v>
      </c>
      <c r="FO298" s="208">
        <v>0</v>
      </c>
      <c r="FP298" s="208">
        <v>0</v>
      </c>
      <c r="FQ298" s="208">
        <v>0</v>
      </c>
      <c r="FR298" s="208">
        <v>0</v>
      </c>
      <c r="FS298" s="208">
        <v>0</v>
      </c>
      <c r="FT298" s="208">
        <v>0</v>
      </c>
      <c r="FU298" s="208">
        <v>-1084613</v>
      </c>
      <c r="FV298" s="208">
        <v>0</v>
      </c>
      <c r="FW298" s="208">
        <v>-1084613</v>
      </c>
      <c r="FX298" s="208">
        <v>0</v>
      </c>
      <c r="FY298" s="208">
        <v>0</v>
      </c>
      <c r="FZ298" s="208">
        <v>0</v>
      </c>
      <c r="GA298" s="208">
        <v>0</v>
      </c>
      <c r="GB298" s="208">
        <v>0</v>
      </c>
      <c r="GC298" s="208">
        <v>0</v>
      </c>
      <c r="GD298" s="208">
        <v>0</v>
      </c>
      <c r="GE298" s="208">
        <v>0</v>
      </c>
      <c r="GF298" s="208">
        <v>0</v>
      </c>
      <c r="GG298" s="208">
        <v>82730252</v>
      </c>
      <c r="GH298" s="208">
        <v>0</v>
      </c>
      <c r="GI298" s="208">
        <v>82730252</v>
      </c>
      <c r="GJ298" s="208">
        <v>-3875664</v>
      </c>
      <c r="GK298" s="208">
        <v>0</v>
      </c>
      <c r="GL298" s="208">
        <v>-3875664</v>
      </c>
      <c r="GM298" s="208">
        <v>-13438582</v>
      </c>
      <c r="GN298" s="208">
        <v>0</v>
      </c>
      <c r="GO298" s="208">
        <v>-13438582</v>
      </c>
      <c r="GP298" s="208">
        <v>-1266080</v>
      </c>
      <c r="GQ298" s="208">
        <v>0</v>
      </c>
      <c r="GR298" s="208">
        <v>-1266080</v>
      </c>
      <c r="GS298" s="208">
        <v>-475724</v>
      </c>
      <c r="GT298" s="208">
        <v>0</v>
      </c>
      <c r="GU298" s="208">
        <v>-475724</v>
      </c>
      <c r="GV298" s="208">
        <v>-1084613</v>
      </c>
      <c r="GW298" s="208">
        <v>0</v>
      </c>
      <c r="GX298" s="208">
        <v>-1084613</v>
      </c>
      <c r="GY298" s="208">
        <v>0</v>
      </c>
      <c r="GZ298" s="208">
        <v>0</v>
      </c>
      <c r="HA298" s="208">
        <v>0</v>
      </c>
      <c r="HB298" s="208">
        <v>-20140663</v>
      </c>
      <c r="HC298" s="208">
        <v>0</v>
      </c>
      <c r="HD298" s="208">
        <v>-20140663</v>
      </c>
      <c r="HE298" s="208">
        <v>62589589</v>
      </c>
      <c r="HF298" s="208">
        <v>0</v>
      </c>
      <c r="HG298" s="208">
        <v>62589589</v>
      </c>
      <c r="HH298" s="187" t="s">
        <v>1055</v>
      </c>
    </row>
    <row r="299" spans="1:216" s="187" customFormat="1" x14ac:dyDescent="0.2">
      <c r="B299" s="429" t="s">
        <v>676</v>
      </c>
      <c r="C299" s="429" t="s">
        <v>675</v>
      </c>
      <c r="D299" s="208">
        <v>-3899640</v>
      </c>
      <c r="E299" s="208">
        <v>-289295</v>
      </c>
      <c r="F299" s="208">
        <v>-4188935</v>
      </c>
      <c r="G299" s="208">
        <v>289366</v>
      </c>
      <c r="H299" s="208">
        <v>-12388</v>
      </c>
      <c r="I299" s="208">
        <v>276978</v>
      </c>
      <c r="J299" s="208">
        <v>430748</v>
      </c>
      <c r="K299" s="208">
        <v>0</v>
      </c>
      <c r="L299" s="208">
        <v>430748</v>
      </c>
      <c r="M299" s="208">
        <v>-65376</v>
      </c>
      <c r="N299" s="208">
        <v>-115</v>
      </c>
      <c r="O299" s="208">
        <v>-65491</v>
      </c>
      <c r="P299" s="208">
        <v>-3244902</v>
      </c>
      <c r="Q299" s="208">
        <v>-301798</v>
      </c>
      <c r="R299" s="208">
        <v>-3546700</v>
      </c>
      <c r="S299" s="208">
        <v>-6895795</v>
      </c>
      <c r="T299" s="208">
        <v>-204649</v>
      </c>
      <c r="U299" s="208">
        <v>-7100444</v>
      </c>
      <c r="V299" s="208">
        <v>-20170</v>
      </c>
      <c r="W299" s="208">
        <v>-2459</v>
      </c>
      <c r="X299" s="208">
        <v>-22629</v>
      </c>
      <c r="Y299" s="208">
        <v>-270780</v>
      </c>
      <c r="Z299" s="208">
        <v>-5335</v>
      </c>
      <c r="AA299" s="208">
        <v>-276115</v>
      </c>
      <c r="AB299" s="208">
        <v>-114133</v>
      </c>
      <c r="AC299" s="208">
        <v>-2160</v>
      </c>
      <c r="AD299" s="208">
        <v>-116293</v>
      </c>
      <c r="AE299" s="208">
        <v>-156647</v>
      </c>
      <c r="AF299" s="208">
        <v>-3175</v>
      </c>
      <c r="AG299" s="208">
        <v>-159822</v>
      </c>
      <c r="AH299" s="208">
        <v>0</v>
      </c>
      <c r="AI299" s="208">
        <v>0</v>
      </c>
      <c r="AJ299" s="208">
        <v>0</v>
      </c>
      <c r="AK299" s="208">
        <v>-1617</v>
      </c>
      <c r="AL299" s="208">
        <v>-1250</v>
      </c>
      <c r="AM299" s="208">
        <v>-2867</v>
      </c>
      <c r="AN299" s="208">
        <v>2627735</v>
      </c>
      <c r="AO299" s="208">
        <v>59033</v>
      </c>
      <c r="AP299" s="208">
        <v>2686768</v>
      </c>
      <c r="AQ299" s="208">
        <v>603849</v>
      </c>
      <c r="AR299" s="208">
        <v>42451</v>
      </c>
      <c r="AS299" s="208">
        <v>646300</v>
      </c>
      <c r="AT299" s="208">
        <v>-12664931</v>
      </c>
      <c r="AU299" s="208">
        <v>-568</v>
      </c>
      <c r="AV299" s="208">
        <v>-12665499</v>
      </c>
      <c r="AW299" s="208">
        <v>-1205731</v>
      </c>
      <c r="AX299" s="208">
        <v>0</v>
      </c>
      <c r="AY299" s="208">
        <v>-1205731</v>
      </c>
      <c r="AZ299" s="208">
        <v>-28390</v>
      </c>
      <c r="BA299" s="208">
        <v>0</v>
      </c>
      <c r="BB299" s="208">
        <v>-28390</v>
      </c>
      <c r="BC299" s="208">
        <v>0</v>
      </c>
      <c r="BD299" s="208">
        <v>0</v>
      </c>
      <c r="BE299" s="208">
        <v>0</v>
      </c>
      <c r="BF299" s="208">
        <v>0</v>
      </c>
      <c r="BG299" s="208">
        <v>0</v>
      </c>
      <c r="BH299" s="208">
        <v>0</v>
      </c>
      <c r="BI299" s="208">
        <v>0</v>
      </c>
      <c r="BJ299" s="208">
        <v>0</v>
      </c>
      <c r="BK299" s="208">
        <v>0</v>
      </c>
      <c r="BL299" s="208">
        <v>-17834043</v>
      </c>
      <c r="BM299" s="208">
        <v>-109068</v>
      </c>
      <c r="BN299" s="208">
        <v>-17943111</v>
      </c>
      <c r="BO299" s="208">
        <v>0</v>
      </c>
      <c r="BP299" s="208">
        <v>0</v>
      </c>
      <c r="BQ299" s="208">
        <v>0</v>
      </c>
      <c r="BR299" s="208">
        <v>-8774</v>
      </c>
      <c r="BS299" s="208">
        <v>0</v>
      </c>
      <c r="BT299" s="208">
        <v>-8774</v>
      </c>
      <c r="BU299" s="208">
        <v>-3022980</v>
      </c>
      <c r="BV299" s="208">
        <v>-335212</v>
      </c>
      <c r="BW299" s="208">
        <v>-3358192</v>
      </c>
      <c r="BX299" s="208">
        <v>-155861</v>
      </c>
      <c r="BY299" s="208">
        <v>-6914</v>
      </c>
      <c r="BZ299" s="208">
        <v>-162775</v>
      </c>
      <c r="CA299" s="208">
        <v>-3187615</v>
      </c>
      <c r="CB299" s="208">
        <v>-342126</v>
      </c>
      <c r="CC299" s="208">
        <v>-3529741</v>
      </c>
      <c r="CD299" s="208">
        <v>-274494</v>
      </c>
      <c r="CE299" s="208">
        <v>0</v>
      </c>
      <c r="CF299" s="208">
        <v>-274494</v>
      </c>
      <c r="CG299" s="208">
        <v>-42076</v>
      </c>
      <c r="CH299" s="208">
        <v>0</v>
      </c>
      <c r="CI299" s="208">
        <v>-42076</v>
      </c>
      <c r="CJ299" s="208">
        <v>-1210012</v>
      </c>
      <c r="CK299" s="208">
        <v>0</v>
      </c>
      <c r="CL299" s="208">
        <v>-1210012</v>
      </c>
      <c r="CM299" s="208">
        <v>0</v>
      </c>
      <c r="CN299" s="208">
        <v>0</v>
      </c>
      <c r="CO299" s="208">
        <v>0</v>
      </c>
      <c r="CP299" s="208">
        <v>-1459</v>
      </c>
      <c r="CQ299" s="208">
        <v>0</v>
      </c>
      <c r="CR299" s="208">
        <v>-1459</v>
      </c>
      <c r="CS299" s="208">
        <v>0</v>
      </c>
      <c r="CT299" s="208">
        <v>0</v>
      </c>
      <c r="CU299" s="208">
        <v>0</v>
      </c>
      <c r="CV299" s="208">
        <v>0</v>
      </c>
      <c r="CW299" s="208">
        <v>0</v>
      </c>
      <c r="CX299" s="208">
        <v>0</v>
      </c>
      <c r="CY299" s="208">
        <v>0</v>
      </c>
      <c r="CZ299" s="208">
        <v>0</v>
      </c>
      <c r="DA299" s="208">
        <v>0</v>
      </c>
      <c r="DB299" s="208">
        <v>0</v>
      </c>
      <c r="DC299" s="208">
        <v>0</v>
      </c>
      <c r="DD299" s="208">
        <v>0</v>
      </c>
      <c r="DE299" s="208">
        <v>0</v>
      </c>
      <c r="DF299" s="208">
        <v>0</v>
      </c>
      <c r="DG299" s="208">
        <v>0</v>
      </c>
      <c r="DH299" s="208">
        <v>0</v>
      </c>
      <c r="DI299" s="208">
        <v>0</v>
      </c>
      <c r="DJ299" s="208">
        <v>0</v>
      </c>
      <c r="DK299" s="208">
        <v>0</v>
      </c>
      <c r="DL299" s="208">
        <v>0</v>
      </c>
      <c r="DM299" s="208">
        <v>0</v>
      </c>
      <c r="DN299" s="208">
        <v>0</v>
      </c>
      <c r="DO299" s="208">
        <v>0</v>
      </c>
      <c r="DP299" s="208">
        <v>-1528041</v>
      </c>
      <c r="DQ299" s="208">
        <v>0</v>
      </c>
      <c r="DR299" s="208">
        <v>-1528041</v>
      </c>
      <c r="DS299" s="208">
        <v>0</v>
      </c>
      <c r="DT299" s="208">
        <v>0</v>
      </c>
      <c r="DU299" s="208">
        <v>0</v>
      </c>
      <c r="DV299" s="208">
        <v>0</v>
      </c>
      <c r="DW299" s="208">
        <v>0</v>
      </c>
      <c r="DX299" s="208">
        <v>0</v>
      </c>
      <c r="DY299" s="208">
        <v>0</v>
      </c>
      <c r="DZ299" s="208">
        <v>0</v>
      </c>
      <c r="EA299" s="208">
        <v>0</v>
      </c>
      <c r="EB299" s="208">
        <v>0</v>
      </c>
      <c r="EC299" s="208">
        <v>0</v>
      </c>
      <c r="ED299" s="208">
        <v>0</v>
      </c>
      <c r="EE299" s="208">
        <v>0</v>
      </c>
      <c r="EF299" s="208">
        <v>0</v>
      </c>
      <c r="EG299" s="208">
        <v>0</v>
      </c>
      <c r="EH299" s="208">
        <v>0</v>
      </c>
      <c r="EI299" s="208">
        <v>0</v>
      </c>
      <c r="EJ299" s="208">
        <v>0</v>
      </c>
      <c r="EK299" s="208">
        <v>0</v>
      </c>
      <c r="EL299" s="208">
        <v>0</v>
      </c>
      <c r="EM299" s="208">
        <v>0</v>
      </c>
      <c r="EN299" s="208">
        <v>0</v>
      </c>
      <c r="EO299" s="208">
        <v>0</v>
      </c>
      <c r="EP299" s="208">
        <v>0</v>
      </c>
      <c r="EQ299" s="208">
        <v>0</v>
      </c>
      <c r="ER299" s="208">
        <v>0</v>
      </c>
      <c r="ES299" s="208">
        <v>0</v>
      </c>
      <c r="ET299" s="208">
        <v>0</v>
      </c>
      <c r="EU299" s="208">
        <v>0</v>
      </c>
      <c r="EV299" s="208">
        <v>0</v>
      </c>
      <c r="EW299" s="208">
        <v>-83837</v>
      </c>
      <c r="EX299" s="208">
        <v>-2384</v>
      </c>
      <c r="EY299" s="208">
        <v>-86221</v>
      </c>
      <c r="EZ299" s="208">
        <v>1299</v>
      </c>
      <c r="FA299" s="208">
        <v>0</v>
      </c>
      <c r="FB299" s="208">
        <v>1299</v>
      </c>
      <c r="FC299" s="208">
        <v>-658494</v>
      </c>
      <c r="FD299" s="208">
        <v>-10765</v>
      </c>
      <c r="FE299" s="208">
        <v>-669259</v>
      </c>
      <c r="FF299" s="208">
        <v>6089</v>
      </c>
      <c r="FG299" s="208">
        <v>622</v>
      </c>
      <c r="FH299" s="208">
        <v>6711</v>
      </c>
      <c r="FI299" s="208">
        <v>-45000</v>
      </c>
      <c r="FJ299" s="208">
        <v>0</v>
      </c>
      <c r="FK299" s="208">
        <v>-45000</v>
      </c>
      <c r="FL299" s="208">
        <v>-1000</v>
      </c>
      <c r="FM299" s="208">
        <v>0</v>
      </c>
      <c r="FN299" s="208">
        <v>-1000</v>
      </c>
      <c r="FO299" s="208">
        <v>0</v>
      </c>
      <c r="FP299" s="208">
        <v>0</v>
      </c>
      <c r="FQ299" s="208">
        <v>0</v>
      </c>
      <c r="FR299" s="208">
        <v>0</v>
      </c>
      <c r="FS299" s="208">
        <v>0</v>
      </c>
      <c r="FT299" s="208">
        <v>0</v>
      </c>
      <c r="FU299" s="208">
        <v>-780943</v>
      </c>
      <c r="FV299" s="208">
        <v>-12527</v>
      </c>
      <c r="FW299" s="208">
        <v>-793470</v>
      </c>
      <c r="FX299" s="208">
        <v>0</v>
      </c>
      <c r="FY299" s="208">
        <v>0</v>
      </c>
      <c r="FZ299" s="208">
        <v>0</v>
      </c>
      <c r="GA299" s="208">
        <v>0</v>
      </c>
      <c r="GB299" s="208">
        <v>0</v>
      </c>
      <c r="GC299" s="208">
        <v>0</v>
      </c>
      <c r="GD299" s="208">
        <v>0</v>
      </c>
      <c r="GE299" s="208">
        <v>0</v>
      </c>
      <c r="GF299" s="208">
        <v>0</v>
      </c>
      <c r="GG299" s="208">
        <v>137413063</v>
      </c>
      <c r="GH299" s="208">
        <v>5379695</v>
      </c>
      <c r="GI299" s="208">
        <v>142792758</v>
      </c>
      <c r="GJ299" s="208">
        <v>-3244902</v>
      </c>
      <c r="GK299" s="208">
        <v>-301798</v>
      </c>
      <c r="GL299" s="208">
        <v>-3546700</v>
      </c>
      <c r="GM299" s="208">
        <v>-17834043</v>
      </c>
      <c r="GN299" s="208">
        <v>-109068</v>
      </c>
      <c r="GO299" s="208">
        <v>-17943111</v>
      </c>
      <c r="GP299" s="208">
        <v>-3187615</v>
      </c>
      <c r="GQ299" s="208">
        <v>-342126</v>
      </c>
      <c r="GR299" s="208">
        <v>-3529741</v>
      </c>
      <c r="GS299" s="208">
        <v>-1528041</v>
      </c>
      <c r="GT299" s="208">
        <v>0</v>
      </c>
      <c r="GU299" s="208">
        <v>-1528041</v>
      </c>
      <c r="GV299" s="208">
        <v>-780943</v>
      </c>
      <c r="GW299" s="208">
        <v>-12527</v>
      </c>
      <c r="GX299" s="208">
        <v>-793470</v>
      </c>
      <c r="GY299" s="208">
        <v>0</v>
      </c>
      <c r="GZ299" s="208">
        <v>0</v>
      </c>
      <c r="HA299" s="208">
        <v>0</v>
      </c>
      <c r="HB299" s="208">
        <v>-26575544</v>
      </c>
      <c r="HC299" s="208">
        <v>-765519</v>
      </c>
      <c r="HD299" s="208">
        <v>-27341063</v>
      </c>
      <c r="HE299" s="208">
        <v>110837519</v>
      </c>
      <c r="HF299" s="208">
        <v>4614176</v>
      </c>
      <c r="HG299" s="208">
        <v>115451695</v>
      </c>
      <c r="HH299" s="187" t="s">
        <v>1057</v>
      </c>
    </row>
    <row r="300" spans="1:216" s="187" customFormat="1" x14ac:dyDescent="0.2">
      <c r="B300" s="429" t="s">
        <v>678</v>
      </c>
      <c r="C300" s="429" t="s">
        <v>677</v>
      </c>
      <c r="D300" s="208">
        <v>-1391025</v>
      </c>
      <c r="E300" s="208">
        <v>0</v>
      </c>
      <c r="F300" s="208">
        <v>-1391025</v>
      </c>
      <c r="G300" s="208">
        <v>264056</v>
      </c>
      <c r="H300" s="208">
        <v>0</v>
      </c>
      <c r="I300" s="208">
        <v>264056</v>
      </c>
      <c r="J300" s="208">
        <v>7660171</v>
      </c>
      <c r="K300" s="208">
        <v>56976</v>
      </c>
      <c r="L300" s="208">
        <v>7717147</v>
      </c>
      <c r="M300" s="208">
        <v>-220801</v>
      </c>
      <c r="N300" s="208">
        <v>-42558</v>
      </c>
      <c r="O300" s="208">
        <v>-263359</v>
      </c>
      <c r="P300" s="208">
        <v>6312401</v>
      </c>
      <c r="Q300" s="208">
        <v>14418</v>
      </c>
      <c r="R300" s="208">
        <v>6326819</v>
      </c>
      <c r="S300" s="208">
        <v>-5857020</v>
      </c>
      <c r="T300" s="208">
        <v>-8429</v>
      </c>
      <c r="U300" s="208">
        <v>-5865449</v>
      </c>
      <c r="V300" s="208">
        <v>0</v>
      </c>
      <c r="W300" s="208">
        <v>0</v>
      </c>
      <c r="X300" s="208">
        <v>0</v>
      </c>
      <c r="Y300" s="208">
        <v>-441723</v>
      </c>
      <c r="Z300" s="208">
        <v>-782</v>
      </c>
      <c r="AA300" s="208">
        <v>-442505</v>
      </c>
      <c r="AB300" s="208">
        <v>-130680</v>
      </c>
      <c r="AC300" s="208">
        <v>-168</v>
      </c>
      <c r="AD300" s="208">
        <v>-130848</v>
      </c>
      <c r="AE300" s="208">
        <v>-291447</v>
      </c>
      <c r="AF300" s="208">
        <v>-613</v>
      </c>
      <c r="AG300" s="208">
        <v>-292060</v>
      </c>
      <c r="AH300" s="208">
        <v>0</v>
      </c>
      <c r="AI300" s="208">
        <v>0</v>
      </c>
      <c r="AJ300" s="208">
        <v>0</v>
      </c>
      <c r="AK300" s="208">
        <v>0</v>
      </c>
      <c r="AL300" s="208">
        <v>0</v>
      </c>
      <c r="AM300" s="208">
        <v>0</v>
      </c>
      <c r="AN300" s="208">
        <v>2438984</v>
      </c>
      <c r="AO300" s="208">
        <v>26837</v>
      </c>
      <c r="AP300" s="208">
        <v>2465821</v>
      </c>
      <c r="AQ300" s="208">
        <v>8264</v>
      </c>
      <c r="AR300" s="208">
        <v>-3035</v>
      </c>
      <c r="AS300" s="208">
        <v>5229</v>
      </c>
      <c r="AT300" s="208">
        <v>-4636133</v>
      </c>
      <c r="AU300" s="208">
        <v>0</v>
      </c>
      <c r="AV300" s="208">
        <v>-4636133</v>
      </c>
      <c r="AW300" s="208">
        <v>-192425</v>
      </c>
      <c r="AX300" s="208">
        <v>0</v>
      </c>
      <c r="AY300" s="208">
        <v>-192425</v>
      </c>
      <c r="AZ300" s="208">
        <v>-43246</v>
      </c>
      <c r="BA300" s="208">
        <v>0</v>
      </c>
      <c r="BB300" s="208">
        <v>-43246</v>
      </c>
      <c r="BC300" s="208">
        <v>6497</v>
      </c>
      <c r="BD300" s="208">
        <v>0</v>
      </c>
      <c r="BE300" s="208">
        <v>6497</v>
      </c>
      <c r="BF300" s="208">
        <v>0</v>
      </c>
      <c r="BG300" s="208">
        <v>0</v>
      </c>
      <c r="BH300" s="208">
        <v>0</v>
      </c>
      <c r="BI300" s="208">
        <v>0</v>
      </c>
      <c r="BJ300" s="208">
        <v>0</v>
      </c>
      <c r="BK300" s="208">
        <v>0</v>
      </c>
      <c r="BL300" s="208">
        <v>-8716802</v>
      </c>
      <c r="BM300" s="208">
        <v>14591</v>
      </c>
      <c r="BN300" s="208">
        <v>-8702211</v>
      </c>
      <c r="BO300" s="208">
        <v>-48294</v>
      </c>
      <c r="BP300" s="208">
        <v>0</v>
      </c>
      <c r="BQ300" s="208">
        <v>-48294</v>
      </c>
      <c r="BR300" s="208">
        <v>-67272</v>
      </c>
      <c r="BS300" s="208">
        <v>0</v>
      </c>
      <c r="BT300" s="208">
        <v>-67272</v>
      </c>
      <c r="BU300" s="208">
        <v>-4939701</v>
      </c>
      <c r="BV300" s="208">
        <v>-20717</v>
      </c>
      <c r="BW300" s="208">
        <v>-4960418</v>
      </c>
      <c r="BX300" s="208">
        <v>-746323</v>
      </c>
      <c r="BY300" s="208">
        <v>96104</v>
      </c>
      <c r="BZ300" s="208">
        <v>-650219</v>
      </c>
      <c r="CA300" s="208">
        <v>-5801590</v>
      </c>
      <c r="CB300" s="208">
        <v>75387</v>
      </c>
      <c r="CC300" s="208">
        <v>-5726203</v>
      </c>
      <c r="CD300" s="208">
        <v>-156179</v>
      </c>
      <c r="CE300" s="208">
        <v>0</v>
      </c>
      <c r="CF300" s="208">
        <v>-156179</v>
      </c>
      <c r="CG300" s="208">
        <v>-987</v>
      </c>
      <c r="CH300" s="208">
        <v>0</v>
      </c>
      <c r="CI300" s="208">
        <v>-987</v>
      </c>
      <c r="CJ300" s="208">
        <v>-776259</v>
      </c>
      <c r="CK300" s="208">
        <v>0</v>
      </c>
      <c r="CL300" s="208">
        <v>-776259</v>
      </c>
      <c r="CM300" s="208">
        <v>20005</v>
      </c>
      <c r="CN300" s="208">
        <v>0</v>
      </c>
      <c r="CO300" s="208">
        <v>20005</v>
      </c>
      <c r="CP300" s="208">
        <v>-3776</v>
      </c>
      <c r="CQ300" s="208">
        <v>0</v>
      </c>
      <c r="CR300" s="208">
        <v>-3776</v>
      </c>
      <c r="CS300" s="208">
        <v>1624</v>
      </c>
      <c r="CT300" s="208">
        <v>0</v>
      </c>
      <c r="CU300" s="208">
        <v>1624</v>
      </c>
      <c r="CV300" s="208">
        <v>0</v>
      </c>
      <c r="CW300" s="208">
        <v>0</v>
      </c>
      <c r="CX300" s="208">
        <v>0</v>
      </c>
      <c r="CY300" s="208">
        <v>0</v>
      </c>
      <c r="CZ300" s="208">
        <v>0</v>
      </c>
      <c r="DA300" s="208">
        <v>0</v>
      </c>
      <c r="DB300" s="208">
        <v>-4050</v>
      </c>
      <c r="DC300" s="208">
        <v>0</v>
      </c>
      <c r="DD300" s="208">
        <v>-4050</v>
      </c>
      <c r="DE300" s="208">
        <v>0</v>
      </c>
      <c r="DF300" s="208">
        <v>0</v>
      </c>
      <c r="DG300" s="208">
        <v>0</v>
      </c>
      <c r="DH300" s="208">
        <v>0</v>
      </c>
      <c r="DI300" s="208">
        <v>-250858</v>
      </c>
      <c r="DJ300" s="208">
        <v>-250858</v>
      </c>
      <c r="DK300" s="208">
        <v>0</v>
      </c>
      <c r="DL300" s="208">
        <v>0</v>
      </c>
      <c r="DM300" s="208">
        <v>0</v>
      </c>
      <c r="DN300" s="208">
        <v>-250858</v>
      </c>
      <c r="DO300" s="208">
        <v>0</v>
      </c>
      <c r="DP300" s="208">
        <v>-919622</v>
      </c>
      <c r="DQ300" s="208">
        <v>-250858</v>
      </c>
      <c r="DR300" s="208">
        <v>-1170480</v>
      </c>
      <c r="DS300" s="208">
        <v>905</v>
      </c>
      <c r="DT300" s="208">
        <v>0</v>
      </c>
      <c r="DU300" s="208">
        <v>905</v>
      </c>
      <c r="DV300" s="208">
        <v>0</v>
      </c>
      <c r="DW300" s="208">
        <v>0</v>
      </c>
      <c r="DX300" s="208">
        <v>0</v>
      </c>
      <c r="DY300" s="208">
        <v>0</v>
      </c>
      <c r="DZ300" s="208">
        <v>0</v>
      </c>
      <c r="EA300" s="208">
        <v>0</v>
      </c>
      <c r="EB300" s="208">
        <v>0</v>
      </c>
      <c r="EC300" s="208">
        <v>0</v>
      </c>
      <c r="ED300" s="208">
        <v>0</v>
      </c>
      <c r="EE300" s="208">
        <v>0</v>
      </c>
      <c r="EF300" s="208">
        <v>0</v>
      </c>
      <c r="EG300" s="208">
        <v>0</v>
      </c>
      <c r="EH300" s="208">
        <v>0</v>
      </c>
      <c r="EI300" s="208">
        <v>0</v>
      </c>
      <c r="EJ300" s="208">
        <v>0</v>
      </c>
      <c r="EK300" s="208">
        <v>-4084</v>
      </c>
      <c r="EL300" s="208">
        <v>0</v>
      </c>
      <c r="EM300" s="208">
        <v>-4084</v>
      </c>
      <c r="EN300" s="208">
        <v>0</v>
      </c>
      <c r="EO300" s="208">
        <v>0</v>
      </c>
      <c r="EP300" s="208">
        <v>0</v>
      </c>
      <c r="EQ300" s="208">
        <v>0</v>
      </c>
      <c r="ER300" s="208">
        <v>0</v>
      </c>
      <c r="ES300" s="208">
        <v>0</v>
      </c>
      <c r="ET300" s="208">
        <v>0</v>
      </c>
      <c r="EU300" s="208">
        <v>0</v>
      </c>
      <c r="EV300" s="208">
        <v>0</v>
      </c>
      <c r="EW300" s="208">
        <v>-45877</v>
      </c>
      <c r="EX300" s="208">
        <v>0</v>
      </c>
      <c r="EY300" s="208">
        <v>-45877</v>
      </c>
      <c r="EZ300" s="208">
        <v>-659</v>
      </c>
      <c r="FA300" s="208">
        <v>0</v>
      </c>
      <c r="FB300" s="208">
        <v>-659</v>
      </c>
      <c r="FC300" s="208">
        <v>-142569</v>
      </c>
      <c r="FD300" s="208">
        <v>-975</v>
      </c>
      <c r="FE300" s="208">
        <v>-143544</v>
      </c>
      <c r="FF300" s="208">
        <v>14627</v>
      </c>
      <c r="FG300" s="208">
        <v>0</v>
      </c>
      <c r="FH300" s="208">
        <v>14627</v>
      </c>
      <c r="FI300" s="208">
        <v>-80831</v>
      </c>
      <c r="FJ300" s="208">
        <v>0</v>
      </c>
      <c r="FK300" s="208">
        <v>-80831</v>
      </c>
      <c r="FL300" s="208">
        <v>2384</v>
      </c>
      <c r="FM300" s="208">
        <v>0</v>
      </c>
      <c r="FN300" s="208">
        <v>2384</v>
      </c>
      <c r="FO300" s="208">
        <v>0</v>
      </c>
      <c r="FP300" s="208">
        <v>0</v>
      </c>
      <c r="FQ300" s="208">
        <v>0</v>
      </c>
      <c r="FR300" s="208">
        <v>0</v>
      </c>
      <c r="FS300" s="208">
        <v>0</v>
      </c>
      <c r="FT300" s="208">
        <v>0</v>
      </c>
      <c r="FU300" s="208">
        <v>-256104</v>
      </c>
      <c r="FV300" s="208">
        <v>-975</v>
      </c>
      <c r="FW300" s="208">
        <v>-257079</v>
      </c>
      <c r="FX300" s="208">
        <v>0</v>
      </c>
      <c r="FY300" s="208">
        <v>0</v>
      </c>
      <c r="FZ300" s="208">
        <v>0</v>
      </c>
      <c r="GA300" s="208">
        <v>-6757</v>
      </c>
      <c r="GB300" s="208">
        <v>0</v>
      </c>
      <c r="GC300" s="208">
        <v>-6757</v>
      </c>
      <c r="GD300" s="208">
        <v>-6757</v>
      </c>
      <c r="GE300" s="208">
        <v>0</v>
      </c>
      <c r="GF300" s="208">
        <v>-6757</v>
      </c>
      <c r="GG300" s="208">
        <v>117626797</v>
      </c>
      <c r="GH300" s="208">
        <v>1111099</v>
      </c>
      <c r="GI300" s="208">
        <v>118737896</v>
      </c>
      <c r="GJ300" s="208">
        <v>6312401</v>
      </c>
      <c r="GK300" s="208">
        <v>14418</v>
      </c>
      <c r="GL300" s="208">
        <v>6326819</v>
      </c>
      <c r="GM300" s="208">
        <v>-8716802</v>
      </c>
      <c r="GN300" s="208">
        <v>14591</v>
      </c>
      <c r="GO300" s="208">
        <v>-8702211</v>
      </c>
      <c r="GP300" s="208">
        <v>-5801590</v>
      </c>
      <c r="GQ300" s="208">
        <v>75387</v>
      </c>
      <c r="GR300" s="208">
        <v>-5726203</v>
      </c>
      <c r="GS300" s="208">
        <v>-919622</v>
      </c>
      <c r="GT300" s="208">
        <v>-250858</v>
      </c>
      <c r="GU300" s="208">
        <v>-1170480</v>
      </c>
      <c r="GV300" s="208">
        <v>-256104</v>
      </c>
      <c r="GW300" s="208">
        <v>-975</v>
      </c>
      <c r="GX300" s="208">
        <v>-257079</v>
      </c>
      <c r="GY300" s="208">
        <v>-6757</v>
      </c>
      <c r="GZ300" s="208">
        <v>0</v>
      </c>
      <c r="HA300" s="208">
        <v>-6757</v>
      </c>
      <c r="HB300" s="208">
        <v>-9388474</v>
      </c>
      <c r="HC300" s="208">
        <v>-147437</v>
      </c>
      <c r="HD300" s="208">
        <v>-9535911</v>
      </c>
      <c r="HE300" s="208">
        <v>108238323</v>
      </c>
      <c r="HF300" s="208">
        <v>963662</v>
      </c>
      <c r="HG300" s="208">
        <v>109201985</v>
      </c>
      <c r="HH300" s="187" t="s">
        <v>742</v>
      </c>
    </row>
    <row r="301" spans="1:216" s="187" customFormat="1" x14ac:dyDescent="0.2">
      <c r="B301" s="429" t="s">
        <v>680</v>
      </c>
      <c r="C301" s="429" t="s">
        <v>679</v>
      </c>
      <c r="D301" s="208">
        <v>-1281627</v>
      </c>
      <c r="E301" s="208">
        <v>0</v>
      </c>
      <c r="F301" s="208">
        <v>-1281627</v>
      </c>
      <c r="G301" s="208">
        <v>-71322</v>
      </c>
      <c r="H301" s="208">
        <v>0</v>
      </c>
      <c r="I301" s="208">
        <v>-71322</v>
      </c>
      <c r="J301" s="208">
        <v>1621953</v>
      </c>
      <c r="K301" s="208">
        <v>0</v>
      </c>
      <c r="L301" s="208">
        <v>1621953</v>
      </c>
      <c r="M301" s="208">
        <v>93954</v>
      </c>
      <c r="N301" s="208">
        <v>0</v>
      </c>
      <c r="O301" s="208">
        <v>93954</v>
      </c>
      <c r="P301" s="208">
        <v>362958</v>
      </c>
      <c r="Q301" s="208">
        <v>0</v>
      </c>
      <c r="R301" s="208">
        <v>362958</v>
      </c>
      <c r="S301" s="208">
        <v>-5241677</v>
      </c>
      <c r="T301" s="208">
        <v>0</v>
      </c>
      <c r="U301" s="208">
        <v>-5241677</v>
      </c>
      <c r="V301" s="208">
        <v>0</v>
      </c>
      <c r="W301" s="208">
        <v>0</v>
      </c>
      <c r="X301" s="208">
        <v>0</v>
      </c>
      <c r="Y301" s="208">
        <v>-244363</v>
      </c>
      <c r="Z301" s="208">
        <v>0</v>
      </c>
      <c r="AA301" s="208">
        <v>-244363</v>
      </c>
      <c r="AB301" s="208">
        <v>-61091</v>
      </c>
      <c r="AC301" s="208">
        <v>0</v>
      </c>
      <c r="AD301" s="208">
        <v>-61091</v>
      </c>
      <c r="AE301" s="208">
        <v>-183272</v>
      </c>
      <c r="AF301" s="208">
        <v>0</v>
      </c>
      <c r="AG301" s="208">
        <v>-183272</v>
      </c>
      <c r="AH301" s="208">
        <v>0</v>
      </c>
      <c r="AI301" s="208">
        <v>0</v>
      </c>
      <c r="AJ301" s="208">
        <v>0</v>
      </c>
      <c r="AK301" s="208">
        <v>0</v>
      </c>
      <c r="AL301" s="208">
        <v>0</v>
      </c>
      <c r="AM301" s="208">
        <v>0</v>
      </c>
      <c r="AN301" s="208">
        <v>1643730</v>
      </c>
      <c r="AO301" s="208">
        <v>0</v>
      </c>
      <c r="AP301" s="208">
        <v>1643730</v>
      </c>
      <c r="AQ301" s="208">
        <v>77</v>
      </c>
      <c r="AR301" s="208">
        <v>0</v>
      </c>
      <c r="AS301" s="208">
        <v>77</v>
      </c>
      <c r="AT301" s="208">
        <v>-4836581</v>
      </c>
      <c r="AU301" s="208">
        <v>0</v>
      </c>
      <c r="AV301" s="208">
        <v>-4836581</v>
      </c>
      <c r="AW301" s="208">
        <v>-453160</v>
      </c>
      <c r="AX301" s="208">
        <v>0</v>
      </c>
      <c r="AY301" s="208">
        <v>-453160</v>
      </c>
      <c r="AZ301" s="208">
        <v>-61728</v>
      </c>
      <c r="BA301" s="208">
        <v>0</v>
      </c>
      <c r="BB301" s="208">
        <v>-61728</v>
      </c>
      <c r="BC301" s="208">
        <v>0</v>
      </c>
      <c r="BD301" s="208">
        <v>0</v>
      </c>
      <c r="BE301" s="208">
        <v>0</v>
      </c>
      <c r="BF301" s="208">
        <v>-7814</v>
      </c>
      <c r="BG301" s="208">
        <v>0</v>
      </c>
      <c r="BH301" s="208">
        <v>-7814</v>
      </c>
      <c r="BI301" s="208">
        <v>0</v>
      </c>
      <c r="BJ301" s="208">
        <v>0</v>
      </c>
      <c r="BK301" s="208">
        <v>0</v>
      </c>
      <c r="BL301" s="208">
        <v>-9201516</v>
      </c>
      <c r="BM301" s="208">
        <v>0</v>
      </c>
      <c r="BN301" s="208">
        <v>-9201516</v>
      </c>
      <c r="BO301" s="208">
        <v>-47588</v>
      </c>
      <c r="BP301" s="208">
        <v>0</v>
      </c>
      <c r="BQ301" s="208">
        <v>-47588</v>
      </c>
      <c r="BR301" s="208">
        <v>-39031</v>
      </c>
      <c r="BS301" s="208">
        <v>0</v>
      </c>
      <c r="BT301" s="208">
        <v>-39031</v>
      </c>
      <c r="BU301" s="208">
        <v>-1987033</v>
      </c>
      <c r="BV301" s="208">
        <v>0</v>
      </c>
      <c r="BW301" s="208">
        <v>-1987033</v>
      </c>
      <c r="BX301" s="208">
        <v>-199828</v>
      </c>
      <c r="BY301" s="208">
        <v>0</v>
      </c>
      <c r="BZ301" s="208">
        <v>-199828</v>
      </c>
      <c r="CA301" s="208">
        <v>-2273480</v>
      </c>
      <c r="CB301" s="208">
        <v>0</v>
      </c>
      <c r="CC301" s="208">
        <v>-2273480</v>
      </c>
      <c r="CD301" s="208">
        <v>-7823</v>
      </c>
      <c r="CE301" s="208">
        <v>0</v>
      </c>
      <c r="CF301" s="208">
        <v>-7823</v>
      </c>
      <c r="CG301" s="208">
        <v>0</v>
      </c>
      <c r="CH301" s="208">
        <v>0</v>
      </c>
      <c r="CI301" s="208">
        <v>0</v>
      </c>
      <c r="CJ301" s="208">
        <v>-60122</v>
      </c>
      <c r="CK301" s="208">
        <v>0</v>
      </c>
      <c r="CL301" s="208">
        <v>-60122</v>
      </c>
      <c r="CM301" s="208">
        <v>927</v>
      </c>
      <c r="CN301" s="208">
        <v>0</v>
      </c>
      <c r="CO301" s="208">
        <v>927</v>
      </c>
      <c r="CP301" s="208">
        <v>0</v>
      </c>
      <c r="CQ301" s="208">
        <v>0</v>
      </c>
      <c r="CR301" s="208">
        <v>0</v>
      </c>
      <c r="CS301" s="208">
        <v>0</v>
      </c>
      <c r="CT301" s="208">
        <v>0</v>
      </c>
      <c r="CU301" s="208">
        <v>0</v>
      </c>
      <c r="CV301" s="208">
        <v>-3731</v>
      </c>
      <c r="CW301" s="208">
        <v>0</v>
      </c>
      <c r="CX301" s="208">
        <v>-3731</v>
      </c>
      <c r="CY301" s="208">
        <v>0</v>
      </c>
      <c r="CZ301" s="208">
        <v>0</v>
      </c>
      <c r="DA301" s="208">
        <v>0</v>
      </c>
      <c r="DB301" s="208">
        <v>0</v>
      </c>
      <c r="DC301" s="208">
        <v>0</v>
      </c>
      <c r="DD301" s="208">
        <v>0</v>
      </c>
      <c r="DE301" s="208">
        <v>0</v>
      </c>
      <c r="DF301" s="208">
        <v>0</v>
      </c>
      <c r="DG301" s="208">
        <v>0</v>
      </c>
      <c r="DH301" s="208">
        <v>0</v>
      </c>
      <c r="DI301" s="208">
        <v>0</v>
      </c>
      <c r="DJ301" s="208">
        <v>0</v>
      </c>
      <c r="DK301" s="208">
        <v>0</v>
      </c>
      <c r="DL301" s="208">
        <v>0</v>
      </c>
      <c r="DM301" s="208">
        <v>0</v>
      </c>
      <c r="DN301" s="208">
        <v>0</v>
      </c>
      <c r="DO301" s="208">
        <v>0</v>
      </c>
      <c r="DP301" s="208">
        <v>-70749</v>
      </c>
      <c r="DQ301" s="208">
        <v>0</v>
      </c>
      <c r="DR301" s="208">
        <v>-70749</v>
      </c>
      <c r="DS301" s="208">
        <v>0</v>
      </c>
      <c r="DT301" s="208">
        <v>0</v>
      </c>
      <c r="DU301" s="208">
        <v>0</v>
      </c>
      <c r="DV301" s="208">
        <v>0</v>
      </c>
      <c r="DW301" s="208">
        <v>0</v>
      </c>
      <c r="DX301" s="208">
        <v>0</v>
      </c>
      <c r="DY301" s="208">
        <v>0</v>
      </c>
      <c r="DZ301" s="208">
        <v>0</v>
      </c>
      <c r="EA301" s="208">
        <v>0</v>
      </c>
      <c r="EB301" s="208">
        <v>0</v>
      </c>
      <c r="EC301" s="208">
        <v>0</v>
      </c>
      <c r="ED301" s="208">
        <v>0</v>
      </c>
      <c r="EE301" s="208">
        <v>0</v>
      </c>
      <c r="EF301" s="208">
        <v>0</v>
      </c>
      <c r="EG301" s="208">
        <v>0</v>
      </c>
      <c r="EH301" s="208">
        <v>70</v>
      </c>
      <c r="EI301" s="208">
        <v>0</v>
      </c>
      <c r="EJ301" s="208">
        <v>70</v>
      </c>
      <c r="EK301" s="208">
        <v>-7814</v>
      </c>
      <c r="EL301" s="208">
        <v>0</v>
      </c>
      <c r="EM301" s="208">
        <v>-7814</v>
      </c>
      <c r="EN301" s="208">
        <v>0</v>
      </c>
      <c r="EO301" s="208">
        <v>0</v>
      </c>
      <c r="EP301" s="208">
        <v>0</v>
      </c>
      <c r="EQ301" s="208">
        <v>-1500</v>
      </c>
      <c r="ER301" s="208">
        <v>0</v>
      </c>
      <c r="ES301" s="208">
        <v>-1500</v>
      </c>
      <c r="ET301" s="208">
        <v>0</v>
      </c>
      <c r="EU301" s="208">
        <v>0</v>
      </c>
      <c r="EV301" s="208">
        <v>0</v>
      </c>
      <c r="EW301" s="208">
        <v>-17080</v>
      </c>
      <c r="EX301" s="208">
        <v>0</v>
      </c>
      <c r="EY301" s="208">
        <v>-17080</v>
      </c>
      <c r="EZ301" s="208">
        <v>405</v>
      </c>
      <c r="FA301" s="208">
        <v>0</v>
      </c>
      <c r="FB301" s="208">
        <v>405</v>
      </c>
      <c r="FC301" s="208">
        <v>-119434</v>
      </c>
      <c r="FD301" s="208">
        <v>0</v>
      </c>
      <c r="FE301" s="208">
        <v>-119434</v>
      </c>
      <c r="FF301" s="208">
        <v>6424</v>
      </c>
      <c r="FG301" s="208">
        <v>0</v>
      </c>
      <c r="FH301" s="208">
        <v>6424</v>
      </c>
      <c r="FI301" s="208">
        <v>-71970</v>
      </c>
      <c r="FJ301" s="208">
        <v>0</v>
      </c>
      <c r="FK301" s="208">
        <v>-71970</v>
      </c>
      <c r="FL301" s="208">
        <v>-403</v>
      </c>
      <c r="FM301" s="208">
        <v>0</v>
      </c>
      <c r="FN301" s="208">
        <v>-403</v>
      </c>
      <c r="FO301" s="208">
        <v>0</v>
      </c>
      <c r="FP301" s="208">
        <v>0</v>
      </c>
      <c r="FQ301" s="208">
        <v>0</v>
      </c>
      <c r="FR301" s="208">
        <v>0</v>
      </c>
      <c r="FS301" s="208">
        <v>0</v>
      </c>
      <c r="FT301" s="208">
        <v>0</v>
      </c>
      <c r="FU301" s="208">
        <v>-211302</v>
      </c>
      <c r="FV301" s="208">
        <v>0</v>
      </c>
      <c r="FW301" s="208">
        <v>-211302</v>
      </c>
      <c r="FX301" s="208">
        <v>0</v>
      </c>
      <c r="FY301" s="208">
        <v>0</v>
      </c>
      <c r="FZ301" s="208">
        <v>0</v>
      </c>
      <c r="GA301" s="208">
        <v>0</v>
      </c>
      <c r="GB301" s="208">
        <v>0</v>
      </c>
      <c r="GC301" s="208">
        <v>0</v>
      </c>
      <c r="GD301" s="208">
        <v>0</v>
      </c>
      <c r="GE301" s="208">
        <v>0</v>
      </c>
      <c r="GF301" s="208">
        <v>0</v>
      </c>
      <c r="GG301" s="208">
        <v>82910070</v>
      </c>
      <c r="GH301" s="208">
        <v>0</v>
      </c>
      <c r="GI301" s="208">
        <v>82910070</v>
      </c>
      <c r="GJ301" s="208">
        <v>362958</v>
      </c>
      <c r="GK301" s="208">
        <v>0</v>
      </c>
      <c r="GL301" s="208">
        <v>362958</v>
      </c>
      <c r="GM301" s="208">
        <v>-9201516</v>
      </c>
      <c r="GN301" s="208">
        <v>0</v>
      </c>
      <c r="GO301" s="208">
        <v>-9201516</v>
      </c>
      <c r="GP301" s="208">
        <v>-2273480</v>
      </c>
      <c r="GQ301" s="208">
        <v>0</v>
      </c>
      <c r="GR301" s="208">
        <v>-2273480</v>
      </c>
      <c r="GS301" s="208">
        <v>-70749</v>
      </c>
      <c r="GT301" s="208">
        <v>0</v>
      </c>
      <c r="GU301" s="208">
        <v>-70749</v>
      </c>
      <c r="GV301" s="208">
        <v>-211302</v>
      </c>
      <c r="GW301" s="208">
        <v>0</v>
      </c>
      <c r="GX301" s="208">
        <v>-211302</v>
      </c>
      <c r="GY301" s="208">
        <v>0</v>
      </c>
      <c r="GZ301" s="208">
        <v>0</v>
      </c>
      <c r="HA301" s="208">
        <v>0</v>
      </c>
      <c r="HB301" s="208">
        <v>-11394089</v>
      </c>
      <c r="HC301" s="208">
        <v>0</v>
      </c>
      <c r="HD301" s="208">
        <v>-11394089</v>
      </c>
      <c r="HE301" s="208">
        <v>71515981</v>
      </c>
      <c r="HF301" s="208">
        <v>0</v>
      </c>
      <c r="HG301" s="208">
        <v>71515981</v>
      </c>
      <c r="HH301" s="187" t="s">
        <v>1054</v>
      </c>
    </row>
    <row r="302" spans="1:216" s="187" customFormat="1" x14ac:dyDescent="0.2">
      <c r="B302" s="429" t="s">
        <v>682</v>
      </c>
      <c r="C302" s="429" t="s">
        <v>681</v>
      </c>
      <c r="D302" s="208">
        <v>-1082060</v>
      </c>
      <c r="E302" s="208">
        <v>0</v>
      </c>
      <c r="F302" s="208">
        <v>-1082060</v>
      </c>
      <c r="G302" s="208">
        <v>-41054</v>
      </c>
      <c r="H302" s="208">
        <v>0</v>
      </c>
      <c r="I302" s="208">
        <v>-41054</v>
      </c>
      <c r="J302" s="208">
        <v>4143055</v>
      </c>
      <c r="K302" s="208">
        <v>0</v>
      </c>
      <c r="L302" s="208">
        <v>4143055</v>
      </c>
      <c r="M302" s="208">
        <v>-15392</v>
      </c>
      <c r="N302" s="208">
        <v>0</v>
      </c>
      <c r="O302" s="208">
        <v>-15392</v>
      </c>
      <c r="P302" s="208">
        <v>3004549</v>
      </c>
      <c r="Q302" s="208">
        <v>0</v>
      </c>
      <c r="R302" s="208">
        <v>3004549</v>
      </c>
      <c r="S302" s="208">
        <v>-2703670</v>
      </c>
      <c r="T302" s="208">
        <v>0</v>
      </c>
      <c r="U302" s="208">
        <v>-2703670</v>
      </c>
      <c r="V302" s="208">
        <v>-14060</v>
      </c>
      <c r="W302" s="208">
        <v>0</v>
      </c>
      <c r="X302" s="208">
        <v>-14060</v>
      </c>
      <c r="Y302" s="208">
        <v>-94806.82</v>
      </c>
      <c r="Z302" s="208">
        <v>0</v>
      </c>
      <c r="AA302" s="208">
        <v>-94806.82</v>
      </c>
      <c r="AB302" s="208">
        <v>0</v>
      </c>
      <c r="AC302" s="208">
        <v>0</v>
      </c>
      <c r="AD302" s="208">
        <v>0</v>
      </c>
      <c r="AE302" s="208">
        <v>-94807</v>
      </c>
      <c r="AF302" s="208">
        <v>0</v>
      </c>
      <c r="AG302" s="208">
        <v>-94807</v>
      </c>
      <c r="AH302" s="208">
        <v>0</v>
      </c>
      <c r="AI302" s="208">
        <v>0</v>
      </c>
      <c r="AJ302" s="208">
        <v>0</v>
      </c>
      <c r="AK302" s="208">
        <v>0</v>
      </c>
      <c r="AL302" s="208">
        <v>0</v>
      </c>
      <c r="AM302" s="208">
        <v>0</v>
      </c>
      <c r="AN302" s="208">
        <v>1545617</v>
      </c>
      <c r="AO302" s="208">
        <v>0</v>
      </c>
      <c r="AP302" s="208">
        <v>1545617</v>
      </c>
      <c r="AQ302" s="208">
        <v>-63810</v>
      </c>
      <c r="AR302" s="208">
        <v>0</v>
      </c>
      <c r="AS302" s="208">
        <v>-63810</v>
      </c>
      <c r="AT302" s="208">
        <v>-3640526</v>
      </c>
      <c r="AU302" s="208">
        <v>0</v>
      </c>
      <c r="AV302" s="208">
        <v>-3640526</v>
      </c>
      <c r="AW302" s="208">
        <v>-8642</v>
      </c>
      <c r="AX302" s="208">
        <v>0</v>
      </c>
      <c r="AY302" s="208">
        <v>-8642</v>
      </c>
      <c r="AZ302" s="208">
        <v>0</v>
      </c>
      <c r="BA302" s="208">
        <v>0</v>
      </c>
      <c r="BB302" s="208">
        <v>0</v>
      </c>
      <c r="BC302" s="208">
        <v>0</v>
      </c>
      <c r="BD302" s="208">
        <v>0</v>
      </c>
      <c r="BE302" s="208">
        <v>0</v>
      </c>
      <c r="BF302" s="208">
        <v>0</v>
      </c>
      <c r="BG302" s="208">
        <v>0</v>
      </c>
      <c r="BH302" s="208">
        <v>0</v>
      </c>
      <c r="BI302" s="208">
        <v>0</v>
      </c>
      <c r="BJ302" s="208">
        <v>0</v>
      </c>
      <c r="BK302" s="208">
        <v>0</v>
      </c>
      <c r="BL302" s="208">
        <v>-4965838</v>
      </c>
      <c r="BM302" s="208">
        <v>0</v>
      </c>
      <c r="BN302" s="208">
        <v>-4965838</v>
      </c>
      <c r="BO302" s="208">
        <v>-44799</v>
      </c>
      <c r="BP302" s="208">
        <v>0</v>
      </c>
      <c r="BQ302" s="208">
        <v>-44799</v>
      </c>
      <c r="BR302" s="208">
        <v>-38229</v>
      </c>
      <c r="BS302" s="208">
        <v>0</v>
      </c>
      <c r="BT302" s="208">
        <v>-38229</v>
      </c>
      <c r="BU302" s="208">
        <v>-2412497</v>
      </c>
      <c r="BV302" s="208">
        <v>0</v>
      </c>
      <c r="BW302" s="208">
        <v>-2412497</v>
      </c>
      <c r="BX302" s="208">
        <v>321955</v>
      </c>
      <c r="BY302" s="208">
        <v>0</v>
      </c>
      <c r="BZ302" s="208">
        <v>321955</v>
      </c>
      <c r="CA302" s="208">
        <v>-2173570</v>
      </c>
      <c r="CB302" s="208">
        <v>0</v>
      </c>
      <c r="CC302" s="208">
        <v>-2173570</v>
      </c>
      <c r="CD302" s="208">
        <v>-163800</v>
      </c>
      <c r="CE302" s="208">
        <v>0</v>
      </c>
      <c r="CF302" s="208">
        <v>-163800</v>
      </c>
      <c r="CG302" s="208">
        <v>-190</v>
      </c>
      <c r="CH302" s="208">
        <v>0</v>
      </c>
      <c r="CI302" s="208">
        <v>-190</v>
      </c>
      <c r="CJ302" s="208">
        <v>0</v>
      </c>
      <c r="CK302" s="208">
        <v>0</v>
      </c>
      <c r="CL302" s="208">
        <v>0</v>
      </c>
      <c r="CM302" s="208">
        <v>0</v>
      </c>
      <c r="CN302" s="208">
        <v>0</v>
      </c>
      <c r="CO302" s="208">
        <v>0</v>
      </c>
      <c r="CP302" s="208">
        <v>0</v>
      </c>
      <c r="CQ302" s="208">
        <v>0</v>
      </c>
      <c r="CR302" s="208">
        <v>0</v>
      </c>
      <c r="CS302" s="208">
        <v>0</v>
      </c>
      <c r="CT302" s="208">
        <v>0</v>
      </c>
      <c r="CU302" s="208">
        <v>0</v>
      </c>
      <c r="CV302" s="208">
        <v>0</v>
      </c>
      <c r="CW302" s="208">
        <v>0</v>
      </c>
      <c r="CX302" s="208">
        <v>0</v>
      </c>
      <c r="CY302" s="208">
        <v>0</v>
      </c>
      <c r="CZ302" s="208">
        <v>0</v>
      </c>
      <c r="DA302" s="208">
        <v>0</v>
      </c>
      <c r="DB302" s="208">
        <v>0</v>
      </c>
      <c r="DC302" s="208">
        <v>0</v>
      </c>
      <c r="DD302" s="208">
        <v>0</v>
      </c>
      <c r="DE302" s="208">
        <v>0</v>
      </c>
      <c r="DF302" s="208">
        <v>0</v>
      </c>
      <c r="DG302" s="208">
        <v>0</v>
      </c>
      <c r="DH302" s="208">
        <v>0</v>
      </c>
      <c r="DI302" s="208">
        <v>0</v>
      </c>
      <c r="DJ302" s="208">
        <v>0</v>
      </c>
      <c r="DK302" s="208">
        <v>-126</v>
      </c>
      <c r="DL302" s="208">
        <v>0</v>
      </c>
      <c r="DM302" s="208">
        <v>-126</v>
      </c>
      <c r="DN302" s="208">
        <v>0</v>
      </c>
      <c r="DO302" s="208">
        <v>0</v>
      </c>
      <c r="DP302" s="208">
        <v>-164116</v>
      </c>
      <c r="DQ302" s="208">
        <v>0</v>
      </c>
      <c r="DR302" s="208">
        <v>-164116</v>
      </c>
      <c r="DS302" s="208">
        <v>0</v>
      </c>
      <c r="DT302" s="208">
        <v>0</v>
      </c>
      <c r="DU302" s="208">
        <v>0</v>
      </c>
      <c r="DV302" s="208">
        <v>0</v>
      </c>
      <c r="DW302" s="208">
        <v>0</v>
      </c>
      <c r="DX302" s="208">
        <v>0</v>
      </c>
      <c r="DY302" s="208">
        <v>0</v>
      </c>
      <c r="DZ302" s="208">
        <v>0</v>
      </c>
      <c r="EA302" s="208">
        <v>0</v>
      </c>
      <c r="EB302" s="208">
        <v>0</v>
      </c>
      <c r="EC302" s="208">
        <v>0</v>
      </c>
      <c r="ED302" s="208">
        <v>0</v>
      </c>
      <c r="EE302" s="208">
        <v>0</v>
      </c>
      <c r="EF302" s="208">
        <v>0</v>
      </c>
      <c r="EG302" s="208">
        <v>0</v>
      </c>
      <c r="EH302" s="208">
        <v>0</v>
      </c>
      <c r="EI302" s="208">
        <v>0</v>
      </c>
      <c r="EJ302" s="208">
        <v>0</v>
      </c>
      <c r="EK302" s="208">
        <v>0</v>
      </c>
      <c r="EL302" s="208">
        <v>0</v>
      </c>
      <c r="EM302" s="208">
        <v>0</v>
      </c>
      <c r="EN302" s="208">
        <v>0</v>
      </c>
      <c r="EO302" s="208">
        <v>0</v>
      </c>
      <c r="EP302" s="208">
        <v>0</v>
      </c>
      <c r="EQ302" s="208">
        <v>-1500</v>
      </c>
      <c r="ER302" s="208">
        <v>0</v>
      </c>
      <c r="ES302" s="208">
        <v>-1500</v>
      </c>
      <c r="ET302" s="208">
        <v>0</v>
      </c>
      <c r="EU302" s="208">
        <v>0</v>
      </c>
      <c r="EV302" s="208">
        <v>0</v>
      </c>
      <c r="EW302" s="208">
        <v>-18947</v>
      </c>
      <c r="EX302" s="208">
        <v>0</v>
      </c>
      <c r="EY302" s="208">
        <v>-18947</v>
      </c>
      <c r="EZ302" s="208">
        <v>241</v>
      </c>
      <c r="FA302" s="208">
        <v>0</v>
      </c>
      <c r="FB302" s="208">
        <v>241</v>
      </c>
      <c r="FC302" s="208">
        <v>-105999</v>
      </c>
      <c r="FD302" s="208">
        <v>0</v>
      </c>
      <c r="FE302" s="208">
        <v>-105999</v>
      </c>
      <c r="FF302" s="208">
        <v>55</v>
      </c>
      <c r="FG302" s="208">
        <v>0</v>
      </c>
      <c r="FH302" s="208">
        <v>55</v>
      </c>
      <c r="FI302" s="208">
        <v>-25674</v>
      </c>
      <c r="FJ302" s="208">
        <v>0</v>
      </c>
      <c r="FK302" s="208">
        <v>-25674</v>
      </c>
      <c r="FL302" s="208">
        <v>1274</v>
      </c>
      <c r="FM302" s="208">
        <v>0</v>
      </c>
      <c r="FN302" s="208">
        <v>1274</v>
      </c>
      <c r="FO302" s="208">
        <v>0</v>
      </c>
      <c r="FP302" s="208">
        <v>0</v>
      </c>
      <c r="FQ302" s="208">
        <v>0</v>
      </c>
      <c r="FR302" s="208">
        <v>0</v>
      </c>
      <c r="FS302" s="208">
        <v>0</v>
      </c>
      <c r="FT302" s="208">
        <v>0</v>
      </c>
      <c r="FU302" s="208">
        <v>-150550</v>
      </c>
      <c r="FV302" s="208">
        <v>0</v>
      </c>
      <c r="FW302" s="208">
        <v>-150550</v>
      </c>
      <c r="FX302" s="208">
        <v>0</v>
      </c>
      <c r="FY302" s="208">
        <v>0</v>
      </c>
      <c r="FZ302" s="208">
        <v>0</v>
      </c>
      <c r="GA302" s="208">
        <v>0</v>
      </c>
      <c r="GB302" s="208">
        <v>0</v>
      </c>
      <c r="GC302" s="208">
        <v>0</v>
      </c>
      <c r="GD302" s="208">
        <v>0</v>
      </c>
      <c r="GE302" s="208">
        <v>0</v>
      </c>
      <c r="GF302" s="208">
        <v>0</v>
      </c>
      <c r="GG302" s="208">
        <v>68445507</v>
      </c>
      <c r="GH302" s="208">
        <v>0</v>
      </c>
      <c r="GI302" s="208">
        <v>68445507</v>
      </c>
      <c r="GJ302" s="208">
        <v>3004549</v>
      </c>
      <c r="GK302" s="208">
        <v>0</v>
      </c>
      <c r="GL302" s="208">
        <v>3004549</v>
      </c>
      <c r="GM302" s="208">
        <v>-4965838</v>
      </c>
      <c r="GN302" s="208">
        <v>0</v>
      </c>
      <c r="GO302" s="208">
        <v>-4965838</v>
      </c>
      <c r="GP302" s="208">
        <v>-2173570</v>
      </c>
      <c r="GQ302" s="208">
        <v>0</v>
      </c>
      <c r="GR302" s="208">
        <v>-2173570</v>
      </c>
      <c r="GS302" s="208">
        <v>-164116</v>
      </c>
      <c r="GT302" s="208">
        <v>0</v>
      </c>
      <c r="GU302" s="208">
        <v>-164116</v>
      </c>
      <c r="GV302" s="208">
        <v>-150550</v>
      </c>
      <c r="GW302" s="208">
        <v>0</v>
      </c>
      <c r="GX302" s="208">
        <v>-150550</v>
      </c>
      <c r="GY302" s="208">
        <v>0</v>
      </c>
      <c r="GZ302" s="208">
        <v>0</v>
      </c>
      <c r="HA302" s="208">
        <v>0</v>
      </c>
      <c r="HB302" s="208">
        <v>-4449525</v>
      </c>
      <c r="HC302" s="208">
        <v>0</v>
      </c>
      <c r="HD302" s="208">
        <v>-4449525</v>
      </c>
      <c r="HE302" s="208">
        <v>63995982</v>
      </c>
      <c r="HF302" s="208">
        <v>0</v>
      </c>
      <c r="HG302" s="208">
        <v>63995982</v>
      </c>
      <c r="HH302" s="187" t="s">
        <v>1054</v>
      </c>
    </row>
    <row r="303" spans="1:216" s="187" customFormat="1" x14ac:dyDescent="0.2">
      <c r="B303" s="429" t="s">
        <v>684</v>
      </c>
      <c r="C303" s="429" t="s">
        <v>683</v>
      </c>
      <c r="D303" s="208">
        <v>-1669467</v>
      </c>
      <c r="E303" s="208">
        <v>-7647</v>
      </c>
      <c r="F303" s="208">
        <v>-1677114</v>
      </c>
      <c r="G303" s="208">
        <v>25890</v>
      </c>
      <c r="H303" s="208">
        <v>0</v>
      </c>
      <c r="I303" s="208">
        <v>25890</v>
      </c>
      <c r="J303" s="208">
        <v>934842</v>
      </c>
      <c r="K303" s="208">
        <v>12156</v>
      </c>
      <c r="L303" s="208">
        <v>946998</v>
      </c>
      <c r="M303" s="208">
        <v>-9648</v>
      </c>
      <c r="N303" s="208">
        <v>0</v>
      </c>
      <c r="O303" s="208">
        <v>-9648</v>
      </c>
      <c r="P303" s="208">
        <v>-718383</v>
      </c>
      <c r="Q303" s="208">
        <v>4509</v>
      </c>
      <c r="R303" s="208">
        <v>-713874</v>
      </c>
      <c r="S303" s="208">
        <v>-4663002</v>
      </c>
      <c r="T303" s="208">
        <v>-10732</v>
      </c>
      <c r="U303" s="208">
        <v>-4673734</v>
      </c>
      <c r="V303" s="208">
        <v>0</v>
      </c>
      <c r="W303" s="208">
        <v>0</v>
      </c>
      <c r="X303" s="208">
        <v>0</v>
      </c>
      <c r="Y303" s="208">
        <v>-140758</v>
      </c>
      <c r="Z303" s="208">
        <v>0</v>
      </c>
      <c r="AA303" s="208">
        <v>-140758</v>
      </c>
      <c r="AB303" s="208">
        <v>-36657</v>
      </c>
      <c r="AC303" s="208">
        <v>0</v>
      </c>
      <c r="AD303" s="208">
        <v>-36657</v>
      </c>
      <c r="AE303" s="208">
        <v>-103473.73</v>
      </c>
      <c r="AF303" s="208">
        <v>0</v>
      </c>
      <c r="AG303" s="208">
        <v>-103473.73</v>
      </c>
      <c r="AH303" s="208">
        <v>0</v>
      </c>
      <c r="AI303" s="208">
        <v>0</v>
      </c>
      <c r="AJ303" s="208">
        <v>0</v>
      </c>
      <c r="AK303" s="208">
        <v>0</v>
      </c>
      <c r="AL303" s="208">
        <v>0</v>
      </c>
      <c r="AM303" s="208">
        <v>0</v>
      </c>
      <c r="AN303" s="208">
        <v>617341</v>
      </c>
      <c r="AO303" s="208">
        <v>8795</v>
      </c>
      <c r="AP303" s="208">
        <v>626136</v>
      </c>
      <c r="AQ303" s="208">
        <v>-2698</v>
      </c>
      <c r="AR303" s="208">
        <v>0</v>
      </c>
      <c r="AS303" s="208">
        <v>-2698</v>
      </c>
      <c r="AT303" s="208">
        <v>-3128391</v>
      </c>
      <c r="AU303" s="208">
        <v>0</v>
      </c>
      <c r="AV303" s="208">
        <v>-3128391</v>
      </c>
      <c r="AW303" s="208">
        <v>-21111</v>
      </c>
      <c r="AX303" s="208">
        <v>0</v>
      </c>
      <c r="AY303" s="208">
        <v>-21111</v>
      </c>
      <c r="AZ303" s="208">
        <v>-46560</v>
      </c>
      <c r="BA303" s="208">
        <v>0</v>
      </c>
      <c r="BB303" s="208">
        <v>-46560</v>
      </c>
      <c r="BC303" s="208">
        <v>-1822</v>
      </c>
      <c r="BD303" s="208">
        <v>0</v>
      </c>
      <c r="BE303" s="208">
        <v>-1822</v>
      </c>
      <c r="BF303" s="208">
        <v>-14482</v>
      </c>
      <c r="BG303" s="208">
        <v>0</v>
      </c>
      <c r="BH303" s="208">
        <v>-14482</v>
      </c>
      <c r="BI303" s="208">
        <v>0</v>
      </c>
      <c r="BJ303" s="208">
        <v>0</v>
      </c>
      <c r="BK303" s="208">
        <v>0</v>
      </c>
      <c r="BL303" s="208">
        <v>-7401483</v>
      </c>
      <c r="BM303" s="208">
        <v>-1937</v>
      </c>
      <c r="BN303" s="208">
        <v>-7403420</v>
      </c>
      <c r="BO303" s="208">
        <v>-8349</v>
      </c>
      <c r="BP303" s="208">
        <v>0</v>
      </c>
      <c r="BQ303" s="208">
        <v>-8349</v>
      </c>
      <c r="BR303" s="208">
        <v>-4948</v>
      </c>
      <c r="BS303" s="208">
        <v>0</v>
      </c>
      <c r="BT303" s="208">
        <v>-4948</v>
      </c>
      <c r="BU303" s="208">
        <v>-744070</v>
      </c>
      <c r="BV303" s="208">
        <v>0</v>
      </c>
      <c r="BW303" s="208">
        <v>-744070</v>
      </c>
      <c r="BX303" s="208">
        <v>-64843</v>
      </c>
      <c r="BY303" s="208">
        <v>0</v>
      </c>
      <c r="BZ303" s="208">
        <v>-64843</v>
      </c>
      <c r="CA303" s="208">
        <v>-822210</v>
      </c>
      <c r="CB303" s="208">
        <v>0</v>
      </c>
      <c r="CC303" s="208">
        <v>-822210</v>
      </c>
      <c r="CD303" s="208">
        <v>-93630</v>
      </c>
      <c r="CE303" s="208">
        <v>0</v>
      </c>
      <c r="CF303" s="208">
        <v>-93630</v>
      </c>
      <c r="CG303" s="208">
        <v>-4555</v>
      </c>
      <c r="CH303" s="208">
        <v>0</v>
      </c>
      <c r="CI303" s="208">
        <v>-4555</v>
      </c>
      <c r="CJ303" s="208">
        <v>-4419</v>
      </c>
      <c r="CK303" s="208">
        <v>0</v>
      </c>
      <c r="CL303" s="208">
        <v>-4419</v>
      </c>
      <c r="CM303" s="208">
        <v>0</v>
      </c>
      <c r="CN303" s="208">
        <v>0</v>
      </c>
      <c r="CO303" s="208">
        <v>0</v>
      </c>
      <c r="CP303" s="208">
        <v>-212</v>
      </c>
      <c r="CQ303" s="208">
        <v>0</v>
      </c>
      <c r="CR303" s="208">
        <v>-212</v>
      </c>
      <c r="CS303" s="208">
        <v>0</v>
      </c>
      <c r="CT303" s="208">
        <v>0</v>
      </c>
      <c r="CU303" s="208">
        <v>0</v>
      </c>
      <c r="CV303" s="208">
        <v>-2440</v>
      </c>
      <c r="CW303" s="208">
        <v>0</v>
      </c>
      <c r="CX303" s="208">
        <v>-2440</v>
      </c>
      <c r="CY303" s="208">
        <v>0</v>
      </c>
      <c r="CZ303" s="208">
        <v>0</v>
      </c>
      <c r="DA303" s="208">
        <v>0</v>
      </c>
      <c r="DB303" s="208">
        <v>0</v>
      </c>
      <c r="DC303" s="208">
        <v>0</v>
      </c>
      <c r="DD303" s="208">
        <v>0</v>
      </c>
      <c r="DE303" s="208">
        <v>0</v>
      </c>
      <c r="DF303" s="208">
        <v>0</v>
      </c>
      <c r="DG303" s="208">
        <v>0</v>
      </c>
      <c r="DH303" s="208">
        <v>-32277</v>
      </c>
      <c r="DI303" s="208">
        <v>-185390</v>
      </c>
      <c r="DJ303" s="208">
        <v>-217667</v>
      </c>
      <c r="DK303" s="208">
        <v>0</v>
      </c>
      <c r="DL303" s="208">
        <v>-3301</v>
      </c>
      <c r="DM303" s="208">
        <v>-3301</v>
      </c>
      <c r="DN303" s="208">
        <v>-188691</v>
      </c>
      <c r="DO303" s="208">
        <v>0</v>
      </c>
      <c r="DP303" s="208">
        <v>-137533</v>
      </c>
      <c r="DQ303" s="208">
        <v>-188691</v>
      </c>
      <c r="DR303" s="208">
        <v>-326224</v>
      </c>
      <c r="DS303" s="208">
        <v>0</v>
      </c>
      <c r="DT303" s="208">
        <v>0</v>
      </c>
      <c r="DU303" s="208">
        <v>0</v>
      </c>
      <c r="DV303" s="208">
        <v>0</v>
      </c>
      <c r="DW303" s="208">
        <v>0</v>
      </c>
      <c r="DX303" s="208">
        <v>0</v>
      </c>
      <c r="DY303" s="208">
        <v>312</v>
      </c>
      <c r="DZ303" s="208">
        <v>0</v>
      </c>
      <c r="EA303" s="208">
        <v>312</v>
      </c>
      <c r="EB303" s="208">
        <v>0</v>
      </c>
      <c r="EC303" s="208">
        <v>0</v>
      </c>
      <c r="ED303" s="208">
        <v>0</v>
      </c>
      <c r="EE303" s="208">
        <v>0</v>
      </c>
      <c r="EF303" s="208">
        <v>0</v>
      </c>
      <c r="EG303" s="208">
        <v>0</v>
      </c>
      <c r="EH303" s="208">
        <v>0</v>
      </c>
      <c r="EI303" s="208">
        <v>0</v>
      </c>
      <c r="EJ303" s="208">
        <v>0</v>
      </c>
      <c r="EK303" s="208">
        <v>-12042</v>
      </c>
      <c r="EL303" s="208">
        <v>0</v>
      </c>
      <c r="EM303" s="208">
        <v>-12042</v>
      </c>
      <c r="EN303" s="208">
        <v>0</v>
      </c>
      <c r="EO303" s="208">
        <v>0</v>
      </c>
      <c r="EP303" s="208">
        <v>0</v>
      </c>
      <c r="EQ303" s="208">
        <v>-1705</v>
      </c>
      <c r="ER303" s="208">
        <v>0</v>
      </c>
      <c r="ES303" s="208">
        <v>-1705</v>
      </c>
      <c r="ET303" s="208">
        <v>0</v>
      </c>
      <c r="EU303" s="208">
        <v>0</v>
      </c>
      <c r="EV303" s="208">
        <v>0</v>
      </c>
      <c r="EW303" s="208">
        <v>-83020</v>
      </c>
      <c r="EX303" s="208">
        <v>0</v>
      </c>
      <c r="EY303" s="208">
        <v>-83020</v>
      </c>
      <c r="EZ303" s="208">
        <v>2036</v>
      </c>
      <c r="FA303" s="208">
        <v>0</v>
      </c>
      <c r="FB303" s="208">
        <v>2036</v>
      </c>
      <c r="FC303" s="208">
        <v>-184443</v>
      </c>
      <c r="FD303" s="208">
        <v>0</v>
      </c>
      <c r="FE303" s="208">
        <v>-184443</v>
      </c>
      <c r="FF303" s="208">
        <v>-29115</v>
      </c>
      <c r="FG303" s="208">
        <v>0</v>
      </c>
      <c r="FH303" s="208">
        <v>-29115</v>
      </c>
      <c r="FI303" s="208">
        <v>-38908</v>
      </c>
      <c r="FJ303" s="208">
        <v>0</v>
      </c>
      <c r="FK303" s="208">
        <v>-38908</v>
      </c>
      <c r="FL303" s="208">
        <v>11</v>
      </c>
      <c r="FM303" s="208">
        <v>0</v>
      </c>
      <c r="FN303" s="208">
        <v>11</v>
      </c>
      <c r="FO303" s="208">
        <v>0</v>
      </c>
      <c r="FP303" s="208">
        <v>0</v>
      </c>
      <c r="FQ303" s="208">
        <v>0</v>
      </c>
      <c r="FR303" s="208">
        <v>0</v>
      </c>
      <c r="FS303" s="208">
        <v>0</v>
      </c>
      <c r="FT303" s="208">
        <v>0</v>
      </c>
      <c r="FU303" s="208">
        <v>-346874</v>
      </c>
      <c r="FV303" s="208">
        <v>0</v>
      </c>
      <c r="FW303" s="208">
        <v>-346874</v>
      </c>
      <c r="FX303" s="208">
        <v>0</v>
      </c>
      <c r="FY303" s="208">
        <v>0</v>
      </c>
      <c r="FZ303" s="208">
        <v>0</v>
      </c>
      <c r="GA303" s="208">
        <v>0</v>
      </c>
      <c r="GB303" s="208">
        <v>0</v>
      </c>
      <c r="GC303" s="208">
        <v>0</v>
      </c>
      <c r="GD303" s="208">
        <v>0</v>
      </c>
      <c r="GE303" s="208">
        <v>0</v>
      </c>
      <c r="GF303" s="208">
        <v>0</v>
      </c>
      <c r="GG303" s="208">
        <v>36926026</v>
      </c>
      <c r="GH303" s="208">
        <v>444085</v>
      </c>
      <c r="GI303" s="208">
        <v>37370111</v>
      </c>
      <c r="GJ303" s="208">
        <v>-718383</v>
      </c>
      <c r="GK303" s="208">
        <v>4509</v>
      </c>
      <c r="GL303" s="208">
        <v>-713874</v>
      </c>
      <c r="GM303" s="208">
        <v>-7401483</v>
      </c>
      <c r="GN303" s="208">
        <v>-1937</v>
      </c>
      <c r="GO303" s="208">
        <v>-7403420</v>
      </c>
      <c r="GP303" s="208">
        <v>-822210</v>
      </c>
      <c r="GQ303" s="208">
        <v>0</v>
      </c>
      <c r="GR303" s="208">
        <v>-822210</v>
      </c>
      <c r="GS303" s="208">
        <v>-137533</v>
      </c>
      <c r="GT303" s="208">
        <v>-188691</v>
      </c>
      <c r="GU303" s="208">
        <v>-326224</v>
      </c>
      <c r="GV303" s="208">
        <v>-346874</v>
      </c>
      <c r="GW303" s="208">
        <v>0</v>
      </c>
      <c r="GX303" s="208">
        <v>-346874</v>
      </c>
      <c r="GY303" s="208">
        <v>0</v>
      </c>
      <c r="GZ303" s="208">
        <v>0</v>
      </c>
      <c r="HA303" s="208">
        <v>0</v>
      </c>
      <c r="HB303" s="208">
        <v>-9426483</v>
      </c>
      <c r="HC303" s="208">
        <v>-186119</v>
      </c>
      <c r="HD303" s="208">
        <v>-9612602</v>
      </c>
      <c r="HE303" s="208">
        <v>27499543</v>
      </c>
      <c r="HF303" s="208">
        <v>257966</v>
      </c>
      <c r="HG303" s="208">
        <v>27757509</v>
      </c>
      <c r="HH303" s="187" t="s">
        <v>1054</v>
      </c>
    </row>
    <row r="304" spans="1:216" s="187" customFormat="1" x14ac:dyDescent="0.2">
      <c r="B304" s="429" t="s">
        <v>686</v>
      </c>
      <c r="C304" s="429" t="s">
        <v>685</v>
      </c>
      <c r="D304" s="208">
        <v>-1512263</v>
      </c>
      <c r="E304" s="208">
        <v>0</v>
      </c>
      <c r="F304" s="208">
        <v>-1512263</v>
      </c>
      <c r="G304" s="208">
        <v>31839</v>
      </c>
      <c r="H304" s="208">
        <v>0</v>
      </c>
      <c r="I304" s="208">
        <v>31839</v>
      </c>
      <c r="J304" s="208">
        <v>229349</v>
      </c>
      <c r="K304" s="208">
        <v>0</v>
      </c>
      <c r="L304" s="208">
        <v>229349</v>
      </c>
      <c r="M304" s="208">
        <v>-16906</v>
      </c>
      <c r="N304" s="208">
        <v>0</v>
      </c>
      <c r="O304" s="208">
        <v>-16906</v>
      </c>
      <c r="P304" s="208">
        <v>-1267981</v>
      </c>
      <c r="Q304" s="208">
        <v>0</v>
      </c>
      <c r="R304" s="208">
        <v>-1267981</v>
      </c>
      <c r="S304" s="208">
        <v>-3890012</v>
      </c>
      <c r="T304" s="208">
        <v>0</v>
      </c>
      <c r="U304" s="208">
        <v>-3890012</v>
      </c>
      <c r="V304" s="208">
        <v>-6707</v>
      </c>
      <c r="W304" s="208">
        <v>0</v>
      </c>
      <c r="X304" s="208">
        <v>-6707</v>
      </c>
      <c r="Y304" s="208">
        <v>-146740.47</v>
      </c>
      <c r="Z304" s="208">
        <v>0</v>
      </c>
      <c r="AA304" s="208">
        <v>-146740.47</v>
      </c>
      <c r="AB304" s="208">
        <v>-50082</v>
      </c>
      <c r="AC304" s="208">
        <v>0</v>
      </c>
      <c r="AD304" s="208">
        <v>-50082</v>
      </c>
      <c r="AE304" s="208">
        <v>-91728</v>
      </c>
      <c r="AF304" s="208">
        <v>0</v>
      </c>
      <c r="AG304" s="208">
        <v>-91728</v>
      </c>
      <c r="AH304" s="208">
        <v>0</v>
      </c>
      <c r="AI304" s="208">
        <v>0</v>
      </c>
      <c r="AJ304" s="208">
        <v>0</v>
      </c>
      <c r="AK304" s="208">
        <v>-65</v>
      </c>
      <c r="AL304" s="208">
        <v>0</v>
      </c>
      <c r="AM304" s="208">
        <v>-65</v>
      </c>
      <c r="AN304" s="208">
        <v>901098</v>
      </c>
      <c r="AO304" s="208">
        <v>0</v>
      </c>
      <c r="AP304" s="208">
        <v>901098</v>
      </c>
      <c r="AQ304" s="208">
        <v>-20616</v>
      </c>
      <c r="AR304" s="208">
        <v>0</v>
      </c>
      <c r="AS304" s="208">
        <v>-20616</v>
      </c>
      <c r="AT304" s="208">
        <v>-6160610</v>
      </c>
      <c r="AU304" s="208">
        <v>0</v>
      </c>
      <c r="AV304" s="208">
        <v>-6160610</v>
      </c>
      <c r="AW304" s="208">
        <v>78285</v>
      </c>
      <c r="AX304" s="208">
        <v>0</v>
      </c>
      <c r="AY304" s="208">
        <v>78285</v>
      </c>
      <c r="AZ304" s="208">
        <v>-39925</v>
      </c>
      <c r="BA304" s="208">
        <v>0</v>
      </c>
      <c r="BB304" s="208">
        <v>-39925</v>
      </c>
      <c r="BC304" s="208">
        <v>0</v>
      </c>
      <c r="BD304" s="208">
        <v>0</v>
      </c>
      <c r="BE304" s="208">
        <v>0</v>
      </c>
      <c r="BF304" s="208">
        <v>-5817</v>
      </c>
      <c r="BG304" s="208">
        <v>0</v>
      </c>
      <c r="BH304" s="208">
        <v>-5817</v>
      </c>
      <c r="BI304" s="208">
        <v>0</v>
      </c>
      <c r="BJ304" s="208">
        <v>0</v>
      </c>
      <c r="BK304" s="208">
        <v>0</v>
      </c>
      <c r="BL304" s="208">
        <v>-9284337</v>
      </c>
      <c r="BM304" s="208">
        <v>0</v>
      </c>
      <c r="BN304" s="208">
        <v>-9284337</v>
      </c>
      <c r="BO304" s="208">
        <v>-20552</v>
      </c>
      <c r="BP304" s="208">
        <v>0</v>
      </c>
      <c r="BQ304" s="208">
        <v>-20552</v>
      </c>
      <c r="BR304" s="208">
        <v>0</v>
      </c>
      <c r="BS304" s="208">
        <v>0</v>
      </c>
      <c r="BT304" s="208">
        <v>0</v>
      </c>
      <c r="BU304" s="208">
        <v>-1376368</v>
      </c>
      <c r="BV304" s="208">
        <v>0</v>
      </c>
      <c r="BW304" s="208">
        <v>-1376368</v>
      </c>
      <c r="BX304" s="208">
        <v>-17147</v>
      </c>
      <c r="BY304" s="208">
        <v>0</v>
      </c>
      <c r="BZ304" s="208">
        <v>-17147</v>
      </c>
      <c r="CA304" s="208">
        <v>-1414067</v>
      </c>
      <c r="CB304" s="208">
        <v>0</v>
      </c>
      <c r="CC304" s="208">
        <v>-1414067</v>
      </c>
      <c r="CD304" s="208">
        <v>-86225</v>
      </c>
      <c r="CE304" s="208">
        <v>0</v>
      </c>
      <c r="CF304" s="208">
        <v>-86225</v>
      </c>
      <c r="CG304" s="208">
        <v>-118</v>
      </c>
      <c r="CH304" s="208">
        <v>0</v>
      </c>
      <c r="CI304" s="208">
        <v>-118</v>
      </c>
      <c r="CJ304" s="208">
        <v>-505074</v>
      </c>
      <c r="CK304" s="208">
        <v>0</v>
      </c>
      <c r="CL304" s="208">
        <v>-505074</v>
      </c>
      <c r="CM304" s="208">
        <v>0</v>
      </c>
      <c r="CN304" s="208">
        <v>0</v>
      </c>
      <c r="CO304" s="208">
        <v>0</v>
      </c>
      <c r="CP304" s="208">
        <v>0</v>
      </c>
      <c r="CQ304" s="208">
        <v>0</v>
      </c>
      <c r="CR304" s="208">
        <v>0</v>
      </c>
      <c r="CS304" s="208">
        <v>0</v>
      </c>
      <c r="CT304" s="208">
        <v>0</v>
      </c>
      <c r="CU304" s="208">
        <v>0</v>
      </c>
      <c r="CV304" s="208">
        <v>0</v>
      </c>
      <c r="CW304" s="208">
        <v>0</v>
      </c>
      <c r="CX304" s="208">
        <v>0</v>
      </c>
      <c r="CY304" s="208">
        <v>0</v>
      </c>
      <c r="CZ304" s="208">
        <v>0</v>
      </c>
      <c r="DA304" s="208">
        <v>0</v>
      </c>
      <c r="DB304" s="208">
        <v>-7238</v>
      </c>
      <c r="DC304" s="208">
        <v>0</v>
      </c>
      <c r="DD304" s="208">
        <v>-7238</v>
      </c>
      <c r="DE304" s="208">
        <v>0</v>
      </c>
      <c r="DF304" s="208">
        <v>0</v>
      </c>
      <c r="DG304" s="208">
        <v>0</v>
      </c>
      <c r="DH304" s="208">
        <v>0</v>
      </c>
      <c r="DI304" s="208">
        <v>0</v>
      </c>
      <c r="DJ304" s="208">
        <v>0</v>
      </c>
      <c r="DK304" s="208">
        <v>0</v>
      </c>
      <c r="DL304" s="208">
        <v>0</v>
      </c>
      <c r="DM304" s="208">
        <v>0</v>
      </c>
      <c r="DN304" s="208">
        <v>0</v>
      </c>
      <c r="DO304" s="208">
        <v>0</v>
      </c>
      <c r="DP304" s="208">
        <v>-598655</v>
      </c>
      <c r="DQ304" s="208">
        <v>0</v>
      </c>
      <c r="DR304" s="208">
        <v>-598655</v>
      </c>
      <c r="DS304" s="208">
        <v>0</v>
      </c>
      <c r="DT304" s="208">
        <v>0</v>
      </c>
      <c r="DU304" s="208">
        <v>0</v>
      </c>
      <c r="DV304" s="208">
        <v>0</v>
      </c>
      <c r="DW304" s="208">
        <v>0</v>
      </c>
      <c r="DX304" s="208">
        <v>0</v>
      </c>
      <c r="DY304" s="208">
        <v>73</v>
      </c>
      <c r="DZ304" s="208">
        <v>0</v>
      </c>
      <c r="EA304" s="208">
        <v>73</v>
      </c>
      <c r="EB304" s="208">
        <v>0</v>
      </c>
      <c r="EC304" s="208">
        <v>0</v>
      </c>
      <c r="ED304" s="208">
        <v>0</v>
      </c>
      <c r="EE304" s="208">
        <v>0</v>
      </c>
      <c r="EF304" s="208">
        <v>0</v>
      </c>
      <c r="EG304" s="208">
        <v>0</v>
      </c>
      <c r="EH304" s="208">
        <v>0</v>
      </c>
      <c r="EI304" s="208">
        <v>0</v>
      </c>
      <c r="EJ304" s="208">
        <v>0</v>
      </c>
      <c r="EK304" s="208">
        <v>-5817</v>
      </c>
      <c r="EL304" s="208">
        <v>0</v>
      </c>
      <c r="EM304" s="208">
        <v>-5817</v>
      </c>
      <c r="EN304" s="208">
        <v>0</v>
      </c>
      <c r="EO304" s="208">
        <v>0</v>
      </c>
      <c r="EP304" s="208">
        <v>0</v>
      </c>
      <c r="EQ304" s="208">
        <v>-4500</v>
      </c>
      <c r="ER304" s="208">
        <v>0</v>
      </c>
      <c r="ES304" s="208">
        <v>-4500</v>
      </c>
      <c r="ET304" s="208">
        <v>-3000</v>
      </c>
      <c r="EU304" s="208">
        <v>0</v>
      </c>
      <c r="EV304" s="208">
        <v>-3000</v>
      </c>
      <c r="EW304" s="208">
        <v>-35235</v>
      </c>
      <c r="EX304" s="208">
        <v>0</v>
      </c>
      <c r="EY304" s="208">
        <v>-35235</v>
      </c>
      <c r="EZ304" s="208">
        <v>5004</v>
      </c>
      <c r="FA304" s="208">
        <v>0</v>
      </c>
      <c r="FB304" s="208">
        <v>5004</v>
      </c>
      <c r="FC304" s="208">
        <v>-210286</v>
      </c>
      <c r="FD304" s="208">
        <v>0</v>
      </c>
      <c r="FE304" s="208">
        <v>-210286</v>
      </c>
      <c r="FF304" s="208">
        <v>34755</v>
      </c>
      <c r="FG304" s="208">
        <v>0</v>
      </c>
      <c r="FH304" s="208">
        <v>34755</v>
      </c>
      <c r="FI304" s="208">
        <v>-59188</v>
      </c>
      <c r="FJ304" s="208">
        <v>0</v>
      </c>
      <c r="FK304" s="208">
        <v>-59188</v>
      </c>
      <c r="FL304" s="208">
        <v>1000</v>
      </c>
      <c r="FM304" s="208">
        <v>0</v>
      </c>
      <c r="FN304" s="208">
        <v>1000</v>
      </c>
      <c r="FO304" s="208">
        <v>0</v>
      </c>
      <c r="FP304" s="208">
        <v>0</v>
      </c>
      <c r="FQ304" s="208">
        <v>0</v>
      </c>
      <c r="FR304" s="208">
        <v>0</v>
      </c>
      <c r="FS304" s="208">
        <v>0</v>
      </c>
      <c r="FT304" s="208">
        <v>0</v>
      </c>
      <c r="FU304" s="208">
        <v>-277194</v>
      </c>
      <c r="FV304" s="208">
        <v>0</v>
      </c>
      <c r="FW304" s="208">
        <v>-277194</v>
      </c>
      <c r="FX304" s="208">
        <v>0</v>
      </c>
      <c r="FY304" s="208">
        <v>0</v>
      </c>
      <c r="FZ304" s="208">
        <v>0</v>
      </c>
      <c r="GA304" s="208">
        <v>0</v>
      </c>
      <c r="GB304" s="208">
        <v>0</v>
      </c>
      <c r="GC304" s="208">
        <v>0</v>
      </c>
      <c r="GD304" s="208">
        <v>0</v>
      </c>
      <c r="GE304" s="208">
        <v>0</v>
      </c>
      <c r="GF304" s="208">
        <v>0</v>
      </c>
      <c r="GG304" s="208">
        <v>50536082</v>
      </c>
      <c r="GH304" s="208">
        <v>0</v>
      </c>
      <c r="GI304" s="208">
        <v>50536082</v>
      </c>
      <c r="GJ304" s="208">
        <v>-1267981</v>
      </c>
      <c r="GK304" s="208">
        <v>0</v>
      </c>
      <c r="GL304" s="208">
        <v>-1267981</v>
      </c>
      <c r="GM304" s="208">
        <v>-9284337</v>
      </c>
      <c r="GN304" s="208">
        <v>0</v>
      </c>
      <c r="GO304" s="208">
        <v>-9284337</v>
      </c>
      <c r="GP304" s="208">
        <v>-1414067</v>
      </c>
      <c r="GQ304" s="208">
        <v>0</v>
      </c>
      <c r="GR304" s="208">
        <v>-1414067</v>
      </c>
      <c r="GS304" s="208">
        <v>-598655</v>
      </c>
      <c r="GT304" s="208">
        <v>0</v>
      </c>
      <c r="GU304" s="208">
        <v>-598655</v>
      </c>
      <c r="GV304" s="208">
        <v>-277194</v>
      </c>
      <c r="GW304" s="208">
        <v>0</v>
      </c>
      <c r="GX304" s="208">
        <v>-277194</v>
      </c>
      <c r="GY304" s="208">
        <v>0</v>
      </c>
      <c r="GZ304" s="208">
        <v>0</v>
      </c>
      <c r="HA304" s="208">
        <v>0</v>
      </c>
      <c r="HB304" s="208">
        <v>-12842234</v>
      </c>
      <c r="HC304" s="208">
        <v>0</v>
      </c>
      <c r="HD304" s="208">
        <v>-12842234</v>
      </c>
      <c r="HE304" s="208">
        <v>37693848</v>
      </c>
      <c r="HF304" s="208">
        <v>0</v>
      </c>
      <c r="HG304" s="208">
        <v>37693848</v>
      </c>
      <c r="HH304" s="187" t="s">
        <v>1054</v>
      </c>
    </row>
    <row r="305" spans="2:216" s="187" customFormat="1" x14ac:dyDescent="0.2">
      <c r="B305" s="429" t="s">
        <v>688</v>
      </c>
      <c r="C305" s="429" t="s">
        <v>687</v>
      </c>
      <c r="D305" s="208">
        <v>-1203879</v>
      </c>
      <c r="E305" s="208">
        <v>0</v>
      </c>
      <c r="F305" s="208">
        <v>-1203879</v>
      </c>
      <c r="G305" s="208">
        <v>2766</v>
      </c>
      <c r="H305" s="208">
        <v>0</v>
      </c>
      <c r="I305" s="208">
        <v>2766</v>
      </c>
      <c r="J305" s="208">
        <v>276847</v>
      </c>
      <c r="K305" s="208">
        <v>0</v>
      </c>
      <c r="L305" s="208">
        <v>276847</v>
      </c>
      <c r="M305" s="208">
        <v>15077</v>
      </c>
      <c r="N305" s="208">
        <v>0</v>
      </c>
      <c r="O305" s="208">
        <v>15077</v>
      </c>
      <c r="P305" s="208">
        <v>-909189</v>
      </c>
      <c r="Q305" s="208">
        <v>0</v>
      </c>
      <c r="R305" s="208">
        <v>-909189</v>
      </c>
      <c r="S305" s="208">
        <v>-8271449</v>
      </c>
      <c r="T305" s="208">
        <v>0</v>
      </c>
      <c r="U305" s="208">
        <v>-8271449</v>
      </c>
      <c r="V305" s="208">
        <v>-31969</v>
      </c>
      <c r="W305" s="208">
        <v>0</v>
      </c>
      <c r="X305" s="208">
        <v>-31969</v>
      </c>
      <c r="Y305" s="208">
        <v>-321746</v>
      </c>
      <c r="Z305" s="208">
        <v>0</v>
      </c>
      <c r="AA305" s="208">
        <v>-321746</v>
      </c>
      <c r="AB305" s="208">
        <v>-82727</v>
      </c>
      <c r="AC305" s="208">
        <v>0</v>
      </c>
      <c r="AD305" s="208">
        <v>-82727</v>
      </c>
      <c r="AE305" s="208">
        <v>-240574</v>
      </c>
      <c r="AF305" s="208">
        <v>0</v>
      </c>
      <c r="AG305" s="208">
        <v>-240574</v>
      </c>
      <c r="AH305" s="208">
        <v>2028</v>
      </c>
      <c r="AI305" s="208">
        <v>0</v>
      </c>
      <c r="AJ305" s="208">
        <v>2028</v>
      </c>
      <c r="AK305" s="208">
        <v>1231</v>
      </c>
      <c r="AL305" s="208">
        <v>0</v>
      </c>
      <c r="AM305" s="208">
        <v>1231</v>
      </c>
      <c r="AN305" s="208">
        <v>595165</v>
      </c>
      <c r="AO305" s="208">
        <v>0</v>
      </c>
      <c r="AP305" s="208">
        <v>595165</v>
      </c>
      <c r="AQ305" s="208">
        <v>-8547</v>
      </c>
      <c r="AR305" s="208">
        <v>0</v>
      </c>
      <c r="AS305" s="208">
        <v>-8547</v>
      </c>
      <c r="AT305" s="208">
        <v>-3202271</v>
      </c>
      <c r="AU305" s="208">
        <v>0</v>
      </c>
      <c r="AV305" s="208">
        <v>-3202271</v>
      </c>
      <c r="AW305" s="208">
        <v>-5479</v>
      </c>
      <c r="AX305" s="208">
        <v>0</v>
      </c>
      <c r="AY305" s="208">
        <v>-5479</v>
      </c>
      <c r="AZ305" s="208">
        <v>-98178</v>
      </c>
      <c r="BA305" s="208">
        <v>0</v>
      </c>
      <c r="BB305" s="208">
        <v>-98178</v>
      </c>
      <c r="BC305" s="208">
        <v>-6131</v>
      </c>
      <c r="BD305" s="208">
        <v>0</v>
      </c>
      <c r="BE305" s="208">
        <v>-6131</v>
      </c>
      <c r="BF305" s="208">
        <v>-36832</v>
      </c>
      <c r="BG305" s="208">
        <v>0</v>
      </c>
      <c r="BH305" s="208">
        <v>-36832</v>
      </c>
      <c r="BI305" s="208">
        <v>-1184</v>
      </c>
      <c r="BJ305" s="208">
        <v>0</v>
      </c>
      <c r="BK305" s="208">
        <v>-1184</v>
      </c>
      <c r="BL305" s="208">
        <v>-11356652</v>
      </c>
      <c r="BM305" s="208">
        <v>0</v>
      </c>
      <c r="BN305" s="208">
        <v>-11356652</v>
      </c>
      <c r="BO305" s="208">
        <v>-1905</v>
      </c>
      <c r="BP305" s="208">
        <v>0</v>
      </c>
      <c r="BQ305" s="208">
        <v>-1905</v>
      </c>
      <c r="BR305" s="208">
        <v>-18091</v>
      </c>
      <c r="BS305" s="208">
        <v>0</v>
      </c>
      <c r="BT305" s="208">
        <v>-18091</v>
      </c>
      <c r="BU305" s="208">
        <v>-613202</v>
      </c>
      <c r="BV305" s="208">
        <v>0</v>
      </c>
      <c r="BW305" s="208">
        <v>-613202</v>
      </c>
      <c r="BX305" s="208">
        <v>-20940</v>
      </c>
      <c r="BY305" s="208">
        <v>0</v>
      </c>
      <c r="BZ305" s="208">
        <v>-20940</v>
      </c>
      <c r="CA305" s="208">
        <v>-654138</v>
      </c>
      <c r="CB305" s="208">
        <v>0</v>
      </c>
      <c r="CC305" s="208">
        <v>-654138</v>
      </c>
      <c r="CD305" s="208">
        <v>-90760</v>
      </c>
      <c r="CE305" s="208">
        <v>0</v>
      </c>
      <c r="CF305" s="208">
        <v>-90760</v>
      </c>
      <c r="CG305" s="208">
        <v>-707</v>
      </c>
      <c r="CH305" s="208">
        <v>0</v>
      </c>
      <c r="CI305" s="208">
        <v>-707</v>
      </c>
      <c r="CJ305" s="208">
        <v>-7392</v>
      </c>
      <c r="CK305" s="208">
        <v>0</v>
      </c>
      <c r="CL305" s="208">
        <v>-7392</v>
      </c>
      <c r="CM305" s="208">
        <v>10722</v>
      </c>
      <c r="CN305" s="208">
        <v>0</v>
      </c>
      <c r="CO305" s="208">
        <v>10722</v>
      </c>
      <c r="CP305" s="208">
        <v>-79</v>
      </c>
      <c r="CQ305" s="208">
        <v>0</v>
      </c>
      <c r="CR305" s="208">
        <v>-79</v>
      </c>
      <c r="CS305" s="208">
        <v>-77</v>
      </c>
      <c r="CT305" s="208">
        <v>0</v>
      </c>
      <c r="CU305" s="208">
        <v>-77</v>
      </c>
      <c r="CV305" s="208">
        <v>0</v>
      </c>
      <c r="CW305" s="208">
        <v>0</v>
      </c>
      <c r="CX305" s="208">
        <v>0</v>
      </c>
      <c r="CY305" s="208">
        <v>0</v>
      </c>
      <c r="CZ305" s="208">
        <v>0</v>
      </c>
      <c r="DA305" s="208">
        <v>0</v>
      </c>
      <c r="DB305" s="208">
        <v>0</v>
      </c>
      <c r="DC305" s="208">
        <v>0</v>
      </c>
      <c r="DD305" s="208">
        <v>0</v>
      </c>
      <c r="DE305" s="208">
        <v>0</v>
      </c>
      <c r="DF305" s="208">
        <v>0</v>
      </c>
      <c r="DG305" s="208">
        <v>0</v>
      </c>
      <c r="DH305" s="208">
        <v>0</v>
      </c>
      <c r="DI305" s="208">
        <v>0</v>
      </c>
      <c r="DJ305" s="208">
        <v>0</v>
      </c>
      <c r="DK305" s="208">
        <v>0</v>
      </c>
      <c r="DL305" s="208">
        <v>0</v>
      </c>
      <c r="DM305" s="208">
        <v>0</v>
      </c>
      <c r="DN305" s="208">
        <v>0</v>
      </c>
      <c r="DO305" s="208">
        <v>0</v>
      </c>
      <c r="DP305" s="208">
        <v>-88293</v>
      </c>
      <c r="DQ305" s="208">
        <v>0</v>
      </c>
      <c r="DR305" s="208">
        <v>-88293</v>
      </c>
      <c r="DS305" s="208">
        <v>0</v>
      </c>
      <c r="DT305" s="208">
        <v>0</v>
      </c>
      <c r="DU305" s="208">
        <v>0</v>
      </c>
      <c r="DV305" s="208">
        <v>0</v>
      </c>
      <c r="DW305" s="208">
        <v>0</v>
      </c>
      <c r="DX305" s="208">
        <v>0</v>
      </c>
      <c r="DY305" s="208">
        <v>1090</v>
      </c>
      <c r="DZ305" s="208">
        <v>0</v>
      </c>
      <c r="EA305" s="208">
        <v>1090</v>
      </c>
      <c r="EB305" s="208">
        <v>0</v>
      </c>
      <c r="EC305" s="208">
        <v>0</v>
      </c>
      <c r="ED305" s="208">
        <v>0</v>
      </c>
      <c r="EE305" s="208">
        <v>0</v>
      </c>
      <c r="EF305" s="208">
        <v>0</v>
      </c>
      <c r="EG305" s="208">
        <v>0</v>
      </c>
      <c r="EH305" s="208">
        <v>-12715</v>
      </c>
      <c r="EI305" s="208">
        <v>0</v>
      </c>
      <c r="EJ305" s="208">
        <v>-12715</v>
      </c>
      <c r="EK305" s="208">
        <v>-36832</v>
      </c>
      <c r="EL305" s="208">
        <v>0</v>
      </c>
      <c r="EM305" s="208">
        <v>-36832</v>
      </c>
      <c r="EN305" s="208">
        <v>-1172</v>
      </c>
      <c r="EO305" s="208">
        <v>0</v>
      </c>
      <c r="EP305" s="208">
        <v>-1172</v>
      </c>
      <c r="EQ305" s="208">
        <v>0</v>
      </c>
      <c r="ER305" s="208">
        <v>0</v>
      </c>
      <c r="ES305" s="208">
        <v>0</v>
      </c>
      <c r="ET305" s="208">
        <v>0</v>
      </c>
      <c r="EU305" s="208">
        <v>0</v>
      </c>
      <c r="EV305" s="208">
        <v>0</v>
      </c>
      <c r="EW305" s="208">
        <v>-56504</v>
      </c>
      <c r="EX305" s="208">
        <v>0</v>
      </c>
      <c r="EY305" s="208">
        <v>-56504</v>
      </c>
      <c r="EZ305" s="208">
        <v>109</v>
      </c>
      <c r="FA305" s="208">
        <v>0</v>
      </c>
      <c r="FB305" s="208">
        <v>109</v>
      </c>
      <c r="FC305" s="208">
        <v>-105744</v>
      </c>
      <c r="FD305" s="208">
        <v>0</v>
      </c>
      <c r="FE305" s="208">
        <v>-105744</v>
      </c>
      <c r="FF305" s="208">
        <v>-10270</v>
      </c>
      <c r="FG305" s="208">
        <v>0</v>
      </c>
      <c r="FH305" s="208">
        <v>-10270</v>
      </c>
      <c r="FI305" s="208">
        <v>-83873</v>
      </c>
      <c r="FJ305" s="208">
        <v>0</v>
      </c>
      <c r="FK305" s="208">
        <v>-83873</v>
      </c>
      <c r="FL305" s="208">
        <v>452</v>
      </c>
      <c r="FM305" s="208">
        <v>0</v>
      </c>
      <c r="FN305" s="208">
        <v>452</v>
      </c>
      <c r="FO305" s="208">
        <v>0</v>
      </c>
      <c r="FP305" s="208">
        <v>0</v>
      </c>
      <c r="FQ305" s="208">
        <v>0</v>
      </c>
      <c r="FR305" s="208">
        <v>0</v>
      </c>
      <c r="FS305" s="208">
        <v>0</v>
      </c>
      <c r="FT305" s="208">
        <v>0</v>
      </c>
      <c r="FU305" s="208">
        <v>-305459</v>
      </c>
      <c r="FV305" s="208">
        <v>0</v>
      </c>
      <c r="FW305" s="208">
        <v>-305459</v>
      </c>
      <c r="FX305" s="208">
        <v>0</v>
      </c>
      <c r="FY305" s="208">
        <v>0</v>
      </c>
      <c r="FZ305" s="208">
        <v>0</v>
      </c>
      <c r="GA305" s="208">
        <v>0</v>
      </c>
      <c r="GB305" s="208">
        <v>0</v>
      </c>
      <c r="GC305" s="208">
        <v>0</v>
      </c>
      <c r="GD305" s="208">
        <v>0</v>
      </c>
      <c r="GE305" s="208">
        <v>0</v>
      </c>
      <c r="GF305" s="208">
        <v>0</v>
      </c>
      <c r="GG305" s="208">
        <v>44839124</v>
      </c>
      <c r="GH305" s="208">
        <v>0</v>
      </c>
      <c r="GI305" s="208">
        <v>44839124</v>
      </c>
      <c r="GJ305" s="208">
        <v>-909189</v>
      </c>
      <c r="GK305" s="208">
        <v>0</v>
      </c>
      <c r="GL305" s="208">
        <v>-909189</v>
      </c>
      <c r="GM305" s="208">
        <v>-11356652</v>
      </c>
      <c r="GN305" s="208">
        <v>0</v>
      </c>
      <c r="GO305" s="208">
        <v>-11356652</v>
      </c>
      <c r="GP305" s="208">
        <v>-654138</v>
      </c>
      <c r="GQ305" s="208">
        <v>0</v>
      </c>
      <c r="GR305" s="208">
        <v>-654138</v>
      </c>
      <c r="GS305" s="208">
        <v>-88293</v>
      </c>
      <c r="GT305" s="208">
        <v>0</v>
      </c>
      <c r="GU305" s="208">
        <v>-88293</v>
      </c>
      <c r="GV305" s="208">
        <v>-305459</v>
      </c>
      <c r="GW305" s="208">
        <v>0</v>
      </c>
      <c r="GX305" s="208">
        <v>-305459</v>
      </c>
      <c r="GY305" s="208">
        <v>0</v>
      </c>
      <c r="GZ305" s="208">
        <v>0</v>
      </c>
      <c r="HA305" s="208">
        <v>0</v>
      </c>
      <c r="HB305" s="208">
        <v>-13313731</v>
      </c>
      <c r="HC305" s="208">
        <v>0</v>
      </c>
      <c r="HD305" s="208">
        <v>-13313731</v>
      </c>
      <c r="HE305" s="208">
        <v>31525393</v>
      </c>
      <c r="HF305" s="208">
        <v>0</v>
      </c>
      <c r="HG305" s="208">
        <v>31525393</v>
      </c>
      <c r="HH305" s="187" t="s">
        <v>1054</v>
      </c>
    </row>
    <row r="306" spans="2:216" s="187" customFormat="1" x14ac:dyDescent="0.2">
      <c r="B306" s="429" t="s">
        <v>690</v>
      </c>
      <c r="C306" s="429" t="s">
        <v>689</v>
      </c>
      <c r="D306" s="208">
        <v>-357233</v>
      </c>
      <c r="E306" s="208">
        <v>0</v>
      </c>
      <c r="F306" s="208">
        <v>-357233</v>
      </c>
      <c r="G306" s="208">
        <v>-95426</v>
      </c>
      <c r="H306" s="208">
        <v>0</v>
      </c>
      <c r="I306" s="208">
        <v>-95426</v>
      </c>
      <c r="J306" s="208">
        <v>701942</v>
      </c>
      <c r="K306" s="208">
        <v>0</v>
      </c>
      <c r="L306" s="208">
        <v>701942</v>
      </c>
      <c r="M306" s="208">
        <v>96512</v>
      </c>
      <c r="N306" s="208">
        <v>0</v>
      </c>
      <c r="O306" s="208">
        <v>96512</v>
      </c>
      <c r="P306" s="208">
        <v>345795</v>
      </c>
      <c r="Q306" s="208">
        <v>0</v>
      </c>
      <c r="R306" s="208">
        <v>345795</v>
      </c>
      <c r="S306" s="208">
        <v>-3421269</v>
      </c>
      <c r="T306" s="208">
        <v>0</v>
      </c>
      <c r="U306" s="208">
        <v>-3421269</v>
      </c>
      <c r="V306" s="208">
        <v>0</v>
      </c>
      <c r="W306" s="208">
        <v>0</v>
      </c>
      <c r="X306" s="208">
        <v>0</v>
      </c>
      <c r="Y306" s="208">
        <v>-66998</v>
      </c>
      <c r="Z306" s="208">
        <v>0</v>
      </c>
      <c r="AA306" s="208">
        <v>-66998</v>
      </c>
      <c r="AB306" s="208">
        <v>0</v>
      </c>
      <c r="AC306" s="208">
        <v>0</v>
      </c>
      <c r="AD306" s="208">
        <v>0</v>
      </c>
      <c r="AE306" s="208">
        <v>-66998</v>
      </c>
      <c r="AF306" s="208">
        <v>0</v>
      </c>
      <c r="AG306" s="208">
        <v>-66998</v>
      </c>
      <c r="AH306" s="208">
        <v>0</v>
      </c>
      <c r="AI306" s="208">
        <v>0</v>
      </c>
      <c r="AJ306" s="208">
        <v>0</v>
      </c>
      <c r="AK306" s="208">
        <v>0</v>
      </c>
      <c r="AL306" s="208">
        <v>0</v>
      </c>
      <c r="AM306" s="208">
        <v>0</v>
      </c>
      <c r="AN306" s="208">
        <v>653440</v>
      </c>
      <c r="AO306" s="208">
        <v>0</v>
      </c>
      <c r="AP306" s="208">
        <v>653440</v>
      </c>
      <c r="AQ306" s="208">
        <v>-16642</v>
      </c>
      <c r="AR306" s="208">
        <v>0</v>
      </c>
      <c r="AS306" s="208">
        <v>-16642</v>
      </c>
      <c r="AT306" s="208">
        <v>-1802128</v>
      </c>
      <c r="AU306" s="208">
        <v>0</v>
      </c>
      <c r="AV306" s="208">
        <v>-1802128</v>
      </c>
      <c r="AW306" s="208">
        <v>11313</v>
      </c>
      <c r="AX306" s="208">
        <v>0</v>
      </c>
      <c r="AY306" s="208">
        <v>11313</v>
      </c>
      <c r="AZ306" s="208">
        <v>-1499</v>
      </c>
      <c r="BA306" s="208">
        <v>0</v>
      </c>
      <c r="BB306" s="208">
        <v>-1499</v>
      </c>
      <c r="BC306" s="208">
        <v>0</v>
      </c>
      <c r="BD306" s="208">
        <v>0</v>
      </c>
      <c r="BE306" s="208">
        <v>0</v>
      </c>
      <c r="BF306" s="208">
        <v>0</v>
      </c>
      <c r="BG306" s="208">
        <v>0</v>
      </c>
      <c r="BH306" s="208">
        <v>0</v>
      </c>
      <c r="BI306" s="208">
        <v>0</v>
      </c>
      <c r="BJ306" s="208">
        <v>0</v>
      </c>
      <c r="BK306" s="208">
        <v>0</v>
      </c>
      <c r="BL306" s="208">
        <v>-4643783</v>
      </c>
      <c r="BM306" s="208">
        <v>0</v>
      </c>
      <c r="BN306" s="208">
        <v>-4643783</v>
      </c>
      <c r="BO306" s="208">
        <v>-191361</v>
      </c>
      <c r="BP306" s="208">
        <v>0</v>
      </c>
      <c r="BQ306" s="208">
        <v>-191361</v>
      </c>
      <c r="BR306" s="208">
        <v>202567</v>
      </c>
      <c r="BS306" s="208">
        <v>0</v>
      </c>
      <c r="BT306" s="208">
        <v>202567</v>
      </c>
      <c r="BU306" s="208">
        <v>-1107628</v>
      </c>
      <c r="BV306" s="208">
        <v>0</v>
      </c>
      <c r="BW306" s="208">
        <v>-1107628</v>
      </c>
      <c r="BX306" s="208">
        <v>-133419</v>
      </c>
      <c r="BY306" s="208">
        <v>0</v>
      </c>
      <c r="BZ306" s="208">
        <v>-133419</v>
      </c>
      <c r="CA306" s="208">
        <v>-1229841</v>
      </c>
      <c r="CB306" s="208">
        <v>0</v>
      </c>
      <c r="CC306" s="208">
        <v>-1229841</v>
      </c>
      <c r="CD306" s="208">
        <v>-86511</v>
      </c>
      <c r="CE306" s="208">
        <v>0</v>
      </c>
      <c r="CF306" s="208">
        <v>-86511</v>
      </c>
      <c r="CG306" s="208">
        <v>0</v>
      </c>
      <c r="CH306" s="208">
        <v>0</v>
      </c>
      <c r="CI306" s="208">
        <v>0</v>
      </c>
      <c r="CJ306" s="208">
        <v>-11436</v>
      </c>
      <c r="CK306" s="208">
        <v>0</v>
      </c>
      <c r="CL306" s="208">
        <v>-11436</v>
      </c>
      <c r="CM306" s="208">
        <v>0</v>
      </c>
      <c r="CN306" s="208">
        <v>0</v>
      </c>
      <c r="CO306" s="208">
        <v>0</v>
      </c>
      <c r="CP306" s="208">
        <v>-375</v>
      </c>
      <c r="CQ306" s="208">
        <v>0</v>
      </c>
      <c r="CR306" s="208">
        <v>-375</v>
      </c>
      <c r="CS306" s="208">
        <v>0</v>
      </c>
      <c r="CT306" s="208">
        <v>0</v>
      </c>
      <c r="CU306" s="208">
        <v>0</v>
      </c>
      <c r="CV306" s="208">
        <v>0</v>
      </c>
      <c r="CW306" s="208">
        <v>0</v>
      </c>
      <c r="CX306" s="208">
        <v>0</v>
      </c>
      <c r="CY306" s="208">
        <v>0</v>
      </c>
      <c r="CZ306" s="208">
        <v>0</v>
      </c>
      <c r="DA306" s="208">
        <v>0</v>
      </c>
      <c r="DB306" s="208">
        <v>0</v>
      </c>
      <c r="DC306" s="208">
        <v>0</v>
      </c>
      <c r="DD306" s="208">
        <v>0</v>
      </c>
      <c r="DE306" s="208">
        <v>0</v>
      </c>
      <c r="DF306" s="208">
        <v>0</v>
      </c>
      <c r="DG306" s="208">
        <v>0</v>
      </c>
      <c r="DH306" s="208">
        <v>0</v>
      </c>
      <c r="DI306" s="208">
        <v>0</v>
      </c>
      <c r="DJ306" s="208">
        <v>0</v>
      </c>
      <c r="DK306" s="208">
        <v>0</v>
      </c>
      <c r="DL306" s="208">
        <v>0</v>
      </c>
      <c r="DM306" s="208">
        <v>0</v>
      </c>
      <c r="DN306" s="208">
        <v>0</v>
      </c>
      <c r="DO306" s="208">
        <v>0</v>
      </c>
      <c r="DP306" s="208">
        <v>-98322</v>
      </c>
      <c r="DQ306" s="208">
        <v>0</v>
      </c>
      <c r="DR306" s="208">
        <v>-98322</v>
      </c>
      <c r="DS306" s="208">
        <v>0</v>
      </c>
      <c r="DT306" s="208">
        <v>0</v>
      </c>
      <c r="DU306" s="208">
        <v>0</v>
      </c>
      <c r="DV306" s="208">
        <v>4489</v>
      </c>
      <c r="DW306" s="208">
        <v>0</v>
      </c>
      <c r="DX306" s="208">
        <v>4489</v>
      </c>
      <c r="DY306" s="208">
        <v>4092</v>
      </c>
      <c r="DZ306" s="208">
        <v>0</v>
      </c>
      <c r="EA306" s="208">
        <v>4092</v>
      </c>
      <c r="EB306" s="208">
        <v>0</v>
      </c>
      <c r="EC306" s="208">
        <v>0</v>
      </c>
      <c r="ED306" s="208">
        <v>0</v>
      </c>
      <c r="EE306" s="208">
        <v>0</v>
      </c>
      <c r="EF306" s="208">
        <v>0</v>
      </c>
      <c r="EG306" s="208">
        <v>0</v>
      </c>
      <c r="EH306" s="208">
        <v>0</v>
      </c>
      <c r="EI306" s="208">
        <v>0</v>
      </c>
      <c r="EJ306" s="208">
        <v>0</v>
      </c>
      <c r="EK306" s="208">
        <v>0</v>
      </c>
      <c r="EL306" s="208">
        <v>0</v>
      </c>
      <c r="EM306" s="208">
        <v>0</v>
      </c>
      <c r="EN306" s="208">
        <v>0</v>
      </c>
      <c r="EO306" s="208">
        <v>0</v>
      </c>
      <c r="EP306" s="208">
        <v>0</v>
      </c>
      <c r="EQ306" s="208">
        <v>0</v>
      </c>
      <c r="ER306" s="208">
        <v>0</v>
      </c>
      <c r="ES306" s="208">
        <v>0</v>
      </c>
      <c r="ET306" s="208">
        <v>0</v>
      </c>
      <c r="EU306" s="208">
        <v>0</v>
      </c>
      <c r="EV306" s="208">
        <v>0</v>
      </c>
      <c r="EW306" s="208">
        <v>0</v>
      </c>
      <c r="EX306" s="208">
        <v>0</v>
      </c>
      <c r="EY306" s="208">
        <v>0</v>
      </c>
      <c r="EZ306" s="208">
        <v>0</v>
      </c>
      <c r="FA306" s="208">
        <v>0</v>
      </c>
      <c r="FB306" s="208">
        <v>0</v>
      </c>
      <c r="FC306" s="208">
        <v>-30836</v>
      </c>
      <c r="FD306" s="208">
        <v>0</v>
      </c>
      <c r="FE306" s="208">
        <v>-30836</v>
      </c>
      <c r="FF306" s="208">
        <v>6564</v>
      </c>
      <c r="FG306" s="208">
        <v>0</v>
      </c>
      <c r="FH306" s="208">
        <v>6564</v>
      </c>
      <c r="FI306" s="208">
        <v>-21689</v>
      </c>
      <c r="FJ306" s="208">
        <v>0</v>
      </c>
      <c r="FK306" s="208">
        <v>-21689</v>
      </c>
      <c r="FL306" s="208">
        <v>-1490</v>
      </c>
      <c r="FM306" s="208">
        <v>0</v>
      </c>
      <c r="FN306" s="208">
        <v>-1490</v>
      </c>
      <c r="FO306" s="208">
        <v>0</v>
      </c>
      <c r="FP306" s="208">
        <v>0</v>
      </c>
      <c r="FQ306" s="208">
        <v>0</v>
      </c>
      <c r="FR306" s="208">
        <v>0</v>
      </c>
      <c r="FS306" s="208">
        <v>0</v>
      </c>
      <c r="FT306" s="208">
        <v>0</v>
      </c>
      <c r="FU306" s="208">
        <v>-38870</v>
      </c>
      <c r="FV306" s="208">
        <v>0</v>
      </c>
      <c r="FW306" s="208">
        <v>-38870</v>
      </c>
      <c r="FX306" s="208">
        <v>0</v>
      </c>
      <c r="FY306" s="208">
        <v>0</v>
      </c>
      <c r="FZ306" s="208">
        <v>0</v>
      </c>
      <c r="GA306" s="208">
        <v>0</v>
      </c>
      <c r="GB306" s="208">
        <v>0</v>
      </c>
      <c r="GC306" s="208">
        <v>0</v>
      </c>
      <c r="GD306" s="208">
        <v>0</v>
      </c>
      <c r="GE306" s="208">
        <v>0</v>
      </c>
      <c r="GF306" s="208">
        <v>0</v>
      </c>
      <c r="GG306" s="208">
        <v>33825432</v>
      </c>
      <c r="GH306" s="208">
        <v>0</v>
      </c>
      <c r="GI306" s="208">
        <v>33825432</v>
      </c>
      <c r="GJ306" s="208">
        <v>345795</v>
      </c>
      <c r="GK306" s="208">
        <v>0</v>
      </c>
      <c r="GL306" s="208">
        <v>345795</v>
      </c>
      <c r="GM306" s="208">
        <v>-4643783</v>
      </c>
      <c r="GN306" s="208">
        <v>0</v>
      </c>
      <c r="GO306" s="208">
        <v>-4643783</v>
      </c>
      <c r="GP306" s="208">
        <v>-1229841</v>
      </c>
      <c r="GQ306" s="208">
        <v>0</v>
      </c>
      <c r="GR306" s="208">
        <v>-1229841</v>
      </c>
      <c r="GS306" s="208">
        <v>-98322</v>
      </c>
      <c r="GT306" s="208">
        <v>0</v>
      </c>
      <c r="GU306" s="208">
        <v>-98322</v>
      </c>
      <c r="GV306" s="208">
        <v>-38870</v>
      </c>
      <c r="GW306" s="208">
        <v>0</v>
      </c>
      <c r="GX306" s="208">
        <v>-38870</v>
      </c>
      <c r="GY306" s="208">
        <v>0</v>
      </c>
      <c r="GZ306" s="208">
        <v>0</v>
      </c>
      <c r="HA306" s="208">
        <v>0</v>
      </c>
      <c r="HB306" s="208">
        <v>-5665021</v>
      </c>
      <c r="HC306" s="208">
        <v>0</v>
      </c>
      <c r="HD306" s="208">
        <v>-5665021</v>
      </c>
      <c r="HE306" s="208">
        <v>28160411</v>
      </c>
      <c r="HF306" s="208">
        <v>0</v>
      </c>
      <c r="HG306" s="208">
        <v>28160411</v>
      </c>
      <c r="HH306" s="187" t="s">
        <v>1054</v>
      </c>
    </row>
    <row r="307" spans="2:216" s="187" customFormat="1" x14ac:dyDescent="0.2">
      <c r="B307" s="429" t="s">
        <v>692</v>
      </c>
      <c r="C307" s="429" t="s">
        <v>691</v>
      </c>
      <c r="D307" s="208">
        <v>-959572</v>
      </c>
      <c r="E307" s="208">
        <v>0</v>
      </c>
      <c r="F307" s="208">
        <v>-959572</v>
      </c>
      <c r="G307" s="208">
        <v>-517484</v>
      </c>
      <c r="H307" s="208">
        <v>0</v>
      </c>
      <c r="I307" s="208">
        <v>-517484</v>
      </c>
      <c r="J307" s="208">
        <v>1545449</v>
      </c>
      <c r="K307" s="208">
        <v>0</v>
      </c>
      <c r="L307" s="208">
        <v>1545449</v>
      </c>
      <c r="M307" s="208">
        <v>259560</v>
      </c>
      <c r="N307" s="208">
        <v>0</v>
      </c>
      <c r="O307" s="208">
        <v>259560</v>
      </c>
      <c r="P307" s="208">
        <v>327953</v>
      </c>
      <c r="Q307" s="208">
        <v>0</v>
      </c>
      <c r="R307" s="208">
        <v>327953</v>
      </c>
      <c r="S307" s="208">
        <v>-2185350</v>
      </c>
      <c r="T307" s="208">
        <v>0</v>
      </c>
      <c r="U307" s="208">
        <v>-2185350</v>
      </c>
      <c r="V307" s="208">
        <v>0</v>
      </c>
      <c r="W307" s="208">
        <v>0</v>
      </c>
      <c r="X307" s="208">
        <v>0</v>
      </c>
      <c r="Y307" s="208">
        <v>-97720</v>
      </c>
      <c r="Z307" s="208">
        <v>0</v>
      </c>
      <c r="AA307" s="208">
        <v>-97720</v>
      </c>
      <c r="AB307" s="208">
        <v>-14718</v>
      </c>
      <c r="AC307" s="208">
        <v>0</v>
      </c>
      <c r="AD307" s="208">
        <v>-14718</v>
      </c>
      <c r="AE307" s="208">
        <v>-80573</v>
      </c>
      <c r="AF307" s="208">
        <v>0</v>
      </c>
      <c r="AG307" s="208">
        <v>-80573</v>
      </c>
      <c r="AH307" s="208">
        <v>0</v>
      </c>
      <c r="AI307" s="208">
        <v>0</v>
      </c>
      <c r="AJ307" s="208">
        <v>0</v>
      </c>
      <c r="AK307" s="208">
        <v>0</v>
      </c>
      <c r="AL307" s="208">
        <v>0</v>
      </c>
      <c r="AM307" s="208">
        <v>0</v>
      </c>
      <c r="AN307" s="208">
        <v>1541481</v>
      </c>
      <c r="AO307" s="208">
        <v>0</v>
      </c>
      <c r="AP307" s="208">
        <v>1541481</v>
      </c>
      <c r="AQ307" s="208">
        <v>-41332</v>
      </c>
      <c r="AR307" s="208">
        <v>0</v>
      </c>
      <c r="AS307" s="208">
        <v>-41332</v>
      </c>
      <c r="AT307" s="208">
        <v>-6988645</v>
      </c>
      <c r="AU307" s="208">
        <v>0</v>
      </c>
      <c r="AV307" s="208">
        <v>-6988645</v>
      </c>
      <c r="AW307" s="208">
        <v>113969</v>
      </c>
      <c r="AX307" s="208">
        <v>0</v>
      </c>
      <c r="AY307" s="208">
        <v>113969</v>
      </c>
      <c r="AZ307" s="208">
        <v>-59781</v>
      </c>
      <c r="BA307" s="208">
        <v>0</v>
      </c>
      <c r="BB307" s="208">
        <v>-59781</v>
      </c>
      <c r="BC307" s="208">
        <v>0</v>
      </c>
      <c r="BD307" s="208">
        <v>0</v>
      </c>
      <c r="BE307" s="208">
        <v>0</v>
      </c>
      <c r="BF307" s="208">
        <v>0</v>
      </c>
      <c r="BG307" s="208">
        <v>0</v>
      </c>
      <c r="BH307" s="208">
        <v>0</v>
      </c>
      <c r="BI307" s="208">
        <v>0</v>
      </c>
      <c r="BJ307" s="208">
        <v>0</v>
      </c>
      <c r="BK307" s="208">
        <v>0</v>
      </c>
      <c r="BL307" s="208">
        <v>-7717378</v>
      </c>
      <c r="BM307" s="208">
        <v>0</v>
      </c>
      <c r="BN307" s="208">
        <v>-7717378</v>
      </c>
      <c r="BO307" s="208">
        <v>-54561</v>
      </c>
      <c r="BP307" s="208">
        <v>0</v>
      </c>
      <c r="BQ307" s="208">
        <v>-54561</v>
      </c>
      <c r="BR307" s="208">
        <v>8025</v>
      </c>
      <c r="BS307" s="208">
        <v>0</v>
      </c>
      <c r="BT307" s="208">
        <v>8025</v>
      </c>
      <c r="BU307" s="208">
        <v>-1063662</v>
      </c>
      <c r="BV307" s="208">
        <v>0</v>
      </c>
      <c r="BW307" s="208">
        <v>-1063662</v>
      </c>
      <c r="BX307" s="208">
        <v>358321</v>
      </c>
      <c r="BY307" s="208">
        <v>0</v>
      </c>
      <c r="BZ307" s="208">
        <v>358321</v>
      </c>
      <c r="CA307" s="208">
        <v>-751877</v>
      </c>
      <c r="CB307" s="208">
        <v>0</v>
      </c>
      <c r="CC307" s="208">
        <v>-751877</v>
      </c>
      <c r="CD307" s="208">
        <v>-212500</v>
      </c>
      <c r="CE307" s="208">
        <v>0</v>
      </c>
      <c r="CF307" s="208">
        <v>-212500</v>
      </c>
      <c r="CG307" s="208">
        <v>-1373</v>
      </c>
      <c r="CH307" s="208">
        <v>0</v>
      </c>
      <c r="CI307" s="208">
        <v>-1373</v>
      </c>
      <c r="CJ307" s="208">
        <v>-31404</v>
      </c>
      <c r="CK307" s="208">
        <v>0</v>
      </c>
      <c r="CL307" s="208">
        <v>-31404</v>
      </c>
      <c r="CM307" s="208">
        <v>0</v>
      </c>
      <c r="CN307" s="208">
        <v>0</v>
      </c>
      <c r="CO307" s="208">
        <v>0</v>
      </c>
      <c r="CP307" s="208">
        <v>-7847</v>
      </c>
      <c r="CQ307" s="208">
        <v>0</v>
      </c>
      <c r="CR307" s="208">
        <v>-7847</v>
      </c>
      <c r="CS307" s="208">
        <v>0</v>
      </c>
      <c r="CT307" s="208">
        <v>0</v>
      </c>
      <c r="CU307" s="208">
        <v>0</v>
      </c>
      <c r="CV307" s="208">
        <v>0</v>
      </c>
      <c r="CW307" s="208">
        <v>0</v>
      </c>
      <c r="CX307" s="208">
        <v>0</v>
      </c>
      <c r="CY307" s="208">
        <v>0</v>
      </c>
      <c r="CZ307" s="208">
        <v>0</v>
      </c>
      <c r="DA307" s="208">
        <v>0</v>
      </c>
      <c r="DB307" s="208">
        <v>0</v>
      </c>
      <c r="DC307" s="208">
        <v>0</v>
      </c>
      <c r="DD307" s="208">
        <v>0</v>
      </c>
      <c r="DE307" s="208">
        <v>0</v>
      </c>
      <c r="DF307" s="208">
        <v>0</v>
      </c>
      <c r="DG307" s="208">
        <v>0</v>
      </c>
      <c r="DH307" s="208">
        <v>0</v>
      </c>
      <c r="DI307" s="208">
        <v>0</v>
      </c>
      <c r="DJ307" s="208">
        <v>0</v>
      </c>
      <c r="DK307" s="208">
        <v>0</v>
      </c>
      <c r="DL307" s="208">
        <v>0</v>
      </c>
      <c r="DM307" s="208">
        <v>0</v>
      </c>
      <c r="DN307" s="208">
        <v>0</v>
      </c>
      <c r="DO307" s="208">
        <v>0</v>
      </c>
      <c r="DP307" s="208">
        <v>-253124</v>
      </c>
      <c r="DQ307" s="208">
        <v>0</v>
      </c>
      <c r="DR307" s="208">
        <v>-253124</v>
      </c>
      <c r="DS307" s="208">
        <v>0</v>
      </c>
      <c r="DT307" s="208">
        <v>0</v>
      </c>
      <c r="DU307" s="208">
        <v>0</v>
      </c>
      <c r="DV307" s="208">
        <v>0</v>
      </c>
      <c r="DW307" s="208">
        <v>0</v>
      </c>
      <c r="DX307" s="208">
        <v>0</v>
      </c>
      <c r="DY307" s="208">
        <v>0</v>
      </c>
      <c r="DZ307" s="208">
        <v>0</v>
      </c>
      <c r="EA307" s="208">
        <v>0</v>
      </c>
      <c r="EB307" s="208">
        <v>0</v>
      </c>
      <c r="EC307" s="208">
        <v>0</v>
      </c>
      <c r="ED307" s="208">
        <v>0</v>
      </c>
      <c r="EE307" s="208">
        <v>0</v>
      </c>
      <c r="EF307" s="208">
        <v>0</v>
      </c>
      <c r="EG307" s="208">
        <v>0</v>
      </c>
      <c r="EH307" s="208">
        <v>0</v>
      </c>
      <c r="EI307" s="208">
        <v>0</v>
      </c>
      <c r="EJ307" s="208">
        <v>0</v>
      </c>
      <c r="EK307" s="208">
        <v>0</v>
      </c>
      <c r="EL307" s="208">
        <v>0</v>
      </c>
      <c r="EM307" s="208">
        <v>0</v>
      </c>
      <c r="EN307" s="208">
        <v>0</v>
      </c>
      <c r="EO307" s="208">
        <v>0</v>
      </c>
      <c r="EP307" s="208">
        <v>0</v>
      </c>
      <c r="EQ307" s="208">
        <v>-1500</v>
      </c>
      <c r="ER307" s="208">
        <v>0</v>
      </c>
      <c r="ES307" s="208">
        <v>-1500</v>
      </c>
      <c r="ET307" s="208">
        <v>0</v>
      </c>
      <c r="EU307" s="208">
        <v>0</v>
      </c>
      <c r="EV307" s="208">
        <v>0</v>
      </c>
      <c r="EW307" s="208">
        <v>-50195</v>
      </c>
      <c r="EX307" s="208">
        <v>0</v>
      </c>
      <c r="EY307" s="208">
        <v>-50195</v>
      </c>
      <c r="EZ307" s="208">
        <v>251</v>
      </c>
      <c r="FA307" s="208">
        <v>0</v>
      </c>
      <c r="FB307" s="208">
        <v>251</v>
      </c>
      <c r="FC307" s="208">
        <v>-107999</v>
      </c>
      <c r="FD307" s="208">
        <v>0</v>
      </c>
      <c r="FE307" s="208">
        <v>-107999</v>
      </c>
      <c r="FF307" s="208">
        <v>0</v>
      </c>
      <c r="FG307" s="208">
        <v>0</v>
      </c>
      <c r="FH307" s="208">
        <v>0</v>
      </c>
      <c r="FI307" s="208">
        <v>-36666</v>
      </c>
      <c r="FJ307" s="208">
        <v>0</v>
      </c>
      <c r="FK307" s="208">
        <v>-36666</v>
      </c>
      <c r="FL307" s="208">
        <v>-729</v>
      </c>
      <c r="FM307" s="208">
        <v>0</v>
      </c>
      <c r="FN307" s="208">
        <v>-729</v>
      </c>
      <c r="FO307" s="208">
        <v>0</v>
      </c>
      <c r="FP307" s="208">
        <v>0</v>
      </c>
      <c r="FQ307" s="208">
        <v>0</v>
      </c>
      <c r="FR307" s="208">
        <v>0</v>
      </c>
      <c r="FS307" s="208">
        <v>0</v>
      </c>
      <c r="FT307" s="208">
        <v>0</v>
      </c>
      <c r="FU307" s="208">
        <v>-196838</v>
      </c>
      <c r="FV307" s="208">
        <v>0</v>
      </c>
      <c r="FW307" s="208">
        <v>-196838</v>
      </c>
      <c r="FX307" s="208">
        <v>0</v>
      </c>
      <c r="FY307" s="208">
        <v>0</v>
      </c>
      <c r="FZ307" s="208">
        <v>0</v>
      </c>
      <c r="GA307" s="208">
        <v>0</v>
      </c>
      <c r="GB307" s="208">
        <v>0</v>
      </c>
      <c r="GC307" s="208">
        <v>0</v>
      </c>
      <c r="GD307" s="208">
        <v>0</v>
      </c>
      <c r="GE307" s="208">
        <v>0</v>
      </c>
      <c r="GF307" s="208">
        <v>0</v>
      </c>
      <c r="GG307" s="208">
        <v>68003722</v>
      </c>
      <c r="GH307" s="208">
        <v>0</v>
      </c>
      <c r="GI307" s="208">
        <v>68003722</v>
      </c>
      <c r="GJ307" s="208">
        <v>327953</v>
      </c>
      <c r="GK307" s="208">
        <v>0</v>
      </c>
      <c r="GL307" s="208">
        <v>327953</v>
      </c>
      <c r="GM307" s="208">
        <v>-7717378</v>
      </c>
      <c r="GN307" s="208">
        <v>0</v>
      </c>
      <c r="GO307" s="208">
        <v>-7717378</v>
      </c>
      <c r="GP307" s="208">
        <v>-751877</v>
      </c>
      <c r="GQ307" s="208">
        <v>0</v>
      </c>
      <c r="GR307" s="208">
        <v>-751877</v>
      </c>
      <c r="GS307" s="208">
        <v>-253124</v>
      </c>
      <c r="GT307" s="208">
        <v>0</v>
      </c>
      <c r="GU307" s="208">
        <v>-253124</v>
      </c>
      <c r="GV307" s="208">
        <v>-196838</v>
      </c>
      <c r="GW307" s="208">
        <v>0</v>
      </c>
      <c r="GX307" s="208">
        <v>-196838</v>
      </c>
      <c r="GY307" s="208">
        <v>0</v>
      </c>
      <c r="GZ307" s="208">
        <v>0</v>
      </c>
      <c r="HA307" s="208">
        <v>0</v>
      </c>
      <c r="HB307" s="208">
        <v>-8591264</v>
      </c>
      <c r="HC307" s="208">
        <v>0</v>
      </c>
      <c r="HD307" s="208">
        <v>-8591264</v>
      </c>
      <c r="HE307" s="208">
        <v>59412458</v>
      </c>
      <c r="HF307" s="208">
        <v>0</v>
      </c>
      <c r="HG307" s="208">
        <v>59412458</v>
      </c>
      <c r="HH307" s="187" t="s">
        <v>1054</v>
      </c>
    </row>
    <row r="308" spans="2:216" s="187" customFormat="1" x14ac:dyDescent="0.2">
      <c r="B308" s="429" t="s">
        <v>694</v>
      </c>
      <c r="C308" s="429" t="s">
        <v>693</v>
      </c>
      <c r="D308" s="208">
        <v>-2017144</v>
      </c>
      <c r="E308" s="208">
        <v>0</v>
      </c>
      <c r="F308" s="208">
        <v>-2017144</v>
      </c>
      <c r="G308" s="208">
        <v>150993</v>
      </c>
      <c r="H308" s="208">
        <v>0</v>
      </c>
      <c r="I308" s="208">
        <v>150993</v>
      </c>
      <c r="J308" s="208">
        <v>3117904</v>
      </c>
      <c r="K308" s="208">
        <v>0</v>
      </c>
      <c r="L308" s="208">
        <v>3117904</v>
      </c>
      <c r="M308" s="208">
        <v>-106833</v>
      </c>
      <c r="N308" s="208">
        <v>0</v>
      </c>
      <c r="O308" s="208">
        <v>-106833</v>
      </c>
      <c r="P308" s="208">
        <v>1144920</v>
      </c>
      <c r="Q308" s="208">
        <v>0</v>
      </c>
      <c r="R308" s="208">
        <v>1144920</v>
      </c>
      <c r="S308" s="208">
        <v>-4730974</v>
      </c>
      <c r="T308" s="208">
        <v>0</v>
      </c>
      <c r="U308" s="208">
        <v>-4730974</v>
      </c>
      <c r="V308" s="208">
        <v>-13024</v>
      </c>
      <c r="W308" s="208">
        <v>0</v>
      </c>
      <c r="X308" s="208">
        <v>-13024</v>
      </c>
      <c r="Y308" s="208">
        <v>-371373</v>
      </c>
      <c r="Z308" s="208">
        <v>0</v>
      </c>
      <c r="AA308" s="208">
        <v>-371373</v>
      </c>
      <c r="AB308" s="208">
        <v>-92396</v>
      </c>
      <c r="AC308" s="208">
        <v>0</v>
      </c>
      <c r="AD308" s="208">
        <v>-92396</v>
      </c>
      <c r="AE308" s="208">
        <v>-272883</v>
      </c>
      <c r="AF308" s="208">
        <v>0</v>
      </c>
      <c r="AG308" s="208">
        <v>-272883</v>
      </c>
      <c r="AH308" s="208">
        <v>2087</v>
      </c>
      <c r="AI308" s="208">
        <v>0</v>
      </c>
      <c r="AJ308" s="208">
        <v>2087</v>
      </c>
      <c r="AK308" s="208">
        <v>-3086</v>
      </c>
      <c r="AL308" s="208">
        <v>0</v>
      </c>
      <c r="AM308" s="208">
        <v>-3086</v>
      </c>
      <c r="AN308" s="208">
        <v>1965978</v>
      </c>
      <c r="AO308" s="208">
        <v>0</v>
      </c>
      <c r="AP308" s="208">
        <v>1965978</v>
      </c>
      <c r="AQ308" s="208">
        <v>62303</v>
      </c>
      <c r="AR308" s="208">
        <v>0</v>
      </c>
      <c r="AS308" s="208">
        <v>62303</v>
      </c>
      <c r="AT308" s="208">
        <v>-5025026</v>
      </c>
      <c r="AU308" s="208">
        <v>0</v>
      </c>
      <c r="AV308" s="208">
        <v>-5025026</v>
      </c>
      <c r="AW308" s="208">
        <v>-2991</v>
      </c>
      <c r="AX308" s="208">
        <v>0</v>
      </c>
      <c r="AY308" s="208">
        <v>-2991</v>
      </c>
      <c r="AZ308" s="208">
        <v>-70711</v>
      </c>
      <c r="BA308" s="208">
        <v>0</v>
      </c>
      <c r="BB308" s="208">
        <v>-70711</v>
      </c>
      <c r="BC308" s="208">
        <v>0</v>
      </c>
      <c r="BD308" s="208">
        <v>0</v>
      </c>
      <c r="BE308" s="208">
        <v>0</v>
      </c>
      <c r="BF308" s="208">
        <v>-9245</v>
      </c>
      <c r="BG308" s="208">
        <v>0</v>
      </c>
      <c r="BH308" s="208">
        <v>-9245</v>
      </c>
      <c r="BI308" s="208">
        <v>0</v>
      </c>
      <c r="BJ308" s="208">
        <v>0</v>
      </c>
      <c r="BK308" s="208">
        <v>0</v>
      </c>
      <c r="BL308" s="208">
        <v>-8182039</v>
      </c>
      <c r="BM308" s="208">
        <v>0</v>
      </c>
      <c r="BN308" s="208">
        <v>-8182039</v>
      </c>
      <c r="BO308" s="208">
        <v>0</v>
      </c>
      <c r="BP308" s="208">
        <v>0</v>
      </c>
      <c r="BQ308" s="208">
        <v>0</v>
      </c>
      <c r="BR308" s="208">
        <v>0</v>
      </c>
      <c r="BS308" s="208">
        <v>0</v>
      </c>
      <c r="BT308" s="208">
        <v>0</v>
      </c>
      <c r="BU308" s="208">
        <v>-3006754</v>
      </c>
      <c r="BV308" s="208">
        <v>0</v>
      </c>
      <c r="BW308" s="208">
        <v>-3006754</v>
      </c>
      <c r="BX308" s="208">
        <v>613123</v>
      </c>
      <c r="BY308" s="208">
        <v>0</v>
      </c>
      <c r="BZ308" s="208">
        <v>613123</v>
      </c>
      <c r="CA308" s="208">
        <v>-2393631</v>
      </c>
      <c r="CB308" s="208">
        <v>0</v>
      </c>
      <c r="CC308" s="208">
        <v>-2393631</v>
      </c>
      <c r="CD308" s="208">
        <v>-65556</v>
      </c>
      <c r="CE308" s="208">
        <v>0</v>
      </c>
      <c r="CF308" s="208">
        <v>-65556</v>
      </c>
      <c r="CG308" s="208">
        <v>-390</v>
      </c>
      <c r="CH308" s="208">
        <v>0</v>
      </c>
      <c r="CI308" s="208">
        <v>-390</v>
      </c>
      <c r="CJ308" s="208">
        <v>-25312</v>
      </c>
      <c r="CK308" s="208">
        <v>0</v>
      </c>
      <c r="CL308" s="208">
        <v>-25312</v>
      </c>
      <c r="CM308" s="208">
        <v>-4019</v>
      </c>
      <c r="CN308" s="208">
        <v>0</v>
      </c>
      <c r="CO308" s="208">
        <v>-4019</v>
      </c>
      <c r="CP308" s="208">
        <v>-8870</v>
      </c>
      <c r="CQ308" s="208">
        <v>0</v>
      </c>
      <c r="CR308" s="208">
        <v>-8870</v>
      </c>
      <c r="CS308" s="208">
        <v>3274</v>
      </c>
      <c r="CT308" s="208">
        <v>0</v>
      </c>
      <c r="CU308" s="208">
        <v>3274</v>
      </c>
      <c r="CV308" s="208">
        <v>0</v>
      </c>
      <c r="CW308" s="208">
        <v>0</v>
      </c>
      <c r="CX308" s="208">
        <v>0</v>
      </c>
      <c r="CY308" s="208">
        <v>0</v>
      </c>
      <c r="CZ308" s="208">
        <v>0</v>
      </c>
      <c r="DA308" s="208">
        <v>0</v>
      </c>
      <c r="DB308" s="208">
        <v>-9473</v>
      </c>
      <c r="DC308" s="208">
        <v>0</v>
      </c>
      <c r="DD308" s="208">
        <v>-9473</v>
      </c>
      <c r="DE308" s="208">
        <v>1724</v>
      </c>
      <c r="DF308" s="208">
        <v>0</v>
      </c>
      <c r="DG308" s="208">
        <v>1724</v>
      </c>
      <c r="DH308" s="208">
        <v>-5706</v>
      </c>
      <c r="DI308" s="208">
        <v>0</v>
      </c>
      <c r="DJ308" s="208">
        <v>-5706</v>
      </c>
      <c r="DK308" s="208">
        <v>-1724</v>
      </c>
      <c r="DL308" s="208">
        <v>0</v>
      </c>
      <c r="DM308" s="208">
        <v>-1724</v>
      </c>
      <c r="DN308" s="208">
        <v>0</v>
      </c>
      <c r="DO308" s="208">
        <v>0</v>
      </c>
      <c r="DP308" s="208">
        <v>-116052</v>
      </c>
      <c r="DQ308" s="208">
        <v>0</v>
      </c>
      <c r="DR308" s="208">
        <v>-116052</v>
      </c>
      <c r="DS308" s="208">
        <v>0</v>
      </c>
      <c r="DT308" s="208">
        <v>0</v>
      </c>
      <c r="DU308" s="208">
        <v>0</v>
      </c>
      <c r="DV308" s="208">
        <v>283</v>
      </c>
      <c r="DW308" s="208">
        <v>0</v>
      </c>
      <c r="DX308" s="208">
        <v>283</v>
      </c>
      <c r="DY308" s="208">
        <v>0</v>
      </c>
      <c r="DZ308" s="208">
        <v>0</v>
      </c>
      <c r="EA308" s="208">
        <v>0</v>
      </c>
      <c r="EB308" s="208">
        <v>0</v>
      </c>
      <c r="EC308" s="208">
        <v>0</v>
      </c>
      <c r="ED308" s="208">
        <v>0</v>
      </c>
      <c r="EE308" s="208">
        <v>0</v>
      </c>
      <c r="EF308" s="208">
        <v>0</v>
      </c>
      <c r="EG308" s="208">
        <v>0</v>
      </c>
      <c r="EH308" s="208">
        <v>0</v>
      </c>
      <c r="EI308" s="208">
        <v>0</v>
      </c>
      <c r="EJ308" s="208">
        <v>0</v>
      </c>
      <c r="EK308" s="208">
        <v>0</v>
      </c>
      <c r="EL308" s="208">
        <v>0</v>
      </c>
      <c r="EM308" s="208">
        <v>0</v>
      </c>
      <c r="EN308" s="208">
        <v>0</v>
      </c>
      <c r="EO308" s="208">
        <v>0</v>
      </c>
      <c r="EP308" s="208">
        <v>0</v>
      </c>
      <c r="EQ308" s="208">
        <v>0</v>
      </c>
      <c r="ER308" s="208">
        <v>0</v>
      </c>
      <c r="ES308" s="208">
        <v>0</v>
      </c>
      <c r="ET308" s="208">
        <v>0</v>
      </c>
      <c r="EU308" s="208">
        <v>0</v>
      </c>
      <c r="EV308" s="208">
        <v>0</v>
      </c>
      <c r="EW308" s="208">
        <v>-53073</v>
      </c>
      <c r="EX308" s="208">
        <v>0</v>
      </c>
      <c r="EY308" s="208">
        <v>-53073</v>
      </c>
      <c r="EZ308" s="208">
        <v>2564</v>
      </c>
      <c r="FA308" s="208">
        <v>0</v>
      </c>
      <c r="FB308" s="208">
        <v>2564</v>
      </c>
      <c r="FC308" s="208">
        <v>-258998</v>
      </c>
      <c r="FD308" s="208">
        <v>0</v>
      </c>
      <c r="FE308" s="208">
        <v>-258998</v>
      </c>
      <c r="FF308" s="208">
        <v>29588</v>
      </c>
      <c r="FG308" s="208">
        <v>0</v>
      </c>
      <c r="FH308" s="208">
        <v>29588</v>
      </c>
      <c r="FI308" s="208">
        <v>-88194</v>
      </c>
      <c r="FJ308" s="208">
        <v>0</v>
      </c>
      <c r="FK308" s="208">
        <v>-88194</v>
      </c>
      <c r="FL308" s="208">
        <v>2219</v>
      </c>
      <c r="FM308" s="208">
        <v>0</v>
      </c>
      <c r="FN308" s="208">
        <v>2219</v>
      </c>
      <c r="FO308" s="208">
        <v>0</v>
      </c>
      <c r="FP308" s="208">
        <v>0</v>
      </c>
      <c r="FQ308" s="208">
        <v>0</v>
      </c>
      <c r="FR308" s="208">
        <v>0</v>
      </c>
      <c r="FS308" s="208">
        <v>0</v>
      </c>
      <c r="FT308" s="208">
        <v>0</v>
      </c>
      <c r="FU308" s="208">
        <v>-365611</v>
      </c>
      <c r="FV308" s="208">
        <v>0</v>
      </c>
      <c r="FW308" s="208">
        <v>-365611</v>
      </c>
      <c r="FX308" s="208">
        <v>0</v>
      </c>
      <c r="FY308" s="208">
        <v>0</v>
      </c>
      <c r="FZ308" s="208">
        <v>0</v>
      </c>
      <c r="GA308" s="208">
        <v>0</v>
      </c>
      <c r="GB308" s="208">
        <v>0</v>
      </c>
      <c r="GC308" s="208">
        <v>0</v>
      </c>
      <c r="GD308" s="208">
        <v>0</v>
      </c>
      <c r="GE308" s="208">
        <v>0</v>
      </c>
      <c r="GF308" s="208">
        <v>0</v>
      </c>
      <c r="GG308" s="208">
        <v>94143826</v>
      </c>
      <c r="GH308" s="208">
        <v>0</v>
      </c>
      <c r="GI308" s="208">
        <v>94143826</v>
      </c>
      <c r="GJ308" s="208">
        <v>1144920</v>
      </c>
      <c r="GK308" s="208">
        <v>0</v>
      </c>
      <c r="GL308" s="208">
        <v>1144920</v>
      </c>
      <c r="GM308" s="208">
        <v>-8182039</v>
      </c>
      <c r="GN308" s="208">
        <v>0</v>
      </c>
      <c r="GO308" s="208">
        <v>-8182039</v>
      </c>
      <c r="GP308" s="208">
        <v>-2393631</v>
      </c>
      <c r="GQ308" s="208">
        <v>0</v>
      </c>
      <c r="GR308" s="208">
        <v>-2393631</v>
      </c>
      <c r="GS308" s="208">
        <v>-116052</v>
      </c>
      <c r="GT308" s="208">
        <v>0</v>
      </c>
      <c r="GU308" s="208">
        <v>-116052</v>
      </c>
      <c r="GV308" s="208">
        <v>-365611</v>
      </c>
      <c r="GW308" s="208">
        <v>0</v>
      </c>
      <c r="GX308" s="208">
        <v>-365611</v>
      </c>
      <c r="GY308" s="208">
        <v>0</v>
      </c>
      <c r="GZ308" s="208">
        <v>0</v>
      </c>
      <c r="HA308" s="208">
        <v>0</v>
      </c>
      <c r="HB308" s="208">
        <v>-9912413</v>
      </c>
      <c r="HC308" s="208">
        <v>0</v>
      </c>
      <c r="HD308" s="208">
        <v>-9912413</v>
      </c>
      <c r="HE308" s="208">
        <v>84231413</v>
      </c>
      <c r="HF308" s="208">
        <v>0</v>
      </c>
      <c r="HG308" s="208">
        <v>84231413</v>
      </c>
      <c r="HH308" s="187" t="s">
        <v>742</v>
      </c>
    </row>
    <row r="309" spans="2:216" s="187" customFormat="1" x14ac:dyDescent="0.2">
      <c r="B309" s="429" t="s">
        <v>696</v>
      </c>
      <c r="C309" s="429" t="s">
        <v>695</v>
      </c>
      <c r="D309" s="208">
        <v>-465415</v>
      </c>
      <c r="E309" s="208">
        <v>0</v>
      </c>
      <c r="F309" s="208">
        <v>-465415</v>
      </c>
      <c r="G309" s="208">
        <v>2530</v>
      </c>
      <c r="H309" s="208">
        <v>0</v>
      </c>
      <c r="I309" s="208">
        <v>2530</v>
      </c>
      <c r="J309" s="208">
        <v>65613</v>
      </c>
      <c r="K309" s="208">
        <v>0</v>
      </c>
      <c r="L309" s="208">
        <v>65613</v>
      </c>
      <c r="M309" s="208">
        <v>-3164</v>
      </c>
      <c r="N309" s="208">
        <v>0</v>
      </c>
      <c r="O309" s="208">
        <v>-3164</v>
      </c>
      <c r="P309" s="208">
        <v>-400436</v>
      </c>
      <c r="Q309" s="208">
        <v>0</v>
      </c>
      <c r="R309" s="208">
        <v>-400436</v>
      </c>
      <c r="S309" s="208">
        <v>-2435431</v>
      </c>
      <c r="T309" s="208">
        <v>0</v>
      </c>
      <c r="U309" s="208">
        <v>-2435431</v>
      </c>
      <c r="V309" s="208">
        <v>0</v>
      </c>
      <c r="W309" s="208">
        <v>0</v>
      </c>
      <c r="X309" s="208">
        <v>0</v>
      </c>
      <c r="Y309" s="208">
        <v>-146089</v>
      </c>
      <c r="Z309" s="208">
        <v>0</v>
      </c>
      <c r="AA309" s="208">
        <v>-146089</v>
      </c>
      <c r="AB309" s="208">
        <v>-54096</v>
      </c>
      <c r="AC309" s="208">
        <v>0</v>
      </c>
      <c r="AD309" s="208">
        <v>-54096</v>
      </c>
      <c r="AE309" s="208">
        <v>-82857</v>
      </c>
      <c r="AF309" s="208">
        <v>0</v>
      </c>
      <c r="AG309" s="208">
        <v>-82857</v>
      </c>
      <c r="AH309" s="208">
        <v>0</v>
      </c>
      <c r="AI309" s="208">
        <v>0</v>
      </c>
      <c r="AJ309" s="208">
        <v>0</v>
      </c>
      <c r="AK309" s="208">
        <v>0</v>
      </c>
      <c r="AL309" s="208">
        <v>0</v>
      </c>
      <c r="AM309" s="208">
        <v>0</v>
      </c>
      <c r="AN309" s="208">
        <v>211212</v>
      </c>
      <c r="AO309" s="208">
        <v>0</v>
      </c>
      <c r="AP309" s="208">
        <v>211212</v>
      </c>
      <c r="AQ309" s="208">
        <v>1400</v>
      </c>
      <c r="AR309" s="208">
        <v>0</v>
      </c>
      <c r="AS309" s="208">
        <v>1400</v>
      </c>
      <c r="AT309" s="208">
        <v>-1323728</v>
      </c>
      <c r="AU309" s="208">
        <v>0</v>
      </c>
      <c r="AV309" s="208">
        <v>-1323728</v>
      </c>
      <c r="AW309" s="208">
        <v>5275</v>
      </c>
      <c r="AX309" s="208">
        <v>0</v>
      </c>
      <c r="AY309" s="208">
        <v>5275</v>
      </c>
      <c r="AZ309" s="208">
        <v>-72234</v>
      </c>
      <c r="BA309" s="208">
        <v>0</v>
      </c>
      <c r="BB309" s="208">
        <v>-72234</v>
      </c>
      <c r="BC309" s="208">
        <v>0</v>
      </c>
      <c r="BD309" s="208">
        <v>0</v>
      </c>
      <c r="BE309" s="208">
        <v>0</v>
      </c>
      <c r="BF309" s="208">
        <v>-41214</v>
      </c>
      <c r="BG309" s="208">
        <v>0</v>
      </c>
      <c r="BH309" s="208">
        <v>-41214</v>
      </c>
      <c r="BI309" s="208">
        <v>-1686</v>
      </c>
      <c r="BJ309" s="208">
        <v>0</v>
      </c>
      <c r="BK309" s="208">
        <v>-1686</v>
      </c>
      <c r="BL309" s="208">
        <v>-3802495</v>
      </c>
      <c r="BM309" s="208">
        <v>0</v>
      </c>
      <c r="BN309" s="208">
        <v>-3802495</v>
      </c>
      <c r="BO309" s="208">
        <v>0</v>
      </c>
      <c r="BP309" s="208">
        <v>0</v>
      </c>
      <c r="BQ309" s="208">
        <v>0</v>
      </c>
      <c r="BR309" s="208">
        <v>0</v>
      </c>
      <c r="BS309" s="208">
        <v>0</v>
      </c>
      <c r="BT309" s="208">
        <v>0</v>
      </c>
      <c r="BU309" s="208">
        <v>-308445</v>
      </c>
      <c r="BV309" s="208">
        <v>0</v>
      </c>
      <c r="BW309" s="208">
        <v>-308445</v>
      </c>
      <c r="BX309" s="208">
        <v>-44409</v>
      </c>
      <c r="BY309" s="208">
        <v>0</v>
      </c>
      <c r="BZ309" s="208">
        <v>-44409</v>
      </c>
      <c r="CA309" s="208">
        <v>-352854</v>
      </c>
      <c r="CB309" s="208">
        <v>0</v>
      </c>
      <c r="CC309" s="208">
        <v>-352854</v>
      </c>
      <c r="CD309" s="208">
        <v>-47554</v>
      </c>
      <c r="CE309" s="208">
        <v>0</v>
      </c>
      <c r="CF309" s="208">
        <v>-47554</v>
      </c>
      <c r="CG309" s="208">
        <v>-2012</v>
      </c>
      <c r="CH309" s="208">
        <v>0</v>
      </c>
      <c r="CI309" s="208">
        <v>-2012</v>
      </c>
      <c r="CJ309" s="208">
        <v>-12910</v>
      </c>
      <c r="CK309" s="208">
        <v>0</v>
      </c>
      <c r="CL309" s="208">
        <v>-12910</v>
      </c>
      <c r="CM309" s="208">
        <v>889</v>
      </c>
      <c r="CN309" s="208">
        <v>0</v>
      </c>
      <c r="CO309" s="208">
        <v>889</v>
      </c>
      <c r="CP309" s="208">
        <v>-3099</v>
      </c>
      <c r="CQ309" s="208">
        <v>0</v>
      </c>
      <c r="CR309" s="208">
        <v>-3099</v>
      </c>
      <c r="CS309" s="208">
        <v>-535</v>
      </c>
      <c r="CT309" s="208">
        <v>0</v>
      </c>
      <c r="CU309" s="208">
        <v>-535</v>
      </c>
      <c r="CV309" s="208">
        <v>0</v>
      </c>
      <c r="CW309" s="208">
        <v>0</v>
      </c>
      <c r="CX309" s="208">
        <v>0</v>
      </c>
      <c r="CY309" s="208">
        <v>0</v>
      </c>
      <c r="CZ309" s="208">
        <v>0</v>
      </c>
      <c r="DA309" s="208">
        <v>0</v>
      </c>
      <c r="DB309" s="208">
        <v>0</v>
      </c>
      <c r="DC309" s="208">
        <v>0</v>
      </c>
      <c r="DD309" s="208">
        <v>0</v>
      </c>
      <c r="DE309" s="208">
        <v>0</v>
      </c>
      <c r="DF309" s="208">
        <v>0</v>
      </c>
      <c r="DG309" s="208">
        <v>0</v>
      </c>
      <c r="DH309" s="208">
        <v>0</v>
      </c>
      <c r="DI309" s="208">
        <v>0</v>
      </c>
      <c r="DJ309" s="208">
        <v>0</v>
      </c>
      <c r="DK309" s="208">
        <v>0</v>
      </c>
      <c r="DL309" s="208">
        <v>0</v>
      </c>
      <c r="DM309" s="208">
        <v>0</v>
      </c>
      <c r="DN309" s="208">
        <v>0</v>
      </c>
      <c r="DO309" s="208">
        <v>0</v>
      </c>
      <c r="DP309" s="208">
        <v>-65221</v>
      </c>
      <c r="DQ309" s="208">
        <v>0</v>
      </c>
      <c r="DR309" s="208">
        <v>-65221</v>
      </c>
      <c r="DS309" s="208">
        <v>0</v>
      </c>
      <c r="DT309" s="208">
        <v>0</v>
      </c>
      <c r="DU309" s="208">
        <v>0</v>
      </c>
      <c r="DV309" s="208">
        <v>0</v>
      </c>
      <c r="DW309" s="208">
        <v>0</v>
      </c>
      <c r="DX309" s="208">
        <v>0</v>
      </c>
      <c r="DY309" s="208">
        <v>538</v>
      </c>
      <c r="DZ309" s="208">
        <v>0</v>
      </c>
      <c r="EA309" s="208">
        <v>538</v>
      </c>
      <c r="EB309" s="208">
        <v>0</v>
      </c>
      <c r="EC309" s="208">
        <v>0</v>
      </c>
      <c r="ED309" s="208">
        <v>0</v>
      </c>
      <c r="EE309" s="208">
        <v>0</v>
      </c>
      <c r="EF309" s="208">
        <v>0</v>
      </c>
      <c r="EG309" s="208">
        <v>0</v>
      </c>
      <c r="EH309" s="208">
        <v>0</v>
      </c>
      <c r="EI309" s="208">
        <v>0</v>
      </c>
      <c r="EJ309" s="208">
        <v>0</v>
      </c>
      <c r="EK309" s="208">
        <v>-41214</v>
      </c>
      <c r="EL309" s="208">
        <v>0</v>
      </c>
      <c r="EM309" s="208">
        <v>-41214</v>
      </c>
      <c r="EN309" s="208">
        <v>-1686</v>
      </c>
      <c r="EO309" s="208">
        <v>0</v>
      </c>
      <c r="EP309" s="208">
        <v>-1686</v>
      </c>
      <c r="EQ309" s="208">
        <v>-1500</v>
      </c>
      <c r="ER309" s="208">
        <v>0</v>
      </c>
      <c r="ES309" s="208">
        <v>-1500</v>
      </c>
      <c r="ET309" s="208">
        <v>0</v>
      </c>
      <c r="EU309" s="208">
        <v>0</v>
      </c>
      <c r="EV309" s="208">
        <v>0</v>
      </c>
      <c r="EW309" s="208">
        <v>-19661</v>
      </c>
      <c r="EX309" s="208">
        <v>0</v>
      </c>
      <c r="EY309" s="208">
        <v>-19661</v>
      </c>
      <c r="EZ309" s="208">
        <v>49</v>
      </c>
      <c r="FA309" s="208">
        <v>0</v>
      </c>
      <c r="FB309" s="208">
        <v>49</v>
      </c>
      <c r="FC309" s="208">
        <v>-54366</v>
      </c>
      <c r="FD309" s="208">
        <v>0</v>
      </c>
      <c r="FE309" s="208">
        <v>-54366</v>
      </c>
      <c r="FF309" s="208">
        <v>-152.36000000000001</v>
      </c>
      <c r="FG309" s="208">
        <v>0</v>
      </c>
      <c r="FH309" s="208">
        <v>-152.36000000000001</v>
      </c>
      <c r="FI309" s="208">
        <v>-37690</v>
      </c>
      <c r="FJ309" s="208">
        <v>0</v>
      </c>
      <c r="FK309" s="208">
        <v>-37690</v>
      </c>
      <c r="FL309" s="208">
        <v>-329</v>
      </c>
      <c r="FM309" s="208">
        <v>0</v>
      </c>
      <c r="FN309" s="208">
        <v>-329</v>
      </c>
      <c r="FO309" s="208">
        <v>0</v>
      </c>
      <c r="FP309" s="208">
        <v>0</v>
      </c>
      <c r="FQ309" s="208">
        <v>0</v>
      </c>
      <c r="FR309" s="208">
        <v>0</v>
      </c>
      <c r="FS309" s="208">
        <v>0</v>
      </c>
      <c r="FT309" s="208">
        <v>0</v>
      </c>
      <c r="FU309" s="208">
        <v>-156011</v>
      </c>
      <c r="FV309" s="208">
        <v>0</v>
      </c>
      <c r="FW309" s="208">
        <v>-156011</v>
      </c>
      <c r="FX309" s="208">
        <v>-4942</v>
      </c>
      <c r="FY309" s="208">
        <v>0</v>
      </c>
      <c r="FZ309" s="208">
        <v>-4942</v>
      </c>
      <c r="GA309" s="208">
        <v>0</v>
      </c>
      <c r="GB309" s="208">
        <v>0</v>
      </c>
      <c r="GC309" s="208">
        <v>0</v>
      </c>
      <c r="GD309" s="208">
        <v>-4942</v>
      </c>
      <c r="GE309" s="208">
        <v>0</v>
      </c>
      <c r="GF309" s="208">
        <v>-4942</v>
      </c>
      <c r="GG309" s="208">
        <v>15418586</v>
      </c>
      <c r="GH309" s="208">
        <v>0</v>
      </c>
      <c r="GI309" s="208">
        <v>15418586</v>
      </c>
      <c r="GJ309" s="208">
        <v>-400436</v>
      </c>
      <c r="GK309" s="208">
        <v>0</v>
      </c>
      <c r="GL309" s="208">
        <v>-400436</v>
      </c>
      <c r="GM309" s="208">
        <v>-3802495</v>
      </c>
      <c r="GN309" s="208">
        <v>0</v>
      </c>
      <c r="GO309" s="208">
        <v>-3802495</v>
      </c>
      <c r="GP309" s="208">
        <v>-352854</v>
      </c>
      <c r="GQ309" s="208">
        <v>0</v>
      </c>
      <c r="GR309" s="208">
        <v>-352854</v>
      </c>
      <c r="GS309" s="208">
        <v>-65221</v>
      </c>
      <c r="GT309" s="208">
        <v>0</v>
      </c>
      <c r="GU309" s="208">
        <v>-65221</v>
      </c>
      <c r="GV309" s="208">
        <v>-156011</v>
      </c>
      <c r="GW309" s="208">
        <v>0</v>
      </c>
      <c r="GX309" s="208">
        <v>-156011</v>
      </c>
      <c r="GY309" s="208">
        <v>-4942</v>
      </c>
      <c r="GZ309" s="208">
        <v>0</v>
      </c>
      <c r="HA309" s="208">
        <v>-4942</v>
      </c>
      <c r="HB309" s="208">
        <v>-4781959</v>
      </c>
      <c r="HC309" s="208">
        <v>0</v>
      </c>
      <c r="HD309" s="208">
        <v>-4781959</v>
      </c>
      <c r="HE309" s="208">
        <v>10636627</v>
      </c>
      <c r="HF309" s="208">
        <v>0</v>
      </c>
      <c r="HG309" s="208">
        <v>10636627</v>
      </c>
      <c r="HH309" s="187" t="s">
        <v>1054</v>
      </c>
    </row>
    <row r="310" spans="2:216" s="187" customFormat="1" x14ac:dyDescent="0.2">
      <c r="B310" s="429" t="s">
        <v>698</v>
      </c>
      <c r="C310" s="429" t="s">
        <v>697</v>
      </c>
      <c r="D310" s="208">
        <v>-1610609</v>
      </c>
      <c r="E310" s="208">
        <v>0</v>
      </c>
      <c r="F310" s="208">
        <v>-1610609</v>
      </c>
      <c r="G310" s="208">
        <v>16222</v>
      </c>
      <c r="H310" s="208">
        <v>0</v>
      </c>
      <c r="I310" s="208">
        <v>16222</v>
      </c>
      <c r="J310" s="208">
        <v>331421</v>
      </c>
      <c r="K310" s="208">
        <v>0</v>
      </c>
      <c r="L310" s="208">
        <v>331421</v>
      </c>
      <c r="M310" s="208">
        <v>-18575</v>
      </c>
      <c r="N310" s="208">
        <v>0</v>
      </c>
      <c r="O310" s="208">
        <v>-18575</v>
      </c>
      <c r="P310" s="208">
        <v>-1281541</v>
      </c>
      <c r="Q310" s="208">
        <v>0</v>
      </c>
      <c r="R310" s="208">
        <v>-1281541</v>
      </c>
      <c r="S310" s="208">
        <v>-6240829</v>
      </c>
      <c r="T310" s="208">
        <v>0</v>
      </c>
      <c r="U310" s="208">
        <v>-6240829</v>
      </c>
      <c r="V310" s="208">
        <v>-17293</v>
      </c>
      <c r="W310" s="208">
        <v>0</v>
      </c>
      <c r="X310" s="208">
        <v>-17293</v>
      </c>
      <c r="Y310" s="208">
        <v>-98337</v>
      </c>
      <c r="Z310" s="208">
        <v>0</v>
      </c>
      <c r="AA310" s="208">
        <v>-98337</v>
      </c>
      <c r="AB310" s="208">
        <v>-14461</v>
      </c>
      <c r="AC310" s="208">
        <v>0</v>
      </c>
      <c r="AD310" s="208">
        <v>-14461</v>
      </c>
      <c r="AE310" s="208">
        <v>-82138</v>
      </c>
      <c r="AF310" s="208">
        <v>0</v>
      </c>
      <c r="AG310" s="208">
        <v>-82138</v>
      </c>
      <c r="AH310" s="208">
        <v>0</v>
      </c>
      <c r="AI310" s="208">
        <v>0</v>
      </c>
      <c r="AJ310" s="208">
        <v>0</v>
      </c>
      <c r="AK310" s="208">
        <v>-233</v>
      </c>
      <c r="AL310" s="208">
        <v>0</v>
      </c>
      <c r="AM310" s="208">
        <v>-233</v>
      </c>
      <c r="AN310" s="208">
        <v>649084</v>
      </c>
      <c r="AO310" s="208">
        <v>0</v>
      </c>
      <c r="AP310" s="208">
        <v>649084</v>
      </c>
      <c r="AQ310" s="208">
        <v>-6044</v>
      </c>
      <c r="AR310" s="208">
        <v>0</v>
      </c>
      <c r="AS310" s="208">
        <v>-6044</v>
      </c>
      <c r="AT310" s="208">
        <v>-3711616</v>
      </c>
      <c r="AU310" s="208">
        <v>0</v>
      </c>
      <c r="AV310" s="208">
        <v>-3711616</v>
      </c>
      <c r="AW310" s="208">
        <v>-36728</v>
      </c>
      <c r="AX310" s="208">
        <v>0</v>
      </c>
      <c r="AY310" s="208">
        <v>-36728</v>
      </c>
      <c r="AZ310" s="208">
        <v>-110091</v>
      </c>
      <c r="BA310" s="208">
        <v>0</v>
      </c>
      <c r="BB310" s="208">
        <v>-110091</v>
      </c>
      <c r="BC310" s="208">
        <v>0</v>
      </c>
      <c r="BD310" s="208">
        <v>0</v>
      </c>
      <c r="BE310" s="208">
        <v>0</v>
      </c>
      <c r="BF310" s="208">
        <v>-64761</v>
      </c>
      <c r="BG310" s="208">
        <v>0</v>
      </c>
      <c r="BH310" s="208">
        <v>-64761</v>
      </c>
      <c r="BI310" s="208">
        <v>-729</v>
      </c>
      <c r="BJ310" s="208">
        <v>0</v>
      </c>
      <c r="BK310" s="208">
        <v>-729</v>
      </c>
      <c r="BL310" s="208">
        <v>-9620051</v>
      </c>
      <c r="BM310" s="208">
        <v>0</v>
      </c>
      <c r="BN310" s="208">
        <v>-9620051</v>
      </c>
      <c r="BO310" s="208">
        <v>0</v>
      </c>
      <c r="BP310" s="208">
        <v>0</v>
      </c>
      <c r="BQ310" s="208">
        <v>0</v>
      </c>
      <c r="BR310" s="208">
        <v>4878</v>
      </c>
      <c r="BS310" s="208">
        <v>0</v>
      </c>
      <c r="BT310" s="208">
        <v>4878</v>
      </c>
      <c r="BU310" s="208">
        <v>-1072070</v>
      </c>
      <c r="BV310" s="208">
        <v>0</v>
      </c>
      <c r="BW310" s="208">
        <v>-1072070</v>
      </c>
      <c r="BX310" s="208">
        <v>-94727</v>
      </c>
      <c r="BY310" s="208">
        <v>0</v>
      </c>
      <c r="BZ310" s="208">
        <v>-94727</v>
      </c>
      <c r="CA310" s="208">
        <v>-1161919</v>
      </c>
      <c r="CB310" s="208">
        <v>0</v>
      </c>
      <c r="CC310" s="208">
        <v>-1161919</v>
      </c>
      <c r="CD310" s="208">
        <v>-174835</v>
      </c>
      <c r="CE310" s="208">
        <v>0</v>
      </c>
      <c r="CF310" s="208">
        <v>-174835</v>
      </c>
      <c r="CG310" s="208">
        <v>-233</v>
      </c>
      <c r="CH310" s="208">
        <v>0</v>
      </c>
      <c r="CI310" s="208">
        <v>-233</v>
      </c>
      <c r="CJ310" s="208">
        <v>0</v>
      </c>
      <c r="CK310" s="208">
        <v>0</v>
      </c>
      <c r="CL310" s="208">
        <v>0</v>
      </c>
      <c r="CM310" s="208">
        <v>0</v>
      </c>
      <c r="CN310" s="208">
        <v>0</v>
      </c>
      <c r="CO310" s="208">
        <v>0</v>
      </c>
      <c r="CP310" s="208">
        <v>-1383</v>
      </c>
      <c r="CQ310" s="208">
        <v>0</v>
      </c>
      <c r="CR310" s="208">
        <v>-1383</v>
      </c>
      <c r="CS310" s="208">
        <v>0</v>
      </c>
      <c r="CT310" s="208">
        <v>0</v>
      </c>
      <c r="CU310" s="208">
        <v>0</v>
      </c>
      <c r="CV310" s="208">
        <v>0</v>
      </c>
      <c r="CW310" s="208">
        <v>0</v>
      </c>
      <c r="CX310" s="208">
        <v>0</v>
      </c>
      <c r="CY310" s="208">
        <v>-1672</v>
      </c>
      <c r="CZ310" s="208">
        <v>0</v>
      </c>
      <c r="DA310" s="208">
        <v>-1672</v>
      </c>
      <c r="DB310" s="208">
        <v>0</v>
      </c>
      <c r="DC310" s="208">
        <v>0</v>
      </c>
      <c r="DD310" s="208">
        <v>0</v>
      </c>
      <c r="DE310" s="208">
        <v>0</v>
      </c>
      <c r="DF310" s="208">
        <v>0</v>
      </c>
      <c r="DG310" s="208">
        <v>0</v>
      </c>
      <c r="DH310" s="208">
        <v>0</v>
      </c>
      <c r="DI310" s="208">
        <v>0</v>
      </c>
      <c r="DJ310" s="208">
        <v>0</v>
      </c>
      <c r="DK310" s="208">
        <v>0</v>
      </c>
      <c r="DL310" s="208">
        <v>0</v>
      </c>
      <c r="DM310" s="208">
        <v>0</v>
      </c>
      <c r="DN310" s="208">
        <v>0</v>
      </c>
      <c r="DO310" s="208">
        <v>0</v>
      </c>
      <c r="DP310" s="208">
        <v>-178123</v>
      </c>
      <c r="DQ310" s="208">
        <v>0</v>
      </c>
      <c r="DR310" s="208">
        <v>-178123</v>
      </c>
      <c r="DS310" s="208">
        <v>7565</v>
      </c>
      <c r="DT310" s="208">
        <v>0</v>
      </c>
      <c r="DU310" s="208">
        <v>7565</v>
      </c>
      <c r="DV310" s="208">
        <v>0</v>
      </c>
      <c r="DW310" s="208">
        <v>0</v>
      </c>
      <c r="DX310" s="208">
        <v>0</v>
      </c>
      <c r="DY310" s="208">
        <v>967</v>
      </c>
      <c r="DZ310" s="208">
        <v>0</v>
      </c>
      <c r="EA310" s="208">
        <v>967</v>
      </c>
      <c r="EB310" s="208">
        <v>0</v>
      </c>
      <c r="EC310" s="208">
        <v>0</v>
      </c>
      <c r="ED310" s="208">
        <v>0</v>
      </c>
      <c r="EE310" s="208">
        <v>0</v>
      </c>
      <c r="EF310" s="208">
        <v>0</v>
      </c>
      <c r="EG310" s="208">
        <v>0</v>
      </c>
      <c r="EH310" s="208">
        <v>0</v>
      </c>
      <c r="EI310" s="208">
        <v>0</v>
      </c>
      <c r="EJ310" s="208">
        <v>0</v>
      </c>
      <c r="EK310" s="208">
        <v>-64760</v>
      </c>
      <c r="EL310" s="208">
        <v>0</v>
      </c>
      <c r="EM310" s="208">
        <v>-64760</v>
      </c>
      <c r="EN310" s="208">
        <v>943</v>
      </c>
      <c r="EO310" s="208">
        <v>0</v>
      </c>
      <c r="EP310" s="208">
        <v>943</v>
      </c>
      <c r="EQ310" s="208">
        <v>0</v>
      </c>
      <c r="ER310" s="208">
        <v>0</v>
      </c>
      <c r="ES310" s="208">
        <v>0</v>
      </c>
      <c r="ET310" s="208">
        <v>0</v>
      </c>
      <c r="EU310" s="208">
        <v>0</v>
      </c>
      <c r="EV310" s="208">
        <v>0</v>
      </c>
      <c r="EW310" s="208">
        <v>-51264</v>
      </c>
      <c r="EX310" s="208">
        <v>0</v>
      </c>
      <c r="EY310" s="208">
        <v>-51264</v>
      </c>
      <c r="EZ310" s="208">
        <v>1328</v>
      </c>
      <c r="FA310" s="208">
        <v>0</v>
      </c>
      <c r="FB310" s="208">
        <v>1328</v>
      </c>
      <c r="FC310" s="208">
        <v>-211839</v>
      </c>
      <c r="FD310" s="208">
        <v>0</v>
      </c>
      <c r="FE310" s="208">
        <v>-211839</v>
      </c>
      <c r="FF310" s="208">
        <v>28482</v>
      </c>
      <c r="FG310" s="208">
        <v>0</v>
      </c>
      <c r="FH310" s="208">
        <v>28482</v>
      </c>
      <c r="FI310" s="208">
        <v>-84470</v>
      </c>
      <c r="FJ310" s="208">
        <v>0</v>
      </c>
      <c r="FK310" s="208">
        <v>-84470</v>
      </c>
      <c r="FL310" s="208">
        <v>-18</v>
      </c>
      <c r="FM310" s="208">
        <v>0</v>
      </c>
      <c r="FN310" s="208">
        <v>-18</v>
      </c>
      <c r="FO310" s="208">
        <v>0</v>
      </c>
      <c r="FP310" s="208">
        <v>0</v>
      </c>
      <c r="FQ310" s="208">
        <v>0</v>
      </c>
      <c r="FR310" s="208">
        <v>0</v>
      </c>
      <c r="FS310" s="208">
        <v>0</v>
      </c>
      <c r="FT310" s="208">
        <v>0</v>
      </c>
      <c r="FU310" s="208">
        <v>-373066</v>
      </c>
      <c r="FV310" s="208">
        <v>0</v>
      </c>
      <c r="FW310" s="208">
        <v>-373066</v>
      </c>
      <c r="FX310" s="208">
        <v>-28399</v>
      </c>
      <c r="FY310" s="208">
        <v>0</v>
      </c>
      <c r="FZ310" s="208">
        <v>-28399</v>
      </c>
      <c r="GA310" s="208">
        <v>0</v>
      </c>
      <c r="GB310" s="208">
        <v>0</v>
      </c>
      <c r="GC310" s="208">
        <v>0</v>
      </c>
      <c r="GD310" s="208">
        <v>-28399</v>
      </c>
      <c r="GE310" s="208">
        <v>0</v>
      </c>
      <c r="GF310" s="208">
        <v>-28399</v>
      </c>
      <c r="GG310" s="208">
        <v>45115908</v>
      </c>
      <c r="GH310" s="208">
        <v>0</v>
      </c>
      <c r="GI310" s="208">
        <v>45115908</v>
      </c>
      <c r="GJ310" s="208">
        <v>-1281541</v>
      </c>
      <c r="GK310" s="208">
        <v>0</v>
      </c>
      <c r="GL310" s="208">
        <v>-1281541</v>
      </c>
      <c r="GM310" s="208">
        <v>-9620051</v>
      </c>
      <c r="GN310" s="208">
        <v>0</v>
      </c>
      <c r="GO310" s="208">
        <v>-9620051</v>
      </c>
      <c r="GP310" s="208">
        <v>-1161919</v>
      </c>
      <c r="GQ310" s="208">
        <v>0</v>
      </c>
      <c r="GR310" s="208">
        <v>-1161919</v>
      </c>
      <c r="GS310" s="208">
        <v>-178123</v>
      </c>
      <c r="GT310" s="208">
        <v>0</v>
      </c>
      <c r="GU310" s="208">
        <v>-178123</v>
      </c>
      <c r="GV310" s="208">
        <v>-373066</v>
      </c>
      <c r="GW310" s="208">
        <v>0</v>
      </c>
      <c r="GX310" s="208">
        <v>-373066</v>
      </c>
      <c r="GY310" s="208">
        <v>-28399</v>
      </c>
      <c r="GZ310" s="208">
        <v>0</v>
      </c>
      <c r="HA310" s="208">
        <v>-28399</v>
      </c>
      <c r="HB310" s="208">
        <v>-12643099</v>
      </c>
      <c r="HC310" s="208">
        <v>0</v>
      </c>
      <c r="HD310" s="208">
        <v>-12643099</v>
      </c>
      <c r="HE310" s="208">
        <v>32472809</v>
      </c>
      <c r="HF310" s="208">
        <v>0</v>
      </c>
      <c r="HG310" s="208">
        <v>32472809</v>
      </c>
      <c r="HH310" s="187" t="s">
        <v>1054</v>
      </c>
    </row>
    <row r="311" spans="2:216" s="187" customFormat="1" x14ac:dyDescent="0.2">
      <c r="B311" s="429" t="s">
        <v>700</v>
      </c>
      <c r="C311" s="429" t="s">
        <v>699</v>
      </c>
      <c r="D311" s="208">
        <v>-502509</v>
      </c>
      <c r="E311" s="208">
        <v>0</v>
      </c>
      <c r="F311" s="208">
        <v>-502509</v>
      </c>
      <c r="G311" s="208">
        <v>2756</v>
      </c>
      <c r="H311" s="208">
        <v>0</v>
      </c>
      <c r="I311" s="208">
        <v>2756</v>
      </c>
      <c r="J311" s="208">
        <v>1261232</v>
      </c>
      <c r="K311" s="208">
        <v>0</v>
      </c>
      <c r="L311" s="208">
        <v>1261232</v>
      </c>
      <c r="M311" s="208">
        <v>-113775</v>
      </c>
      <c r="N311" s="208">
        <v>0</v>
      </c>
      <c r="O311" s="208">
        <v>-113775</v>
      </c>
      <c r="P311" s="208">
        <v>647704</v>
      </c>
      <c r="Q311" s="208">
        <v>0</v>
      </c>
      <c r="R311" s="208">
        <v>647704</v>
      </c>
      <c r="S311" s="208">
        <v>-3561275</v>
      </c>
      <c r="T311" s="208">
        <v>0</v>
      </c>
      <c r="U311" s="208">
        <v>-3561275</v>
      </c>
      <c r="V311" s="208">
        <v>-8631</v>
      </c>
      <c r="W311" s="208">
        <v>0</v>
      </c>
      <c r="X311" s="208">
        <v>-8631</v>
      </c>
      <c r="Y311" s="208">
        <v>-133550</v>
      </c>
      <c r="Z311" s="208">
        <v>0</v>
      </c>
      <c r="AA311" s="208">
        <v>-133550</v>
      </c>
      <c r="AB311" s="208">
        <v>-27628</v>
      </c>
      <c r="AC311" s="208">
        <v>0</v>
      </c>
      <c r="AD311" s="208">
        <v>-27628</v>
      </c>
      <c r="AE311" s="208">
        <v>-102191</v>
      </c>
      <c r="AF311" s="208">
        <v>0</v>
      </c>
      <c r="AG311" s="208">
        <v>-102191</v>
      </c>
      <c r="AH311" s="208">
        <v>2895</v>
      </c>
      <c r="AI311" s="208">
        <v>0</v>
      </c>
      <c r="AJ311" s="208">
        <v>2895</v>
      </c>
      <c r="AK311" s="208">
        <v>-4404</v>
      </c>
      <c r="AL311" s="208">
        <v>0</v>
      </c>
      <c r="AM311" s="208">
        <v>-4404</v>
      </c>
      <c r="AN311" s="208">
        <v>696158</v>
      </c>
      <c r="AO311" s="208">
        <v>0</v>
      </c>
      <c r="AP311" s="208">
        <v>696158</v>
      </c>
      <c r="AQ311" s="208">
        <v>-1332</v>
      </c>
      <c r="AR311" s="208">
        <v>0</v>
      </c>
      <c r="AS311" s="208">
        <v>-1332</v>
      </c>
      <c r="AT311" s="208">
        <v>-2655259</v>
      </c>
      <c r="AU311" s="208">
        <v>0</v>
      </c>
      <c r="AV311" s="208">
        <v>-2655259</v>
      </c>
      <c r="AW311" s="208">
        <v>60487</v>
      </c>
      <c r="AX311" s="208">
        <v>0</v>
      </c>
      <c r="AY311" s="208">
        <v>60487</v>
      </c>
      <c r="AZ311" s="208">
        <v>0</v>
      </c>
      <c r="BA311" s="208">
        <v>0</v>
      </c>
      <c r="BB311" s="208">
        <v>0</v>
      </c>
      <c r="BC311" s="208">
        <v>0</v>
      </c>
      <c r="BD311" s="208">
        <v>0</v>
      </c>
      <c r="BE311" s="208">
        <v>0</v>
      </c>
      <c r="BF311" s="208">
        <v>-1467</v>
      </c>
      <c r="BG311" s="208">
        <v>0</v>
      </c>
      <c r="BH311" s="208">
        <v>-1467</v>
      </c>
      <c r="BI311" s="208">
        <v>-456</v>
      </c>
      <c r="BJ311" s="208">
        <v>0</v>
      </c>
      <c r="BK311" s="208">
        <v>-456</v>
      </c>
      <c r="BL311" s="208">
        <v>-5596694</v>
      </c>
      <c r="BM311" s="208">
        <v>0</v>
      </c>
      <c r="BN311" s="208">
        <v>-5596694</v>
      </c>
      <c r="BO311" s="208">
        <v>0</v>
      </c>
      <c r="BP311" s="208">
        <v>0</v>
      </c>
      <c r="BQ311" s="208">
        <v>0</v>
      </c>
      <c r="BR311" s="208">
        <v>-12839</v>
      </c>
      <c r="BS311" s="208">
        <v>0</v>
      </c>
      <c r="BT311" s="208">
        <v>-12839</v>
      </c>
      <c r="BU311" s="208">
        <v>-970702</v>
      </c>
      <c r="BV311" s="208">
        <v>0</v>
      </c>
      <c r="BW311" s="208">
        <v>-970702</v>
      </c>
      <c r="BX311" s="208">
        <v>170390</v>
      </c>
      <c r="BY311" s="208">
        <v>0</v>
      </c>
      <c r="BZ311" s="208">
        <v>170390</v>
      </c>
      <c r="CA311" s="208">
        <v>-813151</v>
      </c>
      <c r="CB311" s="208">
        <v>0</v>
      </c>
      <c r="CC311" s="208">
        <v>-813151</v>
      </c>
      <c r="CD311" s="208">
        <v>-15825</v>
      </c>
      <c r="CE311" s="208">
        <v>0</v>
      </c>
      <c r="CF311" s="208">
        <v>-15825</v>
      </c>
      <c r="CG311" s="208">
        <v>-3853</v>
      </c>
      <c r="CH311" s="208">
        <v>0</v>
      </c>
      <c r="CI311" s="208">
        <v>-3853</v>
      </c>
      <c r="CJ311" s="208">
        <v>-15633</v>
      </c>
      <c r="CK311" s="208">
        <v>0</v>
      </c>
      <c r="CL311" s="208">
        <v>-15633</v>
      </c>
      <c r="CM311" s="208">
        <v>578</v>
      </c>
      <c r="CN311" s="208">
        <v>0</v>
      </c>
      <c r="CO311" s="208">
        <v>578</v>
      </c>
      <c r="CP311" s="208">
        <v>0</v>
      </c>
      <c r="CQ311" s="208">
        <v>0</v>
      </c>
      <c r="CR311" s="208">
        <v>0</v>
      </c>
      <c r="CS311" s="208">
        <v>0</v>
      </c>
      <c r="CT311" s="208">
        <v>0</v>
      </c>
      <c r="CU311" s="208">
        <v>0</v>
      </c>
      <c r="CV311" s="208">
        <v>0</v>
      </c>
      <c r="CW311" s="208">
        <v>0</v>
      </c>
      <c r="CX311" s="208">
        <v>0</v>
      </c>
      <c r="CY311" s="208">
        <v>0</v>
      </c>
      <c r="CZ311" s="208">
        <v>0</v>
      </c>
      <c r="DA311" s="208">
        <v>0</v>
      </c>
      <c r="DB311" s="208">
        <v>0</v>
      </c>
      <c r="DC311" s="208">
        <v>0</v>
      </c>
      <c r="DD311" s="208">
        <v>0</v>
      </c>
      <c r="DE311" s="208">
        <v>0</v>
      </c>
      <c r="DF311" s="208">
        <v>0</v>
      </c>
      <c r="DG311" s="208">
        <v>0</v>
      </c>
      <c r="DH311" s="208">
        <v>0</v>
      </c>
      <c r="DI311" s="208">
        <v>0</v>
      </c>
      <c r="DJ311" s="208">
        <v>0</v>
      </c>
      <c r="DK311" s="208">
        <v>0</v>
      </c>
      <c r="DL311" s="208">
        <v>0</v>
      </c>
      <c r="DM311" s="208">
        <v>0</v>
      </c>
      <c r="DN311" s="208">
        <v>0</v>
      </c>
      <c r="DO311" s="208">
        <v>0</v>
      </c>
      <c r="DP311" s="208">
        <v>-34733</v>
      </c>
      <c r="DQ311" s="208">
        <v>0</v>
      </c>
      <c r="DR311" s="208">
        <v>-34733</v>
      </c>
      <c r="DS311" s="208">
        <v>0</v>
      </c>
      <c r="DT311" s="208">
        <v>0</v>
      </c>
      <c r="DU311" s="208">
        <v>0</v>
      </c>
      <c r="DV311" s="208">
        <v>0</v>
      </c>
      <c r="DW311" s="208">
        <v>0</v>
      </c>
      <c r="DX311" s="208">
        <v>0</v>
      </c>
      <c r="DY311" s="208">
        <v>0</v>
      </c>
      <c r="DZ311" s="208">
        <v>0</v>
      </c>
      <c r="EA311" s="208">
        <v>0</v>
      </c>
      <c r="EB311" s="208">
        <v>0</v>
      </c>
      <c r="EC311" s="208">
        <v>0</v>
      </c>
      <c r="ED311" s="208">
        <v>0</v>
      </c>
      <c r="EE311" s="208">
        <v>0</v>
      </c>
      <c r="EF311" s="208">
        <v>0</v>
      </c>
      <c r="EG311" s="208">
        <v>0</v>
      </c>
      <c r="EH311" s="208">
        <v>0</v>
      </c>
      <c r="EI311" s="208">
        <v>0</v>
      </c>
      <c r="EJ311" s="208">
        <v>0</v>
      </c>
      <c r="EK311" s="208">
        <v>-1467</v>
      </c>
      <c r="EL311" s="208">
        <v>0</v>
      </c>
      <c r="EM311" s="208">
        <v>-1467</v>
      </c>
      <c r="EN311" s="208">
        <v>0</v>
      </c>
      <c r="EO311" s="208">
        <v>0</v>
      </c>
      <c r="EP311" s="208">
        <v>0</v>
      </c>
      <c r="EQ311" s="208">
        <v>0</v>
      </c>
      <c r="ER311" s="208">
        <v>0</v>
      </c>
      <c r="ES311" s="208">
        <v>0</v>
      </c>
      <c r="ET311" s="208">
        <v>0</v>
      </c>
      <c r="EU311" s="208">
        <v>0</v>
      </c>
      <c r="EV311" s="208">
        <v>0</v>
      </c>
      <c r="EW311" s="208">
        <v>-7790</v>
      </c>
      <c r="EX311" s="208">
        <v>0</v>
      </c>
      <c r="EY311" s="208">
        <v>-7790</v>
      </c>
      <c r="EZ311" s="208">
        <v>0</v>
      </c>
      <c r="FA311" s="208">
        <v>0</v>
      </c>
      <c r="FB311" s="208">
        <v>0</v>
      </c>
      <c r="FC311" s="208">
        <v>-63695</v>
      </c>
      <c r="FD311" s="208">
        <v>0</v>
      </c>
      <c r="FE311" s="208">
        <v>-63695</v>
      </c>
      <c r="FF311" s="208">
        <v>0</v>
      </c>
      <c r="FG311" s="208">
        <v>0</v>
      </c>
      <c r="FH311" s="208">
        <v>0</v>
      </c>
      <c r="FI311" s="208">
        <v>-35608</v>
      </c>
      <c r="FJ311" s="208">
        <v>0</v>
      </c>
      <c r="FK311" s="208">
        <v>-35608</v>
      </c>
      <c r="FL311" s="208">
        <v>-1093</v>
      </c>
      <c r="FM311" s="208">
        <v>0</v>
      </c>
      <c r="FN311" s="208">
        <v>-1093</v>
      </c>
      <c r="FO311" s="208">
        <v>0</v>
      </c>
      <c r="FP311" s="208">
        <v>0</v>
      </c>
      <c r="FQ311" s="208">
        <v>0</v>
      </c>
      <c r="FR311" s="208">
        <v>0</v>
      </c>
      <c r="FS311" s="208">
        <v>0</v>
      </c>
      <c r="FT311" s="208">
        <v>0</v>
      </c>
      <c r="FU311" s="208">
        <v>-109653</v>
      </c>
      <c r="FV311" s="208">
        <v>0</v>
      </c>
      <c r="FW311" s="208">
        <v>-109653</v>
      </c>
      <c r="FX311" s="208">
        <v>-1482</v>
      </c>
      <c r="FY311" s="208">
        <v>0</v>
      </c>
      <c r="FZ311" s="208">
        <v>-1482</v>
      </c>
      <c r="GA311" s="208">
        <v>0</v>
      </c>
      <c r="GB311" s="208">
        <v>0</v>
      </c>
      <c r="GC311" s="208">
        <v>0</v>
      </c>
      <c r="GD311" s="208">
        <v>-1482</v>
      </c>
      <c r="GE311" s="208">
        <v>0</v>
      </c>
      <c r="GF311" s="208">
        <v>-1482</v>
      </c>
      <c r="GG311" s="208">
        <v>37704813</v>
      </c>
      <c r="GH311" s="208">
        <v>0</v>
      </c>
      <c r="GI311" s="208">
        <v>37704813</v>
      </c>
      <c r="GJ311" s="208">
        <v>647704</v>
      </c>
      <c r="GK311" s="208">
        <v>0</v>
      </c>
      <c r="GL311" s="208">
        <v>647704</v>
      </c>
      <c r="GM311" s="208">
        <v>-5596694</v>
      </c>
      <c r="GN311" s="208">
        <v>0</v>
      </c>
      <c r="GO311" s="208">
        <v>-5596694</v>
      </c>
      <c r="GP311" s="208">
        <v>-813151</v>
      </c>
      <c r="GQ311" s="208">
        <v>0</v>
      </c>
      <c r="GR311" s="208">
        <v>-813151</v>
      </c>
      <c r="GS311" s="208">
        <v>-34733</v>
      </c>
      <c r="GT311" s="208">
        <v>0</v>
      </c>
      <c r="GU311" s="208">
        <v>-34733</v>
      </c>
      <c r="GV311" s="208">
        <v>-109653</v>
      </c>
      <c r="GW311" s="208">
        <v>0</v>
      </c>
      <c r="GX311" s="208">
        <v>-109653</v>
      </c>
      <c r="GY311" s="208">
        <v>-1482</v>
      </c>
      <c r="GZ311" s="208">
        <v>0</v>
      </c>
      <c r="HA311" s="208">
        <v>-1482</v>
      </c>
      <c r="HB311" s="208">
        <v>-5908009</v>
      </c>
      <c r="HC311" s="208">
        <v>0</v>
      </c>
      <c r="HD311" s="208">
        <v>-5908009</v>
      </c>
      <c r="HE311" s="208">
        <v>31796804</v>
      </c>
      <c r="HF311" s="208">
        <v>0</v>
      </c>
      <c r="HG311" s="208">
        <v>31796804</v>
      </c>
      <c r="HH311" s="187" t="s">
        <v>1054</v>
      </c>
    </row>
    <row r="312" spans="2:216" s="187" customFormat="1" x14ac:dyDescent="0.2">
      <c r="B312" s="429" t="s">
        <v>702</v>
      </c>
      <c r="C312" s="429" t="s">
        <v>701</v>
      </c>
      <c r="D312" s="208">
        <v>-671680</v>
      </c>
      <c r="E312" s="208">
        <v>0</v>
      </c>
      <c r="F312" s="208">
        <v>-671680</v>
      </c>
      <c r="G312" s="208">
        <v>9045</v>
      </c>
      <c r="H312" s="208">
        <v>0</v>
      </c>
      <c r="I312" s="208">
        <v>9045</v>
      </c>
      <c r="J312" s="208">
        <v>187875</v>
      </c>
      <c r="K312" s="208">
        <v>0</v>
      </c>
      <c r="L312" s="208">
        <v>187875</v>
      </c>
      <c r="M312" s="208">
        <v>44086</v>
      </c>
      <c r="N312" s="208">
        <v>0</v>
      </c>
      <c r="O312" s="208">
        <v>44086</v>
      </c>
      <c r="P312" s="208">
        <v>-430674</v>
      </c>
      <c r="Q312" s="208">
        <v>0</v>
      </c>
      <c r="R312" s="208">
        <v>-430674</v>
      </c>
      <c r="S312" s="208">
        <v>-2659984</v>
      </c>
      <c r="T312" s="208">
        <v>0</v>
      </c>
      <c r="U312" s="208">
        <v>-2659984</v>
      </c>
      <c r="V312" s="208">
        <v>-9065</v>
      </c>
      <c r="W312" s="208">
        <v>0</v>
      </c>
      <c r="X312" s="208">
        <v>-9065</v>
      </c>
      <c r="Y312" s="208">
        <v>10285</v>
      </c>
      <c r="Z312" s="208">
        <v>0</v>
      </c>
      <c r="AA312" s="208">
        <v>10285</v>
      </c>
      <c r="AB312" s="208">
        <v>21319</v>
      </c>
      <c r="AC312" s="208">
        <v>0</v>
      </c>
      <c r="AD312" s="208">
        <v>21319</v>
      </c>
      <c r="AE312" s="208">
        <v>-11034</v>
      </c>
      <c r="AF312" s="208">
        <v>0</v>
      </c>
      <c r="AG312" s="208">
        <v>-11034</v>
      </c>
      <c r="AH312" s="208">
        <v>0</v>
      </c>
      <c r="AI312" s="208">
        <v>0</v>
      </c>
      <c r="AJ312" s="208">
        <v>0</v>
      </c>
      <c r="AK312" s="208">
        <v>-665.16</v>
      </c>
      <c r="AL312" s="208">
        <v>0</v>
      </c>
      <c r="AM312" s="208">
        <v>-665.16</v>
      </c>
      <c r="AN312" s="208">
        <v>379326</v>
      </c>
      <c r="AO312" s="208">
        <v>0</v>
      </c>
      <c r="AP312" s="208">
        <v>379326</v>
      </c>
      <c r="AQ312" s="208">
        <v>-905</v>
      </c>
      <c r="AR312" s="208">
        <v>0</v>
      </c>
      <c r="AS312" s="208">
        <v>-905</v>
      </c>
      <c r="AT312" s="208">
        <v>-1733802</v>
      </c>
      <c r="AU312" s="208">
        <v>0</v>
      </c>
      <c r="AV312" s="208">
        <v>-1733802</v>
      </c>
      <c r="AW312" s="208">
        <v>50496</v>
      </c>
      <c r="AX312" s="208">
        <v>0</v>
      </c>
      <c r="AY312" s="208">
        <v>50496</v>
      </c>
      <c r="AZ312" s="208">
        <v>-32433</v>
      </c>
      <c r="BA312" s="208">
        <v>0</v>
      </c>
      <c r="BB312" s="208">
        <v>-32433</v>
      </c>
      <c r="BC312" s="208">
        <v>0</v>
      </c>
      <c r="BD312" s="208">
        <v>0</v>
      </c>
      <c r="BE312" s="208">
        <v>0</v>
      </c>
      <c r="BF312" s="208">
        <v>-30762</v>
      </c>
      <c r="BG312" s="208">
        <v>0</v>
      </c>
      <c r="BH312" s="208">
        <v>-30762</v>
      </c>
      <c r="BI312" s="208">
        <v>-378</v>
      </c>
      <c r="BJ312" s="208">
        <v>0</v>
      </c>
      <c r="BK312" s="208">
        <v>-378</v>
      </c>
      <c r="BL312" s="208">
        <v>-4018157</v>
      </c>
      <c r="BM312" s="208">
        <v>0</v>
      </c>
      <c r="BN312" s="208">
        <v>-4018157</v>
      </c>
      <c r="BO312" s="208">
        <v>0</v>
      </c>
      <c r="BP312" s="208">
        <v>0</v>
      </c>
      <c r="BQ312" s="208">
        <v>0</v>
      </c>
      <c r="BR312" s="208">
        <v>0</v>
      </c>
      <c r="BS312" s="208">
        <v>0</v>
      </c>
      <c r="BT312" s="208">
        <v>0</v>
      </c>
      <c r="BU312" s="208">
        <v>-668457</v>
      </c>
      <c r="BV312" s="208">
        <v>0</v>
      </c>
      <c r="BW312" s="208">
        <v>-668457</v>
      </c>
      <c r="BX312" s="208">
        <v>-19619</v>
      </c>
      <c r="BY312" s="208">
        <v>0</v>
      </c>
      <c r="BZ312" s="208">
        <v>-19619</v>
      </c>
      <c r="CA312" s="208">
        <v>-688076</v>
      </c>
      <c r="CB312" s="208">
        <v>0</v>
      </c>
      <c r="CC312" s="208">
        <v>-688076</v>
      </c>
      <c r="CD312" s="208">
        <v>-46362</v>
      </c>
      <c r="CE312" s="208">
        <v>0</v>
      </c>
      <c r="CF312" s="208">
        <v>-46362</v>
      </c>
      <c r="CG312" s="208">
        <v>-184</v>
      </c>
      <c r="CH312" s="208">
        <v>0</v>
      </c>
      <c r="CI312" s="208">
        <v>-184</v>
      </c>
      <c r="CJ312" s="208">
        <v>-6031</v>
      </c>
      <c r="CK312" s="208">
        <v>0</v>
      </c>
      <c r="CL312" s="208">
        <v>-6031</v>
      </c>
      <c r="CM312" s="208">
        <v>0</v>
      </c>
      <c r="CN312" s="208">
        <v>0</v>
      </c>
      <c r="CO312" s="208">
        <v>0</v>
      </c>
      <c r="CP312" s="208">
        <v>-1748</v>
      </c>
      <c r="CQ312" s="208">
        <v>0</v>
      </c>
      <c r="CR312" s="208">
        <v>-1748</v>
      </c>
      <c r="CS312" s="208">
        <v>0</v>
      </c>
      <c r="CT312" s="208">
        <v>0</v>
      </c>
      <c r="CU312" s="208">
        <v>0</v>
      </c>
      <c r="CV312" s="208">
        <v>-2366</v>
      </c>
      <c r="CW312" s="208">
        <v>0</v>
      </c>
      <c r="CX312" s="208">
        <v>-2366</v>
      </c>
      <c r="CY312" s="208">
        <v>0</v>
      </c>
      <c r="CZ312" s="208">
        <v>0</v>
      </c>
      <c r="DA312" s="208">
        <v>0</v>
      </c>
      <c r="DB312" s="208">
        <v>0</v>
      </c>
      <c r="DC312" s="208">
        <v>0</v>
      </c>
      <c r="DD312" s="208">
        <v>0</v>
      </c>
      <c r="DE312" s="208">
        <v>-378</v>
      </c>
      <c r="DF312" s="208">
        <v>0</v>
      </c>
      <c r="DG312" s="208">
        <v>-378</v>
      </c>
      <c r="DH312" s="208">
        <v>0</v>
      </c>
      <c r="DI312" s="208">
        <v>0</v>
      </c>
      <c r="DJ312" s="208">
        <v>0</v>
      </c>
      <c r="DK312" s="208">
        <v>0</v>
      </c>
      <c r="DL312" s="208">
        <v>0</v>
      </c>
      <c r="DM312" s="208">
        <v>0</v>
      </c>
      <c r="DN312" s="208">
        <v>0</v>
      </c>
      <c r="DO312" s="208">
        <v>0</v>
      </c>
      <c r="DP312" s="208">
        <v>-57069</v>
      </c>
      <c r="DQ312" s="208">
        <v>0</v>
      </c>
      <c r="DR312" s="208">
        <v>-57069</v>
      </c>
      <c r="DS312" s="208">
        <v>0</v>
      </c>
      <c r="DT312" s="208">
        <v>0</v>
      </c>
      <c r="DU312" s="208">
        <v>0</v>
      </c>
      <c r="DV312" s="208">
        <v>0</v>
      </c>
      <c r="DW312" s="208">
        <v>0</v>
      </c>
      <c r="DX312" s="208">
        <v>0</v>
      </c>
      <c r="DY312" s="208">
        <v>0</v>
      </c>
      <c r="DZ312" s="208">
        <v>0</v>
      </c>
      <c r="EA312" s="208">
        <v>0</v>
      </c>
      <c r="EB312" s="208">
        <v>0</v>
      </c>
      <c r="EC312" s="208">
        <v>0</v>
      </c>
      <c r="ED312" s="208">
        <v>0</v>
      </c>
      <c r="EE312" s="208">
        <v>0</v>
      </c>
      <c r="EF312" s="208">
        <v>0</v>
      </c>
      <c r="EG312" s="208">
        <v>0</v>
      </c>
      <c r="EH312" s="208">
        <v>0</v>
      </c>
      <c r="EI312" s="208">
        <v>0</v>
      </c>
      <c r="EJ312" s="208">
        <v>0</v>
      </c>
      <c r="EK312" s="208">
        <v>-32340</v>
      </c>
      <c r="EL312" s="208">
        <v>0</v>
      </c>
      <c r="EM312" s="208">
        <v>-32340</v>
      </c>
      <c r="EN312" s="208">
        <v>0</v>
      </c>
      <c r="EO312" s="208">
        <v>0</v>
      </c>
      <c r="EP312" s="208">
        <v>0</v>
      </c>
      <c r="EQ312" s="208">
        <v>0</v>
      </c>
      <c r="ER312" s="208">
        <v>0</v>
      </c>
      <c r="ES312" s="208">
        <v>0</v>
      </c>
      <c r="ET312" s="208">
        <v>0</v>
      </c>
      <c r="EU312" s="208">
        <v>0</v>
      </c>
      <c r="EV312" s="208">
        <v>0</v>
      </c>
      <c r="EW312" s="208">
        <v>-19926</v>
      </c>
      <c r="EX312" s="208">
        <v>0</v>
      </c>
      <c r="EY312" s="208">
        <v>-19926</v>
      </c>
      <c r="EZ312" s="208">
        <v>0</v>
      </c>
      <c r="FA312" s="208">
        <v>0</v>
      </c>
      <c r="FB312" s="208">
        <v>0</v>
      </c>
      <c r="FC312" s="208">
        <v>-75551</v>
      </c>
      <c r="FD312" s="208">
        <v>0</v>
      </c>
      <c r="FE312" s="208">
        <v>-75551</v>
      </c>
      <c r="FF312" s="208">
        <v>-90</v>
      </c>
      <c r="FG312" s="208">
        <v>0</v>
      </c>
      <c r="FH312" s="208">
        <v>-90</v>
      </c>
      <c r="FI312" s="208">
        <v>-25000</v>
      </c>
      <c r="FJ312" s="208">
        <v>0</v>
      </c>
      <c r="FK312" s="208">
        <v>-25000</v>
      </c>
      <c r="FL312" s="208">
        <v>0</v>
      </c>
      <c r="FM312" s="208">
        <v>0</v>
      </c>
      <c r="FN312" s="208">
        <v>0</v>
      </c>
      <c r="FO312" s="208">
        <v>0</v>
      </c>
      <c r="FP312" s="208">
        <v>0</v>
      </c>
      <c r="FQ312" s="208">
        <v>0</v>
      </c>
      <c r="FR312" s="208">
        <v>0</v>
      </c>
      <c r="FS312" s="208">
        <v>0</v>
      </c>
      <c r="FT312" s="208">
        <v>0</v>
      </c>
      <c r="FU312" s="208">
        <v>-152907</v>
      </c>
      <c r="FV312" s="208">
        <v>0</v>
      </c>
      <c r="FW312" s="208">
        <v>-152907</v>
      </c>
      <c r="FX312" s="208">
        <v>0</v>
      </c>
      <c r="FY312" s="208">
        <v>0</v>
      </c>
      <c r="FZ312" s="208">
        <v>0</v>
      </c>
      <c r="GA312" s="208">
        <v>0</v>
      </c>
      <c r="GB312" s="208">
        <v>0</v>
      </c>
      <c r="GC312" s="208">
        <v>0</v>
      </c>
      <c r="GD312" s="208">
        <v>0</v>
      </c>
      <c r="GE312" s="208">
        <v>0</v>
      </c>
      <c r="GF312" s="208">
        <v>0</v>
      </c>
      <c r="GG312" s="208">
        <v>22858060</v>
      </c>
      <c r="GH312" s="208">
        <v>0</v>
      </c>
      <c r="GI312" s="208">
        <v>22858060</v>
      </c>
      <c r="GJ312" s="208">
        <v>-430674</v>
      </c>
      <c r="GK312" s="208">
        <v>0</v>
      </c>
      <c r="GL312" s="208">
        <v>-430674</v>
      </c>
      <c r="GM312" s="208">
        <v>-4018157</v>
      </c>
      <c r="GN312" s="208">
        <v>0</v>
      </c>
      <c r="GO312" s="208">
        <v>-4018157</v>
      </c>
      <c r="GP312" s="208">
        <v>-688076</v>
      </c>
      <c r="GQ312" s="208">
        <v>0</v>
      </c>
      <c r="GR312" s="208">
        <v>-688076</v>
      </c>
      <c r="GS312" s="208">
        <v>-57069</v>
      </c>
      <c r="GT312" s="208">
        <v>0</v>
      </c>
      <c r="GU312" s="208">
        <v>-57069</v>
      </c>
      <c r="GV312" s="208">
        <v>-152907</v>
      </c>
      <c r="GW312" s="208">
        <v>0</v>
      </c>
      <c r="GX312" s="208">
        <v>-152907</v>
      </c>
      <c r="GY312" s="208">
        <v>0</v>
      </c>
      <c r="GZ312" s="208">
        <v>0</v>
      </c>
      <c r="HA312" s="208">
        <v>0</v>
      </c>
      <c r="HB312" s="208">
        <v>-5346883</v>
      </c>
      <c r="HC312" s="208">
        <v>0</v>
      </c>
      <c r="HD312" s="208">
        <v>-5346883</v>
      </c>
      <c r="HE312" s="208">
        <v>17511177</v>
      </c>
      <c r="HF312" s="208">
        <v>0</v>
      </c>
      <c r="HG312" s="208">
        <v>17511177</v>
      </c>
      <c r="HH312" s="187" t="s">
        <v>1054</v>
      </c>
    </row>
    <row r="313" spans="2:216" s="187" customFormat="1" x14ac:dyDescent="0.2">
      <c r="B313" s="429" t="s">
        <v>704</v>
      </c>
      <c r="C313" s="429" t="s">
        <v>703</v>
      </c>
      <c r="D313" s="208">
        <v>-1855824</v>
      </c>
      <c r="E313" s="208">
        <v>0</v>
      </c>
      <c r="F313" s="208">
        <v>-1855824</v>
      </c>
      <c r="G313" s="208">
        <v>-64910</v>
      </c>
      <c r="H313" s="208">
        <v>0</v>
      </c>
      <c r="I313" s="208">
        <v>-64910</v>
      </c>
      <c r="J313" s="208">
        <v>575452</v>
      </c>
      <c r="K313" s="208">
        <v>0</v>
      </c>
      <c r="L313" s="208">
        <v>575452</v>
      </c>
      <c r="M313" s="208">
        <v>35925</v>
      </c>
      <c r="N313" s="208">
        <v>0</v>
      </c>
      <c r="O313" s="208">
        <v>35925</v>
      </c>
      <c r="P313" s="208">
        <v>-1309357</v>
      </c>
      <c r="Q313" s="208">
        <v>0</v>
      </c>
      <c r="R313" s="208">
        <v>-1309357</v>
      </c>
      <c r="S313" s="208">
        <v>-3718212</v>
      </c>
      <c r="T313" s="208">
        <v>0</v>
      </c>
      <c r="U313" s="208">
        <v>-3718212</v>
      </c>
      <c r="V313" s="208">
        <v>-22429</v>
      </c>
      <c r="W313" s="208">
        <v>0</v>
      </c>
      <c r="X313" s="208">
        <v>-22429</v>
      </c>
      <c r="Y313" s="208">
        <v>-98645</v>
      </c>
      <c r="Z313" s="208">
        <v>0</v>
      </c>
      <c r="AA313" s="208">
        <v>-98645</v>
      </c>
      <c r="AB313" s="208">
        <v>-21856</v>
      </c>
      <c r="AC313" s="208">
        <v>0</v>
      </c>
      <c r="AD313" s="208">
        <v>-21856</v>
      </c>
      <c r="AE313" s="208">
        <v>-78405</v>
      </c>
      <c r="AF313" s="208">
        <v>0</v>
      </c>
      <c r="AG313" s="208">
        <v>-78405</v>
      </c>
      <c r="AH313" s="208">
        <v>1671</v>
      </c>
      <c r="AI313" s="208">
        <v>0</v>
      </c>
      <c r="AJ313" s="208">
        <v>1671</v>
      </c>
      <c r="AK313" s="208">
        <v>941</v>
      </c>
      <c r="AL313" s="208">
        <v>0</v>
      </c>
      <c r="AM313" s="208">
        <v>941</v>
      </c>
      <c r="AN313" s="208">
        <v>801480</v>
      </c>
      <c r="AO313" s="208">
        <v>0</v>
      </c>
      <c r="AP313" s="208">
        <v>801480</v>
      </c>
      <c r="AQ313" s="208">
        <v>-18831</v>
      </c>
      <c r="AR313" s="208">
        <v>0</v>
      </c>
      <c r="AS313" s="208">
        <v>-18831</v>
      </c>
      <c r="AT313" s="208">
        <v>-3269040</v>
      </c>
      <c r="AU313" s="208">
        <v>0</v>
      </c>
      <c r="AV313" s="208">
        <v>-3269040</v>
      </c>
      <c r="AW313" s="208">
        <v>145125.81</v>
      </c>
      <c r="AX313" s="208">
        <v>0</v>
      </c>
      <c r="AY313" s="208">
        <v>145125.81</v>
      </c>
      <c r="AZ313" s="208">
        <v>-53233</v>
      </c>
      <c r="BA313" s="208">
        <v>0</v>
      </c>
      <c r="BB313" s="208">
        <v>-53233</v>
      </c>
      <c r="BC313" s="208">
        <v>0</v>
      </c>
      <c r="BD313" s="208">
        <v>0</v>
      </c>
      <c r="BE313" s="208">
        <v>0</v>
      </c>
      <c r="BF313" s="208">
        <v>-28742</v>
      </c>
      <c r="BG313" s="208">
        <v>0</v>
      </c>
      <c r="BH313" s="208">
        <v>-28742</v>
      </c>
      <c r="BI313" s="208">
        <v>0</v>
      </c>
      <c r="BJ313" s="208">
        <v>0</v>
      </c>
      <c r="BK313" s="208">
        <v>0</v>
      </c>
      <c r="BL313" s="208">
        <v>-6240097</v>
      </c>
      <c r="BM313" s="208">
        <v>0</v>
      </c>
      <c r="BN313" s="208">
        <v>-6240097</v>
      </c>
      <c r="BO313" s="208">
        <v>-32364</v>
      </c>
      <c r="BP313" s="208">
        <v>0</v>
      </c>
      <c r="BQ313" s="208">
        <v>-32364</v>
      </c>
      <c r="BR313" s="208">
        <v>0</v>
      </c>
      <c r="BS313" s="208">
        <v>0</v>
      </c>
      <c r="BT313" s="208">
        <v>0</v>
      </c>
      <c r="BU313" s="208">
        <v>-1121293</v>
      </c>
      <c r="BV313" s="208">
        <v>0</v>
      </c>
      <c r="BW313" s="208">
        <v>-1121293</v>
      </c>
      <c r="BX313" s="208">
        <v>-232461</v>
      </c>
      <c r="BY313" s="208">
        <v>0</v>
      </c>
      <c r="BZ313" s="208">
        <v>-232461</v>
      </c>
      <c r="CA313" s="208">
        <v>-1386118</v>
      </c>
      <c r="CB313" s="208">
        <v>0</v>
      </c>
      <c r="CC313" s="208">
        <v>-1386118</v>
      </c>
      <c r="CD313" s="208">
        <v>-101689</v>
      </c>
      <c r="CE313" s="208">
        <v>0</v>
      </c>
      <c r="CF313" s="208">
        <v>-101689</v>
      </c>
      <c r="CG313" s="208">
        <v>-119</v>
      </c>
      <c r="CH313" s="208">
        <v>0</v>
      </c>
      <c r="CI313" s="208">
        <v>-119</v>
      </c>
      <c r="CJ313" s="208">
        <v>-9300</v>
      </c>
      <c r="CK313" s="208">
        <v>0</v>
      </c>
      <c r="CL313" s="208">
        <v>-9300</v>
      </c>
      <c r="CM313" s="208">
        <v>-302</v>
      </c>
      <c r="CN313" s="208">
        <v>0</v>
      </c>
      <c r="CO313" s="208">
        <v>-302</v>
      </c>
      <c r="CP313" s="208">
        <v>0</v>
      </c>
      <c r="CQ313" s="208">
        <v>0</v>
      </c>
      <c r="CR313" s="208">
        <v>0</v>
      </c>
      <c r="CS313" s="208">
        <v>0</v>
      </c>
      <c r="CT313" s="208">
        <v>0</v>
      </c>
      <c r="CU313" s="208">
        <v>0</v>
      </c>
      <c r="CV313" s="208">
        <v>0</v>
      </c>
      <c r="CW313" s="208">
        <v>0</v>
      </c>
      <c r="CX313" s="208">
        <v>0</v>
      </c>
      <c r="CY313" s="208">
        <v>0</v>
      </c>
      <c r="CZ313" s="208">
        <v>0</v>
      </c>
      <c r="DA313" s="208">
        <v>0</v>
      </c>
      <c r="DB313" s="208">
        <v>0</v>
      </c>
      <c r="DC313" s="208">
        <v>0</v>
      </c>
      <c r="DD313" s="208">
        <v>0</v>
      </c>
      <c r="DE313" s="208">
        <v>0</v>
      </c>
      <c r="DF313" s="208">
        <v>0</v>
      </c>
      <c r="DG313" s="208">
        <v>0</v>
      </c>
      <c r="DH313" s="208">
        <v>0</v>
      </c>
      <c r="DI313" s="208">
        <v>0</v>
      </c>
      <c r="DJ313" s="208">
        <v>0</v>
      </c>
      <c r="DK313" s="208">
        <v>0</v>
      </c>
      <c r="DL313" s="208">
        <v>0</v>
      </c>
      <c r="DM313" s="208">
        <v>0</v>
      </c>
      <c r="DN313" s="208">
        <v>0</v>
      </c>
      <c r="DO313" s="208">
        <v>0</v>
      </c>
      <c r="DP313" s="208">
        <v>-111410</v>
      </c>
      <c r="DQ313" s="208">
        <v>0</v>
      </c>
      <c r="DR313" s="208">
        <v>-111410</v>
      </c>
      <c r="DS313" s="208">
        <v>0</v>
      </c>
      <c r="DT313" s="208">
        <v>0</v>
      </c>
      <c r="DU313" s="208">
        <v>0</v>
      </c>
      <c r="DV313" s="208">
        <v>0</v>
      </c>
      <c r="DW313" s="208">
        <v>0</v>
      </c>
      <c r="DX313" s="208">
        <v>0</v>
      </c>
      <c r="DY313" s="208">
        <v>0</v>
      </c>
      <c r="DZ313" s="208">
        <v>0</v>
      </c>
      <c r="EA313" s="208">
        <v>0</v>
      </c>
      <c r="EB313" s="208">
        <v>0</v>
      </c>
      <c r="EC313" s="208">
        <v>0</v>
      </c>
      <c r="ED313" s="208">
        <v>0</v>
      </c>
      <c r="EE313" s="208">
        <v>0</v>
      </c>
      <c r="EF313" s="208">
        <v>0</v>
      </c>
      <c r="EG313" s="208">
        <v>0</v>
      </c>
      <c r="EH313" s="208">
        <v>0</v>
      </c>
      <c r="EI313" s="208">
        <v>0</v>
      </c>
      <c r="EJ313" s="208">
        <v>0</v>
      </c>
      <c r="EK313" s="208">
        <v>-28742</v>
      </c>
      <c r="EL313" s="208">
        <v>0</v>
      </c>
      <c r="EM313" s="208">
        <v>-28742</v>
      </c>
      <c r="EN313" s="208">
        <v>0</v>
      </c>
      <c r="EO313" s="208">
        <v>0</v>
      </c>
      <c r="EP313" s="208">
        <v>0</v>
      </c>
      <c r="EQ313" s="208">
        <v>0</v>
      </c>
      <c r="ER313" s="208">
        <v>0</v>
      </c>
      <c r="ES313" s="208">
        <v>0</v>
      </c>
      <c r="ET313" s="208">
        <v>0</v>
      </c>
      <c r="EU313" s="208">
        <v>0</v>
      </c>
      <c r="EV313" s="208">
        <v>0</v>
      </c>
      <c r="EW313" s="208">
        <v>-60683</v>
      </c>
      <c r="EX313" s="208">
        <v>0</v>
      </c>
      <c r="EY313" s="208">
        <v>-60683</v>
      </c>
      <c r="EZ313" s="208">
        <v>-726</v>
      </c>
      <c r="FA313" s="208">
        <v>0</v>
      </c>
      <c r="FB313" s="208">
        <v>-726</v>
      </c>
      <c r="FC313" s="208">
        <v>-267246</v>
      </c>
      <c r="FD313" s="208">
        <v>0</v>
      </c>
      <c r="FE313" s="208">
        <v>-267246</v>
      </c>
      <c r="FF313" s="208">
        <v>16600</v>
      </c>
      <c r="FG313" s="208">
        <v>0</v>
      </c>
      <c r="FH313" s="208">
        <v>16600</v>
      </c>
      <c r="FI313" s="208">
        <v>-79186</v>
      </c>
      <c r="FJ313" s="208">
        <v>0</v>
      </c>
      <c r="FK313" s="208">
        <v>-79186</v>
      </c>
      <c r="FL313" s="208">
        <v>-2630</v>
      </c>
      <c r="FM313" s="208">
        <v>0</v>
      </c>
      <c r="FN313" s="208">
        <v>-2630</v>
      </c>
      <c r="FO313" s="208">
        <v>0</v>
      </c>
      <c r="FP313" s="208">
        <v>0</v>
      </c>
      <c r="FQ313" s="208">
        <v>0</v>
      </c>
      <c r="FR313" s="208">
        <v>0</v>
      </c>
      <c r="FS313" s="208">
        <v>0</v>
      </c>
      <c r="FT313" s="208">
        <v>0</v>
      </c>
      <c r="FU313" s="208">
        <v>-422613</v>
      </c>
      <c r="FV313" s="208">
        <v>0</v>
      </c>
      <c r="FW313" s="208">
        <v>-422613</v>
      </c>
      <c r="FX313" s="208">
        <v>0</v>
      </c>
      <c r="FY313" s="208">
        <v>0</v>
      </c>
      <c r="FZ313" s="208">
        <v>0</v>
      </c>
      <c r="GA313" s="208">
        <v>0</v>
      </c>
      <c r="GB313" s="208">
        <v>0</v>
      </c>
      <c r="GC313" s="208">
        <v>0</v>
      </c>
      <c r="GD313" s="208">
        <v>0</v>
      </c>
      <c r="GE313" s="208">
        <v>0</v>
      </c>
      <c r="GF313" s="208">
        <v>0</v>
      </c>
      <c r="GG313" s="208">
        <v>46102941</v>
      </c>
      <c r="GH313" s="208">
        <v>0</v>
      </c>
      <c r="GI313" s="208">
        <v>46102941</v>
      </c>
      <c r="GJ313" s="208">
        <v>-1309357</v>
      </c>
      <c r="GK313" s="208">
        <v>0</v>
      </c>
      <c r="GL313" s="208">
        <v>-1309357</v>
      </c>
      <c r="GM313" s="208">
        <v>-6240097</v>
      </c>
      <c r="GN313" s="208">
        <v>0</v>
      </c>
      <c r="GO313" s="208">
        <v>-6240097</v>
      </c>
      <c r="GP313" s="208">
        <v>-1386118</v>
      </c>
      <c r="GQ313" s="208">
        <v>0</v>
      </c>
      <c r="GR313" s="208">
        <v>-1386118</v>
      </c>
      <c r="GS313" s="208">
        <v>-111410</v>
      </c>
      <c r="GT313" s="208">
        <v>0</v>
      </c>
      <c r="GU313" s="208">
        <v>-111410</v>
      </c>
      <c r="GV313" s="208">
        <v>-422613</v>
      </c>
      <c r="GW313" s="208">
        <v>0</v>
      </c>
      <c r="GX313" s="208">
        <v>-422613</v>
      </c>
      <c r="GY313" s="208">
        <v>0</v>
      </c>
      <c r="GZ313" s="208">
        <v>0</v>
      </c>
      <c r="HA313" s="208">
        <v>0</v>
      </c>
      <c r="HB313" s="208">
        <v>-9469595</v>
      </c>
      <c r="HC313" s="208">
        <v>0</v>
      </c>
      <c r="HD313" s="208">
        <v>-9469595</v>
      </c>
      <c r="HE313" s="208">
        <v>36633346</v>
      </c>
      <c r="HF313" s="208">
        <v>0</v>
      </c>
      <c r="HG313" s="208">
        <v>36633346</v>
      </c>
      <c r="HH313" s="187" t="s">
        <v>1054</v>
      </c>
    </row>
    <row r="314" spans="2:216" s="187" customFormat="1" x14ac:dyDescent="0.2">
      <c r="B314" s="429" t="s">
        <v>706</v>
      </c>
      <c r="C314" s="429" t="s">
        <v>705</v>
      </c>
      <c r="D314" s="208">
        <v>-1421665</v>
      </c>
      <c r="E314" s="208">
        <v>0</v>
      </c>
      <c r="F314" s="208">
        <v>-1421665</v>
      </c>
      <c r="G314" s="208">
        <v>9358</v>
      </c>
      <c r="H314" s="208">
        <v>0</v>
      </c>
      <c r="I314" s="208">
        <v>9358</v>
      </c>
      <c r="J314" s="208">
        <v>143816</v>
      </c>
      <c r="K314" s="208">
        <v>0</v>
      </c>
      <c r="L314" s="208">
        <v>143816</v>
      </c>
      <c r="M314" s="208">
        <v>33102</v>
      </c>
      <c r="N314" s="208">
        <v>0</v>
      </c>
      <c r="O314" s="208">
        <v>33102</v>
      </c>
      <c r="P314" s="208">
        <v>-1235389</v>
      </c>
      <c r="Q314" s="208">
        <v>0</v>
      </c>
      <c r="R314" s="208">
        <v>-1235389</v>
      </c>
      <c r="S314" s="208">
        <v>-2206831</v>
      </c>
      <c r="T314" s="208">
        <v>0</v>
      </c>
      <c r="U314" s="208">
        <v>-2206831</v>
      </c>
      <c r="V314" s="208">
        <v>0</v>
      </c>
      <c r="W314" s="208">
        <v>0</v>
      </c>
      <c r="X314" s="208">
        <v>0</v>
      </c>
      <c r="Y314" s="208">
        <v>-47962</v>
      </c>
      <c r="Z314" s="208">
        <v>0</v>
      </c>
      <c r="AA314" s="208">
        <v>-47962</v>
      </c>
      <c r="AB314" s="208">
        <v>-20669</v>
      </c>
      <c r="AC314" s="208">
        <v>0</v>
      </c>
      <c r="AD314" s="208">
        <v>-20669</v>
      </c>
      <c r="AE314" s="208">
        <v>-27293</v>
      </c>
      <c r="AF314" s="208">
        <v>0</v>
      </c>
      <c r="AG314" s="208">
        <v>-27293</v>
      </c>
      <c r="AH314" s="208">
        <v>0</v>
      </c>
      <c r="AI314" s="208">
        <v>0</v>
      </c>
      <c r="AJ314" s="208">
        <v>0</v>
      </c>
      <c r="AK314" s="208">
        <v>0</v>
      </c>
      <c r="AL314" s="208">
        <v>0</v>
      </c>
      <c r="AM314" s="208">
        <v>0</v>
      </c>
      <c r="AN314" s="208">
        <v>429278</v>
      </c>
      <c r="AO314" s="208">
        <v>0</v>
      </c>
      <c r="AP314" s="208">
        <v>429278</v>
      </c>
      <c r="AQ314" s="208">
        <v>1359</v>
      </c>
      <c r="AR314" s="208">
        <v>0</v>
      </c>
      <c r="AS314" s="208">
        <v>1359</v>
      </c>
      <c r="AT314" s="208">
        <v>-592598</v>
      </c>
      <c r="AU314" s="208">
        <v>0</v>
      </c>
      <c r="AV314" s="208">
        <v>-592598</v>
      </c>
      <c r="AW314" s="208">
        <v>270509</v>
      </c>
      <c r="AX314" s="208">
        <v>0</v>
      </c>
      <c r="AY314" s="208">
        <v>270509</v>
      </c>
      <c r="AZ314" s="208">
        <v>0</v>
      </c>
      <c r="BA314" s="208">
        <v>0</v>
      </c>
      <c r="BB314" s="208">
        <v>0</v>
      </c>
      <c r="BC314" s="208">
        <v>15615</v>
      </c>
      <c r="BD314" s="208">
        <v>0</v>
      </c>
      <c r="BE314" s="208">
        <v>15615</v>
      </c>
      <c r="BF314" s="208">
        <v>-23661</v>
      </c>
      <c r="BG314" s="208">
        <v>0</v>
      </c>
      <c r="BH314" s="208">
        <v>-23661</v>
      </c>
      <c r="BI314" s="208">
        <v>0</v>
      </c>
      <c r="BJ314" s="208">
        <v>0</v>
      </c>
      <c r="BK314" s="208">
        <v>0</v>
      </c>
      <c r="BL314" s="208">
        <v>-2154291</v>
      </c>
      <c r="BM314" s="208">
        <v>0</v>
      </c>
      <c r="BN314" s="208">
        <v>-2154291</v>
      </c>
      <c r="BO314" s="208">
        <v>0</v>
      </c>
      <c r="BP314" s="208">
        <v>0</v>
      </c>
      <c r="BQ314" s="208">
        <v>0</v>
      </c>
      <c r="BR314" s="208">
        <v>0</v>
      </c>
      <c r="BS314" s="208">
        <v>0</v>
      </c>
      <c r="BT314" s="208">
        <v>0</v>
      </c>
      <c r="BU314" s="208">
        <v>-144348</v>
      </c>
      <c r="BV314" s="208">
        <v>0</v>
      </c>
      <c r="BW314" s="208">
        <v>-144348</v>
      </c>
      <c r="BX314" s="208">
        <v>-20703</v>
      </c>
      <c r="BY314" s="208">
        <v>0</v>
      </c>
      <c r="BZ314" s="208">
        <v>-20703</v>
      </c>
      <c r="CA314" s="208">
        <v>-165051</v>
      </c>
      <c r="CB314" s="208">
        <v>0</v>
      </c>
      <c r="CC314" s="208">
        <v>-165051</v>
      </c>
      <c r="CD314" s="208">
        <v>-58867</v>
      </c>
      <c r="CE314" s="208">
        <v>0</v>
      </c>
      <c r="CF314" s="208">
        <v>-58867</v>
      </c>
      <c r="CG314" s="208">
        <v>6044</v>
      </c>
      <c r="CH314" s="208">
        <v>0</v>
      </c>
      <c r="CI314" s="208">
        <v>6044</v>
      </c>
      <c r="CJ314" s="208">
        <v>-13517</v>
      </c>
      <c r="CK314" s="208">
        <v>0</v>
      </c>
      <c r="CL314" s="208">
        <v>-13517</v>
      </c>
      <c r="CM314" s="208">
        <v>0</v>
      </c>
      <c r="CN314" s="208">
        <v>0</v>
      </c>
      <c r="CO314" s="208">
        <v>0</v>
      </c>
      <c r="CP314" s="208">
        <v>-2024</v>
      </c>
      <c r="CQ314" s="208">
        <v>0</v>
      </c>
      <c r="CR314" s="208">
        <v>-2024</v>
      </c>
      <c r="CS314" s="208">
        <v>630</v>
      </c>
      <c r="CT314" s="208">
        <v>0</v>
      </c>
      <c r="CU314" s="208">
        <v>630</v>
      </c>
      <c r="CV314" s="208">
        <v>-7611</v>
      </c>
      <c r="CW314" s="208">
        <v>0</v>
      </c>
      <c r="CX314" s="208">
        <v>-7611</v>
      </c>
      <c r="CY314" s="208">
        <v>0</v>
      </c>
      <c r="CZ314" s="208">
        <v>0</v>
      </c>
      <c r="DA314" s="208">
        <v>0</v>
      </c>
      <c r="DB314" s="208">
        <v>-11696</v>
      </c>
      <c r="DC314" s="208">
        <v>0</v>
      </c>
      <c r="DD314" s="208">
        <v>-11696</v>
      </c>
      <c r="DE314" s="208">
        <v>0</v>
      </c>
      <c r="DF314" s="208">
        <v>0</v>
      </c>
      <c r="DG314" s="208">
        <v>0</v>
      </c>
      <c r="DH314" s="208">
        <v>0</v>
      </c>
      <c r="DI314" s="208">
        <v>0</v>
      </c>
      <c r="DJ314" s="208">
        <v>0</v>
      </c>
      <c r="DK314" s="208">
        <v>0</v>
      </c>
      <c r="DL314" s="208">
        <v>0</v>
      </c>
      <c r="DM314" s="208">
        <v>0</v>
      </c>
      <c r="DN314" s="208">
        <v>0</v>
      </c>
      <c r="DO314" s="208">
        <v>0</v>
      </c>
      <c r="DP314" s="208">
        <v>-87041</v>
      </c>
      <c r="DQ314" s="208">
        <v>0</v>
      </c>
      <c r="DR314" s="208">
        <v>-87041</v>
      </c>
      <c r="DS314" s="208">
        <v>0</v>
      </c>
      <c r="DT314" s="208">
        <v>0</v>
      </c>
      <c r="DU314" s="208">
        <v>0</v>
      </c>
      <c r="DV314" s="208">
        <v>0</v>
      </c>
      <c r="DW314" s="208">
        <v>0</v>
      </c>
      <c r="DX314" s="208">
        <v>0</v>
      </c>
      <c r="DY314" s="208">
        <v>0</v>
      </c>
      <c r="DZ314" s="208">
        <v>0</v>
      </c>
      <c r="EA314" s="208">
        <v>0</v>
      </c>
      <c r="EB314" s="208">
        <v>0</v>
      </c>
      <c r="EC314" s="208">
        <v>0</v>
      </c>
      <c r="ED314" s="208">
        <v>0</v>
      </c>
      <c r="EE314" s="208">
        <v>0</v>
      </c>
      <c r="EF314" s="208">
        <v>0</v>
      </c>
      <c r="EG314" s="208">
        <v>0</v>
      </c>
      <c r="EH314" s="208">
        <v>0</v>
      </c>
      <c r="EI314" s="208">
        <v>0</v>
      </c>
      <c r="EJ314" s="208">
        <v>0</v>
      </c>
      <c r="EK314" s="208">
        <v>-23661</v>
      </c>
      <c r="EL314" s="208">
        <v>0</v>
      </c>
      <c r="EM314" s="208">
        <v>-23661</v>
      </c>
      <c r="EN314" s="208">
        <v>1617</v>
      </c>
      <c r="EO314" s="208">
        <v>0</v>
      </c>
      <c r="EP314" s="208">
        <v>1617</v>
      </c>
      <c r="EQ314" s="208">
        <v>-3000</v>
      </c>
      <c r="ER314" s="208">
        <v>0</v>
      </c>
      <c r="ES314" s="208">
        <v>-3000</v>
      </c>
      <c r="ET314" s="208">
        <v>0</v>
      </c>
      <c r="EU314" s="208">
        <v>0</v>
      </c>
      <c r="EV314" s="208">
        <v>0</v>
      </c>
      <c r="EW314" s="208">
        <v>-19695</v>
      </c>
      <c r="EX314" s="208">
        <v>0</v>
      </c>
      <c r="EY314" s="208">
        <v>-19695</v>
      </c>
      <c r="EZ314" s="208">
        <v>1150</v>
      </c>
      <c r="FA314" s="208">
        <v>0</v>
      </c>
      <c r="FB314" s="208">
        <v>1150</v>
      </c>
      <c r="FC314" s="208">
        <v>-67032</v>
      </c>
      <c r="FD314" s="208">
        <v>0</v>
      </c>
      <c r="FE314" s="208">
        <v>-67032</v>
      </c>
      <c r="FF314" s="208">
        <v>4660</v>
      </c>
      <c r="FG314" s="208">
        <v>0</v>
      </c>
      <c r="FH314" s="208">
        <v>4660</v>
      </c>
      <c r="FI314" s="208">
        <v>-32495</v>
      </c>
      <c r="FJ314" s="208">
        <v>0</v>
      </c>
      <c r="FK314" s="208">
        <v>-32495</v>
      </c>
      <c r="FL314" s="208">
        <v>0</v>
      </c>
      <c r="FM314" s="208">
        <v>0</v>
      </c>
      <c r="FN314" s="208">
        <v>0</v>
      </c>
      <c r="FO314" s="208">
        <v>0</v>
      </c>
      <c r="FP314" s="208">
        <v>0</v>
      </c>
      <c r="FQ314" s="208">
        <v>0</v>
      </c>
      <c r="FR314" s="208">
        <v>0</v>
      </c>
      <c r="FS314" s="208">
        <v>0</v>
      </c>
      <c r="FT314" s="208">
        <v>0</v>
      </c>
      <c r="FU314" s="208">
        <v>-138456</v>
      </c>
      <c r="FV314" s="208">
        <v>0</v>
      </c>
      <c r="FW314" s="208">
        <v>-138456</v>
      </c>
      <c r="FX314" s="208">
        <v>0</v>
      </c>
      <c r="FY314" s="208">
        <v>0</v>
      </c>
      <c r="FZ314" s="208">
        <v>0</v>
      </c>
      <c r="GA314" s="208">
        <v>0</v>
      </c>
      <c r="GB314" s="208">
        <v>0</v>
      </c>
      <c r="GC314" s="208">
        <v>0</v>
      </c>
      <c r="GD314" s="208">
        <v>0</v>
      </c>
      <c r="GE314" s="208">
        <v>0</v>
      </c>
      <c r="GF314" s="208">
        <v>0</v>
      </c>
      <c r="GG314" s="208">
        <v>21909328</v>
      </c>
      <c r="GH314" s="208">
        <v>0</v>
      </c>
      <c r="GI314" s="208">
        <v>21909328</v>
      </c>
      <c r="GJ314" s="208">
        <v>-1235389</v>
      </c>
      <c r="GK314" s="208">
        <v>0</v>
      </c>
      <c r="GL314" s="208">
        <v>-1235389</v>
      </c>
      <c r="GM314" s="208">
        <v>-2154291</v>
      </c>
      <c r="GN314" s="208">
        <v>0</v>
      </c>
      <c r="GO314" s="208">
        <v>-2154291</v>
      </c>
      <c r="GP314" s="208">
        <v>-165051</v>
      </c>
      <c r="GQ314" s="208">
        <v>0</v>
      </c>
      <c r="GR314" s="208">
        <v>-165051</v>
      </c>
      <c r="GS314" s="208">
        <v>-87041</v>
      </c>
      <c r="GT314" s="208">
        <v>0</v>
      </c>
      <c r="GU314" s="208">
        <v>-87041</v>
      </c>
      <c r="GV314" s="208">
        <v>-138456</v>
      </c>
      <c r="GW314" s="208">
        <v>0</v>
      </c>
      <c r="GX314" s="208">
        <v>-138456</v>
      </c>
      <c r="GY314" s="208">
        <v>0</v>
      </c>
      <c r="GZ314" s="208">
        <v>0</v>
      </c>
      <c r="HA314" s="208">
        <v>0</v>
      </c>
      <c r="HB314" s="208">
        <v>-3780228</v>
      </c>
      <c r="HC314" s="208">
        <v>0</v>
      </c>
      <c r="HD314" s="208">
        <v>-3780228</v>
      </c>
      <c r="HE314" s="208">
        <v>18129100</v>
      </c>
      <c r="HF314" s="208">
        <v>0</v>
      </c>
      <c r="HG314" s="208">
        <v>18129100</v>
      </c>
      <c r="HH314" s="187" t="s">
        <v>1054</v>
      </c>
    </row>
    <row r="315" spans="2:216" s="187" customFormat="1" x14ac:dyDescent="0.2">
      <c r="B315" s="429" t="s">
        <v>708</v>
      </c>
      <c r="C315" s="429" t="s">
        <v>707</v>
      </c>
      <c r="D315" s="208">
        <v>-48417546</v>
      </c>
      <c r="E315" s="208">
        <v>0</v>
      </c>
      <c r="F315" s="208">
        <v>-48417546</v>
      </c>
      <c r="G315" s="208">
        <v>2642603</v>
      </c>
      <c r="H315" s="208">
        <v>0</v>
      </c>
      <c r="I315" s="208">
        <v>2642603</v>
      </c>
      <c r="J315" s="208">
        <v>10602328</v>
      </c>
      <c r="K315" s="208">
        <v>0</v>
      </c>
      <c r="L315" s="208">
        <v>10602328</v>
      </c>
      <c r="M315" s="208">
        <v>-1881809</v>
      </c>
      <c r="N315" s="208">
        <v>0</v>
      </c>
      <c r="O315" s="208">
        <v>-1881809</v>
      </c>
      <c r="P315" s="208">
        <v>-37054424</v>
      </c>
      <c r="Q315" s="208">
        <v>0</v>
      </c>
      <c r="R315" s="208">
        <v>-37054424</v>
      </c>
      <c r="S315" s="208">
        <v>-4968388</v>
      </c>
      <c r="T315" s="208">
        <v>0</v>
      </c>
      <c r="U315" s="208">
        <v>-4968388</v>
      </c>
      <c r="V315" s="208">
        <v>0</v>
      </c>
      <c r="W315" s="208">
        <v>0</v>
      </c>
      <c r="X315" s="208">
        <v>0</v>
      </c>
      <c r="Y315" s="208">
        <v>-598965</v>
      </c>
      <c r="Z315" s="208">
        <v>0</v>
      </c>
      <c r="AA315" s="208">
        <v>-598965</v>
      </c>
      <c r="AB315" s="208">
        <v>-117376</v>
      </c>
      <c r="AC315" s="208">
        <v>0</v>
      </c>
      <c r="AD315" s="208">
        <v>-117376</v>
      </c>
      <c r="AE315" s="208">
        <v>-461864</v>
      </c>
      <c r="AF315" s="208">
        <v>0</v>
      </c>
      <c r="AG315" s="208">
        <v>-461864</v>
      </c>
      <c r="AH315" s="208">
        <v>0</v>
      </c>
      <c r="AI315" s="208">
        <v>0</v>
      </c>
      <c r="AJ315" s="208">
        <v>0</v>
      </c>
      <c r="AK315" s="208">
        <v>0</v>
      </c>
      <c r="AL315" s="208">
        <v>0</v>
      </c>
      <c r="AM315" s="208">
        <v>0</v>
      </c>
      <c r="AN315" s="208">
        <v>63205960</v>
      </c>
      <c r="AO315" s="208">
        <v>0</v>
      </c>
      <c r="AP315" s="208">
        <v>63205960</v>
      </c>
      <c r="AQ315" s="208">
        <v>-2260613</v>
      </c>
      <c r="AR315" s="208">
        <v>0</v>
      </c>
      <c r="AS315" s="208">
        <v>-2260613</v>
      </c>
      <c r="AT315" s="208">
        <v>-83616314</v>
      </c>
      <c r="AU315" s="208">
        <v>0</v>
      </c>
      <c r="AV315" s="208">
        <v>-83616314</v>
      </c>
      <c r="AW315" s="208">
        <v>6358951</v>
      </c>
      <c r="AX315" s="208">
        <v>0</v>
      </c>
      <c r="AY315" s="208">
        <v>6358951</v>
      </c>
      <c r="AZ315" s="208">
        <v>-23270</v>
      </c>
      <c r="BA315" s="208">
        <v>0</v>
      </c>
      <c r="BB315" s="208">
        <v>-23270</v>
      </c>
      <c r="BC315" s="208">
        <v>0</v>
      </c>
      <c r="BD315" s="208">
        <v>0</v>
      </c>
      <c r="BE315" s="208">
        <v>0</v>
      </c>
      <c r="BF315" s="208">
        <v>0</v>
      </c>
      <c r="BG315" s="208">
        <v>0</v>
      </c>
      <c r="BH315" s="208">
        <v>0</v>
      </c>
      <c r="BI315" s="208">
        <v>0</v>
      </c>
      <c r="BJ315" s="208">
        <v>0</v>
      </c>
      <c r="BK315" s="208">
        <v>0</v>
      </c>
      <c r="BL315" s="208">
        <v>-21902639</v>
      </c>
      <c r="BM315" s="208">
        <v>0</v>
      </c>
      <c r="BN315" s="208">
        <v>-21902639</v>
      </c>
      <c r="BO315" s="208">
        <v>-8140768</v>
      </c>
      <c r="BP315" s="208">
        <v>0</v>
      </c>
      <c r="BQ315" s="208">
        <v>-8140768</v>
      </c>
      <c r="BR315" s="208">
        <v>-1114626</v>
      </c>
      <c r="BS315" s="208">
        <v>0</v>
      </c>
      <c r="BT315" s="208">
        <v>-1114626</v>
      </c>
      <c r="BU315" s="208">
        <v>-152253335</v>
      </c>
      <c r="BV315" s="208">
        <v>0</v>
      </c>
      <c r="BW315" s="208">
        <v>-152253335</v>
      </c>
      <c r="BX315" s="208">
        <v>5478738</v>
      </c>
      <c r="BY315" s="208">
        <v>0</v>
      </c>
      <c r="BZ315" s="208">
        <v>5478738</v>
      </c>
      <c r="CA315" s="208">
        <v>-156029991</v>
      </c>
      <c r="CB315" s="208">
        <v>0</v>
      </c>
      <c r="CC315" s="208">
        <v>-156029991</v>
      </c>
      <c r="CD315" s="208">
        <v>-270300</v>
      </c>
      <c r="CE315" s="208">
        <v>0</v>
      </c>
      <c r="CF315" s="208">
        <v>-270300</v>
      </c>
      <c r="CG315" s="208">
        <v>221</v>
      </c>
      <c r="CH315" s="208">
        <v>0</v>
      </c>
      <c r="CI315" s="208">
        <v>221</v>
      </c>
      <c r="CJ315" s="208">
        <v>-7548</v>
      </c>
      <c r="CK315" s="208">
        <v>0</v>
      </c>
      <c r="CL315" s="208">
        <v>-7548</v>
      </c>
      <c r="CM315" s="208">
        <v>2907</v>
      </c>
      <c r="CN315" s="208">
        <v>0</v>
      </c>
      <c r="CO315" s="208">
        <v>2907</v>
      </c>
      <c r="CP315" s="208">
        <v>-1454</v>
      </c>
      <c r="CQ315" s="208">
        <v>0</v>
      </c>
      <c r="CR315" s="208">
        <v>-1454</v>
      </c>
      <c r="CS315" s="208">
        <v>0</v>
      </c>
      <c r="CT315" s="208">
        <v>0</v>
      </c>
      <c r="CU315" s="208">
        <v>0</v>
      </c>
      <c r="CV315" s="208">
        <v>0</v>
      </c>
      <c r="CW315" s="208">
        <v>0</v>
      </c>
      <c r="CX315" s="208">
        <v>0</v>
      </c>
      <c r="CY315" s="208">
        <v>0</v>
      </c>
      <c r="CZ315" s="208">
        <v>0</v>
      </c>
      <c r="DA315" s="208">
        <v>0</v>
      </c>
      <c r="DB315" s="208">
        <v>0</v>
      </c>
      <c r="DC315" s="208">
        <v>0</v>
      </c>
      <c r="DD315" s="208">
        <v>0</v>
      </c>
      <c r="DE315" s="208">
        <v>0</v>
      </c>
      <c r="DF315" s="208">
        <v>0</v>
      </c>
      <c r="DG315" s="208">
        <v>0</v>
      </c>
      <c r="DH315" s="208">
        <v>0</v>
      </c>
      <c r="DI315" s="208">
        <v>0</v>
      </c>
      <c r="DJ315" s="208">
        <v>0</v>
      </c>
      <c r="DK315" s="208">
        <v>0</v>
      </c>
      <c r="DL315" s="208">
        <v>0</v>
      </c>
      <c r="DM315" s="208">
        <v>0</v>
      </c>
      <c r="DN315" s="208">
        <v>0</v>
      </c>
      <c r="DO315" s="208">
        <v>0</v>
      </c>
      <c r="DP315" s="208">
        <v>-276174</v>
      </c>
      <c r="DQ315" s="208">
        <v>0</v>
      </c>
      <c r="DR315" s="208">
        <v>-276174</v>
      </c>
      <c r="DS315" s="208">
        <v>7274</v>
      </c>
      <c r="DT315" s="208">
        <v>0</v>
      </c>
      <c r="DU315" s="208">
        <v>7274</v>
      </c>
      <c r="DV315" s="208">
        <v>2125</v>
      </c>
      <c r="DW315" s="208">
        <v>0</v>
      </c>
      <c r="DX315" s="208">
        <v>2125</v>
      </c>
      <c r="DY315" s="208">
        <v>4357</v>
      </c>
      <c r="DZ315" s="208">
        <v>0</v>
      </c>
      <c r="EA315" s="208">
        <v>4357</v>
      </c>
      <c r="EB315" s="208">
        <v>0</v>
      </c>
      <c r="EC315" s="208">
        <v>0</v>
      </c>
      <c r="ED315" s="208">
        <v>0</v>
      </c>
      <c r="EE315" s="208">
        <v>0</v>
      </c>
      <c r="EF315" s="208">
        <v>0</v>
      </c>
      <c r="EG315" s="208">
        <v>0</v>
      </c>
      <c r="EH315" s="208">
        <v>0</v>
      </c>
      <c r="EI315" s="208">
        <v>0</v>
      </c>
      <c r="EJ315" s="208">
        <v>0</v>
      </c>
      <c r="EK315" s="208">
        <v>0</v>
      </c>
      <c r="EL315" s="208">
        <v>0</v>
      </c>
      <c r="EM315" s="208">
        <v>0</v>
      </c>
      <c r="EN315" s="208">
        <v>0</v>
      </c>
      <c r="EO315" s="208">
        <v>0</v>
      </c>
      <c r="EP315" s="208">
        <v>0</v>
      </c>
      <c r="EQ315" s="208">
        <v>0</v>
      </c>
      <c r="ER315" s="208">
        <v>0</v>
      </c>
      <c r="ES315" s="208">
        <v>0</v>
      </c>
      <c r="ET315" s="208">
        <v>0</v>
      </c>
      <c r="EU315" s="208">
        <v>0</v>
      </c>
      <c r="EV315" s="208">
        <v>0</v>
      </c>
      <c r="EW315" s="208">
        <v>-71811</v>
      </c>
      <c r="EX315" s="208">
        <v>0</v>
      </c>
      <c r="EY315" s="208">
        <v>-71811</v>
      </c>
      <c r="EZ315" s="208">
        <v>1334</v>
      </c>
      <c r="FA315" s="208">
        <v>0</v>
      </c>
      <c r="FB315" s="208">
        <v>1334</v>
      </c>
      <c r="FC315" s="208">
        <v>-5547178</v>
      </c>
      <c r="FD315" s="208">
        <v>0</v>
      </c>
      <c r="FE315" s="208">
        <v>-5547178</v>
      </c>
      <c r="FF315" s="208">
        <v>-728207</v>
      </c>
      <c r="FG315" s="208">
        <v>0</v>
      </c>
      <c r="FH315" s="208">
        <v>-728207</v>
      </c>
      <c r="FI315" s="208">
        <v>-68917</v>
      </c>
      <c r="FJ315" s="208">
        <v>0</v>
      </c>
      <c r="FK315" s="208">
        <v>-68917</v>
      </c>
      <c r="FL315" s="208">
        <v>-6000</v>
      </c>
      <c r="FM315" s="208">
        <v>0</v>
      </c>
      <c r="FN315" s="208">
        <v>-6000</v>
      </c>
      <c r="FO315" s="208">
        <v>0</v>
      </c>
      <c r="FP315" s="208">
        <v>0</v>
      </c>
      <c r="FQ315" s="208">
        <v>0</v>
      </c>
      <c r="FR315" s="208">
        <v>0</v>
      </c>
      <c r="FS315" s="208">
        <v>0</v>
      </c>
      <c r="FT315" s="208">
        <v>0</v>
      </c>
      <c r="FU315" s="208">
        <v>-6407023</v>
      </c>
      <c r="FV315" s="208">
        <v>0</v>
      </c>
      <c r="FW315" s="208">
        <v>-6407023</v>
      </c>
      <c r="FX315" s="208">
        <v>-33480</v>
      </c>
      <c r="FY315" s="208">
        <v>0</v>
      </c>
      <c r="FZ315" s="208">
        <v>-33480</v>
      </c>
      <c r="GA315" s="208">
        <v>-2563</v>
      </c>
      <c r="GB315" s="208">
        <v>0</v>
      </c>
      <c r="GC315" s="208">
        <v>-2563</v>
      </c>
      <c r="GD315" s="208">
        <v>-36043</v>
      </c>
      <c r="GE315" s="208">
        <v>0</v>
      </c>
      <c r="GF315" s="208">
        <v>-36043</v>
      </c>
      <c r="GG315" s="208">
        <v>2389230608</v>
      </c>
      <c r="GH315" s="208">
        <v>0</v>
      </c>
      <c r="GI315" s="208">
        <v>2389230608</v>
      </c>
      <c r="GJ315" s="208">
        <v>-37054424</v>
      </c>
      <c r="GK315" s="208">
        <v>0</v>
      </c>
      <c r="GL315" s="208">
        <v>-37054424</v>
      </c>
      <c r="GM315" s="208">
        <v>-21902639</v>
      </c>
      <c r="GN315" s="208">
        <v>0</v>
      </c>
      <c r="GO315" s="208">
        <v>-21902639</v>
      </c>
      <c r="GP315" s="208">
        <v>-156029991</v>
      </c>
      <c r="GQ315" s="208">
        <v>0</v>
      </c>
      <c r="GR315" s="208">
        <v>-156029991</v>
      </c>
      <c r="GS315" s="208">
        <v>-276174</v>
      </c>
      <c r="GT315" s="208">
        <v>0</v>
      </c>
      <c r="GU315" s="208">
        <v>-276174</v>
      </c>
      <c r="GV315" s="208">
        <v>-6407023</v>
      </c>
      <c r="GW315" s="208">
        <v>0</v>
      </c>
      <c r="GX315" s="208">
        <v>-6407023</v>
      </c>
      <c r="GY315" s="208">
        <v>-36043</v>
      </c>
      <c r="GZ315" s="208">
        <v>0</v>
      </c>
      <c r="HA315" s="208">
        <v>-36043</v>
      </c>
      <c r="HB315" s="208">
        <v>-221706294</v>
      </c>
      <c r="HC315" s="208">
        <v>0</v>
      </c>
      <c r="HD315" s="208">
        <v>-221706294</v>
      </c>
      <c r="HE315" s="208">
        <v>2167524314</v>
      </c>
      <c r="HF315" s="208">
        <v>0</v>
      </c>
      <c r="HG315" s="208">
        <v>2167524314</v>
      </c>
      <c r="HH315" s="187" t="s">
        <v>1057</v>
      </c>
    </row>
    <row r="316" spans="2:216" s="187" customFormat="1" x14ac:dyDescent="0.2">
      <c r="B316" s="429" t="s">
        <v>710</v>
      </c>
      <c r="C316" s="429" t="s">
        <v>709</v>
      </c>
      <c r="D316" s="208">
        <v>-648776</v>
      </c>
      <c r="E316" s="208">
        <v>0</v>
      </c>
      <c r="F316" s="208">
        <v>-648776</v>
      </c>
      <c r="G316" s="208">
        <v>-7347</v>
      </c>
      <c r="H316" s="208">
        <v>0</v>
      </c>
      <c r="I316" s="208">
        <v>-7347</v>
      </c>
      <c r="J316" s="208">
        <v>797274</v>
      </c>
      <c r="K316" s="208">
        <v>0</v>
      </c>
      <c r="L316" s="208">
        <v>797274</v>
      </c>
      <c r="M316" s="208">
        <v>-5502</v>
      </c>
      <c r="N316" s="208">
        <v>0</v>
      </c>
      <c r="O316" s="208">
        <v>-5502</v>
      </c>
      <c r="P316" s="208">
        <v>135649</v>
      </c>
      <c r="Q316" s="208">
        <v>0</v>
      </c>
      <c r="R316" s="208">
        <v>135649</v>
      </c>
      <c r="S316" s="208">
        <v>-2575345</v>
      </c>
      <c r="T316" s="208">
        <v>0</v>
      </c>
      <c r="U316" s="208">
        <v>-2575345</v>
      </c>
      <c r="V316" s="208">
        <v>-5213</v>
      </c>
      <c r="W316" s="208">
        <v>0</v>
      </c>
      <c r="X316" s="208">
        <v>-5213</v>
      </c>
      <c r="Y316" s="208">
        <v>-80275</v>
      </c>
      <c r="Z316" s="208">
        <v>0</v>
      </c>
      <c r="AA316" s="208">
        <v>-80275</v>
      </c>
      <c r="AB316" s="208">
        <v>-17517</v>
      </c>
      <c r="AC316" s="208">
        <v>0</v>
      </c>
      <c r="AD316" s="208">
        <v>-17517</v>
      </c>
      <c r="AE316" s="208">
        <v>-60208</v>
      </c>
      <c r="AF316" s="208">
        <v>0</v>
      </c>
      <c r="AG316" s="208">
        <v>-60208</v>
      </c>
      <c r="AH316" s="208">
        <v>0</v>
      </c>
      <c r="AI316" s="208">
        <v>0</v>
      </c>
      <c r="AJ316" s="208">
        <v>0</v>
      </c>
      <c r="AK316" s="208">
        <v>0</v>
      </c>
      <c r="AL316" s="208">
        <v>0</v>
      </c>
      <c r="AM316" s="208">
        <v>0</v>
      </c>
      <c r="AN316" s="208">
        <v>385909</v>
      </c>
      <c r="AO316" s="208">
        <v>0</v>
      </c>
      <c r="AP316" s="208">
        <v>385909</v>
      </c>
      <c r="AQ316" s="208">
        <v>-1850</v>
      </c>
      <c r="AR316" s="208">
        <v>0</v>
      </c>
      <c r="AS316" s="208">
        <v>-1850</v>
      </c>
      <c r="AT316" s="208">
        <v>-1289771</v>
      </c>
      <c r="AU316" s="208">
        <v>0</v>
      </c>
      <c r="AV316" s="208">
        <v>-1289771</v>
      </c>
      <c r="AW316" s="208">
        <v>-5416</v>
      </c>
      <c r="AX316" s="208">
        <v>0</v>
      </c>
      <c r="AY316" s="208">
        <v>-5416</v>
      </c>
      <c r="AZ316" s="208">
        <v>-54180</v>
      </c>
      <c r="BA316" s="208">
        <v>0</v>
      </c>
      <c r="BB316" s="208">
        <v>-54180</v>
      </c>
      <c r="BC316" s="208">
        <v>0</v>
      </c>
      <c r="BD316" s="208">
        <v>0</v>
      </c>
      <c r="BE316" s="208">
        <v>0</v>
      </c>
      <c r="BF316" s="208">
        <v>0</v>
      </c>
      <c r="BG316" s="208">
        <v>0</v>
      </c>
      <c r="BH316" s="208">
        <v>0</v>
      </c>
      <c r="BI316" s="208">
        <v>0</v>
      </c>
      <c r="BJ316" s="208">
        <v>0</v>
      </c>
      <c r="BK316" s="208">
        <v>0</v>
      </c>
      <c r="BL316" s="208">
        <v>-3620928</v>
      </c>
      <c r="BM316" s="208">
        <v>0</v>
      </c>
      <c r="BN316" s="208">
        <v>-3620928</v>
      </c>
      <c r="BO316" s="208">
        <v>0</v>
      </c>
      <c r="BP316" s="208">
        <v>0</v>
      </c>
      <c r="BQ316" s="208">
        <v>0</v>
      </c>
      <c r="BR316" s="208">
        <v>-2551</v>
      </c>
      <c r="BS316" s="208">
        <v>0</v>
      </c>
      <c r="BT316" s="208">
        <v>-2551</v>
      </c>
      <c r="BU316" s="208">
        <v>-588648</v>
      </c>
      <c r="BV316" s="208">
        <v>0</v>
      </c>
      <c r="BW316" s="208">
        <v>-588648</v>
      </c>
      <c r="BX316" s="208">
        <v>-19780</v>
      </c>
      <c r="BY316" s="208">
        <v>0</v>
      </c>
      <c r="BZ316" s="208">
        <v>-19780</v>
      </c>
      <c r="CA316" s="208">
        <v>-610979</v>
      </c>
      <c r="CB316" s="208">
        <v>0</v>
      </c>
      <c r="CC316" s="208">
        <v>-610979</v>
      </c>
      <c r="CD316" s="208">
        <v>-26476</v>
      </c>
      <c r="CE316" s="208">
        <v>0</v>
      </c>
      <c r="CF316" s="208">
        <v>-26476</v>
      </c>
      <c r="CG316" s="208">
        <v>-180</v>
      </c>
      <c r="CH316" s="208">
        <v>0</v>
      </c>
      <c r="CI316" s="208">
        <v>-180</v>
      </c>
      <c r="CJ316" s="208">
        <v>-90587</v>
      </c>
      <c r="CK316" s="208">
        <v>0</v>
      </c>
      <c r="CL316" s="208">
        <v>-90587</v>
      </c>
      <c r="CM316" s="208">
        <v>0</v>
      </c>
      <c r="CN316" s="208">
        <v>0</v>
      </c>
      <c r="CO316" s="208">
        <v>0</v>
      </c>
      <c r="CP316" s="208">
        <v>-2219</v>
      </c>
      <c r="CQ316" s="208">
        <v>0</v>
      </c>
      <c r="CR316" s="208">
        <v>-2219</v>
      </c>
      <c r="CS316" s="208">
        <v>0</v>
      </c>
      <c r="CT316" s="208">
        <v>0</v>
      </c>
      <c r="CU316" s="208">
        <v>0</v>
      </c>
      <c r="CV316" s="208">
        <v>0</v>
      </c>
      <c r="CW316" s="208">
        <v>0</v>
      </c>
      <c r="CX316" s="208">
        <v>0</v>
      </c>
      <c r="CY316" s="208">
        <v>0</v>
      </c>
      <c r="CZ316" s="208">
        <v>0</v>
      </c>
      <c r="DA316" s="208">
        <v>0</v>
      </c>
      <c r="DB316" s="208">
        <v>0</v>
      </c>
      <c r="DC316" s="208">
        <v>0</v>
      </c>
      <c r="DD316" s="208">
        <v>0</v>
      </c>
      <c r="DE316" s="208">
        <v>0</v>
      </c>
      <c r="DF316" s="208">
        <v>0</v>
      </c>
      <c r="DG316" s="208">
        <v>0</v>
      </c>
      <c r="DH316" s="208">
        <v>0</v>
      </c>
      <c r="DI316" s="208">
        <v>0</v>
      </c>
      <c r="DJ316" s="208">
        <v>0</v>
      </c>
      <c r="DK316" s="208">
        <v>0</v>
      </c>
      <c r="DL316" s="208">
        <v>0</v>
      </c>
      <c r="DM316" s="208">
        <v>0</v>
      </c>
      <c r="DN316" s="208">
        <v>0</v>
      </c>
      <c r="DO316" s="208">
        <v>0</v>
      </c>
      <c r="DP316" s="208">
        <v>-119462</v>
      </c>
      <c r="DQ316" s="208">
        <v>0</v>
      </c>
      <c r="DR316" s="208">
        <v>-119462</v>
      </c>
      <c r="DS316" s="208">
        <v>0</v>
      </c>
      <c r="DT316" s="208">
        <v>0</v>
      </c>
      <c r="DU316" s="208">
        <v>0</v>
      </c>
      <c r="DV316" s="208">
        <v>0</v>
      </c>
      <c r="DW316" s="208">
        <v>0</v>
      </c>
      <c r="DX316" s="208">
        <v>0</v>
      </c>
      <c r="DY316" s="208">
        <v>0</v>
      </c>
      <c r="DZ316" s="208">
        <v>0</v>
      </c>
      <c r="EA316" s="208">
        <v>0</v>
      </c>
      <c r="EB316" s="208">
        <v>0</v>
      </c>
      <c r="EC316" s="208">
        <v>0</v>
      </c>
      <c r="ED316" s="208">
        <v>0</v>
      </c>
      <c r="EE316" s="208">
        <v>0</v>
      </c>
      <c r="EF316" s="208">
        <v>0</v>
      </c>
      <c r="EG316" s="208">
        <v>0</v>
      </c>
      <c r="EH316" s="208">
        <v>0</v>
      </c>
      <c r="EI316" s="208">
        <v>0</v>
      </c>
      <c r="EJ316" s="208">
        <v>0</v>
      </c>
      <c r="EK316" s="208">
        <v>0</v>
      </c>
      <c r="EL316" s="208">
        <v>0</v>
      </c>
      <c r="EM316" s="208">
        <v>0</v>
      </c>
      <c r="EN316" s="208">
        <v>0</v>
      </c>
      <c r="EO316" s="208">
        <v>0</v>
      </c>
      <c r="EP316" s="208">
        <v>0</v>
      </c>
      <c r="EQ316" s="208">
        <v>0</v>
      </c>
      <c r="ER316" s="208">
        <v>0</v>
      </c>
      <c r="ES316" s="208">
        <v>0</v>
      </c>
      <c r="ET316" s="208">
        <v>0</v>
      </c>
      <c r="EU316" s="208">
        <v>0</v>
      </c>
      <c r="EV316" s="208">
        <v>0</v>
      </c>
      <c r="EW316" s="208">
        <v>-19582</v>
      </c>
      <c r="EX316" s="208">
        <v>0</v>
      </c>
      <c r="EY316" s="208">
        <v>-19582</v>
      </c>
      <c r="EZ316" s="208">
        <v>120</v>
      </c>
      <c r="FA316" s="208">
        <v>0</v>
      </c>
      <c r="FB316" s="208">
        <v>120</v>
      </c>
      <c r="FC316" s="208">
        <v>-86207</v>
      </c>
      <c r="FD316" s="208">
        <v>0</v>
      </c>
      <c r="FE316" s="208">
        <v>-86207</v>
      </c>
      <c r="FF316" s="208">
        <v>3565</v>
      </c>
      <c r="FG316" s="208">
        <v>0</v>
      </c>
      <c r="FH316" s="208">
        <v>3565</v>
      </c>
      <c r="FI316" s="208">
        <v>-41768</v>
      </c>
      <c r="FJ316" s="208">
        <v>0</v>
      </c>
      <c r="FK316" s="208">
        <v>-41768</v>
      </c>
      <c r="FL316" s="208">
        <v>-438</v>
      </c>
      <c r="FM316" s="208">
        <v>0</v>
      </c>
      <c r="FN316" s="208">
        <v>-438</v>
      </c>
      <c r="FO316" s="208">
        <v>0</v>
      </c>
      <c r="FP316" s="208">
        <v>0</v>
      </c>
      <c r="FQ316" s="208">
        <v>0</v>
      </c>
      <c r="FR316" s="208">
        <v>0</v>
      </c>
      <c r="FS316" s="208">
        <v>0</v>
      </c>
      <c r="FT316" s="208">
        <v>0</v>
      </c>
      <c r="FU316" s="208">
        <v>-144310</v>
      </c>
      <c r="FV316" s="208">
        <v>0</v>
      </c>
      <c r="FW316" s="208">
        <v>-144310</v>
      </c>
      <c r="FX316" s="208">
        <v>0</v>
      </c>
      <c r="FY316" s="208">
        <v>0</v>
      </c>
      <c r="FZ316" s="208">
        <v>0</v>
      </c>
      <c r="GA316" s="208">
        <v>0</v>
      </c>
      <c r="GB316" s="208">
        <v>0</v>
      </c>
      <c r="GC316" s="208">
        <v>0</v>
      </c>
      <c r="GD316" s="208">
        <v>0</v>
      </c>
      <c r="GE316" s="208">
        <v>0</v>
      </c>
      <c r="GF316" s="208">
        <v>0</v>
      </c>
      <c r="GG316" s="208">
        <v>22200657</v>
      </c>
      <c r="GH316" s="208">
        <v>0</v>
      </c>
      <c r="GI316" s="208">
        <v>22200657</v>
      </c>
      <c r="GJ316" s="208">
        <v>135649</v>
      </c>
      <c r="GK316" s="208">
        <v>0</v>
      </c>
      <c r="GL316" s="208">
        <v>135649</v>
      </c>
      <c r="GM316" s="208">
        <v>-3620928</v>
      </c>
      <c r="GN316" s="208">
        <v>0</v>
      </c>
      <c r="GO316" s="208">
        <v>-3620928</v>
      </c>
      <c r="GP316" s="208">
        <v>-610979</v>
      </c>
      <c r="GQ316" s="208">
        <v>0</v>
      </c>
      <c r="GR316" s="208">
        <v>-610979</v>
      </c>
      <c r="GS316" s="208">
        <v>-119462</v>
      </c>
      <c r="GT316" s="208">
        <v>0</v>
      </c>
      <c r="GU316" s="208">
        <v>-119462</v>
      </c>
      <c r="GV316" s="208">
        <v>-144310</v>
      </c>
      <c r="GW316" s="208">
        <v>0</v>
      </c>
      <c r="GX316" s="208">
        <v>-144310</v>
      </c>
      <c r="GY316" s="208">
        <v>0</v>
      </c>
      <c r="GZ316" s="208">
        <v>0</v>
      </c>
      <c r="HA316" s="208">
        <v>0</v>
      </c>
      <c r="HB316" s="208">
        <v>-4360030</v>
      </c>
      <c r="HC316" s="208">
        <v>0</v>
      </c>
      <c r="HD316" s="208">
        <v>-4360030</v>
      </c>
      <c r="HE316" s="208">
        <v>17840627</v>
      </c>
      <c r="HF316" s="208">
        <v>0</v>
      </c>
      <c r="HG316" s="208">
        <v>17840627</v>
      </c>
      <c r="HH316" s="187" t="s">
        <v>1054</v>
      </c>
    </row>
    <row r="317" spans="2:216" s="187" customFormat="1" x14ac:dyDescent="0.2">
      <c r="B317" s="429" t="s">
        <v>712</v>
      </c>
      <c r="C317" s="429" t="s">
        <v>711</v>
      </c>
      <c r="D317" s="208">
        <v>-2188996</v>
      </c>
      <c r="E317" s="208">
        <v>0</v>
      </c>
      <c r="F317" s="208">
        <v>-2188996</v>
      </c>
      <c r="G317" s="208">
        <v>-2202</v>
      </c>
      <c r="H317" s="208">
        <v>0</v>
      </c>
      <c r="I317" s="208">
        <v>-2202</v>
      </c>
      <c r="J317" s="208">
        <v>4132350</v>
      </c>
      <c r="K317" s="208">
        <v>0</v>
      </c>
      <c r="L317" s="208">
        <v>4132350</v>
      </c>
      <c r="M317" s="208">
        <v>0</v>
      </c>
      <c r="N317" s="208">
        <v>0</v>
      </c>
      <c r="O317" s="208">
        <v>0</v>
      </c>
      <c r="P317" s="208">
        <v>1941152</v>
      </c>
      <c r="Q317" s="208">
        <v>0</v>
      </c>
      <c r="R317" s="208">
        <v>1941152</v>
      </c>
      <c r="S317" s="208">
        <v>-10663029</v>
      </c>
      <c r="T317" s="208">
        <v>0</v>
      </c>
      <c r="U317" s="208">
        <v>-10663029</v>
      </c>
      <c r="V317" s="208">
        <v>-70574</v>
      </c>
      <c r="W317" s="208">
        <v>0</v>
      </c>
      <c r="X317" s="208">
        <v>-70574</v>
      </c>
      <c r="Y317" s="208">
        <v>-142536</v>
      </c>
      <c r="Z317" s="208">
        <v>0</v>
      </c>
      <c r="AA317" s="208">
        <v>-142536</v>
      </c>
      <c r="AB317" s="208">
        <v>17590</v>
      </c>
      <c r="AC317" s="208">
        <v>0</v>
      </c>
      <c r="AD317" s="208">
        <v>17590</v>
      </c>
      <c r="AE317" s="208">
        <v>-160126</v>
      </c>
      <c r="AF317" s="208">
        <v>0</v>
      </c>
      <c r="AG317" s="208">
        <v>-160126</v>
      </c>
      <c r="AH317" s="208">
        <v>-4198</v>
      </c>
      <c r="AI317" s="208">
        <v>0</v>
      </c>
      <c r="AJ317" s="208">
        <v>-4198</v>
      </c>
      <c r="AK317" s="208">
        <v>-5446</v>
      </c>
      <c r="AL317" s="208">
        <v>0</v>
      </c>
      <c r="AM317" s="208">
        <v>-5446</v>
      </c>
      <c r="AN317" s="208">
        <v>1860626</v>
      </c>
      <c r="AO317" s="208">
        <v>0</v>
      </c>
      <c r="AP317" s="208">
        <v>1860626</v>
      </c>
      <c r="AQ317" s="208">
        <v>156669</v>
      </c>
      <c r="AR317" s="208">
        <v>0</v>
      </c>
      <c r="AS317" s="208">
        <v>156669</v>
      </c>
      <c r="AT317" s="208">
        <v>-6134480</v>
      </c>
      <c r="AU317" s="208">
        <v>0</v>
      </c>
      <c r="AV317" s="208">
        <v>-6134480</v>
      </c>
      <c r="AW317" s="208">
        <v>-160582</v>
      </c>
      <c r="AX317" s="208">
        <v>0</v>
      </c>
      <c r="AY317" s="208">
        <v>-160582</v>
      </c>
      <c r="AZ317" s="208">
        <v>-148333</v>
      </c>
      <c r="BA317" s="208">
        <v>0</v>
      </c>
      <c r="BB317" s="208">
        <v>-148333</v>
      </c>
      <c r="BC317" s="208">
        <v>0</v>
      </c>
      <c r="BD317" s="208">
        <v>0</v>
      </c>
      <c r="BE317" s="208">
        <v>0</v>
      </c>
      <c r="BF317" s="208">
        <v>0</v>
      </c>
      <c r="BG317" s="208">
        <v>0</v>
      </c>
      <c r="BH317" s="208">
        <v>0</v>
      </c>
      <c r="BI317" s="208">
        <v>0</v>
      </c>
      <c r="BJ317" s="208">
        <v>0</v>
      </c>
      <c r="BK317" s="208">
        <v>0</v>
      </c>
      <c r="BL317" s="208">
        <v>-15231665</v>
      </c>
      <c r="BM317" s="208">
        <v>0</v>
      </c>
      <c r="BN317" s="208">
        <v>-15231665</v>
      </c>
      <c r="BO317" s="208">
        <v>0</v>
      </c>
      <c r="BP317" s="208">
        <v>0</v>
      </c>
      <c r="BQ317" s="208">
        <v>0</v>
      </c>
      <c r="BR317" s="208">
        <v>-164132</v>
      </c>
      <c r="BS317" s="208">
        <v>0</v>
      </c>
      <c r="BT317" s="208">
        <v>-164132</v>
      </c>
      <c r="BU317" s="208">
        <v>-3365174</v>
      </c>
      <c r="BV317" s="208">
        <v>0</v>
      </c>
      <c r="BW317" s="208">
        <v>-3365174</v>
      </c>
      <c r="BX317" s="208">
        <v>-43988</v>
      </c>
      <c r="BY317" s="208">
        <v>0</v>
      </c>
      <c r="BZ317" s="208">
        <v>-43988</v>
      </c>
      <c r="CA317" s="208">
        <v>-3573294</v>
      </c>
      <c r="CB317" s="208">
        <v>0</v>
      </c>
      <c r="CC317" s="208">
        <v>-3573294</v>
      </c>
      <c r="CD317" s="208">
        <v>-748954</v>
      </c>
      <c r="CE317" s="208">
        <v>0</v>
      </c>
      <c r="CF317" s="208">
        <v>-748954</v>
      </c>
      <c r="CG317" s="208">
        <v>0</v>
      </c>
      <c r="CH317" s="208">
        <v>0</v>
      </c>
      <c r="CI317" s="208">
        <v>0</v>
      </c>
      <c r="CJ317" s="208">
        <v>-350348</v>
      </c>
      <c r="CK317" s="208">
        <v>0</v>
      </c>
      <c r="CL317" s="208">
        <v>-350348</v>
      </c>
      <c r="CM317" s="208">
        <v>-25411</v>
      </c>
      <c r="CN317" s="208">
        <v>0</v>
      </c>
      <c r="CO317" s="208">
        <v>-25411</v>
      </c>
      <c r="CP317" s="208">
        <v>-30053</v>
      </c>
      <c r="CQ317" s="208">
        <v>0</v>
      </c>
      <c r="CR317" s="208">
        <v>-30053</v>
      </c>
      <c r="CS317" s="208">
        <v>0</v>
      </c>
      <c r="CT317" s="208">
        <v>0</v>
      </c>
      <c r="CU317" s="208">
        <v>0</v>
      </c>
      <c r="CV317" s="208">
        <v>0</v>
      </c>
      <c r="CW317" s="208">
        <v>0</v>
      </c>
      <c r="CX317" s="208">
        <v>0</v>
      </c>
      <c r="CY317" s="208">
        <v>0</v>
      </c>
      <c r="CZ317" s="208">
        <v>0</v>
      </c>
      <c r="DA317" s="208">
        <v>0</v>
      </c>
      <c r="DB317" s="208">
        <v>0</v>
      </c>
      <c r="DC317" s="208">
        <v>0</v>
      </c>
      <c r="DD317" s="208">
        <v>0</v>
      </c>
      <c r="DE317" s="208">
        <v>0</v>
      </c>
      <c r="DF317" s="208">
        <v>0</v>
      </c>
      <c r="DG317" s="208">
        <v>0</v>
      </c>
      <c r="DH317" s="208">
        <v>0</v>
      </c>
      <c r="DI317" s="208">
        <v>0</v>
      </c>
      <c r="DJ317" s="208">
        <v>0</v>
      </c>
      <c r="DK317" s="208">
        <v>0</v>
      </c>
      <c r="DL317" s="208">
        <v>0</v>
      </c>
      <c r="DM317" s="208">
        <v>0</v>
      </c>
      <c r="DN317" s="208">
        <v>0</v>
      </c>
      <c r="DO317" s="208">
        <v>0</v>
      </c>
      <c r="DP317" s="208">
        <v>-1154766</v>
      </c>
      <c r="DQ317" s="208">
        <v>0</v>
      </c>
      <c r="DR317" s="208">
        <v>-1154766</v>
      </c>
      <c r="DS317" s="208">
        <v>0</v>
      </c>
      <c r="DT317" s="208">
        <v>0</v>
      </c>
      <c r="DU317" s="208">
        <v>0</v>
      </c>
      <c r="DV317" s="208">
        <v>-1885</v>
      </c>
      <c r="DW317" s="208">
        <v>0</v>
      </c>
      <c r="DX317" s="208">
        <v>-1885</v>
      </c>
      <c r="DY317" s="208">
        <v>0</v>
      </c>
      <c r="DZ317" s="208">
        <v>0</v>
      </c>
      <c r="EA317" s="208">
        <v>0</v>
      </c>
      <c r="EB317" s="208">
        <v>0</v>
      </c>
      <c r="EC317" s="208">
        <v>0</v>
      </c>
      <c r="ED317" s="208">
        <v>0</v>
      </c>
      <c r="EE317" s="208">
        <v>0</v>
      </c>
      <c r="EF317" s="208">
        <v>0</v>
      </c>
      <c r="EG317" s="208">
        <v>0</v>
      </c>
      <c r="EH317" s="208">
        <v>0</v>
      </c>
      <c r="EI317" s="208">
        <v>0</v>
      </c>
      <c r="EJ317" s="208">
        <v>0</v>
      </c>
      <c r="EK317" s="208">
        <v>0</v>
      </c>
      <c r="EL317" s="208">
        <v>0</v>
      </c>
      <c r="EM317" s="208">
        <v>0</v>
      </c>
      <c r="EN317" s="208">
        <v>0</v>
      </c>
      <c r="EO317" s="208">
        <v>0</v>
      </c>
      <c r="EP317" s="208">
        <v>0</v>
      </c>
      <c r="EQ317" s="208">
        <v>-945</v>
      </c>
      <c r="ER317" s="208">
        <v>0</v>
      </c>
      <c r="ES317" s="208">
        <v>-945</v>
      </c>
      <c r="ET317" s="208">
        <v>0</v>
      </c>
      <c r="EU317" s="208">
        <v>0</v>
      </c>
      <c r="EV317" s="208">
        <v>0</v>
      </c>
      <c r="EW317" s="208">
        <v>-19424</v>
      </c>
      <c r="EX317" s="208">
        <v>0</v>
      </c>
      <c r="EY317" s="208">
        <v>-19424</v>
      </c>
      <c r="EZ317" s="208">
        <v>0</v>
      </c>
      <c r="FA317" s="208">
        <v>0</v>
      </c>
      <c r="FB317" s="208">
        <v>0</v>
      </c>
      <c r="FC317" s="208">
        <v>-241397</v>
      </c>
      <c r="FD317" s="208">
        <v>0</v>
      </c>
      <c r="FE317" s="208">
        <v>-241397</v>
      </c>
      <c r="FF317" s="208">
        <v>0</v>
      </c>
      <c r="FG317" s="208">
        <v>0</v>
      </c>
      <c r="FH317" s="208">
        <v>0</v>
      </c>
      <c r="FI317" s="208">
        <v>-121802</v>
      </c>
      <c r="FJ317" s="208">
        <v>0</v>
      </c>
      <c r="FK317" s="208">
        <v>-121802</v>
      </c>
      <c r="FL317" s="208">
        <v>-3926</v>
      </c>
      <c r="FM317" s="208">
        <v>0</v>
      </c>
      <c r="FN317" s="208">
        <v>-3926</v>
      </c>
      <c r="FO317" s="208">
        <v>0</v>
      </c>
      <c r="FP317" s="208">
        <v>0</v>
      </c>
      <c r="FQ317" s="208">
        <v>0</v>
      </c>
      <c r="FR317" s="208">
        <v>0</v>
      </c>
      <c r="FS317" s="208">
        <v>0</v>
      </c>
      <c r="FT317" s="208">
        <v>0</v>
      </c>
      <c r="FU317" s="208">
        <v>-389379</v>
      </c>
      <c r="FV317" s="208">
        <v>0</v>
      </c>
      <c r="FW317" s="208">
        <v>-389379</v>
      </c>
      <c r="FX317" s="208">
        <v>0</v>
      </c>
      <c r="FY317" s="208">
        <v>0</v>
      </c>
      <c r="FZ317" s="208">
        <v>0</v>
      </c>
      <c r="GA317" s="208">
        <v>0</v>
      </c>
      <c r="GB317" s="208">
        <v>0</v>
      </c>
      <c r="GC317" s="208">
        <v>0</v>
      </c>
      <c r="GD317" s="208">
        <v>0</v>
      </c>
      <c r="GE317" s="208">
        <v>0</v>
      </c>
      <c r="GF317" s="208">
        <v>0</v>
      </c>
      <c r="GG317" s="208">
        <v>102562479</v>
      </c>
      <c r="GH317" s="208">
        <v>0</v>
      </c>
      <c r="GI317" s="208">
        <v>102562479</v>
      </c>
      <c r="GJ317" s="208">
        <v>1941152</v>
      </c>
      <c r="GK317" s="208">
        <v>0</v>
      </c>
      <c r="GL317" s="208">
        <v>1941152</v>
      </c>
      <c r="GM317" s="208">
        <v>-15231665</v>
      </c>
      <c r="GN317" s="208">
        <v>0</v>
      </c>
      <c r="GO317" s="208">
        <v>-15231665</v>
      </c>
      <c r="GP317" s="208">
        <v>-3573294</v>
      </c>
      <c r="GQ317" s="208">
        <v>0</v>
      </c>
      <c r="GR317" s="208">
        <v>-3573294</v>
      </c>
      <c r="GS317" s="208">
        <v>-1154766</v>
      </c>
      <c r="GT317" s="208">
        <v>0</v>
      </c>
      <c r="GU317" s="208">
        <v>-1154766</v>
      </c>
      <c r="GV317" s="208">
        <v>-389379</v>
      </c>
      <c r="GW317" s="208">
        <v>0</v>
      </c>
      <c r="GX317" s="208">
        <v>-389379</v>
      </c>
      <c r="GY317" s="208">
        <v>0</v>
      </c>
      <c r="GZ317" s="208">
        <v>0</v>
      </c>
      <c r="HA317" s="208">
        <v>0</v>
      </c>
      <c r="HB317" s="208">
        <v>-18407952</v>
      </c>
      <c r="HC317" s="208">
        <v>0</v>
      </c>
      <c r="HD317" s="208">
        <v>-18407952</v>
      </c>
      <c r="HE317" s="208">
        <v>84154527</v>
      </c>
      <c r="HF317" s="208">
        <v>0</v>
      </c>
      <c r="HG317" s="208">
        <v>84154527</v>
      </c>
      <c r="HH317" s="187" t="s">
        <v>1056</v>
      </c>
    </row>
    <row r="318" spans="2:216" s="187" customFormat="1" x14ac:dyDescent="0.2">
      <c r="B318" s="429" t="s">
        <v>714</v>
      </c>
      <c r="C318" s="429" t="s">
        <v>713</v>
      </c>
      <c r="D318" s="208">
        <v>-3222739</v>
      </c>
      <c r="E318" s="208">
        <v>0</v>
      </c>
      <c r="F318" s="208">
        <v>-3222739</v>
      </c>
      <c r="G318" s="208">
        <v>45952</v>
      </c>
      <c r="H318" s="208">
        <v>0</v>
      </c>
      <c r="I318" s="208">
        <v>45952</v>
      </c>
      <c r="J318" s="208">
        <v>5061672</v>
      </c>
      <c r="K318" s="208">
        <v>0</v>
      </c>
      <c r="L318" s="208">
        <v>5061672</v>
      </c>
      <c r="M318" s="208">
        <v>232669</v>
      </c>
      <c r="N318" s="208">
        <v>0</v>
      </c>
      <c r="O318" s="208">
        <v>232669</v>
      </c>
      <c r="P318" s="208">
        <v>2117554</v>
      </c>
      <c r="Q318" s="208">
        <v>0</v>
      </c>
      <c r="R318" s="208">
        <v>2117554</v>
      </c>
      <c r="S318" s="208">
        <v>-16869672</v>
      </c>
      <c r="T318" s="208">
        <v>0</v>
      </c>
      <c r="U318" s="208">
        <v>-16869672</v>
      </c>
      <c r="V318" s="208">
        <v>-91929</v>
      </c>
      <c r="W318" s="208">
        <v>0</v>
      </c>
      <c r="X318" s="208">
        <v>-91929</v>
      </c>
      <c r="Y318" s="208">
        <v>-336995</v>
      </c>
      <c r="Z318" s="208">
        <v>0</v>
      </c>
      <c r="AA318" s="208">
        <v>-336995</v>
      </c>
      <c r="AB318" s="208">
        <v>-81631</v>
      </c>
      <c r="AC318" s="208">
        <v>0</v>
      </c>
      <c r="AD318" s="208">
        <v>-81631</v>
      </c>
      <c r="AE318" s="208">
        <v>-231198</v>
      </c>
      <c r="AF318" s="208">
        <v>0</v>
      </c>
      <c r="AG318" s="208">
        <v>-231198</v>
      </c>
      <c r="AH318" s="208">
        <v>-2738</v>
      </c>
      <c r="AI318" s="208">
        <v>0</v>
      </c>
      <c r="AJ318" s="208">
        <v>-2738</v>
      </c>
      <c r="AK318" s="208">
        <v>-15366</v>
      </c>
      <c r="AL318" s="208">
        <v>0</v>
      </c>
      <c r="AM318" s="208">
        <v>-15366</v>
      </c>
      <c r="AN318" s="208">
        <v>3399538</v>
      </c>
      <c r="AO318" s="208">
        <v>0</v>
      </c>
      <c r="AP318" s="208">
        <v>3399538</v>
      </c>
      <c r="AQ318" s="208">
        <v>-6177</v>
      </c>
      <c r="AR318" s="208">
        <v>0</v>
      </c>
      <c r="AS318" s="208">
        <v>-6177</v>
      </c>
      <c r="AT318" s="208">
        <v>-11949361</v>
      </c>
      <c r="AU318" s="208">
        <v>0</v>
      </c>
      <c r="AV318" s="208">
        <v>-11949361</v>
      </c>
      <c r="AW318" s="208">
        <v>74020</v>
      </c>
      <c r="AX318" s="208">
        <v>0</v>
      </c>
      <c r="AY318" s="208">
        <v>74020</v>
      </c>
      <c r="AZ318" s="208">
        <v>-107198</v>
      </c>
      <c r="BA318" s="208">
        <v>0</v>
      </c>
      <c r="BB318" s="208">
        <v>-107198</v>
      </c>
      <c r="BC318" s="208">
        <v>0</v>
      </c>
      <c r="BD318" s="208">
        <v>0</v>
      </c>
      <c r="BE318" s="208">
        <v>0</v>
      </c>
      <c r="BF318" s="208">
        <v>-164332</v>
      </c>
      <c r="BG318" s="208">
        <v>0</v>
      </c>
      <c r="BH318" s="208">
        <v>-164332</v>
      </c>
      <c r="BI318" s="208">
        <v>1455</v>
      </c>
      <c r="BJ318" s="208">
        <v>0</v>
      </c>
      <c r="BK318" s="208">
        <v>1455</v>
      </c>
      <c r="BL318" s="208">
        <v>-25958722</v>
      </c>
      <c r="BM318" s="208">
        <v>0</v>
      </c>
      <c r="BN318" s="208">
        <v>-25958722</v>
      </c>
      <c r="BO318" s="208">
        <v>-112066</v>
      </c>
      <c r="BP318" s="208">
        <v>0</v>
      </c>
      <c r="BQ318" s="208">
        <v>-112066</v>
      </c>
      <c r="BR318" s="208">
        <v>-33164</v>
      </c>
      <c r="BS318" s="208">
        <v>0</v>
      </c>
      <c r="BT318" s="208">
        <v>-33164</v>
      </c>
      <c r="BU318" s="208">
        <v>-4686938</v>
      </c>
      <c r="BV318" s="208">
        <v>0</v>
      </c>
      <c r="BW318" s="208">
        <v>-4686938</v>
      </c>
      <c r="BX318" s="208">
        <v>-146042</v>
      </c>
      <c r="BY318" s="208">
        <v>0</v>
      </c>
      <c r="BZ318" s="208">
        <v>-146042</v>
      </c>
      <c r="CA318" s="208">
        <v>-4978210</v>
      </c>
      <c r="CB318" s="208">
        <v>0</v>
      </c>
      <c r="CC318" s="208">
        <v>-4978210</v>
      </c>
      <c r="CD318" s="208">
        <v>-224169</v>
      </c>
      <c r="CE318" s="208">
        <v>0</v>
      </c>
      <c r="CF318" s="208">
        <v>-224169</v>
      </c>
      <c r="CG318" s="208">
        <v>3217</v>
      </c>
      <c r="CH318" s="208">
        <v>0</v>
      </c>
      <c r="CI318" s="208">
        <v>3217</v>
      </c>
      <c r="CJ318" s="208">
        <v>-331681</v>
      </c>
      <c r="CK318" s="208">
        <v>0</v>
      </c>
      <c r="CL318" s="208">
        <v>-331681</v>
      </c>
      <c r="CM318" s="208">
        <v>0</v>
      </c>
      <c r="CN318" s="208">
        <v>0</v>
      </c>
      <c r="CO318" s="208">
        <v>0</v>
      </c>
      <c r="CP318" s="208">
        <v>-1118</v>
      </c>
      <c r="CQ318" s="208">
        <v>0</v>
      </c>
      <c r="CR318" s="208">
        <v>-1118</v>
      </c>
      <c r="CS318" s="208">
        <v>0</v>
      </c>
      <c r="CT318" s="208">
        <v>0</v>
      </c>
      <c r="CU318" s="208">
        <v>0</v>
      </c>
      <c r="CV318" s="208">
        <v>0</v>
      </c>
      <c r="CW318" s="208">
        <v>0</v>
      </c>
      <c r="CX318" s="208">
        <v>0</v>
      </c>
      <c r="CY318" s="208">
        <v>0</v>
      </c>
      <c r="CZ318" s="208">
        <v>0</v>
      </c>
      <c r="DA318" s="208">
        <v>0</v>
      </c>
      <c r="DB318" s="208">
        <v>0</v>
      </c>
      <c r="DC318" s="208">
        <v>0</v>
      </c>
      <c r="DD318" s="208">
        <v>0</v>
      </c>
      <c r="DE318" s="208">
        <v>0</v>
      </c>
      <c r="DF318" s="208">
        <v>0</v>
      </c>
      <c r="DG318" s="208">
        <v>0</v>
      </c>
      <c r="DH318" s="208">
        <v>-218325</v>
      </c>
      <c r="DI318" s="208">
        <v>0</v>
      </c>
      <c r="DJ318" s="208">
        <v>-218325</v>
      </c>
      <c r="DK318" s="208">
        <v>0</v>
      </c>
      <c r="DL318" s="208">
        <v>0</v>
      </c>
      <c r="DM318" s="208">
        <v>0</v>
      </c>
      <c r="DN318" s="208">
        <v>0</v>
      </c>
      <c r="DO318" s="208">
        <v>0</v>
      </c>
      <c r="DP318" s="208">
        <v>-772076</v>
      </c>
      <c r="DQ318" s="208">
        <v>0</v>
      </c>
      <c r="DR318" s="208">
        <v>-772076</v>
      </c>
      <c r="DS318" s="208">
        <v>0</v>
      </c>
      <c r="DT318" s="208">
        <v>0</v>
      </c>
      <c r="DU318" s="208">
        <v>0</v>
      </c>
      <c r="DV318" s="208">
        <v>0</v>
      </c>
      <c r="DW318" s="208">
        <v>0</v>
      </c>
      <c r="DX318" s="208">
        <v>0</v>
      </c>
      <c r="DY318" s="208">
        <v>0</v>
      </c>
      <c r="DZ318" s="208">
        <v>0</v>
      </c>
      <c r="EA318" s="208">
        <v>0</v>
      </c>
      <c r="EB318" s="208">
        <v>0</v>
      </c>
      <c r="EC318" s="208">
        <v>0</v>
      </c>
      <c r="ED318" s="208">
        <v>0</v>
      </c>
      <c r="EE318" s="208">
        <v>0</v>
      </c>
      <c r="EF318" s="208">
        <v>0</v>
      </c>
      <c r="EG318" s="208">
        <v>0</v>
      </c>
      <c r="EH318" s="208">
        <v>0</v>
      </c>
      <c r="EI318" s="208">
        <v>0</v>
      </c>
      <c r="EJ318" s="208">
        <v>0</v>
      </c>
      <c r="EK318" s="208">
        <v>-164683</v>
      </c>
      <c r="EL318" s="208">
        <v>0</v>
      </c>
      <c r="EM318" s="208">
        <v>-164683</v>
      </c>
      <c r="EN318" s="208">
        <v>1455</v>
      </c>
      <c r="EO318" s="208">
        <v>0</v>
      </c>
      <c r="EP318" s="208">
        <v>1455</v>
      </c>
      <c r="EQ318" s="208">
        <v>-4751</v>
      </c>
      <c r="ER318" s="208">
        <v>0</v>
      </c>
      <c r="ES318" s="208">
        <v>-4751</v>
      </c>
      <c r="ET318" s="208">
        <v>0</v>
      </c>
      <c r="EU318" s="208">
        <v>0</v>
      </c>
      <c r="EV318" s="208">
        <v>0</v>
      </c>
      <c r="EW318" s="208">
        <v>-168392</v>
      </c>
      <c r="EX318" s="208">
        <v>0</v>
      </c>
      <c r="EY318" s="208">
        <v>-168392</v>
      </c>
      <c r="EZ318" s="208">
        <v>0</v>
      </c>
      <c r="FA318" s="208">
        <v>0</v>
      </c>
      <c r="FB318" s="208">
        <v>0</v>
      </c>
      <c r="FC318" s="208">
        <v>-450801</v>
      </c>
      <c r="FD318" s="208">
        <v>0</v>
      </c>
      <c r="FE318" s="208">
        <v>-450801</v>
      </c>
      <c r="FF318" s="208">
        <v>0</v>
      </c>
      <c r="FG318" s="208">
        <v>0</v>
      </c>
      <c r="FH318" s="208">
        <v>0</v>
      </c>
      <c r="FI318" s="208">
        <v>-199986</v>
      </c>
      <c r="FJ318" s="208">
        <v>0</v>
      </c>
      <c r="FK318" s="208">
        <v>-199986</v>
      </c>
      <c r="FL318" s="208">
        <v>-8247</v>
      </c>
      <c r="FM318" s="208">
        <v>0</v>
      </c>
      <c r="FN318" s="208">
        <v>-8247</v>
      </c>
      <c r="FO318" s="208">
        <v>0</v>
      </c>
      <c r="FP318" s="208">
        <v>0</v>
      </c>
      <c r="FQ318" s="208">
        <v>0</v>
      </c>
      <c r="FR318" s="208">
        <v>0</v>
      </c>
      <c r="FS318" s="208">
        <v>0</v>
      </c>
      <c r="FT318" s="208">
        <v>0</v>
      </c>
      <c r="FU318" s="208">
        <v>-995405</v>
      </c>
      <c r="FV318" s="208">
        <v>0</v>
      </c>
      <c r="FW318" s="208">
        <v>-995405</v>
      </c>
      <c r="FX318" s="208">
        <v>-17929</v>
      </c>
      <c r="FY318" s="208">
        <v>0</v>
      </c>
      <c r="FZ318" s="208">
        <v>-17929</v>
      </c>
      <c r="GA318" s="208">
        <v>1302</v>
      </c>
      <c r="GB318" s="208">
        <v>0</v>
      </c>
      <c r="GC318" s="208">
        <v>1302</v>
      </c>
      <c r="GD318" s="208">
        <v>-16627</v>
      </c>
      <c r="GE318" s="208">
        <v>0</v>
      </c>
      <c r="GF318" s="208">
        <v>-16627</v>
      </c>
      <c r="GG318" s="208">
        <v>184400672</v>
      </c>
      <c r="GH318" s="208">
        <v>0</v>
      </c>
      <c r="GI318" s="208">
        <v>184400672</v>
      </c>
      <c r="GJ318" s="208">
        <v>2117554</v>
      </c>
      <c r="GK318" s="208">
        <v>0</v>
      </c>
      <c r="GL318" s="208">
        <v>2117554</v>
      </c>
      <c r="GM318" s="208">
        <v>-25958722</v>
      </c>
      <c r="GN318" s="208">
        <v>0</v>
      </c>
      <c r="GO318" s="208">
        <v>-25958722</v>
      </c>
      <c r="GP318" s="208">
        <v>-4978210</v>
      </c>
      <c r="GQ318" s="208">
        <v>0</v>
      </c>
      <c r="GR318" s="208">
        <v>-4978210</v>
      </c>
      <c r="GS318" s="208">
        <v>-772076</v>
      </c>
      <c r="GT318" s="208">
        <v>0</v>
      </c>
      <c r="GU318" s="208">
        <v>-772076</v>
      </c>
      <c r="GV318" s="208">
        <v>-995405</v>
      </c>
      <c r="GW318" s="208">
        <v>0</v>
      </c>
      <c r="GX318" s="208">
        <v>-995405</v>
      </c>
      <c r="GY318" s="208">
        <v>-16627</v>
      </c>
      <c r="GZ318" s="208">
        <v>0</v>
      </c>
      <c r="HA318" s="208">
        <v>-16627</v>
      </c>
      <c r="HB318" s="208">
        <v>-30603486</v>
      </c>
      <c r="HC318" s="208">
        <v>0</v>
      </c>
      <c r="HD318" s="208">
        <v>-30603486</v>
      </c>
      <c r="HE318" s="208">
        <v>153797186</v>
      </c>
      <c r="HF318" s="208">
        <v>0</v>
      </c>
      <c r="HG318" s="208">
        <v>153797186</v>
      </c>
      <c r="HH318" s="187" t="s">
        <v>742</v>
      </c>
    </row>
    <row r="319" spans="2:216" s="187" customFormat="1" x14ac:dyDescent="0.2">
      <c r="B319" s="429" t="s">
        <v>716</v>
      </c>
      <c r="C319" s="429" t="s">
        <v>715</v>
      </c>
      <c r="D319" s="208">
        <v>-2010708</v>
      </c>
      <c r="E319" s="208">
        <v>0</v>
      </c>
      <c r="F319" s="208">
        <v>-2010708</v>
      </c>
      <c r="G319" s="208">
        <v>-39681</v>
      </c>
      <c r="H319" s="208">
        <v>0</v>
      </c>
      <c r="I319" s="208">
        <v>-39681</v>
      </c>
      <c r="J319" s="208">
        <v>884174</v>
      </c>
      <c r="K319" s="208">
        <v>0</v>
      </c>
      <c r="L319" s="208">
        <v>884174</v>
      </c>
      <c r="M319" s="208">
        <v>-44876</v>
      </c>
      <c r="N319" s="208">
        <v>0</v>
      </c>
      <c r="O319" s="208">
        <v>-44876</v>
      </c>
      <c r="P319" s="208">
        <v>-1211091</v>
      </c>
      <c r="Q319" s="208">
        <v>0</v>
      </c>
      <c r="R319" s="208">
        <v>-1211091</v>
      </c>
      <c r="S319" s="208">
        <v>-4289918</v>
      </c>
      <c r="T319" s="208">
        <v>0</v>
      </c>
      <c r="U319" s="208">
        <v>-4289918</v>
      </c>
      <c r="V319" s="208">
        <v>-19995</v>
      </c>
      <c r="W319" s="208">
        <v>0</v>
      </c>
      <c r="X319" s="208">
        <v>-19995</v>
      </c>
      <c r="Y319" s="208">
        <v>-210827</v>
      </c>
      <c r="Z319" s="208">
        <v>0</v>
      </c>
      <c r="AA319" s="208">
        <v>-210827</v>
      </c>
      <c r="AB319" s="208">
        <v>-44612</v>
      </c>
      <c r="AC319" s="208">
        <v>0</v>
      </c>
      <c r="AD319" s="208">
        <v>-44612</v>
      </c>
      <c r="AE319" s="208">
        <v>-152120</v>
      </c>
      <c r="AF319" s="208">
        <v>0</v>
      </c>
      <c r="AG319" s="208">
        <v>-152120</v>
      </c>
      <c r="AH319" s="208">
        <v>-1267</v>
      </c>
      <c r="AI319" s="208">
        <v>0</v>
      </c>
      <c r="AJ319" s="208">
        <v>-1267</v>
      </c>
      <c r="AK319" s="208">
        <v>-5824</v>
      </c>
      <c r="AL319" s="208">
        <v>0</v>
      </c>
      <c r="AM319" s="208">
        <v>-5824</v>
      </c>
      <c r="AN319" s="208">
        <v>1406795</v>
      </c>
      <c r="AO319" s="208">
        <v>0</v>
      </c>
      <c r="AP319" s="208">
        <v>1406795</v>
      </c>
      <c r="AQ319" s="208">
        <v>292899</v>
      </c>
      <c r="AR319" s="208">
        <v>0</v>
      </c>
      <c r="AS319" s="208">
        <v>292899</v>
      </c>
      <c r="AT319" s="208">
        <v>-4454568</v>
      </c>
      <c r="AU319" s="208">
        <v>0</v>
      </c>
      <c r="AV319" s="208">
        <v>-4454568</v>
      </c>
      <c r="AW319" s="208">
        <v>-100597</v>
      </c>
      <c r="AX319" s="208">
        <v>0</v>
      </c>
      <c r="AY319" s="208">
        <v>-100597</v>
      </c>
      <c r="AZ319" s="208">
        <v>-44885</v>
      </c>
      <c r="BA319" s="208">
        <v>0</v>
      </c>
      <c r="BB319" s="208">
        <v>-44885</v>
      </c>
      <c r="BC319" s="208">
        <v>-1364</v>
      </c>
      <c r="BD319" s="208">
        <v>0</v>
      </c>
      <c r="BE319" s="208">
        <v>-1364</v>
      </c>
      <c r="BF319" s="208">
        <v>-8134</v>
      </c>
      <c r="BG319" s="208">
        <v>0</v>
      </c>
      <c r="BH319" s="208">
        <v>-8134</v>
      </c>
      <c r="BI319" s="208">
        <v>1743</v>
      </c>
      <c r="BJ319" s="208">
        <v>0</v>
      </c>
      <c r="BK319" s="208">
        <v>1743</v>
      </c>
      <c r="BL319" s="208">
        <v>-7408856</v>
      </c>
      <c r="BM319" s="208">
        <v>0</v>
      </c>
      <c r="BN319" s="208">
        <v>-7408856</v>
      </c>
      <c r="BO319" s="208">
        <v>0</v>
      </c>
      <c r="BP319" s="208">
        <v>0</v>
      </c>
      <c r="BQ319" s="208">
        <v>0</v>
      </c>
      <c r="BR319" s="208">
        <v>0</v>
      </c>
      <c r="BS319" s="208">
        <v>0</v>
      </c>
      <c r="BT319" s="208">
        <v>0</v>
      </c>
      <c r="BU319" s="208">
        <v>-1300204</v>
      </c>
      <c r="BV319" s="208">
        <v>0</v>
      </c>
      <c r="BW319" s="208">
        <v>-1300204</v>
      </c>
      <c r="BX319" s="208">
        <v>-57053</v>
      </c>
      <c r="BY319" s="208">
        <v>0</v>
      </c>
      <c r="BZ319" s="208">
        <v>-57053</v>
      </c>
      <c r="CA319" s="208">
        <v>-1357257</v>
      </c>
      <c r="CB319" s="208">
        <v>0</v>
      </c>
      <c r="CC319" s="208">
        <v>-1357257</v>
      </c>
      <c r="CD319" s="208">
        <v>-57557</v>
      </c>
      <c r="CE319" s="208">
        <v>0</v>
      </c>
      <c r="CF319" s="208">
        <v>-57557</v>
      </c>
      <c r="CG319" s="208">
        <v>1241</v>
      </c>
      <c r="CH319" s="208">
        <v>0</v>
      </c>
      <c r="CI319" s="208">
        <v>1241</v>
      </c>
      <c r="CJ319" s="208">
        <v>-223269</v>
      </c>
      <c r="CK319" s="208">
        <v>0</v>
      </c>
      <c r="CL319" s="208">
        <v>-223269</v>
      </c>
      <c r="CM319" s="208">
        <v>0</v>
      </c>
      <c r="CN319" s="208">
        <v>0</v>
      </c>
      <c r="CO319" s="208">
        <v>0</v>
      </c>
      <c r="CP319" s="208">
        <v>-4112</v>
      </c>
      <c r="CQ319" s="208">
        <v>0</v>
      </c>
      <c r="CR319" s="208">
        <v>-4112</v>
      </c>
      <c r="CS319" s="208">
        <v>-341</v>
      </c>
      <c r="CT319" s="208">
        <v>0</v>
      </c>
      <c r="CU319" s="208">
        <v>-341</v>
      </c>
      <c r="CV319" s="208">
        <v>0</v>
      </c>
      <c r="CW319" s="208">
        <v>0</v>
      </c>
      <c r="CX319" s="208">
        <v>0</v>
      </c>
      <c r="CY319" s="208">
        <v>0</v>
      </c>
      <c r="CZ319" s="208">
        <v>0</v>
      </c>
      <c r="DA319" s="208">
        <v>0</v>
      </c>
      <c r="DB319" s="208">
        <v>0</v>
      </c>
      <c r="DC319" s="208">
        <v>0</v>
      </c>
      <c r="DD319" s="208">
        <v>0</v>
      </c>
      <c r="DE319" s="208">
        <v>0</v>
      </c>
      <c r="DF319" s="208">
        <v>0</v>
      </c>
      <c r="DG319" s="208">
        <v>0</v>
      </c>
      <c r="DH319" s="208">
        <v>0</v>
      </c>
      <c r="DI319" s="208">
        <v>0</v>
      </c>
      <c r="DJ319" s="208">
        <v>0</v>
      </c>
      <c r="DK319" s="208">
        <v>0</v>
      </c>
      <c r="DL319" s="208">
        <v>0</v>
      </c>
      <c r="DM319" s="208">
        <v>0</v>
      </c>
      <c r="DN319" s="208">
        <v>0</v>
      </c>
      <c r="DO319" s="208">
        <v>0</v>
      </c>
      <c r="DP319" s="208">
        <v>-284038</v>
      </c>
      <c r="DQ319" s="208">
        <v>0</v>
      </c>
      <c r="DR319" s="208">
        <v>-284038</v>
      </c>
      <c r="DS319" s="208">
        <v>0</v>
      </c>
      <c r="DT319" s="208">
        <v>0</v>
      </c>
      <c r="DU319" s="208">
        <v>0</v>
      </c>
      <c r="DV319" s="208">
        <v>0</v>
      </c>
      <c r="DW319" s="208">
        <v>0</v>
      </c>
      <c r="DX319" s="208">
        <v>0</v>
      </c>
      <c r="DY319" s="208">
        <v>0</v>
      </c>
      <c r="DZ319" s="208">
        <v>0</v>
      </c>
      <c r="EA319" s="208">
        <v>0</v>
      </c>
      <c r="EB319" s="208">
        <v>0</v>
      </c>
      <c r="EC319" s="208">
        <v>0</v>
      </c>
      <c r="ED319" s="208">
        <v>0</v>
      </c>
      <c r="EE319" s="208">
        <v>0</v>
      </c>
      <c r="EF319" s="208">
        <v>0</v>
      </c>
      <c r="EG319" s="208">
        <v>0</v>
      </c>
      <c r="EH319" s="208">
        <v>0</v>
      </c>
      <c r="EI319" s="208">
        <v>0</v>
      </c>
      <c r="EJ319" s="208">
        <v>0</v>
      </c>
      <c r="EK319" s="208">
        <v>-3456</v>
      </c>
      <c r="EL319" s="208">
        <v>0</v>
      </c>
      <c r="EM319" s="208">
        <v>-3456</v>
      </c>
      <c r="EN319" s="208">
        <v>1743</v>
      </c>
      <c r="EO319" s="208">
        <v>0</v>
      </c>
      <c r="EP319" s="208">
        <v>1743</v>
      </c>
      <c r="EQ319" s="208">
        <v>0</v>
      </c>
      <c r="ER319" s="208">
        <v>0</v>
      </c>
      <c r="ES319" s="208">
        <v>0</v>
      </c>
      <c r="ET319" s="208">
        <v>0</v>
      </c>
      <c r="EU319" s="208">
        <v>0</v>
      </c>
      <c r="EV319" s="208">
        <v>0</v>
      </c>
      <c r="EW319" s="208">
        <v>-68899</v>
      </c>
      <c r="EX319" s="208">
        <v>0</v>
      </c>
      <c r="EY319" s="208">
        <v>-68899</v>
      </c>
      <c r="EZ319" s="208">
        <v>451</v>
      </c>
      <c r="FA319" s="208">
        <v>0</v>
      </c>
      <c r="FB319" s="208">
        <v>451</v>
      </c>
      <c r="FC319" s="208">
        <v>-260240</v>
      </c>
      <c r="FD319" s="208">
        <v>0</v>
      </c>
      <c r="FE319" s="208">
        <v>-260240</v>
      </c>
      <c r="FF319" s="208">
        <v>1979.94</v>
      </c>
      <c r="FG319" s="208">
        <v>0</v>
      </c>
      <c r="FH319" s="208">
        <v>1979.94</v>
      </c>
      <c r="FI319" s="208">
        <v>-84085</v>
      </c>
      <c r="FJ319" s="208">
        <v>0</v>
      </c>
      <c r="FK319" s="208">
        <v>-84085</v>
      </c>
      <c r="FL319" s="208">
        <v>-567</v>
      </c>
      <c r="FM319" s="208">
        <v>0</v>
      </c>
      <c r="FN319" s="208">
        <v>-567</v>
      </c>
      <c r="FO319" s="208">
        <v>0</v>
      </c>
      <c r="FP319" s="208">
        <v>0</v>
      </c>
      <c r="FQ319" s="208">
        <v>0</v>
      </c>
      <c r="FR319" s="208">
        <v>0</v>
      </c>
      <c r="FS319" s="208">
        <v>0</v>
      </c>
      <c r="FT319" s="208">
        <v>0</v>
      </c>
      <c r="FU319" s="208">
        <v>-413073</v>
      </c>
      <c r="FV319" s="208">
        <v>0</v>
      </c>
      <c r="FW319" s="208">
        <v>-413073</v>
      </c>
      <c r="FX319" s="208">
        <v>0</v>
      </c>
      <c r="FY319" s="208">
        <v>0</v>
      </c>
      <c r="FZ319" s="208">
        <v>0</v>
      </c>
      <c r="GA319" s="208">
        <v>0</v>
      </c>
      <c r="GB319" s="208">
        <v>0</v>
      </c>
      <c r="GC319" s="208">
        <v>0</v>
      </c>
      <c r="GD319" s="208">
        <v>0</v>
      </c>
      <c r="GE319" s="208">
        <v>0</v>
      </c>
      <c r="GF319" s="208">
        <v>0</v>
      </c>
      <c r="GG319" s="208">
        <v>73171126</v>
      </c>
      <c r="GH319" s="208">
        <v>0</v>
      </c>
      <c r="GI319" s="208">
        <v>73171126</v>
      </c>
      <c r="GJ319" s="208">
        <v>-1211091</v>
      </c>
      <c r="GK319" s="208">
        <v>0</v>
      </c>
      <c r="GL319" s="208">
        <v>-1211091</v>
      </c>
      <c r="GM319" s="208">
        <v>-7408856</v>
      </c>
      <c r="GN319" s="208">
        <v>0</v>
      </c>
      <c r="GO319" s="208">
        <v>-7408856</v>
      </c>
      <c r="GP319" s="208">
        <v>-1357257</v>
      </c>
      <c r="GQ319" s="208">
        <v>0</v>
      </c>
      <c r="GR319" s="208">
        <v>-1357257</v>
      </c>
      <c r="GS319" s="208">
        <v>-284038</v>
      </c>
      <c r="GT319" s="208">
        <v>0</v>
      </c>
      <c r="GU319" s="208">
        <v>-284038</v>
      </c>
      <c r="GV319" s="208">
        <v>-413073</v>
      </c>
      <c r="GW319" s="208">
        <v>0</v>
      </c>
      <c r="GX319" s="208">
        <v>-413073</v>
      </c>
      <c r="GY319" s="208">
        <v>0</v>
      </c>
      <c r="GZ319" s="208">
        <v>0</v>
      </c>
      <c r="HA319" s="208">
        <v>0</v>
      </c>
      <c r="HB319" s="208">
        <v>-10674315</v>
      </c>
      <c r="HC319" s="208">
        <v>0</v>
      </c>
      <c r="HD319" s="208">
        <v>-10674315</v>
      </c>
      <c r="HE319" s="208">
        <v>62496811</v>
      </c>
      <c r="HF319" s="208">
        <v>0</v>
      </c>
      <c r="HG319" s="208">
        <v>62496811</v>
      </c>
      <c r="HH319" s="187" t="s">
        <v>1054</v>
      </c>
    </row>
    <row r="320" spans="2:216" s="187" customFormat="1" x14ac:dyDescent="0.2">
      <c r="B320" s="429" t="s">
        <v>718</v>
      </c>
      <c r="C320" s="429" t="s">
        <v>717</v>
      </c>
      <c r="D320" s="208">
        <v>-1756474</v>
      </c>
      <c r="E320" s="208">
        <v>0</v>
      </c>
      <c r="F320" s="208">
        <v>-1756474</v>
      </c>
      <c r="G320" s="208">
        <v>123265</v>
      </c>
      <c r="H320" s="208">
        <v>0</v>
      </c>
      <c r="I320" s="208">
        <v>123265</v>
      </c>
      <c r="J320" s="208">
        <v>1559668</v>
      </c>
      <c r="K320" s="208">
        <v>0</v>
      </c>
      <c r="L320" s="208">
        <v>1559668</v>
      </c>
      <c r="M320" s="208">
        <v>163438</v>
      </c>
      <c r="N320" s="208">
        <v>0</v>
      </c>
      <c r="O320" s="208">
        <v>163438</v>
      </c>
      <c r="P320" s="208">
        <v>89897</v>
      </c>
      <c r="Q320" s="208">
        <v>0</v>
      </c>
      <c r="R320" s="208">
        <v>89897</v>
      </c>
      <c r="S320" s="208">
        <v>-3587401</v>
      </c>
      <c r="T320" s="208">
        <v>0</v>
      </c>
      <c r="U320" s="208">
        <v>-3587401</v>
      </c>
      <c r="V320" s="208">
        <v>0</v>
      </c>
      <c r="W320" s="208">
        <v>0</v>
      </c>
      <c r="X320" s="208">
        <v>0</v>
      </c>
      <c r="Y320" s="208">
        <v>-163918</v>
      </c>
      <c r="Z320" s="208">
        <v>0</v>
      </c>
      <c r="AA320" s="208">
        <v>-163918</v>
      </c>
      <c r="AB320" s="208">
        <v>-69514</v>
      </c>
      <c r="AC320" s="208">
        <v>0</v>
      </c>
      <c r="AD320" s="208">
        <v>-69514</v>
      </c>
      <c r="AE320" s="208">
        <v>-85873</v>
      </c>
      <c r="AF320" s="208">
        <v>0</v>
      </c>
      <c r="AG320" s="208">
        <v>-85873</v>
      </c>
      <c r="AH320" s="208">
        <v>0</v>
      </c>
      <c r="AI320" s="208">
        <v>0</v>
      </c>
      <c r="AJ320" s="208">
        <v>0</v>
      </c>
      <c r="AK320" s="208">
        <v>0</v>
      </c>
      <c r="AL320" s="208">
        <v>0</v>
      </c>
      <c r="AM320" s="208">
        <v>0</v>
      </c>
      <c r="AN320" s="208">
        <v>2243633</v>
      </c>
      <c r="AO320" s="208">
        <v>0</v>
      </c>
      <c r="AP320" s="208">
        <v>2243633</v>
      </c>
      <c r="AQ320" s="208">
        <v>2645</v>
      </c>
      <c r="AR320" s="208">
        <v>0</v>
      </c>
      <c r="AS320" s="208">
        <v>2645</v>
      </c>
      <c r="AT320" s="208">
        <v>-7636053</v>
      </c>
      <c r="AU320" s="208">
        <v>0</v>
      </c>
      <c r="AV320" s="208">
        <v>-7636053</v>
      </c>
      <c r="AW320" s="208">
        <v>-75862</v>
      </c>
      <c r="AX320" s="208">
        <v>0</v>
      </c>
      <c r="AY320" s="208">
        <v>-75862</v>
      </c>
      <c r="AZ320" s="208">
        <v>0</v>
      </c>
      <c r="BA320" s="208">
        <v>0</v>
      </c>
      <c r="BB320" s="208">
        <v>0</v>
      </c>
      <c r="BC320" s="208">
        <v>0</v>
      </c>
      <c r="BD320" s="208">
        <v>0</v>
      </c>
      <c r="BE320" s="208">
        <v>0</v>
      </c>
      <c r="BF320" s="208">
        <v>-5750</v>
      </c>
      <c r="BG320" s="208">
        <v>0</v>
      </c>
      <c r="BH320" s="208">
        <v>-5750</v>
      </c>
      <c r="BI320" s="208">
        <v>0</v>
      </c>
      <c r="BJ320" s="208">
        <v>0</v>
      </c>
      <c r="BK320" s="208">
        <v>0</v>
      </c>
      <c r="BL320" s="208">
        <v>-9222706</v>
      </c>
      <c r="BM320" s="208">
        <v>0</v>
      </c>
      <c r="BN320" s="208">
        <v>-9222706</v>
      </c>
      <c r="BO320" s="208">
        <v>0</v>
      </c>
      <c r="BP320" s="208">
        <v>0</v>
      </c>
      <c r="BQ320" s="208">
        <v>0</v>
      </c>
      <c r="BR320" s="208">
        <v>0</v>
      </c>
      <c r="BS320" s="208">
        <v>0</v>
      </c>
      <c r="BT320" s="208">
        <v>0</v>
      </c>
      <c r="BU320" s="208">
        <v>-3261626</v>
      </c>
      <c r="BV320" s="208">
        <v>0</v>
      </c>
      <c r="BW320" s="208">
        <v>-3261626</v>
      </c>
      <c r="BX320" s="208">
        <v>-202173</v>
      </c>
      <c r="BY320" s="208">
        <v>0</v>
      </c>
      <c r="BZ320" s="208">
        <v>-202173</v>
      </c>
      <c r="CA320" s="208">
        <v>-3463799</v>
      </c>
      <c r="CB320" s="208">
        <v>0</v>
      </c>
      <c r="CC320" s="208">
        <v>-3463799</v>
      </c>
      <c r="CD320" s="208">
        <v>-454350</v>
      </c>
      <c r="CE320" s="208">
        <v>0</v>
      </c>
      <c r="CF320" s="208">
        <v>-454350</v>
      </c>
      <c r="CG320" s="208">
        <v>-23423</v>
      </c>
      <c r="CH320" s="208">
        <v>0</v>
      </c>
      <c r="CI320" s="208">
        <v>-23423</v>
      </c>
      <c r="CJ320" s="208">
        <v>-183426</v>
      </c>
      <c r="CK320" s="208">
        <v>0</v>
      </c>
      <c r="CL320" s="208">
        <v>-183426</v>
      </c>
      <c r="CM320" s="208">
        <v>6561</v>
      </c>
      <c r="CN320" s="208">
        <v>0</v>
      </c>
      <c r="CO320" s="208">
        <v>6561</v>
      </c>
      <c r="CP320" s="208">
        <v>0</v>
      </c>
      <c r="CQ320" s="208">
        <v>0</v>
      </c>
      <c r="CR320" s="208">
        <v>0</v>
      </c>
      <c r="CS320" s="208">
        <v>0</v>
      </c>
      <c r="CT320" s="208">
        <v>0</v>
      </c>
      <c r="CU320" s="208">
        <v>0</v>
      </c>
      <c r="CV320" s="208">
        <v>0</v>
      </c>
      <c r="CW320" s="208">
        <v>0</v>
      </c>
      <c r="CX320" s="208">
        <v>0</v>
      </c>
      <c r="CY320" s="208">
        <v>0</v>
      </c>
      <c r="CZ320" s="208">
        <v>0</v>
      </c>
      <c r="DA320" s="208">
        <v>0</v>
      </c>
      <c r="DB320" s="208">
        <v>-9084</v>
      </c>
      <c r="DC320" s="208">
        <v>0</v>
      </c>
      <c r="DD320" s="208">
        <v>-9084</v>
      </c>
      <c r="DE320" s="208">
        <v>12232</v>
      </c>
      <c r="DF320" s="208">
        <v>0</v>
      </c>
      <c r="DG320" s="208">
        <v>12232</v>
      </c>
      <c r="DH320" s="208">
        <v>-123402</v>
      </c>
      <c r="DI320" s="208">
        <v>0</v>
      </c>
      <c r="DJ320" s="208">
        <v>-123402</v>
      </c>
      <c r="DK320" s="208">
        <v>-28133</v>
      </c>
      <c r="DL320" s="208">
        <v>0</v>
      </c>
      <c r="DM320" s="208">
        <v>-28133</v>
      </c>
      <c r="DN320" s="208">
        <v>0</v>
      </c>
      <c r="DO320" s="208">
        <v>0</v>
      </c>
      <c r="DP320" s="208">
        <v>-803025</v>
      </c>
      <c r="DQ320" s="208">
        <v>0</v>
      </c>
      <c r="DR320" s="208">
        <v>-803025</v>
      </c>
      <c r="DS320" s="208">
        <v>0</v>
      </c>
      <c r="DT320" s="208">
        <v>0</v>
      </c>
      <c r="DU320" s="208">
        <v>0</v>
      </c>
      <c r="DV320" s="208">
        <v>0</v>
      </c>
      <c r="DW320" s="208">
        <v>0</v>
      </c>
      <c r="DX320" s="208">
        <v>0</v>
      </c>
      <c r="DY320" s="208">
        <v>0</v>
      </c>
      <c r="DZ320" s="208">
        <v>0</v>
      </c>
      <c r="EA320" s="208">
        <v>0</v>
      </c>
      <c r="EB320" s="208">
        <v>0</v>
      </c>
      <c r="EC320" s="208">
        <v>0</v>
      </c>
      <c r="ED320" s="208">
        <v>0</v>
      </c>
      <c r="EE320" s="208">
        <v>0</v>
      </c>
      <c r="EF320" s="208">
        <v>0</v>
      </c>
      <c r="EG320" s="208">
        <v>0</v>
      </c>
      <c r="EH320" s="208">
        <v>0</v>
      </c>
      <c r="EI320" s="208">
        <v>0</v>
      </c>
      <c r="EJ320" s="208">
        <v>0</v>
      </c>
      <c r="EK320" s="208">
        <v>-5750</v>
      </c>
      <c r="EL320" s="208">
        <v>0</v>
      </c>
      <c r="EM320" s="208">
        <v>-5750</v>
      </c>
      <c r="EN320" s="208">
        <v>0</v>
      </c>
      <c r="EO320" s="208">
        <v>0</v>
      </c>
      <c r="EP320" s="208">
        <v>0</v>
      </c>
      <c r="EQ320" s="208">
        <v>-1364</v>
      </c>
      <c r="ER320" s="208">
        <v>0</v>
      </c>
      <c r="ES320" s="208">
        <v>-1364</v>
      </c>
      <c r="ET320" s="208">
        <v>0</v>
      </c>
      <c r="EU320" s="208">
        <v>0</v>
      </c>
      <c r="EV320" s="208">
        <v>0</v>
      </c>
      <c r="EW320" s="208">
        <v>-19619</v>
      </c>
      <c r="EX320" s="208">
        <v>0</v>
      </c>
      <c r="EY320" s="208">
        <v>-19619</v>
      </c>
      <c r="EZ320" s="208">
        <v>-2422</v>
      </c>
      <c r="FA320" s="208">
        <v>0</v>
      </c>
      <c r="FB320" s="208">
        <v>-2422</v>
      </c>
      <c r="FC320" s="208">
        <v>-297686</v>
      </c>
      <c r="FD320" s="208">
        <v>0</v>
      </c>
      <c r="FE320" s="208">
        <v>-297686</v>
      </c>
      <c r="FF320" s="208">
        <v>16792</v>
      </c>
      <c r="FG320" s="208">
        <v>0</v>
      </c>
      <c r="FH320" s="208">
        <v>16792</v>
      </c>
      <c r="FI320" s="208">
        <v>-58952</v>
      </c>
      <c r="FJ320" s="208">
        <v>0</v>
      </c>
      <c r="FK320" s="208">
        <v>-58952</v>
      </c>
      <c r="FL320" s="208">
        <v>-4052</v>
      </c>
      <c r="FM320" s="208">
        <v>0</v>
      </c>
      <c r="FN320" s="208">
        <v>-4052</v>
      </c>
      <c r="FO320" s="208">
        <v>0</v>
      </c>
      <c r="FP320" s="208">
        <v>0</v>
      </c>
      <c r="FQ320" s="208">
        <v>0</v>
      </c>
      <c r="FR320" s="208">
        <v>0</v>
      </c>
      <c r="FS320" s="208">
        <v>0</v>
      </c>
      <c r="FT320" s="208">
        <v>0</v>
      </c>
      <c r="FU320" s="208">
        <v>-373053</v>
      </c>
      <c r="FV320" s="208">
        <v>0</v>
      </c>
      <c r="FW320" s="208">
        <v>-373053</v>
      </c>
      <c r="FX320" s="208">
        <v>-168768</v>
      </c>
      <c r="FY320" s="208">
        <v>0</v>
      </c>
      <c r="FZ320" s="208">
        <v>-168768</v>
      </c>
      <c r="GA320" s="208">
        <v>-36290</v>
      </c>
      <c r="GB320" s="208">
        <v>0</v>
      </c>
      <c r="GC320" s="208">
        <v>-36290</v>
      </c>
      <c r="GD320" s="208">
        <v>-205058</v>
      </c>
      <c r="GE320" s="208">
        <v>0</v>
      </c>
      <c r="GF320" s="208">
        <v>-205058</v>
      </c>
      <c r="GG320" s="208">
        <v>106082588</v>
      </c>
      <c r="GH320" s="208">
        <v>0</v>
      </c>
      <c r="GI320" s="208">
        <v>106082588</v>
      </c>
      <c r="GJ320" s="208">
        <v>89897</v>
      </c>
      <c r="GK320" s="208">
        <v>0</v>
      </c>
      <c r="GL320" s="208">
        <v>89897</v>
      </c>
      <c r="GM320" s="208">
        <v>-9222706</v>
      </c>
      <c r="GN320" s="208">
        <v>0</v>
      </c>
      <c r="GO320" s="208">
        <v>-9222706</v>
      </c>
      <c r="GP320" s="208">
        <v>-3463799</v>
      </c>
      <c r="GQ320" s="208">
        <v>0</v>
      </c>
      <c r="GR320" s="208">
        <v>-3463799</v>
      </c>
      <c r="GS320" s="208">
        <v>-803025</v>
      </c>
      <c r="GT320" s="208">
        <v>0</v>
      </c>
      <c r="GU320" s="208">
        <v>-803025</v>
      </c>
      <c r="GV320" s="208">
        <v>-373053</v>
      </c>
      <c r="GW320" s="208">
        <v>0</v>
      </c>
      <c r="GX320" s="208">
        <v>-373053</v>
      </c>
      <c r="GY320" s="208">
        <v>-205058</v>
      </c>
      <c r="GZ320" s="208">
        <v>0</v>
      </c>
      <c r="HA320" s="208">
        <v>-205058</v>
      </c>
      <c r="HB320" s="208">
        <v>-13977744</v>
      </c>
      <c r="HC320" s="208">
        <v>0</v>
      </c>
      <c r="HD320" s="208">
        <v>-13977744</v>
      </c>
      <c r="HE320" s="208">
        <v>92104844</v>
      </c>
      <c r="HF320" s="208">
        <v>0</v>
      </c>
      <c r="HG320" s="208">
        <v>92104844</v>
      </c>
      <c r="HH320" s="187" t="s">
        <v>742</v>
      </c>
    </row>
    <row r="321" spans="1:216" s="187" customFormat="1" x14ac:dyDescent="0.2">
      <c r="B321" s="429" t="s">
        <v>720</v>
      </c>
      <c r="C321" s="429" t="s">
        <v>719</v>
      </c>
      <c r="D321" s="208">
        <v>-2156615</v>
      </c>
      <c r="E321" s="208">
        <v>0</v>
      </c>
      <c r="F321" s="208">
        <v>-2156615</v>
      </c>
      <c r="G321" s="208">
        <v>284816</v>
      </c>
      <c r="H321" s="208">
        <v>0</v>
      </c>
      <c r="I321" s="208">
        <v>284816</v>
      </c>
      <c r="J321" s="208">
        <v>3117891</v>
      </c>
      <c r="K321" s="208">
        <v>8728</v>
      </c>
      <c r="L321" s="208">
        <v>3126619</v>
      </c>
      <c r="M321" s="208">
        <v>-35797</v>
      </c>
      <c r="N321" s="208">
        <v>0</v>
      </c>
      <c r="O321" s="208">
        <v>-35797</v>
      </c>
      <c r="P321" s="208">
        <v>1210295</v>
      </c>
      <c r="Q321" s="208">
        <v>8728</v>
      </c>
      <c r="R321" s="208">
        <v>1219023</v>
      </c>
      <c r="S321" s="208">
        <v>-9578189</v>
      </c>
      <c r="T321" s="208">
        <v>-25560</v>
      </c>
      <c r="U321" s="208">
        <v>-9603749</v>
      </c>
      <c r="V321" s="208">
        <v>-26453</v>
      </c>
      <c r="W321" s="208">
        <v>0</v>
      </c>
      <c r="X321" s="208">
        <v>-26453</v>
      </c>
      <c r="Y321" s="208">
        <v>-209320</v>
      </c>
      <c r="Z321" s="208">
        <v>0</v>
      </c>
      <c r="AA321" s="208">
        <v>-209320</v>
      </c>
      <c r="AB321" s="208">
        <v>-77787</v>
      </c>
      <c r="AC321" s="208">
        <v>0</v>
      </c>
      <c r="AD321" s="208">
        <v>-77787</v>
      </c>
      <c r="AE321" s="208">
        <v>-131533</v>
      </c>
      <c r="AF321" s="208">
        <v>0</v>
      </c>
      <c r="AG321" s="208">
        <v>-131533</v>
      </c>
      <c r="AH321" s="208">
        <v>-3339</v>
      </c>
      <c r="AI321" s="208">
        <v>0</v>
      </c>
      <c r="AJ321" s="208">
        <v>-3339</v>
      </c>
      <c r="AK321" s="208">
        <v>-6202</v>
      </c>
      <c r="AL321" s="208">
        <v>0</v>
      </c>
      <c r="AM321" s="208">
        <v>-6202</v>
      </c>
      <c r="AN321" s="208">
        <v>1647697</v>
      </c>
      <c r="AO321" s="208">
        <v>27163</v>
      </c>
      <c r="AP321" s="208">
        <v>1674860</v>
      </c>
      <c r="AQ321" s="208">
        <v>-29121</v>
      </c>
      <c r="AR321" s="208">
        <v>-5</v>
      </c>
      <c r="AS321" s="208">
        <v>-29126</v>
      </c>
      <c r="AT321" s="208">
        <v>-5648610</v>
      </c>
      <c r="AU321" s="208">
        <v>-92013</v>
      </c>
      <c r="AV321" s="208">
        <v>-5740623</v>
      </c>
      <c r="AW321" s="208">
        <v>-20837</v>
      </c>
      <c r="AX321" s="208">
        <v>0</v>
      </c>
      <c r="AY321" s="208">
        <v>-20837</v>
      </c>
      <c r="AZ321" s="208">
        <v>-28417</v>
      </c>
      <c r="BA321" s="208">
        <v>0</v>
      </c>
      <c r="BB321" s="208">
        <v>-28417</v>
      </c>
      <c r="BC321" s="208">
        <v>0</v>
      </c>
      <c r="BD321" s="208">
        <v>0</v>
      </c>
      <c r="BE321" s="208">
        <v>0</v>
      </c>
      <c r="BF321" s="208">
        <v>0</v>
      </c>
      <c r="BG321" s="208">
        <v>0</v>
      </c>
      <c r="BH321" s="208">
        <v>0</v>
      </c>
      <c r="BI321" s="208">
        <v>0</v>
      </c>
      <c r="BJ321" s="208">
        <v>0</v>
      </c>
      <c r="BK321" s="208">
        <v>0</v>
      </c>
      <c r="BL321" s="208">
        <v>-13866797</v>
      </c>
      <c r="BM321" s="208">
        <v>-90415</v>
      </c>
      <c r="BN321" s="208">
        <v>-13957212</v>
      </c>
      <c r="BO321" s="208">
        <v>-770</v>
      </c>
      <c r="BP321" s="208">
        <v>0</v>
      </c>
      <c r="BQ321" s="208">
        <v>-770</v>
      </c>
      <c r="BR321" s="208">
        <v>-3329</v>
      </c>
      <c r="BS321" s="208">
        <v>0</v>
      </c>
      <c r="BT321" s="208">
        <v>-3329</v>
      </c>
      <c r="BU321" s="208">
        <v>-3992037</v>
      </c>
      <c r="BV321" s="208">
        <v>-51916</v>
      </c>
      <c r="BW321" s="208">
        <v>-4043953</v>
      </c>
      <c r="BX321" s="208">
        <v>-134435</v>
      </c>
      <c r="BY321" s="208">
        <v>0</v>
      </c>
      <c r="BZ321" s="208">
        <v>-134435</v>
      </c>
      <c r="CA321" s="208">
        <v>-4130571</v>
      </c>
      <c r="CB321" s="208">
        <v>-51916</v>
      </c>
      <c r="CC321" s="208">
        <v>-4182487</v>
      </c>
      <c r="CD321" s="208">
        <v>-661428</v>
      </c>
      <c r="CE321" s="208">
        <v>-3223</v>
      </c>
      <c r="CF321" s="208">
        <v>-664651</v>
      </c>
      <c r="CG321" s="208">
        <v>-1575</v>
      </c>
      <c r="CH321" s="208">
        <v>0</v>
      </c>
      <c r="CI321" s="208">
        <v>-1575</v>
      </c>
      <c r="CJ321" s="208">
        <v>-101531</v>
      </c>
      <c r="CK321" s="208">
        <v>0</v>
      </c>
      <c r="CL321" s="208">
        <v>-101531</v>
      </c>
      <c r="CM321" s="208">
        <v>-4825</v>
      </c>
      <c r="CN321" s="208">
        <v>0</v>
      </c>
      <c r="CO321" s="208">
        <v>-4825</v>
      </c>
      <c r="CP321" s="208">
        <v>-7104</v>
      </c>
      <c r="CQ321" s="208">
        <v>0</v>
      </c>
      <c r="CR321" s="208">
        <v>-7104</v>
      </c>
      <c r="CS321" s="208">
        <v>0</v>
      </c>
      <c r="CT321" s="208">
        <v>0</v>
      </c>
      <c r="CU321" s="208">
        <v>0</v>
      </c>
      <c r="CV321" s="208">
        <v>0</v>
      </c>
      <c r="CW321" s="208">
        <v>0</v>
      </c>
      <c r="CX321" s="208">
        <v>0</v>
      </c>
      <c r="CY321" s="208">
        <v>0</v>
      </c>
      <c r="CZ321" s="208">
        <v>0</v>
      </c>
      <c r="DA321" s="208">
        <v>0</v>
      </c>
      <c r="DB321" s="208">
        <v>0</v>
      </c>
      <c r="DC321" s="208">
        <v>0</v>
      </c>
      <c r="DD321" s="208">
        <v>0</v>
      </c>
      <c r="DE321" s="208">
        <v>0</v>
      </c>
      <c r="DF321" s="208">
        <v>0</v>
      </c>
      <c r="DG321" s="208">
        <v>0</v>
      </c>
      <c r="DH321" s="208">
        <v>0</v>
      </c>
      <c r="DI321" s="208">
        <v>-75926</v>
      </c>
      <c r="DJ321" s="208">
        <v>-75926</v>
      </c>
      <c r="DK321" s="208">
        <v>0</v>
      </c>
      <c r="DL321" s="208">
        <v>0</v>
      </c>
      <c r="DM321" s="208">
        <v>0</v>
      </c>
      <c r="DN321" s="208">
        <v>-75926</v>
      </c>
      <c r="DO321" s="208">
        <v>0</v>
      </c>
      <c r="DP321" s="208">
        <v>-776463</v>
      </c>
      <c r="DQ321" s="208">
        <v>-79149</v>
      </c>
      <c r="DR321" s="208">
        <v>-855612</v>
      </c>
      <c r="DS321" s="208">
        <v>0</v>
      </c>
      <c r="DT321" s="208">
        <v>0</v>
      </c>
      <c r="DU321" s="208">
        <v>0</v>
      </c>
      <c r="DV321" s="208">
        <v>0</v>
      </c>
      <c r="DW321" s="208">
        <v>0</v>
      </c>
      <c r="DX321" s="208">
        <v>0</v>
      </c>
      <c r="DY321" s="208">
        <v>0</v>
      </c>
      <c r="DZ321" s="208">
        <v>0</v>
      </c>
      <c r="EA321" s="208">
        <v>0</v>
      </c>
      <c r="EB321" s="208">
        <v>0</v>
      </c>
      <c r="EC321" s="208">
        <v>0</v>
      </c>
      <c r="ED321" s="208">
        <v>0</v>
      </c>
      <c r="EE321" s="208">
        <v>0</v>
      </c>
      <c r="EF321" s="208">
        <v>0</v>
      </c>
      <c r="EG321" s="208">
        <v>0</v>
      </c>
      <c r="EH321" s="208">
        <v>0</v>
      </c>
      <c r="EI321" s="208">
        <v>0</v>
      </c>
      <c r="EJ321" s="208">
        <v>0</v>
      </c>
      <c r="EK321" s="208">
        <v>0</v>
      </c>
      <c r="EL321" s="208">
        <v>0</v>
      </c>
      <c r="EM321" s="208">
        <v>0</v>
      </c>
      <c r="EN321" s="208">
        <v>0</v>
      </c>
      <c r="EO321" s="208">
        <v>0</v>
      </c>
      <c r="EP321" s="208">
        <v>0</v>
      </c>
      <c r="EQ321" s="208">
        <v>-1500</v>
      </c>
      <c r="ER321" s="208">
        <v>0</v>
      </c>
      <c r="ES321" s="208">
        <v>-1500</v>
      </c>
      <c r="ET321" s="208">
        <v>0</v>
      </c>
      <c r="EU321" s="208">
        <v>0</v>
      </c>
      <c r="EV321" s="208">
        <v>0</v>
      </c>
      <c r="EW321" s="208">
        <v>-34319</v>
      </c>
      <c r="EX321" s="208">
        <v>0</v>
      </c>
      <c r="EY321" s="208">
        <v>-34319</v>
      </c>
      <c r="EZ321" s="208">
        <v>-1481</v>
      </c>
      <c r="FA321" s="208">
        <v>0</v>
      </c>
      <c r="FB321" s="208">
        <v>-1481</v>
      </c>
      <c r="FC321" s="208">
        <v>-237462</v>
      </c>
      <c r="FD321" s="208">
        <v>-800</v>
      </c>
      <c r="FE321" s="208">
        <v>-238262</v>
      </c>
      <c r="FF321" s="208">
        <v>0</v>
      </c>
      <c r="FG321" s="208">
        <v>0</v>
      </c>
      <c r="FH321" s="208">
        <v>0</v>
      </c>
      <c r="FI321" s="208">
        <v>-74894</v>
      </c>
      <c r="FJ321" s="208">
        <v>0</v>
      </c>
      <c r="FK321" s="208">
        <v>-74894</v>
      </c>
      <c r="FL321" s="208">
        <v>427</v>
      </c>
      <c r="FM321" s="208">
        <v>0</v>
      </c>
      <c r="FN321" s="208">
        <v>427</v>
      </c>
      <c r="FO321" s="208">
        <v>0</v>
      </c>
      <c r="FP321" s="208">
        <v>0</v>
      </c>
      <c r="FQ321" s="208">
        <v>0</v>
      </c>
      <c r="FR321" s="208">
        <v>0</v>
      </c>
      <c r="FS321" s="208">
        <v>0</v>
      </c>
      <c r="FT321" s="208">
        <v>0</v>
      </c>
      <c r="FU321" s="208">
        <v>-349229</v>
      </c>
      <c r="FV321" s="208">
        <v>-800</v>
      </c>
      <c r="FW321" s="208">
        <v>-350029</v>
      </c>
      <c r="FX321" s="208">
        <v>0</v>
      </c>
      <c r="FY321" s="208">
        <v>0</v>
      </c>
      <c r="FZ321" s="208">
        <v>0</v>
      </c>
      <c r="GA321" s="208">
        <v>0</v>
      </c>
      <c r="GB321" s="208">
        <v>0</v>
      </c>
      <c r="GC321" s="208">
        <v>0</v>
      </c>
      <c r="GD321" s="208">
        <v>0</v>
      </c>
      <c r="GE321" s="208">
        <v>0</v>
      </c>
      <c r="GF321" s="208">
        <v>0</v>
      </c>
      <c r="GG321" s="208">
        <v>89468622</v>
      </c>
      <c r="GH321" s="208">
        <v>1105508</v>
      </c>
      <c r="GI321" s="208">
        <v>90574130</v>
      </c>
      <c r="GJ321" s="208">
        <v>1210295</v>
      </c>
      <c r="GK321" s="208">
        <v>8728</v>
      </c>
      <c r="GL321" s="208">
        <v>1219023</v>
      </c>
      <c r="GM321" s="208">
        <v>-13866797</v>
      </c>
      <c r="GN321" s="208">
        <v>-90415</v>
      </c>
      <c r="GO321" s="208">
        <v>-13957212</v>
      </c>
      <c r="GP321" s="208">
        <v>-4130571</v>
      </c>
      <c r="GQ321" s="208">
        <v>-51916</v>
      </c>
      <c r="GR321" s="208">
        <v>-4182487</v>
      </c>
      <c r="GS321" s="208">
        <v>-776463</v>
      </c>
      <c r="GT321" s="208">
        <v>-79149</v>
      </c>
      <c r="GU321" s="208">
        <v>-855612</v>
      </c>
      <c r="GV321" s="208">
        <v>-349229</v>
      </c>
      <c r="GW321" s="208">
        <v>-800</v>
      </c>
      <c r="GX321" s="208">
        <v>-350029</v>
      </c>
      <c r="GY321" s="208">
        <v>0</v>
      </c>
      <c r="GZ321" s="208">
        <v>0</v>
      </c>
      <c r="HA321" s="208">
        <v>0</v>
      </c>
      <c r="HB321" s="208">
        <v>-17912765</v>
      </c>
      <c r="HC321" s="208">
        <v>-213552</v>
      </c>
      <c r="HD321" s="208">
        <v>-18126317</v>
      </c>
      <c r="HE321" s="208">
        <v>71555857</v>
      </c>
      <c r="HF321" s="208">
        <v>891956</v>
      </c>
      <c r="HG321" s="208">
        <v>72447813</v>
      </c>
      <c r="HH321" s="187" t="s">
        <v>1056</v>
      </c>
    </row>
    <row r="322" spans="1:216" s="187" customFormat="1" x14ac:dyDescent="0.2">
      <c r="B322" s="429" t="s">
        <v>722</v>
      </c>
      <c r="C322" s="429" t="s">
        <v>721</v>
      </c>
      <c r="D322" s="208">
        <v>-615944</v>
      </c>
      <c r="E322" s="208">
        <v>0</v>
      </c>
      <c r="F322" s="208">
        <v>-615944</v>
      </c>
      <c r="G322" s="208">
        <v>-2450</v>
      </c>
      <c r="H322" s="208">
        <v>0</v>
      </c>
      <c r="I322" s="208">
        <v>-2450</v>
      </c>
      <c r="J322" s="208">
        <v>764621</v>
      </c>
      <c r="K322" s="208">
        <v>0</v>
      </c>
      <c r="L322" s="208">
        <v>764621</v>
      </c>
      <c r="M322" s="208">
        <v>-19137</v>
      </c>
      <c r="N322" s="208">
        <v>0</v>
      </c>
      <c r="O322" s="208">
        <v>-19137</v>
      </c>
      <c r="P322" s="208">
        <v>127090</v>
      </c>
      <c r="Q322" s="208">
        <v>0</v>
      </c>
      <c r="R322" s="208">
        <v>127090</v>
      </c>
      <c r="S322" s="208">
        <v>-2220689</v>
      </c>
      <c r="T322" s="208">
        <v>0</v>
      </c>
      <c r="U322" s="208">
        <v>-2220689</v>
      </c>
      <c r="V322" s="208">
        <v>0</v>
      </c>
      <c r="W322" s="208">
        <v>0</v>
      </c>
      <c r="X322" s="208">
        <v>0</v>
      </c>
      <c r="Y322" s="208">
        <v>-59008</v>
      </c>
      <c r="Z322" s="208">
        <v>0</v>
      </c>
      <c r="AA322" s="208">
        <v>-59008</v>
      </c>
      <c r="AB322" s="208">
        <v>-36333</v>
      </c>
      <c r="AC322" s="208">
        <v>0</v>
      </c>
      <c r="AD322" s="208">
        <v>-36333</v>
      </c>
      <c r="AE322" s="208">
        <v>-18055</v>
      </c>
      <c r="AF322" s="208">
        <v>0</v>
      </c>
      <c r="AG322" s="208">
        <v>-18055</v>
      </c>
      <c r="AH322" s="208">
        <v>0</v>
      </c>
      <c r="AI322" s="208">
        <v>0</v>
      </c>
      <c r="AJ322" s="208">
        <v>0</v>
      </c>
      <c r="AK322" s="208">
        <v>0</v>
      </c>
      <c r="AL322" s="208">
        <v>0</v>
      </c>
      <c r="AM322" s="208">
        <v>0</v>
      </c>
      <c r="AN322" s="208">
        <v>1165584</v>
      </c>
      <c r="AO322" s="208">
        <v>0</v>
      </c>
      <c r="AP322" s="208">
        <v>1165584</v>
      </c>
      <c r="AQ322" s="208">
        <v>-17984</v>
      </c>
      <c r="AR322" s="208">
        <v>0</v>
      </c>
      <c r="AS322" s="208">
        <v>-17984</v>
      </c>
      <c r="AT322" s="208">
        <v>-3304183</v>
      </c>
      <c r="AU322" s="208">
        <v>0</v>
      </c>
      <c r="AV322" s="208">
        <v>-3304183</v>
      </c>
      <c r="AW322" s="208">
        <v>32981</v>
      </c>
      <c r="AX322" s="208">
        <v>0</v>
      </c>
      <c r="AY322" s="208">
        <v>32981</v>
      </c>
      <c r="AZ322" s="208">
        <v>0</v>
      </c>
      <c r="BA322" s="208">
        <v>0</v>
      </c>
      <c r="BB322" s="208">
        <v>0</v>
      </c>
      <c r="BC322" s="208">
        <v>0</v>
      </c>
      <c r="BD322" s="208">
        <v>0</v>
      </c>
      <c r="BE322" s="208">
        <v>0</v>
      </c>
      <c r="BF322" s="208">
        <v>-858</v>
      </c>
      <c r="BG322" s="208">
        <v>0</v>
      </c>
      <c r="BH322" s="208">
        <v>-858</v>
      </c>
      <c r="BI322" s="208">
        <v>0</v>
      </c>
      <c r="BJ322" s="208">
        <v>0</v>
      </c>
      <c r="BK322" s="208">
        <v>0</v>
      </c>
      <c r="BL322" s="208">
        <v>-4404157</v>
      </c>
      <c r="BM322" s="208">
        <v>0</v>
      </c>
      <c r="BN322" s="208">
        <v>-4404157</v>
      </c>
      <c r="BO322" s="208">
        <v>0</v>
      </c>
      <c r="BP322" s="208">
        <v>0</v>
      </c>
      <c r="BQ322" s="208">
        <v>0</v>
      </c>
      <c r="BR322" s="208">
        <v>0</v>
      </c>
      <c r="BS322" s="208">
        <v>0</v>
      </c>
      <c r="BT322" s="208">
        <v>0</v>
      </c>
      <c r="BU322" s="208">
        <v>-1918103</v>
      </c>
      <c r="BV322" s="208">
        <v>0</v>
      </c>
      <c r="BW322" s="208">
        <v>-1918103</v>
      </c>
      <c r="BX322" s="208">
        <v>-31715</v>
      </c>
      <c r="BY322" s="208">
        <v>0</v>
      </c>
      <c r="BZ322" s="208">
        <v>-31715</v>
      </c>
      <c r="CA322" s="208">
        <v>-1949818</v>
      </c>
      <c r="CB322" s="208">
        <v>0</v>
      </c>
      <c r="CC322" s="208">
        <v>-1949818</v>
      </c>
      <c r="CD322" s="208">
        <v>-342958</v>
      </c>
      <c r="CE322" s="208">
        <v>0</v>
      </c>
      <c r="CF322" s="208">
        <v>-342958</v>
      </c>
      <c r="CG322" s="208">
        <v>4845</v>
      </c>
      <c r="CH322" s="208">
        <v>0</v>
      </c>
      <c r="CI322" s="208">
        <v>4845</v>
      </c>
      <c r="CJ322" s="208">
        <v>-90662</v>
      </c>
      <c r="CK322" s="208">
        <v>0</v>
      </c>
      <c r="CL322" s="208">
        <v>-90662</v>
      </c>
      <c r="CM322" s="208">
        <v>-3541</v>
      </c>
      <c r="CN322" s="208">
        <v>0</v>
      </c>
      <c r="CO322" s="208">
        <v>-3541</v>
      </c>
      <c r="CP322" s="208">
        <v>0</v>
      </c>
      <c r="CQ322" s="208">
        <v>0</v>
      </c>
      <c r="CR322" s="208">
        <v>0</v>
      </c>
      <c r="CS322" s="208">
        <v>0</v>
      </c>
      <c r="CT322" s="208">
        <v>0</v>
      </c>
      <c r="CU322" s="208">
        <v>0</v>
      </c>
      <c r="CV322" s="208">
        <v>-858</v>
      </c>
      <c r="CW322" s="208">
        <v>0</v>
      </c>
      <c r="CX322" s="208">
        <v>-858</v>
      </c>
      <c r="CY322" s="208">
        <v>-778</v>
      </c>
      <c r="CZ322" s="208">
        <v>0</v>
      </c>
      <c r="DA322" s="208">
        <v>-778</v>
      </c>
      <c r="DB322" s="208">
        <v>0</v>
      </c>
      <c r="DC322" s="208">
        <v>0</v>
      </c>
      <c r="DD322" s="208">
        <v>0</v>
      </c>
      <c r="DE322" s="208">
        <v>0</v>
      </c>
      <c r="DF322" s="208">
        <v>0</v>
      </c>
      <c r="DG322" s="208">
        <v>0</v>
      </c>
      <c r="DH322" s="208">
        <v>-166482</v>
      </c>
      <c r="DI322" s="208">
        <v>0</v>
      </c>
      <c r="DJ322" s="208">
        <v>-166482</v>
      </c>
      <c r="DK322" s="208">
        <v>-6791</v>
      </c>
      <c r="DL322" s="208">
        <v>0</v>
      </c>
      <c r="DM322" s="208">
        <v>-6791</v>
      </c>
      <c r="DN322" s="208">
        <v>0</v>
      </c>
      <c r="DO322" s="208">
        <v>0</v>
      </c>
      <c r="DP322" s="208">
        <v>-607225</v>
      </c>
      <c r="DQ322" s="208">
        <v>0</v>
      </c>
      <c r="DR322" s="208">
        <v>-607225</v>
      </c>
      <c r="DS322" s="208">
        <v>1454</v>
      </c>
      <c r="DT322" s="208">
        <v>0</v>
      </c>
      <c r="DU322" s="208">
        <v>1454</v>
      </c>
      <c r="DV322" s="208">
        <v>0</v>
      </c>
      <c r="DW322" s="208">
        <v>0</v>
      </c>
      <c r="DX322" s="208">
        <v>0</v>
      </c>
      <c r="DY322" s="208">
        <v>0</v>
      </c>
      <c r="DZ322" s="208">
        <v>0</v>
      </c>
      <c r="EA322" s="208">
        <v>0</v>
      </c>
      <c r="EB322" s="208">
        <v>0</v>
      </c>
      <c r="EC322" s="208">
        <v>0</v>
      </c>
      <c r="ED322" s="208">
        <v>0</v>
      </c>
      <c r="EE322" s="208">
        <v>0</v>
      </c>
      <c r="EF322" s="208">
        <v>0</v>
      </c>
      <c r="EG322" s="208">
        <v>0</v>
      </c>
      <c r="EH322" s="208">
        <v>0</v>
      </c>
      <c r="EI322" s="208">
        <v>0</v>
      </c>
      <c r="EJ322" s="208">
        <v>0</v>
      </c>
      <c r="EK322" s="208">
        <v>0</v>
      </c>
      <c r="EL322" s="208">
        <v>0</v>
      </c>
      <c r="EM322" s="208">
        <v>0</v>
      </c>
      <c r="EN322" s="208">
        <v>0</v>
      </c>
      <c r="EO322" s="208">
        <v>0</v>
      </c>
      <c r="EP322" s="208">
        <v>0</v>
      </c>
      <c r="EQ322" s="208">
        <v>0</v>
      </c>
      <c r="ER322" s="208">
        <v>0</v>
      </c>
      <c r="ES322" s="208">
        <v>0</v>
      </c>
      <c r="ET322" s="208">
        <v>0</v>
      </c>
      <c r="EU322" s="208">
        <v>0</v>
      </c>
      <c r="EV322" s="208">
        <v>0</v>
      </c>
      <c r="EW322" s="208">
        <v>-14322</v>
      </c>
      <c r="EX322" s="208">
        <v>0</v>
      </c>
      <c r="EY322" s="208">
        <v>-14322</v>
      </c>
      <c r="EZ322" s="208">
        <v>2070</v>
      </c>
      <c r="FA322" s="208">
        <v>0</v>
      </c>
      <c r="FB322" s="208">
        <v>2070</v>
      </c>
      <c r="FC322" s="208">
        <v>-129047</v>
      </c>
      <c r="FD322" s="208">
        <v>0</v>
      </c>
      <c r="FE322" s="208">
        <v>-129047</v>
      </c>
      <c r="FF322" s="208">
        <v>0</v>
      </c>
      <c r="FG322" s="208">
        <v>0</v>
      </c>
      <c r="FH322" s="208">
        <v>0</v>
      </c>
      <c r="FI322" s="208">
        <v>-13792</v>
      </c>
      <c r="FJ322" s="208">
        <v>0</v>
      </c>
      <c r="FK322" s="208">
        <v>-13792</v>
      </c>
      <c r="FL322" s="208">
        <v>0</v>
      </c>
      <c r="FM322" s="208">
        <v>0</v>
      </c>
      <c r="FN322" s="208">
        <v>0</v>
      </c>
      <c r="FO322" s="208">
        <v>0</v>
      </c>
      <c r="FP322" s="208">
        <v>0</v>
      </c>
      <c r="FQ322" s="208">
        <v>0</v>
      </c>
      <c r="FR322" s="208">
        <v>0</v>
      </c>
      <c r="FS322" s="208">
        <v>0</v>
      </c>
      <c r="FT322" s="208">
        <v>0</v>
      </c>
      <c r="FU322" s="208">
        <v>-153637</v>
      </c>
      <c r="FV322" s="208">
        <v>0</v>
      </c>
      <c r="FW322" s="208">
        <v>-153637</v>
      </c>
      <c r="FX322" s="208">
        <v>0</v>
      </c>
      <c r="FY322" s="208">
        <v>0</v>
      </c>
      <c r="FZ322" s="208">
        <v>0</v>
      </c>
      <c r="GA322" s="208">
        <v>7722</v>
      </c>
      <c r="GB322" s="208">
        <v>0</v>
      </c>
      <c r="GC322" s="208">
        <v>7722</v>
      </c>
      <c r="GD322" s="208">
        <v>7722</v>
      </c>
      <c r="GE322" s="208">
        <v>0</v>
      </c>
      <c r="GF322" s="208">
        <v>7722</v>
      </c>
      <c r="GG322" s="208">
        <v>55045726</v>
      </c>
      <c r="GH322" s="208">
        <v>0</v>
      </c>
      <c r="GI322" s="208">
        <v>55045726</v>
      </c>
      <c r="GJ322" s="208">
        <v>127090</v>
      </c>
      <c r="GK322" s="208">
        <v>0</v>
      </c>
      <c r="GL322" s="208">
        <v>127090</v>
      </c>
      <c r="GM322" s="208">
        <v>-4404157</v>
      </c>
      <c r="GN322" s="208">
        <v>0</v>
      </c>
      <c r="GO322" s="208">
        <v>-4404157</v>
      </c>
      <c r="GP322" s="208">
        <v>-1949818</v>
      </c>
      <c r="GQ322" s="208">
        <v>0</v>
      </c>
      <c r="GR322" s="208">
        <v>-1949818</v>
      </c>
      <c r="GS322" s="208">
        <v>-607225</v>
      </c>
      <c r="GT322" s="208">
        <v>0</v>
      </c>
      <c r="GU322" s="208">
        <v>-607225</v>
      </c>
      <c r="GV322" s="208">
        <v>-153637</v>
      </c>
      <c r="GW322" s="208">
        <v>0</v>
      </c>
      <c r="GX322" s="208">
        <v>-153637</v>
      </c>
      <c r="GY322" s="208">
        <v>7722</v>
      </c>
      <c r="GZ322" s="208">
        <v>0</v>
      </c>
      <c r="HA322" s="208">
        <v>7722</v>
      </c>
      <c r="HB322" s="208">
        <v>-6980025</v>
      </c>
      <c r="HC322" s="208">
        <v>0</v>
      </c>
      <c r="HD322" s="208">
        <v>-6980025</v>
      </c>
      <c r="HE322" s="208">
        <v>48065701</v>
      </c>
      <c r="HF322" s="208">
        <v>0</v>
      </c>
      <c r="HG322" s="208">
        <v>48065701</v>
      </c>
      <c r="HH322" s="187" t="s">
        <v>1054</v>
      </c>
    </row>
    <row r="323" spans="1:216" s="187" customFormat="1" x14ac:dyDescent="0.2">
      <c r="B323" s="429" t="s">
        <v>724</v>
      </c>
      <c r="C323" s="429" t="s">
        <v>723</v>
      </c>
      <c r="D323" s="208">
        <v>-2362860</v>
      </c>
      <c r="E323" s="208">
        <v>0</v>
      </c>
      <c r="F323" s="208">
        <v>-2362860</v>
      </c>
      <c r="G323" s="208">
        <v>1222417</v>
      </c>
      <c r="H323" s="208">
        <v>0</v>
      </c>
      <c r="I323" s="208">
        <v>1222417</v>
      </c>
      <c r="J323" s="208">
        <v>387021</v>
      </c>
      <c r="K323" s="208">
        <v>0</v>
      </c>
      <c r="L323" s="208">
        <v>387021</v>
      </c>
      <c r="M323" s="208">
        <v>-61763</v>
      </c>
      <c r="N323" s="208">
        <v>0</v>
      </c>
      <c r="O323" s="208">
        <v>-61763</v>
      </c>
      <c r="P323" s="208">
        <v>-815185</v>
      </c>
      <c r="Q323" s="208">
        <v>0</v>
      </c>
      <c r="R323" s="208">
        <v>-815185</v>
      </c>
      <c r="S323" s="208">
        <v>-3197629</v>
      </c>
      <c r="T323" s="208">
        <v>0</v>
      </c>
      <c r="U323" s="208">
        <v>-3197629</v>
      </c>
      <c r="V323" s="208">
        <v>-8971</v>
      </c>
      <c r="W323" s="208">
        <v>0</v>
      </c>
      <c r="X323" s="208">
        <v>-8971</v>
      </c>
      <c r="Y323" s="208">
        <v>-179651</v>
      </c>
      <c r="Z323" s="208">
        <v>0</v>
      </c>
      <c r="AA323" s="208">
        <v>-179651</v>
      </c>
      <c r="AB323" s="208">
        <v>-49565</v>
      </c>
      <c r="AC323" s="208">
        <v>0</v>
      </c>
      <c r="AD323" s="208">
        <v>-49565</v>
      </c>
      <c r="AE323" s="208">
        <v>-123600</v>
      </c>
      <c r="AF323" s="208">
        <v>0</v>
      </c>
      <c r="AG323" s="208">
        <v>-123600</v>
      </c>
      <c r="AH323" s="208">
        <v>0</v>
      </c>
      <c r="AI323" s="208">
        <v>0</v>
      </c>
      <c r="AJ323" s="208">
        <v>0</v>
      </c>
      <c r="AK323" s="208">
        <v>53</v>
      </c>
      <c r="AL323" s="208">
        <v>0</v>
      </c>
      <c r="AM323" s="208">
        <v>53</v>
      </c>
      <c r="AN323" s="208">
        <v>1813897</v>
      </c>
      <c r="AO323" s="208">
        <v>0</v>
      </c>
      <c r="AP323" s="208">
        <v>1813897</v>
      </c>
      <c r="AQ323" s="208">
        <v>45630</v>
      </c>
      <c r="AR323" s="208">
        <v>0</v>
      </c>
      <c r="AS323" s="208">
        <v>45630</v>
      </c>
      <c r="AT323" s="208">
        <v>-6906653</v>
      </c>
      <c r="AU323" s="208">
        <v>0</v>
      </c>
      <c r="AV323" s="208">
        <v>-6906653</v>
      </c>
      <c r="AW323" s="208">
        <v>-206776</v>
      </c>
      <c r="AX323" s="208">
        <v>0</v>
      </c>
      <c r="AY323" s="208">
        <v>-206776</v>
      </c>
      <c r="AZ323" s="208">
        <v>-63862</v>
      </c>
      <c r="BA323" s="208">
        <v>0</v>
      </c>
      <c r="BB323" s="208">
        <v>-63862</v>
      </c>
      <c r="BC323" s="208">
        <v>0</v>
      </c>
      <c r="BD323" s="208">
        <v>0</v>
      </c>
      <c r="BE323" s="208">
        <v>0</v>
      </c>
      <c r="BF323" s="208">
        <v>-2294</v>
      </c>
      <c r="BG323" s="208">
        <v>0</v>
      </c>
      <c r="BH323" s="208">
        <v>-2294</v>
      </c>
      <c r="BI323" s="208">
        <v>0</v>
      </c>
      <c r="BJ323" s="208">
        <v>0</v>
      </c>
      <c r="BK323" s="208">
        <v>0</v>
      </c>
      <c r="BL323" s="208">
        <v>-8697338</v>
      </c>
      <c r="BM323" s="208">
        <v>0</v>
      </c>
      <c r="BN323" s="208">
        <v>-8697338</v>
      </c>
      <c r="BO323" s="208">
        <v>-170212</v>
      </c>
      <c r="BP323" s="208">
        <v>0</v>
      </c>
      <c r="BQ323" s="208">
        <v>-170212</v>
      </c>
      <c r="BR323" s="208">
        <v>19189</v>
      </c>
      <c r="BS323" s="208">
        <v>0</v>
      </c>
      <c r="BT323" s="208">
        <v>19189</v>
      </c>
      <c r="BU323" s="208">
        <v>-3971945</v>
      </c>
      <c r="BV323" s="208">
        <v>0</v>
      </c>
      <c r="BW323" s="208">
        <v>-3971945</v>
      </c>
      <c r="BX323" s="208">
        <v>-90786</v>
      </c>
      <c r="BY323" s="208">
        <v>0</v>
      </c>
      <c r="BZ323" s="208">
        <v>-90786</v>
      </c>
      <c r="CA323" s="208">
        <v>-4213754</v>
      </c>
      <c r="CB323" s="208">
        <v>0</v>
      </c>
      <c r="CC323" s="208">
        <v>-4213754</v>
      </c>
      <c r="CD323" s="208">
        <v>-1386</v>
      </c>
      <c r="CE323" s="208">
        <v>0</v>
      </c>
      <c r="CF323" s="208">
        <v>-1386</v>
      </c>
      <c r="CG323" s="208">
        <v>2107</v>
      </c>
      <c r="CH323" s="208">
        <v>0</v>
      </c>
      <c r="CI323" s="208">
        <v>2107</v>
      </c>
      <c r="CJ323" s="208">
        <v>-41044</v>
      </c>
      <c r="CK323" s="208">
        <v>0</v>
      </c>
      <c r="CL323" s="208">
        <v>-41044</v>
      </c>
      <c r="CM323" s="208">
        <v>-2241</v>
      </c>
      <c r="CN323" s="208">
        <v>0</v>
      </c>
      <c r="CO323" s="208">
        <v>-2241</v>
      </c>
      <c r="CP323" s="208">
        <v>-449</v>
      </c>
      <c r="CQ323" s="208">
        <v>0</v>
      </c>
      <c r="CR323" s="208">
        <v>-449</v>
      </c>
      <c r="CS323" s="208">
        <v>0</v>
      </c>
      <c r="CT323" s="208">
        <v>0</v>
      </c>
      <c r="CU323" s="208">
        <v>0</v>
      </c>
      <c r="CV323" s="208">
        <v>0</v>
      </c>
      <c r="CW323" s="208">
        <v>0</v>
      </c>
      <c r="CX323" s="208">
        <v>0</v>
      </c>
      <c r="CY323" s="208">
        <v>0</v>
      </c>
      <c r="CZ323" s="208">
        <v>0</v>
      </c>
      <c r="DA323" s="208">
        <v>0</v>
      </c>
      <c r="DB323" s="208">
        <v>0</v>
      </c>
      <c r="DC323" s="208">
        <v>0</v>
      </c>
      <c r="DD323" s="208">
        <v>0</v>
      </c>
      <c r="DE323" s="208">
        <v>0</v>
      </c>
      <c r="DF323" s="208">
        <v>0</v>
      </c>
      <c r="DG323" s="208">
        <v>0</v>
      </c>
      <c r="DH323" s="208">
        <v>-21428</v>
      </c>
      <c r="DI323" s="208">
        <v>0</v>
      </c>
      <c r="DJ323" s="208">
        <v>-21428</v>
      </c>
      <c r="DK323" s="208">
        <v>-24659</v>
      </c>
      <c r="DL323" s="208">
        <v>0</v>
      </c>
      <c r="DM323" s="208">
        <v>-24659</v>
      </c>
      <c r="DN323" s="208">
        <v>0</v>
      </c>
      <c r="DO323" s="208">
        <v>0</v>
      </c>
      <c r="DP323" s="208">
        <v>-89100</v>
      </c>
      <c r="DQ323" s="208">
        <v>0</v>
      </c>
      <c r="DR323" s="208">
        <v>-89100</v>
      </c>
      <c r="DS323" s="208">
        <v>21968</v>
      </c>
      <c r="DT323" s="208">
        <v>0</v>
      </c>
      <c r="DU323" s="208">
        <v>21968</v>
      </c>
      <c r="DV323" s="208">
        <v>237</v>
      </c>
      <c r="DW323" s="208">
        <v>0</v>
      </c>
      <c r="DX323" s="208">
        <v>237</v>
      </c>
      <c r="DY323" s="208">
        <v>2094</v>
      </c>
      <c r="DZ323" s="208">
        <v>0</v>
      </c>
      <c r="EA323" s="208">
        <v>2094</v>
      </c>
      <c r="EB323" s="208">
        <v>0</v>
      </c>
      <c r="EC323" s="208">
        <v>0</v>
      </c>
      <c r="ED323" s="208">
        <v>0</v>
      </c>
      <c r="EE323" s="208">
        <v>0</v>
      </c>
      <c r="EF323" s="208">
        <v>0</v>
      </c>
      <c r="EG323" s="208">
        <v>0</v>
      </c>
      <c r="EH323" s="208">
        <v>0</v>
      </c>
      <c r="EI323" s="208">
        <v>0</v>
      </c>
      <c r="EJ323" s="208">
        <v>0</v>
      </c>
      <c r="EK323" s="208">
        <v>-2294</v>
      </c>
      <c r="EL323" s="208">
        <v>0</v>
      </c>
      <c r="EM323" s="208">
        <v>-2294</v>
      </c>
      <c r="EN323" s="208">
        <v>0</v>
      </c>
      <c r="EO323" s="208">
        <v>0</v>
      </c>
      <c r="EP323" s="208">
        <v>0</v>
      </c>
      <c r="EQ323" s="208">
        <v>0</v>
      </c>
      <c r="ER323" s="208">
        <v>0</v>
      </c>
      <c r="ES323" s="208">
        <v>0</v>
      </c>
      <c r="ET323" s="208">
        <v>0</v>
      </c>
      <c r="EU323" s="208">
        <v>0</v>
      </c>
      <c r="EV323" s="208">
        <v>0</v>
      </c>
      <c r="EW323" s="208">
        <v>-32667</v>
      </c>
      <c r="EX323" s="208">
        <v>0</v>
      </c>
      <c r="EY323" s="208">
        <v>-32667</v>
      </c>
      <c r="EZ323" s="208">
        <v>503</v>
      </c>
      <c r="FA323" s="208">
        <v>0</v>
      </c>
      <c r="FB323" s="208">
        <v>503</v>
      </c>
      <c r="FC323" s="208">
        <v>-189320</v>
      </c>
      <c r="FD323" s="208">
        <v>0</v>
      </c>
      <c r="FE323" s="208">
        <v>-189320</v>
      </c>
      <c r="FF323" s="208">
        <v>-71933</v>
      </c>
      <c r="FG323" s="208">
        <v>0</v>
      </c>
      <c r="FH323" s="208">
        <v>-71933</v>
      </c>
      <c r="FI323" s="208">
        <v>-24230</v>
      </c>
      <c r="FJ323" s="208">
        <v>0</v>
      </c>
      <c r="FK323" s="208">
        <v>-24230</v>
      </c>
      <c r="FL323" s="208">
        <v>1177</v>
      </c>
      <c r="FM323" s="208">
        <v>0</v>
      </c>
      <c r="FN323" s="208">
        <v>1177</v>
      </c>
      <c r="FO323" s="208">
        <v>0</v>
      </c>
      <c r="FP323" s="208">
        <v>0</v>
      </c>
      <c r="FQ323" s="208">
        <v>0</v>
      </c>
      <c r="FR323" s="208">
        <v>0</v>
      </c>
      <c r="FS323" s="208">
        <v>0</v>
      </c>
      <c r="FT323" s="208">
        <v>0</v>
      </c>
      <c r="FU323" s="208">
        <v>-294465</v>
      </c>
      <c r="FV323" s="208">
        <v>0</v>
      </c>
      <c r="FW323" s="208">
        <v>-294465</v>
      </c>
      <c r="FX323" s="208">
        <v>0</v>
      </c>
      <c r="FY323" s="208">
        <v>0</v>
      </c>
      <c r="FZ323" s="208">
        <v>0</v>
      </c>
      <c r="GA323" s="208">
        <v>0</v>
      </c>
      <c r="GB323" s="208">
        <v>0</v>
      </c>
      <c r="GC323" s="208">
        <v>0</v>
      </c>
      <c r="GD323" s="208">
        <v>0</v>
      </c>
      <c r="GE323" s="208">
        <v>0</v>
      </c>
      <c r="GF323" s="208">
        <v>0</v>
      </c>
      <c r="GG323" s="208">
        <v>84328767</v>
      </c>
      <c r="GH323" s="208">
        <v>0</v>
      </c>
      <c r="GI323" s="208">
        <v>84328767</v>
      </c>
      <c r="GJ323" s="208">
        <v>-815185</v>
      </c>
      <c r="GK323" s="208">
        <v>0</v>
      </c>
      <c r="GL323" s="208">
        <v>-815185</v>
      </c>
      <c r="GM323" s="208">
        <v>-8697338</v>
      </c>
      <c r="GN323" s="208">
        <v>0</v>
      </c>
      <c r="GO323" s="208">
        <v>-8697338</v>
      </c>
      <c r="GP323" s="208">
        <v>-4213754</v>
      </c>
      <c r="GQ323" s="208">
        <v>0</v>
      </c>
      <c r="GR323" s="208">
        <v>-4213754</v>
      </c>
      <c r="GS323" s="208">
        <v>-89100</v>
      </c>
      <c r="GT323" s="208">
        <v>0</v>
      </c>
      <c r="GU323" s="208">
        <v>-89100</v>
      </c>
      <c r="GV323" s="208">
        <v>-294465</v>
      </c>
      <c r="GW323" s="208">
        <v>0</v>
      </c>
      <c r="GX323" s="208">
        <v>-294465</v>
      </c>
      <c r="GY323" s="208">
        <v>0</v>
      </c>
      <c r="GZ323" s="208">
        <v>0</v>
      </c>
      <c r="HA323" s="208">
        <v>0</v>
      </c>
      <c r="HB323" s="208">
        <v>-14109842</v>
      </c>
      <c r="HC323" s="208">
        <v>0</v>
      </c>
      <c r="HD323" s="208">
        <v>-14109842</v>
      </c>
      <c r="HE323" s="208">
        <v>70218925</v>
      </c>
      <c r="HF323" s="208">
        <v>0</v>
      </c>
      <c r="HG323" s="208">
        <v>70218925</v>
      </c>
      <c r="HH323" s="187" t="s">
        <v>742</v>
      </c>
    </row>
    <row r="324" spans="1:216" s="187" customFormat="1" x14ac:dyDescent="0.2">
      <c r="B324" s="429" t="s">
        <v>726</v>
      </c>
      <c r="C324" s="429" t="s">
        <v>725</v>
      </c>
      <c r="D324" s="208">
        <v>-1493696</v>
      </c>
      <c r="E324" s="208">
        <v>0</v>
      </c>
      <c r="F324" s="208">
        <v>-1493696</v>
      </c>
      <c r="G324" s="208">
        <v>20201</v>
      </c>
      <c r="H324" s="208">
        <v>0</v>
      </c>
      <c r="I324" s="208">
        <v>20201</v>
      </c>
      <c r="J324" s="208">
        <v>1662167</v>
      </c>
      <c r="K324" s="208">
        <v>0</v>
      </c>
      <c r="L324" s="208">
        <v>1662167</v>
      </c>
      <c r="M324" s="208">
        <v>-80144</v>
      </c>
      <c r="N324" s="208">
        <v>0</v>
      </c>
      <c r="O324" s="208">
        <v>-80144</v>
      </c>
      <c r="P324" s="208">
        <v>108528</v>
      </c>
      <c r="Q324" s="208">
        <v>0</v>
      </c>
      <c r="R324" s="208">
        <v>108528</v>
      </c>
      <c r="S324" s="208">
        <v>-9169250</v>
      </c>
      <c r="T324" s="208">
        <v>0</v>
      </c>
      <c r="U324" s="208">
        <v>-9169250</v>
      </c>
      <c r="V324" s="208">
        <v>-25390</v>
      </c>
      <c r="W324" s="208">
        <v>0</v>
      </c>
      <c r="X324" s="208">
        <v>-25390</v>
      </c>
      <c r="Y324" s="208">
        <v>-311072</v>
      </c>
      <c r="Z324" s="208">
        <v>0</v>
      </c>
      <c r="AA324" s="208">
        <v>-311072</v>
      </c>
      <c r="AB324" s="208">
        <v>-67330</v>
      </c>
      <c r="AC324" s="208">
        <v>0</v>
      </c>
      <c r="AD324" s="208">
        <v>-67330</v>
      </c>
      <c r="AE324" s="208">
        <v>-218182</v>
      </c>
      <c r="AF324" s="208">
        <v>0</v>
      </c>
      <c r="AG324" s="208">
        <v>-218182</v>
      </c>
      <c r="AH324" s="208">
        <v>-4182</v>
      </c>
      <c r="AI324" s="208">
        <v>0</v>
      </c>
      <c r="AJ324" s="208">
        <v>-4182</v>
      </c>
      <c r="AK324" s="208">
        <v>-7963</v>
      </c>
      <c r="AL324" s="208">
        <v>0</v>
      </c>
      <c r="AM324" s="208">
        <v>-7963</v>
      </c>
      <c r="AN324" s="208">
        <v>1719416</v>
      </c>
      <c r="AO324" s="208">
        <v>0</v>
      </c>
      <c r="AP324" s="208">
        <v>1719416</v>
      </c>
      <c r="AQ324" s="208">
        <v>43381</v>
      </c>
      <c r="AR324" s="208">
        <v>0</v>
      </c>
      <c r="AS324" s="208">
        <v>43381</v>
      </c>
      <c r="AT324" s="208">
        <v>-6496293</v>
      </c>
      <c r="AU324" s="208">
        <v>0</v>
      </c>
      <c r="AV324" s="208">
        <v>-6496293</v>
      </c>
      <c r="AW324" s="208">
        <v>-51701</v>
      </c>
      <c r="AX324" s="208">
        <v>0</v>
      </c>
      <c r="AY324" s="208">
        <v>-51701</v>
      </c>
      <c r="AZ324" s="208">
        <v>-12582</v>
      </c>
      <c r="BA324" s="208">
        <v>0</v>
      </c>
      <c r="BB324" s="208">
        <v>-12582</v>
      </c>
      <c r="BC324" s="208">
        <v>0</v>
      </c>
      <c r="BD324" s="208">
        <v>0</v>
      </c>
      <c r="BE324" s="208">
        <v>0</v>
      </c>
      <c r="BF324" s="208">
        <v>0</v>
      </c>
      <c r="BG324" s="208">
        <v>0</v>
      </c>
      <c r="BH324" s="208">
        <v>0</v>
      </c>
      <c r="BI324" s="208">
        <v>0</v>
      </c>
      <c r="BJ324" s="208">
        <v>0</v>
      </c>
      <c r="BK324" s="208">
        <v>0</v>
      </c>
      <c r="BL324" s="208">
        <v>-14278101</v>
      </c>
      <c r="BM324" s="208">
        <v>0</v>
      </c>
      <c r="BN324" s="208">
        <v>-14278101</v>
      </c>
      <c r="BO324" s="208">
        <v>0</v>
      </c>
      <c r="BP324" s="208">
        <v>0</v>
      </c>
      <c r="BQ324" s="208">
        <v>0</v>
      </c>
      <c r="BR324" s="208">
        <v>-40105</v>
      </c>
      <c r="BS324" s="208">
        <v>0</v>
      </c>
      <c r="BT324" s="208">
        <v>-40105</v>
      </c>
      <c r="BU324" s="208">
        <v>-3271927</v>
      </c>
      <c r="BV324" s="208">
        <v>0</v>
      </c>
      <c r="BW324" s="208">
        <v>-3271927</v>
      </c>
      <c r="BX324" s="208">
        <v>-290319</v>
      </c>
      <c r="BY324" s="208">
        <v>0</v>
      </c>
      <c r="BZ324" s="208">
        <v>-290319</v>
      </c>
      <c r="CA324" s="208">
        <v>-3602351</v>
      </c>
      <c r="CB324" s="208">
        <v>0</v>
      </c>
      <c r="CC324" s="208">
        <v>-3602351</v>
      </c>
      <c r="CD324" s="208">
        <v>-243960</v>
      </c>
      <c r="CE324" s="208">
        <v>0</v>
      </c>
      <c r="CF324" s="208">
        <v>-243960</v>
      </c>
      <c r="CG324" s="208">
        <v>1194</v>
      </c>
      <c r="CH324" s="208">
        <v>0</v>
      </c>
      <c r="CI324" s="208">
        <v>1194</v>
      </c>
      <c r="CJ324" s="208">
        <v>-361987</v>
      </c>
      <c r="CK324" s="208">
        <v>0</v>
      </c>
      <c r="CL324" s="208">
        <v>-361987</v>
      </c>
      <c r="CM324" s="208">
        <v>31934</v>
      </c>
      <c r="CN324" s="208">
        <v>0</v>
      </c>
      <c r="CO324" s="208">
        <v>31934</v>
      </c>
      <c r="CP324" s="208">
        <v>-1670</v>
      </c>
      <c r="CQ324" s="208">
        <v>0</v>
      </c>
      <c r="CR324" s="208">
        <v>-1670</v>
      </c>
      <c r="CS324" s="208">
        <v>0</v>
      </c>
      <c r="CT324" s="208">
        <v>0</v>
      </c>
      <c r="CU324" s="208">
        <v>0</v>
      </c>
      <c r="CV324" s="208">
        <v>0</v>
      </c>
      <c r="CW324" s="208">
        <v>0</v>
      </c>
      <c r="CX324" s="208">
        <v>0</v>
      </c>
      <c r="CY324" s="208">
        <v>0</v>
      </c>
      <c r="CZ324" s="208">
        <v>0</v>
      </c>
      <c r="DA324" s="208">
        <v>0</v>
      </c>
      <c r="DB324" s="208">
        <v>0</v>
      </c>
      <c r="DC324" s="208">
        <v>0</v>
      </c>
      <c r="DD324" s="208">
        <v>0</v>
      </c>
      <c r="DE324" s="208">
        <v>0</v>
      </c>
      <c r="DF324" s="208">
        <v>0</v>
      </c>
      <c r="DG324" s="208">
        <v>0</v>
      </c>
      <c r="DH324" s="208">
        <v>0</v>
      </c>
      <c r="DI324" s="208">
        <v>-8520</v>
      </c>
      <c r="DJ324" s="208">
        <v>-8520</v>
      </c>
      <c r="DK324" s="208">
        <v>0</v>
      </c>
      <c r="DL324" s="208">
        <v>0</v>
      </c>
      <c r="DM324" s="208">
        <v>0</v>
      </c>
      <c r="DN324" s="208">
        <v>-8520</v>
      </c>
      <c r="DO324" s="208">
        <v>0</v>
      </c>
      <c r="DP324" s="208">
        <v>-574489</v>
      </c>
      <c r="DQ324" s="208">
        <v>-8520</v>
      </c>
      <c r="DR324" s="208">
        <v>-583009</v>
      </c>
      <c r="DS324" s="208">
        <v>1087</v>
      </c>
      <c r="DT324" s="208">
        <v>0</v>
      </c>
      <c r="DU324" s="208">
        <v>1087</v>
      </c>
      <c r="DV324" s="208">
        <v>0</v>
      </c>
      <c r="DW324" s="208">
        <v>0</v>
      </c>
      <c r="DX324" s="208">
        <v>0</v>
      </c>
      <c r="DY324" s="208">
        <v>2276</v>
      </c>
      <c r="DZ324" s="208">
        <v>0</v>
      </c>
      <c r="EA324" s="208">
        <v>2276</v>
      </c>
      <c r="EB324" s="208">
        <v>0</v>
      </c>
      <c r="EC324" s="208">
        <v>0</v>
      </c>
      <c r="ED324" s="208">
        <v>0</v>
      </c>
      <c r="EE324" s="208">
        <v>0</v>
      </c>
      <c r="EF324" s="208">
        <v>0</v>
      </c>
      <c r="EG324" s="208">
        <v>0</v>
      </c>
      <c r="EH324" s="208">
        <v>0</v>
      </c>
      <c r="EI324" s="208">
        <v>0</v>
      </c>
      <c r="EJ324" s="208">
        <v>0</v>
      </c>
      <c r="EK324" s="208">
        <v>0</v>
      </c>
      <c r="EL324" s="208">
        <v>0</v>
      </c>
      <c r="EM324" s="208">
        <v>0</v>
      </c>
      <c r="EN324" s="208">
        <v>0</v>
      </c>
      <c r="EO324" s="208">
        <v>0</v>
      </c>
      <c r="EP324" s="208">
        <v>0</v>
      </c>
      <c r="EQ324" s="208">
        <v>-1500</v>
      </c>
      <c r="ER324" s="208">
        <v>0</v>
      </c>
      <c r="ES324" s="208">
        <v>-1500</v>
      </c>
      <c r="ET324" s="208">
        <v>0</v>
      </c>
      <c r="EU324" s="208">
        <v>0</v>
      </c>
      <c r="EV324" s="208">
        <v>0</v>
      </c>
      <c r="EW324" s="208">
        <v>-30440</v>
      </c>
      <c r="EX324" s="208">
        <v>0</v>
      </c>
      <c r="EY324" s="208">
        <v>-30440</v>
      </c>
      <c r="EZ324" s="208">
        <v>345</v>
      </c>
      <c r="FA324" s="208">
        <v>0</v>
      </c>
      <c r="FB324" s="208">
        <v>345</v>
      </c>
      <c r="FC324" s="208">
        <v>-165665</v>
      </c>
      <c r="FD324" s="208">
        <v>0</v>
      </c>
      <c r="FE324" s="208">
        <v>-165665</v>
      </c>
      <c r="FF324" s="208">
        <v>23368</v>
      </c>
      <c r="FG324" s="208">
        <v>0</v>
      </c>
      <c r="FH324" s="208">
        <v>23368</v>
      </c>
      <c r="FI324" s="208">
        <v>-30205</v>
      </c>
      <c r="FJ324" s="208">
        <v>0</v>
      </c>
      <c r="FK324" s="208">
        <v>-30205</v>
      </c>
      <c r="FL324" s="208">
        <v>-995</v>
      </c>
      <c r="FM324" s="208">
        <v>0</v>
      </c>
      <c r="FN324" s="208">
        <v>-995</v>
      </c>
      <c r="FO324" s="208">
        <v>0</v>
      </c>
      <c r="FP324" s="208">
        <v>0</v>
      </c>
      <c r="FQ324" s="208">
        <v>0</v>
      </c>
      <c r="FR324" s="208">
        <v>0</v>
      </c>
      <c r="FS324" s="208">
        <v>0</v>
      </c>
      <c r="FT324" s="208">
        <v>0</v>
      </c>
      <c r="FU324" s="208">
        <v>-201729</v>
      </c>
      <c r="FV324" s="208">
        <v>0</v>
      </c>
      <c r="FW324" s="208">
        <v>-201729</v>
      </c>
      <c r="FX324" s="208">
        <v>0</v>
      </c>
      <c r="FY324" s="208">
        <v>0</v>
      </c>
      <c r="FZ324" s="208">
        <v>0</v>
      </c>
      <c r="GA324" s="208">
        <v>0</v>
      </c>
      <c r="GB324" s="208">
        <v>0</v>
      </c>
      <c r="GC324" s="208">
        <v>0</v>
      </c>
      <c r="GD324" s="208">
        <v>0</v>
      </c>
      <c r="GE324" s="208">
        <v>0</v>
      </c>
      <c r="GF324" s="208">
        <v>0</v>
      </c>
      <c r="GG324" s="208">
        <v>90519221</v>
      </c>
      <c r="GH324" s="208">
        <v>192810</v>
      </c>
      <c r="GI324" s="208">
        <v>90712031</v>
      </c>
      <c r="GJ324" s="208">
        <v>108528</v>
      </c>
      <c r="GK324" s="208">
        <v>0</v>
      </c>
      <c r="GL324" s="208">
        <v>108528</v>
      </c>
      <c r="GM324" s="208">
        <v>-14278101</v>
      </c>
      <c r="GN324" s="208">
        <v>0</v>
      </c>
      <c r="GO324" s="208">
        <v>-14278101</v>
      </c>
      <c r="GP324" s="208">
        <v>-3602351</v>
      </c>
      <c r="GQ324" s="208">
        <v>0</v>
      </c>
      <c r="GR324" s="208">
        <v>-3602351</v>
      </c>
      <c r="GS324" s="208">
        <v>-574489</v>
      </c>
      <c r="GT324" s="208">
        <v>-8520</v>
      </c>
      <c r="GU324" s="208">
        <v>-583009</v>
      </c>
      <c r="GV324" s="208">
        <v>-201729</v>
      </c>
      <c r="GW324" s="208">
        <v>0</v>
      </c>
      <c r="GX324" s="208">
        <v>-201729</v>
      </c>
      <c r="GY324" s="208">
        <v>0</v>
      </c>
      <c r="GZ324" s="208">
        <v>0</v>
      </c>
      <c r="HA324" s="208">
        <v>0</v>
      </c>
      <c r="HB324" s="208">
        <v>-18548142</v>
      </c>
      <c r="HC324" s="208">
        <v>-8520</v>
      </c>
      <c r="HD324" s="208">
        <v>-18556662</v>
      </c>
      <c r="HE324" s="208">
        <v>71971079</v>
      </c>
      <c r="HF324" s="208">
        <v>184290</v>
      </c>
      <c r="HG324" s="208">
        <v>72155369</v>
      </c>
      <c r="HH324" s="187" t="s">
        <v>1056</v>
      </c>
    </row>
    <row r="325" spans="1:216" s="187" customFormat="1" x14ac:dyDescent="0.2">
      <c r="B325" s="429" t="s">
        <v>728</v>
      </c>
      <c r="C325" s="429" t="s">
        <v>727</v>
      </c>
      <c r="D325" s="208">
        <v>-754938</v>
      </c>
      <c r="E325" s="208">
        <v>0</v>
      </c>
      <c r="F325" s="208">
        <v>-754938</v>
      </c>
      <c r="G325" s="208">
        <v>15811</v>
      </c>
      <c r="H325" s="208">
        <v>0</v>
      </c>
      <c r="I325" s="208">
        <v>15811</v>
      </c>
      <c r="J325" s="208">
        <v>1463409</v>
      </c>
      <c r="K325" s="208">
        <v>0</v>
      </c>
      <c r="L325" s="208">
        <v>1463409</v>
      </c>
      <c r="M325" s="208">
        <v>742</v>
      </c>
      <c r="N325" s="208">
        <v>0</v>
      </c>
      <c r="O325" s="208">
        <v>742</v>
      </c>
      <c r="P325" s="208">
        <v>725024</v>
      </c>
      <c r="Q325" s="208">
        <v>0</v>
      </c>
      <c r="R325" s="208">
        <v>725024</v>
      </c>
      <c r="S325" s="208">
        <v>-3192524</v>
      </c>
      <c r="T325" s="208">
        <v>0</v>
      </c>
      <c r="U325" s="208">
        <v>-3192524</v>
      </c>
      <c r="V325" s="208">
        <v>0</v>
      </c>
      <c r="W325" s="208">
        <v>0</v>
      </c>
      <c r="X325" s="208">
        <v>0</v>
      </c>
      <c r="Y325" s="208">
        <v>-102163</v>
      </c>
      <c r="Z325" s="208">
        <v>0</v>
      </c>
      <c r="AA325" s="208">
        <v>-102163</v>
      </c>
      <c r="AB325" s="208">
        <v>-22350</v>
      </c>
      <c r="AC325" s="208">
        <v>0</v>
      </c>
      <c r="AD325" s="208">
        <v>-22350</v>
      </c>
      <c r="AE325" s="208">
        <v>-73574</v>
      </c>
      <c r="AF325" s="208">
        <v>0</v>
      </c>
      <c r="AG325" s="208">
        <v>-73574</v>
      </c>
      <c r="AH325" s="208">
        <v>0</v>
      </c>
      <c r="AI325" s="208">
        <v>0</v>
      </c>
      <c r="AJ325" s="208">
        <v>0</v>
      </c>
      <c r="AK325" s="208">
        <v>0</v>
      </c>
      <c r="AL325" s="208">
        <v>0</v>
      </c>
      <c r="AM325" s="208">
        <v>0</v>
      </c>
      <c r="AN325" s="208">
        <v>1031689</v>
      </c>
      <c r="AO325" s="208">
        <v>0</v>
      </c>
      <c r="AP325" s="208">
        <v>1031689</v>
      </c>
      <c r="AQ325" s="208">
        <v>-5131</v>
      </c>
      <c r="AR325" s="208">
        <v>0</v>
      </c>
      <c r="AS325" s="208">
        <v>-5131</v>
      </c>
      <c r="AT325" s="208">
        <v>-4389880</v>
      </c>
      <c r="AU325" s="208">
        <v>0</v>
      </c>
      <c r="AV325" s="208">
        <v>-4389880</v>
      </c>
      <c r="AW325" s="208">
        <v>-71793</v>
      </c>
      <c r="AX325" s="208">
        <v>0</v>
      </c>
      <c r="AY325" s="208">
        <v>-71793</v>
      </c>
      <c r="AZ325" s="208">
        <v>-18340</v>
      </c>
      <c r="BA325" s="208">
        <v>0</v>
      </c>
      <c r="BB325" s="208">
        <v>-18340</v>
      </c>
      <c r="BC325" s="208">
        <v>0</v>
      </c>
      <c r="BD325" s="208">
        <v>0</v>
      </c>
      <c r="BE325" s="208">
        <v>0</v>
      </c>
      <c r="BF325" s="208">
        <v>0</v>
      </c>
      <c r="BG325" s="208">
        <v>0</v>
      </c>
      <c r="BH325" s="208">
        <v>0</v>
      </c>
      <c r="BI325" s="208">
        <v>0</v>
      </c>
      <c r="BJ325" s="208">
        <v>0</v>
      </c>
      <c r="BK325" s="208">
        <v>0</v>
      </c>
      <c r="BL325" s="208">
        <v>-6748142</v>
      </c>
      <c r="BM325" s="208">
        <v>0</v>
      </c>
      <c r="BN325" s="208">
        <v>-6748142</v>
      </c>
      <c r="BO325" s="208">
        <v>0</v>
      </c>
      <c r="BP325" s="208">
        <v>0</v>
      </c>
      <c r="BQ325" s="208">
        <v>0</v>
      </c>
      <c r="BR325" s="208">
        <v>0</v>
      </c>
      <c r="BS325" s="208">
        <v>0</v>
      </c>
      <c r="BT325" s="208">
        <v>0</v>
      </c>
      <c r="BU325" s="208">
        <v>-1884374</v>
      </c>
      <c r="BV325" s="208">
        <v>0</v>
      </c>
      <c r="BW325" s="208">
        <v>-1884374</v>
      </c>
      <c r="BX325" s="208">
        <v>304599</v>
      </c>
      <c r="BY325" s="208">
        <v>0</v>
      </c>
      <c r="BZ325" s="208">
        <v>304599</v>
      </c>
      <c r="CA325" s="208">
        <v>-1579775</v>
      </c>
      <c r="CB325" s="208">
        <v>0</v>
      </c>
      <c r="CC325" s="208">
        <v>-1579775</v>
      </c>
      <c r="CD325" s="208">
        <v>-190290</v>
      </c>
      <c r="CE325" s="208">
        <v>0</v>
      </c>
      <c r="CF325" s="208">
        <v>-190290</v>
      </c>
      <c r="CG325" s="208">
        <v>-2135</v>
      </c>
      <c r="CH325" s="208">
        <v>0</v>
      </c>
      <c r="CI325" s="208">
        <v>-2135</v>
      </c>
      <c r="CJ325" s="208">
        <v>-8626</v>
      </c>
      <c r="CK325" s="208">
        <v>0</v>
      </c>
      <c r="CL325" s="208">
        <v>-8626</v>
      </c>
      <c r="CM325" s="208">
        <v>0</v>
      </c>
      <c r="CN325" s="208">
        <v>0</v>
      </c>
      <c r="CO325" s="208">
        <v>0</v>
      </c>
      <c r="CP325" s="208">
        <v>-4585</v>
      </c>
      <c r="CQ325" s="208">
        <v>0</v>
      </c>
      <c r="CR325" s="208">
        <v>-4585</v>
      </c>
      <c r="CS325" s="208">
        <v>0</v>
      </c>
      <c r="CT325" s="208">
        <v>0</v>
      </c>
      <c r="CU325" s="208">
        <v>0</v>
      </c>
      <c r="CV325" s="208">
        <v>0</v>
      </c>
      <c r="CW325" s="208">
        <v>0</v>
      </c>
      <c r="CX325" s="208">
        <v>0</v>
      </c>
      <c r="CY325" s="208">
        <v>0</v>
      </c>
      <c r="CZ325" s="208">
        <v>0</v>
      </c>
      <c r="DA325" s="208">
        <v>0</v>
      </c>
      <c r="DB325" s="208">
        <v>0</v>
      </c>
      <c r="DC325" s="208">
        <v>0</v>
      </c>
      <c r="DD325" s="208">
        <v>0</v>
      </c>
      <c r="DE325" s="208">
        <v>0</v>
      </c>
      <c r="DF325" s="208">
        <v>0</v>
      </c>
      <c r="DG325" s="208">
        <v>0</v>
      </c>
      <c r="DH325" s="208">
        <v>0</v>
      </c>
      <c r="DI325" s="208">
        <v>0</v>
      </c>
      <c r="DJ325" s="208">
        <v>0</v>
      </c>
      <c r="DK325" s="208">
        <v>0</v>
      </c>
      <c r="DL325" s="208">
        <v>0</v>
      </c>
      <c r="DM325" s="208">
        <v>0</v>
      </c>
      <c r="DN325" s="208">
        <v>0</v>
      </c>
      <c r="DO325" s="208">
        <v>0</v>
      </c>
      <c r="DP325" s="208">
        <v>-205636</v>
      </c>
      <c r="DQ325" s="208">
        <v>0</v>
      </c>
      <c r="DR325" s="208">
        <v>-205636</v>
      </c>
      <c r="DS325" s="208">
        <v>0</v>
      </c>
      <c r="DT325" s="208">
        <v>0</v>
      </c>
      <c r="DU325" s="208">
        <v>0</v>
      </c>
      <c r="DV325" s="208">
        <v>0</v>
      </c>
      <c r="DW325" s="208">
        <v>0</v>
      </c>
      <c r="DX325" s="208">
        <v>0</v>
      </c>
      <c r="DY325" s="208">
        <v>0</v>
      </c>
      <c r="DZ325" s="208">
        <v>0</v>
      </c>
      <c r="EA325" s="208">
        <v>0</v>
      </c>
      <c r="EB325" s="208">
        <v>0</v>
      </c>
      <c r="EC325" s="208">
        <v>0</v>
      </c>
      <c r="ED325" s="208">
        <v>0</v>
      </c>
      <c r="EE325" s="208">
        <v>0</v>
      </c>
      <c r="EF325" s="208">
        <v>0</v>
      </c>
      <c r="EG325" s="208">
        <v>0</v>
      </c>
      <c r="EH325" s="208">
        <v>0</v>
      </c>
      <c r="EI325" s="208">
        <v>0</v>
      </c>
      <c r="EJ325" s="208">
        <v>0</v>
      </c>
      <c r="EK325" s="208">
        <v>0</v>
      </c>
      <c r="EL325" s="208">
        <v>0</v>
      </c>
      <c r="EM325" s="208">
        <v>0</v>
      </c>
      <c r="EN325" s="208">
        <v>0</v>
      </c>
      <c r="EO325" s="208">
        <v>0</v>
      </c>
      <c r="EP325" s="208">
        <v>0</v>
      </c>
      <c r="EQ325" s="208">
        <v>0</v>
      </c>
      <c r="ER325" s="208">
        <v>0</v>
      </c>
      <c r="ES325" s="208">
        <v>0</v>
      </c>
      <c r="ET325" s="208">
        <v>0</v>
      </c>
      <c r="EU325" s="208">
        <v>0</v>
      </c>
      <c r="EV325" s="208">
        <v>0</v>
      </c>
      <c r="EW325" s="208">
        <v>-15834</v>
      </c>
      <c r="EX325" s="208">
        <v>0</v>
      </c>
      <c r="EY325" s="208">
        <v>-15834</v>
      </c>
      <c r="EZ325" s="208">
        <v>604</v>
      </c>
      <c r="FA325" s="208">
        <v>0</v>
      </c>
      <c r="FB325" s="208">
        <v>604</v>
      </c>
      <c r="FC325" s="208">
        <v>-115620</v>
      </c>
      <c r="FD325" s="208">
        <v>0</v>
      </c>
      <c r="FE325" s="208">
        <v>-115620</v>
      </c>
      <c r="FF325" s="208">
        <v>3506</v>
      </c>
      <c r="FG325" s="208">
        <v>0</v>
      </c>
      <c r="FH325" s="208">
        <v>3506</v>
      </c>
      <c r="FI325" s="208">
        <v>-25575</v>
      </c>
      <c r="FJ325" s="208">
        <v>0</v>
      </c>
      <c r="FK325" s="208">
        <v>-25575</v>
      </c>
      <c r="FL325" s="208">
        <v>90</v>
      </c>
      <c r="FM325" s="208">
        <v>0</v>
      </c>
      <c r="FN325" s="208">
        <v>90</v>
      </c>
      <c r="FO325" s="208">
        <v>0</v>
      </c>
      <c r="FP325" s="208">
        <v>0</v>
      </c>
      <c r="FQ325" s="208">
        <v>0</v>
      </c>
      <c r="FR325" s="208">
        <v>0</v>
      </c>
      <c r="FS325" s="208">
        <v>0</v>
      </c>
      <c r="FT325" s="208">
        <v>0</v>
      </c>
      <c r="FU325" s="208">
        <v>-152829</v>
      </c>
      <c r="FV325" s="208">
        <v>0</v>
      </c>
      <c r="FW325" s="208">
        <v>-152829</v>
      </c>
      <c r="FX325" s="208">
        <v>0</v>
      </c>
      <c r="FY325" s="208">
        <v>0</v>
      </c>
      <c r="FZ325" s="208">
        <v>0</v>
      </c>
      <c r="GA325" s="208">
        <v>0</v>
      </c>
      <c r="GB325" s="208">
        <v>0</v>
      </c>
      <c r="GC325" s="208">
        <v>0</v>
      </c>
      <c r="GD325" s="208">
        <v>0</v>
      </c>
      <c r="GE325" s="208">
        <v>0</v>
      </c>
      <c r="GF325" s="208">
        <v>0</v>
      </c>
      <c r="GG325" s="208">
        <v>50488394</v>
      </c>
      <c r="GH325" s="208">
        <v>0</v>
      </c>
      <c r="GI325" s="208">
        <v>50488394</v>
      </c>
      <c r="GJ325" s="208">
        <v>725024</v>
      </c>
      <c r="GK325" s="208">
        <v>0</v>
      </c>
      <c r="GL325" s="208">
        <v>725024</v>
      </c>
      <c r="GM325" s="208">
        <v>-6748142</v>
      </c>
      <c r="GN325" s="208">
        <v>0</v>
      </c>
      <c r="GO325" s="208">
        <v>-6748142</v>
      </c>
      <c r="GP325" s="208">
        <v>-1579775</v>
      </c>
      <c r="GQ325" s="208">
        <v>0</v>
      </c>
      <c r="GR325" s="208">
        <v>-1579775</v>
      </c>
      <c r="GS325" s="208">
        <v>-205636</v>
      </c>
      <c r="GT325" s="208">
        <v>0</v>
      </c>
      <c r="GU325" s="208">
        <v>-205636</v>
      </c>
      <c r="GV325" s="208">
        <v>-152829</v>
      </c>
      <c r="GW325" s="208">
        <v>0</v>
      </c>
      <c r="GX325" s="208">
        <v>-152829</v>
      </c>
      <c r="GY325" s="208">
        <v>0</v>
      </c>
      <c r="GZ325" s="208">
        <v>0</v>
      </c>
      <c r="HA325" s="208">
        <v>0</v>
      </c>
      <c r="HB325" s="208">
        <v>-7961358</v>
      </c>
      <c r="HC325" s="208">
        <v>0</v>
      </c>
      <c r="HD325" s="208">
        <v>-7961358</v>
      </c>
      <c r="HE325" s="208">
        <v>42527036</v>
      </c>
      <c r="HF325" s="208">
        <v>0</v>
      </c>
      <c r="HG325" s="208">
        <v>42527036</v>
      </c>
      <c r="HH325" s="187" t="s">
        <v>1054</v>
      </c>
    </row>
    <row r="326" spans="1:216" s="187" customFormat="1" x14ac:dyDescent="0.2">
      <c r="B326" s="429" t="s">
        <v>730</v>
      </c>
      <c r="C326" s="429" t="s">
        <v>729</v>
      </c>
      <c r="D326" s="208">
        <v>-568159</v>
      </c>
      <c r="E326" s="208">
        <v>0</v>
      </c>
      <c r="F326" s="208">
        <v>-568159</v>
      </c>
      <c r="G326" s="208">
        <v>5916</v>
      </c>
      <c r="H326" s="208">
        <v>0</v>
      </c>
      <c r="I326" s="208">
        <v>5916</v>
      </c>
      <c r="J326" s="208">
        <v>579759</v>
      </c>
      <c r="K326" s="208">
        <v>0</v>
      </c>
      <c r="L326" s="208">
        <v>579759</v>
      </c>
      <c r="M326" s="208">
        <v>132782</v>
      </c>
      <c r="N326" s="208">
        <v>0</v>
      </c>
      <c r="O326" s="208">
        <v>132782</v>
      </c>
      <c r="P326" s="208">
        <v>150298</v>
      </c>
      <c r="Q326" s="208">
        <v>0</v>
      </c>
      <c r="R326" s="208">
        <v>150298</v>
      </c>
      <c r="S326" s="208">
        <v>-3406663</v>
      </c>
      <c r="T326" s="208">
        <v>0</v>
      </c>
      <c r="U326" s="208">
        <v>-3406663</v>
      </c>
      <c r="V326" s="208">
        <v>0</v>
      </c>
      <c r="W326" s="208">
        <v>0</v>
      </c>
      <c r="X326" s="208">
        <v>0</v>
      </c>
      <c r="Y326" s="208">
        <v>-118896</v>
      </c>
      <c r="Z326" s="208">
        <v>0</v>
      </c>
      <c r="AA326" s="208">
        <v>-118896</v>
      </c>
      <c r="AB326" s="208">
        <v>-24078</v>
      </c>
      <c r="AC326" s="208">
        <v>0</v>
      </c>
      <c r="AD326" s="208">
        <v>-24078</v>
      </c>
      <c r="AE326" s="208">
        <v>-90644</v>
      </c>
      <c r="AF326" s="208">
        <v>0</v>
      </c>
      <c r="AG326" s="208">
        <v>-90644</v>
      </c>
      <c r="AH326" s="208">
        <v>0</v>
      </c>
      <c r="AI326" s="208">
        <v>0</v>
      </c>
      <c r="AJ326" s="208">
        <v>0</v>
      </c>
      <c r="AK326" s="208">
        <v>0</v>
      </c>
      <c r="AL326" s="208">
        <v>0</v>
      </c>
      <c r="AM326" s="208">
        <v>0</v>
      </c>
      <c r="AN326" s="208">
        <v>731779</v>
      </c>
      <c r="AO326" s="208">
        <v>0</v>
      </c>
      <c r="AP326" s="208">
        <v>731779</v>
      </c>
      <c r="AQ326" s="208">
        <v>-3111</v>
      </c>
      <c r="AR326" s="208">
        <v>0</v>
      </c>
      <c r="AS326" s="208">
        <v>-3111</v>
      </c>
      <c r="AT326" s="208">
        <v>-3085757</v>
      </c>
      <c r="AU326" s="208">
        <v>0</v>
      </c>
      <c r="AV326" s="208">
        <v>-3085757</v>
      </c>
      <c r="AW326" s="208">
        <v>-26375</v>
      </c>
      <c r="AX326" s="208">
        <v>0</v>
      </c>
      <c r="AY326" s="208">
        <v>-26375</v>
      </c>
      <c r="AZ326" s="208">
        <v>-40998</v>
      </c>
      <c r="BA326" s="208">
        <v>0</v>
      </c>
      <c r="BB326" s="208">
        <v>-40998</v>
      </c>
      <c r="BC326" s="208">
        <v>0</v>
      </c>
      <c r="BD326" s="208">
        <v>0</v>
      </c>
      <c r="BE326" s="208">
        <v>0</v>
      </c>
      <c r="BF326" s="208">
        <v>0</v>
      </c>
      <c r="BG326" s="208">
        <v>0</v>
      </c>
      <c r="BH326" s="208">
        <v>0</v>
      </c>
      <c r="BI326" s="208">
        <v>0</v>
      </c>
      <c r="BJ326" s="208">
        <v>0</v>
      </c>
      <c r="BK326" s="208">
        <v>0</v>
      </c>
      <c r="BL326" s="208">
        <v>-5950021</v>
      </c>
      <c r="BM326" s="208">
        <v>0</v>
      </c>
      <c r="BN326" s="208">
        <v>-5950021</v>
      </c>
      <c r="BO326" s="208">
        <v>-5736</v>
      </c>
      <c r="BP326" s="208">
        <v>0</v>
      </c>
      <c r="BQ326" s="208">
        <v>-5736</v>
      </c>
      <c r="BR326" s="208">
        <v>-277</v>
      </c>
      <c r="BS326" s="208">
        <v>0</v>
      </c>
      <c r="BT326" s="208">
        <v>-277</v>
      </c>
      <c r="BU326" s="208">
        <v>-690833</v>
      </c>
      <c r="BV326" s="208">
        <v>0</v>
      </c>
      <c r="BW326" s="208">
        <v>-690833</v>
      </c>
      <c r="BX326" s="208">
        <v>-73935</v>
      </c>
      <c r="BY326" s="208">
        <v>0</v>
      </c>
      <c r="BZ326" s="208">
        <v>-73935</v>
      </c>
      <c r="CA326" s="208">
        <v>-770781</v>
      </c>
      <c r="CB326" s="208">
        <v>0</v>
      </c>
      <c r="CC326" s="208">
        <v>-770781</v>
      </c>
      <c r="CD326" s="208">
        <v>-191336</v>
      </c>
      <c r="CE326" s="208">
        <v>0</v>
      </c>
      <c r="CF326" s="208">
        <v>-191336</v>
      </c>
      <c r="CG326" s="208">
        <v>-3024</v>
      </c>
      <c r="CH326" s="208">
        <v>0</v>
      </c>
      <c r="CI326" s="208">
        <v>-3024</v>
      </c>
      <c r="CJ326" s="208">
        <v>-4524</v>
      </c>
      <c r="CK326" s="208">
        <v>0</v>
      </c>
      <c r="CL326" s="208">
        <v>-4524</v>
      </c>
      <c r="CM326" s="208">
        <v>0</v>
      </c>
      <c r="CN326" s="208">
        <v>0</v>
      </c>
      <c r="CO326" s="208">
        <v>0</v>
      </c>
      <c r="CP326" s="208">
        <v>0</v>
      </c>
      <c r="CQ326" s="208">
        <v>0</v>
      </c>
      <c r="CR326" s="208">
        <v>0</v>
      </c>
      <c r="CS326" s="208">
        <v>0</v>
      </c>
      <c r="CT326" s="208">
        <v>0</v>
      </c>
      <c r="CU326" s="208">
        <v>0</v>
      </c>
      <c r="CV326" s="208">
        <v>0</v>
      </c>
      <c r="CW326" s="208">
        <v>0</v>
      </c>
      <c r="CX326" s="208">
        <v>0</v>
      </c>
      <c r="CY326" s="208">
        <v>0</v>
      </c>
      <c r="CZ326" s="208">
        <v>0</v>
      </c>
      <c r="DA326" s="208">
        <v>0</v>
      </c>
      <c r="DB326" s="208">
        <v>0</v>
      </c>
      <c r="DC326" s="208">
        <v>0</v>
      </c>
      <c r="DD326" s="208">
        <v>0</v>
      </c>
      <c r="DE326" s="208">
        <v>0</v>
      </c>
      <c r="DF326" s="208">
        <v>0</v>
      </c>
      <c r="DG326" s="208">
        <v>0</v>
      </c>
      <c r="DH326" s="208">
        <v>0</v>
      </c>
      <c r="DI326" s="208">
        <v>0</v>
      </c>
      <c r="DJ326" s="208">
        <v>0</v>
      </c>
      <c r="DK326" s="208">
        <v>0</v>
      </c>
      <c r="DL326" s="208">
        <v>0</v>
      </c>
      <c r="DM326" s="208">
        <v>0</v>
      </c>
      <c r="DN326" s="208">
        <v>0</v>
      </c>
      <c r="DO326" s="208">
        <v>0</v>
      </c>
      <c r="DP326" s="208">
        <v>-198884</v>
      </c>
      <c r="DQ326" s="208">
        <v>0</v>
      </c>
      <c r="DR326" s="208">
        <v>-198884</v>
      </c>
      <c r="DS326" s="208">
        <v>0</v>
      </c>
      <c r="DT326" s="208">
        <v>0</v>
      </c>
      <c r="DU326" s="208">
        <v>0</v>
      </c>
      <c r="DV326" s="208">
        <v>0</v>
      </c>
      <c r="DW326" s="208">
        <v>0</v>
      </c>
      <c r="DX326" s="208">
        <v>0</v>
      </c>
      <c r="DY326" s="208">
        <v>5000</v>
      </c>
      <c r="DZ326" s="208">
        <v>0</v>
      </c>
      <c r="EA326" s="208">
        <v>5000</v>
      </c>
      <c r="EB326" s="208">
        <v>0</v>
      </c>
      <c r="EC326" s="208">
        <v>0</v>
      </c>
      <c r="ED326" s="208">
        <v>0</v>
      </c>
      <c r="EE326" s="208">
        <v>0</v>
      </c>
      <c r="EF326" s="208">
        <v>0</v>
      </c>
      <c r="EG326" s="208">
        <v>0</v>
      </c>
      <c r="EH326" s="208">
        <v>0</v>
      </c>
      <c r="EI326" s="208">
        <v>0</v>
      </c>
      <c r="EJ326" s="208">
        <v>0</v>
      </c>
      <c r="EK326" s="208">
        <v>0</v>
      </c>
      <c r="EL326" s="208">
        <v>0</v>
      </c>
      <c r="EM326" s="208">
        <v>0</v>
      </c>
      <c r="EN326" s="208">
        <v>0</v>
      </c>
      <c r="EO326" s="208">
        <v>0</v>
      </c>
      <c r="EP326" s="208">
        <v>0</v>
      </c>
      <c r="EQ326" s="208">
        <v>-1500</v>
      </c>
      <c r="ER326" s="208">
        <v>0</v>
      </c>
      <c r="ES326" s="208">
        <v>-1500</v>
      </c>
      <c r="ET326" s="208">
        <v>0</v>
      </c>
      <c r="EU326" s="208">
        <v>0</v>
      </c>
      <c r="EV326" s="208">
        <v>0</v>
      </c>
      <c r="EW326" s="208">
        <v>-13646</v>
      </c>
      <c r="EX326" s="208">
        <v>0</v>
      </c>
      <c r="EY326" s="208">
        <v>-13646</v>
      </c>
      <c r="EZ326" s="208">
        <v>4053</v>
      </c>
      <c r="FA326" s="208">
        <v>0</v>
      </c>
      <c r="FB326" s="208">
        <v>4053</v>
      </c>
      <c r="FC326" s="208">
        <v>-47915</v>
      </c>
      <c r="FD326" s="208">
        <v>0</v>
      </c>
      <c r="FE326" s="208">
        <v>-47915</v>
      </c>
      <c r="FF326" s="208">
        <v>508</v>
      </c>
      <c r="FG326" s="208">
        <v>0</v>
      </c>
      <c r="FH326" s="208">
        <v>508</v>
      </c>
      <c r="FI326" s="208">
        <v>-20099</v>
      </c>
      <c r="FJ326" s="208">
        <v>0</v>
      </c>
      <c r="FK326" s="208">
        <v>-20099</v>
      </c>
      <c r="FL326" s="208">
        <v>1016</v>
      </c>
      <c r="FM326" s="208">
        <v>0</v>
      </c>
      <c r="FN326" s="208">
        <v>1016</v>
      </c>
      <c r="FO326" s="208">
        <v>0</v>
      </c>
      <c r="FP326" s="208">
        <v>0</v>
      </c>
      <c r="FQ326" s="208">
        <v>0</v>
      </c>
      <c r="FR326" s="208">
        <v>0</v>
      </c>
      <c r="FS326" s="208">
        <v>0</v>
      </c>
      <c r="FT326" s="208">
        <v>0</v>
      </c>
      <c r="FU326" s="208">
        <v>-72583</v>
      </c>
      <c r="FV326" s="208">
        <v>0</v>
      </c>
      <c r="FW326" s="208">
        <v>-72583</v>
      </c>
      <c r="FX326" s="208">
        <v>0</v>
      </c>
      <c r="FY326" s="208">
        <v>0</v>
      </c>
      <c r="FZ326" s="208">
        <v>0</v>
      </c>
      <c r="GA326" s="208">
        <v>0</v>
      </c>
      <c r="GB326" s="208">
        <v>0</v>
      </c>
      <c r="GC326" s="208">
        <v>0</v>
      </c>
      <c r="GD326" s="208">
        <v>0</v>
      </c>
      <c r="GE326" s="208">
        <v>0</v>
      </c>
      <c r="GF326" s="208">
        <v>0</v>
      </c>
      <c r="GG326" s="208">
        <v>38673828</v>
      </c>
      <c r="GH326" s="208">
        <v>0</v>
      </c>
      <c r="GI326" s="208">
        <v>38673828</v>
      </c>
      <c r="GJ326" s="208">
        <v>150298</v>
      </c>
      <c r="GK326" s="208">
        <v>0</v>
      </c>
      <c r="GL326" s="208">
        <v>150298</v>
      </c>
      <c r="GM326" s="208">
        <v>-5950021</v>
      </c>
      <c r="GN326" s="208">
        <v>0</v>
      </c>
      <c r="GO326" s="208">
        <v>-5950021</v>
      </c>
      <c r="GP326" s="208">
        <v>-770781</v>
      </c>
      <c r="GQ326" s="208">
        <v>0</v>
      </c>
      <c r="GR326" s="208">
        <v>-770781</v>
      </c>
      <c r="GS326" s="208">
        <v>-198884</v>
      </c>
      <c r="GT326" s="208">
        <v>0</v>
      </c>
      <c r="GU326" s="208">
        <v>-198884</v>
      </c>
      <c r="GV326" s="208">
        <v>-72583</v>
      </c>
      <c r="GW326" s="208">
        <v>0</v>
      </c>
      <c r="GX326" s="208">
        <v>-72583</v>
      </c>
      <c r="GY326" s="208">
        <v>0</v>
      </c>
      <c r="GZ326" s="208">
        <v>0</v>
      </c>
      <c r="HA326" s="208">
        <v>0</v>
      </c>
      <c r="HB326" s="208">
        <v>-6841971</v>
      </c>
      <c r="HC326" s="208">
        <v>0</v>
      </c>
      <c r="HD326" s="208">
        <v>-6841971</v>
      </c>
      <c r="HE326" s="208">
        <v>31831857</v>
      </c>
      <c r="HF326" s="208">
        <v>0</v>
      </c>
      <c r="HG326" s="208">
        <v>31831857</v>
      </c>
      <c r="HH326" s="187" t="s">
        <v>1054</v>
      </c>
    </row>
    <row r="327" spans="1:216" s="187" customFormat="1" x14ac:dyDescent="0.2">
      <c r="B327" s="429" t="s">
        <v>732</v>
      </c>
      <c r="C327" s="429" t="s">
        <v>731</v>
      </c>
      <c r="D327" s="208">
        <v>-1164669</v>
      </c>
      <c r="E327" s="208">
        <v>0</v>
      </c>
      <c r="F327" s="208">
        <v>-1164669</v>
      </c>
      <c r="G327" s="208">
        <v>-24059</v>
      </c>
      <c r="H327" s="208">
        <v>0</v>
      </c>
      <c r="I327" s="208">
        <v>-24059</v>
      </c>
      <c r="J327" s="208">
        <v>939192</v>
      </c>
      <c r="K327" s="208">
        <v>0</v>
      </c>
      <c r="L327" s="208">
        <v>939192</v>
      </c>
      <c r="M327" s="208">
        <v>-8053</v>
      </c>
      <c r="N327" s="208">
        <v>0</v>
      </c>
      <c r="O327" s="208">
        <v>-8053</v>
      </c>
      <c r="P327" s="208">
        <v>-257589</v>
      </c>
      <c r="Q327" s="208">
        <v>0</v>
      </c>
      <c r="R327" s="208">
        <v>-257589</v>
      </c>
      <c r="S327" s="208">
        <v>-5331067</v>
      </c>
      <c r="T327" s="208">
        <v>0</v>
      </c>
      <c r="U327" s="208">
        <v>-5331067</v>
      </c>
      <c r="V327" s="208">
        <v>-8319</v>
      </c>
      <c r="W327" s="208">
        <v>0</v>
      </c>
      <c r="X327" s="208">
        <v>-8319</v>
      </c>
      <c r="Y327" s="208">
        <v>-231256</v>
      </c>
      <c r="Z327" s="208">
        <v>0</v>
      </c>
      <c r="AA327" s="208">
        <v>-231256</v>
      </c>
      <c r="AB327" s="208">
        <v>-46857</v>
      </c>
      <c r="AC327" s="208">
        <v>0</v>
      </c>
      <c r="AD327" s="208">
        <v>-46857</v>
      </c>
      <c r="AE327" s="208">
        <v>-176999</v>
      </c>
      <c r="AF327" s="208">
        <v>0</v>
      </c>
      <c r="AG327" s="208">
        <v>-176999</v>
      </c>
      <c r="AH327" s="208">
        <v>0</v>
      </c>
      <c r="AI327" s="208">
        <v>0</v>
      </c>
      <c r="AJ327" s="208">
        <v>0</v>
      </c>
      <c r="AK327" s="208">
        <v>-304</v>
      </c>
      <c r="AL327" s="208">
        <v>0</v>
      </c>
      <c r="AM327" s="208">
        <v>-304</v>
      </c>
      <c r="AN327" s="208">
        <v>940135</v>
      </c>
      <c r="AO327" s="208">
        <v>0</v>
      </c>
      <c r="AP327" s="208">
        <v>940135</v>
      </c>
      <c r="AQ327" s="208">
        <v>3182</v>
      </c>
      <c r="AR327" s="208">
        <v>0</v>
      </c>
      <c r="AS327" s="208">
        <v>3182</v>
      </c>
      <c r="AT327" s="208">
        <v>-2255598</v>
      </c>
      <c r="AU327" s="208">
        <v>0</v>
      </c>
      <c r="AV327" s="208">
        <v>-2255598</v>
      </c>
      <c r="AW327" s="208">
        <v>63358</v>
      </c>
      <c r="AX327" s="208">
        <v>0</v>
      </c>
      <c r="AY327" s="208">
        <v>63358</v>
      </c>
      <c r="AZ327" s="208">
        <v>-58436</v>
      </c>
      <c r="BA327" s="208">
        <v>0</v>
      </c>
      <c r="BB327" s="208">
        <v>-58436</v>
      </c>
      <c r="BC327" s="208">
        <v>-77</v>
      </c>
      <c r="BD327" s="208">
        <v>0</v>
      </c>
      <c r="BE327" s="208">
        <v>-77</v>
      </c>
      <c r="BF327" s="208">
        <v>-39097</v>
      </c>
      <c r="BG327" s="208">
        <v>0</v>
      </c>
      <c r="BH327" s="208">
        <v>-39097</v>
      </c>
      <c r="BI327" s="208">
        <v>7</v>
      </c>
      <c r="BJ327" s="208">
        <v>0</v>
      </c>
      <c r="BK327" s="208">
        <v>7</v>
      </c>
      <c r="BL327" s="208">
        <v>-6908849</v>
      </c>
      <c r="BM327" s="208">
        <v>0</v>
      </c>
      <c r="BN327" s="208">
        <v>-6908849</v>
      </c>
      <c r="BO327" s="208">
        <v>0</v>
      </c>
      <c r="BP327" s="208">
        <v>0</v>
      </c>
      <c r="BQ327" s="208">
        <v>0</v>
      </c>
      <c r="BR327" s="208">
        <v>1836</v>
      </c>
      <c r="BS327" s="208">
        <v>0</v>
      </c>
      <c r="BT327" s="208">
        <v>1836</v>
      </c>
      <c r="BU327" s="208">
        <v>-1390928</v>
      </c>
      <c r="BV327" s="208">
        <v>0</v>
      </c>
      <c r="BW327" s="208">
        <v>-1390928</v>
      </c>
      <c r="BX327" s="208">
        <v>-31804</v>
      </c>
      <c r="BY327" s="208">
        <v>0</v>
      </c>
      <c r="BZ327" s="208">
        <v>-31804</v>
      </c>
      <c r="CA327" s="208">
        <v>-1420896</v>
      </c>
      <c r="CB327" s="208">
        <v>0</v>
      </c>
      <c r="CC327" s="208">
        <v>-1420896</v>
      </c>
      <c r="CD327" s="208">
        <v>-216133</v>
      </c>
      <c r="CE327" s="208">
        <v>0</v>
      </c>
      <c r="CF327" s="208">
        <v>-216133</v>
      </c>
      <c r="CG327" s="208">
        <v>-4310</v>
      </c>
      <c r="CH327" s="208">
        <v>0</v>
      </c>
      <c r="CI327" s="208">
        <v>-4310</v>
      </c>
      <c r="CJ327" s="208">
        <v>-40623</v>
      </c>
      <c r="CK327" s="208">
        <v>0</v>
      </c>
      <c r="CL327" s="208">
        <v>-40623</v>
      </c>
      <c r="CM327" s="208">
        <v>12441</v>
      </c>
      <c r="CN327" s="208">
        <v>0</v>
      </c>
      <c r="CO327" s="208">
        <v>12441</v>
      </c>
      <c r="CP327" s="208">
        <v>-11493</v>
      </c>
      <c r="CQ327" s="208">
        <v>0</v>
      </c>
      <c r="CR327" s="208">
        <v>-11493</v>
      </c>
      <c r="CS327" s="208">
        <v>-19</v>
      </c>
      <c r="CT327" s="208">
        <v>0</v>
      </c>
      <c r="CU327" s="208">
        <v>-19</v>
      </c>
      <c r="CV327" s="208">
        <v>0</v>
      </c>
      <c r="CW327" s="208">
        <v>0</v>
      </c>
      <c r="CX327" s="208">
        <v>0</v>
      </c>
      <c r="CY327" s="208">
        <v>0</v>
      </c>
      <c r="CZ327" s="208">
        <v>0</v>
      </c>
      <c r="DA327" s="208">
        <v>0</v>
      </c>
      <c r="DB327" s="208">
        <v>-3280</v>
      </c>
      <c r="DC327" s="208">
        <v>0</v>
      </c>
      <c r="DD327" s="208">
        <v>-3280</v>
      </c>
      <c r="DE327" s="208">
        <v>0</v>
      </c>
      <c r="DF327" s="208">
        <v>0</v>
      </c>
      <c r="DG327" s="208">
        <v>0</v>
      </c>
      <c r="DH327" s="208">
        <v>0</v>
      </c>
      <c r="DI327" s="208">
        <v>0</v>
      </c>
      <c r="DJ327" s="208">
        <v>0</v>
      </c>
      <c r="DK327" s="208">
        <v>0</v>
      </c>
      <c r="DL327" s="208">
        <v>0</v>
      </c>
      <c r="DM327" s="208">
        <v>0</v>
      </c>
      <c r="DN327" s="208">
        <v>0</v>
      </c>
      <c r="DO327" s="208">
        <v>0</v>
      </c>
      <c r="DP327" s="208">
        <v>-263417</v>
      </c>
      <c r="DQ327" s="208">
        <v>0</v>
      </c>
      <c r="DR327" s="208">
        <v>-263417</v>
      </c>
      <c r="DS327" s="208">
        <v>0</v>
      </c>
      <c r="DT327" s="208">
        <v>0</v>
      </c>
      <c r="DU327" s="208">
        <v>0</v>
      </c>
      <c r="DV327" s="208">
        <v>0</v>
      </c>
      <c r="DW327" s="208">
        <v>0</v>
      </c>
      <c r="DX327" s="208">
        <v>0</v>
      </c>
      <c r="DY327" s="208">
        <v>2322</v>
      </c>
      <c r="DZ327" s="208">
        <v>0</v>
      </c>
      <c r="EA327" s="208">
        <v>2322</v>
      </c>
      <c r="EB327" s="208">
        <v>0</v>
      </c>
      <c r="EC327" s="208">
        <v>0</v>
      </c>
      <c r="ED327" s="208">
        <v>0</v>
      </c>
      <c r="EE327" s="208">
        <v>0</v>
      </c>
      <c r="EF327" s="208">
        <v>0</v>
      </c>
      <c r="EG327" s="208">
        <v>0</v>
      </c>
      <c r="EH327" s="208">
        <v>0</v>
      </c>
      <c r="EI327" s="208">
        <v>0</v>
      </c>
      <c r="EJ327" s="208">
        <v>0</v>
      </c>
      <c r="EK327" s="208">
        <v>-51442</v>
      </c>
      <c r="EL327" s="208">
        <v>0</v>
      </c>
      <c r="EM327" s="208">
        <v>-51442</v>
      </c>
      <c r="EN327" s="208">
        <v>7</v>
      </c>
      <c r="EO327" s="208">
        <v>0</v>
      </c>
      <c r="EP327" s="208">
        <v>7</v>
      </c>
      <c r="EQ327" s="208">
        <v>0</v>
      </c>
      <c r="ER327" s="208">
        <v>0</v>
      </c>
      <c r="ES327" s="208">
        <v>0</v>
      </c>
      <c r="ET327" s="208">
        <v>0</v>
      </c>
      <c r="EU327" s="208">
        <v>0</v>
      </c>
      <c r="EV327" s="208">
        <v>0</v>
      </c>
      <c r="EW327" s="208">
        <v>-37410</v>
      </c>
      <c r="EX327" s="208">
        <v>0</v>
      </c>
      <c r="EY327" s="208">
        <v>-37410</v>
      </c>
      <c r="EZ327" s="208">
        <v>0</v>
      </c>
      <c r="FA327" s="208">
        <v>0</v>
      </c>
      <c r="FB327" s="208">
        <v>0</v>
      </c>
      <c r="FC327" s="208">
        <v>-143129</v>
      </c>
      <c r="FD327" s="208">
        <v>0</v>
      </c>
      <c r="FE327" s="208">
        <v>-143129</v>
      </c>
      <c r="FF327" s="208">
        <v>6674</v>
      </c>
      <c r="FG327" s="208">
        <v>0</v>
      </c>
      <c r="FH327" s="208">
        <v>6674</v>
      </c>
      <c r="FI327" s="208">
        <v>-67386</v>
      </c>
      <c r="FJ327" s="208">
        <v>0</v>
      </c>
      <c r="FK327" s="208">
        <v>-67386</v>
      </c>
      <c r="FL327" s="208">
        <v>380</v>
      </c>
      <c r="FM327" s="208">
        <v>0</v>
      </c>
      <c r="FN327" s="208">
        <v>380</v>
      </c>
      <c r="FO327" s="208">
        <v>0</v>
      </c>
      <c r="FP327" s="208">
        <v>0</v>
      </c>
      <c r="FQ327" s="208">
        <v>0</v>
      </c>
      <c r="FR327" s="208">
        <v>0</v>
      </c>
      <c r="FS327" s="208">
        <v>0</v>
      </c>
      <c r="FT327" s="208">
        <v>0</v>
      </c>
      <c r="FU327" s="208">
        <v>-289984</v>
      </c>
      <c r="FV327" s="208">
        <v>0</v>
      </c>
      <c r="FW327" s="208">
        <v>-289984</v>
      </c>
      <c r="FX327" s="208">
        <v>0</v>
      </c>
      <c r="FY327" s="208">
        <v>0</v>
      </c>
      <c r="FZ327" s="208">
        <v>0</v>
      </c>
      <c r="GA327" s="208">
        <v>-1827</v>
      </c>
      <c r="GB327" s="208">
        <v>0</v>
      </c>
      <c r="GC327" s="208">
        <v>-1827</v>
      </c>
      <c r="GD327" s="208">
        <v>-1827</v>
      </c>
      <c r="GE327" s="208">
        <v>0</v>
      </c>
      <c r="GF327" s="208">
        <v>-1827</v>
      </c>
      <c r="GG327" s="208">
        <v>52156508</v>
      </c>
      <c r="GH327" s="208">
        <v>0</v>
      </c>
      <c r="GI327" s="208">
        <v>52156508</v>
      </c>
      <c r="GJ327" s="208">
        <v>-257589</v>
      </c>
      <c r="GK327" s="208">
        <v>0</v>
      </c>
      <c r="GL327" s="208">
        <v>-257589</v>
      </c>
      <c r="GM327" s="208">
        <v>-6908849</v>
      </c>
      <c r="GN327" s="208">
        <v>0</v>
      </c>
      <c r="GO327" s="208">
        <v>-6908849</v>
      </c>
      <c r="GP327" s="208">
        <v>-1420896</v>
      </c>
      <c r="GQ327" s="208">
        <v>0</v>
      </c>
      <c r="GR327" s="208">
        <v>-1420896</v>
      </c>
      <c r="GS327" s="208">
        <v>-263417</v>
      </c>
      <c r="GT327" s="208">
        <v>0</v>
      </c>
      <c r="GU327" s="208">
        <v>-263417</v>
      </c>
      <c r="GV327" s="208">
        <v>-289984</v>
      </c>
      <c r="GW327" s="208">
        <v>0</v>
      </c>
      <c r="GX327" s="208">
        <v>-289984</v>
      </c>
      <c r="GY327" s="208">
        <v>-1827</v>
      </c>
      <c r="GZ327" s="208">
        <v>0</v>
      </c>
      <c r="HA327" s="208">
        <v>-1827</v>
      </c>
      <c r="HB327" s="208">
        <v>-9142562</v>
      </c>
      <c r="HC327" s="208">
        <v>0</v>
      </c>
      <c r="HD327" s="208">
        <v>-9142562</v>
      </c>
      <c r="HE327" s="208">
        <v>43013946</v>
      </c>
      <c r="HF327" s="208">
        <v>0</v>
      </c>
      <c r="HG327" s="208">
        <v>43013946</v>
      </c>
      <c r="HH327" s="187" t="s">
        <v>1054</v>
      </c>
    </row>
    <row r="328" spans="1:216" s="187" customFormat="1" x14ac:dyDescent="0.2">
      <c r="B328" s="429" t="s">
        <v>734</v>
      </c>
      <c r="C328" s="429" t="s">
        <v>733</v>
      </c>
      <c r="D328" s="208">
        <v>-1041770</v>
      </c>
      <c r="E328" s="208">
        <v>0</v>
      </c>
      <c r="F328" s="208">
        <v>-1041770</v>
      </c>
      <c r="G328" s="208">
        <v>-8485</v>
      </c>
      <c r="H328" s="208">
        <v>0</v>
      </c>
      <c r="I328" s="208">
        <v>-8485</v>
      </c>
      <c r="J328" s="208">
        <v>1404220</v>
      </c>
      <c r="K328" s="208">
        <v>0</v>
      </c>
      <c r="L328" s="208">
        <v>1404220</v>
      </c>
      <c r="M328" s="208">
        <v>-467655</v>
      </c>
      <c r="N328" s="208">
        <v>0</v>
      </c>
      <c r="O328" s="208">
        <v>-467655</v>
      </c>
      <c r="P328" s="208">
        <v>-113690</v>
      </c>
      <c r="Q328" s="208">
        <v>0</v>
      </c>
      <c r="R328" s="208">
        <v>-113690</v>
      </c>
      <c r="S328" s="208">
        <v>-4279007</v>
      </c>
      <c r="T328" s="208">
        <v>0</v>
      </c>
      <c r="U328" s="208">
        <v>-4279007</v>
      </c>
      <c r="V328" s="208">
        <v>-13150</v>
      </c>
      <c r="W328" s="208">
        <v>0</v>
      </c>
      <c r="X328" s="208">
        <v>-13150</v>
      </c>
      <c r="Y328" s="208">
        <v>-163885</v>
      </c>
      <c r="Z328" s="208">
        <v>0</v>
      </c>
      <c r="AA328" s="208">
        <v>-163885</v>
      </c>
      <c r="AB328" s="208">
        <v>-50503</v>
      </c>
      <c r="AC328" s="208">
        <v>0</v>
      </c>
      <c r="AD328" s="208">
        <v>-50503</v>
      </c>
      <c r="AE328" s="208">
        <v>-113128</v>
      </c>
      <c r="AF328" s="208">
        <v>0</v>
      </c>
      <c r="AG328" s="208">
        <v>-113128</v>
      </c>
      <c r="AH328" s="208">
        <v>-254</v>
      </c>
      <c r="AI328" s="208">
        <v>0</v>
      </c>
      <c r="AJ328" s="208">
        <v>-254</v>
      </c>
      <c r="AK328" s="208">
        <v>0</v>
      </c>
      <c r="AL328" s="208">
        <v>0</v>
      </c>
      <c r="AM328" s="208">
        <v>0</v>
      </c>
      <c r="AN328" s="208">
        <v>1641424</v>
      </c>
      <c r="AO328" s="208">
        <v>0</v>
      </c>
      <c r="AP328" s="208">
        <v>1641424</v>
      </c>
      <c r="AQ328" s="208">
        <v>-35810</v>
      </c>
      <c r="AR328" s="208">
        <v>0</v>
      </c>
      <c r="AS328" s="208">
        <v>-35810</v>
      </c>
      <c r="AT328" s="208">
        <v>-5243209</v>
      </c>
      <c r="AU328" s="208">
        <v>0</v>
      </c>
      <c r="AV328" s="208">
        <v>-5243209</v>
      </c>
      <c r="AW328" s="208">
        <v>-36654</v>
      </c>
      <c r="AX328" s="208">
        <v>0</v>
      </c>
      <c r="AY328" s="208">
        <v>-36654</v>
      </c>
      <c r="AZ328" s="208">
        <v>-61782</v>
      </c>
      <c r="BA328" s="208">
        <v>0</v>
      </c>
      <c r="BB328" s="208">
        <v>-61782</v>
      </c>
      <c r="BC328" s="208">
        <v>0</v>
      </c>
      <c r="BD328" s="208">
        <v>0</v>
      </c>
      <c r="BE328" s="208">
        <v>0</v>
      </c>
      <c r="BF328" s="208">
        <v>-8663</v>
      </c>
      <c r="BG328" s="208">
        <v>0</v>
      </c>
      <c r="BH328" s="208">
        <v>-8663</v>
      </c>
      <c r="BI328" s="208">
        <v>0</v>
      </c>
      <c r="BJ328" s="208">
        <v>0</v>
      </c>
      <c r="BK328" s="208">
        <v>0</v>
      </c>
      <c r="BL328" s="208">
        <v>-8187586</v>
      </c>
      <c r="BM328" s="208">
        <v>0</v>
      </c>
      <c r="BN328" s="208">
        <v>-8187586</v>
      </c>
      <c r="BO328" s="208">
        <v>0</v>
      </c>
      <c r="BP328" s="208">
        <v>0</v>
      </c>
      <c r="BQ328" s="208">
        <v>0</v>
      </c>
      <c r="BR328" s="208">
        <v>1693</v>
      </c>
      <c r="BS328" s="208">
        <v>0</v>
      </c>
      <c r="BT328" s="208">
        <v>1693</v>
      </c>
      <c r="BU328" s="208">
        <v>-2065921</v>
      </c>
      <c r="BV328" s="208">
        <v>0</v>
      </c>
      <c r="BW328" s="208">
        <v>-2065921</v>
      </c>
      <c r="BX328" s="208">
        <v>-294214</v>
      </c>
      <c r="BY328" s="208">
        <v>0</v>
      </c>
      <c r="BZ328" s="208">
        <v>-294214</v>
      </c>
      <c r="CA328" s="208">
        <v>-2358442</v>
      </c>
      <c r="CB328" s="208">
        <v>0</v>
      </c>
      <c r="CC328" s="208">
        <v>-2358442</v>
      </c>
      <c r="CD328" s="208">
        <v>-171488</v>
      </c>
      <c r="CE328" s="208">
        <v>0</v>
      </c>
      <c r="CF328" s="208">
        <v>-171488</v>
      </c>
      <c r="CG328" s="208">
        <v>378</v>
      </c>
      <c r="CH328" s="208">
        <v>0</v>
      </c>
      <c r="CI328" s="208">
        <v>378</v>
      </c>
      <c r="CJ328" s="208">
        <v>-57404</v>
      </c>
      <c r="CK328" s="208">
        <v>0</v>
      </c>
      <c r="CL328" s="208">
        <v>-57404</v>
      </c>
      <c r="CM328" s="208">
        <v>0</v>
      </c>
      <c r="CN328" s="208">
        <v>0</v>
      </c>
      <c r="CO328" s="208">
        <v>0</v>
      </c>
      <c r="CP328" s="208">
        <v>-2594</v>
      </c>
      <c r="CQ328" s="208">
        <v>0</v>
      </c>
      <c r="CR328" s="208">
        <v>-2594</v>
      </c>
      <c r="CS328" s="208">
        <v>0</v>
      </c>
      <c r="CT328" s="208">
        <v>0</v>
      </c>
      <c r="CU328" s="208">
        <v>0</v>
      </c>
      <c r="CV328" s="208">
        <v>0</v>
      </c>
      <c r="CW328" s="208">
        <v>0</v>
      </c>
      <c r="CX328" s="208">
        <v>0</v>
      </c>
      <c r="CY328" s="208">
        <v>0</v>
      </c>
      <c r="CZ328" s="208">
        <v>0</v>
      </c>
      <c r="DA328" s="208">
        <v>0</v>
      </c>
      <c r="DB328" s="208">
        <v>0</v>
      </c>
      <c r="DC328" s="208">
        <v>0</v>
      </c>
      <c r="DD328" s="208">
        <v>0</v>
      </c>
      <c r="DE328" s="208">
        <v>0</v>
      </c>
      <c r="DF328" s="208">
        <v>0</v>
      </c>
      <c r="DG328" s="208">
        <v>0</v>
      </c>
      <c r="DH328" s="208">
        <v>0</v>
      </c>
      <c r="DI328" s="208">
        <v>0</v>
      </c>
      <c r="DJ328" s="208">
        <v>0</v>
      </c>
      <c r="DK328" s="208">
        <v>0</v>
      </c>
      <c r="DL328" s="208">
        <v>0</v>
      </c>
      <c r="DM328" s="208">
        <v>0</v>
      </c>
      <c r="DN328" s="208">
        <v>0</v>
      </c>
      <c r="DO328" s="208">
        <v>0</v>
      </c>
      <c r="DP328" s="208">
        <v>-231108</v>
      </c>
      <c r="DQ328" s="208">
        <v>0</v>
      </c>
      <c r="DR328" s="208">
        <v>-231108</v>
      </c>
      <c r="DS328" s="208">
        <v>0</v>
      </c>
      <c r="DT328" s="208">
        <v>0</v>
      </c>
      <c r="DU328" s="208">
        <v>0</v>
      </c>
      <c r="DV328" s="208">
        <v>0</v>
      </c>
      <c r="DW328" s="208">
        <v>0</v>
      </c>
      <c r="DX328" s="208">
        <v>0</v>
      </c>
      <c r="DY328" s="208">
        <v>0</v>
      </c>
      <c r="DZ328" s="208">
        <v>0</v>
      </c>
      <c r="EA328" s="208">
        <v>0</v>
      </c>
      <c r="EB328" s="208">
        <v>0</v>
      </c>
      <c r="EC328" s="208">
        <v>0</v>
      </c>
      <c r="ED328" s="208">
        <v>0</v>
      </c>
      <c r="EE328" s="208">
        <v>0</v>
      </c>
      <c r="EF328" s="208">
        <v>0</v>
      </c>
      <c r="EG328" s="208">
        <v>0</v>
      </c>
      <c r="EH328" s="208">
        <v>0</v>
      </c>
      <c r="EI328" s="208">
        <v>0</v>
      </c>
      <c r="EJ328" s="208">
        <v>0</v>
      </c>
      <c r="EK328" s="208">
        <v>-8662</v>
      </c>
      <c r="EL328" s="208">
        <v>0</v>
      </c>
      <c r="EM328" s="208">
        <v>-8662</v>
      </c>
      <c r="EN328" s="208">
        <v>0</v>
      </c>
      <c r="EO328" s="208">
        <v>0</v>
      </c>
      <c r="EP328" s="208">
        <v>0</v>
      </c>
      <c r="EQ328" s="208">
        <v>-1500</v>
      </c>
      <c r="ER328" s="208">
        <v>0</v>
      </c>
      <c r="ES328" s="208">
        <v>-1500</v>
      </c>
      <c r="ET328" s="208">
        <v>-148</v>
      </c>
      <c r="EU328" s="208">
        <v>0</v>
      </c>
      <c r="EV328" s="208">
        <v>-148</v>
      </c>
      <c r="EW328" s="208">
        <v>-29238</v>
      </c>
      <c r="EX328" s="208">
        <v>0</v>
      </c>
      <c r="EY328" s="208">
        <v>-29238</v>
      </c>
      <c r="EZ328" s="208">
        <v>746</v>
      </c>
      <c r="FA328" s="208">
        <v>0</v>
      </c>
      <c r="FB328" s="208">
        <v>746</v>
      </c>
      <c r="FC328" s="208">
        <v>-153829</v>
      </c>
      <c r="FD328" s="208">
        <v>0</v>
      </c>
      <c r="FE328" s="208">
        <v>-153829</v>
      </c>
      <c r="FF328" s="208">
        <v>-1236</v>
      </c>
      <c r="FG328" s="208">
        <v>0</v>
      </c>
      <c r="FH328" s="208">
        <v>-1236</v>
      </c>
      <c r="FI328" s="208">
        <v>-59907</v>
      </c>
      <c r="FJ328" s="208">
        <v>0</v>
      </c>
      <c r="FK328" s="208">
        <v>-59907</v>
      </c>
      <c r="FL328" s="208">
        <v>-570</v>
      </c>
      <c r="FM328" s="208">
        <v>0</v>
      </c>
      <c r="FN328" s="208">
        <v>-570</v>
      </c>
      <c r="FO328" s="208">
        <v>0</v>
      </c>
      <c r="FP328" s="208">
        <v>0</v>
      </c>
      <c r="FQ328" s="208">
        <v>0</v>
      </c>
      <c r="FR328" s="208">
        <v>0</v>
      </c>
      <c r="FS328" s="208">
        <v>0</v>
      </c>
      <c r="FT328" s="208">
        <v>0</v>
      </c>
      <c r="FU328" s="208">
        <v>-254344</v>
      </c>
      <c r="FV328" s="208">
        <v>0</v>
      </c>
      <c r="FW328" s="208">
        <v>-254344</v>
      </c>
      <c r="FX328" s="208">
        <v>0</v>
      </c>
      <c r="FY328" s="208">
        <v>0</v>
      </c>
      <c r="FZ328" s="208">
        <v>0</v>
      </c>
      <c r="GA328" s="208">
        <v>-3002</v>
      </c>
      <c r="GB328" s="208">
        <v>0</v>
      </c>
      <c r="GC328" s="208">
        <v>-3002</v>
      </c>
      <c r="GD328" s="208">
        <v>-3002</v>
      </c>
      <c r="GE328" s="208">
        <v>0</v>
      </c>
      <c r="GF328" s="208">
        <v>-3002</v>
      </c>
      <c r="GG328" s="208">
        <v>81321229</v>
      </c>
      <c r="GH328" s="208">
        <v>0</v>
      </c>
      <c r="GI328" s="208">
        <v>81321229</v>
      </c>
      <c r="GJ328" s="208">
        <v>-113690</v>
      </c>
      <c r="GK328" s="208">
        <v>0</v>
      </c>
      <c r="GL328" s="208">
        <v>-113690</v>
      </c>
      <c r="GM328" s="208">
        <v>-8187586</v>
      </c>
      <c r="GN328" s="208">
        <v>0</v>
      </c>
      <c r="GO328" s="208">
        <v>-8187586</v>
      </c>
      <c r="GP328" s="208">
        <v>-2358442</v>
      </c>
      <c r="GQ328" s="208">
        <v>0</v>
      </c>
      <c r="GR328" s="208">
        <v>-2358442</v>
      </c>
      <c r="GS328" s="208">
        <v>-231108</v>
      </c>
      <c r="GT328" s="208">
        <v>0</v>
      </c>
      <c r="GU328" s="208">
        <v>-231108</v>
      </c>
      <c r="GV328" s="208">
        <v>-254344</v>
      </c>
      <c r="GW328" s="208">
        <v>0</v>
      </c>
      <c r="GX328" s="208">
        <v>-254344</v>
      </c>
      <c r="GY328" s="208">
        <v>-3002</v>
      </c>
      <c r="GZ328" s="208">
        <v>0</v>
      </c>
      <c r="HA328" s="208">
        <v>-3002</v>
      </c>
      <c r="HB328" s="208">
        <v>-11148172</v>
      </c>
      <c r="HC328" s="208">
        <v>0</v>
      </c>
      <c r="HD328" s="208">
        <v>-11148172</v>
      </c>
      <c r="HE328" s="208">
        <v>70173057</v>
      </c>
      <c r="HF328" s="208">
        <v>0</v>
      </c>
      <c r="HG328" s="208">
        <v>70173057</v>
      </c>
      <c r="HH328" s="187" t="s">
        <v>1054</v>
      </c>
    </row>
    <row r="329" spans="1:216" s="187" customFormat="1" x14ac:dyDescent="0.2">
      <c r="B329" s="429" t="s">
        <v>736</v>
      </c>
      <c r="C329" s="429" t="s">
        <v>735</v>
      </c>
      <c r="D329" s="208">
        <v>-590232</v>
      </c>
      <c r="E329" s="208">
        <v>-1609</v>
      </c>
      <c r="F329" s="208">
        <v>-591841</v>
      </c>
      <c r="G329" s="208">
        <v>272533</v>
      </c>
      <c r="H329" s="208">
        <v>0</v>
      </c>
      <c r="I329" s="208">
        <v>272533</v>
      </c>
      <c r="J329" s="208">
        <v>1445506</v>
      </c>
      <c r="K329" s="208">
        <v>69809</v>
      </c>
      <c r="L329" s="208">
        <v>1515315</v>
      </c>
      <c r="M329" s="208">
        <v>-33496</v>
      </c>
      <c r="N329" s="208">
        <v>-42615</v>
      </c>
      <c r="O329" s="208">
        <v>-76111</v>
      </c>
      <c r="P329" s="208">
        <v>1094311</v>
      </c>
      <c r="Q329" s="208">
        <v>25585</v>
      </c>
      <c r="R329" s="208">
        <v>1119896</v>
      </c>
      <c r="S329" s="208">
        <v>-4899540</v>
      </c>
      <c r="T329" s="208">
        <v>-45968</v>
      </c>
      <c r="U329" s="208">
        <v>-4945508</v>
      </c>
      <c r="V329" s="208">
        <v>-14107</v>
      </c>
      <c r="W329" s="208">
        <v>0</v>
      </c>
      <c r="X329" s="208">
        <v>-14107</v>
      </c>
      <c r="Y329" s="208">
        <v>-168030</v>
      </c>
      <c r="Z329" s="208">
        <v>-3531</v>
      </c>
      <c r="AA329" s="208">
        <v>-171561</v>
      </c>
      <c r="AB329" s="208">
        <v>-3520</v>
      </c>
      <c r="AC329" s="208">
        <v>0</v>
      </c>
      <c r="AD329" s="208">
        <v>-3520</v>
      </c>
      <c r="AE329" s="208">
        <v>0</v>
      </c>
      <c r="AF329" s="208">
        <v>0</v>
      </c>
      <c r="AG329" s="208">
        <v>0</v>
      </c>
      <c r="AH329" s="208">
        <v>0</v>
      </c>
      <c r="AI329" s="208">
        <v>0</v>
      </c>
      <c r="AJ329" s="208">
        <v>0</v>
      </c>
      <c r="AK329" s="208">
        <v>0</v>
      </c>
      <c r="AL329" s="208">
        <v>0</v>
      </c>
      <c r="AM329" s="208">
        <v>0</v>
      </c>
      <c r="AN329" s="208">
        <v>460257</v>
      </c>
      <c r="AO329" s="208">
        <v>78410</v>
      </c>
      <c r="AP329" s="208">
        <v>538667</v>
      </c>
      <c r="AQ329" s="208">
        <v>-15319</v>
      </c>
      <c r="AR329" s="208">
        <v>1874</v>
      </c>
      <c r="AS329" s="208">
        <v>-13445</v>
      </c>
      <c r="AT329" s="208">
        <v>-2002063</v>
      </c>
      <c r="AU329" s="208">
        <v>-17748</v>
      </c>
      <c r="AV329" s="208">
        <v>-2019811</v>
      </c>
      <c r="AW329" s="208">
        <v>77867</v>
      </c>
      <c r="AX329" s="208">
        <v>4215</v>
      </c>
      <c r="AY329" s="208">
        <v>82082</v>
      </c>
      <c r="AZ329" s="208">
        <v>-29093</v>
      </c>
      <c r="BA329" s="208">
        <v>0</v>
      </c>
      <c r="BB329" s="208">
        <v>-29093</v>
      </c>
      <c r="BC329" s="208">
        <v>0</v>
      </c>
      <c r="BD329" s="208">
        <v>0</v>
      </c>
      <c r="BE329" s="208">
        <v>0</v>
      </c>
      <c r="BF329" s="208">
        <v>-164</v>
      </c>
      <c r="BG329" s="208">
        <v>0</v>
      </c>
      <c r="BH329" s="208">
        <v>-164</v>
      </c>
      <c r="BI329" s="208">
        <v>0</v>
      </c>
      <c r="BJ329" s="208">
        <v>0</v>
      </c>
      <c r="BK329" s="208">
        <v>0</v>
      </c>
      <c r="BL329" s="208">
        <v>-6576085</v>
      </c>
      <c r="BM329" s="208">
        <v>17252</v>
      </c>
      <c r="BN329" s="208">
        <v>-6558833</v>
      </c>
      <c r="BO329" s="208">
        <v>0</v>
      </c>
      <c r="BP329" s="208">
        <v>0</v>
      </c>
      <c r="BQ329" s="208">
        <v>0</v>
      </c>
      <c r="BR329" s="208">
        <v>594</v>
      </c>
      <c r="BS329" s="208">
        <v>0</v>
      </c>
      <c r="BT329" s="208">
        <v>594</v>
      </c>
      <c r="BU329" s="208">
        <v>-546053</v>
      </c>
      <c r="BV329" s="208">
        <v>-22236</v>
      </c>
      <c r="BW329" s="208">
        <v>-568289</v>
      </c>
      <c r="BX329" s="208">
        <v>-15603</v>
      </c>
      <c r="BY329" s="208">
        <v>0</v>
      </c>
      <c r="BZ329" s="208">
        <v>-15603</v>
      </c>
      <c r="CA329" s="208">
        <v>-561062</v>
      </c>
      <c r="CB329" s="208">
        <v>-22236</v>
      </c>
      <c r="CC329" s="208">
        <v>-583298</v>
      </c>
      <c r="CD329" s="208">
        <v>-2760</v>
      </c>
      <c r="CE329" s="208">
        <v>0</v>
      </c>
      <c r="CF329" s="208">
        <v>-2760</v>
      </c>
      <c r="CG329" s="208">
        <v>0</v>
      </c>
      <c r="CH329" s="208">
        <v>0</v>
      </c>
      <c r="CI329" s="208">
        <v>0</v>
      </c>
      <c r="CJ329" s="208">
        <v>-62145</v>
      </c>
      <c r="CK329" s="208">
        <v>0</v>
      </c>
      <c r="CL329" s="208">
        <v>-62145</v>
      </c>
      <c r="CM329" s="208">
        <v>0</v>
      </c>
      <c r="CN329" s="208">
        <v>0</v>
      </c>
      <c r="CO329" s="208">
        <v>0</v>
      </c>
      <c r="CP329" s="208">
        <v>0</v>
      </c>
      <c r="CQ329" s="208">
        <v>0</v>
      </c>
      <c r="CR329" s="208">
        <v>0</v>
      </c>
      <c r="CS329" s="208">
        <v>0</v>
      </c>
      <c r="CT329" s="208">
        <v>0</v>
      </c>
      <c r="CU329" s="208">
        <v>0</v>
      </c>
      <c r="CV329" s="208">
        <v>0</v>
      </c>
      <c r="CW329" s="208">
        <v>0</v>
      </c>
      <c r="CX329" s="208">
        <v>0</v>
      </c>
      <c r="CY329" s="208">
        <v>0</v>
      </c>
      <c r="CZ329" s="208">
        <v>0</v>
      </c>
      <c r="DA329" s="208">
        <v>0</v>
      </c>
      <c r="DB329" s="208">
        <v>0</v>
      </c>
      <c r="DC329" s="208">
        <v>0</v>
      </c>
      <c r="DD329" s="208">
        <v>0</v>
      </c>
      <c r="DE329" s="208">
        <v>0</v>
      </c>
      <c r="DF329" s="208">
        <v>0</v>
      </c>
      <c r="DG329" s="208">
        <v>0</v>
      </c>
      <c r="DH329" s="208">
        <v>0</v>
      </c>
      <c r="DI329" s="208">
        <v>0</v>
      </c>
      <c r="DJ329" s="208">
        <v>0</v>
      </c>
      <c r="DK329" s="208">
        <v>0</v>
      </c>
      <c r="DL329" s="208">
        <v>0</v>
      </c>
      <c r="DM329" s="208">
        <v>0</v>
      </c>
      <c r="DN329" s="208">
        <v>0</v>
      </c>
      <c r="DO329" s="208">
        <v>0</v>
      </c>
      <c r="DP329" s="208">
        <v>-64905</v>
      </c>
      <c r="DQ329" s="208">
        <v>0</v>
      </c>
      <c r="DR329" s="208">
        <v>-64905</v>
      </c>
      <c r="DS329" s="208">
        <v>0</v>
      </c>
      <c r="DT329" s="208">
        <v>0</v>
      </c>
      <c r="DU329" s="208">
        <v>0</v>
      </c>
      <c r="DV329" s="208">
        <v>0</v>
      </c>
      <c r="DW329" s="208">
        <v>0</v>
      </c>
      <c r="DX329" s="208">
        <v>0</v>
      </c>
      <c r="DY329" s="208">
        <v>0</v>
      </c>
      <c r="DZ329" s="208">
        <v>0</v>
      </c>
      <c r="EA329" s="208">
        <v>0</v>
      </c>
      <c r="EB329" s="208">
        <v>0</v>
      </c>
      <c r="EC329" s="208">
        <v>0</v>
      </c>
      <c r="ED329" s="208">
        <v>0</v>
      </c>
      <c r="EE329" s="208">
        <v>0</v>
      </c>
      <c r="EF329" s="208">
        <v>0</v>
      </c>
      <c r="EG329" s="208">
        <v>0</v>
      </c>
      <c r="EH329" s="208">
        <v>0</v>
      </c>
      <c r="EI329" s="208">
        <v>0</v>
      </c>
      <c r="EJ329" s="208">
        <v>0</v>
      </c>
      <c r="EK329" s="208">
        <v>0</v>
      </c>
      <c r="EL329" s="208">
        <v>0</v>
      </c>
      <c r="EM329" s="208">
        <v>0</v>
      </c>
      <c r="EN329" s="208">
        <v>0</v>
      </c>
      <c r="EO329" s="208">
        <v>0</v>
      </c>
      <c r="EP329" s="208">
        <v>0</v>
      </c>
      <c r="EQ329" s="208">
        <v>0</v>
      </c>
      <c r="ER329" s="208">
        <v>0</v>
      </c>
      <c r="ES329" s="208">
        <v>0</v>
      </c>
      <c r="ET329" s="208">
        <v>0</v>
      </c>
      <c r="EU329" s="208">
        <v>0</v>
      </c>
      <c r="EV329" s="208">
        <v>0</v>
      </c>
      <c r="EW329" s="208">
        <v>-10305</v>
      </c>
      <c r="EX329" s="208">
        <v>0</v>
      </c>
      <c r="EY329" s="208">
        <v>-10305</v>
      </c>
      <c r="EZ329" s="208">
        <v>-495</v>
      </c>
      <c r="FA329" s="208">
        <v>0</v>
      </c>
      <c r="FB329" s="208">
        <v>-495</v>
      </c>
      <c r="FC329" s="208">
        <v>-28988</v>
      </c>
      <c r="FD329" s="208">
        <v>-1789</v>
      </c>
      <c r="FE329" s="208">
        <v>-30777</v>
      </c>
      <c r="FF329" s="208">
        <v>1200</v>
      </c>
      <c r="FG329" s="208">
        <v>0</v>
      </c>
      <c r="FH329" s="208">
        <v>1200</v>
      </c>
      <c r="FI329" s="208">
        <v>-41782</v>
      </c>
      <c r="FJ329" s="208">
        <v>0</v>
      </c>
      <c r="FK329" s="208">
        <v>-41782</v>
      </c>
      <c r="FL329" s="208">
        <v>-1340</v>
      </c>
      <c r="FM329" s="208">
        <v>0</v>
      </c>
      <c r="FN329" s="208">
        <v>-1340</v>
      </c>
      <c r="FO329" s="208">
        <v>0</v>
      </c>
      <c r="FP329" s="208">
        <v>0</v>
      </c>
      <c r="FQ329" s="208">
        <v>0</v>
      </c>
      <c r="FR329" s="208">
        <v>0</v>
      </c>
      <c r="FS329" s="208">
        <v>0</v>
      </c>
      <c r="FT329" s="208">
        <v>0</v>
      </c>
      <c r="FU329" s="208">
        <v>-81710</v>
      </c>
      <c r="FV329" s="208">
        <v>-1789</v>
      </c>
      <c r="FW329" s="208">
        <v>-83499</v>
      </c>
      <c r="FX329" s="208">
        <v>0</v>
      </c>
      <c r="FY329" s="208">
        <v>0</v>
      </c>
      <c r="FZ329" s="208">
        <v>0</v>
      </c>
      <c r="GA329" s="208">
        <v>0</v>
      </c>
      <c r="GB329" s="208">
        <v>0</v>
      </c>
      <c r="GC329" s="208">
        <v>0</v>
      </c>
      <c r="GD329" s="208">
        <v>0</v>
      </c>
      <c r="GE329" s="208">
        <v>0</v>
      </c>
      <c r="GF329" s="208">
        <v>0</v>
      </c>
      <c r="GG329" s="208">
        <v>29947292</v>
      </c>
      <c r="GH329" s="208">
        <v>3105076</v>
      </c>
      <c r="GI329" s="208">
        <v>33052368</v>
      </c>
      <c r="GJ329" s="208">
        <v>1094311</v>
      </c>
      <c r="GK329" s="208">
        <v>25585</v>
      </c>
      <c r="GL329" s="208">
        <v>1119896</v>
      </c>
      <c r="GM329" s="208">
        <v>-6576085</v>
      </c>
      <c r="GN329" s="208">
        <v>17252</v>
      </c>
      <c r="GO329" s="208">
        <v>-6558833</v>
      </c>
      <c r="GP329" s="208">
        <v>-561062</v>
      </c>
      <c r="GQ329" s="208">
        <v>-22236</v>
      </c>
      <c r="GR329" s="208">
        <v>-583298</v>
      </c>
      <c r="GS329" s="208">
        <v>-64905</v>
      </c>
      <c r="GT329" s="208">
        <v>0</v>
      </c>
      <c r="GU329" s="208">
        <v>-64905</v>
      </c>
      <c r="GV329" s="208">
        <v>-81710</v>
      </c>
      <c r="GW329" s="208">
        <v>-1789</v>
      </c>
      <c r="GX329" s="208">
        <v>-83499</v>
      </c>
      <c r="GY329" s="208">
        <v>0</v>
      </c>
      <c r="GZ329" s="208">
        <v>0</v>
      </c>
      <c r="HA329" s="208">
        <v>0</v>
      </c>
      <c r="HB329" s="208">
        <v>-6189451</v>
      </c>
      <c r="HC329" s="208">
        <v>18812</v>
      </c>
      <c r="HD329" s="208">
        <v>-6170639</v>
      </c>
      <c r="HE329" s="208">
        <v>23757841</v>
      </c>
      <c r="HF329" s="208">
        <v>3123888</v>
      </c>
      <c r="HG329" s="208">
        <v>26881729</v>
      </c>
      <c r="HH329" s="187" t="s">
        <v>1054</v>
      </c>
    </row>
    <row r="330" spans="1:216" s="187" customFormat="1" x14ac:dyDescent="0.2">
      <c r="A330" s="188"/>
      <c r="B330" s="429" t="s">
        <v>738</v>
      </c>
      <c r="C330" s="429" t="s">
        <v>737</v>
      </c>
      <c r="D330" s="208">
        <v>-508940</v>
      </c>
      <c r="E330" s="208">
        <v>0</v>
      </c>
      <c r="F330" s="208">
        <v>-508940</v>
      </c>
      <c r="G330" s="208">
        <v>-3610</v>
      </c>
      <c r="H330" s="208">
        <v>0</v>
      </c>
      <c r="I330" s="208">
        <v>-3610</v>
      </c>
      <c r="J330" s="208">
        <v>833382</v>
      </c>
      <c r="K330" s="208">
        <v>0</v>
      </c>
      <c r="L330" s="208">
        <v>833382</v>
      </c>
      <c r="M330" s="208">
        <v>-31624</v>
      </c>
      <c r="N330" s="208">
        <v>0</v>
      </c>
      <c r="O330" s="208">
        <v>-31624</v>
      </c>
      <c r="P330" s="208">
        <v>289208</v>
      </c>
      <c r="Q330" s="208">
        <v>0</v>
      </c>
      <c r="R330" s="208">
        <v>289208</v>
      </c>
      <c r="S330" s="208">
        <v>-3626364</v>
      </c>
      <c r="T330" s="208">
        <v>0</v>
      </c>
      <c r="U330" s="208">
        <v>-3626364</v>
      </c>
      <c r="V330" s="208">
        <v>0</v>
      </c>
      <c r="W330" s="208">
        <v>0</v>
      </c>
      <c r="X330" s="208">
        <v>0</v>
      </c>
      <c r="Y330" s="208">
        <v>-128853</v>
      </c>
      <c r="Z330" s="208">
        <v>0</v>
      </c>
      <c r="AA330" s="208">
        <v>-128853</v>
      </c>
      <c r="AB330" s="208">
        <v>-33343</v>
      </c>
      <c r="AC330" s="208">
        <v>0</v>
      </c>
      <c r="AD330" s="208">
        <v>-33343</v>
      </c>
      <c r="AE330" s="208">
        <v>-90772</v>
      </c>
      <c r="AF330" s="208">
        <v>0</v>
      </c>
      <c r="AG330" s="208">
        <v>-90772</v>
      </c>
      <c r="AH330" s="208">
        <v>0</v>
      </c>
      <c r="AI330" s="208">
        <v>0</v>
      </c>
      <c r="AJ330" s="208">
        <v>0</v>
      </c>
      <c r="AK330" s="208">
        <v>0</v>
      </c>
      <c r="AL330" s="208">
        <v>0</v>
      </c>
      <c r="AM330" s="208">
        <v>0</v>
      </c>
      <c r="AN330" s="208">
        <v>653011</v>
      </c>
      <c r="AO330" s="208">
        <v>0</v>
      </c>
      <c r="AP330" s="208">
        <v>653011</v>
      </c>
      <c r="AQ330" s="208">
        <v>-19454</v>
      </c>
      <c r="AR330" s="208">
        <v>0</v>
      </c>
      <c r="AS330" s="208">
        <v>-19454</v>
      </c>
      <c r="AT330" s="208">
        <v>-2205050</v>
      </c>
      <c r="AU330" s="208">
        <v>0</v>
      </c>
      <c r="AV330" s="208">
        <v>-2205050</v>
      </c>
      <c r="AW330" s="208">
        <v>-186918</v>
      </c>
      <c r="AX330" s="208">
        <v>0</v>
      </c>
      <c r="AY330" s="208">
        <v>-186918</v>
      </c>
      <c r="AZ330" s="208">
        <v>-49521</v>
      </c>
      <c r="BA330" s="208">
        <v>0</v>
      </c>
      <c r="BB330" s="208">
        <v>-49521</v>
      </c>
      <c r="BC330" s="208">
        <v>0</v>
      </c>
      <c r="BD330" s="208">
        <v>0</v>
      </c>
      <c r="BE330" s="208">
        <v>0</v>
      </c>
      <c r="BF330" s="208">
        <v>-11087</v>
      </c>
      <c r="BG330" s="208">
        <v>0</v>
      </c>
      <c r="BH330" s="208">
        <v>-11087</v>
      </c>
      <c r="BI330" s="208">
        <v>161</v>
      </c>
      <c r="BJ330" s="208">
        <v>0</v>
      </c>
      <c r="BK330" s="208">
        <v>161</v>
      </c>
      <c r="BL330" s="208">
        <v>-5574075</v>
      </c>
      <c r="BM330" s="208">
        <v>0</v>
      </c>
      <c r="BN330" s="208">
        <v>-5574075</v>
      </c>
      <c r="BO330" s="208">
        <v>0</v>
      </c>
      <c r="BP330" s="208">
        <v>0</v>
      </c>
      <c r="BQ330" s="208">
        <v>0</v>
      </c>
      <c r="BR330" s="208">
        <v>0</v>
      </c>
      <c r="BS330" s="208">
        <v>0</v>
      </c>
      <c r="BT330" s="208">
        <v>0</v>
      </c>
      <c r="BU330" s="208">
        <v>-1144986</v>
      </c>
      <c r="BV330" s="208">
        <v>0</v>
      </c>
      <c r="BW330" s="208">
        <v>-1144986</v>
      </c>
      <c r="BX330" s="208">
        <v>9004</v>
      </c>
      <c r="BY330" s="208">
        <v>0</v>
      </c>
      <c r="BZ330" s="208">
        <v>9004</v>
      </c>
      <c r="CA330" s="208">
        <v>-1135982</v>
      </c>
      <c r="CB330" s="208">
        <v>0</v>
      </c>
      <c r="CC330" s="208">
        <v>-1135982</v>
      </c>
      <c r="CD330" s="208">
        <v>-74677</v>
      </c>
      <c r="CE330" s="208">
        <v>0</v>
      </c>
      <c r="CF330" s="208">
        <v>-74677</v>
      </c>
      <c r="CG330" s="208">
        <v>164</v>
      </c>
      <c r="CH330" s="208">
        <v>0</v>
      </c>
      <c r="CI330" s="208">
        <v>164</v>
      </c>
      <c r="CJ330" s="208">
        <v>-139412</v>
      </c>
      <c r="CK330" s="208">
        <v>0</v>
      </c>
      <c r="CL330" s="208">
        <v>-139412</v>
      </c>
      <c r="CM330" s="208">
        <v>-123</v>
      </c>
      <c r="CN330" s="208">
        <v>0</v>
      </c>
      <c r="CO330" s="208">
        <v>-123</v>
      </c>
      <c r="CP330" s="208">
        <v>0</v>
      </c>
      <c r="CQ330" s="208">
        <v>0</v>
      </c>
      <c r="CR330" s="208">
        <v>0</v>
      </c>
      <c r="CS330" s="208">
        <v>0</v>
      </c>
      <c r="CT330" s="208">
        <v>0</v>
      </c>
      <c r="CU330" s="208">
        <v>0</v>
      </c>
      <c r="CV330" s="208">
        <v>0</v>
      </c>
      <c r="CW330" s="208">
        <v>0</v>
      </c>
      <c r="CX330" s="208">
        <v>0</v>
      </c>
      <c r="CY330" s="208">
        <v>0</v>
      </c>
      <c r="CZ330" s="208">
        <v>0</v>
      </c>
      <c r="DA330" s="208">
        <v>0</v>
      </c>
      <c r="DB330" s="208">
        <v>0</v>
      </c>
      <c r="DC330" s="208">
        <v>0</v>
      </c>
      <c r="DD330" s="208">
        <v>0</v>
      </c>
      <c r="DE330" s="208">
        <v>0</v>
      </c>
      <c r="DF330" s="208">
        <v>0</v>
      </c>
      <c r="DG330" s="208">
        <v>0</v>
      </c>
      <c r="DH330" s="208">
        <v>0</v>
      </c>
      <c r="DI330" s="208">
        <v>0</v>
      </c>
      <c r="DJ330" s="208">
        <v>0</v>
      </c>
      <c r="DK330" s="208">
        <v>0</v>
      </c>
      <c r="DL330" s="208">
        <v>0</v>
      </c>
      <c r="DM330" s="208">
        <v>0</v>
      </c>
      <c r="DN330" s="208">
        <v>0</v>
      </c>
      <c r="DO330" s="208">
        <v>0</v>
      </c>
      <c r="DP330" s="208">
        <v>-214048</v>
      </c>
      <c r="DQ330" s="208">
        <v>0</v>
      </c>
      <c r="DR330" s="208">
        <v>-214048</v>
      </c>
      <c r="DS330" s="208">
        <v>0</v>
      </c>
      <c r="DT330" s="208">
        <v>0</v>
      </c>
      <c r="DU330" s="208">
        <v>0</v>
      </c>
      <c r="DV330" s="208">
        <v>0</v>
      </c>
      <c r="DW330" s="208">
        <v>0</v>
      </c>
      <c r="DX330" s="208">
        <v>0</v>
      </c>
      <c r="DY330" s="208">
        <v>0</v>
      </c>
      <c r="DZ330" s="208">
        <v>0</v>
      </c>
      <c r="EA330" s="208">
        <v>0</v>
      </c>
      <c r="EB330" s="208">
        <v>0</v>
      </c>
      <c r="EC330" s="208">
        <v>0</v>
      </c>
      <c r="ED330" s="208">
        <v>0</v>
      </c>
      <c r="EE330" s="208">
        <v>0</v>
      </c>
      <c r="EF330" s="208">
        <v>0</v>
      </c>
      <c r="EG330" s="208">
        <v>0</v>
      </c>
      <c r="EH330" s="208">
        <v>0</v>
      </c>
      <c r="EI330" s="208">
        <v>0</v>
      </c>
      <c r="EJ330" s="208">
        <v>0</v>
      </c>
      <c r="EK330" s="208">
        <v>-11087</v>
      </c>
      <c r="EL330" s="208">
        <v>0</v>
      </c>
      <c r="EM330" s="208">
        <v>-11087</v>
      </c>
      <c r="EN330" s="208">
        <v>161</v>
      </c>
      <c r="EO330" s="208">
        <v>0</v>
      </c>
      <c r="EP330" s="208">
        <v>161</v>
      </c>
      <c r="EQ330" s="208">
        <v>0</v>
      </c>
      <c r="ER330" s="208">
        <v>0</v>
      </c>
      <c r="ES330" s="208">
        <v>0</v>
      </c>
      <c r="ET330" s="208">
        <v>0</v>
      </c>
      <c r="EU330" s="208">
        <v>0</v>
      </c>
      <c r="EV330" s="208">
        <v>0</v>
      </c>
      <c r="EW330" s="208">
        <v>-11541</v>
      </c>
      <c r="EX330" s="208">
        <v>0</v>
      </c>
      <c r="EY330" s="208">
        <v>-11541</v>
      </c>
      <c r="EZ330" s="208">
        <v>157</v>
      </c>
      <c r="FA330" s="208">
        <v>0</v>
      </c>
      <c r="FB330" s="208">
        <v>157</v>
      </c>
      <c r="FC330" s="208">
        <v>-56245</v>
      </c>
      <c r="FD330" s="208">
        <v>0</v>
      </c>
      <c r="FE330" s="208">
        <v>-56245</v>
      </c>
      <c r="FF330" s="208">
        <v>749</v>
      </c>
      <c r="FG330" s="208">
        <v>0</v>
      </c>
      <c r="FH330" s="208">
        <v>749</v>
      </c>
      <c r="FI330" s="208">
        <v>-59005</v>
      </c>
      <c r="FJ330" s="208">
        <v>0</v>
      </c>
      <c r="FK330" s="208">
        <v>-59005</v>
      </c>
      <c r="FL330" s="208">
        <v>-460</v>
      </c>
      <c r="FM330" s="208">
        <v>0</v>
      </c>
      <c r="FN330" s="208">
        <v>-460</v>
      </c>
      <c r="FO330" s="208">
        <v>0</v>
      </c>
      <c r="FP330" s="208">
        <v>0</v>
      </c>
      <c r="FQ330" s="208">
        <v>0</v>
      </c>
      <c r="FR330" s="208">
        <v>0</v>
      </c>
      <c r="FS330" s="208">
        <v>0</v>
      </c>
      <c r="FT330" s="208">
        <v>0</v>
      </c>
      <c r="FU330" s="208">
        <v>-137271</v>
      </c>
      <c r="FV330" s="208">
        <v>0</v>
      </c>
      <c r="FW330" s="208">
        <v>-137271</v>
      </c>
      <c r="FX330" s="208">
        <v>-2623</v>
      </c>
      <c r="FY330" s="208">
        <v>0</v>
      </c>
      <c r="FZ330" s="208">
        <v>-2623</v>
      </c>
      <c r="GA330" s="208">
        <v>-13458</v>
      </c>
      <c r="GB330" s="208">
        <v>0</v>
      </c>
      <c r="GC330" s="208">
        <v>-13458</v>
      </c>
      <c r="GD330" s="208">
        <v>-16081</v>
      </c>
      <c r="GE330" s="208">
        <v>0</v>
      </c>
      <c r="GF330" s="208">
        <v>-16081</v>
      </c>
      <c r="GG330" s="208">
        <v>35274644</v>
      </c>
      <c r="GH330" s="208">
        <v>0</v>
      </c>
      <c r="GI330" s="208">
        <v>35274644</v>
      </c>
      <c r="GJ330" s="208">
        <v>289208</v>
      </c>
      <c r="GK330" s="208">
        <v>0</v>
      </c>
      <c r="GL330" s="208">
        <v>289208</v>
      </c>
      <c r="GM330" s="208">
        <v>-5574075</v>
      </c>
      <c r="GN330" s="208">
        <v>0</v>
      </c>
      <c r="GO330" s="208">
        <v>-5574075</v>
      </c>
      <c r="GP330" s="208">
        <v>-1135982</v>
      </c>
      <c r="GQ330" s="208">
        <v>0</v>
      </c>
      <c r="GR330" s="208">
        <v>-1135982</v>
      </c>
      <c r="GS330" s="208">
        <v>-214048</v>
      </c>
      <c r="GT330" s="208">
        <v>0</v>
      </c>
      <c r="GU330" s="208">
        <v>-214048</v>
      </c>
      <c r="GV330" s="208">
        <v>-137271</v>
      </c>
      <c r="GW330" s="208">
        <v>0</v>
      </c>
      <c r="GX330" s="208">
        <v>-137271</v>
      </c>
      <c r="GY330" s="208">
        <v>-16081</v>
      </c>
      <c r="GZ330" s="208">
        <v>0</v>
      </c>
      <c r="HA330" s="208">
        <v>-16081</v>
      </c>
      <c r="HB330" s="208">
        <v>-6788249</v>
      </c>
      <c r="HC330" s="208">
        <v>0</v>
      </c>
      <c r="HD330" s="208">
        <v>-6788249</v>
      </c>
      <c r="HE330" s="208">
        <v>28486395</v>
      </c>
      <c r="HF330" s="208">
        <v>0</v>
      </c>
      <c r="HG330" s="208">
        <v>28486395</v>
      </c>
      <c r="HH330" s="187" t="s">
        <v>1054</v>
      </c>
    </row>
    <row r="331" spans="1:216" s="187" customFormat="1" x14ac:dyDescent="0.2">
      <c r="B331" s="429" t="s">
        <v>740</v>
      </c>
      <c r="C331" s="429" t="s">
        <v>739</v>
      </c>
      <c r="D331" s="208">
        <v>-2027151</v>
      </c>
      <c r="E331" s="208">
        <v>-272728</v>
      </c>
      <c r="F331" s="208">
        <v>-2299879</v>
      </c>
      <c r="G331" s="208">
        <v>-87407</v>
      </c>
      <c r="H331" s="208">
        <v>16909</v>
      </c>
      <c r="I331" s="208">
        <v>-70498</v>
      </c>
      <c r="J331" s="208">
        <v>3624898</v>
      </c>
      <c r="K331" s="208">
        <v>25612</v>
      </c>
      <c r="L331" s="208">
        <v>3650510</v>
      </c>
      <c r="M331" s="208">
        <v>-164148</v>
      </c>
      <c r="N331" s="208">
        <v>0</v>
      </c>
      <c r="O331" s="208">
        <v>-164148</v>
      </c>
      <c r="P331" s="208">
        <v>1346192</v>
      </c>
      <c r="Q331" s="208">
        <v>-230207</v>
      </c>
      <c r="R331" s="208">
        <v>1115985</v>
      </c>
      <c r="S331" s="208">
        <v>-5778398</v>
      </c>
      <c r="T331" s="208">
        <v>-5627</v>
      </c>
      <c r="U331" s="208">
        <v>-5784025</v>
      </c>
      <c r="V331" s="208">
        <v>-52709</v>
      </c>
      <c r="W331" s="208">
        <v>0</v>
      </c>
      <c r="X331" s="208">
        <v>-52709</v>
      </c>
      <c r="Y331" s="208">
        <v>-329789</v>
      </c>
      <c r="Z331" s="208">
        <v>0</v>
      </c>
      <c r="AA331" s="208">
        <v>-329789</v>
      </c>
      <c r="AB331" s="208">
        <v>-122108</v>
      </c>
      <c r="AC331" s="208">
        <v>0</v>
      </c>
      <c r="AD331" s="208">
        <v>-122108</v>
      </c>
      <c r="AE331" s="208">
        <v>-184675</v>
      </c>
      <c r="AF331" s="208">
        <v>0</v>
      </c>
      <c r="AG331" s="208">
        <v>-184675</v>
      </c>
      <c r="AH331" s="208">
        <v>-3236</v>
      </c>
      <c r="AI331" s="208">
        <v>0</v>
      </c>
      <c r="AJ331" s="208">
        <v>-3236</v>
      </c>
      <c r="AK331" s="208">
        <v>-4347</v>
      </c>
      <c r="AL331" s="208">
        <v>0</v>
      </c>
      <c r="AM331" s="208">
        <v>-4347</v>
      </c>
      <c r="AN331" s="208">
        <v>2540663</v>
      </c>
      <c r="AO331" s="208">
        <v>0</v>
      </c>
      <c r="AP331" s="208">
        <v>2540663</v>
      </c>
      <c r="AQ331" s="208">
        <v>-35577</v>
      </c>
      <c r="AR331" s="208">
        <v>0</v>
      </c>
      <c r="AS331" s="208">
        <v>-35577</v>
      </c>
      <c r="AT331" s="208">
        <v>-10472362</v>
      </c>
      <c r="AU331" s="208">
        <v>-564949</v>
      </c>
      <c r="AV331" s="208">
        <v>-11037311</v>
      </c>
      <c r="AW331" s="208">
        <v>236420</v>
      </c>
      <c r="AX331" s="208">
        <v>0</v>
      </c>
      <c r="AY331" s="208">
        <v>236420</v>
      </c>
      <c r="AZ331" s="208">
        <v>-99228</v>
      </c>
      <c r="BA331" s="208">
        <v>0</v>
      </c>
      <c r="BB331" s="208">
        <v>-99228</v>
      </c>
      <c r="BC331" s="208">
        <v>0</v>
      </c>
      <c r="BD331" s="208">
        <v>0</v>
      </c>
      <c r="BE331" s="208">
        <v>0</v>
      </c>
      <c r="BF331" s="208">
        <v>-4224</v>
      </c>
      <c r="BG331" s="208">
        <v>0</v>
      </c>
      <c r="BH331" s="208">
        <v>-4224</v>
      </c>
      <c r="BI331" s="208">
        <v>0</v>
      </c>
      <c r="BJ331" s="208">
        <v>0</v>
      </c>
      <c r="BK331" s="208">
        <v>0</v>
      </c>
      <c r="BL331" s="208">
        <v>-13942495</v>
      </c>
      <c r="BM331" s="208">
        <v>-570576</v>
      </c>
      <c r="BN331" s="208">
        <v>-14513071</v>
      </c>
      <c r="BO331" s="208">
        <v>-1806</v>
      </c>
      <c r="BP331" s="208">
        <v>0</v>
      </c>
      <c r="BQ331" s="208">
        <v>-1806</v>
      </c>
      <c r="BR331" s="208">
        <v>0</v>
      </c>
      <c r="BS331" s="208">
        <v>0</v>
      </c>
      <c r="BT331" s="208">
        <v>0</v>
      </c>
      <c r="BU331" s="208">
        <v>-3108190</v>
      </c>
      <c r="BV331" s="208">
        <v>-2778</v>
      </c>
      <c r="BW331" s="208">
        <v>-3110968</v>
      </c>
      <c r="BX331" s="208">
        <v>-110313</v>
      </c>
      <c r="BY331" s="208">
        <v>0</v>
      </c>
      <c r="BZ331" s="208">
        <v>-110313</v>
      </c>
      <c r="CA331" s="208">
        <v>-3220309</v>
      </c>
      <c r="CB331" s="208">
        <v>-2778</v>
      </c>
      <c r="CC331" s="208">
        <v>-3223087</v>
      </c>
      <c r="CD331" s="208">
        <v>-52455</v>
      </c>
      <c r="CE331" s="208">
        <v>-5125</v>
      </c>
      <c r="CF331" s="208">
        <v>-57580</v>
      </c>
      <c r="CG331" s="208">
        <v>0</v>
      </c>
      <c r="CH331" s="208">
        <v>0</v>
      </c>
      <c r="CI331" s="208">
        <v>0</v>
      </c>
      <c r="CJ331" s="208">
        <v>-13878</v>
      </c>
      <c r="CK331" s="208">
        <v>0</v>
      </c>
      <c r="CL331" s="208">
        <v>-13878</v>
      </c>
      <c r="CM331" s="208">
        <v>83</v>
      </c>
      <c r="CN331" s="208">
        <v>0</v>
      </c>
      <c r="CO331" s="208">
        <v>83</v>
      </c>
      <c r="CP331" s="208">
        <v>-7749</v>
      </c>
      <c r="CQ331" s="208">
        <v>0</v>
      </c>
      <c r="CR331" s="208">
        <v>-7749</v>
      </c>
      <c r="CS331" s="208">
        <v>0</v>
      </c>
      <c r="CT331" s="208">
        <v>0</v>
      </c>
      <c r="CU331" s="208">
        <v>0</v>
      </c>
      <c r="CV331" s="208">
        <v>0</v>
      </c>
      <c r="CW331" s="208">
        <v>0</v>
      </c>
      <c r="CX331" s="208">
        <v>0</v>
      </c>
      <c r="CY331" s="208">
        <v>0</v>
      </c>
      <c r="CZ331" s="208">
        <v>0</v>
      </c>
      <c r="DA331" s="208">
        <v>0</v>
      </c>
      <c r="DB331" s="208">
        <v>-37090</v>
      </c>
      <c r="DC331" s="208">
        <v>0</v>
      </c>
      <c r="DD331" s="208">
        <v>-37090</v>
      </c>
      <c r="DE331" s="208">
        <v>-929</v>
      </c>
      <c r="DF331" s="208">
        <v>0</v>
      </c>
      <c r="DG331" s="208">
        <v>-929</v>
      </c>
      <c r="DH331" s="208">
        <v>-9356</v>
      </c>
      <c r="DI331" s="208">
        <v>0</v>
      </c>
      <c r="DJ331" s="208">
        <v>-9356</v>
      </c>
      <c r="DK331" s="208">
        <v>0</v>
      </c>
      <c r="DL331" s="208">
        <v>0</v>
      </c>
      <c r="DM331" s="208">
        <v>0</v>
      </c>
      <c r="DN331" s="208">
        <v>0</v>
      </c>
      <c r="DO331" s="208">
        <v>0</v>
      </c>
      <c r="DP331" s="208">
        <v>-121374</v>
      </c>
      <c r="DQ331" s="208">
        <v>-5125</v>
      </c>
      <c r="DR331" s="208">
        <v>-126499</v>
      </c>
      <c r="DS331" s="208">
        <v>0</v>
      </c>
      <c r="DT331" s="208">
        <v>0</v>
      </c>
      <c r="DU331" s="208">
        <v>0</v>
      </c>
      <c r="DV331" s="208">
        <v>0</v>
      </c>
      <c r="DW331" s="208">
        <v>0</v>
      </c>
      <c r="DX331" s="208">
        <v>0</v>
      </c>
      <c r="DY331" s="208">
        <v>4485</v>
      </c>
      <c r="DZ331" s="208">
        <v>0</v>
      </c>
      <c r="EA331" s="208">
        <v>4485</v>
      </c>
      <c r="EB331" s="208">
        <v>-20336</v>
      </c>
      <c r="EC331" s="208">
        <v>0</v>
      </c>
      <c r="ED331" s="208">
        <v>-20336</v>
      </c>
      <c r="EE331" s="208">
        <v>10178</v>
      </c>
      <c r="EF331" s="208">
        <v>0</v>
      </c>
      <c r="EG331" s="208">
        <v>10178</v>
      </c>
      <c r="EH331" s="208">
        <v>0</v>
      </c>
      <c r="EI331" s="208">
        <v>0</v>
      </c>
      <c r="EJ331" s="208">
        <v>0</v>
      </c>
      <c r="EK331" s="208">
        <v>-4224</v>
      </c>
      <c r="EL331" s="208">
        <v>0</v>
      </c>
      <c r="EM331" s="208">
        <v>-4224</v>
      </c>
      <c r="EN331" s="208">
        <v>0</v>
      </c>
      <c r="EO331" s="208">
        <v>0</v>
      </c>
      <c r="EP331" s="208">
        <v>0</v>
      </c>
      <c r="EQ331" s="208">
        <v>-1500</v>
      </c>
      <c r="ER331" s="208">
        <v>0</v>
      </c>
      <c r="ES331" s="208">
        <v>-1500</v>
      </c>
      <c r="ET331" s="208">
        <v>0</v>
      </c>
      <c r="EU331" s="208">
        <v>0</v>
      </c>
      <c r="EV331" s="208">
        <v>0</v>
      </c>
      <c r="EW331" s="208">
        <v>-41370</v>
      </c>
      <c r="EX331" s="208">
        <v>0</v>
      </c>
      <c r="EY331" s="208">
        <v>-41370</v>
      </c>
      <c r="EZ331" s="208">
        <v>-1139</v>
      </c>
      <c r="FA331" s="208">
        <v>0</v>
      </c>
      <c r="FB331" s="208">
        <v>-1139</v>
      </c>
      <c r="FC331" s="208">
        <v>-362479</v>
      </c>
      <c r="FD331" s="208">
        <v>-3882</v>
      </c>
      <c r="FE331" s="208">
        <v>-366361</v>
      </c>
      <c r="FF331" s="208">
        <v>10108</v>
      </c>
      <c r="FG331" s="208">
        <v>244</v>
      </c>
      <c r="FH331" s="208">
        <v>10352</v>
      </c>
      <c r="FI331" s="208">
        <v>-95236</v>
      </c>
      <c r="FJ331" s="208">
        <v>-1000</v>
      </c>
      <c r="FK331" s="208">
        <v>-96236</v>
      </c>
      <c r="FL331" s="208">
        <v>-756</v>
      </c>
      <c r="FM331" s="208">
        <v>0</v>
      </c>
      <c r="FN331" s="208">
        <v>-756</v>
      </c>
      <c r="FO331" s="208">
        <v>0</v>
      </c>
      <c r="FP331" s="208">
        <v>0</v>
      </c>
      <c r="FQ331" s="208">
        <v>0</v>
      </c>
      <c r="FR331" s="208">
        <v>0</v>
      </c>
      <c r="FS331" s="208">
        <v>0</v>
      </c>
      <c r="FT331" s="208">
        <v>0</v>
      </c>
      <c r="FU331" s="208">
        <v>-502269</v>
      </c>
      <c r="FV331" s="208">
        <v>-4638</v>
      </c>
      <c r="FW331" s="208">
        <v>-506907</v>
      </c>
      <c r="FX331" s="208">
        <v>0</v>
      </c>
      <c r="FY331" s="208">
        <v>0</v>
      </c>
      <c r="FZ331" s="208">
        <v>0</v>
      </c>
      <c r="GA331" s="208">
        <v>0</v>
      </c>
      <c r="GB331" s="208">
        <v>0</v>
      </c>
      <c r="GC331" s="208">
        <v>0</v>
      </c>
      <c r="GD331" s="208">
        <v>0</v>
      </c>
      <c r="GE331" s="208">
        <v>0</v>
      </c>
      <c r="GF331" s="208">
        <v>0</v>
      </c>
      <c r="GG331" s="208">
        <v>118212856</v>
      </c>
      <c r="GH331" s="208">
        <v>1735116</v>
      </c>
      <c r="GI331" s="208">
        <v>119947972</v>
      </c>
      <c r="GJ331" s="208">
        <v>1346192</v>
      </c>
      <c r="GK331" s="208">
        <v>-230207</v>
      </c>
      <c r="GL331" s="208">
        <v>1115985</v>
      </c>
      <c r="GM331" s="208">
        <v>-13942495</v>
      </c>
      <c r="GN331" s="208">
        <v>-570576</v>
      </c>
      <c r="GO331" s="208">
        <v>-14513071</v>
      </c>
      <c r="GP331" s="208">
        <v>-3220309</v>
      </c>
      <c r="GQ331" s="208">
        <v>-2778</v>
      </c>
      <c r="GR331" s="208">
        <v>-3223087</v>
      </c>
      <c r="GS331" s="208">
        <v>-121374</v>
      </c>
      <c r="GT331" s="208">
        <v>-5125</v>
      </c>
      <c r="GU331" s="208">
        <v>-126499</v>
      </c>
      <c r="GV331" s="208">
        <v>-502269</v>
      </c>
      <c r="GW331" s="208">
        <v>-4638</v>
      </c>
      <c r="GX331" s="208">
        <v>-506907</v>
      </c>
      <c r="GY331" s="208">
        <v>0</v>
      </c>
      <c r="GZ331" s="208">
        <v>0</v>
      </c>
      <c r="HA331" s="208">
        <v>0</v>
      </c>
      <c r="HB331" s="208">
        <v>-16440255</v>
      </c>
      <c r="HC331" s="208">
        <v>-813324</v>
      </c>
      <c r="HD331" s="208">
        <v>-17253579</v>
      </c>
      <c r="HE331" s="208">
        <v>101772601</v>
      </c>
      <c r="HF331" s="208">
        <v>921792</v>
      </c>
      <c r="HG331" s="208">
        <v>102694393</v>
      </c>
      <c r="HH331" s="187" t="s">
        <v>742</v>
      </c>
    </row>
    <row r="332" spans="1:216" s="187" customFormat="1" x14ac:dyDescent="0.2">
      <c r="A332" s="187" t="s">
        <v>1827</v>
      </c>
      <c r="B332" s="429" t="s">
        <v>1046</v>
      </c>
      <c r="C332" s="429" t="s">
        <v>1040</v>
      </c>
      <c r="D332" s="208">
        <v>-657917415.95999992</v>
      </c>
      <c r="E332" s="208">
        <v>-2886444</v>
      </c>
      <c r="F332" s="208">
        <v>-660803859.95999992</v>
      </c>
      <c r="G332" s="208">
        <v>8728922.5199999996</v>
      </c>
      <c r="H332" s="208">
        <v>-330570</v>
      </c>
      <c r="I332" s="208">
        <v>8398352.5199999996</v>
      </c>
      <c r="J332" s="208">
        <v>647597706.47000003</v>
      </c>
      <c r="K332" s="208">
        <v>9002010</v>
      </c>
      <c r="L332" s="208">
        <v>656599716.47000003</v>
      </c>
      <c r="M332" s="208">
        <v>-7382373.8399999999</v>
      </c>
      <c r="N332" s="208">
        <v>-1354933</v>
      </c>
      <c r="O332" s="208">
        <v>-8737306.8399999999</v>
      </c>
      <c r="P332" s="208">
        <v>-8973161</v>
      </c>
      <c r="Q332" s="208">
        <v>4430063</v>
      </c>
      <c r="R332" s="208">
        <v>-4543098</v>
      </c>
      <c r="S332" s="208">
        <v>-1814133658.3500001</v>
      </c>
      <c r="T332" s="208">
        <v>-6306716</v>
      </c>
      <c r="U332" s="208">
        <v>-1820440374.3500001</v>
      </c>
      <c r="V332" s="208">
        <v>-4277233.08</v>
      </c>
      <c r="W332" s="208">
        <v>-23933</v>
      </c>
      <c r="X332" s="208">
        <v>-4301166.08</v>
      </c>
      <c r="Y332" s="208">
        <v>-61969576.750000007</v>
      </c>
      <c r="Z332" s="208">
        <v>-282703</v>
      </c>
      <c r="AA332" s="208">
        <v>-62252279.750000007</v>
      </c>
      <c r="AB332" s="208">
        <v>-16127879.08</v>
      </c>
      <c r="AC332" s="208">
        <v>-38603</v>
      </c>
      <c r="AD332" s="208">
        <v>-16166482.08</v>
      </c>
      <c r="AE332" s="208">
        <v>-41225197.180000007</v>
      </c>
      <c r="AF332" s="208">
        <v>-193380.57</v>
      </c>
      <c r="AG332" s="208">
        <v>-41418577.75</v>
      </c>
      <c r="AH332" s="208">
        <v>-201007.04</v>
      </c>
      <c r="AI332" s="208">
        <v>-1568</v>
      </c>
      <c r="AJ332" s="208">
        <v>-202575.04</v>
      </c>
      <c r="AK332" s="208">
        <v>-413411.64</v>
      </c>
      <c r="AL332" s="208">
        <v>-2176.2600000000002</v>
      </c>
      <c r="AM332" s="208">
        <v>-415587.9</v>
      </c>
      <c r="AN332" s="208">
        <v>623933880.75999999</v>
      </c>
      <c r="AO332" s="208">
        <v>6592552</v>
      </c>
      <c r="AP332" s="208">
        <v>630526432.75999999</v>
      </c>
      <c r="AQ332" s="208">
        <v>-5750596.5300000003</v>
      </c>
      <c r="AR332" s="208">
        <v>-67148.350000000006</v>
      </c>
      <c r="AS332" s="208">
        <v>-5817744.8799999999</v>
      </c>
      <c r="AT332" s="208">
        <v>-1920226952.1099999</v>
      </c>
      <c r="AU332" s="208">
        <v>-12370073</v>
      </c>
      <c r="AV332" s="208">
        <v>-1932597025.1099999</v>
      </c>
      <c r="AW332" s="208">
        <v>-3797599.0299999993</v>
      </c>
      <c r="AX332" s="208">
        <v>-1967685</v>
      </c>
      <c r="AY332" s="208">
        <v>-5765284.0299999993</v>
      </c>
      <c r="AZ332" s="208">
        <v>-19755298.859999999</v>
      </c>
      <c r="BA332" s="208">
        <v>-17748</v>
      </c>
      <c r="BB332" s="208">
        <v>-19773046.859999999</v>
      </c>
      <c r="BC332" s="208">
        <v>-14506.550000000003</v>
      </c>
      <c r="BD332" s="208">
        <v>0</v>
      </c>
      <c r="BE332" s="208">
        <v>-14506.550000000003</v>
      </c>
      <c r="BF332" s="208">
        <v>-4293963.1199999992</v>
      </c>
      <c r="BG332" s="208">
        <v>0</v>
      </c>
      <c r="BH332" s="208">
        <v>-4293963.1199999992</v>
      </c>
      <c r="BI332" s="208">
        <v>-40075.339999999997</v>
      </c>
      <c r="BJ332" s="208">
        <v>0</v>
      </c>
      <c r="BK332" s="208">
        <v>-40075.339999999997</v>
      </c>
      <c r="BL332" s="208">
        <v>-3206048347</v>
      </c>
      <c r="BM332" s="208">
        <v>-14419521</v>
      </c>
      <c r="BN332" s="208">
        <v>-3220467868</v>
      </c>
      <c r="BO332" s="208">
        <v>-23823601.850000001</v>
      </c>
      <c r="BP332" s="208">
        <v>-668186</v>
      </c>
      <c r="BQ332" s="208">
        <v>-24491787.850000001</v>
      </c>
      <c r="BR332" s="208">
        <v>-6323483.71</v>
      </c>
      <c r="BS332" s="208">
        <v>937802.74</v>
      </c>
      <c r="BT332" s="208">
        <v>-5385680.9700000007</v>
      </c>
      <c r="BU332" s="208">
        <v>-974533178.90999997</v>
      </c>
      <c r="BV332" s="208">
        <v>-21623880</v>
      </c>
      <c r="BW332" s="208">
        <v>-996157058.90999997</v>
      </c>
      <c r="BX332" s="208">
        <v>-8303370.870000001</v>
      </c>
      <c r="BY332" s="208">
        <v>1471347</v>
      </c>
      <c r="BZ332" s="208">
        <v>-6832023.870000001</v>
      </c>
      <c r="CA332" s="208">
        <v>-1012983634</v>
      </c>
      <c r="CB332" s="208">
        <v>-19882916</v>
      </c>
      <c r="CC332" s="208">
        <v>-1032866550</v>
      </c>
      <c r="CD332" s="208">
        <v>-46992330.82</v>
      </c>
      <c r="CE332" s="208">
        <v>-143502</v>
      </c>
      <c r="CF332" s="208">
        <v>-47135832.82</v>
      </c>
      <c r="CG332" s="208">
        <v>-479967.57999999996</v>
      </c>
      <c r="CH332" s="208">
        <v>-17559</v>
      </c>
      <c r="CI332" s="208">
        <v>-497526.57999999996</v>
      </c>
      <c r="CJ332" s="208">
        <v>-37154198.329999998</v>
      </c>
      <c r="CK332" s="208">
        <v>-886997</v>
      </c>
      <c r="CL332" s="208">
        <v>-38041195.329999998</v>
      </c>
      <c r="CM332" s="208">
        <v>-945162.11999999988</v>
      </c>
      <c r="CN332" s="208">
        <v>56078</v>
      </c>
      <c r="CO332" s="208">
        <v>-889084.11999999988</v>
      </c>
      <c r="CP332" s="208">
        <v>-1315217.67</v>
      </c>
      <c r="CQ332" s="208">
        <v>0</v>
      </c>
      <c r="CR332" s="208">
        <v>-1315217.67</v>
      </c>
      <c r="CS332" s="208">
        <v>-13351</v>
      </c>
      <c r="CT332" s="208">
        <v>0</v>
      </c>
      <c r="CU332" s="208">
        <v>-13351</v>
      </c>
      <c r="CV332" s="208">
        <v>-278676.53000000003</v>
      </c>
      <c r="CW332" s="208">
        <v>0</v>
      </c>
      <c r="CX332" s="208">
        <v>-278676.53000000003</v>
      </c>
      <c r="CY332" s="208">
        <v>76047</v>
      </c>
      <c r="CZ332" s="208">
        <v>0</v>
      </c>
      <c r="DA332" s="208">
        <v>76047</v>
      </c>
      <c r="DB332" s="208">
        <v>-806647</v>
      </c>
      <c r="DC332" s="208">
        <v>0</v>
      </c>
      <c r="DD332" s="208">
        <v>-806647</v>
      </c>
      <c r="DE332" s="208">
        <v>21816</v>
      </c>
      <c r="DF332" s="208">
        <v>0</v>
      </c>
      <c r="DG332" s="208">
        <v>21816</v>
      </c>
      <c r="DH332" s="208">
        <v>-6554439</v>
      </c>
      <c r="DI332" s="208">
        <v>-14432480</v>
      </c>
      <c r="DJ332" s="208">
        <v>-20986919</v>
      </c>
      <c r="DK332" s="208">
        <v>-1069400.8399999999</v>
      </c>
      <c r="DL332" s="208">
        <v>-2206044</v>
      </c>
      <c r="DM332" s="208">
        <v>-3275444.84</v>
      </c>
      <c r="DN332" s="208">
        <v>-16239329</v>
      </c>
      <c r="DO332" s="208">
        <v>-3053525</v>
      </c>
      <c r="DP332" s="208">
        <v>-95511526</v>
      </c>
      <c r="DQ332" s="208">
        <v>-17630504</v>
      </c>
      <c r="DR332" s="208">
        <v>-113142030</v>
      </c>
      <c r="DS332" s="208">
        <v>273891</v>
      </c>
      <c r="DT332" s="208">
        <v>39356</v>
      </c>
      <c r="DU332" s="208">
        <v>313247</v>
      </c>
      <c r="DV332" s="208">
        <v>23763.83</v>
      </c>
      <c r="DW332" s="208">
        <v>0</v>
      </c>
      <c r="DX332" s="208">
        <v>23763.83</v>
      </c>
      <c r="DY332" s="208">
        <v>363945.66</v>
      </c>
      <c r="DZ332" s="208">
        <v>2500</v>
      </c>
      <c r="EA332" s="208">
        <v>366445.66</v>
      </c>
      <c r="EB332" s="208">
        <v>-115495</v>
      </c>
      <c r="EC332" s="208">
        <v>0</v>
      </c>
      <c r="ED332" s="208">
        <v>-115495</v>
      </c>
      <c r="EE332" s="208">
        <v>80547</v>
      </c>
      <c r="EF332" s="208">
        <v>0</v>
      </c>
      <c r="EG332" s="208">
        <v>80547</v>
      </c>
      <c r="EH332" s="208">
        <v>37022.80999999999</v>
      </c>
      <c r="EI332" s="208">
        <v>0</v>
      </c>
      <c r="EJ332" s="208">
        <v>37022.80999999999</v>
      </c>
      <c r="EK332" s="208">
        <v>-4250283</v>
      </c>
      <c r="EL332" s="208">
        <v>0</v>
      </c>
      <c r="EM332" s="208">
        <v>-4250283</v>
      </c>
      <c r="EN332" s="208">
        <v>-33531.360000000001</v>
      </c>
      <c r="EO332" s="208">
        <v>0</v>
      </c>
      <c r="EP332" s="208">
        <v>-33531.360000000001</v>
      </c>
      <c r="EQ332" s="208">
        <v>-213887.00999999998</v>
      </c>
      <c r="ER332" s="208">
        <v>-945</v>
      </c>
      <c r="ES332" s="208">
        <v>-214832.00999999998</v>
      </c>
      <c r="ET332" s="208">
        <v>-31675</v>
      </c>
      <c r="EU332" s="208">
        <v>0</v>
      </c>
      <c r="EV332" s="208">
        <v>-31675</v>
      </c>
      <c r="EW332" s="208">
        <v>-14458026.760000002</v>
      </c>
      <c r="EX332" s="208">
        <v>-36032</v>
      </c>
      <c r="EY332" s="208">
        <v>-14494058.760000002</v>
      </c>
      <c r="EZ332" s="208">
        <v>169248.53</v>
      </c>
      <c r="FA332" s="208">
        <v>1644</v>
      </c>
      <c r="FB332" s="208">
        <v>170892.53</v>
      </c>
      <c r="FC332" s="208">
        <v>-76397499.300000012</v>
      </c>
      <c r="FD332" s="208">
        <v>-347612</v>
      </c>
      <c r="FE332" s="208">
        <v>-76745111.300000012</v>
      </c>
      <c r="FF332" s="208">
        <v>-2028162.78</v>
      </c>
      <c r="FG332" s="208">
        <v>19316</v>
      </c>
      <c r="FH332" s="208">
        <v>-2008846.78</v>
      </c>
      <c r="FI332" s="208">
        <v>-16924121.620000001</v>
      </c>
      <c r="FJ332" s="208">
        <v>-56094</v>
      </c>
      <c r="FK332" s="208">
        <v>-16980215.620000001</v>
      </c>
      <c r="FL332" s="208">
        <v>-92127.34</v>
      </c>
      <c r="FM332" s="208">
        <v>-1481</v>
      </c>
      <c r="FN332" s="208">
        <v>-93608.34</v>
      </c>
      <c r="FO332" s="208">
        <v>0</v>
      </c>
      <c r="FP332" s="208">
        <v>0</v>
      </c>
      <c r="FQ332" s="208">
        <v>0</v>
      </c>
      <c r="FR332" s="208">
        <v>0</v>
      </c>
      <c r="FS332" s="208">
        <v>0</v>
      </c>
      <c r="FT332" s="208">
        <v>0</v>
      </c>
      <c r="FU332" s="208">
        <v>-113596390</v>
      </c>
      <c r="FV332" s="208">
        <v>-379348</v>
      </c>
      <c r="FW332" s="208">
        <v>-113975738</v>
      </c>
      <c r="FX332" s="208">
        <v>-1571487.89</v>
      </c>
      <c r="FY332" s="208">
        <v>-47389</v>
      </c>
      <c r="FZ332" s="208">
        <v>-1618876.89</v>
      </c>
      <c r="GA332" s="208">
        <v>-525834.51</v>
      </c>
      <c r="GB332" s="208">
        <v>-77</v>
      </c>
      <c r="GC332" s="208">
        <v>-525911.51</v>
      </c>
      <c r="GD332" s="208">
        <v>-2097323</v>
      </c>
      <c r="GE332" s="208">
        <v>-47466</v>
      </c>
      <c r="GF332" s="208">
        <v>-2144789</v>
      </c>
      <c r="GG332" s="208">
        <v>29665500324.610001</v>
      </c>
      <c r="GH332" s="208">
        <v>291291145</v>
      </c>
      <c r="GI332" s="208">
        <v>29956791469.610001</v>
      </c>
      <c r="GJ332" s="208">
        <v>-8973161</v>
      </c>
      <c r="GK332" s="208">
        <v>4430063</v>
      </c>
      <c r="GL332" s="208">
        <v>-4543098</v>
      </c>
      <c r="GM332" s="208">
        <v>-3206048347</v>
      </c>
      <c r="GN332" s="208">
        <v>-14419521</v>
      </c>
      <c r="GO332" s="208">
        <v>-3220467868</v>
      </c>
      <c r="GP332" s="208">
        <v>-1012983634</v>
      </c>
      <c r="GQ332" s="208">
        <v>-19882916</v>
      </c>
      <c r="GR332" s="208">
        <v>-1032866550</v>
      </c>
      <c r="GS332" s="208">
        <v>-95511526</v>
      </c>
      <c r="GT332" s="208">
        <v>-17630504</v>
      </c>
      <c r="GU332" s="208">
        <v>-113142030</v>
      </c>
      <c r="GV332" s="208">
        <v>-113596390</v>
      </c>
      <c r="GW332" s="208">
        <v>-379348</v>
      </c>
      <c r="GX332" s="208">
        <v>-113975738</v>
      </c>
      <c r="GY332" s="208">
        <v>-2097323</v>
      </c>
      <c r="GZ332" s="208">
        <v>-47466</v>
      </c>
      <c r="HA332" s="208">
        <v>-2144789</v>
      </c>
      <c r="HB332" s="208">
        <v>-4439210381</v>
      </c>
      <c r="HC332" s="208">
        <v>-47929692</v>
      </c>
      <c r="HD332" s="208">
        <v>-4487140073</v>
      </c>
      <c r="HE332" s="208">
        <v>25226289943.610001</v>
      </c>
      <c r="HF332" s="208">
        <v>243361453</v>
      </c>
      <c r="HG332" s="208">
        <v>25469651396.610001</v>
      </c>
    </row>
    <row r="333" spans="1:216" s="185" customFormat="1" x14ac:dyDescent="0.2">
      <c r="A333" s="187"/>
      <c r="B333" s="672" t="s">
        <v>1820</v>
      </c>
      <c r="C333" s="672"/>
      <c r="D333" s="677"/>
      <c r="E333" s="678"/>
      <c r="F333" s="678"/>
      <c r="G333" s="679" t="s">
        <v>1822</v>
      </c>
      <c r="H333" s="678"/>
      <c r="I333" s="678"/>
      <c r="J333" s="678"/>
      <c r="K333" s="670"/>
      <c r="L333" s="670"/>
      <c r="M333" s="670"/>
      <c r="N333" s="670"/>
      <c r="O333" s="670"/>
      <c r="P333" s="670"/>
      <c r="Q333" s="670"/>
    </row>
    <row r="334" spans="1:216" s="185" customFormat="1" x14ac:dyDescent="0.2">
      <c r="A334" s="674"/>
      <c r="B334" s="672" t="s">
        <v>1826</v>
      </c>
      <c r="C334" s="672"/>
      <c r="D334" s="677"/>
      <c r="E334" s="678"/>
      <c r="F334" s="678"/>
      <c r="G334" s="675" t="s">
        <v>1825</v>
      </c>
      <c r="H334" s="678"/>
      <c r="I334" s="678"/>
      <c r="J334" s="678"/>
      <c r="K334" s="670"/>
      <c r="L334" s="670"/>
      <c r="M334" s="670"/>
      <c r="N334" s="670"/>
      <c r="O334" s="670"/>
      <c r="P334" s="670"/>
      <c r="Q334" s="670"/>
    </row>
    <row r="335" spans="1:216" x14ac:dyDescent="0.2">
      <c r="A335" s="674"/>
      <c r="B335" s="185"/>
    </row>
    <row r="336" spans="1:216" x14ac:dyDescent="0.2">
      <c r="A336" s="671"/>
    </row>
  </sheetData>
  <autoFilter ref="A5:HH335" xr:uid="{92881EAD-8EE3-4E1F-8986-F69DDAAF1A4E}"/>
  <mergeCells count="70">
    <mergeCell ref="AK2:AM2"/>
    <mergeCell ref="D2:F2"/>
    <mergeCell ref="G2:I2"/>
    <mergeCell ref="J2:L2"/>
    <mergeCell ref="M2:O2"/>
    <mergeCell ref="P2:R2"/>
    <mergeCell ref="S2:U2"/>
    <mergeCell ref="V2:X2"/>
    <mergeCell ref="Y2:AA2"/>
    <mergeCell ref="AB2:AD2"/>
    <mergeCell ref="AE2:AG2"/>
    <mergeCell ref="AH2:AJ2"/>
    <mergeCell ref="BU2:BW2"/>
    <mergeCell ref="AN2:AP2"/>
    <mergeCell ref="AQ2:AS2"/>
    <mergeCell ref="AT2:AV2"/>
    <mergeCell ref="AW2:AY2"/>
    <mergeCell ref="AZ2:BB2"/>
    <mergeCell ref="BC2:BE2"/>
    <mergeCell ref="BF2:BH2"/>
    <mergeCell ref="BI2:BK2"/>
    <mergeCell ref="BL2:BN2"/>
    <mergeCell ref="BO2:BQ2"/>
    <mergeCell ref="BR2:BT2"/>
    <mergeCell ref="DE2:DG2"/>
    <mergeCell ref="BX2:BZ2"/>
    <mergeCell ref="CA2:CC2"/>
    <mergeCell ref="CD2:CF2"/>
    <mergeCell ref="CG2:CI2"/>
    <mergeCell ref="CJ2:CL2"/>
    <mergeCell ref="CM2:CO2"/>
    <mergeCell ref="CP2:CR2"/>
    <mergeCell ref="CS2:CU2"/>
    <mergeCell ref="CV2:CX2"/>
    <mergeCell ref="CY2:DA2"/>
    <mergeCell ref="DB2:DD2"/>
    <mergeCell ref="EQ2:ES2"/>
    <mergeCell ref="DH2:DJ2"/>
    <mergeCell ref="DK2:DM2"/>
    <mergeCell ref="DP2:DR2"/>
    <mergeCell ref="DS2:DU2"/>
    <mergeCell ref="DV2:DX2"/>
    <mergeCell ref="DY2:EA2"/>
    <mergeCell ref="EB2:ED2"/>
    <mergeCell ref="EE2:EG2"/>
    <mergeCell ref="EH2:EJ2"/>
    <mergeCell ref="EK2:EM2"/>
    <mergeCell ref="EN2:EP2"/>
    <mergeCell ref="GA2:GC2"/>
    <mergeCell ref="ET2:EV2"/>
    <mergeCell ref="EW2:EY2"/>
    <mergeCell ref="EZ2:FB2"/>
    <mergeCell ref="FC2:FE2"/>
    <mergeCell ref="FF2:FH2"/>
    <mergeCell ref="FI2:FK2"/>
    <mergeCell ref="FL2:FN2"/>
    <mergeCell ref="FO2:FQ2"/>
    <mergeCell ref="FR2:FT2"/>
    <mergeCell ref="FU2:FW2"/>
    <mergeCell ref="FX2:FZ2"/>
    <mergeCell ref="GV2:GX2"/>
    <mergeCell ref="GY2:HA2"/>
    <mergeCell ref="HB2:HD2"/>
    <mergeCell ref="HE2:HG2"/>
    <mergeCell ref="GD2:GF2"/>
    <mergeCell ref="GG2:GI2"/>
    <mergeCell ref="GJ2:GL2"/>
    <mergeCell ref="GM2:GO2"/>
    <mergeCell ref="GP2:GR2"/>
    <mergeCell ref="GS2:GU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241C-B6E0-4A3F-B96E-F4E6D0F3BBB2}">
  <dimension ref="A1:GI336"/>
  <sheetViews>
    <sheetView workbookViewId="0"/>
  </sheetViews>
  <sheetFormatPr defaultRowHeight="12.75" x14ac:dyDescent="0.2"/>
  <cols>
    <col min="1" max="1" width="3.7109375" style="187" customWidth="1"/>
    <col min="3" max="3" width="27.5703125" bestFit="1" customWidth="1"/>
    <col min="4" max="4" width="10.7109375" bestFit="1" customWidth="1"/>
    <col min="5" max="5" width="9.7109375" bestFit="1" customWidth="1"/>
    <col min="6" max="6" width="10.7109375" bestFit="1" customWidth="1"/>
    <col min="7" max="7" width="10.5703125" customWidth="1"/>
    <col min="8" max="8" width="9.7109375" bestFit="1" customWidth="1"/>
    <col min="9" max="9" width="10.7109375" bestFit="1" customWidth="1"/>
    <col min="10" max="10" width="10.140625" bestFit="1" customWidth="1"/>
    <col min="12" max="14" width="10.140625" bestFit="1" customWidth="1"/>
    <col min="16" max="17" width="10.140625" bestFit="1" customWidth="1"/>
    <col min="18" max="18" width="9.7109375" bestFit="1" customWidth="1"/>
    <col min="19" max="19" width="10.140625" bestFit="1" customWidth="1"/>
    <col min="21" max="21" width="10.140625" bestFit="1" customWidth="1"/>
    <col min="23" max="23" width="9.7109375" bestFit="1" customWidth="1"/>
    <col min="24" max="24" width="7.5703125" bestFit="1" customWidth="1"/>
    <col min="25" max="26" width="6.5703125" bestFit="1" customWidth="1"/>
    <col min="27" max="27" width="4" bestFit="1" customWidth="1"/>
    <col min="28" max="30" width="3" bestFit="1" customWidth="1"/>
    <col min="31" max="32" width="6.5703125" bestFit="1" customWidth="1"/>
    <col min="33" max="33" width="4" bestFit="1" customWidth="1"/>
    <col min="36" max="36" width="3" bestFit="1" customWidth="1"/>
    <col min="37" max="37" width="5.5703125" bestFit="1" customWidth="1"/>
    <col min="40" max="40" width="3" bestFit="1" customWidth="1"/>
    <col min="41" max="41" width="5.5703125" bestFit="1" customWidth="1"/>
    <col min="44" max="44" width="3" bestFit="1" customWidth="1"/>
    <col min="45" max="45" width="4.5703125" bestFit="1" customWidth="1"/>
    <col min="48" max="48" width="3" bestFit="1" customWidth="1"/>
    <col min="49" max="49" width="6.5703125" bestFit="1" customWidth="1"/>
    <col min="52" max="52" width="3" bestFit="1" customWidth="1"/>
    <col min="53" max="53" width="6.5703125" bestFit="1" customWidth="1"/>
    <col min="54" max="55" width="8.140625" bestFit="1" customWidth="1"/>
    <col min="56" max="56" width="3" bestFit="1" customWidth="1"/>
    <col min="57" max="57" width="7.140625" bestFit="1" customWidth="1"/>
    <col min="58" max="61" width="7.5703125" bestFit="1" customWidth="1"/>
    <col min="62" max="64" width="8.140625" bestFit="1" customWidth="1"/>
    <col min="65" max="65" width="3" bestFit="1" customWidth="1"/>
    <col min="66" max="66" width="7.140625" bestFit="1" customWidth="1"/>
    <col min="67" max="68" width="11.140625" bestFit="1" customWidth="1"/>
    <col min="70" max="71" width="10.140625" bestFit="1" customWidth="1"/>
    <col min="72" max="72" width="7.5703125" bestFit="1" customWidth="1"/>
    <col min="73" max="74" width="11.140625" bestFit="1" customWidth="1"/>
    <col min="76" max="76" width="11.140625" bestFit="1" customWidth="1"/>
    <col min="77" max="77" width="10.140625" bestFit="1" customWidth="1"/>
    <col min="80" max="80" width="7.5703125" bestFit="1" customWidth="1"/>
    <col min="81" max="81" width="6.5703125" bestFit="1" customWidth="1"/>
    <col min="83" max="83" width="7.5703125" bestFit="1" customWidth="1"/>
    <col min="84" max="84" width="6.5703125" bestFit="1" customWidth="1"/>
    <col min="86" max="86" width="7.5703125" bestFit="1" customWidth="1"/>
    <col min="87" max="87" width="6.5703125" bestFit="1" customWidth="1"/>
    <col min="88" max="88" width="8.140625" bestFit="1" customWidth="1"/>
    <col min="89" max="90" width="6.140625" bestFit="1" customWidth="1"/>
    <col min="91" max="92" width="7.140625" bestFit="1" customWidth="1"/>
    <col min="93" max="93" width="4.5703125" bestFit="1" customWidth="1"/>
    <col min="94" max="94" width="8.140625" bestFit="1" customWidth="1"/>
    <col min="95" max="95" width="7.140625" bestFit="1" customWidth="1"/>
    <col min="96" max="96" width="6.140625" bestFit="1" customWidth="1"/>
    <col min="97" max="97" width="7.140625" bestFit="1" customWidth="1"/>
    <col min="98" max="98" width="6.140625" bestFit="1" customWidth="1"/>
    <col min="99" max="99" width="4.5703125" bestFit="1" customWidth="1"/>
    <col min="100" max="102" width="3" bestFit="1" customWidth="1"/>
    <col min="103" max="103" width="7.140625" bestFit="1" customWidth="1"/>
    <col min="104" max="104" width="6.140625" bestFit="1" customWidth="1"/>
    <col min="105" max="105" width="4.5703125" bestFit="1" customWidth="1"/>
    <col min="106" max="106" width="7.140625" bestFit="1" customWidth="1"/>
    <col min="107" max="107" width="6.140625" bestFit="1" customWidth="1"/>
    <col min="108" max="108" width="4.5703125" bestFit="1" customWidth="1"/>
    <col min="110" max="110" width="7.5703125" bestFit="1" customWidth="1"/>
    <col min="111" max="111" width="6.5703125" bestFit="1" customWidth="1"/>
    <col min="113" max="113" width="7.5703125" bestFit="1" customWidth="1"/>
    <col min="114" max="114" width="6.5703125" bestFit="1" customWidth="1"/>
    <col min="115" max="116" width="7.140625" bestFit="1" customWidth="1"/>
    <col min="117" max="117" width="4.5703125" bestFit="1" customWidth="1"/>
    <col min="118" max="118" width="7.5703125" bestFit="1" customWidth="1"/>
    <col min="119" max="119" width="6.5703125" bestFit="1" customWidth="1"/>
    <col min="120" max="120" width="5.5703125" bestFit="1" customWidth="1"/>
    <col min="121" max="121" width="7.5703125" bestFit="1" customWidth="1"/>
    <col min="122" max="122" width="6.5703125" bestFit="1" customWidth="1"/>
    <col min="123" max="123" width="5.5703125" bestFit="1" customWidth="1"/>
    <col min="124" max="124" width="6.5703125" bestFit="1" customWidth="1"/>
    <col min="125" max="125" width="6.140625" bestFit="1" customWidth="1"/>
    <col min="126" max="126" width="4" bestFit="1" customWidth="1"/>
    <col min="129" max="129" width="6.5703125" bestFit="1" customWidth="1"/>
    <col min="132" max="132" width="6.5703125" bestFit="1" customWidth="1"/>
    <col min="133" max="134" width="8.140625" bestFit="1" customWidth="1"/>
    <col min="135" max="135" width="6.140625" bestFit="1" customWidth="1"/>
    <col min="136" max="137" width="10.140625" bestFit="1" customWidth="1"/>
    <col min="138" max="138" width="7.5703125" bestFit="1" customWidth="1"/>
    <col min="140" max="140" width="7.5703125" bestFit="1" customWidth="1"/>
    <col min="141" max="141" width="6.140625" bestFit="1" customWidth="1"/>
    <col min="142" max="143" width="10.140625" bestFit="1" customWidth="1"/>
    <col min="144" max="144" width="7.5703125" bestFit="1" customWidth="1"/>
    <col min="145" max="145" width="9.7109375" bestFit="1" customWidth="1"/>
    <col min="146" max="146" width="8.140625" bestFit="1" customWidth="1"/>
    <col min="147" max="147" width="7.140625" bestFit="1" customWidth="1"/>
    <col min="148" max="148" width="10.140625" bestFit="1" customWidth="1"/>
    <col min="150" max="150" width="7.5703125" bestFit="1" customWidth="1"/>
    <col min="151" max="151" width="10.140625" bestFit="1" customWidth="1"/>
    <col min="153" max="153" width="7.5703125" bestFit="1" customWidth="1"/>
    <col min="154" max="155" width="8.140625" bestFit="1" customWidth="1"/>
    <col min="156" max="156" width="6.140625" bestFit="1" customWidth="1"/>
    <col min="157" max="165" width="4" bestFit="1" customWidth="1"/>
    <col min="166" max="167" width="11.140625" bestFit="1" customWidth="1"/>
    <col min="169" max="170" width="11.140625" bestFit="1" customWidth="1"/>
    <col min="174" max="174" width="6.5703125" bestFit="1" customWidth="1"/>
    <col min="177" max="177" width="6.5703125" bestFit="1" customWidth="1"/>
    <col min="179" max="179" width="7.5703125" bestFit="1" customWidth="1"/>
    <col min="180" max="180" width="6.5703125" bestFit="1" customWidth="1"/>
    <col min="182" max="182" width="7.5703125" bestFit="1" customWidth="1"/>
    <col min="183" max="183" width="6.5703125" bestFit="1" customWidth="1"/>
    <col min="184" max="184" width="12.7109375" bestFit="1" customWidth="1"/>
    <col min="185" max="185" width="11.140625" bestFit="1" customWidth="1"/>
    <col min="186" max="186" width="10.140625" bestFit="1" customWidth="1"/>
    <col min="187" max="187" width="4.7109375" bestFit="1" customWidth="1"/>
    <col min="188" max="188" width="5.7109375" bestFit="1" customWidth="1"/>
    <col min="189" max="189" width="4.7109375" bestFit="1" customWidth="1"/>
    <col min="190" max="190" width="4" bestFit="1" customWidth="1"/>
  </cols>
  <sheetData>
    <row r="1" spans="1:191" s="187" customFormat="1" x14ac:dyDescent="0.2">
      <c r="D1" s="187">
        <v>3</v>
      </c>
      <c r="E1" s="187">
        <v>4</v>
      </c>
      <c r="F1" s="187">
        <v>5</v>
      </c>
      <c r="G1" s="187">
        <v>6</v>
      </c>
      <c r="H1" s="187">
        <v>7</v>
      </c>
      <c r="I1" s="187">
        <v>8</v>
      </c>
      <c r="J1" s="187">
        <v>9</v>
      </c>
      <c r="K1" s="187">
        <v>10</v>
      </c>
      <c r="L1" s="187">
        <v>11</v>
      </c>
      <c r="M1" s="187">
        <v>12</v>
      </c>
      <c r="N1" s="187">
        <v>13</v>
      </c>
      <c r="O1" s="187">
        <v>14</v>
      </c>
      <c r="P1" s="187">
        <v>15</v>
      </c>
      <c r="Q1" s="187">
        <v>16</v>
      </c>
      <c r="R1" s="187">
        <v>17</v>
      </c>
      <c r="S1" s="187">
        <v>18</v>
      </c>
      <c r="T1" s="187">
        <v>19</v>
      </c>
      <c r="U1" s="187">
        <v>20</v>
      </c>
      <c r="V1" s="187">
        <v>21</v>
      </c>
      <c r="W1" s="187">
        <v>22</v>
      </c>
      <c r="X1" s="187">
        <v>23</v>
      </c>
      <c r="Y1" s="187">
        <v>24</v>
      </c>
      <c r="Z1" s="187">
        <v>25</v>
      </c>
      <c r="AA1" s="187">
        <v>26</v>
      </c>
      <c r="AB1" s="187">
        <v>27</v>
      </c>
      <c r="AC1" s="187">
        <v>28</v>
      </c>
      <c r="AD1" s="187">
        <v>29</v>
      </c>
      <c r="AE1" s="187">
        <v>30</v>
      </c>
      <c r="AF1" s="187">
        <v>31</v>
      </c>
      <c r="AG1" s="187">
        <v>32</v>
      </c>
      <c r="AH1" s="187">
        <v>33</v>
      </c>
      <c r="AI1" s="187">
        <v>34</v>
      </c>
      <c r="AJ1" s="187">
        <v>35</v>
      </c>
      <c r="AK1" s="187">
        <v>36</v>
      </c>
      <c r="AL1" s="187">
        <v>37</v>
      </c>
      <c r="AM1" s="187">
        <v>38</v>
      </c>
      <c r="AN1" s="187">
        <v>39</v>
      </c>
      <c r="AO1" s="187">
        <v>40</v>
      </c>
      <c r="AP1" s="187">
        <v>41</v>
      </c>
      <c r="AQ1" s="187">
        <v>42</v>
      </c>
      <c r="AR1" s="187">
        <v>43</v>
      </c>
      <c r="AS1" s="187">
        <v>44</v>
      </c>
      <c r="AT1" s="187">
        <v>45</v>
      </c>
      <c r="AU1" s="187">
        <v>46</v>
      </c>
      <c r="AV1" s="187">
        <v>47</v>
      </c>
      <c r="AW1" s="187">
        <v>48</v>
      </c>
      <c r="AX1" s="187">
        <v>49</v>
      </c>
      <c r="AY1" s="187">
        <v>50</v>
      </c>
      <c r="AZ1" s="187">
        <v>51</v>
      </c>
      <c r="BA1" s="187">
        <v>52</v>
      </c>
      <c r="BB1" s="187">
        <v>53</v>
      </c>
      <c r="BC1" s="187">
        <v>54</v>
      </c>
      <c r="BD1" s="187">
        <v>55</v>
      </c>
      <c r="BE1" s="187">
        <v>56</v>
      </c>
      <c r="BF1" s="187">
        <v>57</v>
      </c>
      <c r="BG1" s="187">
        <v>58</v>
      </c>
      <c r="BH1" s="187">
        <v>59</v>
      </c>
      <c r="BI1" s="187">
        <v>60</v>
      </c>
      <c r="BJ1" s="187">
        <v>61</v>
      </c>
      <c r="BK1" s="187">
        <v>62</v>
      </c>
      <c r="BL1" s="187">
        <v>54</v>
      </c>
      <c r="BM1" s="187">
        <v>55</v>
      </c>
      <c r="BN1" s="187">
        <v>56</v>
      </c>
      <c r="BO1" s="187">
        <v>63</v>
      </c>
      <c r="BP1" s="187">
        <v>64</v>
      </c>
      <c r="BQ1" s="187">
        <v>65</v>
      </c>
      <c r="BR1" s="187">
        <v>66</v>
      </c>
      <c r="BS1" s="187">
        <v>67</v>
      </c>
      <c r="BT1" s="187">
        <v>68</v>
      </c>
      <c r="BU1" s="187">
        <v>69</v>
      </c>
      <c r="BV1" s="187">
        <v>70</v>
      </c>
      <c r="BW1" s="187">
        <v>71</v>
      </c>
      <c r="BX1" s="187">
        <v>72</v>
      </c>
      <c r="BY1" s="187">
        <v>73</v>
      </c>
      <c r="BZ1" s="187">
        <v>74</v>
      </c>
      <c r="CA1" s="187">
        <v>75</v>
      </c>
      <c r="CB1" s="187">
        <v>76</v>
      </c>
      <c r="CC1" s="187">
        <v>77</v>
      </c>
      <c r="CD1" s="187">
        <v>78</v>
      </c>
      <c r="CE1" s="187">
        <v>79</v>
      </c>
      <c r="CF1" s="187">
        <v>80</v>
      </c>
      <c r="CG1" s="187">
        <v>81</v>
      </c>
      <c r="CH1" s="187">
        <v>82</v>
      </c>
      <c r="CI1" s="187">
        <v>83</v>
      </c>
      <c r="CJ1" s="187">
        <v>84</v>
      </c>
      <c r="CK1" s="187">
        <v>85</v>
      </c>
      <c r="CL1" s="187">
        <v>86</v>
      </c>
      <c r="CM1" s="187">
        <v>87</v>
      </c>
      <c r="CN1" s="187">
        <v>88</v>
      </c>
      <c r="CO1" s="187">
        <v>89</v>
      </c>
      <c r="CP1" s="187">
        <v>90</v>
      </c>
      <c r="CQ1" s="187">
        <v>91</v>
      </c>
      <c r="CR1" s="187">
        <v>92</v>
      </c>
      <c r="CS1" s="187">
        <v>93</v>
      </c>
      <c r="CT1" s="187">
        <v>94</v>
      </c>
      <c r="CU1" s="187">
        <v>95</v>
      </c>
      <c r="CV1" s="187">
        <v>96</v>
      </c>
      <c r="CW1" s="187">
        <v>97</v>
      </c>
      <c r="CX1" s="187">
        <v>98</v>
      </c>
      <c r="CY1" s="187">
        <v>99</v>
      </c>
      <c r="CZ1" s="187">
        <v>100</v>
      </c>
      <c r="DA1" s="187">
        <v>101</v>
      </c>
      <c r="DB1" s="187">
        <v>102</v>
      </c>
      <c r="DC1" s="187">
        <v>103</v>
      </c>
      <c r="DD1" s="187">
        <v>104</v>
      </c>
      <c r="DE1" s="187">
        <v>105</v>
      </c>
      <c r="DF1" s="187">
        <v>106</v>
      </c>
      <c r="DG1" s="187">
        <v>107</v>
      </c>
      <c r="DH1" s="187">
        <v>108</v>
      </c>
      <c r="DI1" s="187">
        <v>109</v>
      </c>
      <c r="DJ1" s="187">
        <v>110</v>
      </c>
      <c r="DK1" s="187">
        <v>111</v>
      </c>
      <c r="DL1" s="187">
        <v>112</v>
      </c>
      <c r="DM1" s="187">
        <v>113</v>
      </c>
      <c r="DN1" s="187">
        <v>114</v>
      </c>
      <c r="DO1" s="187">
        <v>115</v>
      </c>
      <c r="DP1" s="187">
        <v>116</v>
      </c>
      <c r="DQ1" s="187">
        <v>117</v>
      </c>
      <c r="DR1" s="187">
        <v>118</v>
      </c>
      <c r="DS1" s="187">
        <v>119</v>
      </c>
      <c r="DT1" s="187">
        <v>120</v>
      </c>
      <c r="DU1" s="187">
        <v>121</v>
      </c>
      <c r="DV1" s="187">
        <v>122</v>
      </c>
      <c r="DW1" s="187">
        <v>123</v>
      </c>
      <c r="DX1" s="187">
        <v>124</v>
      </c>
      <c r="DY1" s="187">
        <v>125</v>
      </c>
      <c r="DZ1" s="187">
        <v>126</v>
      </c>
      <c r="EA1" s="187">
        <v>127</v>
      </c>
      <c r="EB1" s="187">
        <v>128</v>
      </c>
      <c r="EC1" s="187">
        <v>129</v>
      </c>
      <c r="ED1" s="187">
        <v>130</v>
      </c>
      <c r="EE1" s="187">
        <v>131</v>
      </c>
      <c r="EF1" s="187">
        <v>132</v>
      </c>
      <c r="EG1" s="187">
        <v>133</v>
      </c>
      <c r="EH1" s="187">
        <v>134</v>
      </c>
      <c r="EI1" s="187">
        <v>135</v>
      </c>
      <c r="EJ1" s="187">
        <v>136</v>
      </c>
      <c r="EK1" s="187">
        <v>137</v>
      </c>
      <c r="EL1" s="187">
        <v>138</v>
      </c>
      <c r="EM1" s="188">
        <v>139</v>
      </c>
      <c r="EN1" s="187">
        <v>140</v>
      </c>
      <c r="EO1" s="187">
        <v>141</v>
      </c>
      <c r="EP1" s="187">
        <v>142</v>
      </c>
      <c r="EQ1" s="187">
        <v>143</v>
      </c>
      <c r="ER1" s="187">
        <v>144</v>
      </c>
      <c r="ES1" s="187">
        <v>145</v>
      </c>
      <c r="ET1" s="187">
        <v>146</v>
      </c>
      <c r="EU1" s="187">
        <v>147</v>
      </c>
      <c r="EV1" s="187">
        <v>148</v>
      </c>
      <c r="EW1" s="187">
        <v>149</v>
      </c>
      <c r="EX1" s="187">
        <v>150</v>
      </c>
      <c r="EY1" s="187">
        <v>151</v>
      </c>
      <c r="EZ1" s="187">
        <v>152</v>
      </c>
      <c r="FA1" s="187">
        <v>153</v>
      </c>
      <c r="FB1" s="187">
        <v>154</v>
      </c>
      <c r="FC1" s="187">
        <v>155</v>
      </c>
      <c r="FD1" s="187">
        <v>156</v>
      </c>
      <c r="FE1" s="187">
        <v>157</v>
      </c>
      <c r="FF1" s="187">
        <v>158</v>
      </c>
      <c r="FG1" s="187">
        <v>159</v>
      </c>
      <c r="FH1" s="187">
        <v>160</v>
      </c>
      <c r="FI1" s="187">
        <v>161</v>
      </c>
      <c r="FJ1" s="187">
        <v>162</v>
      </c>
      <c r="FK1" s="187">
        <v>163</v>
      </c>
      <c r="FL1" s="187">
        <v>164</v>
      </c>
      <c r="FM1" s="187">
        <v>165</v>
      </c>
      <c r="FN1" s="187">
        <v>166</v>
      </c>
      <c r="FO1" s="187">
        <v>167</v>
      </c>
      <c r="FP1" s="187">
        <v>168</v>
      </c>
      <c r="FQ1" s="187">
        <v>169</v>
      </c>
      <c r="FR1" s="187">
        <v>170</v>
      </c>
      <c r="FS1" s="187">
        <v>171</v>
      </c>
      <c r="FT1" s="187">
        <v>172</v>
      </c>
      <c r="FU1" s="187">
        <v>173</v>
      </c>
      <c r="FV1" s="187">
        <v>174</v>
      </c>
      <c r="FW1" s="187">
        <v>175</v>
      </c>
      <c r="FX1" s="187">
        <v>176</v>
      </c>
      <c r="FY1" s="187">
        <v>177</v>
      </c>
      <c r="FZ1" s="187">
        <v>178</v>
      </c>
      <c r="GA1" s="187">
        <v>179</v>
      </c>
      <c r="GB1" s="187">
        <v>180</v>
      </c>
      <c r="GC1" s="187">
        <v>181</v>
      </c>
      <c r="GD1" s="187">
        <v>182</v>
      </c>
      <c r="GE1" s="187">
        <v>183</v>
      </c>
      <c r="GF1" s="187">
        <v>184</v>
      </c>
      <c r="GG1" s="187">
        <v>185</v>
      </c>
      <c r="GH1" s="187">
        <v>186</v>
      </c>
    </row>
    <row r="2" spans="1:191" s="428" customFormat="1" ht="102" customHeight="1" x14ac:dyDescent="0.2">
      <c r="A2" s="447"/>
      <c r="B2" s="447"/>
      <c r="C2" s="430"/>
      <c r="D2" s="934" t="s">
        <v>1577</v>
      </c>
      <c r="E2" s="934"/>
      <c r="F2" s="934"/>
      <c r="G2" s="934" t="s">
        <v>1578</v>
      </c>
      <c r="H2" s="934"/>
      <c r="I2" s="934"/>
      <c r="J2" s="934" t="s">
        <v>1017</v>
      </c>
      <c r="K2" s="934"/>
      <c r="L2" s="934"/>
      <c r="M2" s="691" t="s">
        <v>1579</v>
      </c>
      <c r="N2" s="691" t="s">
        <v>1018</v>
      </c>
      <c r="O2" s="691" t="s">
        <v>1019</v>
      </c>
      <c r="P2" s="691" t="s">
        <v>1580</v>
      </c>
      <c r="Q2" s="691" t="s">
        <v>1020</v>
      </c>
      <c r="R2" s="691" t="s">
        <v>1021</v>
      </c>
      <c r="S2" s="934" t="s">
        <v>1581</v>
      </c>
      <c r="T2" s="934"/>
      <c r="U2" s="934" t="s">
        <v>1022</v>
      </c>
      <c r="V2" s="934"/>
      <c r="W2" s="934" t="s">
        <v>1023</v>
      </c>
      <c r="X2" s="934"/>
      <c r="Y2" s="935" t="s">
        <v>1582</v>
      </c>
      <c r="Z2" s="931"/>
      <c r="AA2" s="932"/>
      <c r="AB2" s="935" t="s">
        <v>1583</v>
      </c>
      <c r="AC2" s="931"/>
      <c r="AD2" s="932"/>
      <c r="AE2" s="935" t="s">
        <v>1584</v>
      </c>
      <c r="AF2" s="931"/>
      <c r="AG2" s="932"/>
      <c r="AH2" s="934" t="s">
        <v>1354</v>
      </c>
      <c r="AI2" s="934"/>
      <c r="AJ2" s="934"/>
      <c r="AK2" s="934"/>
      <c r="AL2" s="934" t="s">
        <v>1355</v>
      </c>
      <c r="AM2" s="934"/>
      <c r="AN2" s="934"/>
      <c r="AO2" s="934"/>
      <c r="AP2" s="934" t="s">
        <v>1356</v>
      </c>
      <c r="AQ2" s="934"/>
      <c r="AR2" s="934"/>
      <c r="AS2" s="934"/>
      <c r="AT2" s="935" t="s">
        <v>1357</v>
      </c>
      <c r="AU2" s="931"/>
      <c r="AV2" s="931"/>
      <c r="AW2" s="932"/>
      <c r="AX2" s="935" t="s">
        <v>1358</v>
      </c>
      <c r="AY2" s="931"/>
      <c r="AZ2" s="931"/>
      <c r="BA2" s="932"/>
      <c r="BB2" s="935" t="s">
        <v>1359</v>
      </c>
      <c r="BC2" s="931"/>
      <c r="BD2" s="931"/>
      <c r="BE2" s="932"/>
      <c r="BF2" s="935" t="s">
        <v>1360</v>
      </c>
      <c r="BG2" s="931"/>
      <c r="BH2" s="935" t="s">
        <v>1361</v>
      </c>
      <c r="BI2" s="931"/>
      <c r="BJ2" s="935" t="s">
        <v>1362</v>
      </c>
      <c r="BK2" s="931"/>
      <c r="BL2" s="934" t="s">
        <v>1377</v>
      </c>
      <c r="BM2" s="934"/>
      <c r="BN2" s="934"/>
      <c r="BO2" s="934" t="s">
        <v>1587</v>
      </c>
      <c r="BP2" s="934"/>
      <c r="BQ2" s="934"/>
      <c r="BR2" s="934" t="s">
        <v>1588</v>
      </c>
      <c r="BS2" s="934"/>
      <c r="BT2" s="934"/>
      <c r="BU2" s="934" t="s">
        <v>1363</v>
      </c>
      <c r="BV2" s="934"/>
      <c r="BW2" s="934"/>
      <c r="BX2" s="934" t="s">
        <v>1024</v>
      </c>
      <c r="BY2" s="934"/>
      <c r="BZ2" s="934"/>
      <c r="CA2" s="934" t="s">
        <v>1589</v>
      </c>
      <c r="CB2" s="934"/>
      <c r="CC2" s="934"/>
      <c r="CD2" s="934" t="s">
        <v>1025</v>
      </c>
      <c r="CE2" s="934"/>
      <c r="CF2" s="934"/>
      <c r="CG2" s="934" t="s">
        <v>1026</v>
      </c>
      <c r="CH2" s="934"/>
      <c r="CI2" s="934"/>
      <c r="CJ2" s="934" t="s">
        <v>1591</v>
      </c>
      <c r="CK2" s="934"/>
      <c r="CL2" s="934"/>
      <c r="CM2" s="934" t="s">
        <v>1592</v>
      </c>
      <c r="CN2" s="934"/>
      <c r="CO2" s="934"/>
      <c r="CP2" s="934" t="s">
        <v>1590</v>
      </c>
      <c r="CQ2" s="934"/>
      <c r="CR2" s="934"/>
      <c r="CS2" s="934" t="s">
        <v>1593</v>
      </c>
      <c r="CT2" s="934"/>
      <c r="CU2" s="934"/>
      <c r="CV2" s="934" t="s">
        <v>1027</v>
      </c>
      <c r="CW2" s="934"/>
      <c r="CX2" s="934"/>
      <c r="CY2" s="934" t="s">
        <v>1028</v>
      </c>
      <c r="CZ2" s="934"/>
      <c r="DA2" s="934"/>
      <c r="DB2" s="934" t="s">
        <v>1594</v>
      </c>
      <c r="DC2" s="934"/>
      <c r="DD2" s="934"/>
      <c r="DE2" s="935" t="s">
        <v>1595</v>
      </c>
      <c r="DF2" s="931"/>
      <c r="DG2" s="932"/>
      <c r="DH2" s="935" t="s">
        <v>1596</v>
      </c>
      <c r="DI2" s="931"/>
      <c r="DJ2" s="932"/>
      <c r="DK2" s="935" t="s">
        <v>1364</v>
      </c>
      <c r="DL2" s="931"/>
      <c r="DM2" s="932"/>
      <c r="DN2" s="935" t="s">
        <v>1597</v>
      </c>
      <c r="DO2" s="931"/>
      <c r="DP2" s="932"/>
      <c r="DQ2" s="935" t="s">
        <v>1365</v>
      </c>
      <c r="DR2" s="931"/>
      <c r="DS2" s="932"/>
      <c r="DT2" s="935" t="s">
        <v>1366</v>
      </c>
      <c r="DU2" s="931"/>
      <c r="DV2" s="932"/>
      <c r="DW2" s="935" t="s">
        <v>1598</v>
      </c>
      <c r="DX2" s="931"/>
      <c r="DY2" s="932"/>
      <c r="DZ2" s="935" t="s">
        <v>1599</v>
      </c>
      <c r="EA2" s="931"/>
      <c r="EB2" s="932"/>
      <c r="EC2" s="935" t="s">
        <v>1367</v>
      </c>
      <c r="ED2" s="931"/>
      <c r="EE2" s="932"/>
      <c r="EF2" s="935" t="s">
        <v>1601</v>
      </c>
      <c r="EG2" s="936"/>
      <c r="EH2" s="937"/>
      <c r="EI2" s="935" t="s">
        <v>1602</v>
      </c>
      <c r="EJ2" s="940"/>
      <c r="EK2" s="941"/>
      <c r="EL2" s="935" t="s">
        <v>1604</v>
      </c>
      <c r="EM2" s="931"/>
      <c r="EN2" s="932"/>
      <c r="EO2" s="935" t="s">
        <v>1368</v>
      </c>
      <c r="EP2" s="931"/>
      <c r="EQ2" s="932"/>
      <c r="ER2" s="935" t="s">
        <v>1605</v>
      </c>
      <c r="ES2" s="931"/>
      <c r="ET2" s="932"/>
      <c r="EU2" s="935" t="s">
        <v>1606</v>
      </c>
      <c r="EV2" s="931"/>
      <c r="EW2" s="932"/>
      <c r="EX2" s="935" t="s">
        <v>1369</v>
      </c>
      <c r="EY2" s="931"/>
      <c r="EZ2" s="932"/>
      <c r="FA2" s="935" t="s">
        <v>1607</v>
      </c>
      <c r="FB2" s="938"/>
      <c r="FC2" s="939"/>
      <c r="FD2" s="935" t="s">
        <v>1608</v>
      </c>
      <c r="FE2" s="938"/>
      <c r="FF2" s="939"/>
      <c r="FG2" s="935" t="s">
        <v>1609</v>
      </c>
      <c r="FH2" s="938"/>
      <c r="FI2" s="939"/>
      <c r="FJ2" s="934" t="s">
        <v>1610</v>
      </c>
      <c r="FK2" s="934"/>
      <c r="FL2" s="934"/>
      <c r="FM2" s="934" t="s">
        <v>1076</v>
      </c>
      <c r="FN2" s="934"/>
      <c r="FO2" s="934"/>
      <c r="FP2" s="934" t="s">
        <v>1077</v>
      </c>
      <c r="FQ2" s="934"/>
      <c r="FR2" s="934"/>
      <c r="FS2" s="935" t="s">
        <v>1611</v>
      </c>
      <c r="FT2" s="931"/>
      <c r="FU2" s="932"/>
      <c r="FV2" s="935" t="s">
        <v>1370</v>
      </c>
      <c r="FW2" s="931"/>
      <c r="FX2" s="932"/>
      <c r="FY2" s="935" t="s">
        <v>1371</v>
      </c>
      <c r="FZ2" s="931"/>
      <c r="GA2" s="932"/>
      <c r="GB2" s="935" t="s">
        <v>1612</v>
      </c>
      <c r="GC2" s="931"/>
      <c r="GD2" s="932"/>
      <c r="GE2" s="934" t="s">
        <v>865</v>
      </c>
      <c r="GF2" s="934"/>
      <c r="GG2" s="934"/>
      <c r="GH2" s="934"/>
    </row>
    <row r="3" spans="1:191" s="187" customFormat="1" x14ac:dyDescent="0.2">
      <c r="C3" s="187" t="s">
        <v>954</v>
      </c>
      <c r="D3" s="187">
        <v>1</v>
      </c>
      <c r="G3" s="187">
        <v>2</v>
      </c>
      <c r="J3" s="187">
        <v>3</v>
      </c>
      <c r="M3" s="187">
        <v>4</v>
      </c>
      <c r="N3" s="187">
        <v>5</v>
      </c>
      <c r="O3" s="187">
        <v>6</v>
      </c>
      <c r="P3" s="187">
        <v>7</v>
      </c>
      <c r="Q3" s="187">
        <v>8</v>
      </c>
      <c r="R3" s="187">
        <v>9</v>
      </c>
      <c r="S3" s="187">
        <v>10</v>
      </c>
      <c r="U3" s="187">
        <v>11</v>
      </c>
      <c r="W3" s="187">
        <v>12</v>
      </c>
      <c r="Y3" s="187">
        <v>13</v>
      </c>
      <c r="AB3" s="187">
        <v>14</v>
      </c>
      <c r="AE3" s="187">
        <v>15</v>
      </c>
      <c r="AH3" s="187">
        <v>16</v>
      </c>
      <c r="AL3" s="187">
        <v>17</v>
      </c>
      <c r="AP3" s="187">
        <v>18</v>
      </c>
      <c r="AT3" s="187">
        <v>19</v>
      </c>
      <c r="AX3" s="187">
        <v>20</v>
      </c>
      <c r="BB3" s="188">
        <v>21</v>
      </c>
      <c r="BF3" s="187">
        <v>22</v>
      </c>
      <c r="BH3" s="187">
        <v>23</v>
      </c>
      <c r="BJ3" s="187">
        <v>24</v>
      </c>
      <c r="BL3" s="187">
        <v>22</v>
      </c>
      <c r="BO3" s="188" t="s">
        <v>1585</v>
      </c>
      <c r="BR3" s="188" t="s">
        <v>1586</v>
      </c>
      <c r="BU3" s="187">
        <v>26</v>
      </c>
      <c r="BX3" s="187">
        <v>27</v>
      </c>
      <c r="CA3" s="187">
        <v>28</v>
      </c>
      <c r="CD3" s="187">
        <v>29</v>
      </c>
      <c r="CG3" s="187">
        <v>30</v>
      </c>
      <c r="CJ3" s="187">
        <v>31</v>
      </c>
      <c r="CM3" s="187">
        <v>32</v>
      </c>
      <c r="CP3" s="187">
        <v>33</v>
      </c>
      <c r="CS3" s="187">
        <v>34</v>
      </c>
      <c r="CV3" s="187">
        <v>35</v>
      </c>
      <c r="CY3" s="187">
        <v>36</v>
      </c>
      <c r="DB3" s="187">
        <v>37</v>
      </c>
      <c r="DE3" s="187">
        <v>38</v>
      </c>
      <c r="DH3" s="187">
        <v>39</v>
      </c>
      <c r="DK3" s="187">
        <v>40</v>
      </c>
      <c r="DN3" s="187">
        <v>41</v>
      </c>
      <c r="DQ3" s="187">
        <v>42</v>
      </c>
      <c r="DT3" s="187">
        <v>43</v>
      </c>
      <c r="DW3" s="187">
        <v>44</v>
      </c>
      <c r="DZ3" s="187">
        <v>45</v>
      </c>
      <c r="EC3" s="187">
        <v>46</v>
      </c>
      <c r="EF3" s="188" t="s">
        <v>1600</v>
      </c>
      <c r="EI3" s="188" t="s">
        <v>1603</v>
      </c>
      <c r="EL3" s="187">
        <v>48</v>
      </c>
      <c r="EO3" s="187">
        <v>49</v>
      </c>
      <c r="ER3" s="187">
        <v>50</v>
      </c>
      <c r="EU3" s="187">
        <v>51</v>
      </c>
      <c r="EX3" s="187">
        <v>52</v>
      </c>
      <c r="FA3" s="187">
        <v>53</v>
      </c>
      <c r="FD3" s="187">
        <v>54</v>
      </c>
      <c r="FG3" s="187">
        <v>55</v>
      </c>
      <c r="FJ3" s="187">
        <v>56</v>
      </c>
      <c r="FM3" s="187">
        <v>57</v>
      </c>
      <c r="FP3" s="187">
        <v>58</v>
      </c>
      <c r="FS3" s="187">
        <v>59</v>
      </c>
      <c r="FV3" s="187">
        <v>60</v>
      </c>
      <c r="FY3" s="187">
        <v>61</v>
      </c>
      <c r="GB3" s="187">
        <v>62</v>
      </c>
    </row>
    <row r="4" spans="1:191" s="187" customFormat="1" x14ac:dyDescent="0.2">
      <c r="C4" s="187" t="s">
        <v>967</v>
      </c>
      <c r="D4" s="187">
        <v>1</v>
      </c>
      <c r="E4" s="187">
        <v>2</v>
      </c>
      <c r="F4" s="187">
        <v>3</v>
      </c>
      <c r="G4" s="187">
        <v>1</v>
      </c>
      <c r="H4" s="187">
        <v>2</v>
      </c>
      <c r="I4" s="187">
        <v>3</v>
      </c>
      <c r="J4" s="187">
        <v>1</v>
      </c>
      <c r="K4" s="187">
        <v>2</v>
      </c>
      <c r="L4" s="187">
        <v>3</v>
      </c>
      <c r="M4" s="187">
        <v>5</v>
      </c>
      <c r="N4" s="187">
        <v>5</v>
      </c>
      <c r="O4" s="187">
        <v>5</v>
      </c>
      <c r="P4" s="187">
        <v>5</v>
      </c>
      <c r="Q4" s="187">
        <v>5</v>
      </c>
      <c r="R4" s="187">
        <v>5</v>
      </c>
      <c r="S4" s="187">
        <v>5</v>
      </c>
      <c r="T4" s="187">
        <v>6</v>
      </c>
      <c r="U4" s="187">
        <v>5</v>
      </c>
      <c r="V4" s="187">
        <v>6</v>
      </c>
      <c r="W4" s="187">
        <v>5</v>
      </c>
      <c r="X4" s="187">
        <v>6</v>
      </c>
      <c r="Y4" s="187">
        <v>1</v>
      </c>
      <c r="Z4" s="187">
        <v>2</v>
      </c>
      <c r="AA4" s="187">
        <v>3</v>
      </c>
      <c r="AB4" s="187">
        <v>1</v>
      </c>
      <c r="AC4" s="187">
        <v>2</v>
      </c>
      <c r="AD4" s="187">
        <v>3</v>
      </c>
      <c r="AE4" s="187">
        <v>1</v>
      </c>
      <c r="AF4" s="187">
        <v>2</v>
      </c>
      <c r="AG4" s="187">
        <v>3</v>
      </c>
      <c r="AH4" s="187">
        <v>1</v>
      </c>
      <c r="AI4" s="187">
        <v>2</v>
      </c>
      <c r="AJ4" s="187">
        <v>3</v>
      </c>
      <c r="AK4" s="187">
        <v>4</v>
      </c>
      <c r="AL4" s="187">
        <v>1</v>
      </c>
      <c r="AM4" s="187">
        <v>2</v>
      </c>
      <c r="AN4" s="187">
        <v>3</v>
      </c>
      <c r="AO4" s="187">
        <v>4</v>
      </c>
      <c r="AP4" s="187">
        <v>1</v>
      </c>
      <c r="AQ4" s="187">
        <v>2</v>
      </c>
      <c r="AR4" s="187">
        <v>3</v>
      </c>
      <c r="AS4" s="187">
        <v>4</v>
      </c>
      <c r="AT4" s="187">
        <v>1</v>
      </c>
      <c r="AU4" s="187">
        <v>2</v>
      </c>
      <c r="AV4" s="187">
        <v>3</v>
      </c>
      <c r="AW4" s="187">
        <v>4</v>
      </c>
      <c r="AX4" s="187">
        <v>1</v>
      </c>
      <c r="AY4" s="187">
        <v>2</v>
      </c>
      <c r="AZ4" s="187">
        <v>3</v>
      </c>
      <c r="BA4" s="187">
        <v>4</v>
      </c>
      <c r="BB4" s="187">
        <v>1</v>
      </c>
      <c r="BC4" s="187">
        <v>2</v>
      </c>
      <c r="BD4" s="187">
        <v>3</v>
      </c>
      <c r="BE4" s="187">
        <v>4</v>
      </c>
      <c r="BF4" s="187">
        <v>1</v>
      </c>
      <c r="BG4" s="187">
        <v>2</v>
      </c>
      <c r="BH4" s="187">
        <v>1</v>
      </c>
      <c r="BI4" s="187">
        <v>2</v>
      </c>
      <c r="BJ4" s="187">
        <v>1</v>
      </c>
      <c r="BK4" s="187">
        <v>2</v>
      </c>
      <c r="BL4" s="187">
        <v>5</v>
      </c>
      <c r="BM4" s="187">
        <v>6</v>
      </c>
      <c r="BN4" s="187">
        <v>7</v>
      </c>
      <c r="BO4" s="187">
        <v>1</v>
      </c>
      <c r="BP4" s="187">
        <v>2</v>
      </c>
      <c r="BQ4" s="187">
        <v>3</v>
      </c>
      <c r="BR4" s="187">
        <v>1</v>
      </c>
      <c r="BS4" s="187">
        <v>2</v>
      </c>
      <c r="BT4" s="187">
        <v>3</v>
      </c>
      <c r="BU4" s="187">
        <v>1</v>
      </c>
      <c r="BV4" s="187">
        <v>2</v>
      </c>
      <c r="BW4" s="187">
        <v>3</v>
      </c>
      <c r="BX4" s="187">
        <v>1</v>
      </c>
      <c r="BY4" s="187">
        <v>2</v>
      </c>
      <c r="BZ4" s="187">
        <v>3</v>
      </c>
      <c r="CA4" s="187">
        <v>1</v>
      </c>
      <c r="CB4" s="187">
        <v>2</v>
      </c>
      <c r="CC4" s="187">
        <v>3</v>
      </c>
      <c r="CD4" s="187">
        <v>1</v>
      </c>
      <c r="CE4" s="187">
        <v>2</v>
      </c>
      <c r="CF4" s="187">
        <v>3</v>
      </c>
      <c r="CG4" s="187">
        <v>1</v>
      </c>
      <c r="CH4" s="187">
        <v>2</v>
      </c>
      <c r="CI4" s="187">
        <v>3</v>
      </c>
      <c r="CJ4" s="187">
        <v>1</v>
      </c>
      <c r="CK4" s="187">
        <v>2</v>
      </c>
      <c r="CL4" s="187">
        <v>3</v>
      </c>
      <c r="CM4" s="187">
        <v>1</v>
      </c>
      <c r="CN4" s="187">
        <v>2</v>
      </c>
      <c r="CO4" s="187">
        <v>3</v>
      </c>
      <c r="CP4" s="187">
        <v>1</v>
      </c>
      <c r="CQ4" s="187">
        <v>2</v>
      </c>
      <c r="CR4" s="187">
        <v>3</v>
      </c>
      <c r="CS4" s="187">
        <v>1</v>
      </c>
      <c r="CT4" s="187">
        <v>2</v>
      </c>
      <c r="CU4" s="187">
        <v>3</v>
      </c>
      <c r="CV4" s="187">
        <v>1</v>
      </c>
      <c r="CW4" s="187">
        <v>2</v>
      </c>
      <c r="CX4" s="187">
        <v>3</v>
      </c>
      <c r="CY4" s="187">
        <v>1</v>
      </c>
      <c r="CZ4" s="187">
        <v>2</v>
      </c>
      <c r="DA4" s="187">
        <v>3</v>
      </c>
      <c r="DB4" s="187">
        <v>1</v>
      </c>
      <c r="DC4" s="187">
        <v>2</v>
      </c>
      <c r="DD4" s="187">
        <v>3</v>
      </c>
      <c r="DE4" s="187">
        <v>1</v>
      </c>
      <c r="DF4" s="187">
        <v>2</v>
      </c>
      <c r="DG4" s="187">
        <v>3</v>
      </c>
      <c r="DH4" s="187">
        <v>1</v>
      </c>
      <c r="DI4" s="187">
        <v>2</v>
      </c>
      <c r="DJ4" s="187">
        <v>3</v>
      </c>
      <c r="DK4" s="187">
        <v>1</v>
      </c>
      <c r="DL4" s="187">
        <v>2</v>
      </c>
      <c r="DM4" s="187">
        <v>3</v>
      </c>
      <c r="DN4" s="187">
        <v>1</v>
      </c>
      <c r="DO4" s="187">
        <v>2</v>
      </c>
      <c r="DP4" s="187">
        <v>3</v>
      </c>
      <c r="DQ4" s="187">
        <v>1</v>
      </c>
      <c r="DR4" s="187">
        <v>2</v>
      </c>
      <c r="DS4" s="187">
        <v>3</v>
      </c>
      <c r="DT4" s="187">
        <v>1</v>
      </c>
      <c r="DU4" s="187">
        <v>2</v>
      </c>
      <c r="DV4" s="187">
        <v>3</v>
      </c>
      <c r="DW4" s="187">
        <v>1</v>
      </c>
      <c r="DX4" s="187">
        <v>2</v>
      </c>
      <c r="DY4" s="187">
        <v>3</v>
      </c>
      <c r="DZ4" s="187">
        <v>1</v>
      </c>
      <c r="EA4" s="187">
        <v>2</v>
      </c>
      <c r="EB4" s="187">
        <v>3</v>
      </c>
      <c r="EC4" s="187">
        <v>1</v>
      </c>
      <c r="ED4" s="187">
        <v>2</v>
      </c>
      <c r="EE4" s="187">
        <v>3</v>
      </c>
      <c r="EF4" s="187">
        <v>1</v>
      </c>
      <c r="EG4" s="187">
        <v>2</v>
      </c>
      <c r="EH4" s="187">
        <v>3</v>
      </c>
      <c r="EI4" s="187">
        <v>1</v>
      </c>
      <c r="EJ4" s="187">
        <v>2</v>
      </c>
      <c r="EK4" s="187">
        <v>3</v>
      </c>
      <c r="EL4" s="187">
        <v>1</v>
      </c>
      <c r="EM4" s="187">
        <v>2</v>
      </c>
      <c r="EN4" s="187">
        <v>3</v>
      </c>
      <c r="EO4" s="187">
        <v>1</v>
      </c>
      <c r="EP4" s="187">
        <v>2</v>
      </c>
      <c r="EQ4" s="187">
        <v>3</v>
      </c>
      <c r="ER4" s="187">
        <v>1</v>
      </c>
      <c r="ES4" s="187">
        <v>2</v>
      </c>
      <c r="ET4" s="187">
        <v>3</v>
      </c>
      <c r="EU4" s="187">
        <v>1</v>
      </c>
      <c r="EV4" s="187">
        <v>2</v>
      </c>
      <c r="EW4" s="187">
        <v>3</v>
      </c>
      <c r="EX4" s="187">
        <v>1</v>
      </c>
      <c r="EY4" s="187">
        <v>2</v>
      </c>
      <c r="EZ4" s="187">
        <v>3</v>
      </c>
      <c r="FA4" s="187">
        <v>1</v>
      </c>
      <c r="FB4" s="187">
        <v>2</v>
      </c>
      <c r="FC4" s="187">
        <v>3</v>
      </c>
      <c r="FD4" s="187">
        <v>1</v>
      </c>
      <c r="FE4" s="187">
        <v>2</v>
      </c>
      <c r="FF4" s="187">
        <v>3</v>
      </c>
      <c r="FG4" s="187">
        <v>1</v>
      </c>
      <c r="FH4" s="187">
        <v>2</v>
      </c>
      <c r="FI4" s="187">
        <v>3</v>
      </c>
      <c r="FJ4" s="187">
        <v>1</v>
      </c>
      <c r="FK4" s="187">
        <v>2</v>
      </c>
      <c r="FL4" s="187">
        <v>3</v>
      </c>
      <c r="FM4" s="187">
        <v>1</v>
      </c>
      <c r="FN4" s="187">
        <v>2</v>
      </c>
      <c r="FO4" s="187">
        <v>3</v>
      </c>
      <c r="FP4" s="187">
        <v>1</v>
      </c>
      <c r="FQ4" s="187">
        <v>2</v>
      </c>
      <c r="FR4" s="187">
        <v>3</v>
      </c>
      <c r="FS4" s="187">
        <v>1</v>
      </c>
      <c r="FT4" s="187">
        <v>2</v>
      </c>
      <c r="FU4" s="187">
        <v>3</v>
      </c>
      <c r="FV4" s="187">
        <v>1</v>
      </c>
      <c r="FW4" s="187">
        <v>2</v>
      </c>
      <c r="FX4" s="187">
        <v>3</v>
      </c>
      <c r="FY4" s="187">
        <v>5</v>
      </c>
      <c r="FZ4" s="187">
        <v>6</v>
      </c>
      <c r="GA4" s="187">
        <v>7</v>
      </c>
      <c r="GB4" s="187">
        <v>5</v>
      </c>
      <c r="GC4" s="187">
        <v>6</v>
      </c>
      <c r="GD4" s="187">
        <v>7</v>
      </c>
      <c r="GE4" s="187">
        <v>8</v>
      </c>
      <c r="GF4" s="187">
        <v>9</v>
      </c>
      <c r="GG4" s="187">
        <v>10</v>
      </c>
      <c r="GH4" s="187">
        <v>11</v>
      </c>
    </row>
    <row r="5" spans="1:191" s="447" customFormat="1" x14ac:dyDescent="0.2">
      <c r="A5" s="187"/>
      <c r="B5" s="447" t="s">
        <v>968</v>
      </c>
      <c r="C5" s="447" t="s">
        <v>969</v>
      </c>
      <c r="GI5" s="447" t="s">
        <v>1053</v>
      </c>
    </row>
    <row r="6" spans="1:191" s="187" customFormat="1" x14ac:dyDescent="0.2">
      <c r="B6" s="429" t="s">
        <v>91</v>
      </c>
      <c r="C6" s="429" t="s">
        <v>90</v>
      </c>
      <c r="D6" s="208">
        <v>-745574</v>
      </c>
      <c r="E6" s="208">
        <v>0</v>
      </c>
      <c r="F6" s="208">
        <v>-745574</v>
      </c>
      <c r="G6" s="208">
        <v>-996173</v>
      </c>
      <c r="H6" s="208">
        <v>0</v>
      </c>
      <c r="I6" s="208">
        <v>-996173</v>
      </c>
      <c r="J6" s="208">
        <v>250599</v>
      </c>
      <c r="K6" s="208">
        <v>0</v>
      </c>
      <c r="L6" s="208">
        <v>250599</v>
      </c>
      <c r="M6" s="208">
        <v>86721</v>
      </c>
      <c r="N6" s="208">
        <v>86721</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c r="BL6" s="208">
        <v>0</v>
      </c>
      <c r="BM6" s="208">
        <v>0</v>
      </c>
      <c r="BN6" s="208">
        <v>0</v>
      </c>
      <c r="BO6" s="208">
        <v>584393.74216250016</v>
      </c>
      <c r="BP6" s="208">
        <v>146098.43554062504</v>
      </c>
      <c r="BQ6" s="208">
        <v>0</v>
      </c>
      <c r="BR6" s="208">
        <v>38440</v>
      </c>
      <c r="BS6" s="208">
        <v>9610</v>
      </c>
      <c r="BT6" s="208">
        <v>0</v>
      </c>
      <c r="BU6" s="208">
        <v>574743</v>
      </c>
      <c r="BV6" s="208">
        <v>143686</v>
      </c>
      <c r="BW6" s="208">
        <v>0</v>
      </c>
      <c r="BX6" s="208">
        <v>48091</v>
      </c>
      <c r="BY6" s="208">
        <v>12022</v>
      </c>
      <c r="BZ6" s="208">
        <v>0</v>
      </c>
      <c r="CA6" s="208">
        <v>0</v>
      </c>
      <c r="CB6" s="208">
        <v>0</v>
      </c>
      <c r="CC6" s="208">
        <v>0</v>
      </c>
      <c r="CD6" s="208">
        <v>0</v>
      </c>
      <c r="CE6" s="208">
        <v>0</v>
      </c>
      <c r="CF6" s="208">
        <v>0</v>
      </c>
      <c r="CG6" s="208">
        <v>0</v>
      </c>
      <c r="CH6" s="208">
        <v>0</v>
      </c>
      <c r="CI6" s="208">
        <v>0</v>
      </c>
      <c r="CJ6" s="208">
        <v>-49.918333333333337</v>
      </c>
      <c r="CK6" s="208">
        <v>-12.479583333333334</v>
      </c>
      <c r="CL6" s="208">
        <v>0</v>
      </c>
      <c r="CM6" s="208">
        <v>0</v>
      </c>
      <c r="CN6" s="208">
        <v>0</v>
      </c>
      <c r="CO6" s="208">
        <v>0</v>
      </c>
      <c r="CP6" s="208">
        <v>-1269.2350000000001</v>
      </c>
      <c r="CQ6" s="208">
        <v>-317.30875000000003</v>
      </c>
      <c r="CR6" s="208">
        <v>0</v>
      </c>
      <c r="CS6" s="208">
        <v>0</v>
      </c>
      <c r="CT6" s="208">
        <v>0</v>
      </c>
      <c r="CU6" s="208">
        <v>0</v>
      </c>
      <c r="CV6" s="208">
        <v>0</v>
      </c>
      <c r="CW6" s="208">
        <v>0</v>
      </c>
      <c r="CX6" s="208">
        <v>0</v>
      </c>
      <c r="CY6" s="208">
        <v>0</v>
      </c>
      <c r="CZ6" s="208">
        <v>0</v>
      </c>
      <c r="DA6" s="208">
        <v>0</v>
      </c>
      <c r="DB6" s="208">
        <v>-765.55083333333334</v>
      </c>
      <c r="DC6" s="208">
        <v>-191.38770833333334</v>
      </c>
      <c r="DD6" s="208">
        <v>0</v>
      </c>
      <c r="DE6" s="208">
        <v>0</v>
      </c>
      <c r="DF6" s="208">
        <v>0</v>
      </c>
      <c r="DG6" s="208">
        <v>0</v>
      </c>
      <c r="DH6" s="208">
        <v>0</v>
      </c>
      <c r="DI6" s="208">
        <v>0</v>
      </c>
      <c r="DJ6" s="208">
        <v>0</v>
      </c>
      <c r="DK6" s="208">
        <v>0</v>
      </c>
      <c r="DL6" s="208">
        <v>0</v>
      </c>
      <c r="DM6" s="208">
        <v>0</v>
      </c>
      <c r="DN6" s="208">
        <v>0</v>
      </c>
      <c r="DO6" s="208">
        <v>0</v>
      </c>
      <c r="DP6" s="208">
        <v>0</v>
      </c>
      <c r="DQ6" s="208">
        <v>0</v>
      </c>
      <c r="DR6" s="208">
        <v>0</v>
      </c>
      <c r="DS6" s="208">
        <v>0</v>
      </c>
      <c r="DT6" s="208">
        <v>0</v>
      </c>
      <c r="DU6" s="208">
        <v>0</v>
      </c>
      <c r="DV6" s="208">
        <v>0</v>
      </c>
      <c r="DW6" s="208">
        <v>5375.2225000000008</v>
      </c>
      <c r="DX6" s="208">
        <v>1343.8056250000002</v>
      </c>
      <c r="DY6" s="208">
        <v>0</v>
      </c>
      <c r="DZ6" s="208">
        <v>0</v>
      </c>
      <c r="EA6" s="208">
        <v>0</v>
      </c>
      <c r="EB6" s="208">
        <v>0</v>
      </c>
      <c r="EC6" s="208">
        <v>5375</v>
      </c>
      <c r="ED6" s="208">
        <v>1344</v>
      </c>
      <c r="EE6" s="208">
        <v>0</v>
      </c>
      <c r="EF6" s="208">
        <v>22815.133333333335</v>
      </c>
      <c r="EG6" s="208">
        <v>5703.7833333333338</v>
      </c>
      <c r="EH6" s="208">
        <v>0</v>
      </c>
      <c r="EI6" s="208">
        <v>-71.195000000000007</v>
      </c>
      <c r="EJ6" s="208">
        <v>-17.798750000000002</v>
      </c>
      <c r="EK6" s="208">
        <v>0</v>
      </c>
      <c r="EL6" s="208">
        <v>0</v>
      </c>
      <c r="EM6" s="208">
        <v>0</v>
      </c>
      <c r="EN6" s="208">
        <v>0</v>
      </c>
      <c r="EO6" s="208">
        <v>22744</v>
      </c>
      <c r="EP6" s="208">
        <v>5686</v>
      </c>
      <c r="EQ6" s="208">
        <v>0</v>
      </c>
      <c r="ER6" s="208">
        <v>6830.6283333333331</v>
      </c>
      <c r="ES6" s="208">
        <v>1707.6570833333333</v>
      </c>
      <c r="ET6" s="208">
        <v>0</v>
      </c>
      <c r="EU6" s="208">
        <v>0</v>
      </c>
      <c r="EV6" s="208">
        <v>0</v>
      </c>
      <c r="EW6" s="208">
        <v>0</v>
      </c>
      <c r="EX6" s="208">
        <v>6831</v>
      </c>
      <c r="EY6" s="208">
        <v>1708</v>
      </c>
      <c r="EZ6" s="208">
        <v>0</v>
      </c>
      <c r="FA6" s="208">
        <v>0</v>
      </c>
      <c r="FB6" s="208">
        <v>0</v>
      </c>
      <c r="FC6" s="208">
        <v>0</v>
      </c>
      <c r="FD6" s="208">
        <v>0</v>
      </c>
      <c r="FE6" s="208">
        <v>0</v>
      </c>
      <c r="FF6" s="208">
        <v>0</v>
      </c>
      <c r="FG6" s="208">
        <v>0</v>
      </c>
      <c r="FH6" s="208">
        <v>0</v>
      </c>
      <c r="FI6" s="208">
        <v>0</v>
      </c>
      <c r="FJ6" s="208">
        <v>161576.94666666666</v>
      </c>
      <c r="FK6" s="208">
        <v>40394.236666666664</v>
      </c>
      <c r="FL6" s="208">
        <v>0</v>
      </c>
      <c r="FM6" s="208">
        <v>167438</v>
      </c>
      <c r="FN6" s="208">
        <v>41860</v>
      </c>
      <c r="FO6" s="208">
        <v>0</v>
      </c>
      <c r="FP6" s="208">
        <v>-5861</v>
      </c>
      <c r="FQ6" s="208">
        <v>-1466</v>
      </c>
      <c r="FR6" s="208">
        <v>0</v>
      </c>
      <c r="FS6" s="208">
        <v>0</v>
      </c>
      <c r="FT6" s="208">
        <v>0</v>
      </c>
      <c r="FU6" s="208">
        <v>0</v>
      </c>
      <c r="FV6" s="208">
        <v>0</v>
      </c>
      <c r="FW6" s="208">
        <v>0</v>
      </c>
      <c r="FX6" s="208">
        <v>0</v>
      </c>
      <c r="FY6" s="208">
        <v>0</v>
      </c>
      <c r="FZ6" s="208">
        <v>0</v>
      </c>
      <c r="GA6" s="208">
        <v>0</v>
      </c>
      <c r="GB6" s="208">
        <v>817276</v>
      </c>
      <c r="GC6" s="208">
        <v>204320</v>
      </c>
      <c r="GD6" s="208">
        <v>0</v>
      </c>
      <c r="GE6" s="664">
        <v>0.5</v>
      </c>
      <c r="GF6" s="664">
        <v>0.4</v>
      </c>
      <c r="GG6" s="664">
        <v>0.1</v>
      </c>
      <c r="GH6" s="664">
        <v>0</v>
      </c>
      <c r="GI6" s="187" t="s">
        <v>1054</v>
      </c>
    </row>
    <row r="7" spans="1:191" s="187" customFormat="1" x14ac:dyDescent="0.2">
      <c r="B7" s="429" t="s">
        <v>93</v>
      </c>
      <c r="C7" s="429" t="s">
        <v>92</v>
      </c>
      <c r="D7" s="208">
        <v>716267</v>
      </c>
      <c r="E7" s="208">
        <v>0</v>
      </c>
      <c r="F7" s="208">
        <v>716267</v>
      </c>
      <c r="G7" s="208">
        <v>602506</v>
      </c>
      <c r="H7" s="208">
        <v>0</v>
      </c>
      <c r="I7" s="208">
        <v>602506</v>
      </c>
      <c r="J7" s="208">
        <v>113761</v>
      </c>
      <c r="K7" s="208">
        <v>0</v>
      </c>
      <c r="L7" s="208">
        <v>113761</v>
      </c>
      <c r="M7" s="208">
        <v>182468</v>
      </c>
      <c r="N7" s="208">
        <v>182468</v>
      </c>
      <c r="O7" s="208">
        <v>0</v>
      </c>
      <c r="P7" s="208">
        <v>0</v>
      </c>
      <c r="Q7" s="208">
        <v>0</v>
      </c>
      <c r="R7" s="208">
        <v>0</v>
      </c>
      <c r="S7" s="208">
        <v>372905</v>
      </c>
      <c r="T7" s="208">
        <v>9066</v>
      </c>
      <c r="U7" s="208">
        <v>478585</v>
      </c>
      <c r="V7" s="208">
        <v>0</v>
      </c>
      <c r="W7" s="208">
        <v>-105680</v>
      </c>
      <c r="X7" s="208">
        <v>9066</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c r="BL7" s="208">
        <v>0</v>
      </c>
      <c r="BM7" s="208">
        <v>0</v>
      </c>
      <c r="BN7" s="208">
        <v>0</v>
      </c>
      <c r="BO7" s="208">
        <v>1397667.2922633335</v>
      </c>
      <c r="BP7" s="208">
        <v>349416.82306583336</v>
      </c>
      <c r="BQ7" s="208">
        <v>0</v>
      </c>
      <c r="BR7" s="208">
        <v>73410</v>
      </c>
      <c r="BS7" s="208">
        <v>18353</v>
      </c>
      <c r="BT7" s="208">
        <v>0</v>
      </c>
      <c r="BU7" s="208">
        <v>1325146</v>
      </c>
      <c r="BV7" s="208">
        <v>331286</v>
      </c>
      <c r="BW7" s="208">
        <v>0</v>
      </c>
      <c r="BX7" s="208">
        <v>145931</v>
      </c>
      <c r="BY7" s="208">
        <v>36484</v>
      </c>
      <c r="BZ7" s="208">
        <v>0</v>
      </c>
      <c r="CA7" s="208">
        <v>4932.0950000000003</v>
      </c>
      <c r="CB7" s="208">
        <v>1233.0237500000001</v>
      </c>
      <c r="CC7" s="208">
        <v>0</v>
      </c>
      <c r="CD7" s="208">
        <v>7185</v>
      </c>
      <c r="CE7" s="208">
        <v>1796</v>
      </c>
      <c r="CF7" s="208">
        <v>0</v>
      </c>
      <c r="CG7" s="208">
        <v>-2253</v>
      </c>
      <c r="CH7" s="208">
        <v>-563</v>
      </c>
      <c r="CI7" s="208">
        <v>0</v>
      </c>
      <c r="CJ7" s="208">
        <v>0</v>
      </c>
      <c r="CK7" s="208">
        <v>0</v>
      </c>
      <c r="CL7" s="208">
        <v>0</v>
      </c>
      <c r="CM7" s="208">
        <v>0</v>
      </c>
      <c r="CN7" s="208">
        <v>0</v>
      </c>
      <c r="CO7" s="208">
        <v>0</v>
      </c>
      <c r="CP7" s="208">
        <v>29.460000000000004</v>
      </c>
      <c r="CQ7" s="208">
        <v>7.3650000000000011</v>
      </c>
      <c r="CR7" s="208">
        <v>0</v>
      </c>
      <c r="CS7" s="208">
        <v>504.91166666666669</v>
      </c>
      <c r="CT7" s="208">
        <v>126.22791666666667</v>
      </c>
      <c r="CU7" s="208">
        <v>0</v>
      </c>
      <c r="CV7" s="208">
        <v>0</v>
      </c>
      <c r="CW7" s="208">
        <v>0</v>
      </c>
      <c r="CX7" s="208">
        <v>0</v>
      </c>
      <c r="CY7" s="208">
        <v>505</v>
      </c>
      <c r="CZ7" s="208">
        <v>126</v>
      </c>
      <c r="DA7" s="208">
        <v>0</v>
      </c>
      <c r="DB7" s="208">
        <v>0</v>
      </c>
      <c r="DC7" s="208">
        <v>0</v>
      </c>
      <c r="DD7" s="208">
        <v>0</v>
      </c>
      <c r="DE7" s="208">
        <v>14123.205833333335</v>
      </c>
      <c r="DF7" s="208">
        <v>3530.8014583333338</v>
      </c>
      <c r="DG7" s="208">
        <v>0</v>
      </c>
      <c r="DH7" s="208">
        <v>17858</v>
      </c>
      <c r="DI7" s="208">
        <v>4464</v>
      </c>
      <c r="DJ7" s="208">
        <v>0</v>
      </c>
      <c r="DK7" s="208">
        <v>-3735</v>
      </c>
      <c r="DL7" s="208">
        <v>-933</v>
      </c>
      <c r="DM7" s="208">
        <v>0</v>
      </c>
      <c r="DN7" s="208">
        <v>0</v>
      </c>
      <c r="DO7" s="208">
        <v>0</v>
      </c>
      <c r="DP7" s="208">
        <v>0</v>
      </c>
      <c r="DQ7" s="208">
        <v>0</v>
      </c>
      <c r="DR7" s="208">
        <v>0</v>
      </c>
      <c r="DS7" s="208">
        <v>0</v>
      </c>
      <c r="DT7" s="208">
        <v>0</v>
      </c>
      <c r="DU7" s="208">
        <v>0</v>
      </c>
      <c r="DV7" s="208">
        <v>0</v>
      </c>
      <c r="DW7" s="208">
        <v>9426.7908333333344</v>
      </c>
      <c r="DX7" s="208">
        <v>2356.6977083333336</v>
      </c>
      <c r="DY7" s="208">
        <v>0</v>
      </c>
      <c r="DZ7" s="208">
        <v>11058</v>
      </c>
      <c r="EA7" s="208">
        <v>2765</v>
      </c>
      <c r="EB7" s="208">
        <v>0</v>
      </c>
      <c r="EC7" s="208">
        <v>-1631</v>
      </c>
      <c r="ED7" s="208">
        <v>-408</v>
      </c>
      <c r="EE7" s="208">
        <v>0</v>
      </c>
      <c r="EF7" s="208">
        <v>62081.221666666672</v>
      </c>
      <c r="EG7" s="208">
        <v>15520.305416666668</v>
      </c>
      <c r="EH7" s="208">
        <v>0</v>
      </c>
      <c r="EI7" s="208">
        <v>12555.279166666667</v>
      </c>
      <c r="EJ7" s="208">
        <v>3138.8197916666668</v>
      </c>
      <c r="EK7" s="208">
        <v>0</v>
      </c>
      <c r="EL7" s="208">
        <v>70786</v>
      </c>
      <c r="EM7" s="208">
        <v>17696</v>
      </c>
      <c r="EN7" s="208">
        <v>0</v>
      </c>
      <c r="EO7" s="208">
        <v>3851</v>
      </c>
      <c r="EP7" s="208">
        <v>963</v>
      </c>
      <c r="EQ7" s="208">
        <v>0</v>
      </c>
      <c r="ER7" s="208">
        <v>23733.712500000001</v>
      </c>
      <c r="ES7" s="208">
        <v>5933.4281250000004</v>
      </c>
      <c r="ET7" s="208">
        <v>0</v>
      </c>
      <c r="EU7" s="208">
        <v>25406</v>
      </c>
      <c r="EV7" s="208">
        <v>6352</v>
      </c>
      <c r="EW7" s="208">
        <v>0</v>
      </c>
      <c r="EX7" s="208">
        <v>-1672</v>
      </c>
      <c r="EY7" s="208">
        <v>-419</v>
      </c>
      <c r="EZ7" s="208">
        <v>0</v>
      </c>
      <c r="FA7" s="208">
        <v>0</v>
      </c>
      <c r="FB7" s="208">
        <v>0</v>
      </c>
      <c r="FC7" s="208">
        <v>0</v>
      </c>
      <c r="FD7" s="208">
        <v>0</v>
      </c>
      <c r="FE7" s="208">
        <v>0</v>
      </c>
      <c r="FF7" s="208">
        <v>0</v>
      </c>
      <c r="FG7" s="208">
        <v>0</v>
      </c>
      <c r="FH7" s="208">
        <v>0</v>
      </c>
      <c r="FI7" s="208">
        <v>0</v>
      </c>
      <c r="FJ7" s="208">
        <v>261798.43708333332</v>
      </c>
      <c r="FK7" s="208">
        <v>63520.936874999999</v>
      </c>
      <c r="FL7" s="208">
        <v>0</v>
      </c>
      <c r="FM7" s="208">
        <v>264773</v>
      </c>
      <c r="FN7" s="208">
        <v>63451</v>
      </c>
      <c r="FO7" s="208">
        <v>0</v>
      </c>
      <c r="FP7" s="208">
        <v>-2975</v>
      </c>
      <c r="FQ7" s="208">
        <v>70</v>
      </c>
      <c r="FR7" s="208">
        <v>0</v>
      </c>
      <c r="FS7" s="208">
        <v>0</v>
      </c>
      <c r="FT7" s="208">
        <v>0</v>
      </c>
      <c r="FU7" s="208">
        <v>0</v>
      </c>
      <c r="FV7" s="208">
        <v>0</v>
      </c>
      <c r="FW7" s="208">
        <v>0</v>
      </c>
      <c r="FX7" s="208">
        <v>0</v>
      </c>
      <c r="FY7" s="208">
        <v>0</v>
      </c>
      <c r="FZ7" s="208">
        <v>0</v>
      </c>
      <c r="GA7" s="208">
        <v>0</v>
      </c>
      <c r="GB7" s="208">
        <v>1860261</v>
      </c>
      <c r="GC7" s="208">
        <v>463137</v>
      </c>
      <c r="GD7" s="208">
        <v>0</v>
      </c>
      <c r="GE7" s="664">
        <v>0.5</v>
      </c>
      <c r="GF7" s="664">
        <v>0.4</v>
      </c>
      <c r="GG7" s="664">
        <v>0.1</v>
      </c>
      <c r="GH7" s="664">
        <v>0</v>
      </c>
      <c r="GI7" s="187" t="s">
        <v>1054</v>
      </c>
    </row>
    <row r="8" spans="1:191" s="187" customFormat="1" x14ac:dyDescent="0.2">
      <c r="B8" s="429" t="s">
        <v>95</v>
      </c>
      <c r="C8" s="429" t="s">
        <v>94</v>
      </c>
      <c r="D8" s="208">
        <v>613919</v>
      </c>
      <c r="E8" s="208">
        <v>0</v>
      </c>
      <c r="F8" s="208">
        <v>613919</v>
      </c>
      <c r="G8" s="208">
        <v>547403</v>
      </c>
      <c r="H8" s="208">
        <v>0</v>
      </c>
      <c r="I8" s="208">
        <v>547403</v>
      </c>
      <c r="J8" s="208">
        <v>66516</v>
      </c>
      <c r="K8" s="208">
        <v>0</v>
      </c>
      <c r="L8" s="208">
        <v>66516</v>
      </c>
      <c r="M8" s="208">
        <v>149481</v>
      </c>
      <c r="N8" s="208">
        <v>149481</v>
      </c>
      <c r="O8" s="208">
        <v>0</v>
      </c>
      <c r="P8" s="208">
        <v>0</v>
      </c>
      <c r="Q8" s="208">
        <v>0</v>
      </c>
      <c r="R8" s="208">
        <v>0</v>
      </c>
      <c r="S8" s="208">
        <v>6299</v>
      </c>
      <c r="T8" s="208">
        <v>0</v>
      </c>
      <c r="U8" s="208">
        <v>9391</v>
      </c>
      <c r="V8" s="208">
        <v>0</v>
      </c>
      <c r="W8" s="208">
        <v>-3092</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c r="BL8" s="208">
        <v>0</v>
      </c>
      <c r="BM8" s="208">
        <v>0</v>
      </c>
      <c r="BN8" s="208">
        <v>0</v>
      </c>
      <c r="BO8" s="208">
        <v>1559901.9109895835</v>
      </c>
      <c r="BP8" s="208">
        <v>1528703.8727697916</v>
      </c>
      <c r="BQ8" s="208">
        <v>31198.038219791673</v>
      </c>
      <c r="BR8" s="208">
        <v>88688</v>
      </c>
      <c r="BS8" s="208">
        <v>86914</v>
      </c>
      <c r="BT8" s="208">
        <v>1774</v>
      </c>
      <c r="BU8" s="208">
        <v>1481144</v>
      </c>
      <c r="BV8" s="208">
        <v>1451522</v>
      </c>
      <c r="BW8" s="208">
        <v>29623</v>
      </c>
      <c r="BX8" s="208">
        <v>167446</v>
      </c>
      <c r="BY8" s="208">
        <v>164096</v>
      </c>
      <c r="BZ8" s="208">
        <v>3349</v>
      </c>
      <c r="CA8" s="208">
        <v>0</v>
      </c>
      <c r="CB8" s="208">
        <v>0</v>
      </c>
      <c r="CC8" s="208">
        <v>0</v>
      </c>
      <c r="CD8" s="208">
        <v>0</v>
      </c>
      <c r="CE8" s="208">
        <v>0</v>
      </c>
      <c r="CF8" s="208">
        <v>0</v>
      </c>
      <c r="CG8" s="208">
        <v>0</v>
      </c>
      <c r="CH8" s="208">
        <v>0</v>
      </c>
      <c r="CI8" s="208">
        <v>0</v>
      </c>
      <c r="CJ8" s="208">
        <v>0</v>
      </c>
      <c r="CK8" s="208">
        <v>0</v>
      </c>
      <c r="CL8" s="208">
        <v>0</v>
      </c>
      <c r="CM8" s="208">
        <v>0</v>
      </c>
      <c r="CN8" s="208">
        <v>0</v>
      </c>
      <c r="CO8" s="208">
        <v>0</v>
      </c>
      <c r="CP8" s="208">
        <v>-1278.6458333333333</v>
      </c>
      <c r="CQ8" s="208">
        <v>-1253.0729166666665</v>
      </c>
      <c r="CR8" s="208">
        <v>-25.572916666666664</v>
      </c>
      <c r="CS8" s="208">
        <v>0</v>
      </c>
      <c r="CT8" s="208">
        <v>0</v>
      </c>
      <c r="CU8" s="208">
        <v>0</v>
      </c>
      <c r="CV8" s="208">
        <v>0</v>
      </c>
      <c r="CW8" s="208">
        <v>0</v>
      </c>
      <c r="CX8" s="208">
        <v>0</v>
      </c>
      <c r="CY8" s="208">
        <v>0</v>
      </c>
      <c r="CZ8" s="208">
        <v>0</v>
      </c>
      <c r="DA8" s="208">
        <v>0</v>
      </c>
      <c r="DB8" s="208">
        <v>-5.6260416666666666</v>
      </c>
      <c r="DC8" s="208">
        <v>-5.5135208333333328</v>
      </c>
      <c r="DD8" s="208">
        <v>-0.11252083333333333</v>
      </c>
      <c r="DE8" s="208">
        <v>6705.21875</v>
      </c>
      <c r="DF8" s="208">
        <v>6571.1143750000001</v>
      </c>
      <c r="DG8" s="208">
        <v>134.10437499999998</v>
      </c>
      <c r="DH8" s="208">
        <v>7226</v>
      </c>
      <c r="DI8" s="208">
        <v>7080</v>
      </c>
      <c r="DJ8" s="208">
        <v>144</v>
      </c>
      <c r="DK8" s="208">
        <v>-521</v>
      </c>
      <c r="DL8" s="208">
        <v>-509</v>
      </c>
      <c r="DM8" s="208">
        <v>-10</v>
      </c>
      <c r="DN8" s="208">
        <v>0</v>
      </c>
      <c r="DO8" s="208">
        <v>0</v>
      </c>
      <c r="DP8" s="208">
        <v>0</v>
      </c>
      <c r="DQ8" s="208">
        <v>0</v>
      </c>
      <c r="DR8" s="208">
        <v>0</v>
      </c>
      <c r="DS8" s="208">
        <v>0</v>
      </c>
      <c r="DT8" s="208">
        <v>0</v>
      </c>
      <c r="DU8" s="208">
        <v>0</v>
      </c>
      <c r="DV8" s="208">
        <v>0</v>
      </c>
      <c r="DW8" s="208">
        <v>21437.776041666668</v>
      </c>
      <c r="DX8" s="208">
        <v>21009.020520833335</v>
      </c>
      <c r="DY8" s="208">
        <v>428.75552083333338</v>
      </c>
      <c r="DZ8" s="208">
        <v>21884</v>
      </c>
      <c r="EA8" s="208">
        <v>21446</v>
      </c>
      <c r="EB8" s="208">
        <v>438</v>
      </c>
      <c r="EC8" s="208">
        <v>-446</v>
      </c>
      <c r="ED8" s="208">
        <v>-437</v>
      </c>
      <c r="EE8" s="208">
        <v>-9</v>
      </c>
      <c r="EF8" s="208">
        <v>5860.2895833333332</v>
      </c>
      <c r="EG8" s="208">
        <v>5743.083791666666</v>
      </c>
      <c r="EH8" s="208">
        <v>117.20579166666667</v>
      </c>
      <c r="EI8" s="208">
        <v>0</v>
      </c>
      <c r="EJ8" s="208">
        <v>0</v>
      </c>
      <c r="EK8" s="208">
        <v>0</v>
      </c>
      <c r="EL8" s="208">
        <v>13073</v>
      </c>
      <c r="EM8" s="208">
        <v>12811</v>
      </c>
      <c r="EN8" s="208">
        <v>261</v>
      </c>
      <c r="EO8" s="208">
        <v>-7213</v>
      </c>
      <c r="EP8" s="208">
        <v>-7068</v>
      </c>
      <c r="EQ8" s="208">
        <v>-144</v>
      </c>
      <c r="ER8" s="208">
        <v>22922.028125000001</v>
      </c>
      <c r="ES8" s="208">
        <v>22463.587562500001</v>
      </c>
      <c r="ET8" s="208">
        <v>458.44056250000006</v>
      </c>
      <c r="EU8" s="208">
        <v>22017</v>
      </c>
      <c r="EV8" s="208">
        <v>21576</v>
      </c>
      <c r="EW8" s="208">
        <v>440</v>
      </c>
      <c r="EX8" s="208">
        <v>905</v>
      </c>
      <c r="EY8" s="208">
        <v>888</v>
      </c>
      <c r="EZ8" s="208">
        <v>18</v>
      </c>
      <c r="FA8" s="208">
        <v>0</v>
      </c>
      <c r="FB8" s="208">
        <v>0</v>
      </c>
      <c r="FC8" s="208">
        <v>0</v>
      </c>
      <c r="FD8" s="208">
        <v>0</v>
      </c>
      <c r="FE8" s="208">
        <v>0</v>
      </c>
      <c r="FF8" s="208">
        <v>0</v>
      </c>
      <c r="FG8" s="208">
        <v>0</v>
      </c>
      <c r="FH8" s="208">
        <v>0</v>
      </c>
      <c r="FI8" s="208">
        <v>0</v>
      </c>
      <c r="FJ8" s="208">
        <v>344034.51041666663</v>
      </c>
      <c r="FK8" s="208">
        <v>337012.35516666662</v>
      </c>
      <c r="FL8" s="208">
        <v>6877.8031666666666</v>
      </c>
      <c r="FM8" s="208">
        <v>339631</v>
      </c>
      <c r="FN8" s="208">
        <v>332627</v>
      </c>
      <c r="FO8" s="208">
        <v>6788</v>
      </c>
      <c r="FP8" s="208">
        <v>4404</v>
      </c>
      <c r="FQ8" s="208">
        <v>4385</v>
      </c>
      <c r="FR8" s="208">
        <v>90</v>
      </c>
      <c r="FS8" s="208">
        <v>0</v>
      </c>
      <c r="FT8" s="208">
        <v>0</v>
      </c>
      <c r="FU8" s="208">
        <v>0</v>
      </c>
      <c r="FV8" s="208">
        <v>0</v>
      </c>
      <c r="FW8" s="208">
        <v>0</v>
      </c>
      <c r="FX8" s="208">
        <v>0</v>
      </c>
      <c r="FY8" s="208">
        <v>0</v>
      </c>
      <c r="FZ8" s="208">
        <v>0</v>
      </c>
      <c r="GA8" s="208">
        <v>0</v>
      </c>
      <c r="GB8" s="208">
        <v>2048265</v>
      </c>
      <c r="GC8" s="208">
        <v>2007158</v>
      </c>
      <c r="GD8" s="208">
        <v>40962</v>
      </c>
      <c r="GE8" s="664">
        <v>0</v>
      </c>
      <c r="GF8" s="664">
        <v>0.5</v>
      </c>
      <c r="GG8" s="664">
        <v>0.49</v>
      </c>
      <c r="GH8" s="664">
        <v>0.01</v>
      </c>
      <c r="GI8" s="187" t="s">
        <v>1054</v>
      </c>
    </row>
    <row r="9" spans="1:191" s="187" customFormat="1" x14ac:dyDescent="0.2">
      <c r="B9" s="429" t="s">
        <v>97</v>
      </c>
      <c r="C9" s="429" t="s">
        <v>96</v>
      </c>
      <c r="D9" s="208">
        <v>136417</v>
      </c>
      <c r="E9" s="208">
        <v>0</v>
      </c>
      <c r="F9" s="208">
        <v>136417</v>
      </c>
      <c r="G9" s="208">
        <v>208510</v>
      </c>
      <c r="H9" s="208">
        <v>0</v>
      </c>
      <c r="I9" s="208">
        <v>208510</v>
      </c>
      <c r="J9" s="208">
        <v>-72093</v>
      </c>
      <c r="K9" s="208">
        <v>0</v>
      </c>
      <c r="L9" s="208">
        <v>-72093</v>
      </c>
      <c r="M9" s="208">
        <v>184923</v>
      </c>
      <c r="N9" s="208">
        <v>184923</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c r="BL9" s="208">
        <v>0</v>
      </c>
      <c r="BM9" s="208">
        <v>0</v>
      </c>
      <c r="BN9" s="208">
        <v>0</v>
      </c>
      <c r="BO9" s="208">
        <v>1509805.5105733336</v>
      </c>
      <c r="BP9" s="208">
        <v>377451.3776433334</v>
      </c>
      <c r="BQ9" s="208">
        <v>0</v>
      </c>
      <c r="BR9" s="208">
        <v>88775</v>
      </c>
      <c r="BS9" s="208">
        <v>22194</v>
      </c>
      <c r="BT9" s="208">
        <v>0</v>
      </c>
      <c r="BU9" s="208">
        <v>1448139</v>
      </c>
      <c r="BV9" s="208">
        <v>362035</v>
      </c>
      <c r="BW9" s="208">
        <v>0</v>
      </c>
      <c r="BX9" s="208">
        <v>150442</v>
      </c>
      <c r="BY9" s="208">
        <v>37610</v>
      </c>
      <c r="BZ9" s="208">
        <v>0</v>
      </c>
      <c r="CA9" s="208">
        <v>6907.5516666666672</v>
      </c>
      <c r="CB9" s="208">
        <v>1726.8879166666668</v>
      </c>
      <c r="CC9" s="208">
        <v>0</v>
      </c>
      <c r="CD9" s="208">
        <v>11450</v>
      </c>
      <c r="CE9" s="208">
        <v>2863</v>
      </c>
      <c r="CF9" s="208">
        <v>0</v>
      </c>
      <c r="CG9" s="208">
        <v>-4542</v>
      </c>
      <c r="CH9" s="208">
        <v>-1136</v>
      </c>
      <c r="CI9" s="208">
        <v>0</v>
      </c>
      <c r="CJ9" s="208">
        <v>0</v>
      </c>
      <c r="CK9" s="208">
        <v>0</v>
      </c>
      <c r="CL9" s="208">
        <v>0</v>
      </c>
      <c r="CM9" s="208">
        <v>-7416.9641666666666</v>
      </c>
      <c r="CN9" s="208">
        <v>-1854.2410416666667</v>
      </c>
      <c r="CO9" s="208">
        <v>0</v>
      </c>
      <c r="CP9" s="208">
        <v>-1010.2325000000001</v>
      </c>
      <c r="CQ9" s="208">
        <v>-252.55812500000002</v>
      </c>
      <c r="CR9" s="208">
        <v>0</v>
      </c>
      <c r="CS9" s="208">
        <v>0</v>
      </c>
      <c r="CT9" s="208">
        <v>0</v>
      </c>
      <c r="CU9" s="208">
        <v>0</v>
      </c>
      <c r="CV9" s="208">
        <v>0</v>
      </c>
      <c r="CW9" s="208">
        <v>0</v>
      </c>
      <c r="CX9" s="208">
        <v>0</v>
      </c>
      <c r="CY9" s="208">
        <v>0</v>
      </c>
      <c r="CZ9" s="208">
        <v>0</v>
      </c>
      <c r="DA9" s="208">
        <v>0</v>
      </c>
      <c r="DB9" s="208">
        <v>0</v>
      </c>
      <c r="DC9" s="208">
        <v>0</v>
      </c>
      <c r="DD9" s="208">
        <v>0</v>
      </c>
      <c r="DE9" s="208">
        <v>596.56499999999994</v>
      </c>
      <c r="DF9" s="208">
        <v>149.14124999999999</v>
      </c>
      <c r="DG9" s="208">
        <v>0</v>
      </c>
      <c r="DH9" s="208">
        <v>1004</v>
      </c>
      <c r="DI9" s="208">
        <v>251</v>
      </c>
      <c r="DJ9" s="208">
        <v>0</v>
      </c>
      <c r="DK9" s="208">
        <v>-407</v>
      </c>
      <c r="DL9" s="208">
        <v>-102</v>
      </c>
      <c r="DM9" s="208">
        <v>0</v>
      </c>
      <c r="DN9" s="208">
        <v>0</v>
      </c>
      <c r="DO9" s="208">
        <v>0</v>
      </c>
      <c r="DP9" s="208">
        <v>0</v>
      </c>
      <c r="DQ9" s="208">
        <v>0</v>
      </c>
      <c r="DR9" s="208">
        <v>0</v>
      </c>
      <c r="DS9" s="208">
        <v>0</v>
      </c>
      <c r="DT9" s="208">
        <v>0</v>
      </c>
      <c r="DU9" s="208">
        <v>0</v>
      </c>
      <c r="DV9" s="208">
        <v>0</v>
      </c>
      <c r="DW9" s="208">
        <v>16315.520833333332</v>
      </c>
      <c r="DX9" s="208">
        <v>4078.880208333333</v>
      </c>
      <c r="DY9" s="208">
        <v>0</v>
      </c>
      <c r="DZ9" s="208">
        <v>17542</v>
      </c>
      <c r="EA9" s="208">
        <v>4386</v>
      </c>
      <c r="EB9" s="208">
        <v>0</v>
      </c>
      <c r="EC9" s="208">
        <v>-1226</v>
      </c>
      <c r="ED9" s="208">
        <v>-307</v>
      </c>
      <c r="EE9" s="208">
        <v>0</v>
      </c>
      <c r="EF9" s="208">
        <v>68117.657500000001</v>
      </c>
      <c r="EG9" s="208">
        <v>17029.414375</v>
      </c>
      <c r="EH9" s="208">
        <v>0</v>
      </c>
      <c r="EI9" s="208">
        <v>2070.3833333333332</v>
      </c>
      <c r="EJ9" s="208">
        <v>517.5958333333333</v>
      </c>
      <c r="EK9" s="208">
        <v>0</v>
      </c>
      <c r="EL9" s="208">
        <v>71470</v>
      </c>
      <c r="EM9" s="208">
        <v>17868</v>
      </c>
      <c r="EN9" s="208">
        <v>0</v>
      </c>
      <c r="EO9" s="208">
        <v>-1282</v>
      </c>
      <c r="EP9" s="208">
        <v>-321</v>
      </c>
      <c r="EQ9" s="208">
        <v>0</v>
      </c>
      <c r="ER9" s="208">
        <v>24441.16166666667</v>
      </c>
      <c r="ES9" s="208">
        <v>6110.2904166666676</v>
      </c>
      <c r="ET9" s="208">
        <v>0</v>
      </c>
      <c r="EU9" s="208">
        <v>27005</v>
      </c>
      <c r="EV9" s="208">
        <v>6751</v>
      </c>
      <c r="EW9" s="208">
        <v>0</v>
      </c>
      <c r="EX9" s="208">
        <v>-2564</v>
      </c>
      <c r="EY9" s="208">
        <v>-641</v>
      </c>
      <c r="EZ9" s="208">
        <v>0</v>
      </c>
      <c r="FA9" s="208">
        <v>0</v>
      </c>
      <c r="FB9" s="208">
        <v>0</v>
      </c>
      <c r="FC9" s="208">
        <v>0</v>
      </c>
      <c r="FD9" s="208">
        <v>0</v>
      </c>
      <c r="FE9" s="208">
        <v>0</v>
      </c>
      <c r="FF9" s="208">
        <v>0</v>
      </c>
      <c r="FG9" s="208">
        <v>0</v>
      </c>
      <c r="FH9" s="208">
        <v>0</v>
      </c>
      <c r="FI9" s="208">
        <v>0</v>
      </c>
      <c r="FJ9" s="208">
        <v>312966.64666666667</v>
      </c>
      <c r="FK9" s="208">
        <v>78241.661666666667</v>
      </c>
      <c r="FL9" s="208">
        <v>0</v>
      </c>
      <c r="FM9" s="208">
        <v>336966</v>
      </c>
      <c r="FN9" s="208">
        <v>84241</v>
      </c>
      <c r="FO9" s="208">
        <v>0</v>
      </c>
      <c r="FP9" s="208">
        <v>-23999</v>
      </c>
      <c r="FQ9" s="208">
        <v>-5999</v>
      </c>
      <c r="FR9" s="208">
        <v>0</v>
      </c>
      <c r="FS9" s="208">
        <v>0</v>
      </c>
      <c r="FT9" s="208">
        <v>0</v>
      </c>
      <c r="FU9" s="208">
        <v>0</v>
      </c>
      <c r="FV9" s="208">
        <v>0</v>
      </c>
      <c r="FW9" s="208">
        <v>0</v>
      </c>
      <c r="FX9" s="208">
        <v>0</v>
      </c>
      <c r="FY9" s="208">
        <v>0</v>
      </c>
      <c r="FZ9" s="208">
        <v>0</v>
      </c>
      <c r="GA9" s="208">
        <v>0</v>
      </c>
      <c r="GB9" s="208">
        <v>2021571</v>
      </c>
      <c r="GC9" s="208">
        <v>505392</v>
      </c>
      <c r="GD9" s="208">
        <v>0</v>
      </c>
      <c r="GE9" s="664">
        <v>0.5</v>
      </c>
      <c r="GF9" s="664">
        <v>0.4</v>
      </c>
      <c r="GG9" s="664">
        <v>0.1</v>
      </c>
      <c r="GH9" s="664">
        <v>0</v>
      </c>
      <c r="GI9" s="187" t="s">
        <v>1054</v>
      </c>
    </row>
    <row r="10" spans="1:191" s="187" customFormat="1" x14ac:dyDescent="0.2">
      <c r="B10" s="429" t="s">
        <v>99</v>
      </c>
      <c r="C10" s="429" t="s">
        <v>98</v>
      </c>
      <c r="D10" s="208">
        <v>415424</v>
      </c>
      <c r="E10" s="208">
        <v>0</v>
      </c>
      <c r="F10" s="208">
        <v>415424</v>
      </c>
      <c r="G10" s="208">
        <v>319841</v>
      </c>
      <c r="H10" s="208">
        <v>0</v>
      </c>
      <c r="I10" s="208">
        <v>319841</v>
      </c>
      <c r="J10" s="208">
        <v>95583</v>
      </c>
      <c r="K10" s="208">
        <v>0</v>
      </c>
      <c r="L10" s="208">
        <v>95583</v>
      </c>
      <c r="M10" s="208">
        <v>130283</v>
      </c>
      <c r="N10" s="208">
        <v>130283</v>
      </c>
      <c r="O10" s="208">
        <v>0</v>
      </c>
      <c r="P10" s="208">
        <v>0</v>
      </c>
      <c r="Q10" s="208">
        <v>0</v>
      </c>
      <c r="R10" s="208">
        <v>0</v>
      </c>
      <c r="S10" s="208">
        <v>22564</v>
      </c>
      <c r="T10" s="208">
        <v>0</v>
      </c>
      <c r="U10" s="208">
        <v>0</v>
      </c>
      <c r="V10" s="208">
        <v>0</v>
      </c>
      <c r="W10" s="208">
        <v>22564</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c r="BL10" s="208">
        <v>0</v>
      </c>
      <c r="BM10" s="208">
        <v>0</v>
      </c>
      <c r="BN10" s="208">
        <v>0</v>
      </c>
      <c r="BO10" s="208">
        <v>869216.4284750002</v>
      </c>
      <c r="BP10" s="208">
        <v>195573.69640687501</v>
      </c>
      <c r="BQ10" s="208">
        <v>21730.410711875003</v>
      </c>
      <c r="BR10" s="208">
        <v>62484</v>
      </c>
      <c r="BS10" s="208">
        <v>13924</v>
      </c>
      <c r="BT10" s="208">
        <v>1547</v>
      </c>
      <c r="BU10" s="208">
        <v>829695</v>
      </c>
      <c r="BV10" s="208">
        <v>186681</v>
      </c>
      <c r="BW10" s="208">
        <v>20742</v>
      </c>
      <c r="BX10" s="208">
        <v>102005</v>
      </c>
      <c r="BY10" s="208">
        <v>22817</v>
      </c>
      <c r="BZ10" s="208">
        <v>2535</v>
      </c>
      <c r="CA10" s="208">
        <v>0</v>
      </c>
      <c r="CB10" s="208">
        <v>0</v>
      </c>
      <c r="CC10" s="208">
        <v>0</v>
      </c>
      <c r="CD10" s="208">
        <v>0</v>
      </c>
      <c r="CE10" s="208">
        <v>0</v>
      </c>
      <c r="CF10" s="208">
        <v>0</v>
      </c>
      <c r="CG10" s="208">
        <v>0</v>
      </c>
      <c r="CH10" s="208">
        <v>0</v>
      </c>
      <c r="CI10" s="208">
        <v>0</v>
      </c>
      <c r="CJ10" s="208">
        <v>-1781.9208333333333</v>
      </c>
      <c r="CK10" s="208">
        <v>-400.93218749999994</v>
      </c>
      <c r="CL10" s="208">
        <v>-44.548020833333332</v>
      </c>
      <c r="CM10" s="208">
        <v>0</v>
      </c>
      <c r="CN10" s="208">
        <v>0</v>
      </c>
      <c r="CO10" s="208">
        <v>0</v>
      </c>
      <c r="CP10" s="208">
        <v>0</v>
      </c>
      <c r="CQ10" s="208">
        <v>0</v>
      </c>
      <c r="CR10" s="208">
        <v>0</v>
      </c>
      <c r="CS10" s="208">
        <v>0</v>
      </c>
      <c r="CT10" s="208">
        <v>0</v>
      </c>
      <c r="CU10" s="208">
        <v>0</v>
      </c>
      <c r="CV10" s="208">
        <v>0</v>
      </c>
      <c r="CW10" s="208">
        <v>0</v>
      </c>
      <c r="CX10" s="208">
        <v>0</v>
      </c>
      <c r="CY10" s="208">
        <v>0</v>
      </c>
      <c r="CZ10" s="208">
        <v>0</v>
      </c>
      <c r="DA10" s="208">
        <v>0</v>
      </c>
      <c r="DB10" s="208">
        <v>0</v>
      </c>
      <c r="DC10" s="208">
        <v>0</v>
      </c>
      <c r="DD10" s="208">
        <v>0</v>
      </c>
      <c r="DE10" s="208">
        <v>0</v>
      </c>
      <c r="DF10" s="208">
        <v>0</v>
      </c>
      <c r="DG10" s="208">
        <v>0</v>
      </c>
      <c r="DH10" s="208">
        <v>6931</v>
      </c>
      <c r="DI10" s="208">
        <v>1559</v>
      </c>
      <c r="DJ10" s="208">
        <v>173</v>
      </c>
      <c r="DK10" s="208">
        <v>-6931</v>
      </c>
      <c r="DL10" s="208">
        <v>-1559</v>
      </c>
      <c r="DM10" s="208">
        <v>-173</v>
      </c>
      <c r="DN10" s="208">
        <v>0</v>
      </c>
      <c r="DO10" s="208">
        <v>0</v>
      </c>
      <c r="DP10" s="208">
        <v>0</v>
      </c>
      <c r="DQ10" s="208">
        <v>0</v>
      </c>
      <c r="DR10" s="208">
        <v>0</v>
      </c>
      <c r="DS10" s="208">
        <v>0</v>
      </c>
      <c r="DT10" s="208">
        <v>0</v>
      </c>
      <c r="DU10" s="208">
        <v>0</v>
      </c>
      <c r="DV10" s="208">
        <v>0</v>
      </c>
      <c r="DW10" s="208">
        <v>5738.5625000000009</v>
      </c>
      <c r="DX10" s="208">
        <v>1291.1765625</v>
      </c>
      <c r="DY10" s="208">
        <v>143.46406250000001</v>
      </c>
      <c r="DZ10" s="208">
        <v>6025</v>
      </c>
      <c r="EA10" s="208">
        <v>1356</v>
      </c>
      <c r="EB10" s="208">
        <v>151</v>
      </c>
      <c r="EC10" s="208">
        <v>-286</v>
      </c>
      <c r="ED10" s="208">
        <v>-65</v>
      </c>
      <c r="EE10" s="208">
        <v>-8</v>
      </c>
      <c r="EF10" s="208">
        <v>33799.621666666666</v>
      </c>
      <c r="EG10" s="208">
        <v>7604.9148749999995</v>
      </c>
      <c r="EH10" s="208">
        <v>844.99054166666667</v>
      </c>
      <c r="EI10" s="208">
        <v>-2306.4724999999999</v>
      </c>
      <c r="EJ10" s="208">
        <v>-518.95631249999997</v>
      </c>
      <c r="EK10" s="208">
        <v>-57.661812499999996</v>
      </c>
      <c r="EL10" s="208">
        <v>38365</v>
      </c>
      <c r="EM10" s="208">
        <v>8632</v>
      </c>
      <c r="EN10" s="208">
        <v>959</v>
      </c>
      <c r="EO10" s="208">
        <v>-6872</v>
      </c>
      <c r="EP10" s="208">
        <v>-1546</v>
      </c>
      <c r="EQ10" s="208">
        <v>-172</v>
      </c>
      <c r="ER10" s="208">
        <v>12439.485000000001</v>
      </c>
      <c r="ES10" s="208">
        <v>2798.8841249999996</v>
      </c>
      <c r="ET10" s="208">
        <v>310.98712499999999</v>
      </c>
      <c r="EU10" s="208">
        <v>13502</v>
      </c>
      <c r="EV10" s="208">
        <v>3038</v>
      </c>
      <c r="EW10" s="208">
        <v>338</v>
      </c>
      <c r="EX10" s="208">
        <v>-1063</v>
      </c>
      <c r="EY10" s="208">
        <v>-239</v>
      </c>
      <c r="EZ10" s="208">
        <v>-27</v>
      </c>
      <c r="FA10" s="208">
        <v>0</v>
      </c>
      <c r="FB10" s="208">
        <v>0</v>
      </c>
      <c r="FC10" s="208">
        <v>0</v>
      </c>
      <c r="FD10" s="208">
        <v>0</v>
      </c>
      <c r="FE10" s="208">
        <v>0</v>
      </c>
      <c r="FF10" s="208">
        <v>0</v>
      </c>
      <c r="FG10" s="208">
        <v>0</v>
      </c>
      <c r="FH10" s="208">
        <v>0</v>
      </c>
      <c r="FI10" s="208">
        <v>0</v>
      </c>
      <c r="FJ10" s="208">
        <v>333910.31666666665</v>
      </c>
      <c r="FK10" s="208">
        <v>75013.475624999992</v>
      </c>
      <c r="FL10" s="208">
        <v>8334.8306250000005</v>
      </c>
      <c r="FM10" s="208">
        <v>344103</v>
      </c>
      <c r="FN10" s="208">
        <v>77423</v>
      </c>
      <c r="FO10" s="208">
        <v>8603</v>
      </c>
      <c r="FP10" s="208">
        <v>-10193</v>
      </c>
      <c r="FQ10" s="208">
        <v>-2410</v>
      </c>
      <c r="FR10" s="208">
        <v>-268</v>
      </c>
      <c r="FS10" s="208">
        <v>0</v>
      </c>
      <c r="FT10" s="208">
        <v>0</v>
      </c>
      <c r="FU10" s="208">
        <v>0</v>
      </c>
      <c r="FV10" s="208">
        <v>0</v>
      </c>
      <c r="FW10" s="208">
        <v>0</v>
      </c>
      <c r="FX10" s="208">
        <v>0</v>
      </c>
      <c r="FY10" s="208">
        <v>0</v>
      </c>
      <c r="FZ10" s="208">
        <v>0</v>
      </c>
      <c r="GA10" s="208">
        <v>0</v>
      </c>
      <c r="GB10" s="208">
        <v>1313500</v>
      </c>
      <c r="GC10" s="208">
        <v>295286</v>
      </c>
      <c r="GD10" s="208">
        <v>32808</v>
      </c>
      <c r="GE10" s="664">
        <v>0.5</v>
      </c>
      <c r="GF10" s="664">
        <v>0.4</v>
      </c>
      <c r="GG10" s="664">
        <v>0.09</v>
      </c>
      <c r="GH10" s="664">
        <v>0.01</v>
      </c>
      <c r="GI10" s="187" t="s">
        <v>1054</v>
      </c>
    </row>
    <row r="11" spans="1:191" s="187" customFormat="1" x14ac:dyDescent="0.2">
      <c r="B11" s="429" t="s">
        <v>101</v>
      </c>
      <c r="C11" s="429" t="s">
        <v>100</v>
      </c>
      <c r="D11" s="208">
        <v>-50099</v>
      </c>
      <c r="E11" s="208">
        <v>0</v>
      </c>
      <c r="F11" s="208">
        <v>-50099</v>
      </c>
      <c r="G11" s="208">
        <v>298851</v>
      </c>
      <c r="H11" s="208">
        <v>0</v>
      </c>
      <c r="I11" s="208">
        <v>298851</v>
      </c>
      <c r="J11" s="208">
        <v>-348950</v>
      </c>
      <c r="K11" s="208">
        <v>0</v>
      </c>
      <c r="L11" s="208">
        <v>-348950</v>
      </c>
      <c r="M11" s="208">
        <v>186007</v>
      </c>
      <c r="N11" s="208">
        <v>186007</v>
      </c>
      <c r="O11" s="208">
        <v>0</v>
      </c>
      <c r="P11" s="208">
        <v>0</v>
      </c>
      <c r="Q11" s="208">
        <v>0</v>
      </c>
      <c r="R11" s="208">
        <v>0</v>
      </c>
      <c r="S11" s="208">
        <v>100198</v>
      </c>
      <c r="T11" s="208">
        <v>0</v>
      </c>
      <c r="U11" s="208">
        <v>77808</v>
      </c>
      <c r="V11" s="208">
        <v>0</v>
      </c>
      <c r="W11" s="208">
        <v>22390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c r="BL11" s="208">
        <v>0</v>
      </c>
      <c r="BM11" s="208">
        <v>0</v>
      </c>
      <c r="BN11" s="208">
        <v>0</v>
      </c>
      <c r="BO11" s="208">
        <v>1350996.5794116671</v>
      </c>
      <c r="BP11" s="208">
        <v>1992719.9546322084</v>
      </c>
      <c r="BQ11" s="208">
        <v>33774.914485291672</v>
      </c>
      <c r="BR11" s="208">
        <v>83187</v>
      </c>
      <c r="BS11" s="208">
        <v>122701</v>
      </c>
      <c r="BT11" s="208">
        <v>2080</v>
      </c>
      <c r="BU11" s="208">
        <v>1291793</v>
      </c>
      <c r="BV11" s="208">
        <v>1905394</v>
      </c>
      <c r="BW11" s="208">
        <v>32295</v>
      </c>
      <c r="BX11" s="208">
        <v>142391</v>
      </c>
      <c r="BY11" s="208">
        <v>210027</v>
      </c>
      <c r="BZ11" s="208">
        <v>3560</v>
      </c>
      <c r="CA11" s="208">
        <v>9099.0483333333323</v>
      </c>
      <c r="CB11" s="208">
        <v>13421.096291666667</v>
      </c>
      <c r="CC11" s="208">
        <v>227.47620833333335</v>
      </c>
      <c r="CD11" s="208">
        <v>1512</v>
      </c>
      <c r="CE11" s="208">
        <v>2231</v>
      </c>
      <c r="CF11" s="208">
        <v>38</v>
      </c>
      <c r="CG11" s="208">
        <v>7587</v>
      </c>
      <c r="CH11" s="208">
        <v>11190</v>
      </c>
      <c r="CI11" s="208">
        <v>189</v>
      </c>
      <c r="CJ11" s="208">
        <v>0</v>
      </c>
      <c r="CK11" s="208">
        <v>0</v>
      </c>
      <c r="CL11" s="208">
        <v>0</v>
      </c>
      <c r="CM11" s="208">
        <v>0</v>
      </c>
      <c r="CN11" s="208">
        <v>0</v>
      </c>
      <c r="CO11" s="208">
        <v>0</v>
      </c>
      <c r="CP11" s="208">
        <v>-1616.2083333333335</v>
      </c>
      <c r="CQ11" s="208">
        <v>-2383.9072916666664</v>
      </c>
      <c r="CR11" s="208">
        <v>-40.405208333333334</v>
      </c>
      <c r="CS11" s="208">
        <v>0</v>
      </c>
      <c r="CT11" s="208">
        <v>0</v>
      </c>
      <c r="CU11" s="208">
        <v>0</v>
      </c>
      <c r="CV11" s="208">
        <v>0</v>
      </c>
      <c r="CW11" s="208">
        <v>0</v>
      </c>
      <c r="CX11" s="208">
        <v>0</v>
      </c>
      <c r="CY11" s="208">
        <v>0</v>
      </c>
      <c r="CZ11" s="208">
        <v>0</v>
      </c>
      <c r="DA11" s="208">
        <v>0</v>
      </c>
      <c r="DB11" s="208">
        <v>-57.762058333333329</v>
      </c>
      <c r="DC11" s="208">
        <v>-85.199036041666645</v>
      </c>
      <c r="DD11" s="208">
        <v>-1.444051458333333</v>
      </c>
      <c r="DE11" s="208">
        <v>4378.0833333333339</v>
      </c>
      <c r="DF11" s="208">
        <v>6457.6729166666664</v>
      </c>
      <c r="DG11" s="208">
        <v>109.45208333333335</v>
      </c>
      <c r="DH11" s="208">
        <v>4391</v>
      </c>
      <c r="DI11" s="208">
        <v>6477</v>
      </c>
      <c r="DJ11" s="208">
        <v>110</v>
      </c>
      <c r="DK11" s="208">
        <v>-13</v>
      </c>
      <c r="DL11" s="208">
        <v>-19</v>
      </c>
      <c r="DM11" s="208">
        <v>-1</v>
      </c>
      <c r="DN11" s="208">
        <v>0</v>
      </c>
      <c r="DO11" s="208">
        <v>0</v>
      </c>
      <c r="DP11" s="208">
        <v>0</v>
      </c>
      <c r="DQ11" s="208">
        <v>0</v>
      </c>
      <c r="DR11" s="208">
        <v>0</v>
      </c>
      <c r="DS11" s="208">
        <v>0</v>
      </c>
      <c r="DT11" s="208">
        <v>0</v>
      </c>
      <c r="DU11" s="208">
        <v>0</v>
      </c>
      <c r="DV11" s="208">
        <v>0</v>
      </c>
      <c r="DW11" s="208">
        <v>10812.098233333334</v>
      </c>
      <c r="DX11" s="208">
        <v>15947.844894166665</v>
      </c>
      <c r="DY11" s="208">
        <v>270.30245583333328</v>
      </c>
      <c r="DZ11" s="208">
        <v>12275</v>
      </c>
      <c r="EA11" s="208">
        <v>18106</v>
      </c>
      <c r="EB11" s="208">
        <v>307</v>
      </c>
      <c r="EC11" s="208">
        <v>-1463</v>
      </c>
      <c r="ED11" s="208">
        <v>-2158</v>
      </c>
      <c r="EE11" s="208">
        <v>-37</v>
      </c>
      <c r="EF11" s="208">
        <v>6929.2375000000002</v>
      </c>
      <c r="EG11" s="208">
        <v>10220.6253125</v>
      </c>
      <c r="EH11" s="208">
        <v>173.23093750000001</v>
      </c>
      <c r="EI11" s="208">
        <v>12031.955000000002</v>
      </c>
      <c r="EJ11" s="208">
        <v>17747.133624999999</v>
      </c>
      <c r="EK11" s="208">
        <v>300.79887500000001</v>
      </c>
      <c r="EL11" s="208">
        <v>69608</v>
      </c>
      <c r="EM11" s="208">
        <v>102670</v>
      </c>
      <c r="EN11" s="208">
        <v>1740</v>
      </c>
      <c r="EO11" s="208">
        <v>-50647</v>
      </c>
      <c r="EP11" s="208">
        <v>-74702</v>
      </c>
      <c r="EQ11" s="208">
        <v>-1266</v>
      </c>
      <c r="ER11" s="208">
        <v>27440.762500000004</v>
      </c>
      <c r="ES11" s="208">
        <v>40475.1246875</v>
      </c>
      <c r="ET11" s="208">
        <v>686.01906250000013</v>
      </c>
      <c r="EU11" s="208">
        <v>28642</v>
      </c>
      <c r="EV11" s="208">
        <v>42246</v>
      </c>
      <c r="EW11" s="208">
        <v>716</v>
      </c>
      <c r="EX11" s="208">
        <v>-1201</v>
      </c>
      <c r="EY11" s="208">
        <v>-1771</v>
      </c>
      <c r="EZ11" s="208">
        <v>-30</v>
      </c>
      <c r="FA11" s="208">
        <v>0</v>
      </c>
      <c r="FB11" s="208">
        <v>0</v>
      </c>
      <c r="FC11" s="208">
        <v>0</v>
      </c>
      <c r="FD11" s="208">
        <v>0</v>
      </c>
      <c r="FE11" s="208">
        <v>0</v>
      </c>
      <c r="FF11" s="208">
        <v>0</v>
      </c>
      <c r="FG11" s="208">
        <v>0</v>
      </c>
      <c r="FH11" s="208">
        <v>0</v>
      </c>
      <c r="FI11" s="208">
        <v>0</v>
      </c>
      <c r="FJ11" s="208">
        <v>465635.25250000006</v>
      </c>
      <c r="FK11" s="208">
        <v>683425.09629166662</v>
      </c>
      <c r="FL11" s="208">
        <v>11583.476208333333</v>
      </c>
      <c r="FM11" s="208">
        <v>449403</v>
      </c>
      <c r="FN11" s="208">
        <v>660239</v>
      </c>
      <c r="FO11" s="208">
        <v>11190</v>
      </c>
      <c r="FP11" s="208">
        <v>16232</v>
      </c>
      <c r="FQ11" s="208">
        <v>23186</v>
      </c>
      <c r="FR11" s="208">
        <v>393</v>
      </c>
      <c r="FS11" s="208">
        <v>0</v>
      </c>
      <c r="FT11" s="208">
        <v>0</v>
      </c>
      <c r="FU11" s="208">
        <v>0</v>
      </c>
      <c r="FV11" s="208">
        <v>0</v>
      </c>
      <c r="FW11" s="208">
        <v>0</v>
      </c>
      <c r="FX11" s="208">
        <v>0</v>
      </c>
      <c r="FY11" s="208">
        <v>0</v>
      </c>
      <c r="FZ11" s="208">
        <v>0</v>
      </c>
      <c r="GA11" s="208">
        <v>0</v>
      </c>
      <c r="GB11" s="208">
        <v>1968836</v>
      </c>
      <c r="GC11" s="208">
        <v>2900647</v>
      </c>
      <c r="GD11" s="208">
        <v>49163</v>
      </c>
      <c r="GE11" s="664">
        <v>0</v>
      </c>
      <c r="GF11" s="664">
        <v>0.4</v>
      </c>
      <c r="GG11" s="664">
        <v>0.59</v>
      </c>
      <c r="GH11" s="664">
        <v>0.01</v>
      </c>
      <c r="GI11" s="187" t="s">
        <v>1054</v>
      </c>
    </row>
    <row r="12" spans="1:191" s="187" customFormat="1" x14ac:dyDescent="0.2">
      <c r="B12" s="429" t="s">
        <v>103</v>
      </c>
      <c r="C12" s="429" t="s">
        <v>102</v>
      </c>
      <c r="D12" s="208">
        <v>137245</v>
      </c>
      <c r="E12" s="208">
        <v>-83</v>
      </c>
      <c r="F12" s="208">
        <v>137162</v>
      </c>
      <c r="G12" s="208">
        <v>121361</v>
      </c>
      <c r="H12" s="208">
        <v>0</v>
      </c>
      <c r="I12" s="208">
        <v>121361</v>
      </c>
      <c r="J12" s="208">
        <v>15884</v>
      </c>
      <c r="K12" s="208">
        <v>-83</v>
      </c>
      <c r="L12" s="208">
        <v>15801</v>
      </c>
      <c r="M12" s="208">
        <v>224065</v>
      </c>
      <c r="N12" s="208">
        <v>224065</v>
      </c>
      <c r="O12" s="208">
        <v>0</v>
      </c>
      <c r="P12" s="208">
        <v>523808</v>
      </c>
      <c r="Q12" s="208">
        <v>448863</v>
      </c>
      <c r="R12" s="208">
        <v>74945</v>
      </c>
      <c r="S12" s="208">
        <v>0</v>
      </c>
      <c r="T12" s="208">
        <v>226780</v>
      </c>
      <c r="U12" s="208">
        <v>0</v>
      </c>
      <c r="V12" s="208">
        <v>226780</v>
      </c>
      <c r="W12" s="208">
        <v>0</v>
      </c>
      <c r="X12" s="208">
        <v>0</v>
      </c>
      <c r="Y12" s="208">
        <v>0</v>
      </c>
      <c r="Z12" s="208">
        <v>0</v>
      </c>
      <c r="AA12" s="208">
        <v>0</v>
      </c>
      <c r="AB12" s="208">
        <v>0</v>
      </c>
      <c r="AC12" s="208">
        <v>0</v>
      </c>
      <c r="AD12" s="208">
        <v>0</v>
      </c>
      <c r="AE12" s="208">
        <v>0</v>
      </c>
      <c r="AF12" s="208">
        <v>0</v>
      </c>
      <c r="AG12" s="208">
        <v>0</v>
      </c>
      <c r="AH12" s="208">
        <v>221059</v>
      </c>
      <c r="AI12" s="208">
        <v>221059.45208333334</v>
      </c>
      <c r="AJ12" s="208">
        <v>0</v>
      </c>
      <c r="AK12" s="208">
        <v>0</v>
      </c>
      <c r="AL12" s="208">
        <v>41400</v>
      </c>
      <c r="AM12" s="208">
        <v>41400</v>
      </c>
      <c r="AN12" s="208">
        <v>0</v>
      </c>
      <c r="AO12" s="208">
        <v>0</v>
      </c>
      <c r="AP12" s="208">
        <v>179659</v>
      </c>
      <c r="AQ12" s="208">
        <v>179659</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c r="BL12" s="208">
        <v>0</v>
      </c>
      <c r="BM12" s="208">
        <v>0</v>
      </c>
      <c r="BN12" s="208">
        <v>0</v>
      </c>
      <c r="BO12" s="208">
        <v>1659326.1710033331</v>
      </c>
      <c r="BP12" s="208">
        <v>373348.38847574999</v>
      </c>
      <c r="BQ12" s="208">
        <v>41483.15427508334</v>
      </c>
      <c r="BR12" s="208">
        <v>105696</v>
      </c>
      <c r="BS12" s="208">
        <v>22212</v>
      </c>
      <c r="BT12" s="208">
        <v>2468</v>
      </c>
      <c r="BU12" s="208">
        <v>1555146</v>
      </c>
      <c r="BV12" s="208">
        <v>349908</v>
      </c>
      <c r="BW12" s="208">
        <v>38879</v>
      </c>
      <c r="BX12" s="208">
        <v>209876</v>
      </c>
      <c r="BY12" s="208">
        <v>45652</v>
      </c>
      <c r="BZ12" s="208">
        <v>5072</v>
      </c>
      <c r="CA12" s="208">
        <v>5011.8825000000006</v>
      </c>
      <c r="CB12" s="208">
        <v>1127.6735624999999</v>
      </c>
      <c r="CC12" s="208">
        <v>125.2970625</v>
      </c>
      <c r="CD12" s="208">
        <v>7382</v>
      </c>
      <c r="CE12" s="208">
        <v>1661</v>
      </c>
      <c r="CF12" s="208">
        <v>185</v>
      </c>
      <c r="CG12" s="208">
        <v>-2370</v>
      </c>
      <c r="CH12" s="208">
        <v>-533</v>
      </c>
      <c r="CI12" s="208">
        <v>-60</v>
      </c>
      <c r="CJ12" s="208">
        <v>0</v>
      </c>
      <c r="CK12" s="208">
        <v>0</v>
      </c>
      <c r="CL12" s="208">
        <v>0</v>
      </c>
      <c r="CM12" s="208">
        <v>0</v>
      </c>
      <c r="CN12" s="208">
        <v>0</v>
      </c>
      <c r="CO12" s="208">
        <v>0</v>
      </c>
      <c r="CP12" s="208">
        <v>0</v>
      </c>
      <c r="CQ12" s="208">
        <v>0</v>
      </c>
      <c r="CR12" s="208">
        <v>0</v>
      </c>
      <c r="CS12" s="208">
        <v>0</v>
      </c>
      <c r="CT12" s="208">
        <v>0</v>
      </c>
      <c r="CU12" s="208">
        <v>0</v>
      </c>
      <c r="CV12" s="208">
        <v>0</v>
      </c>
      <c r="CW12" s="208">
        <v>0</v>
      </c>
      <c r="CX12" s="208">
        <v>0</v>
      </c>
      <c r="CY12" s="208">
        <v>0</v>
      </c>
      <c r="CZ12" s="208">
        <v>0</v>
      </c>
      <c r="DA12" s="208">
        <v>0</v>
      </c>
      <c r="DB12" s="208">
        <v>0</v>
      </c>
      <c r="DC12" s="208">
        <v>0</v>
      </c>
      <c r="DD12" s="208">
        <v>0</v>
      </c>
      <c r="DE12" s="208">
        <v>27267.685000000001</v>
      </c>
      <c r="DF12" s="208">
        <v>6135.2291249999998</v>
      </c>
      <c r="DG12" s="208">
        <v>681.69212499999992</v>
      </c>
      <c r="DH12" s="208">
        <v>22366</v>
      </c>
      <c r="DI12" s="208">
        <v>5032</v>
      </c>
      <c r="DJ12" s="208">
        <v>559</v>
      </c>
      <c r="DK12" s="208">
        <v>4902</v>
      </c>
      <c r="DL12" s="208">
        <v>1103</v>
      </c>
      <c r="DM12" s="208">
        <v>123</v>
      </c>
      <c r="DN12" s="208">
        <v>0</v>
      </c>
      <c r="DO12" s="208">
        <v>0</v>
      </c>
      <c r="DP12" s="208">
        <v>0</v>
      </c>
      <c r="DQ12" s="208">
        <v>614</v>
      </c>
      <c r="DR12" s="208">
        <v>138</v>
      </c>
      <c r="DS12" s="208">
        <v>15</v>
      </c>
      <c r="DT12" s="208">
        <v>-614</v>
      </c>
      <c r="DU12" s="208">
        <v>-138</v>
      </c>
      <c r="DV12" s="208">
        <v>-15</v>
      </c>
      <c r="DW12" s="208">
        <v>15027.464166666667</v>
      </c>
      <c r="DX12" s="208">
        <v>3381.1794374999995</v>
      </c>
      <c r="DY12" s="208">
        <v>375.68660416666665</v>
      </c>
      <c r="DZ12" s="208">
        <v>15756</v>
      </c>
      <c r="EA12" s="208">
        <v>3545</v>
      </c>
      <c r="EB12" s="208">
        <v>394</v>
      </c>
      <c r="EC12" s="208">
        <v>-729</v>
      </c>
      <c r="ED12" s="208">
        <v>-164</v>
      </c>
      <c r="EE12" s="208">
        <v>-18</v>
      </c>
      <c r="EF12" s="208">
        <v>82819.015833333338</v>
      </c>
      <c r="EG12" s="208">
        <v>18634.2785625</v>
      </c>
      <c r="EH12" s="208">
        <v>2070.4753958333336</v>
      </c>
      <c r="EI12" s="208">
        <v>0</v>
      </c>
      <c r="EJ12" s="208">
        <v>0</v>
      </c>
      <c r="EK12" s="208">
        <v>0</v>
      </c>
      <c r="EL12" s="208">
        <v>85516</v>
      </c>
      <c r="EM12" s="208">
        <v>19241</v>
      </c>
      <c r="EN12" s="208">
        <v>2138</v>
      </c>
      <c r="EO12" s="208">
        <v>-2697</v>
      </c>
      <c r="EP12" s="208">
        <v>-607</v>
      </c>
      <c r="EQ12" s="208">
        <v>-68</v>
      </c>
      <c r="ER12" s="208">
        <v>30549.610833333336</v>
      </c>
      <c r="ES12" s="208">
        <v>6873.6624374999992</v>
      </c>
      <c r="ET12" s="208">
        <v>763.74027083333328</v>
      </c>
      <c r="EU12" s="208">
        <v>32473</v>
      </c>
      <c r="EV12" s="208">
        <v>7306</v>
      </c>
      <c r="EW12" s="208">
        <v>812</v>
      </c>
      <c r="EX12" s="208">
        <v>-1923</v>
      </c>
      <c r="EY12" s="208">
        <v>-432</v>
      </c>
      <c r="EZ12" s="208">
        <v>-48</v>
      </c>
      <c r="FA12" s="208">
        <v>0</v>
      </c>
      <c r="FB12" s="208">
        <v>0</v>
      </c>
      <c r="FC12" s="208">
        <v>0</v>
      </c>
      <c r="FD12" s="208">
        <v>0</v>
      </c>
      <c r="FE12" s="208">
        <v>0</v>
      </c>
      <c r="FF12" s="208">
        <v>0</v>
      </c>
      <c r="FG12" s="208">
        <v>0</v>
      </c>
      <c r="FH12" s="208">
        <v>0</v>
      </c>
      <c r="FI12" s="208">
        <v>0</v>
      </c>
      <c r="FJ12" s="208">
        <v>489563.62583333335</v>
      </c>
      <c r="FK12" s="208">
        <v>112647.97247916665</v>
      </c>
      <c r="FL12" s="208">
        <v>11938.9923125</v>
      </c>
      <c r="FM12" s="208">
        <v>504772</v>
      </c>
      <c r="FN12" s="208">
        <v>116243</v>
      </c>
      <c r="FO12" s="208">
        <v>12338</v>
      </c>
      <c r="FP12" s="208">
        <v>-15208</v>
      </c>
      <c r="FQ12" s="208">
        <v>-3595</v>
      </c>
      <c r="FR12" s="208">
        <v>-399</v>
      </c>
      <c r="FS12" s="208">
        <v>0</v>
      </c>
      <c r="FT12" s="208">
        <v>0</v>
      </c>
      <c r="FU12" s="208">
        <v>0</v>
      </c>
      <c r="FV12" s="208">
        <v>0</v>
      </c>
      <c r="FW12" s="208">
        <v>0</v>
      </c>
      <c r="FX12" s="208">
        <v>0</v>
      </c>
      <c r="FY12" s="208">
        <v>0</v>
      </c>
      <c r="FZ12" s="208">
        <v>0</v>
      </c>
      <c r="GA12" s="208">
        <v>0</v>
      </c>
      <c r="GB12" s="208">
        <v>2415262</v>
      </c>
      <c r="GC12" s="208">
        <v>544360</v>
      </c>
      <c r="GD12" s="208">
        <v>59907</v>
      </c>
      <c r="GE12" s="664">
        <v>0.5</v>
      </c>
      <c r="GF12" s="664">
        <v>0.4</v>
      </c>
      <c r="GG12" s="664">
        <v>0.09</v>
      </c>
      <c r="GH12" s="664">
        <v>0.01</v>
      </c>
      <c r="GI12" s="187" t="s">
        <v>1054</v>
      </c>
    </row>
    <row r="13" spans="1:191" s="187" customFormat="1" x14ac:dyDescent="0.2">
      <c r="B13" s="429" t="s">
        <v>105</v>
      </c>
      <c r="C13" s="429" t="s">
        <v>104</v>
      </c>
      <c r="D13" s="208">
        <v>-12711</v>
      </c>
      <c r="E13" s="208">
        <v>114</v>
      </c>
      <c r="F13" s="208">
        <v>-12597</v>
      </c>
      <c r="G13" s="208">
        <v>16794</v>
      </c>
      <c r="H13" s="208">
        <v>0</v>
      </c>
      <c r="I13" s="208">
        <v>16794</v>
      </c>
      <c r="J13" s="208">
        <v>-29505</v>
      </c>
      <c r="K13" s="208">
        <v>114</v>
      </c>
      <c r="L13" s="208">
        <v>-29391</v>
      </c>
      <c r="M13" s="208">
        <v>129887</v>
      </c>
      <c r="N13" s="208">
        <v>129887</v>
      </c>
      <c r="O13" s="208">
        <v>0</v>
      </c>
      <c r="P13" s="208">
        <v>94965</v>
      </c>
      <c r="Q13" s="208">
        <v>0</v>
      </c>
      <c r="R13" s="208">
        <v>94965</v>
      </c>
      <c r="S13" s="208">
        <v>13607</v>
      </c>
      <c r="T13" s="208">
        <v>0</v>
      </c>
      <c r="U13" s="208">
        <v>1176</v>
      </c>
      <c r="V13" s="208">
        <v>0</v>
      </c>
      <c r="W13" s="208">
        <v>12431</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c r="BL13" s="208">
        <v>0</v>
      </c>
      <c r="BM13" s="208">
        <v>0</v>
      </c>
      <c r="BN13" s="208">
        <v>0</v>
      </c>
      <c r="BO13" s="208">
        <v>2017567.1963554171</v>
      </c>
      <c r="BP13" s="208">
        <v>504065.61986125004</v>
      </c>
      <c r="BQ13" s="208">
        <v>0</v>
      </c>
      <c r="BR13" s="208">
        <v>122150</v>
      </c>
      <c r="BS13" s="208">
        <v>30537</v>
      </c>
      <c r="BT13" s="208">
        <v>0</v>
      </c>
      <c r="BU13" s="208">
        <v>1941974</v>
      </c>
      <c r="BV13" s="208">
        <v>485493</v>
      </c>
      <c r="BW13" s="208">
        <v>0</v>
      </c>
      <c r="BX13" s="208">
        <v>197743</v>
      </c>
      <c r="BY13" s="208">
        <v>49110</v>
      </c>
      <c r="BZ13" s="208">
        <v>0</v>
      </c>
      <c r="CA13" s="208">
        <v>11383.016666666668</v>
      </c>
      <c r="CB13" s="208">
        <v>2845.7541666666671</v>
      </c>
      <c r="CC13" s="208">
        <v>0</v>
      </c>
      <c r="CD13" s="208">
        <v>14999</v>
      </c>
      <c r="CE13" s="208">
        <v>3750</v>
      </c>
      <c r="CF13" s="208">
        <v>0</v>
      </c>
      <c r="CG13" s="208">
        <v>-3616</v>
      </c>
      <c r="CH13" s="208">
        <v>-904</v>
      </c>
      <c r="CI13" s="208">
        <v>0</v>
      </c>
      <c r="CJ13" s="208">
        <v>0</v>
      </c>
      <c r="CK13" s="208">
        <v>0</v>
      </c>
      <c r="CL13" s="208">
        <v>0</v>
      </c>
      <c r="CM13" s="208">
        <v>-220.95000000000002</v>
      </c>
      <c r="CN13" s="208">
        <v>-55.237500000000004</v>
      </c>
      <c r="CO13" s="208">
        <v>0</v>
      </c>
      <c r="CP13" s="208">
        <v>0</v>
      </c>
      <c r="CQ13" s="208">
        <v>0</v>
      </c>
      <c r="CR13" s="208">
        <v>0</v>
      </c>
      <c r="CS13" s="208">
        <v>0</v>
      </c>
      <c r="CT13" s="208">
        <v>0</v>
      </c>
      <c r="CU13" s="208">
        <v>0</v>
      </c>
      <c r="CV13" s="208">
        <v>0</v>
      </c>
      <c r="CW13" s="208">
        <v>0</v>
      </c>
      <c r="CX13" s="208">
        <v>0</v>
      </c>
      <c r="CY13" s="208">
        <v>0</v>
      </c>
      <c r="CZ13" s="208">
        <v>0</v>
      </c>
      <c r="DA13" s="208">
        <v>0</v>
      </c>
      <c r="DB13" s="208">
        <v>0</v>
      </c>
      <c r="DC13" s="208">
        <v>0</v>
      </c>
      <c r="DD13" s="208">
        <v>0</v>
      </c>
      <c r="DE13" s="208">
        <v>59293.159999999996</v>
      </c>
      <c r="DF13" s="208">
        <v>14823.289999999999</v>
      </c>
      <c r="DG13" s="208">
        <v>0</v>
      </c>
      <c r="DH13" s="208">
        <v>58386</v>
      </c>
      <c r="DI13" s="208">
        <v>14597</v>
      </c>
      <c r="DJ13" s="208">
        <v>0</v>
      </c>
      <c r="DK13" s="208">
        <v>907</v>
      </c>
      <c r="DL13" s="208">
        <v>226</v>
      </c>
      <c r="DM13" s="208">
        <v>0</v>
      </c>
      <c r="DN13" s="208">
        <v>1261.0516666666667</v>
      </c>
      <c r="DO13" s="208">
        <v>315.26291666666668</v>
      </c>
      <c r="DP13" s="208">
        <v>0</v>
      </c>
      <c r="DQ13" s="208">
        <v>0</v>
      </c>
      <c r="DR13" s="208">
        <v>0</v>
      </c>
      <c r="DS13" s="208">
        <v>0</v>
      </c>
      <c r="DT13" s="208">
        <v>1261</v>
      </c>
      <c r="DU13" s="208">
        <v>315</v>
      </c>
      <c r="DV13" s="208">
        <v>0</v>
      </c>
      <c r="DW13" s="208">
        <v>27757.048333333336</v>
      </c>
      <c r="DX13" s="208">
        <v>6939.262083333334</v>
      </c>
      <c r="DY13" s="208">
        <v>0</v>
      </c>
      <c r="DZ13" s="208">
        <v>10802</v>
      </c>
      <c r="EA13" s="208">
        <v>2701</v>
      </c>
      <c r="EB13" s="208">
        <v>0</v>
      </c>
      <c r="EC13" s="208">
        <v>16955</v>
      </c>
      <c r="ED13" s="208">
        <v>4238</v>
      </c>
      <c r="EE13" s="208">
        <v>0</v>
      </c>
      <c r="EF13" s="208">
        <v>68514.958333333343</v>
      </c>
      <c r="EG13" s="208">
        <v>17128.739583333336</v>
      </c>
      <c r="EH13" s="208">
        <v>0</v>
      </c>
      <c r="EI13" s="208">
        <v>-747.95666666666671</v>
      </c>
      <c r="EJ13" s="208">
        <v>-186.98916666666668</v>
      </c>
      <c r="EK13" s="208">
        <v>0</v>
      </c>
      <c r="EL13" s="208">
        <v>70377</v>
      </c>
      <c r="EM13" s="208">
        <v>17594</v>
      </c>
      <c r="EN13" s="208">
        <v>0</v>
      </c>
      <c r="EO13" s="208">
        <v>-2610</v>
      </c>
      <c r="EP13" s="208">
        <v>-652</v>
      </c>
      <c r="EQ13" s="208">
        <v>0</v>
      </c>
      <c r="ER13" s="208">
        <v>34912.743216666662</v>
      </c>
      <c r="ES13" s="208">
        <v>8728.1858041666655</v>
      </c>
      <c r="ET13" s="208">
        <v>0</v>
      </c>
      <c r="EU13" s="208">
        <v>41497</v>
      </c>
      <c r="EV13" s="208">
        <v>10374</v>
      </c>
      <c r="EW13" s="208">
        <v>0</v>
      </c>
      <c r="EX13" s="208">
        <v>-6584</v>
      </c>
      <c r="EY13" s="208">
        <v>-1646</v>
      </c>
      <c r="EZ13" s="208">
        <v>0</v>
      </c>
      <c r="FA13" s="208">
        <v>0</v>
      </c>
      <c r="FB13" s="208">
        <v>0</v>
      </c>
      <c r="FC13" s="208">
        <v>0</v>
      </c>
      <c r="FD13" s="208">
        <v>0</v>
      </c>
      <c r="FE13" s="208">
        <v>0</v>
      </c>
      <c r="FF13" s="208">
        <v>0</v>
      </c>
      <c r="FG13" s="208">
        <v>0</v>
      </c>
      <c r="FH13" s="208">
        <v>0</v>
      </c>
      <c r="FI13" s="208">
        <v>0</v>
      </c>
      <c r="FJ13" s="208">
        <v>403017.88999999996</v>
      </c>
      <c r="FK13" s="208">
        <v>100132.44541666665</v>
      </c>
      <c r="FL13" s="208">
        <v>0</v>
      </c>
      <c r="FM13" s="208">
        <v>423728</v>
      </c>
      <c r="FN13" s="208">
        <v>105925</v>
      </c>
      <c r="FO13" s="208">
        <v>0</v>
      </c>
      <c r="FP13" s="208">
        <v>-20710</v>
      </c>
      <c r="FQ13" s="208">
        <v>-5793</v>
      </c>
      <c r="FR13" s="208">
        <v>0</v>
      </c>
      <c r="FS13" s="208">
        <v>0</v>
      </c>
      <c r="FT13" s="208">
        <v>0</v>
      </c>
      <c r="FU13" s="208">
        <v>0</v>
      </c>
      <c r="FV13" s="208">
        <v>0</v>
      </c>
      <c r="FW13" s="208">
        <v>0</v>
      </c>
      <c r="FX13" s="208">
        <v>0</v>
      </c>
      <c r="FY13" s="208">
        <v>0</v>
      </c>
      <c r="FZ13" s="208">
        <v>0</v>
      </c>
      <c r="GA13" s="208">
        <v>0</v>
      </c>
      <c r="GB13" s="208">
        <v>2744888</v>
      </c>
      <c r="GC13" s="208">
        <v>685273</v>
      </c>
      <c r="GD13" s="208">
        <v>0</v>
      </c>
      <c r="GE13" s="664">
        <v>0</v>
      </c>
      <c r="GF13" s="664">
        <v>0.8</v>
      </c>
      <c r="GG13" s="664">
        <v>0.2</v>
      </c>
      <c r="GH13" s="664">
        <v>0</v>
      </c>
      <c r="GI13" s="187" t="s">
        <v>1054</v>
      </c>
    </row>
    <row r="14" spans="1:191" s="187" customFormat="1" x14ac:dyDescent="0.2">
      <c r="B14" s="429" t="s">
        <v>107</v>
      </c>
      <c r="C14" s="429" t="s">
        <v>106</v>
      </c>
      <c r="D14" s="208">
        <v>100289</v>
      </c>
      <c r="E14" s="208">
        <v>0</v>
      </c>
      <c r="F14" s="208">
        <v>100289</v>
      </c>
      <c r="G14" s="208">
        <v>622158</v>
      </c>
      <c r="H14" s="208">
        <v>0</v>
      </c>
      <c r="I14" s="208">
        <v>622158</v>
      </c>
      <c r="J14" s="208">
        <v>-521869</v>
      </c>
      <c r="K14" s="208">
        <v>0</v>
      </c>
      <c r="L14" s="208">
        <v>-521869</v>
      </c>
      <c r="M14" s="208">
        <v>203979</v>
      </c>
      <c r="N14" s="208">
        <v>203979</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c r="BL14" s="208">
        <v>0</v>
      </c>
      <c r="BM14" s="208">
        <v>0</v>
      </c>
      <c r="BN14" s="208">
        <v>0</v>
      </c>
      <c r="BO14" s="208">
        <v>2513015.2768533332</v>
      </c>
      <c r="BP14" s="208">
        <v>1413571.0932300002</v>
      </c>
      <c r="BQ14" s="208">
        <v>0</v>
      </c>
      <c r="BR14" s="208">
        <v>0</v>
      </c>
      <c r="BS14" s="208">
        <v>0</v>
      </c>
      <c r="BT14" s="208">
        <v>0</v>
      </c>
      <c r="BU14" s="208">
        <v>2237291</v>
      </c>
      <c r="BV14" s="208">
        <v>1258476</v>
      </c>
      <c r="BW14" s="208">
        <v>0</v>
      </c>
      <c r="BX14" s="208">
        <v>275724</v>
      </c>
      <c r="BY14" s="208">
        <v>155095</v>
      </c>
      <c r="BZ14" s="208">
        <v>0</v>
      </c>
      <c r="CA14" s="208">
        <v>13063.218666666668</v>
      </c>
      <c r="CB14" s="208">
        <v>7348.0604999999996</v>
      </c>
      <c r="CC14" s="208">
        <v>0</v>
      </c>
      <c r="CD14" s="208">
        <v>7549</v>
      </c>
      <c r="CE14" s="208">
        <v>4246</v>
      </c>
      <c r="CF14" s="208">
        <v>0</v>
      </c>
      <c r="CG14" s="208">
        <v>5514</v>
      </c>
      <c r="CH14" s="208">
        <v>3102</v>
      </c>
      <c r="CI14" s="208">
        <v>0</v>
      </c>
      <c r="CJ14" s="208">
        <v>0</v>
      </c>
      <c r="CK14" s="208">
        <v>0</v>
      </c>
      <c r="CL14" s="208">
        <v>0</v>
      </c>
      <c r="CM14" s="208">
        <v>0</v>
      </c>
      <c r="CN14" s="208">
        <v>0</v>
      </c>
      <c r="CO14" s="208">
        <v>0</v>
      </c>
      <c r="CP14" s="208">
        <v>-3094.6093333333338</v>
      </c>
      <c r="CQ14" s="208">
        <v>-1740.71775</v>
      </c>
      <c r="CR14" s="208">
        <v>0</v>
      </c>
      <c r="CS14" s="208">
        <v>0</v>
      </c>
      <c r="CT14" s="208">
        <v>0</v>
      </c>
      <c r="CU14" s="208">
        <v>0</v>
      </c>
      <c r="CV14" s="208">
        <v>0</v>
      </c>
      <c r="CW14" s="208">
        <v>0</v>
      </c>
      <c r="CX14" s="208">
        <v>0</v>
      </c>
      <c r="CY14" s="208">
        <v>0</v>
      </c>
      <c r="CZ14" s="208">
        <v>0</v>
      </c>
      <c r="DA14" s="208">
        <v>0</v>
      </c>
      <c r="DB14" s="208">
        <v>0</v>
      </c>
      <c r="DC14" s="208">
        <v>0</v>
      </c>
      <c r="DD14" s="208">
        <v>0</v>
      </c>
      <c r="DE14" s="208">
        <v>0</v>
      </c>
      <c r="DF14" s="208">
        <v>0</v>
      </c>
      <c r="DG14" s="208">
        <v>0</v>
      </c>
      <c r="DH14" s="208">
        <v>0</v>
      </c>
      <c r="DI14" s="208">
        <v>0</v>
      </c>
      <c r="DJ14" s="208">
        <v>0</v>
      </c>
      <c r="DK14" s="208">
        <v>0</v>
      </c>
      <c r="DL14" s="208">
        <v>0</v>
      </c>
      <c r="DM14" s="208">
        <v>0</v>
      </c>
      <c r="DN14" s="208">
        <v>982</v>
      </c>
      <c r="DO14" s="208">
        <v>552.375</v>
      </c>
      <c r="DP14" s="208">
        <v>0</v>
      </c>
      <c r="DQ14" s="208">
        <v>0</v>
      </c>
      <c r="DR14" s="208">
        <v>0</v>
      </c>
      <c r="DS14" s="208">
        <v>0</v>
      </c>
      <c r="DT14" s="208">
        <v>982</v>
      </c>
      <c r="DU14" s="208">
        <v>552</v>
      </c>
      <c r="DV14" s="208">
        <v>0</v>
      </c>
      <c r="DW14" s="208">
        <v>21100.561333333335</v>
      </c>
      <c r="DX14" s="208">
        <v>11869.06575</v>
      </c>
      <c r="DY14" s="208">
        <v>0</v>
      </c>
      <c r="DZ14" s="208">
        <v>14188</v>
      </c>
      <c r="EA14" s="208">
        <v>7980</v>
      </c>
      <c r="EB14" s="208">
        <v>0</v>
      </c>
      <c r="EC14" s="208">
        <v>6913</v>
      </c>
      <c r="ED14" s="208">
        <v>3889</v>
      </c>
      <c r="EE14" s="208">
        <v>0</v>
      </c>
      <c r="EF14" s="208">
        <v>129406.65066666667</v>
      </c>
      <c r="EG14" s="208">
        <v>72791.240999999995</v>
      </c>
      <c r="EH14" s="208">
        <v>0</v>
      </c>
      <c r="EI14" s="208">
        <v>-5465.1573333333326</v>
      </c>
      <c r="EJ14" s="208">
        <v>-3074.1509999999994</v>
      </c>
      <c r="EK14" s="208">
        <v>0</v>
      </c>
      <c r="EL14" s="208">
        <v>168641</v>
      </c>
      <c r="EM14" s="208">
        <v>94861</v>
      </c>
      <c r="EN14" s="208">
        <v>0</v>
      </c>
      <c r="EO14" s="208">
        <v>-44700</v>
      </c>
      <c r="EP14" s="208">
        <v>-25144</v>
      </c>
      <c r="EQ14" s="208">
        <v>0</v>
      </c>
      <c r="ER14" s="208">
        <v>2693.9533333333338</v>
      </c>
      <c r="ES14" s="208">
        <v>1515.3487500000001</v>
      </c>
      <c r="ET14" s="208">
        <v>0</v>
      </c>
      <c r="EU14" s="208">
        <v>6546</v>
      </c>
      <c r="EV14" s="208">
        <v>3683</v>
      </c>
      <c r="EW14" s="208">
        <v>0</v>
      </c>
      <c r="EX14" s="208">
        <v>-3852</v>
      </c>
      <c r="EY14" s="208">
        <v>-2168</v>
      </c>
      <c r="EZ14" s="208">
        <v>0</v>
      </c>
      <c r="FA14" s="208">
        <v>0</v>
      </c>
      <c r="FB14" s="208">
        <v>0</v>
      </c>
      <c r="FC14" s="208">
        <v>0</v>
      </c>
      <c r="FD14" s="208">
        <v>0</v>
      </c>
      <c r="FE14" s="208">
        <v>0</v>
      </c>
      <c r="FF14" s="208">
        <v>0</v>
      </c>
      <c r="FG14" s="208">
        <v>0</v>
      </c>
      <c r="FH14" s="208">
        <v>0</v>
      </c>
      <c r="FI14" s="208">
        <v>0</v>
      </c>
      <c r="FJ14" s="208">
        <v>898095.26399999997</v>
      </c>
      <c r="FK14" s="208">
        <v>505178.58599999995</v>
      </c>
      <c r="FL14" s="208">
        <v>0</v>
      </c>
      <c r="FM14" s="208">
        <v>893228</v>
      </c>
      <c r="FN14" s="208">
        <v>502441</v>
      </c>
      <c r="FO14" s="208">
        <v>0</v>
      </c>
      <c r="FP14" s="208">
        <v>4867</v>
      </c>
      <c r="FQ14" s="208">
        <v>2738</v>
      </c>
      <c r="FR14" s="208">
        <v>0</v>
      </c>
      <c r="FS14" s="208">
        <v>0</v>
      </c>
      <c r="FT14" s="208">
        <v>0</v>
      </c>
      <c r="FU14" s="208">
        <v>0</v>
      </c>
      <c r="FV14" s="208">
        <v>80136.959999999992</v>
      </c>
      <c r="FW14" s="208">
        <v>45077.04</v>
      </c>
      <c r="FX14" s="208">
        <v>0</v>
      </c>
      <c r="FY14" s="208">
        <v>-80137</v>
      </c>
      <c r="FZ14" s="208">
        <v>-45077</v>
      </c>
      <c r="GA14" s="208">
        <v>0</v>
      </c>
      <c r="GB14" s="208">
        <v>3569797</v>
      </c>
      <c r="GC14" s="208">
        <v>2008010</v>
      </c>
      <c r="GD14" s="208">
        <v>0</v>
      </c>
      <c r="GE14" s="664">
        <v>0</v>
      </c>
      <c r="GF14" s="664">
        <v>0.64</v>
      </c>
      <c r="GG14" s="664">
        <v>0.36</v>
      </c>
      <c r="GH14" s="664">
        <v>0</v>
      </c>
      <c r="GI14" s="187" t="s">
        <v>1055</v>
      </c>
    </row>
    <row r="15" spans="1:191" s="187" customFormat="1" x14ac:dyDescent="0.2">
      <c r="B15" s="429" t="s">
        <v>109</v>
      </c>
      <c r="C15" s="429" t="s">
        <v>108</v>
      </c>
      <c r="D15" s="208">
        <v>2782273</v>
      </c>
      <c r="E15" s="208">
        <v>-1561646</v>
      </c>
      <c r="F15" s="208">
        <v>1220627</v>
      </c>
      <c r="G15" s="208">
        <v>3391992</v>
      </c>
      <c r="H15" s="208">
        <v>-2798901</v>
      </c>
      <c r="I15" s="208">
        <v>593091</v>
      </c>
      <c r="J15" s="208">
        <v>-609719</v>
      </c>
      <c r="K15" s="208">
        <v>1237255</v>
      </c>
      <c r="L15" s="208">
        <v>627536</v>
      </c>
      <c r="M15" s="208">
        <v>418217</v>
      </c>
      <c r="N15" s="208">
        <v>418217</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c r="BL15" s="208">
        <v>0</v>
      </c>
      <c r="BM15" s="208">
        <v>0</v>
      </c>
      <c r="BN15" s="208">
        <v>0</v>
      </c>
      <c r="BO15" s="208">
        <v>3872940.6616413342</v>
      </c>
      <c r="BP15" s="208">
        <v>2176111.7910795002</v>
      </c>
      <c r="BQ15" s="208">
        <v>0</v>
      </c>
      <c r="BR15" s="208">
        <v>308378</v>
      </c>
      <c r="BS15" s="208">
        <v>170484</v>
      </c>
      <c r="BT15" s="208">
        <v>0</v>
      </c>
      <c r="BU15" s="208">
        <v>3584092</v>
      </c>
      <c r="BV15" s="208">
        <v>2016051</v>
      </c>
      <c r="BW15" s="208">
        <v>0</v>
      </c>
      <c r="BX15" s="208">
        <v>597227</v>
      </c>
      <c r="BY15" s="208">
        <v>330545</v>
      </c>
      <c r="BZ15" s="208">
        <v>0</v>
      </c>
      <c r="CA15" s="208">
        <v>0</v>
      </c>
      <c r="CB15" s="208">
        <v>0</v>
      </c>
      <c r="CC15" s="208">
        <v>0</v>
      </c>
      <c r="CD15" s="208">
        <v>0</v>
      </c>
      <c r="CE15" s="208">
        <v>0</v>
      </c>
      <c r="CF15" s="208">
        <v>0</v>
      </c>
      <c r="CG15" s="208">
        <v>0</v>
      </c>
      <c r="CH15" s="208">
        <v>0</v>
      </c>
      <c r="CI15" s="208">
        <v>0</v>
      </c>
      <c r="CJ15" s="208">
        <v>0</v>
      </c>
      <c r="CK15" s="208">
        <v>0</v>
      </c>
      <c r="CL15" s="208">
        <v>0</v>
      </c>
      <c r="CM15" s="208">
        <v>696.56533333333346</v>
      </c>
      <c r="CN15" s="208">
        <v>391.81800000000004</v>
      </c>
      <c r="CO15" s="208">
        <v>0</v>
      </c>
      <c r="CP15" s="208">
        <v>-2868.0946666666669</v>
      </c>
      <c r="CQ15" s="208">
        <v>-1613.3032499999999</v>
      </c>
      <c r="CR15" s="208">
        <v>0</v>
      </c>
      <c r="CS15" s="208">
        <v>0</v>
      </c>
      <c r="CT15" s="208">
        <v>0</v>
      </c>
      <c r="CU15" s="208">
        <v>0</v>
      </c>
      <c r="CV15" s="208">
        <v>0</v>
      </c>
      <c r="CW15" s="208">
        <v>0</v>
      </c>
      <c r="CX15" s="208">
        <v>0</v>
      </c>
      <c r="CY15" s="208">
        <v>0</v>
      </c>
      <c r="CZ15" s="208">
        <v>0</v>
      </c>
      <c r="DA15" s="208">
        <v>0</v>
      </c>
      <c r="DB15" s="208">
        <v>47.790666666666667</v>
      </c>
      <c r="DC15" s="208">
        <v>26.882249999999999</v>
      </c>
      <c r="DD15" s="208">
        <v>0</v>
      </c>
      <c r="DE15" s="208">
        <v>0</v>
      </c>
      <c r="DF15" s="208">
        <v>0</v>
      </c>
      <c r="DG15" s="208">
        <v>0</v>
      </c>
      <c r="DH15" s="208">
        <v>0</v>
      </c>
      <c r="DI15" s="208">
        <v>0</v>
      </c>
      <c r="DJ15" s="208">
        <v>0</v>
      </c>
      <c r="DK15" s="208">
        <v>0</v>
      </c>
      <c r="DL15" s="208">
        <v>0</v>
      </c>
      <c r="DM15" s="208">
        <v>0</v>
      </c>
      <c r="DN15" s="208">
        <v>0</v>
      </c>
      <c r="DO15" s="208">
        <v>0</v>
      </c>
      <c r="DP15" s="208">
        <v>0</v>
      </c>
      <c r="DQ15" s="208">
        <v>0</v>
      </c>
      <c r="DR15" s="208">
        <v>0</v>
      </c>
      <c r="DS15" s="208">
        <v>0</v>
      </c>
      <c r="DT15" s="208">
        <v>0</v>
      </c>
      <c r="DU15" s="208">
        <v>0</v>
      </c>
      <c r="DV15" s="208">
        <v>0</v>
      </c>
      <c r="DW15" s="208">
        <v>84802.901333333328</v>
      </c>
      <c r="DX15" s="208">
        <v>47701.631999999998</v>
      </c>
      <c r="DY15" s="208">
        <v>0</v>
      </c>
      <c r="DZ15" s="208">
        <v>95824</v>
      </c>
      <c r="EA15" s="208">
        <v>53901</v>
      </c>
      <c r="EB15" s="208">
        <v>0</v>
      </c>
      <c r="EC15" s="208">
        <v>-11021</v>
      </c>
      <c r="ED15" s="208">
        <v>-6199</v>
      </c>
      <c r="EE15" s="208">
        <v>0</v>
      </c>
      <c r="EF15" s="208">
        <v>414282.10925000004</v>
      </c>
      <c r="EG15" s="208">
        <v>230462.26574999999</v>
      </c>
      <c r="EH15" s="208">
        <v>0</v>
      </c>
      <c r="EI15" s="208">
        <v>-12997.097333333335</v>
      </c>
      <c r="EJ15" s="208">
        <v>-7310.8672500000002</v>
      </c>
      <c r="EK15" s="208">
        <v>0</v>
      </c>
      <c r="EL15" s="208">
        <v>439936</v>
      </c>
      <c r="EM15" s="208">
        <v>247464</v>
      </c>
      <c r="EN15" s="208">
        <v>0</v>
      </c>
      <c r="EO15" s="208">
        <v>-38651</v>
      </c>
      <c r="EP15" s="208">
        <v>-24313</v>
      </c>
      <c r="EQ15" s="208">
        <v>0</v>
      </c>
      <c r="ER15" s="208">
        <v>16543.426666666666</v>
      </c>
      <c r="ES15" s="208">
        <v>9305.677499999998</v>
      </c>
      <c r="ET15" s="208">
        <v>0</v>
      </c>
      <c r="EU15" s="208">
        <v>15686</v>
      </c>
      <c r="EV15" s="208">
        <v>8824</v>
      </c>
      <c r="EW15" s="208">
        <v>0</v>
      </c>
      <c r="EX15" s="208">
        <v>857</v>
      </c>
      <c r="EY15" s="208">
        <v>482</v>
      </c>
      <c r="EZ15" s="208">
        <v>0</v>
      </c>
      <c r="FA15" s="208">
        <v>0</v>
      </c>
      <c r="FB15" s="208">
        <v>0</v>
      </c>
      <c r="FC15" s="208">
        <v>0</v>
      </c>
      <c r="FD15" s="208">
        <v>0</v>
      </c>
      <c r="FE15" s="208">
        <v>0</v>
      </c>
      <c r="FF15" s="208">
        <v>0</v>
      </c>
      <c r="FG15" s="208">
        <v>0</v>
      </c>
      <c r="FH15" s="208">
        <v>0</v>
      </c>
      <c r="FI15" s="208">
        <v>0</v>
      </c>
      <c r="FJ15" s="208">
        <v>1616756.9439999999</v>
      </c>
      <c r="FK15" s="208">
        <v>909425.78099999984</v>
      </c>
      <c r="FL15" s="208">
        <v>0</v>
      </c>
      <c r="FM15" s="208">
        <v>1705218</v>
      </c>
      <c r="FN15" s="208">
        <v>959185</v>
      </c>
      <c r="FO15" s="208">
        <v>0</v>
      </c>
      <c r="FP15" s="208">
        <v>-88461</v>
      </c>
      <c r="FQ15" s="208">
        <v>-49759</v>
      </c>
      <c r="FR15" s="208">
        <v>0</v>
      </c>
      <c r="FS15" s="208">
        <v>0</v>
      </c>
      <c r="FT15" s="208">
        <v>0</v>
      </c>
      <c r="FU15" s="208">
        <v>0</v>
      </c>
      <c r="FV15" s="208">
        <v>0</v>
      </c>
      <c r="FW15" s="208">
        <v>0</v>
      </c>
      <c r="FX15" s="208">
        <v>0</v>
      </c>
      <c r="FY15" s="208">
        <v>0</v>
      </c>
      <c r="FZ15" s="208">
        <v>0</v>
      </c>
      <c r="GA15" s="208">
        <v>0</v>
      </c>
      <c r="GB15" s="208">
        <v>6298584</v>
      </c>
      <c r="GC15" s="208">
        <v>3534987</v>
      </c>
      <c r="GD15" s="208">
        <v>0</v>
      </c>
      <c r="GE15" s="664">
        <v>0</v>
      </c>
      <c r="GF15" s="664">
        <v>0.64</v>
      </c>
      <c r="GG15" s="664">
        <v>0.36</v>
      </c>
      <c r="GH15" s="664">
        <v>0</v>
      </c>
      <c r="GI15" s="187" t="s">
        <v>1055</v>
      </c>
    </row>
    <row r="16" spans="1:191" s="187" customFormat="1" x14ac:dyDescent="0.2">
      <c r="B16" s="429" t="s">
        <v>111</v>
      </c>
      <c r="C16" s="429" t="s">
        <v>110</v>
      </c>
      <c r="D16" s="208">
        <v>-1883749</v>
      </c>
      <c r="E16" s="208">
        <v>9037</v>
      </c>
      <c r="F16" s="208">
        <v>-1874712</v>
      </c>
      <c r="G16" s="208">
        <v>-1819851</v>
      </c>
      <c r="H16" s="208">
        <v>0</v>
      </c>
      <c r="I16" s="208">
        <v>-1819851</v>
      </c>
      <c r="J16" s="208">
        <v>-63898</v>
      </c>
      <c r="K16" s="208">
        <v>9037</v>
      </c>
      <c r="L16" s="208">
        <v>-54861</v>
      </c>
      <c r="M16" s="208">
        <v>259756</v>
      </c>
      <c r="N16" s="208">
        <v>259756</v>
      </c>
      <c r="O16" s="208">
        <v>0</v>
      </c>
      <c r="P16" s="208">
        <v>518133</v>
      </c>
      <c r="Q16" s="208">
        <v>560498</v>
      </c>
      <c r="R16" s="208">
        <v>-42365</v>
      </c>
      <c r="S16" s="208">
        <v>48314</v>
      </c>
      <c r="T16" s="208">
        <v>0</v>
      </c>
      <c r="U16" s="208">
        <v>49824</v>
      </c>
      <c r="V16" s="208">
        <v>0</v>
      </c>
      <c r="W16" s="208">
        <v>-1510</v>
      </c>
      <c r="X16" s="208">
        <v>0</v>
      </c>
      <c r="Y16" s="208">
        <v>0</v>
      </c>
      <c r="Z16" s="208">
        <v>0</v>
      </c>
      <c r="AA16" s="208">
        <v>0</v>
      </c>
      <c r="AB16" s="208">
        <v>0</v>
      </c>
      <c r="AC16" s="208">
        <v>0</v>
      </c>
      <c r="AD16" s="208">
        <v>0</v>
      </c>
      <c r="AE16" s="208">
        <v>0</v>
      </c>
      <c r="AF16" s="208">
        <v>0</v>
      </c>
      <c r="AG16" s="208">
        <v>0</v>
      </c>
      <c r="AH16" s="208">
        <v>275415</v>
      </c>
      <c r="AI16" s="208">
        <v>275415.19791666669</v>
      </c>
      <c r="AJ16" s="208">
        <v>0</v>
      </c>
      <c r="AK16" s="208">
        <v>0</v>
      </c>
      <c r="AL16" s="208">
        <v>251163</v>
      </c>
      <c r="AM16" s="208">
        <v>251163</v>
      </c>
      <c r="AN16" s="208">
        <v>0</v>
      </c>
      <c r="AO16" s="208">
        <v>0</v>
      </c>
      <c r="AP16" s="208">
        <v>24252</v>
      </c>
      <c r="AQ16" s="208">
        <v>24252</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c r="BL16" s="208">
        <v>0</v>
      </c>
      <c r="BM16" s="208">
        <v>0</v>
      </c>
      <c r="BN16" s="208">
        <v>0</v>
      </c>
      <c r="BO16" s="208">
        <v>2443076.6001388542</v>
      </c>
      <c r="BP16" s="208">
        <v>0</v>
      </c>
      <c r="BQ16" s="208">
        <v>49846.43185593751</v>
      </c>
      <c r="BR16" s="208">
        <v>125277</v>
      </c>
      <c r="BS16" s="208">
        <v>0</v>
      </c>
      <c r="BT16" s="208">
        <v>2484</v>
      </c>
      <c r="BU16" s="208">
        <v>2427028</v>
      </c>
      <c r="BV16" s="208">
        <v>0</v>
      </c>
      <c r="BW16" s="208">
        <v>49531</v>
      </c>
      <c r="BX16" s="208">
        <v>141326</v>
      </c>
      <c r="BY16" s="208">
        <v>0</v>
      </c>
      <c r="BZ16" s="208">
        <v>2799</v>
      </c>
      <c r="CA16" s="208">
        <v>0</v>
      </c>
      <c r="CB16" s="208">
        <v>0</v>
      </c>
      <c r="CC16" s="208">
        <v>0</v>
      </c>
      <c r="CD16" s="208">
        <v>0</v>
      </c>
      <c r="CE16" s="208">
        <v>0</v>
      </c>
      <c r="CF16" s="208">
        <v>0</v>
      </c>
      <c r="CG16" s="208">
        <v>0</v>
      </c>
      <c r="CH16" s="208">
        <v>0</v>
      </c>
      <c r="CI16" s="208">
        <v>0</v>
      </c>
      <c r="CJ16" s="208">
        <v>0</v>
      </c>
      <c r="CK16" s="208">
        <v>0</v>
      </c>
      <c r="CL16" s="208">
        <v>0</v>
      </c>
      <c r="CM16" s="208">
        <v>0</v>
      </c>
      <c r="CN16" s="208">
        <v>0</v>
      </c>
      <c r="CO16" s="208">
        <v>0</v>
      </c>
      <c r="CP16" s="208">
        <v>0</v>
      </c>
      <c r="CQ16" s="208">
        <v>0</v>
      </c>
      <c r="CR16" s="208">
        <v>0</v>
      </c>
      <c r="CS16" s="208">
        <v>0</v>
      </c>
      <c r="CT16" s="208">
        <v>0</v>
      </c>
      <c r="CU16" s="208">
        <v>0</v>
      </c>
      <c r="CV16" s="208">
        <v>0</v>
      </c>
      <c r="CW16" s="208">
        <v>0</v>
      </c>
      <c r="CX16" s="208">
        <v>0</v>
      </c>
      <c r="CY16" s="208">
        <v>0</v>
      </c>
      <c r="CZ16" s="208">
        <v>0</v>
      </c>
      <c r="DA16" s="208">
        <v>0</v>
      </c>
      <c r="DB16" s="208">
        <v>0</v>
      </c>
      <c r="DC16" s="208">
        <v>0</v>
      </c>
      <c r="DD16" s="208">
        <v>0</v>
      </c>
      <c r="DE16" s="208">
        <v>1527.2452708333333</v>
      </c>
      <c r="DF16" s="208">
        <v>0</v>
      </c>
      <c r="DG16" s="208">
        <v>31.168270833333331</v>
      </c>
      <c r="DH16" s="208">
        <v>1791</v>
      </c>
      <c r="DI16" s="208">
        <v>0</v>
      </c>
      <c r="DJ16" s="208">
        <v>37</v>
      </c>
      <c r="DK16" s="208">
        <v>-264</v>
      </c>
      <c r="DL16" s="208">
        <v>0</v>
      </c>
      <c r="DM16" s="208">
        <v>-6</v>
      </c>
      <c r="DN16" s="208">
        <v>751.84375</v>
      </c>
      <c r="DO16" s="208">
        <v>0</v>
      </c>
      <c r="DP16" s="208">
        <v>15.34375</v>
      </c>
      <c r="DQ16" s="208">
        <v>774</v>
      </c>
      <c r="DR16" s="208">
        <v>0</v>
      </c>
      <c r="DS16" s="208">
        <v>16</v>
      </c>
      <c r="DT16" s="208">
        <v>-22</v>
      </c>
      <c r="DU16" s="208">
        <v>0</v>
      </c>
      <c r="DV16" s="208">
        <v>-1</v>
      </c>
      <c r="DW16" s="208">
        <v>8582.5470208333336</v>
      </c>
      <c r="DX16" s="208">
        <v>0</v>
      </c>
      <c r="DY16" s="208">
        <v>175.15402083333333</v>
      </c>
      <c r="DZ16" s="208">
        <v>4648</v>
      </c>
      <c r="EA16" s="208">
        <v>0</v>
      </c>
      <c r="EB16" s="208">
        <v>95</v>
      </c>
      <c r="EC16" s="208">
        <v>3935</v>
      </c>
      <c r="ED16" s="208">
        <v>0</v>
      </c>
      <c r="EE16" s="208">
        <v>80</v>
      </c>
      <c r="EF16" s="208">
        <v>67274.47752083333</v>
      </c>
      <c r="EG16" s="208">
        <v>0</v>
      </c>
      <c r="EH16" s="208">
        <v>1372.9485208333333</v>
      </c>
      <c r="EI16" s="208">
        <v>-6416.8585416666665</v>
      </c>
      <c r="EJ16" s="208">
        <v>0</v>
      </c>
      <c r="EK16" s="208">
        <v>-130.83104166666666</v>
      </c>
      <c r="EL16" s="208">
        <v>67164</v>
      </c>
      <c r="EM16" s="208">
        <v>0</v>
      </c>
      <c r="EN16" s="208">
        <v>1371</v>
      </c>
      <c r="EO16" s="208">
        <v>-6306</v>
      </c>
      <c r="EP16" s="208">
        <v>0</v>
      </c>
      <c r="EQ16" s="208">
        <v>-129</v>
      </c>
      <c r="ER16" s="208">
        <v>45043.961520833327</v>
      </c>
      <c r="ES16" s="208">
        <v>0</v>
      </c>
      <c r="ET16" s="208">
        <v>919.26452083333334</v>
      </c>
      <c r="EU16" s="208">
        <v>47115</v>
      </c>
      <c r="EV16" s="208">
        <v>0</v>
      </c>
      <c r="EW16" s="208">
        <v>962</v>
      </c>
      <c r="EX16" s="208">
        <v>-2071</v>
      </c>
      <c r="EY16" s="208">
        <v>0</v>
      </c>
      <c r="EZ16" s="208">
        <v>-43</v>
      </c>
      <c r="FA16" s="208">
        <v>0</v>
      </c>
      <c r="FB16" s="208">
        <v>0</v>
      </c>
      <c r="FC16" s="208">
        <v>0</v>
      </c>
      <c r="FD16" s="208">
        <v>0</v>
      </c>
      <c r="FE16" s="208">
        <v>0</v>
      </c>
      <c r="FF16" s="208">
        <v>0</v>
      </c>
      <c r="FG16" s="208">
        <v>0</v>
      </c>
      <c r="FH16" s="208">
        <v>0</v>
      </c>
      <c r="FI16" s="208">
        <v>0</v>
      </c>
      <c r="FJ16" s="208">
        <v>541743.9399166666</v>
      </c>
      <c r="FK16" s="208">
        <v>0</v>
      </c>
      <c r="FL16" s="208">
        <v>10791.078833333333</v>
      </c>
      <c r="FM16" s="208">
        <v>530647</v>
      </c>
      <c r="FN16" s="208">
        <v>0</v>
      </c>
      <c r="FO16" s="208">
        <v>10427</v>
      </c>
      <c r="FP16" s="208">
        <v>11097</v>
      </c>
      <c r="FQ16" s="208">
        <v>0</v>
      </c>
      <c r="FR16" s="208">
        <v>364</v>
      </c>
      <c r="FS16" s="208">
        <v>0</v>
      </c>
      <c r="FT16" s="208">
        <v>0</v>
      </c>
      <c r="FU16" s="208">
        <v>0</v>
      </c>
      <c r="FV16" s="208">
        <v>0</v>
      </c>
      <c r="FW16" s="208">
        <v>0</v>
      </c>
      <c r="FX16" s="208">
        <v>0</v>
      </c>
      <c r="FY16" s="208">
        <v>0</v>
      </c>
      <c r="FZ16" s="208">
        <v>0</v>
      </c>
      <c r="GA16" s="208">
        <v>0</v>
      </c>
      <c r="GB16" s="208">
        <v>3226861</v>
      </c>
      <c r="GC16" s="208">
        <v>0</v>
      </c>
      <c r="GD16" s="208">
        <v>65503</v>
      </c>
      <c r="GE16" s="664">
        <v>0.5</v>
      </c>
      <c r="GF16" s="664">
        <v>0.49</v>
      </c>
      <c r="GG16" s="664">
        <v>0</v>
      </c>
      <c r="GH16" s="664">
        <v>0.01</v>
      </c>
      <c r="GI16" s="187" t="s">
        <v>1056</v>
      </c>
    </row>
    <row r="17" spans="2:191" s="187" customFormat="1" x14ac:dyDescent="0.2">
      <c r="B17" s="429" t="s">
        <v>113</v>
      </c>
      <c r="C17" s="429" t="s">
        <v>112</v>
      </c>
      <c r="D17" s="208">
        <v>-2329751</v>
      </c>
      <c r="E17" s="208">
        <v>0</v>
      </c>
      <c r="F17" s="208">
        <v>-2329751</v>
      </c>
      <c r="G17" s="208">
        <v>-2267567</v>
      </c>
      <c r="H17" s="208">
        <v>0</v>
      </c>
      <c r="I17" s="208">
        <v>-2267567</v>
      </c>
      <c r="J17" s="208">
        <v>-62184</v>
      </c>
      <c r="K17" s="208">
        <v>0</v>
      </c>
      <c r="L17" s="208">
        <v>-62184</v>
      </c>
      <c r="M17" s="208">
        <v>92558</v>
      </c>
      <c r="N17" s="208">
        <v>92558</v>
      </c>
      <c r="O17" s="208">
        <v>0</v>
      </c>
      <c r="P17" s="208">
        <v>0</v>
      </c>
      <c r="Q17" s="208">
        <v>0</v>
      </c>
      <c r="R17" s="208">
        <v>0</v>
      </c>
      <c r="S17" s="208">
        <v>157208</v>
      </c>
      <c r="T17" s="208">
        <v>0</v>
      </c>
      <c r="U17" s="208">
        <v>162151</v>
      </c>
      <c r="V17" s="208">
        <v>0</v>
      </c>
      <c r="W17" s="208">
        <v>-4943</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c r="BL17" s="208">
        <v>0</v>
      </c>
      <c r="BM17" s="208">
        <v>0</v>
      </c>
      <c r="BN17" s="208">
        <v>0</v>
      </c>
      <c r="BO17" s="208">
        <v>598146.57687583356</v>
      </c>
      <c r="BP17" s="208">
        <v>149536.64421895839</v>
      </c>
      <c r="BQ17" s="208">
        <v>0</v>
      </c>
      <c r="BR17" s="208">
        <v>34119</v>
      </c>
      <c r="BS17" s="208">
        <v>8530</v>
      </c>
      <c r="BT17" s="208">
        <v>0</v>
      </c>
      <c r="BU17" s="208">
        <v>538486</v>
      </c>
      <c r="BV17" s="208">
        <v>134621</v>
      </c>
      <c r="BW17" s="208">
        <v>0</v>
      </c>
      <c r="BX17" s="208">
        <v>93780</v>
      </c>
      <c r="BY17" s="208">
        <v>23446</v>
      </c>
      <c r="BZ17" s="208">
        <v>0</v>
      </c>
      <c r="CA17" s="208">
        <v>180.03333333333336</v>
      </c>
      <c r="CB17" s="208">
        <v>45.00833333333334</v>
      </c>
      <c r="CC17" s="208">
        <v>0</v>
      </c>
      <c r="CD17" s="208">
        <v>0</v>
      </c>
      <c r="CE17" s="208">
        <v>0</v>
      </c>
      <c r="CF17" s="208">
        <v>0</v>
      </c>
      <c r="CG17" s="208">
        <v>180</v>
      </c>
      <c r="CH17" s="208">
        <v>45</v>
      </c>
      <c r="CI17" s="208">
        <v>0</v>
      </c>
      <c r="CJ17" s="208">
        <v>0</v>
      </c>
      <c r="CK17" s="208">
        <v>0</v>
      </c>
      <c r="CL17" s="208">
        <v>0</v>
      </c>
      <c r="CM17" s="208">
        <v>2378.0766666666668</v>
      </c>
      <c r="CN17" s="208">
        <v>594.51916666666671</v>
      </c>
      <c r="CO17" s="208">
        <v>0</v>
      </c>
      <c r="CP17" s="208">
        <v>-1421.8541666666667</v>
      </c>
      <c r="CQ17" s="208">
        <v>-355.46354166666669</v>
      </c>
      <c r="CR17" s="208">
        <v>0</v>
      </c>
      <c r="CS17" s="208">
        <v>0</v>
      </c>
      <c r="CT17" s="208">
        <v>0</v>
      </c>
      <c r="CU17" s="208">
        <v>0</v>
      </c>
      <c r="CV17" s="208">
        <v>0</v>
      </c>
      <c r="CW17" s="208">
        <v>0</v>
      </c>
      <c r="CX17" s="208">
        <v>0</v>
      </c>
      <c r="CY17" s="208">
        <v>0</v>
      </c>
      <c r="CZ17" s="208">
        <v>0</v>
      </c>
      <c r="DA17" s="208">
        <v>0</v>
      </c>
      <c r="DB17" s="208">
        <v>0</v>
      </c>
      <c r="DC17" s="208">
        <v>0</v>
      </c>
      <c r="DD17" s="208">
        <v>0</v>
      </c>
      <c r="DE17" s="208">
        <v>0</v>
      </c>
      <c r="DF17" s="208">
        <v>0</v>
      </c>
      <c r="DG17" s="208">
        <v>0</v>
      </c>
      <c r="DH17" s="208">
        <v>0</v>
      </c>
      <c r="DI17" s="208">
        <v>0</v>
      </c>
      <c r="DJ17" s="208">
        <v>0</v>
      </c>
      <c r="DK17" s="208">
        <v>0</v>
      </c>
      <c r="DL17" s="208">
        <v>0</v>
      </c>
      <c r="DM17" s="208">
        <v>0</v>
      </c>
      <c r="DN17" s="208">
        <v>613.75</v>
      </c>
      <c r="DO17" s="208">
        <v>153.4375</v>
      </c>
      <c r="DP17" s="208">
        <v>0</v>
      </c>
      <c r="DQ17" s="208">
        <v>614</v>
      </c>
      <c r="DR17" s="208">
        <v>153</v>
      </c>
      <c r="DS17" s="208">
        <v>0</v>
      </c>
      <c r="DT17" s="208">
        <v>0</v>
      </c>
      <c r="DU17" s="208">
        <v>0</v>
      </c>
      <c r="DV17" s="208">
        <v>0</v>
      </c>
      <c r="DW17" s="208">
        <v>1089.2016666666666</v>
      </c>
      <c r="DX17" s="208">
        <v>272.30041666666665</v>
      </c>
      <c r="DY17" s="208">
        <v>0</v>
      </c>
      <c r="DZ17" s="208">
        <v>1090</v>
      </c>
      <c r="EA17" s="208">
        <v>272</v>
      </c>
      <c r="EB17" s="208">
        <v>0</v>
      </c>
      <c r="EC17" s="208">
        <v>-1</v>
      </c>
      <c r="ED17" s="208">
        <v>0</v>
      </c>
      <c r="EE17" s="208">
        <v>0</v>
      </c>
      <c r="EF17" s="208">
        <v>12862.972500000002</v>
      </c>
      <c r="EG17" s="208">
        <v>3215.7431250000004</v>
      </c>
      <c r="EH17" s="208">
        <v>0</v>
      </c>
      <c r="EI17" s="208">
        <v>7609.2725000000009</v>
      </c>
      <c r="EJ17" s="208">
        <v>1902.3181250000002</v>
      </c>
      <c r="EK17" s="208">
        <v>0</v>
      </c>
      <c r="EL17" s="208">
        <v>10719</v>
      </c>
      <c r="EM17" s="208">
        <v>2680</v>
      </c>
      <c r="EN17" s="208">
        <v>0</v>
      </c>
      <c r="EO17" s="208">
        <v>9753</v>
      </c>
      <c r="EP17" s="208">
        <v>2438</v>
      </c>
      <c r="EQ17" s="208">
        <v>0</v>
      </c>
      <c r="ER17" s="208">
        <v>9820.4091666666682</v>
      </c>
      <c r="ES17" s="208">
        <v>2455.102291666667</v>
      </c>
      <c r="ET17" s="208">
        <v>0</v>
      </c>
      <c r="EU17" s="208">
        <v>13535</v>
      </c>
      <c r="EV17" s="208">
        <v>3384</v>
      </c>
      <c r="EW17" s="208">
        <v>0</v>
      </c>
      <c r="EX17" s="208">
        <v>-3715</v>
      </c>
      <c r="EY17" s="208">
        <v>-929</v>
      </c>
      <c r="EZ17" s="208">
        <v>0</v>
      </c>
      <c r="FA17" s="208">
        <v>0</v>
      </c>
      <c r="FB17" s="208">
        <v>0</v>
      </c>
      <c r="FC17" s="208">
        <v>0</v>
      </c>
      <c r="FD17" s="208">
        <v>0</v>
      </c>
      <c r="FE17" s="208">
        <v>0</v>
      </c>
      <c r="FF17" s="208">
        <v>0</v>
      </c>
      <c r="FG17" s="208">
        <v>0</v>
      </c>
      <c r="FH17" s="208">
        <v>0</v>
      </c>
      <c r="FI17" s="208">
        <v>0</v>
      </c>
      <c r="FJ17" s="208">
        <v>202855.60166666668</v>
      </c>
      <c r="FK17" s="208">
        <v>49813.229583333334</v>
      </c>
      <c r="FL17" s="208">
        <v>0</v>
      </c>
      <c r="FM17" s="208">
        <v>193641</v>
      </c>
      <c r="FN17" s="208">
        <v>47481</v>
      </c>
      <c r="FO17" s="208">
        <v>0</v>
      </c>
      <c r="FP17" s="208">
        <v>9215</v>
      </c>
      <c r="FQ17" s="208">
        <v>2332</v>
      </c>
      <c r="FR17" s="208">
        <v>0</v>
      </c>
      <c r="FS17" s="208">
        <v>0</v>
      </c>
      <c r="FT17" s="208">
        <v>0</v>
      </c>
      <c r="FU17" s="208">
        <v>0</v>
      </c>
      <c r="FV17" s="208">
        <v>0</v>
      </c>
      <c r="FW17" s="208">
        <v>0</v>
      </c>
      <c r="FX17" s="208">
        <v>0</v>
      </c>
      <c r="FY17" s="208">
        <v>0</v>
      </c>
      <c r="FZ17" s="208">
        <v>0</v>
      </c>
      <c r="GA17" s="208">
        <v>0</v>
      </c>
      <c r="GB17" s="208">
        <v>868253</v>
      </c>
      <c r="GC17" s="208">
        <v>216163</v>
      </c>
      <c r="GD17" s="208">
        <v>0</v>
      </c>
      <c r="GE17" s="664">
        <v>0.5</v>
      </c>
      <c r="GF17" s="664">
        <v>0.4</v>
      </c>
      <c r="GG17" s="664">
        <v>0.1</v>
      </c>
      <c r="GH17" s="664">
        <v>0</v>
      </c>
      <c r="GI17" s="187" t="s">
        <v>1054</v>
      </c>
    </row>
    <row r="18" spans="2:191" s="187" customFormat="1" x14ac:dyDescent="0.2">
      <c r="B18" s="429" t="s">
        <v>115</v>
      </c>
      <c r="C18" s="429" t="s">
        <v>114</v>
      </c>
      <c r="D18" s="208">
        <v>-104171</v>
      </c>
      <c r="E18" s="208">
        <v>0</v>
      </c>
      <c r="F18" s="208">
        <v>-104171</v>
      </c>
      <c r="G18" s="208">
        <v>-582357</v>
      </c>
      <c r="H18" s="208">
        <v>0</v>
      </c>
      <c r="I18" s="208">
        <v>-582357</v>
      </c>
      <c r="J18" s="208">
        <v>478186</v>
      </c>
      <c r="K18" s="208">
        <v>0</v>
      </c>
      <c r="L18" s="208">
        <v>478186</v>
      </c>
      <c r="M18" s="208">
        <v>229014</v>
      </c>
      <c r="N18" s="208">
        <v>229014</v>
      </c>
      <c r="O18" s="208">
        <v>0</v>
      </c>
      <c r="P18" s="208">
        <v>0</v>
      </c>
      <c r="Q18" s="208">
        <v>0</v>
      </c>
      <c r="R18" s="208">
        <v>0</v>
      </c>
      <c r="S18" s="208">
        <v>51218</v>
      </c>
      <c r="T18" s="208">
        <v>0</v>
      </c>
      <c r="U18" s="208">
        <v>0</v>
      </c>
      <c r="V18" s="208">
        <v>0</v>
      </c>
      <c r="W18" s="208">
        <v>51218</v>
      </c>
      <c r="X18" s="208">
        <v>0</v>
      </c>
      <c r="Y18" s="208">
        <v>0</v>
      </c>
      <c r="Z18" s="208">
        <v>0</v>
      </c>
      <c r="AA18" s="208">
        <v>0</v>
      </c>
      <c r="AB18" s="208">
        <v>0</v>
      </c>
      <c r="AC18" s="208">
        <v>0</v>
      </c>
      <c r="AD18" s="208">
        <v>0</v>
      </c>
      <c r="AE18" s="208">
        <v>0</v>
      </c>
      <c r="AF18" s="208">
        <v>0</v>
      </c>
      <c r="AG18" s="208">
        <v>0</v>
      </c>
      <c r="AH18" s="208">
        <v>0</v>
      </c>
      <c r="AI18" s="208">
        <v>0</v>
      </c>
      <c r="AJ18" s="208">
        <v>0</v>
      </c>
      <c r="AK18" s="208">
        <v>0</v>
      </c>
      <c r="AL18" s="208">
        <v>0</v>
      </c>
      <c r="AM18" s="208">
        <v>0</v>
      </c>
      <c r="AN18" s="208">
        <v>0</v>
      </c>
      <c r="AO18" s="208">
        <v>0</v>
      </c>
      <c r="AP18" s="208">
        <v>0</v>
      </c>
      <c r="AQ18" s="208">
        <v>0</v>
      </c>
      <c r="AR18" s="208">
        <v>0</v>
      </c>
      <c r="AS18" s="208">
        <v>0</v>
      </c>
      <c r="AT18" s="208">
        <v>0</v>
      </c>
      <c r="AU18" s="208">
        <v>0</v>
      </c>
      <c r="AV18" s="208">
        <v>0</v>
      </c>
      <c r="AW18" s="208">
        <v>0</v>
      </c>
      <c r="AX18" s="208">
        <v>0</v>
      </c>
      <c r="AY18" s="208">
        <v>0</v>
      </c>
      <c r="AZ18" s="208">
        <v>0</v>
      </c>
      <c r="BA18" s="208">
        <v>0</v>
      </c>
      <c r="BB18" s="208">
        <v>0</v>
      </c>
      <c r="BC18" s="208">
        <v>0</v>
      </c>
      <c r="BD18" s="208">
        <v>0</v>
      </c>
      <c r="BE18" s="208">
        <v>0</v>
      </c>
      <c r="BF18" s="208">
        <v>0</v>
      </c>
      <c r="BG18" s="208">
        <v>0</v>
      </c>
      <c r="BH18" s="208">
        <v>0</v>
      </c>
      <c r="BI18" s="208">
        <v>0</v>
      </c>
      <c r="BJ18" s="208">
        <v>0</v>
      </c>
      <c r="BK18" s="208">
        <v>0</v>
      </c>
      <c r="BL18" s="208">
        <v>0</v>
      </c>
      <c r="BM18" s="208">
        <v>0</v>
      </c>
      <c r="BN18" s="208">
        <v>0</v>
      </c>
      <c r="BO18" s="208">
        <v>1618829.8355250002</v>
      </c>
      <c r="BP18" s="208">
        <v>364236.71299312497</v>
      </c>
      <c r="BQ18" s="208">
        <v>40470.745888125006</v>
      </c>
      <c r="BR18" s="208">
        <v>148524</v>
      </c>
      <c r="BS18" s="208">
        <v>33418</v>
      </c>
      <c r="BT18" s="208">
        <v>3713</v>
      </c>
      <c r="BU18" s="208">
        <v>1509585</v>
      </c>
      <c r="BV18" s="208">
        <v>339657</v>
      </c>
      <c r="BW18" s="208">
        <v>37740</v>
      </c>
      <c r="BX18" s="208">
        <v>257769</v>
      </c>
      <c r="BY18" s="208">
        <v>57998</v>
      </c>
      <c r="BZ18" s="208">
        <v>6444</v>
      </c>
      <c r="CA18" s="208">
        <v>0</v>
      </c>
      <c r="CB18" s="208">
        <v>0</v>
      </c>
      <c r="CC18" s="208">
        <v>0</v>
      </c>
      <c r="CD18" s="208">
        <v>0</v>
      </c>
      <c r="CE18" s="208">
        <v>0</v>
      </c>
      <c r="CF18" s="208">
        <v>0</v>
      </c>
      <c r="CG18" s="208">
        <v>0</v>
      </c>
      <c r="CH18" s="208">
        <v>0</v>
      </c>
      <c r="CI18" s="208">
        <v>0</v>
      </c>
      <c r="CJ18" s="208">
        <v>-2321.2025000000003</v>
      </c>
      <c r="CK18" s="208">
        <v>-522.27056249999998</v>
      </c>
      <c r="CL18" s="208">
        <v>-58.030062500000007</v>
      </c>
      <c r="CM18" s="208">
        <v>0</v>
      </c>
      <c r="CN18" s="208">
        <v>0</v>
      </c>
      <c r="CO18" s="208">
        <v>0</v>
      </c>
      <c r="CP18" s="208">
        <v>613.75</v>
      </c>
      <c r="CQ18" s="208">
        <v>138.09375</v>
      </c>
      <c r="CR18" s="208">
        <v>15.34375</v>
      </c>
      <c r="CS18" s="208">
        <v>0</v>
      </c>
      <c r="CT18" s="208">
        <v>0</v>
      </c>
      <c r="CU18" s="208">
        <v>0</v>
      </c>
      <c r="CV18" s="208">
        <v>0</v>
      </c>
      <c r="CW18" s="208">
        <v>0</v>
      </c>
      <c r="CX18" s="208">
        <v>0</v>
      </c>
      <c r="CY18" s="208">
        <v>0</v>
      </c>
      <c r="CZ18" s="208">
        <v>0</v>
      </c>
      <c r="DA18" s="208">
        <v>0</v>
      </c>
      <c r="DB18" s="208">
        <v>0</v>
      </c>
      <c r="DC18" s="208">
        <v>0</v>
      </c>
      <c r="DD18" s="208">
        <v>0</v>
      </c>
      <c r="DE18" s="208">
        <v>675.94333333333338</v>
      </c>
      <c r="DF18" s="208">
        <v>152.08724999999998</v>
      </c>
      <c r="DG18" s="208">
        <v>16.898583333333335</v>
      </c>
      <c r="DH18" s="208">
        <v>676</v>
      </c>
      <c r="DI18" s="208">
        <v>152</v>
      </c>
      <c r="DJ18" s="208">
        <v>17</v>
      </c>
      <c r="DK18" s="208">
        <v>0</v>
      </c>
      <c r="DL18" s="208">
        <v>0</v>
      </c>
      <c r="DM18" s="208">
        <v>0</v>
      </c>
      <c r="DN18" s="208">
        <v>1227.5</v>
      </c>
      <c r="DO18" s="208">
        <v>276.1875</v>
      </c>
      <c r="DP18" s="208">
        <v>30.6875</v>
      </c>
      <c r="DQ18" s="208">
        <v>0</v>
      </c>
      <c r="DR18" s="208">
        <v>0</v>
      </c>
      <c r="DS18" s="208">
        <v>0</v>
      </c>
      <c r="DT18" s="208">
        <v>1228</v>
      </c>
      <c r="DU18" s="208">
        <v>276</v>
      </c>
      <c r="DV18" s="208">
        <v>31</v>
      </c>
      <c r="DW18" s="208">
        <v>8206.6558333333342</v>
      </c>
      <c r="DX18" s="208">
        <v>1846.4975625000002</v>
      </c>
      <c r="DY18" s="208">
        <v>205.16639583333335</v>
      </c>
      <c r="DZ18" s="208">
        <v>8517</v>
      </c>
      <c r="EA18" s="208">
        <v>1916</v>
      </c>
      <c r="EB18" s="208">
        <v>213</v>
      </c>
      <c r="EC18" s="208">
        <v>-310</v>
      </c>
      <c r="ED18" s="208">
        <v>-70</v>
      </c>
      <c r="EE18" s="208">
        <v>-8</v>
      </c>
      <c r="EF18" s="208">
        <v>48284.530833333338</v>
      </c>
      <c r="EG18" s="208">
        <v>10864.019437499999</v>
      </c>
      <c r="EH18" s="208">
        <v>1207.1132708333334</v>
      </c>
      <c r="EI18" s="208">
        <v>-2378.0766666666668</v>
      </c>
      <c r="EJ18" s="208">
        <v>-535.06724999999994</v>
      </c>
      <c r="EK18" s="208">
        <v>-59.451916666666669</v>
      </c>
      <c r="EL18" s="208">
        <v>51834</v>
      </c>
      <c r="EM18" s="208">
        <v>11663</v>
      </c>
      <c r="EN18" s="208">
        <v>1296</v>
      </c>
      <c r="EO18" s="208">
        <v>-5928</v>
      </c>
      <c r="EP18" s="208">
        <v>-1334</v>
      </c>
      <c r="EQ18" s="208">
        <v>-148</v>
      </c>
      <c r="ER18" s="208">
        <v>4910.0000000000009</v>
      </c>
      <c r="ES18" s="208">
        <v>1104.75</v>
      </c>
      <c r="ET18" s="208">
        <v>122.75000000000001</v>
      </c>
      <c r="EU18" s="208">
        <v>3682</v>
      </c>
      <c r="EV18" s="208">
        <v>829</v>
      </c>
      <c r="EW18" s="208">
        <v>92</v>
      </c>
      <c r="EX18" s="208">
        <v>1228</v>
      </c>
      <c r="EY18" s="208">
        <v>276</v>
      </c>
      <c r="EZ18" s="208">
        <v>31</v>
      </c>
      <c r="FA18" s="208">
        <v>0</v>
      </c>
      <c r="FB18" s="208">
        <v>0</v>
      </c>
      <c r="FC18" s="208">
        <v>0</v>
      </c>
      <c r="FD18" s="208">
        <v>0</v>
      </c>
      <c r="FE18" s="208">
        <v>0</v>
      </c>
      <c r="FF18" s="208">
        <v>0</v>
      </c>
      <c r="FG18" s="208">
        <v>0</v>
      </c>
      <c r="FH18" s="208">
        <v>0</v>
      </c>
      <c r="FI18" s="208">
        <v>0</v>
      </c>
      <c r="FJ18" s="208">
        <v>710865.26500000001</v>
      </c>
      <c r="FK18" s="208">
        <v>159680.5918125</v>
      </c>
      <c r="FL18" s="208">
        <v>17742.287979166667</v>
      </c>
      <c r="FM18" s="208">
        <v>733625</v>
      </c>
      <c r="FN18" s="208">
        <v>165066</v>
      </c>
      <c r="FO18" s="208">
        <v>18341</v>
      </c>
      <c r="FP18" s="208">
        <v>-22760</v>
      </c>
      <c r="FQ18" s="208">
        <v>-5385</v>
      </c>
      <c r="FR18" s="208">
        <v>-599</v>
      </c>
      <c r="FS18" s="208">
        <v>0</v>
      </c>
      <c r="FT18" s="208">
        <v>0</v>
      </c>
      <c r="FU18" s="208">
        <v>0</v>
      </c>
      <c r="FV18" s="208">
        <v>0</v>
      </c>
      <c r="FW18" s="208">
        <v>0</v>
      </c>
      <c r="FX18" s="208">
        <v>0</v>
      </c>
      <c r="FY18" s="208">
        <v>0</v>
      </c>
      <c r="FZ18" s="208">
        <v>0</v>
      </c>
      <c r="GA18" s="208">
        <v>0</v>
      </c>
      <c r="GB18" s="208">
        <v>2537440</v>
      </c>
      <c r="GC18" s="208">
        <v>570660</v>
      </c>
      <c r="GD18" s="208">
        <v>63407</v>
      </c>
      <c r="GE18" s="664">
        <v>0.5</v>
      </c>
      <c r="GF18" s="664">
        <v>0.4</v>
      </c>
      <c r="GG18" s="664">
        <v>0.09</v>
      </c>
      <c r="GH18" s="664">
        <v>0.01</v>
      </c>
      <c r="GI18" s="187" t="s">
        <v>1054</v>
      </c>
    </row>
    <row r="19" spans="2:191" s="187" customFormat="1" x14ac:dyDescent="0.2">
      <c r="B19" s="429" t="s">
        <v>117</v>
      </c>
      <c r="C19" s="429" t="s">
        <v>116</v>
      </c>
      <c r="D19" s="208">
        <v>-4221002</v>
      </c>
      <c r="E19" s="208">
        <v>118962</v>
      </c>
      <c r="F19" s="208">
        <v>-4102040</v>
      </c>
      <c r="G19" s="208">
        <v>-2522745</v>
      </c>
      <c r="H19" s="208">
        <v>18774</v>
      </c>
      <c r="I19" s="208">
        <v>-2503971</v>
      </c>
      <c r="J19" s="208">
        <v>-1698257</v>
      </c>
      <c r="K19" s="208">
        <v>100188</v>
      </c>
      <c r="L19" s="208">
        <v>-1598069</v>
      </c>
      <c r="M19" s="208">
        <v>203240</v>
      </c>
      <c r="N19" s="208">
        <v>203240</v>
      </c>
      <c r="O19" s="208">
        <v>0</v>
      </c>
      <c r="P19" s="208">
        <v>0</v>
      </c>
      <c r="Q19" s="208">
        <v>0</v>
      </c>
      <c r="R19" s="208">
        <v>0</v>
      </c>
      <c r="S19" s="208">
        <v>92088</v>
      </c>
      <c r="T19" s="208">
        <v>235090</v>
      </c>
      <c r="U19" s="208">
        <v>95879</v>
      </c>
      <c r="V19" s="208">
        <v>203382</v>
      </c>
      <c r="W19" s="208">
        <v>-3791</v>
      </c>
      <c r="X19" s="208">
        <v>31708</v>
      </c>
      <c r="Y19" s="208">
        <v>0</v>
      </c>
      <c r="Z19" s="208">
        <v>0</v>
      </c>
      <c r="AA19" s="208">
        <v>0</v>
      </c>
      <c r="AB19" s="208">
        <v>0</v>
      </c>
      <c r="AC19" s="208">
        <v>0</v>
      </c>
      <c r="AD19" s="208">
        <v>0</v>
      </c>
      <c r="AE19" s="208">
        <v>0</v>
      </c>
      <c r="AF19" s="208">
        <v>0</v>
      </c>
      <c r="AG19" s="208">
        <v>0</v>
      </c>
      <c r="AH19" s="208">
        <v>438662</v>
      </c>
      <c r="AI19" s="208">
        <v>438662.46875</v>
      </c>
      <c r="AJ19" s="208">
        <v>0</v>
      </c>
      <c r="AK19" s="208">
        <v>0</v>
      </c>
      <c r="AL19" s="208">
        <v>250000</v>
      </c>
      <c r="AM19" s="208">
        <v>250000</v>
      </c>
      <c r="AN19" s="208">
        <v>0</v>
      </c>
      <c r="AO19" s="208">
        <v>0</v>
      </c>
      <c r="AP19" s="208">
        <v>188662</v>
      </c>
      <c r="AQ19" s="208">
        <v>188662</v>
      </c>
      <c r="AR19" s="208">
        <v>0</v>
      </c>
      <c r="AS19" s="208">
        <v>0</v>
      </c>
      <c r="AT19" s="208">
        <v>0</v>
      </c>
      <c r="AU19" s="208">
        <v>0</v>
      </c>
      <c r="AV19" s="208">
        <v>0</v>
      </c>
      <c r="AW19" s="208">
        <v>0</v>
      </c>
      <c r="AX19" s="208">
        <v>0</v>
      </c>
      <c r="AY19" s="208">
        <v>0</v>
      </c>
      <c r="AZ19" s="208">
        <v>0</v>
      </c>
      <c r="BA19" s="208">
        <v>0</v>
      </c>
      <c r="BB19" s="208">
        <v>0</v>
      </c>
      <c r="BC19" s="208">
        <v>0</v>
      </c>
      <c r="BD19" s="208">
        <v>0</v>
      </c>
      <c r="BE19" s="208">
        <v>0</v>
      </c>
      <c r="BF19" s="208">
        <v>0</v>
      </c>
      <c r="BG19" s="208">
        <v>0</v>
      </c>
      <c r="BH19" s="208">
        <v>0</v>
      </c>
      <c r="BI19" s="208">
        <v>0</v>
      </c>
      <c r="BJ19" s="208">
        <v>0</v>
      </c>
      <c r="BK19" s="208">
        <v>0</v>
      </c>
      <c r="BL19" s="208">
        <v>0</v>
      </c>
      <c r="BM19" s="208">
        <v>0</v>
      </c>
      <c r="BN19" s="208">
        <v>0</v>
      </c>
      <c r="BO19" s="208">
        <v>817632.54908249993</v>
      </c>
      <c r="BP19" s="208">
        <v>178900.38720824997</v>
      </c>
      <c r="BQ19" s="208">
        <v>19877.820800916663</v>
      </c>
      <c r="BR19" s="208">
        <v>129829</v>
      </c>
      <c r="BS19" s="208">
        <v>27826</v>
      </c>
      <c r="BT19" s="208">
        <v>3092</v>
      </c>
      <c r="BU19" s="208">
        <v>837674</v>
      </c>
      <c r="BV19" s="208">
        <v>177413</v>
      </c>
      <c r="BW19" s="208">
        <v>19713</v>
      </c>
      <c r="BX19" s="208">
        <v>109788</v>
      </c>
      <c r="BY19" s="208">
        <v>29313</v>
      </c>
      <c r="BZ19" s="208">
        <v>3257</v>
      </c>
      <c r="CA19" s="208">
        <v>29941.589166666668</v>
      </c>
      <c r="CB19" s="208">
        <v>6736.8575625000003</v>
      </c>
      <c r="CC19" s="208">
        <v>748.53972916666669</v>
      </c>
      <c r="CD19" s="208">
        <v>16219</v>
      </c>
      <c r="CE19" s="208">
        <v>3649</v>
      </c>
      <c r="CF19" s="208">
        <v>405</v>
      </c>
      <c r="CG19" s="208">
        <v>13723</v>
      </c>
      <c r="CH19" s="208">
        <v>3088</v>
      </c>
      <c r="CI19" s="208">
        <v>344</v>
      </c>
      <c r="CJ19" s="208">
        <v>0</v>
      </c>
      <c r="CK19" s="208">
        <v>0</v>
      </c>
      <c r="CL19" s="208">
        <v>0</v>
      </c>
      <c r="CM19" s="208">
        <v>0</v>
      </c>
      <c r="CN19" s="208">
        <v>0</v>
      </c>
      <c r="CO19" s="208">
        <v>0</v>
      </c>
      <c r="CP19" s="208">
        <v>0</v>
      </c>
      <c r="CQ19" s="208">
        <v>0</v>
      </c>
      <c r="CR19" s="208">
        <v>0</v>
      </c>
      <c r="CS19" s="208">
        <v>0</v>
      </c>
      <c r="CT19" s="208">
        <v>0</v>
      </c>
      <c r="CU19" s="208">
        <v>0</v>
      </c>
      <c r="CV19" s="208">
        <v>0</v>
      </c>
      <c r="CW19" s="208">
        <v>0</v>
      </c>
      <c r="CX19" s="208">
        <v>0</v>
      </c>
      <c r="CY19" s="208">
        <v>0</v>
      </c>
      <c r="CZ19" s="208">
        <v>0</v>
      </c>
      <c r="DA19" s="208">
        <v>0</v>
      </c>
      <c r="DB19" s="208">
        <v>0</v>
      </c>
      <c r="DC19" s="208">
        <v>0</v>
      </c>
      <c r="DD19" s="208">
        <v>0</v>
      </c>
      <c r="DE19" s="208">
        <v>9909.1983333333337</v>
      </c>
      <c r="DF19" s="208">
        <v>2229.5696250000001</v>
      </c>
      <c r="DG19" s="208">
        <v>247.72995833333334</v>
      </c>
      <c r="DH19" s="208">
        <v>10188</v>
      </c>
      <c r="DI19" s="208">
        <v>2293</v>
      </c>
      <c r="DJ19" s="208">
        <v>255</v>
      </c>
      <c r="DK19" s="208">
        <v>-279</v>
      </c>
      <c r="DL19" s="208">
        <v>-63</v>
      </c>
      <c r="DM19" s="208">
        <v>-7</v>
      </c>
      <c r="DN19" s="208">
        <v>906.30416666666667</v>
      </c>
      <c r="DO19" s="208">
        <v>203.91843749999998</v>
      </c>
      <c r="DP19" s="208">
        <v>22.657604166666665</v>
      </c>
      <c r="DQ19" s="208">
        <v>614</v>
      </c>
      <c r="DR19" s="208">
        <v>138</v>
      </c>
      <c r="DS19" s="208">
        <v>15</v>
      </c>
      <c r="DT19" s="208">
        <v>292</v>
      </c>
      <c r="DU19" s="208">
        <v>66</v>
      </c>
      <c r="DV19" s="208">
        <v>8</v>
      </c>
      <c r="DW19" s="208">
        <v>9984.2804166666665</v>
      </c>
      <c r="DX19" s="208">
        <v>2153.7101249999996</v>
      </c>
      <c r="DY19" s="208">
        <v>239.30112499999998</v>
      </c>
      <c r="DZ19" s="208">
        <v>11512</v>
      </c>
      <c r="EA19" s="208">
        <v>2498</v>
      </c>
      <c r="EB19" s="208">
        <v>278</v>
      </c>
      <c r="EC19" s="208">
        <v>-1528</v>
      </c>
      <c r="ED19" s="208">
        <v>-344</v>
      </c>
      <c r="EE19" s="208">
        <v>-39</v>
      </c>
      <c r="EF19" s="208">
        <v>99126.148750000008</v>
      </c>
      <c r="EG19" s="208">
        <v>21794.508000000002</v>
      </c>
      <c r="EH19" s="208">
        <v>2421.6120000000001</v>
      </c>
      <c r="EI19" s="208">
        <v>-2461.1374999999998</v>
      </c>
      <c r="EJ19" s="208">
        <v>-452.02687499999996</v>
      </c>
      <c r="EK19" s="208">
        <v>-50.225208333333335</v>
      </c>
      <c r="EL19" s="208">
        <v>100855</v>
      </c>
      <c r="EM19" s="208">
        <v>21774</v>
      </c>
      <c r="EN19" s="208">
        <v>2419</v>
      </c>
      <c r="EO19" s="208">
        <v>-4190</v>
      </c>
      <c r="EP19" s="208">
        <v>-432</v>
      </c>
      <c r="EQ19" s="208">
        <v>-48</v>
      </c>
      <c r="ER19" s="208">
        <v>26314.326666666668</v>
      </c>
      <c r="ES19" s="208">
        <v>5920.7234999999991</v>
      </c>
      <c r="ET19" s="208">
        <v>657.85816666666665</v>
      </c>
      <c r="EU19" s="208">
        <v>28642</v>
      </c>
      <c r="EV19" s="208">
        <v>6444</v>
      </c>
      <c r="EW19" s="208">
        <v>716</v>
      </c>
      <c r="EX19" s="208">
        <v>-2328</v>
      </c>
      <c r="EY19" s="208">
        <v>-523</v>
      </c>
      <c r="EZ19" s="208">
        <v>-58</v>
      </c>
      <c r="FA19" s="208">
        <v>0</v>
      </c>
      <c r="FB19" s="208">
        <v>0</v>
      </c>
      <c r="FC19" s="208">
        <v>0</v>
      </c>
      <c r="FD19" s="208">
        <v>0</v>
      </c>
      <c r="FE19" s="208">
        <v>0</v>
      </c>
      <c r="FF19" s="208">
        <v>0</v>
      </c>
      <c r="FG19" s="208">
        <v>0</v>
      </c>
      <c r="FH19" s="208">
        <v>0</v>
      </c>
      <c r="FI19" s="208">
        <v>0</v>
      </c>
      <c r="FJ19" s="208">
        <v>610066.49</v>
      </c>
      <c r="FK19" s="208">
        <v>142177.61066666665</v>
      </c>
      <c r="FL19" s="208">
        <v>15198.903499999999</v>
      </c>
      <c r="FM19" s="208">
        <v>669547</v>
      </c>
      <c r="FN19" s="208">
        <v>153525</v>
      </c>
      <c r="FO19" s="208">
        <v>16541</v>
      </c>
      <c r="FP19" s="208">
        <v>-59481</v>
      </c>
      <c r="FQ19" s="208">
        <v>-11347</v>
      </c>
      <c r="FR19" s="208">
        <v>-1342</v>
      </c>
      <c r="FS19" s="208">
        <v>0</v>
      </c>
      <c r="FT19" s="208">
        <v>0</v>
      </c>
      <c r="FU19" s="208">
        <v>0</v>
      </c>
      <c r="FV19" s="208">
        <v>0</v>
      </c>
      <c r="FW19" s="208">
        <v>0</v>
      </c>
      <c r="FX19" s="208">
        <v>0</v>
      </c>
      <c r="FY19" s="208">
        <v>0</v>
      </c>
      <c r="FZ19" s="208">
        <v>0</v>
      </c>
      <c r="GA19" s="208">
        <v>0</v>
      </c>
      <c r="GB19" s="208">
        <v>1731248</v>
      </c>
      <c r="GC19" s="208">
        <v>387493</v>
      </c>
      <c r="GD19" s="208">
        <v>42458</v>
      </c>
      <c r="GE19" s="664">
        <v>0.5</v>
      </c>
      <c r="GF19" s="664">
        <v>0.4</v>
      </c>
      <c r="GG19" s="664">
        <v>0.09</v>
      </c>
      <c r="GH19" s="664">
        <v>0.01</v>
      </c>
      <c r="GI19" s="187" t="s">
        <v>1054</v>
      </c>
    </row>
    <row r="20" spans="2:191" s="187" customFormat="1" x14ac:dyDescent="0.2">
      <c r="B20" s="429" t="s">
        <v>119</v>
      </c>
      <c r="C20" s="429" t="s">
        <v>118</v>
      </c>
      <c r="D20" s="208">
        <v>-6725268</v>
      </c>
      <c r="E20" s="208">
        <v>0</v>
      </c>
      <c r="F20" s="208">
        <v>-6725268</v>
      </c>
      <c r="G20" s="208">
        <v>-6593400</v>
      </c>
      <c r="H20" s="208">
        <v>0</v>
      </c>
      <c r="I20" s="208">
        <v>-6593400</v>
      </c>
      <c r="J20" s="208">
        <v>-131868</v>
      </c>
      <c r="K20" s="208">
        <v>0</v>
      </c>
      <c r="L20" s="208">
        <v>-131868</v>
      </c>
      <c r="M20" s="208">
        <v>167375</v>
      </c>
      <c r="N20" s="208">
        <v>167375</v>
      </c>
      <c r="O20" s="208">
        <v>0</v>
      </c>
      <c r="P20" s="208">
        <v>0</v>
      </c>
      <c r="Q20" s="208">
        <v>0</v>
      </c>
      <c r="R20" s="208">
        <v>0</v>
      </c>
      <c r="S20" s="208">
        <v>589979</v>
      </c>
      <c r="T20" s="208">
        <v>0</v>
      </c>
      <c r="U20" s="208">
        <v>582000</v>
      </c>
      <c r="V20" s="208">
        <v>0</v>
      </c>
      <c r="W20" s="208">
        <v>7979</v>
      </c>
      <c r="X20" s="208">
        <v>0</v>
      </c>
      <c r="Y20" s="208">
        <v>0</v>
      </c>
      <c r="Z20" s="208">
        <v>0</v>
      </c>
      <c r="AA20" s="208">
        <v>0</v>
      </c>
      <c r="AB20" s="208">
        <v>0</v>
      </c>
      <c r="AC20" s="208">
        <v>0</v>
      </c>
      <c r="AD20" s="208">
        <v>0</v>
      </c>
      <c r="AE20" s="208">
        <v>0</v>
      </c>
      <c r="AF20" s="208">
        <v>0</v>
      </c>
      <c r="AG20" s="208">
        <v>0</v>
      </c>
      <c r="AH20" s="208">
        <v>0</v>
      </c>
      <c r="AI20" s="208">
        <v>0</v>
      </c>
      <c r="AJ20" s="208">
        <v>0</v>
      </c>
      <c r="AK20" s="208">
        <v>0</v>
      </c>
      <c r="AL20" s="208">
        <v>0</v>
      </c>
      <c r="AM20" s="208">
        <v>0</v>
      </c>
      <c r="AN20" s="208">
        <v>0</v>
      </c>
      <c r="AO20" s="208">
        <v>0</v>
      </c>
      <c r="AP20" s="208">
        <v>0</v>
      </c>
      <c r="AQ20" s="208">
        <v>0</v>
      </c>
      <c r="AR20" s="208">
        <v>0</v>
      </c>
      <c r="AS20" s="208">
        <v>0</v>
      </c>
      <c r="AT20" s="208">
        <v>0</v>
      </c>
      <c r="AU20" s="208">
        <v>0</v>
      </c>
      <c r="AV20" s="208">
        <v>0</v>
      </c>
      <c r="AW20" s="208">
        <v>0</v>
      </c>
      <c r="AX20" s="208">
        <v>0</v>
      </c>
      <c r="AY20" s="208">
        <v>0</v>
      </c>
      <c r="AZ20" s="208">
        <v>0</v>
      </c>
      <c r="BA20" s="208">
        <v>0</v>
      </c>
      <c r="BB20" s="208">
        <v>0</v>
      </c>
      <c r="BC20" s="208">
        <v>0</v>
      </c>
      <c r="BD20" s="208">
        <v>0</v>
      </c>
      <c r="BE20" s="208">
        <v>0</v>
      </c>
      <c r="BF20" s="208">
        <v>0</v>
      </c>
      <c r="BG20" s="208">
        <v>0</v>
      </c>
      <c r="BH20" s="208">
        <v>0</v>
      </c>
      <c r="BI20" s="208">
        <v>0</v>
      </c>
      <c r="BJ20" s="208">
        <v>0</v>
      </c>
      <c r="BK20" s="208">
        <v>0</v>
      </c>
      <c r="BL20" s="208">
        <v>0</v>
      </c>
      <c r="BM20" s="208">
        <v>0</v>
      </c>
      <c r="BN20" s="208">
        <v>0</v>
      </c>
      <c r="BO20" s="208">
        <v>1189862.9756074999</v>
      </c>
      <c r="BP20" s="208">
        <v>267719.16951168753</v>
      </c>
      <c r="BQ20" s="208">
        <v>29746.574390187507</v>
      </c>
      <c r="BR20" s="208">
        <v>72846</v>
      </c>
      <c r="BS20" s="208">
        <v>16390</v>
      </c>
      <c r="BT20" s="208">
        <v>1821</v>
      </c>
      <c r="BU20" s="208">
        <v>1078243</v>
      </c>
      <c r="BV20" s="208">
        <v>242605</v>
      </c>
      <c r="BW20" s="208">
        <v>26956</v>
      </c>
      <c r="BX20" s="208">
        <v>184466</v>
      </c>
      <c r="BY20" s="208">
        <v>41504</v>
      </c>
      <c r="BZ20" s="208">
        <v>4612</v>
      </c>
      <c r="CA20" s="208">
        <v>8203.3825000000015</v>
      </c>
      <c r="CB20" s="208">
        <v>1845.7610624999998</v>
      </c>
      <c r="CC20" s="208">
        <v>205.0845625</v>
      </c>
      <c r="CD20" s="208">
        <v>6179</v>
      </c>
      <c r="CE20" s="208">
        <v>1390</v>
      </c>
      <c r="CF20" s="208">
        <v>154</v>
      </c>
      <c r="CG20" s="208">
        <v>2024</v>
      </c>
      <c r="CH20" s="208">
        <v>456</v>
      </c>
      <c r="CI20" s="208">
        <v>51</v>
      </c>
      <c r="CJ20" s="208">
        <v>0</v>
      </c>
      <c r="CK20" s="208">
        <v>0</v>
      </c>
      <c r="CL20" s="208">
        <v>0</v>
      </c>
      <c r="CM20" s="208">
        <v>0</v>
      </c>
      <c r="CN20" s="208">
        <v>0</v>
      </c>
      <c r="CO20" s="208">
        <v>0</v>
      </c>
      <c r="CP20" s="208">
        <v>-56.874166666666667</v>
      </c>
      <c r="CQ20" s="208">
        <v>-12.796687499999999</v>
      </c>
      <c r="CR20" s="208">
        <v>-1.4218541666666666</v>
      </c>
      <c r="CS20" s="208">
        <v>0</v>
      </c>
      <c r="CT20" s="208">
        <v>0</v>
      </c>
      <c r="CU20" s="208">
        <v>0</v>
      </c>
      <c r="CV20" s="208">
        <v>0</v>
      </c>
      <c r="CW20" s="208">
        <v>0</v>
      </c>
      <c r="CX20" s="208">
        <v>0</v>
      </c>
      <c r="CY20" s="208">
        <v>0</v>
      </c>
      <c r="CZ20" s="208">
        <v>0</v>
      </c>
      <c r="DA20" s="208">
        <v>0</v>
      </c>
      <c r="DB20" s="208">
        <v>0</v>
      </c>
      <c r="DC20" s="208">
        <v>0</v>
      </c>
      <c r="DD20" s="208">
        <v>0</v>
      </c>
      <c r="DE20" s="208">
        <v>14191.127500000001</v>
      </c>
      <c r="DF20" s="208">
        <v>3193.0036874999996</v>
      </c>
      <c r="DG20" s="208">
        <v>354.7781875</v>
      </c>
      <c r="DH20" s="208">
        <v>13993</v>
      </c>
      <c r="DI20" s="208">
        <v>3149</v>
      </c>
      <c r="DJ20" s="208">
        <v>350</v>
      </c>
      <c r="DK20" s="208">
        <v>198</v>
      </c>
      <c r="DL20" s="208">
        <v>44</v>
      </c>
      <c r="DM20" s="208">
        <v>5</v>
      </c>
      <c r="DN20" s="208">
        <v>153.02833333333334</v>
      </c>
      <c r="DO20" s="208">
        <v>34.431374999999996</v>
      </c>
      <c r="DP20" s="208">
        <v>3.8257083333333335</v>
      </c>
      <c r="DQ20" s="208">
        <v>614</v>
      </c>
      <c r="DR20" s="208">
        <v>138</v>
      </c>
      <c r="DS20" s="208">
        <v>15</v>
      </c>
      <c r="DT20" s="208">
        <v>-461</v>
      </c>
      <c r="DU20" s="208">
        <v>-104</v>
      </c>
      <c r="DV20" s="208">
        <v>-11</v>
      </c>
      <c r="DW20" s="208">
        <v>14115.840833333332</v>
      </c>
      <c r="DX20" s="208">
        <v>3176.0641874999997</v>
      </c>
      <c r="DY20" s="208">
        <v>352.8960208333333</v>
      </c>
      <c r="DZ20" s="208">
        <v>7365</v>
      </c>
      <c r="EA20" s="208">
        <v>1657</v>
      </c>
      <c r="EB20" s="208">
        <v>184</v>
      </c>
      <c r="EC20" s="208">
        <v>6751</v>
      </c>
      <c r="ED20" s="208">
        <v>1519</v>
      </c>
      <c r="EE20" s="208">
        <v>169</v>
      </c>
      <c r="EF20" s="208">
        <v>49497.300833333342</v>
      </c>
      <c r="EG20" s="208">
        <v>11136.8926875</v>
      </c>
      <c r="EH20" s="208">
        <v>1237.4325208333335</v>
      </c>
      <c r="EI20" s="208">
        <v>-2220.1383333333338</v>
      </c>
      <c r="EJ20" s="208">
        <v>-499.53112500000003</v>
      </c>
      <c r="EK20" s="208">
        <v>-55.503458333333342</v>
      </c>
      <c r="EL20" s="208">
        <v>55903</v>
      </c>
      <c r="EM20" s="208">
        <v>12578</v>
      </c>
      <c r="EN20" s="208">
        <v>1398</v>
      </c>
      <c r="EO20" s="208">
        <v>-8626</v>
      </c>
      <c r="EP20" s="208">
        <v>-1941</v>
      </c>
      <c r="EQ20" s="208">
        <v>-216</v>
      </c>
      <c r="ER20" s="208">
        <v>21074.947500000002</v>
      </c>
      <c r="ES20" s="208">
        <v>4741.8631875000001</v>
      </c>
      <c r="ET20" s="208">
        <v>526.87368750000007</v>
      </c>
      <c r="EU20" s="208">
        <v>26596</v>
      </c>
      <c r="EV20" s="208">
        <v>5984</v>
      </c>
      <c r="EW20" s="208">
        <v>665</v>
      </c>
      <c r="EX20" s="208">
        <v>-5521</v>
      </c>
      <c r="EY20" s="208">
        <v>-1242</v>
      </c>
      <c r="EZ20" s="208">
        <v>-138</v>
      </c>
      <c r="FA20" s="208">
        <v>0</v>
      </c>
      <c r="FB20" s="208">
        <v>0</v>
      </c>
      <c r="FC20" s="208">
        <v>0</v>
      </c>
      <c r="FD20" s="208">
        <v>0</v>
      </c>
      <c r="FE20" s="208">
        <v>0</v>
      </c>
      <c r="FF20" s="208">
        <v>0</v>
      </c>
      <c r="FG20" s="208">
        <v>0</v>
      </c>
      <c r="FH20" s="208">
        <v>0</v>
      </c>
      <c r="FI20" s="208">
        <v>0</v>
      </c>
      <c r="FJ20" s="208">
        <v>400041.58791666664</v>
      </c>
      <c r="FK20" s="208">
        <v>86967.278062500001</v>
      </c>
      <c r="FL20" s="208">
        <v>9663.0308958333335</v>
      </c>
      <c r="FM20" s="208">
        <v>398652</v>
      </c>
      <c r="FN20" s="208">
        <v>86696</v>
      </c>
      <c r="FO20" s="208">
        <v>9633</v>
      </c>
      <c r="FP20" s="208">
        <v>1390</v>
      </c>
      <c r="FQ20" s="208">
        <v>271</v>
      </c>
      <c r="FR20" s="208">
        <v>30</v>
      </c>
      <c r="FS20" s="208">
        <v>0</v>
      </c>
      <c r="FT20" s="208">
        <v>0</v>
      </c>
      <c r="FU20" s="208">
        <v>0</v>
      </c>
      <c r="FV20" s="208">
        <v>0</v>
      </c>
      <c r="FW20" s="208">
        <v>0</v>
      </c>
      <c r="FX20" s="208">
        <v>0</v>
      </c>
      <c r="FY20" s="208">
        <v>0</v>
      </c>
      <c r="FZ20" s="208">
        <v>0</v>
      </c>
      <c r="GA20" s="208">
        <v>0</v>
      </c>
      <c r="GB20" s="208">
        <v>1767709</v>
      </c>
      <c r="GC20" s="208">
        <v>394691</v>
      </c>
      <c r="GD20" s="208">
        <v>43855</v>
      </c>
      <c r="GE20" s="664">
        <v>0.5</v>
      </c>
      <c r="GF20" s="664">
        <v>0.4</v>
      </c>
      <c r="GG20" s="664">
        <v>0.09</v>
      </c>
      <c r="GH20" s="664">
        <v>0.01</v>
      </c>
      <c r="GI20" s="187" t="s">
        <v>1054</v>
      </c>
    </row>
    <row r="21" spans="2:191" s="187" customFormat="1" x14ac:dyDescent="0.2">
      <c r="B21" s="429" t="s">
        <v>121</v>
      </c>
      <c r="C21" s="429" t="s">
        <v>120</v>
      </c>
      <c r="D21" s="208">
        <v>-379951</v>
      </c>
      <c r="E21" s="208">
        <v>72483</v>
      </c>
      <c r="F21" s="208">
        <v>-307468</v>
      </c>
      <c r="G21" s="208">
        <v>-387353</v>
      </c>
      <c r="H21" s="208">
        <v>-2520</v>
      </c>
      <c r="I21" s="208">
        <v>-389873</v>
      </c>
      <c r="J21" s="208">
        <v>7402</v>
      </c>
      <c r="K21" s="208">
        <v>75003</v>
      </c>
      <c r="L21" s="208">
        <v>82405</v>
      </c>
      <c r="M21" s="208">
        <v>261134</v>
      </c>
      <c r="N21" s="208">
        <v>261134</v>
      </c>
      <c r="O21" s="208">
        <v>0</v>
      </c>
      <c r="P21" s="208">
        <v>653881</v>
      </c>
      <c r="Q21" s="208">
        <v>351891</v>
      </c>
      <c r="R21" s="208">
        <v>301990</v>
      </c>
      <c r="S21" s="208">
        <v>28507</v>
      </c>
      <c r="T21" s="208">
        <v>0</v>
      </c>
      <c r="U21" s="208">
        <v>23373</v>
      </c>
      <c r="V21" s="208">
        <v>0</v>
      </c>
      <c r="W21" s="208">
        <v>5134</v>
      </c>
      <c r="X21" s="208">
        <v>0</v>
      </c>
      <c r="Y21" s="208">
        <v>0</v>
      </c>
      <c r="Z21" s="208">
        <v>0</v>
      </c>
      <c r="AA21" s="208">
        <v>0</v>
      </c>
      <c r="AB21" s="208">
        <v>0</v>
      </c>
      <c r="AC21" s="208">
        <v>0</v>
      </c>
      <c r="AD21" s="208">
        <v>0</v>
      </c>
      <c r="AE21" s="208">
        <v>0</v>
      </c>
      <c r="AF21" s="208">
        <v>0</v>
      </c>
      <c r="AG21" s="208">
        <v>0</v>
      </c>
      <c r="AH21" s="208">
        <v>0</v>
      </c>
      <c r="AI21" s="208">
        <v>0</v>
      </c>
      <c r="AJ21" s="208">
        <v>0</v>
      </c>
      <c r="AK21" s="208">
        <v>0</v>
      </c>
      <c r="AL21" s="208">
        <v>0</v>
      </c>
      <c r="AM21" s="208">
        <v>0</v>
      </c>
      <c r="AN21" s="208">
        <v>0</v>
      </c>
      <c r="AO21" s="208">
        <v>0</v>
      </c>
      <c r="AP21" s="208">
        <v>0</v>
      </c>
      <c r="AQ21" s="208">
        <v>0</v>
      </c>
      <c r="AR21" s="208">
        <v>0</v>
      </c>
      <c r="AS21" s="208">
        <v>0</v>
      </c>
      <c r="AT21" s="208">
        <v>0</v>
      </c>
      <c r="AU21" s="208">
        <v>0</v>
      </c>
      <c r="AV21" s="208">
        <v>0</v>
      </c>
      <c r="AW21" s="208">
        <v>0</v>
      </c>
      <c r="AX21" s="208">
        <v>0</v>
      </c>
      <c r="AY21" s="208">
        <v>0</v>
      </c>
      <c r="AZ21" s="208">
        <v>0</v>
      </c>
      <c r="BA21" s="208">
        <v>0</v>
      </c>
      <c r="BB21" s="208">
        <v>0</v>
      </c>
      <c r="BC21" s="208">
        <v>0</v>
      </c>
      <c r="BD21" s="208">
        <v>0</v>
      </c>
      <c r="BE21" s="208">
        <v>0</v>
      </c>
      <c r="BF21" s="208">
        <v>0</v>
      </c>
      <c r="BG21" s="208">
        <v>0</v>
      </c>
      <c r="BH21" s="208">
        <v>0</v>
      </c>
      <c r="BI21" s="208">
        <v>0</v>
      </c>
      <c r="BJ21" s="208">
        <v>0</v>
      </c>
      <c r="BK21" s="208">
        <v>0</v>
      </c>
      <c r="BL21" s="208">
        <v>0</v>
      </c>
      <c r="BM21" s="208">
        <v>0</v>
      </c>
      <c r="BN21" s="208">
        <v>0</v>
      </c>
      <c r="BO21" s="208">
        <v>4424363.0883351658</v>
      </c>
      <c r="BP21" s="208">
        <v>230596.01067208339</v>
      </c>
      <c r="BQ21" s="208">
        <v>46119.202134416664</v>
      </c>
      <c r="BR21" s="208">
        <v>345362</v>
      </c>
      <c r="BS21" s="208">
        <v>17558</v>
      </c>
      <c r="BT21" s="208">
        <v>3512</v>
      </c>
      <c r="BU21" s="208">
        <v>4303795</v>
      </c>
      <c r="BV21" s="208">
        <v>223982</v>
      </c>
      <c r="BW21" s="208">
        <v>44796</v>
      </c>
      <c r="BX21" s="208">
        <v>465930</v>
      </c>
      <c r="BY21" s="208">
        <v>24172</v>
      </c>
      <c r="BZ21" s="208">
        <v>4835</v>
      </c>
      <c r="CA21" s="208">
        <v>33189.533708333329</v>
      </c>
      <c r="CB21" s="208">
        <v>1765.4007291666667</v>
      </c>
      <c r="CC21" s="208">
        <v>353.08014583333335</v>
      </c>
      <c r="CD21" s="208">
        <v>5546</v>
      </c>
      <c r="CE21" s="208">
        <v>295</v>
      </c>
      <c r="CF21" s="208">
        <v>59</v>
      </c>
      <c r="CG21" s="208">
        <v>27644</v>
      </c>
      <c r="CH21" s="208">
        <v>1470</v>
      </c>
      <c r="CI21" s="208">
        <v>294</v>
      </c>
      <c r="CJ21" s="208">
        <v>0</v>
      </c>
      <c r="CK21" s="208">
        <v>0</v>
      </c>
      <c r="CL21" s="208">
        <v>0</v>
      </c>
      <c r="CM21" s="208">
        <v>0</v>
      </c>
      <c r="CN21" s="208">
        <v>0</v>
      </c>
      <c r="CO21" s="208">
        <v>0</v>
      </c>
      <c r="CP21" s="208">
        <v>-435.57837499999999</v>
      </c>
      <c r="CQ21" s="208">
        <v>-23.169062500000003</v>
      </c>
      <c r="CR21" s="208">
        <v>-4.6338125000000003</v>
      </c>
      <c r="CS21" s="208">
        <v>0</v>
      </c>
      <c r="CT21" s="208">
        <v>0</v>
      </c>
      <c r="CU21" s="208">
        <v>0</v>
      </c>
      <c r="CV21" s="208">
        <v>0</v>
      </c>
      <c r="CW21" s="208">
        <v>0</v>
      </c>
      <c r="CX21" s="208">
        <v>0</v>
      </c>
      <c r="CY21" s="208">
        <v>0</v>
      </c>
      <c r="CZ21" s="208">
        <v>0</v>
      </c>
      <c r="DA21" s="208">
        <v>0</v>
      </c>
      <c r="DB21" s="208">
        <v>0</v>
      </c>
      <c r="DC21" s="208">
        <v>0</v>
      </c>
      <c r="DD21" s="208">
        <v>0</v>
      </c>
      <c r="DE21" s="208">
        <v>12825.042749999999</v>
      </c>
      <c r="DF21" s="208">
        <v>682.18312500000002</v>
      </c>
      <c r="DG21" s="208">
        <v>136.43662499999999</v>
      </c>
      <c r="DH21" s="208">
        <v>18131</v>
      </c>
      <c r="DI21" s="208">
        <v>964</v>
      </c>
      <c r="DJ21" s="208">
        <v>193</v>
      </c>
      <c r="DK21" s="208">
        <v>-5306</v>
      </c>
      <c r="DL21" s="208">
        <v>-282</v>
      </c>
      <c r="DM21" s="208">
        <v>-57</v>
      </c>
      <c r="DN21" s="208">
        <v>979.81095833333336</v>
      </c>
      <c r="DO21" s="208">
        <v>52.117604166666673</v>
      </c>
      <c r="DP21" s="208">
        <v>10.423520833333335</v>
      </c>
      <c r="DQ21" s="208">
        <v>1442</v>
      </c>
      <c r="DR21" s="208">
        <v>77</v>
      </c>
      <c r="DS21" s="208">
        <v>15</v>
      </c>
      <c r="DT21" s="208">
        <v>-462</v>
      </c>
      <c r="DU21" s="208">
        <v>-25</v>
      </c>
      <c r="DV21" s="208">
        <v>-5</v>
      </c>
      <c r="DW21" s="208">
        <v>21265.147806666668</v>
      </c>
      <c r="DX21" s="208">
        <v>1131.1248833333336</v>
      </c>
      <c r="DY21" s="208">
        <v>226.22497666666669</v>
      </c>
      <c r="DZ21" s="208">
        <v>10386</v>
      </c>
      <c r="EA21" s="208">
        <v>552</v>
      </c>
      <c r="EB21" s="208">
        <v>110</v>
      </c>
      <c r="EC21" s="208">
        <v>10879</v>
      </c>
      <c r="ED21" s="208">
        <v>579</v>
      </c>
      <c r="EE21" s="208">
        <v>116</v>
      </c>
      <c r="EF21" s="208">
        <v>175169.81466666667</v>
      </c>
      <c r="EG21" s="208">
        <v>9317.5433333333331</v>
      </c>
      <c r="EH21" s="208">
        <v>1863.5086666666666</v>
      </c>
      <c r="EI21" s="208">
        <v>79926.26642</v>
      </c>
      <c r="EJ21" s="208">
        <v>4251.3971499999998</v>
      </c>
      <c r="EK21" s="208">
        <v>850.27943000000005</v>
      </c>
      <c r="EL21" s="208">
        <v>182692</v>
      </c>
      <c r="EM21" s="208">
        <v>9718</v>
      </c>
      <c r="EN21" s="208">
        <v>1944</v>
      </c>
      <c r="EO21" s="208">
        <v>72404</v>
      </c>
      <c r="EP21" s="208">
        <v>3851</v>
      </c>
      <c r="EQ21" s="208">
        <v>770</v>
      </c>
      <c r="ER21" s="208">
        <v>42938.844642916665</v>
      </c>
      <c r="ES21" s="208">
        <v>2175.1601760416665</v>
      </c>
      <c r="ET21" s="208">
        <v>435.0320352083333</v>
      </c>
      <c r="EU21" s="208">
        <v>38462</v>
      </c>
      <c r="EV21" s="208">
        <v>2046</v>
      </c>
      <c r="EW21" s="208">
        <v>409</v>
      </c>
      <c r="EX21" s="208">
        <v>4477</v>
      </c>
      <c r="EY21" s="208">
        <v>129</v>
      </c>
      <c r="EZ21" s="208">
        <v>26</v>
      </c>
      <c r="FA21" s="208">
        <v>0</v>
      </c>
      <c r="FB21" s="208">
        <v>0</v>
      </c>
      <c r="FC21" s="208">
        <v>0</v>
      </c>
      <c r="FD21" s="208">
        <v>0</v>
      </c>
      <c r="FE21" s="208">
        <v>0</v>
      </c>
      <c r="FF21" s="208">
        <v>0</v>
      </c>
      <c r="FG21" s="208">
        <v>0</v>
      </c>
      <c r="FH21" s="208">
        <v>0</v>
      </c>
      <c r="FI21" s="208">
        <v>0</v>
      </c>
      <c r="FJ21" s="208">
        <v>1445199.6913749999</v>
      </c>
      <c r="FK21" s="208">
        <v>76040.512395833328</v>
      </c>
      <c r="FL21" s="208">
        <v>15208.102479166666</v>
      </c>
      <c r="FM21" s="208">
        <v>1426660</v>
      </c>
      <c r="FN21" s="208">
        <v>75429</v>
      </c>
      <c r="FO21" s="208">
        <v>15086</v>
      </c>
      <c r="FP21" s="208">
        <v>18540</v>
      </c>
      <c r="FQ21" s="208">
        <v>612</v>
      </c>
      <c r="FR21" s="208">
        <v>122</v>
      </c>
      <c r="FS21" s="208">
        <v>61410.802083333336</v>
      </c>
      <c r="FT21" s="208">
        <v>0</v>
      </c>
      <c r="FU21" s="208">
        <v>0</v>
      </c>
      <c r="FV21" s="208">
        <v>235000</v>
      </c>
      <c r="FW21" s="208">
        <v>0</v>
      </c>
      <c r="FX21" s="208">
        <v>0</v>
      </c>
      <c r="FY21" s="208">
        <v>-173589</v>
      </c>
      <c r="FZ21" s="208">
        <v>0</v>
      </c>
      <c r="GA21" s="208">
        <v>0</v>
      </c>
      <c r="GB21" s="208">
        <v>6642195</v>
      </c>
      <c r="GC21" s="208">
        <v>343546</v>
      </c>
      <c r="GD21" s="208">
        <v>68708</v>
      </c>
      <c r="GE21" s="664">
        <v>0</v>
      </c>
      <c r="GF21" s="664">
        <v>0.94</v>
      </c>
      <c r="GG21" s="664">
        <v>0.05</v>
      </c>
      <c r="GH21" s="664">
        <v>0.01</v>
      </c>
      <c r="GI21" s="187" t="s">
        <v>742</v>
      </c>
    </row>
    <row r="22" spans="2:191" s="187" customFormat="1" x14ac:dyDescent="0.2">
      <c r="B22" s="429" t="s">
        <v>123</v>
      </c>
      <c r="C22" s="429" t="s">
        <v>122</v>
      </c>
      <c r="D22" s="208">
        <v>-2698188</v>
      </c>
      <c r="E22" s="208">
        <v>0</v>
      </c>
      <c r="F22" s="208">
        <v>-2698188</v>
      </c>
      <c r="G22" s="208">
        <v>-2741519</v>
      </c>
      <c r="H22" s="208">
        <v>0</v>
      </c>
      <c r="I22" s="208">
        <v>-2741519</v>
      </c>
      <c r="J22" s="208">
        <v>43331</v>
      </c>
      <c r="K22" s="208">
        <v>0</v>
      </c>
      <c r="L22" s="208">
        <v>43331</v>
      </c>
      <c r="M22" s="208">
        <v>228106</v>
      </c>
      <c r="N22" s="208">
        <v>228106</v>
      </c>
      <c r="O22" s="208">
        <v>0</v>
      </c>
      <c r="P22" s="208">
        <v>0</v>
      </c>
      <c r="Q22" s="208">
        <v>0</v>
      </c>
      <c r="R22" s="208">
        <v>0</v>
      </c>
      <c r="S22" s="208">
        <v>658913</v>
      </c>
      <c r="T22" s="208">
        <v>0</v>
      </c>
      <c r="U22" s="208">
        <v>586089</v>
      </c>
      <c r="V22" s="208">
        <v>0</v>
      </c>
      <c r="W22" s="208">
        <v>72824</v>
      </c>
      <c r="X22" s="208">
        <v>0</v>
      </c>
      <c r="Y22" s="208">
        <v>0</v>
      </c>
      <c r="Z22" s="208">
        <v>0</v>
      </c>
      <c r="AA22" s="208">
        <v>0</v>
      </c>
      <c r="AB22" s="208">
        <v>0</v>
      </c>
      <c r="AC22" s="208">
        <v>0</v>
      </c>
      <c r="AD22" s="208">
        <v>0</v>
      </c>
      <c r="AE22" s="208">
        <v>0</v>
      </c>
      <c r="AF22" s="208">
        <v>0</v>
      </c>
      <c r="AG22" s="208">
        <v>0</v>
      </c>
      <c r="AH22" s="208">
        <v>0</v>
      </c>
      <c r="AI22" s="208">
        <v>0</v>
      </c>
      <c r="AJ22" s="208">
        <v>0</v>
      </c>
      <c r="AK22" s="208">
        <v>0</v>
      </c>
      <c r="AL22" s="208">
        <v>0</v>
      </c>
      <c r="AM22" s="208">
        <v>0</v>
      </c>
      <c r="AN22" s="208">
        <v>0</v>
      </c>
      <c r="AO22" s="208">
        <v>0</v>
      </c>
      <c r="AP22" s="208">
        <v>0</v>
      </c>
      <c r="AQ22" s="208">
        <v>0</v>
      </c>
      <c r="AR22" s="208">
        <v>0</v>
      </c>
      <c r="AS22" s="208">
        <v>0</v>
      </c>
      <c r="AT22" s="208">
        <v>0</v>
      </c>
      <c r="AU22" s="208">
        <v>0</v>
      </c>
      <c r="AV22" s="208">
        <v>0</v>
      </c>
      <c r="AW22" s="208">
        <v>0</v>
      </c>
      <c r="AX22" s="208">
        <v>0</v>
      </c>
      <c r="AY22" s="208">
        <v>0</v>
      </c>
      <c r="AZ22" s="208">
        <v>0</v>
      </c>
      <c r="BA22" s="208">
        <v>0</v>
      </c>
      <c r="BB22" s="208">
        <v>0</v>
      </c>
      <c r="BC22" s="208">
        <v>0</v>
      </c>
      <c r="BD22" s="208">
        <v>0</v>
      </c>
      <c r="BE22" s="208">
        <v>0</v>
      </c>
      <c r="BF22" s="208">
        <v>0</v>
      </c>
      <c r="BG22" s="208">
        <v>0</v>
      </c>
      <c r="BH22" s="208">
        <v>0</v>
      </c>
      <c r="BI22" s="208">
        <v>0</v>
      </c>
      <c r="BJ22" s="208">
        <v>0</v>
      </c>
      <c r="BK22" s="208">
        <v>0</v>
      </c>
      <c r="BL22" s="208">
        <v>0</v>
      </c>
      <c r="BM22" s="208">
        <v>0</v>
      </c>
      <c r="BN22" s="208">
        <v>0</v>
      </c>
      <c r="BO22" s="208">
        <v>1939248.6536864582</v>
      </c>
      <c r="BP22" s="208">
        <v>0</v>
      </c>
      <c r="BQ22" s="208">
        <v>39576.503136458334</v>
      </c>
      <c r="BR22" s="208">
        <v>129795</v>
      </c>
      <c r="BS22" s="208">
        <v>0</v>
      </c>
      <c r="BT22" s="208">
        <v>2649</v>
      </c>
      <c r="BU22" s="208">
        <v>1847694</v>
      </c>
      <c r="BV22" s="208">
        <v>0</v>
      </c>
      <c r="BW22" s="208">
        <v>37708</v>
      </c>
      <c r="BX22" s="208">
        <v>221350</v>
      </c>
      <c r="BY22" s="208">
        <v>0</v>
      </c>
      <c r="BZ22" s="208">
        <v>4518</v>
      </c>
      <c r="CA22" s="208">
        <v>17208.19975</v>
      </c>
      <c r="CB22" s="208">
        <v>0</v>
      </c>
      <c r="CC22" s="208">
        <v>351.18774999999999</v>
      </c>
      <c r="CD22" s="208">
        <v>5818</v>
      </c>
      <c r="CE22" s="208">
        <v>0</v>
      </c>
      <c r="CF22" s="208">
        <v>119</v>
      </c>
      <c r="CG22" s="208">
        <v>11390</v>
      </c>
      <c r="CH22" s="208">
        <v>0</v>
      </c>
      <c r="CI22" s="208">
        <v>232</v>
      </c>
      <c r="CJ22" s="208">
        <v>-1460.0805625</v>
      </c>
      <c r="CK22" s="208">
        <v>0</v>
      </c>
      <c r="CL22" s="208">
        <v>-29.797562499999998</v>
      </c>
      <c r="CM22" s="208">
        <v>0</v>
      </c>
      <c r="CN22" s="208">
        <v>0</v>
      </c>
      <c r="CO22" s="208">
        <v>0</v>
      </c>
      <c r="CP22" s="208">
        <v>0</v>
      </c>
      <c r="CQ22" s="208">
        <v>0</v>
      </c>
      <c r="CR22" s="208">
        <v>0</v>
      </c>
      <c r="CS22" s="208">
        <v>0</v>
      </c>
      <c r="CT22" s="208">
        <v>0</v>
      </c>
      <c r="CU22" s="208">
        <v>0</v>
      </c>
      <c r="CV22" s="208">
        <v>0</v>
      </c>
      <c r="CW22" s="208">
        <v>0</v>
      </c>
      <c r="CX22" s="208">
        <v>0</v>
      </c>
      <c r="CY22" s="208">
        <v>0</v>
      </c>
      <c r="CZ22" s="208">
        <v>0</v>
      </c>
      <c r="DA22" s="208">
        <v>0</v>
      </c>
      <c r="DB22" s="208">
        <v>0</v>
      </c>
      <c r="DC22" s="208">
        <v>0</v>
      </c>
      <c r="DD22" s="208">
        <v>0</v>
      </c>
      <c r="DE22" s="208">
        <v>16693.437395833331</v>
      </c>
      <c r="DF22" s="208">
        <v>0</v>
      </c>
      <c r="DG22" s="208">
        <v>340.68239583333332</v>
      </c>
      <c r="DH22" s="208">
        <v>17061</v>
      </c>
      <c r="DI22" s="208">
        <v>0</v>
      </c>
      <c r="DJ22" s="208">
        <v>348</v>
      </c>
      <c r="DK22" s="208">
        <v>-368</v>
      </c>
      <c r="DL22" s="208">
        <v>0</v>
      </c>
      <c r="DM22" s="208">
        <v>-7</v>
      </c>
      <c r="DN22" s="208">
        <v>183.44987499999999</v>
      </c>
      <c r="DO22" s="208">
        <v>0</v>
      </c>
      <c r="DP22" s="208">
        <v>3.7438750000000001</v>
      </c>
      <c r="DQ22" s="208">
        <v>752</v>
      </c>
      <c r="DR22" s="208">
        <v>0</v>
      </c>
      <c r="DS22" s="208">
        <v>15</v>
      </c>
      <c r="DT22" s="208">
        <v>-569</v>
      </c>
      <c r="DU22" s="208">
        <v>0</v>
      </c>
      <c r="DV22" s="208">
        <v>-11</v>
      </c>
      <c r="DW22" s="208">
        <v>6816.2154375</v>
      </c>
      <c r="DX22" s="208">
        <v>0</v>
      </c>
      <c r="DY22" s="208">
        <v>139.1064375</v>
      </c>
      <c r="DZ22" s="208">
        <v>6051</v>
      </c>
      <c r="EA22" s="208">
        <v>0</v>
      </c>
      <c r="EB22" s="208">
        <v>123</v>
      </c>
      <c r="EC22" s="208">
        <v>765</v>
      </c>
      <c r="ED22" s="208">
        <v>0</v>
      </c>
      <c r="EE22" s="208">
        <v>16</v>
      </c>
      <c r="EF22" s="208">
        <v>52666.153458333334</v>
      </c>
      <c r="EG22" s="208">
        <v>0</v>
      </c>
      <c r="EH22" s="208">
        <v>1074.8194583333334</v>
      </c>
      <c r="EI22" s="208">
        <v>-2927.6795625</v>
      </c>
      <c r="EJ22" s="208">
        <v>0</v>
      </c>
      <c r="EK22" s="208">
        <v>-59.748562499999998</v>
      </c>
      <c r="EL22" s="208">
        <v>52629</v>
      </c>
      <c r="EM22" s="208">
        <v>0</v>
      </c>
      <c r="EN22" s="208">
        <v>1074</v>
      </c>
      <c r="EO22" s="208">
        <v>-2891</v>
      </c>
      <c r="EP22" s="208">
        <v>0</v>
      </c>
      <c r="EQ22" s="208">
        <v>-59</v>
      </c>
      <c r="ER22" s="208">
        <v>17276.868145833334</v>
      </c>
      <c r="ES22" s="208">
        <v>0</v>
      </c>
      <c r="ET22" s="208">
        <v>352.58914583333336</v>
      </c>
      <c r="EU22" s="208">
        <v>22556</v>
      </c>
      <c r="EV22" s="208">
        <v>0</v>
      </c>
      <c r="EW22" s="208">
        <v>460</v>
      </c>
      <c r="EX22" s="208">
        <v>-5279</v>
      </c>
      <c r="EY22" s="208">
        <v>0</v>
      </c>
      <c r="EZ22" s="208">
        <v>-107</v>
      </c>
      <c r="FA22" s="208">
        <v>0</v>
      </c>
      <c r="FB22" s="208">
        <v>0</v>
      </c>
      <c r="FC22" s="208">
        <v>0</v>
      </c>
      <c r="FD22" s="208">
        <v>0</v>
      </c>
      <c r="FE22" s="208">
        <v>0</v>
      </c>
      <c r="FF22" s="208">
        <v>0</v>
      </c>
      <c r="FG22" s="208">
        <v>0</v>
      </c>
      <c r="FH22" s="208">
        <v>0</v>
      </c>
      <c r="FI22" s="208">
        <v>0</v>
      </c>
      <c r="FJ22" s="208">
        <v>701787.93116666656</v>
      </c>
      <c r="FK22" s="208">
        <v>0</v>
      </c>
      <c r="FL22" s="208">
        <v>14014.037583333333</v>
      </c>
      <c r="FM22" s="208">
        <v>703887</v>
      </c>
      <c r="FN22" s="208">
        <v>0</v>
      </c>
      <c r="FO22" s="208">
        <v>14091</v>
      </c>
      <c r="FP22" s="208">
        <v>-2099</v>
      </c>
      <c r="FQ22" s="208">
        <v>0</v>
      </c>
      <c r="FR22" s="208">
        <v>-77</v>
      </c>
      <c r="FS22" s="208">
        <v>0</v>
      </c>
      <c r="FT22" s="208">
        <v>0</v>
      </c>
      <c r="FU22" s="208">
        <v>0</v>
      </c>
      <c r="FV22" s="208">
        <v>0</v>
      </c>
      <c r="FW22" s="208">
        <v>0</v>
      </c>
      <c r="FX22" s="208">
        <v>0</v>
      </c>
      <c r="FY22" s="208">
        <v>0</v>
      </c>
      <c r="FZ22" s="208">
        <v>0</v>
      </c>
      <c r="GA22" s="208">
        <v>0</v>
      </c>
      <c r="GB22" s="208">
        <v>2877287</v>
      </c>
      <c r="GC22" s="208">
        <v>0</v>
      </c>
      <c r="GD22" s="208">
        <v>58413</v>
      </c>
      <c r="GE22" s="664">
        <v>0.5</v>
      </c>
      <c r="GF22" s="664">
        <v>0.49</v>
      </c>
      <c r="GG22" s="664">
        <v>0</v>
      </c>
      <c r="GH22" s="664">
        <v>0.01</v>
      </c>
      <c r="GI22" s="187" t="s">
        <v>742</v>
      </c>
    </row>
    <row r="23" spans="2:191" s="187" customFormat="1" x14ac:dyDescent="0.2">
      <c r="B23" s="429" t="s">
        <v>125</v>
      </c>
      <c r="C23" s="429" t="s">
        <v>124</v>
      </c>
      <c r="D23" s="208">
        <v>-227844</v>
      </c>
      <c r="E23" s="208">
        <v>0</v>
      </c>
      <c r="F23" s="208">
        <v>-227844</v>
      </c>
      <c r="G23" s="208">
        <v>-351136</v>
      </c>
      <c r="H23" s="208">
        <v>0</v>
      </c>
      <c r="I23" s="208">
        <v>-351136</v>
      </c>
      <c r="J23" s="208">
        <v>123292</v>
      </c>
      <c r="K23" s="208">
        <v>0</v>
      </c>
      <c r="L23" s="208">
        <v>123292</v>
      </c>
      <c r="M23" s="208">
        <v>251511</v>
      </c>
      <c r="N23" s="208">
        <v>251511</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c r="BL23" s="208">
        <v>0</v>
      </c>
      <c r="BM23" s="208">
        <v>0</v>
      </c>
      <c r="BN23" s="208">
        <v>0</v>
      </c>
      <c r="BO23" s="208">
        <v>2967351.0394186666</v>
      </c>
      <c r="BP23" s="208">
        <v>1669134.959673</v>
      </c>
      <c r="BQ23" s="208">
        <v>0</v>
      </c>
      <c r="BR23" s="208">
        <v>150222</v>
      </c>
      <c r="BS23" s="208">
        <v>84500</v>
      </c>
      <c r="BT23" s="208">
        <v>0</v>
      </c>
      <c r="BU23" s="208">
        <v>2891498</v>
      </c>
      <c r="BV23" s="208">
        <v>1626467</v>
      </c>
      <c r="BW23" s="208">
        <v>0</v>
      </c>
      <c r="BX23" s="208">
        <v>226075</v>
      </c>
      <c r="BY23" s="208">
        <v>127168</v>
      </c>
      <c r="BZ23" s="208">
        <v>0</v>
      </c>
      <c r="CA23" s="208">
        <v>0</v>
      </c>
      <c r="CB23" s="208">
        <v>0</v>
      </c>
      <c r="CC23" s="208">
        <v>0</v>
      </c>
      <c r="CD23" s="208">
        <v>0</v>
      </c>
      <c r="CE23" s="208">
        <v>0</v>
      </c>
      <c r="CF23" s="208">
        <v>0</v>
      </c>
      <c r="CG23" s="208">
        <v>0</v>
      </c>
      <c r="CH23" s="208">
        <v>0</v>
      </c>
      <c r="CI23" s="208">
        <v>0</v>
      </c>
      <c r="CJ23" s="208">
        <v>0</v>
      </c>
      <c r="CK23" s="208">
        <v>0</v>
      </c>
      <c r="CL23" s="208">
        <v>0</v>
      </c>
      <c r="CM23" s="208">
        <v>0</v>
      </c>
      <c r="CN23" s="208">
        <v>0</v>
      </c>
      <c r="CO23" s="208">
        <v>0</v>
      </c>
      <c r="CP23" s="208">
        <v>1279.8733333333332</v>
      </c>
      <c r="CQ23" s="208">
        <v>719.92874999999992</v>
      </c>
      <c r="CR23" s="208">
        <v>0</v>
      </c>
      <c r="CS23" s="208">
        <v>0</v>
      </c>
      <c r="CT23" s="208">
        <v>0</v>
      </c>
      <c r="CU23" s="208">
        <v>0</v>
      </c>
      <c r="CV23" s="208">
        <v>0</v>
      </c>
      <c r="CW23" s="208">
        <v>0</v>
      </c>
      <c r="CX23" s="208">
        <v>0</v>
      </c>
      <c r="CY23" s="208">
        <v>0</v>
      </c>
      <c r="CZ23" s="208">
        <v>0</v>
      </c>
      <c r="DA23" s="208">
        <v>0</v>
      </c>
      <c r="DB23" s="208">
        <v>0</v>
      </c>
      <c r="DC23" s="208">
        <v>0</v>
      </c>
      <c r="DD23" s="208">
        <v>0</v>
      </c>
      <c r="DE23" s="208">
        <v>0</v>
      </c>
      <c r="DF23" s="208">
        <v>0</v>
      </c>
      <c r="DG23" s="208">
        <v>0</v>
      </c>
      <c r="DH23" s="208">
        <v>0</v>
      </c>
      <c r="DI23" s="208">
        <v>0</v>
      </c>
      <c r="DJ23" s="208">
        <v>0</v>
      </c>
      <c r="DK23" s="208">
        <v>0</v>
      </c>
      <c r="DL23" s="208">
        <v>0</v>
      </c>
      <c r="DM23" s="208">
        <v>0</v>
      </c>
      <c r="DN23" s="208">
        <v>0</v>
      </c>
      <c r="DO23" s="208">
        <v>0</v>
      </c>
      <c r="DP23" s="208">
        <v>0</v>
      </c>
      <c r="DQ23" s="208">
        <v>0</v>
      </c>
      <c r="DR23" s="208">
        <v>0</v>
      </c>
      <c r="DS23" s="208">
        <v>0</v>
      </c>
      <c r="DT23" s="208">
        <v>0</v>
      </c>
      <c r="DU23" s="208">
        <v>0</v>
      </c>
      <c r="DV23" s="208">
        <v>0</v>
      </c>
      <c r="DW23" s="208">
        <v>21459.973333333332</v>
      </c>
      <c r="DX23" s="208">
        <v>12071.234999999999</v>
      </c>
      <c r="DY23" s="208">
        <v>0</v>
      </c>
      <c r="DZ23" s="208">
        <v>26643</v>
      </c>
      <c r="EA23" s="208">
        <v>14987</v>
      </c>
      <c r="EB23" s="208">
        <v>0</v>
      </c>
      <c r="EC23" s="208">
        <v>-5183</v>
      </c>
      <c r="ED23" s="208">
        <v>-2916</v>
      </c>
      <c r="EE23" s="208">
        <v>0</v>
      </c>
      <c r="EF23" s="208">
        <v>174381.59600000002</v>
      </c>
      <c r="EG23" s="208">
        <v>98089.647750000004</v>
      </c>
      <c r="EH23" s="208">
        <v>0</v>
      </c>
      <c r="EI23" s="208">
        <v>17208.567999999999</v>
      </c>
      <c r="EJ23" s="208">
        <v>9679.8194999999996</v>
      </c>
      <c r="EK23" s="208">
        <v>0</v>
      </c>
      <c r="EL23" s="208">
        <v>0</v>
      </c>
      <c r="EM23" s="208">
        <v>0</v>
      </c>
      <c r="EN23" s="208">
        <v>0</v>
      </c>
      <c r="EO23" s="208">
        <v>191590</v>
      </c>
      <c r="EP23" s="208">
        <v>107769</v>
      </c>
      <c r="EQ23" s="208">
        <v>0</v>
      </c>
      <c r="ER23" s="208">
        <v>24504.173333333332</v>
      </c>
      <c r="ES23" s="208">
        <v>13783.5975</v>
      </c>
      <c r="ET23" s="208">
        <v>0</v>
      </c>
      <c r="EU23" s="208">
        <v>28150</v>
      </c>
      <c r="EV23" s="208">
        <v>15835</v>
      </c>
      <c r="EW23" s="208">
        <v>0</v>
      </c>
      <c r="EX23" s="208">
        <v>-3646</v>
      </c>
      <c r="EY23" s="208">
        <v>-2051</v>
      </c>
      <c r="EZ23" s="208">
        <v>0</v>
      </c>
      <c r="FA23" s="208">
        <v>0</v>
      </c>
      <c r="FB23" s="208">
        <v>0</v>
      </c>
      <c r="FC23" s="208">
        <v>0</v>
      </c>
      <c r="FD23" s="208">
        <v>0</v>
      </c>
      <c r="FE23" s="208">
        <v>0</v>
      </c>
      <c r="FF23" s="208">
        <v>0</v>
      </c>
      <c r="FG23" s="208">
        <v>0</v>
      </c>
      <c r="FH23" s="208">
        <v>0</v>
      </c>
      <c r="FI23" s="208">
        <v>0</v>
      </c>
      <c r="FJ23" s="208">
        <v>1094202.1493333334</v>
      </c>
      <c r="FK23" s="208">
        <v>615488.70899999992</v>
      </c>
      <c r="FL23" s="208">
        <v>0</v>
      </c>
      <c r="FM23" s="208">
        <v>1060841</v>
      </c>
      <c r="FN23" s="208">
        <v>596723</v>
      </c>
      <c r="FO23" s="208">
        <v>0</v>
      </c>
      <c r="FP23" s="208">
        <v>33361</v>
      </c>
      <c r="FQ23" s="208">
        <v>18766</v>
      </c>
      <c r="FR23" s="208">
        <v>0</v>
      </c>
      <c r="FS23" s="208">
        <v>0</v>
      </c>
      <c r="FT23" s="208">
        <v>0</v>
      </c>
      <c r="FU23" s="208">
        <v>0</v>
      </c>
      <c r="FV23" s="208">
        <v>0</v>
      </c>
      <c r="FW23" s="208">
        <v>0</v>
      </c>
      <c r="FX23" s="208">
        <v>0</v>
      </c>
      <c r="FY23" s="208">
        <v>0</v>
      </c>
      <c r="FZ23" s="208">
        <v>0</v>
      </c>
      <c r="GA23" s="208">
        <v>0</v>
      </c>
      <c r="GB23" s="208">
        <v>4450610</v>
      </c>
      <c r="GC23" s="208">
        <v>2503469</v>
      </c>
      <c r="GD23" s="208">
        <v>0</v>
      </c>
      <c r="GE23" s="664">
        <v>0</v>
      </c>
      <c r="GF23" s="664">
        <v>0.64</v>
      </c>
      <c r="GG23" s="664">
        <v>0.36</v>
      </c>
      <c r="GH23" s="664">
        <v>0</v>
      </c>
      <c r="GI23" s="187" t="s">
        <v>1055</v>
      </c>
    </row>
    <row r="24" spans="2:191" s="187" customFormat="1" x14ac:dyDescent="0.2">
      <c r="B24" s="429" t="s">
        <v>127</v>
      </c>
      <c r="C24" s="429" t="s">
        <v>126</v>
      </c>
      <c r="D24" s="208">
        <v>-1733705</v>
      </c>
      <c r="E24" s="208">
        <v>-90293</v>
      </c>
      <c r="F24" s="208">
        <v>-1823998</v>
      </c>
      <c r="G24" s="208">
        <v>-4273000</v>
      </c>
      <c r="H24" s="208">
        <v>0</v>
      </c>
      <c r="I24" s="208">
        <v>-4273000</v>
      </c>
      <c r="J24" s="208">
        <v>2539295</v>
      </c>
      <c r="K24" s="208">
        <v>-90293</v>
      </c>
      <c r="L24" s="208">
        <v>2449002</v>
      </c>
      <c r="M24" s="208">
        <v>1879843</v>
      </c>
      <c r="N24" s="208">
        <v>1879843</v>
      </c>
      <c r="O24" s="208">
        <v>0</v>
      </c>
      <c r="P24" s="208">
        <v>94660</v>
      </c>
      <c r="Q24" s="208">
        <v>2683935</v>
      </c>
      <c r="R24" s="208">
        <v>-2589275</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c r="BL24" s="208">
        <v>0</v>
      </c>
      <c r="BM24" s="208">
        <v>0</v>
      </c>
      <c r="BN24" s="208">
        <v>0</v>
      </c>
      <c r="BO24" s="208">
        <v>26938025.209034584</v>
      </c>
      <c r="BP24" s="208">
        <v>0</v>
      </c>
      <c r="BQ24" s="208">
        <v>266659.04904875002</v>
      </c>
      <c r="BR24" s="208">
        <v>1736922</v>
      </c>
      <c r="BS24" s="208">
        <v>0</v>
      </c>
      <c r="BT24" s="208">
        <v>17044</v>
      </c>
      <c r="BU24" s="208">
        <v>25442659</v>
      </c>
      <c r="BV24" s="208">
        <v>0</v>
      </c>
      <c r="BW24" s="208">
        <v>251799</v>
      </c>
      <c r="BX24" s="208">
        <v>3232288</v>
      </c>
      <c r="BY24" s="208">
        <v>0</v>
      </c>
      <c r="BZ24" s="208">
        <v>31904</v>
      </c>
      <c r="CA24" s="208">
        <v>99553.482416666666</v>
      </c>
      <c r="CB24" s="208">
        <v>0</v>
      </c>
      <c r="CC24" s="208">
        <v>995.13425000000007</v>
      </c>
      <c r="CD24" s="208">
        <v>0</v>
      </c>
      <c r="CE24" s="208">
        <v>0</v>
      </c>
      <c r="CF24" s="208">
        <v>0</v>
      </c>
      <c r="CG24" s="208">
        <v>99553</v>
      </c>
      <c r="CH24" s="208">
        <v>0</v>
      </c>
      <c r="CI24" s="208">
        <v>995</v>
      </c>
      <c r="CJ24" s="208">
        <v>27947.136937499999</v>
      </c>
      <c r="CK24" s="208">
        <v>0</v>
      </c>
      <c r="CL24" s="208">
        <v>282.29431250000005</v>
      </c>
      <c r="CM24" s="208">
        <v>0</v>
      </c>
      <c r="CN24" s="208">
        <v>0</v>
      </c>
      <c r="CO24" s="208">
        <v>0</v>
      </c>
      <c r="CP24" s="208">
        <v>-16432.8800625</v>
      </c>
      <c r="CQ24" s="208">
        <v>0</v>
      </c>
      <c r="CR24" s="208">
        <v>-165.98868750000003</v>
      </c>
      <c r="CS24" s="208">
        <v>0</v>
      </c>
      <c r="CT24" s="208">
        <v>0</v>
      </c>
      <c r="CU24" s="208">
        <v>0</v>
      </c>
      <c r="CV24" s="208">
        <v>0</v>
      </c>
      <c r="CW24" s="208">
        <v>0</v>
      </c>
      <c r="CX24" s="208">
        <v>0</v>
      </c>
      <c r="CY24" s="208">
        <v>0</v>
      </c>
      <c r="CZ24" s="208">
        <v>0</v>
      </c>
      <c r="DA24" s="208">
        <v>0</v>
      </c>
      <c r="DB24" s="208">
        <v>0</v>
      </c>
      <c r="DC24" s="208">
        <v>0</v>
      </c>
      <c r="DD24" s="208">
        <v>0</v>
      </c>
      <c r="DE24" s="208">
        <v>0</v>
      </c>
      <c r="DF24" s="208">
        <v>0</v>
      </c>
      <c r="DG24" s="208">
        <v>0</v>
      </c>
      <c r="DH24" s="208">
        <v>0</v>
      </c>
      <c r="DI24" s="208">
        <v>0</v>
      </c>
      <c r="DJ24" s="208">
        <v>0</v>
      </c>
      <c r="DK24" s="208">
        <v>0</v>
      </c>
      <c r="DL24" s="208">
        <v>0</v>
      </c>
      <c r="DM24" s="208">
        <v>0</v>
      </c>
      <c r="DN24" s="208">
        <v>0</v>
      </c>
      <c r="DO24" s="208">
        <v>0</v>
      </c>
      <c r="DP24" s="208">
        <v>0</v>
      </c>
      <c r="DQ24" s="208">
        <v>0</v>
      </c>
      <c r="DR24" s="208">
        <v>0</v>
      </c>
      <c r="DS24" s="208">
        <v>0</v>
      </c>
      <c r="DT24" s="208">
        <v>0</v>
      </c>
      <c r="DU24" s="208">
        <v>0</v>
      </c>
      <c r="DV24" s="208">
        <v>0</v>
      </c>
      <c r="DW24" s="208">
        <v>428960.14508333337</v>
      </c>
      <c r="DX24" s="208">
        <v>0</v>
      </c>
      <c r="DY24" s="208">
        <v>4309.5070000000005</v>
      </c>
      <c r="DZ24" s="208">
        <v>530192</v>
      </c>
      <c r="EA24" s="208">
        <v>0</v>
      </c>
      <c r="EB24" s="208">
        <v>5329</v>
      </c>
      <c r="EC24" s="208">
        <v>-101232</v>
      </c>
      <c r="ED24" s="208">
        <v>0</v>
      </c>
      <c r="EE24" s="208">
        <v>-1019</v>
      </c>
      <c r="EF24" s="208">
        <v>1265053.1530000002</v>
      </c>
      <c r="EG24" s="208">
        <v>0</v>
      </c>
      <c r="EH24" s="208">
        <v>12374.386583333335</v>
      </c>
      <c r="EI24" s="208">
        <v>-111111.82699999999</v>
      </c>
      <c r="EJ24" s="208">
        <v>0</v>
      </c>
      <c r="EK24" s="208">
        <v>-1085.7646666666667</v>
      </c>
      <c r="EL24" s="208">
        <v>1292149</v>
      </c>
      <c r="EM24" s="208">
        <v>0</v>
      </c>
      <c r="EN24" s="208">
        <v>13052</v>
      </c>
      <c r="EO24" s="208">
        <v>-138208</v>
      </c>
      <c r="EP24" s="208">
        <v>0</v>
      </c>
      <c r="EQ24" s="208">
        <v>-1763</v>
      </c>
      <c r="ER24" s="208">
        <v>143917.58283333335</v>
      </c>
      <c r="ES24" s="208">
        <v>0</v>
      </c>
      <c r="ET24" s="208">
        <v>1402.0505000000001</v>
      </c>
      <c r="EU24" s="208">
        <v>195755</v>
      </c>
      <c r="EV24" s="208">
        <v>0</v>
      </c>
      <c r="EW24" s="208">
        <v>1925</v>
      </c>
      <c r="EX24" s="208">
        <v>-51837</v>
      </c>
      <c r="EY24" s="208">
        <v>0</v>
      </c>
      <c r="EZ24" s="208">
        <v>-523</v>
      </c>
      <c r="FA24" s="208">
        <v>0</v>
      </c>
      <c r="FB24" s="208">
        <v>0</v>
      </c>
      <c r="FC24" s="208">
        <v>0</v>
      </c>
      <c r="FD24" s="208">
        <v>0</v>
      </c>
      <c r="FE24" s="208">
        <v>0</v>
      </c>
      <c r="FF24" s="208">
        <v>0</v>
      </c>
      <c r="FG24" s="208">
        <v>0</v>
      </c>
      <c r="FH24" s="208">
        <v>0</v>
      </c>
      <c r="FI24" s="208">
        <v>0</v>
      </c>
      <c r="FJ24" s="208">
        <v>9724127.3121666666</v>
      </c>
      <c r="FK24" s="208">
        <v>0</v>
      </c>
      <c r="FL24" s="208">
        <v>98201.59616666667</v>
      </c>
      <c r="FM24" s="208">
        <v>9642136</v>
      </c>
      <c r="FN24" s="208">
        <v>0</v>
      </c>
      <c r="FO24" s="208">
        <v>96774</v>
      </c>
      <c r="FP24" s="208">
        <v>81991</v>
      </c>
      <c r="FQ24" s="208">
        <v>0</v>
      </c>
      <c r="FR24" s="208">
        <v>1428</v>
      </c>
      <c r="FS24" s="208">
        <v>1118937.8541666667</v>
      </c>
      <c r="FT24" s="208">
        <v>0</v>
      </c>
      <c r="FU24" s="208">
        <v>0</v>
      </c>
      <c r="FV24" s="208">
        <v>722308</v>
      </c>
      <c r="FW24" s="208">
        <v>0</v>
      </c>
      <c r="FX24" s="208">
        <v>0</v>
      </c>
      <c r="FY24" s="208">
        <v>396630</v>
      </c>
      <c r="FZ24" s="208">
        <v>0</v>
      </c>
      <c r="GA24" s="208">
        <v>0</v>
      </c>
      <c r="GB24" s="208">
        <v>41355898</v>
      </c>
      <c r="GC24" s="208">
        <v>0</v>
      </c>
      <c r="GD24" s="208">
        <v>400016</v>
      </c>
      <c r="GE24" s="664">
        <v>0</v>
      </c>
      <c r="GF24" s="664">
        <v>0.99</v>
      </c>
      <c r="GG24" s="664">
        <v>0</v>
      </c>
      <c r="GH24" s="664">
        <v>0.01</v>
      </c>
      <c r="GI24" s="187" t="s">
        <v>1056</v>
      </c>
    </row>
    <row r="25" spans="2:191" s="187" customFormat="1" x14ac:dyDescent="0.2">
      <c r="B25" s="429" t="s">
        <v>129</v>
      </c>
      <c r="C25" s="429" t="s">
        <v>128</v>
      </c>
      <c r="D25" s="208">
        <v>177116</v>
      </c>
      <c r="E25" s="208">
        <v>0</v>
      </c>
      <c r="F25" s="208">
        <v>177116</v>
      </c>
      <c r="G25" s="208">
        <v>388007</v>
      </c>
      <c r="H25" s="208">
        <v>0</v>
      </c>
      <c r="I25" s="208">
        <v>388007</v>
      </c>
      <c r="J25" s="208">
        <v>-210891</v>
      </c>
      <c r="K25" s="208">
        <v>0</v>
      </c>
      <c r="L25" s="208">
        <v>-210891</v>
      </c>
      <c r="M25" s="208">
        <v>103755</v>
      </c>
      <c r="N25" s="208">
        <v>103755</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c r="BL25" s="208">
        <v>0</v>
      </c>
      <c r="BM25" s="208">
        <v>0</v>
      </c>
      <c r="BN25" s="208">
        <v>0</v>
      </c>
      <c r="BO25" s="208">
        <v>617945.9657050001</v>
      </c>
      <c r="BP25" s="208">
        <v>139037.84228362498</v>
      </c>
      <c r="BQ25" s="208">
        <v>15448.649142625003</v>
      </c>
      <c r="BR25" s="208">
        <v>52887</v>
      </c>
      <c r="BS25" s="208">
        <v>11899</v>
      </c>
      <c r="BT25" s="208">
        <v>1322</v>
      </c>
      <c r="BU25" s="208">
        <v>576924</v>
      </c>
      <c r="BV25" s="208">
        <v>129808</v>
      </c>
      <c r="BW25" s="208">
        <v>14423</v>
      </c>
      <c r="BX25" s="208">
        <v>93909</v>
      </c>
      <c r="BY25" s="208">
        <v>21129</v>
      </c>
      <c r="BZ25" s="208">
        <v>2348</v>
      </c>
      <c r="CA25" s="208">
        <v>1692.7225000000001</v>
      </c>
      <c r="CB25" s="208">
        <v>380.86256249999997</v>
      </c>
      <c r="CC25" s="208">
        <v>42.318062500000003</v>
      </c>
      <c r="CD25" s="208">
        <v>0</v>
      </c>
      <c r="CE25" s="208">
        <v>0</v>
      </c>
      <c r="CF25" s="208">
        <v>0</v>
      </c>
      <c r="CG25" s="208">
        <v>1693</v>
      </c>
      <c r="CH25" s="208">
        <v>381</v>
      </c>
      <c r="CI25" s="208">
        <v>42</v>
      </c>
      <c r="CJ25" s="208">
        <v>0</v>
      </c>
      <c r="CK25" s="208">
        <v>0</v>
      </c>
      <c r="CL25" s="208">
        <v>0</v>
      </c>
      <c r="CM25" s="208">
        <v>0</v>
      </c>
      <c r="CN25" s="208">
        <v>0</v>
      </c>
      <c r="CO25" s="208">
        <v>0</v>
      </c>
      <c r="CP25" s="208">
        <v>0</v>
      </c>
      <c r="CQ25" s="208">
        <v>0</v>
      </c>
      <c r="CR25" s="208">
        <v>0</v>
      </c>
      <c r="CS25" s="208">
        <v>0</v>
      </c>
      <c r="CT25" s="208">
        <v>0</v>
      </c>
      <c r="CU25" s="208">
        <v>0</v>
      </c>
      <c r="CV25" s="208">
        <v>0</v>
      </c>
      <c r="CW25" s="208">
        <v>0</v>
      </c>
      <c r="CX25" s="208">
        <v>0</v>
      </c>
      <c r="CY25" s="208">
        <v>0</v>
      </c>
      <c r="CZ25" s="208">
        <v>0</v>
      </c>
      <c r="DA25" s="208">
        <v>0</v>
      </c>
      <c r="DB25" s="208">
        <v>0</v>
      </c>
      <c r="DC25" s="208">
        <v>0</v>
      </c>
      <c r="DD25" s="208">
        <v>0</v>
      </c>
      <c r="DE25" s="208">
        <v>0</v>
      </c>
      <c r="DF25" s="208">
        <v>0</v>
      </c>
      <c r="DG25" s="208">
        <v>0</v>
      </c>
      <c r="DH25" s="208">
        <v>0</v>
      </c>
      <c r="DI25" s="208">
        <v>0</v>
      </c>
      <c r="DJ25" s="208">
        <v>0</v>
      </c>
      <c r="DK25" s="208">
        <v>0</v>
      </c>
      <c r="DL25" s="208">
        <v>0</v>
      </c>
      <c r="DM25" s="208">
        <v>0</v>
      </c>
      <c r="DN25" s="208">
        <v>0</v>
      </c>
      <c r="DO25" s="208">
        <v>0</v>
      </c>
      <c r="DP25" s="208">
        <v>0</v>
      </c>
      <c r="DQ25" s="208">
        <v>0</v>
      </c>
      <c r="DR25" s="208">
        <v>0</v>
      </c>
      <c r="DS25" s="208">
        <v>0</v>
      </c>
      <c r="DT25" s="208">
        <v>0</v>
      </c>
      <c r="DU25" s="208">
        <v>0</v>
      </c>
      <c r="DV25" s="208">
        <v>0</v>
      </c>
      <c r="DW25" s="208">
        <v>5937.8266666666677</v>
      </c>
      <c r="DX25" s="208">
        <v>1336.011</v>
      </c>
      <c r="DY25" s="208">
        <v>148.44566666666668</v>
      </c>
      <c r="DZ25" s="208">
        <v>3928</v>
      </c>
      <c r="EA25" s="208">
        <v>884</v>
      </c>
      <c r="EB25" s="208">
        <v>98</v>
      </c>
      <c r="EC25" s="208">
        <v>2010</v>
      </c>
      <c r="ED25" s="208">
        <v>452</v>
      </c>
      <c r="EE25" s="208">
        <v>50</v>
      </c>
      <c r="EF25" s="208">
        <v>36105.684999999998</v>
      </c>
      <c r="EG25" s="208">
        <v>8123.7791249999991</v>
      </c>
      <c r="EH25" s="208">
        <v>902.64212499999996</v>
      </c>
      <c r="EI25" s="208">
        <v>-9912.8808333333345</v>
      </c>
      <c r="EJ25" s="208">
        <v>-2230.3981874999999</v>
      </c>
      <c r="EK25" s="208">
        <v>-247.82202083333334</v>
      </c>
      <c r="EL25" s="208">
        <v>37496</v>
      </c>
      <c r="EM25" s="208">
        <v>8437</v>
      </c>
      <c r="EN25" s="208">
        <v>937</v>
      </c>
      <c r="EO25" s="208">
        <v>-11303</v>
      </c>
      <c r="EP25" s="208">
        <v>-2544</v>
      </c>
      <c r="EQ25" s="208">
        <v>-282</v>
      </c>
      <c r="ER25" s="208">
        <v>11768.451666666668</v>
      </c>
      <c r="ES25" s="208">
        <v>2647.901625</v>
      </c>
      <c r="ET25" s="208">
        <v>294.21129166666668</v>
      </c>
      <c r="EU25" s="208">
        <v>12684</v>
      </c>
      <c r="EV25" s="208">
        <v>2854</v>
      </c>
      <c r="EW25" s="208">
        <v>317</v>
      </c>
      <c r="EX25" s="208">
        <v>-916</v>
      </c>
      <c r="EY25" s="208">
        <v>-206</v>
      </c>
      <c r="EZ25" s="208">
        <v>-23</v>
      </c>
      <c r="FA25" s="208">
        <v>0</v>
      </c>
      <c r="FB25" s="208">
        <v>0</v>
      </c>
      <c r="FC25" s="208">
        <v>0</v>
      </c>
      <c r="FD25" s="208">
        <v>0</v>
      </c>
      <c r="FE25" s="208">
        <v>0</v>
      </c>
      <c r="FF25" s="208">
        <v>0</v>
      </c>
      <c r="FG25" s="208">
        <v>0</v>
      </c>
      <c r="FH25" s="208">
        <v>0</v>
      </c>
      <c r="FI25" s="208">
        <v>0</v>
      </c>
      <c r="FJ25" s="208">
        <v>425385.55583333335</v>
      </c>
      <c r="FK25" s="208">
        <v>95711.750062499996</v>
      </c>
      <c r="FL25" s="208">
        <v>10634.638895833334</v>
      </c>
      <c r="FM25" s="208">
        <v>437467</v>
      </c>
      <c r="FN25" s="208">
        <v>98430</v>
      </c>
      <c r="FO25" s="208">
        <v>10937</v>
      </c>
      <c r="FP25" s="208">
        <v>-12081</v>
      </c>
      <c r="FQ25" s="208">
        <v>-2718</v>
      </c>
      <c r="FR25" s="208">
        <v>-302</v>
      </c>
      <c r="FS25" s="208">
        <v>0</v>
      </c>
      <c r="FT25" s="208">
        <v>0</v>
      </c>
      <c r="FU25" s="208">
        <v>0</v>
      </c>
      <c r="FV25" s="208">
        <v>0</v>
      </c>
      <c r="FW25" s="208">
        <v>0</v>
      </c>
      <c r="FX25" s="208">
        <v>0</v>
      </c>
      <c r="FY25" s="208">
        <v>0</v>
      </c>
      <c r="FZ25" s="208">
        <v>0</v>
      </c>
      <c r="GA25" s="208">
        <v>0</v>
      </c>
      <c r="GB25" s="208">
        <v>1141811</v>
      </c>
      <c r="GC25" s="208">
        <v>256908</v>
      </c>
      <c r="GD25" s="208">
        <v>28545</v>
      </c>
      <c r="GE25" s="664">
        <v>0.5</v>
      </c>
      <c r="GF25" s="664">
        <v>0.4</v>
      </c>
      <c r="GG25" s="664">
        <v>0.09</v>
      </c>
      <c r="GH25" s="664">
        <v>0.01</v>
      </c>
      <c r="GI25" s="187" t="s">
        <v>1054</v>
      </c>
    </row>
    <row r="26" spans="2:191" s="187" customFormat="1" x14ac:dyDescent="0.2">
      <c r="B26" s="429" t="s">
        <v>131</v>
      </c>
      <c r="C26" s="429" t="s">
        <v>130</v>
      </c>
      <c r="D26" s="208">
        <v>-3219685</v>
      </c>
      <c r="E26" s="208">
        <v>0</v>
      </c>
      <c r="F26" s="208">
        <v>-3219685</v>
      </c>
      <c r="G26" s="208">
        <v>-4000000</v>
      </c>
      <c r="H26" s="208">
        <v>0</v>
      </c>
      <c r="I26" s="208">
        <v>-4000000</v>
      </c>
      <c r="J26" s="208">
        <v>780315</v>
      </c>
      <c r="K26" s="208">
        <v>0</v>
      </c>
      <c r="L26" s="208">
        <v>780315</v>
      </c>
      <c r="M26" s="208">
        <v>249825</v>
      </c>
      <c r="N26" s="208">
        <v>249825</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0</v>
      </c>
      <c r="BM26" s="208">
        <v>0</v>
      </c>
      <c r="BN26" s="208">
        <v>0</v>
      </c>
      <c r="BO26" s="208">
        <v>2409100.2319439999</v>
      </c>
      <c r="BP26" s="208">
        <v>0</v>
      </c>
      <c r="BQ26" s="208">
        <v>49165.310856000004</v>
      </c>
      <c r="BR26" s="208">
        <v>33541</v>
      </c>
      <c r="BS26" s="208">
        <v>0</v>
      </c>
      <c r="BT26" s="208">
        <v>685</v>
      </c>
      <c r="BU26" s="208">
        <v>2301645</v>
      </c>
      <c r="BV26" s="208">
        <v>0</v>
      </c>
      <c r="BW26" s="208">
        <v>46972</v>
      </c>
      <c r="BX26" s="208">
        <v>140996</v>
      </c>
      <c r="BY26" s="208">
        <v>0</v>
      </c>
      <c r="BZ26" s="208">
        <v>2878</v>
      </c>
      <c r="CA26" s="208">
        <v>23363.293916666662</v>
      </c>
      <c r="CB26" s="208">
        <v>0</v>
      </c>
      <c r="CC26" s="208">
        <v>476.80191666666661</v>
      </c>
      <c r="CD26" s="208">
        <v>12530</v>
      </c>
      <c r="CE26" s="208">
        <v>0</v>
      </c>
      <c r="CF26" s="208">
        <v>256</v>
      </c>
      <c r="CG26" s="208">
        <v>10833</v>
      </c>
      <c r="CH26" s="208">
        <v>0</v>
      </c>
      <c r="CI26" s="208">
        <v>221</v>
      </c>
      <c r="CJ26" s="208">
        <v>-65.159791666666663</v>
      </c>
      <c r="CK26" s="208">
        <v>0</v>
      </c>
      <c r="CL26" s="208">
        <v>-1.3297916666666667</v>
      </c>
      <c r="CM26" s="208">
        <v>0</v>
      </c>
      <c r="CN26" s="208">
        <v>0</v>
      </c>
      <c r="CO26" s="208">
        <v>0</v>
      </c>
      <c r="CP26" s="208">
        <v>751.84375</v>
      </c>
      <c r="CQ26" s="208">
        <v>0</v>
      </c>
      <c r="CR26" s="208">
        <v>15.34375</v>
      </c>
      <c r="CS26" s="208">
        <v>0</v>
      </c>
      <c r="CT26" s="208">
        <v>0</v>
      </c>
      <c r="CU26" s="208">
        <v>0</v>
      </c>
      <c r="CV26" s="208">
        <v>0</v>
      </c>
      <c r="CW26" s="208">
        <v>0</v>
      </c>
      <c r="CX26" s="208">
        <v>0</v>
      </c>
      <c r="CY26" s="208">
        <v>0</v>
      </c>
      <c r="CZ26" s="208">
        <v>0</v>
      </c>
      <c r="DA26" s="208">
        <v>0</v>
      </c>
      <c r="DB26" s="208">
        <v>0</v>
      </c>
      <c r="DC26" s="208">
        <v>0</v>
      </c>
      <c r="DD26" s="208">
        <v>0</v>
      </c>
      <c r="DE26" s="208">
        <v>1403.4416666666666</v>
      </c>
      <c r="DF26" s="208">
        <v>0</v>
      </c>
      <c r="DG26" s="208">
        <v>28.641666666666666</v>
      </c>
      <c r="DH26" s="208">
        <v>1503</v>
      </c>
      <c r="DI26" s="208">
        <v>0</v>
      </c>
      <c r="DJ26" s="208">
        <v>31</v>
      </c>
      <c r="DK26" s="208">
        <v>-100</v>
      </c>
      <c r="DL26" s="208">
        <v>0</v>
      </c>
      <c r="DM26" s="208">
        <v>-2</v>
      </c>
      <c r="DN26" s="208">
        <v>0</v>
      </c>
      <c r="DO26" s="208">
        <v>0</v>
      </c>
      <c r="DP26" s="208">
        <v>0</v>
      </c>
      <c r="DQ26" s="208">
        <v>0</v>
      </c>
      <c r="DR26" s="208">
        <v>0</v>
      </c>
      <c r="DS26" s="208">
        <v>0</v>
      </c>
      <c r="DT26" s="208">
        <v>0</v>
      </c>
      <c r="DU26" s="208">
        <v>0</v>
      </c>
      <c r="DV26" s="208">
        <v>0</v>
      </c>
      <c r="DW26" s="208">
        <v>7550.0149375000001</v>
      </c>
      <c r="DX26" s="208">
        <v>0</v>
      </c>
      <c r="DY26" s="208">
        <v>154.08193750000001</v>
      </c>
      <c r="DZ26" s="208">
        <v>10024</v>
      </c>
      <c r="EA26" s="208">
        <v>0</v>
      </c>
      <c r="EB26" s="208">
        <v>205</v>
      </c>
      <c r="EC26" s="208">
        <v>-2474</v>
      </c>
      <c r="ED26" s="208">
        <v>0</v>
      </c>
      <c r="EE26" s="208">
        <v>-51</v>
      </c>
      <c r="EF26" s="208">
        <v>30893.259687499998</v>
      </c>
      <c r="EG26" s="208">
        <v>0</v>
      </c>
      <c r="EH26" s="208">
        <v>630.47468749999996</v>
      </c>
      <c r="EI26" s="208">
        <v>-546.84102083333335</v>
      </c>
      <c r="EJ26" s="208">
        <v>0</v>
      </c>
      <c r="EK26" s="208">
        <v>-11.160020833333332</v>
      </c>
      <c r="EL26" s="208">
        <v>42903</v>
      </c>
      <c r="EM26" s="208">
        <v>0</v>
      </c>
      <c r="EN26" s="208">
        <v>876</v>
      </c>
      <c r="EO26" s="208">
        <v>-12557</v>
      </c>
      <c r="EP26" s="208">
        <v>0</v>
      </c>
      <c r="EQ26" s="208">
        <v>-257</v>
      </c>
      <c r="ER26" s="208">
        <v>29255.242770833334</v>
      </c>
      <c r="ES26" s="208">
        <v>0</v>
      </c>
      <c r="ET26" s="208">
        <v>597.04577083333334</v>
      </c>
      <c r="EU26" s="208">
        <v>40099</v>
      </c>
      <c r="EV26" s="208">
        <v>0</v>
      </c>
      <c r="EW26" s="208">
        <v>818</v>
      </c>
      <c r="EX26" s="208">
        <v>-10844</v>
      </c>
      <c r="EY26" s="208">
        <v>0</v>
      </c>
      <c r="EZ26" s="208">
        <v>-221</v>
      </c>
      <c r="FA26" s="208">
        <v>0</v>
      </c>
      <c r="FB26" s="208">
        <v>0</v>
      </c>
      <c r="FC26" s="208">
        <v>0</v>
      </c>
      <c r="FD26" s="208">
        <v>0</v>
      </c>
      <c r="FE26" s="208">
        <v>0</v>
      </c>
      <c r="FF26" s="208">
        <v>0</v>
      </c>
      <c r="FG26" s="208">
        <v>0</v>
      </c>
      <c r="FH26" s="208">
        <v>0</v>
      </c>
      <c r="FI26" s="208">
        <v>0</v>
      </c>
      <c r="FJ26" s="208">
        <v>471666.97462499997</v>
      </c>
      <c r="FK26" s="208">
        <v>0</v>
      </c>
      <c r="FL26" s="208">
        <v>9625.8566249999985</v>
      </c>
      <c r="FM26" s="208">
        <v>450971</v>
      </c>
      <c r="FN26" s="208">
        <v>0</v>
      </c>
      <c r="FO26" s="208">
        <v>9203</v>
      </c>
      <c r="FP26" s="208">
        <v>20696</v>
      </c>
      <c r="FQ26" s="208">
        <v>0</v>
      </c>
      <c r="FR26" s="208">
        <v>423</v>
      </c>
      <c r="FS26" s="208">
        <v>0</v>
      </c>
      <c r="FT26" s="208">
        <v>0</v>
      </c>
      <c r="FU26" s="208">
        <v>0</v>
      </c>
      <c r="FV26" s="208">
        <v>0</v>
      </c>
      <c r="FW26" s="208">
        <v>0</v>
      </c>
      <c r="FX26" s="208">
        <v>0</v>
      </c>
      <c r="FY26" s="208">
        <v>0</v>
      </c>
      <c r="FZ26" s="208">
        <v>0</v>
      </c>
      <c r="GA26" s="208">
        <v>0</v>
      </c>
      <c r="GB26" s="208">
        <v>3006912</v>
      </c>
      <c r="GC26" s="208">
        <v>0</v>
      </c>
      <c r="GD26" s="208">
        <v>61366</v>
      </c>
      <c r="GE26" s="664">
        <v>0.5</v>
      </c>
      <c r="GF26" s="664">
        <v>0.49</v>
      </c>
      <c r="GG26" s="664">
        <v>0</v>
      </c>
      <c r="GH26" s="664">
        <v>0.01</v>
      </c>
      <c r="GI26" s="187" t="s">
        <v>742</v>
      </c>
    </row>
    <row r="27" spans="2:191" s="187" customFormat="1" x14ac:dyDescent="0.2">
      <c r="B27" s="429" t="s">
        <v>133</v>
      </c>
      <c r="C27" s="429" t="s">
        <v>132</v>
      </c>
      <c r="D27" s="208">
        <v>-2093919</v>
      </c>
      <c r="E27" s="208">
        <v>-46970</v>
      </c>
      <c r="F27" s="208">
        <v>-2140889</v>
      </c>
      <c r="G27" s="208">
        <v>-1814702</v>
      </c>
      <c r="H27" s="208">
        <v>-43478</v>
      </c>
      <c r="I27" s="208">
        <v>-1858180</v>
      </c>
      <c r="J27" s="208">
        <v>-279217</v>
      </c>
      <c r="K27" s="208">
        <v>-3492</v>
      </c>
      <c r="L27" s="208">
        <v>-282709</v>
      </c>
      <c r="M27" s="208">
        <v>259324</v>
      </c>
      <c r="N27" s="208">
        <v>259324</v>
      </c>
      <c r="O27" s="208">
        <v>0</v>
      </c>
      <c r="P27" s="208">
        <v>209522</v>
      </c>
      <c r="Q27" s="208">
        <v>269362</v>
      </c>
      <c r="R27" s="208">
        <v>-59840</v>
      </c>
      <c r="S27" s="208">
        <v>2435</v>
      </c>
      <c r="T27" s="208">
        <v>0</v>
      </c>
      <c r="U27" s="208">
        <v>0</v>
      </c>
      <c r="V27" s="208">
        <v>0</v>
      </c>
      <c r="W27" s="208">
        <v>2435</v>
      </c>
      <c r="X27" s="208">
        <v>0</v>
      </c>
      <c r="Y27" s="208">
        <v>0</v>
      </c>
      <c r="Z27" s="208">
        <v>0</v>
      </c>
      <c r="AA27" s="208">
        <v>0</v>
      </c>
      <c r="AB27" s="208">
        <v>0</v>
      </c>
      <c r="AC27" s="208">
        <v>0</v>
      </c>
      <c r="AD27" s="208">
        <v>0</v>
      </c>
      <c r="AE27" s="208">
        <v>0</v>
      </c>
      <c r="AF27" s="208">
        <v>0</v>
      </c>
      <c r="AG27" s="208">
        <v>0</v>
      </c>
      <c r="AH27" s="208">
        <v>234365</v>
      </c>
      <c r="AI27" s="208">
        <v>234364.52916666667</v>
      </c>
      <c r="AJ27" s="208">
        <v>0</v>
      </c>
      <c r="AK27" s="208">
        <v>0</v>
      </c>
      <c r="AL27" s="208">
        <v>193563</v>
      </c>
      <c r="AM27" s="208">
        <v>193563</v>
      </c>
      <c r="AN27" s="208">
        <v>0</v>
      </c>
      <c r="AO27" s="208">
        <v>0</v>
      </c>
      <c r="AP27" s="208">
        <v>40802</v>
      </c>
      <c r="AQ27" s="208">
        <v>40802</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c r="BL27" s="208">
        <v>0</v>
      </c>
      <c r="BM27" s="208">
        <v>0</v>
      </c>
      <c r="BN27" s="208">
        <v>0</v>
      </c>
      <c r="BO27" s="208">
        <v>3091894.6775987502</v>
      </c>
      <c r="BP27" s="208">
        <v>0</v>
      </c>
      <c r="BQ27" s="208">
        <v>59742.00417208334</v>
      </c>
      <c r="BR27" s="208">
        <v>111704</v>
      </c>
      <c r="BS27" s="208">
        <v>0</v>
      </c>
      <c r="BT27" s="208">
        <v>2001</v>
      </c>
      <c r="BU27" s="208">
        <v>2956319</v>
      </c>
      <c r="BV27" s="208">
        <v>0</v>
      </c>
      <c r="BW27" s="208">
        <v>57590</v>
      </c>
      <c r="BX27" s="208">
        <v>247280</v>
      </c>
      <c r="BY27" s="208">
        <v>0</v>
      </c>
      <c r="BZ27" s="208">
        <v>4153</v>
      </c>
      <c r="CA27" s="208">
        <v>2285.605</v>
      </c>
      <c r="CB27" s="208">
        <v>0</v>
      </c>
      <c r="CC27" s="208">
        <v>46.645000000000003</v>
      </c>
      <c r="CD27" s="208">
        <v>2285</v>
      </c>
      <c r="CE27" s="208">
        <v>0</v>
      </c>
      <c r="CF27" s="208">
        <v>47</v>
      </c>
      <c r="CG27" s="208">
        <v>1</v>
      </c>
      <c r="CH27" s="208">
        <v>0</v>
      </c>
      <c r="CI27" s="208">
        <v>0</v>
      </c>
      <c r="CJ27" s="208">
        <v>0</v>
      </c>
      <c r="CK27" s="208">
        <v>0</v>
      </c>
      <c r="CL27" s="208">
        <v>0</v>
      </c>
      <c r="CM27" s="208">
        <v>-79.194208333333336</v>
      </c>
      <c r="CN27" s="208">
        <v>0</v>
      </c>
      <c r="CO27" s="208">
        <v>-1.6162083333333335</v>
      </c>
      <c r="CP27" s="208">
        <v>-283.6957083333333</v>
      </c>
      <c r="CQ27" s="208">
        <v>0</v>
      </c>
      <c r="CR27" s="208">
        <v>-5.7897083333333335</v>
      </c>
      <c r="CS27" s="208">
        <v>0</v>
      </c>
      <c r="CT27" s="208">
        <v>0</v>
      </c>
      <c r="CU27" s="208">
        <v>0</v>
      </c>
      <c r="CV27" s="208">
        <v>0</v>
      </c>
      <c r="CW27" s="208">
        <v>0</v>
      </c>
      <c r="CX27" s="208">
        <v>0</v>
      </c>
      <c r="CY27" s="208">
        <v>0</v>
      </c>
      <c r="CZ27" s="208">
        <v>0</v>
      </c>
      <c r="DA27" s="208">
        <v>0</v>
      </c>
      <c r="DB27" s="208">
        <v>0</v>
      </c>
      <c r="DC27" s="208">
        <v>0</v>
      </c>
      <c r="DD27" s="208">
        <v>0</v>
      </c>
      <c r="DE27" s="208">
        <v>0</v>
      </c>
      <c r="DF27" s="208">
        <v>0</v>
      </c>
      <c r="DG27" s="208">
        <v>0</v>
      </c>
      <c r="DH27" s="208">
        <v>0</v>
      </c>
      <c r="DI27" s="208">
        <v>0</v>
      </c>
      <c r="DJ27" s="208">
        <v>0</v>
      </c>
      <c r="DK27" s="208">
        <v>0</v>
      </c>
      <c r="DL27" s="208">
        <v>0</v>
      </c>
      <c r="DM27" s="208">
        <v>0</v>
      </c>
      <c r="DN27" s="208">
        <v>0</v>
      </c>
      <c r="DO27" s="208">
        <v>0</v>
      </c>
      <c r="DP27" s="208">
        <v>0</v>
      </c>
      <c r="DQ27" s="208">
        <v>0</v>
      </c>
      <c r="DR27" s="208">
        <v>0</v>
      </c>
      <c r="DS27" s="208">
        <v>0</v>
      </c>
      <c r="DT27" s="208">
        <v>0</v>
      </c>
      <c r="DU27" s="208">
        <v>0</v>
      </c>
      <c r="DV27" s="208">
        <v>0</v>
      </c>
      <c r="DW27" s="208">
        <v>7881.327416666667</v>
      </c>
      <c r="DX27" s="208">
        <v>0</v>
      </c>
      <c r="DY27" s="208">
        <v>160.84341666666666</v>
      </c>
      <c r="DZ27" s="208">
        <v>7109</v>
      </c>
      <c r="EA27" s="208">
        <v>0</v>
      </c>
      <c r="EB27" s="208">
        <v>145</v>
      </c>
      <c r="EC27" s="208">
        <v>772</v>
      </c>
      <c r="ED27" s="208">
        <v>0</v>
      </c>
      <c r="EE27" s="208">
        <v>16</v>
      </c>
      <c r="EF27" s="208">
        <v>51463.121625</v>
      </c>
      <c r="EG27" s="208">
        <v>0</v>
      </c>
      <c r="EH27" s="208">
        <v>1039.0992083333333</v>
      </c>
      <c r="EI27" s="208">
        <v>-1550.8030416666666</v>
      </c>
      <c r="EJ27" s="208">
        <v>0</v>
      </c>
      <c r="EK27" s="208">
        <v>-31.649041666666669</v>
      </c>
      <c r="EL27" s="208">
        <v>55637</v>
      </c>
      <c r="EM27" s="208">
        <v>0</v>
      </c>
      <c r="EN27" s="208">
        <v>1135</v>
      </c>
      <c r="EO27" s="208">
        <v>-5725</v>
      </c>
      <c r="EP27" s="208">
        <v>0</v>
      </c>
      <c r="EQ27" s="208">
        <v>-128</v>
      </c>
      <c r="ER27" s="208">
        <v>18326.94325</v>
      </c>
      <c r="ES27" s="208">
        <v>0</v>
      </c>
      <c r="ET27" s="208">
        <v>374.01925000000006</v>
      </c>
      <c r="EU27" s="208">
        <v>15538</v>
      </c>
      <c r="EV27" s="208">
        <v>0</v>
      </c>
      <c r="EW27" s="208">
        <v>317</v>
      </c>
      <c r="EX27" s="208">
        <v>2789</v>
      </c>
      <c r="EY27" s="208">
        <v>0</v>
      </c>
      <c r="EZ27" s="208">
        <v>57</v>
      </c>
      <c r="FA27" s="208">
        <v>0</v>
      </c>
      <c r="FB27" s="208">
        <v>0</v>
      </c>
      <c r="FC27" s="208">
        <v>0</v>
      </c>
      <c r="FD27" s="208">
        <v>0</v>
      </c>
      <c r="FE27" s="208">
        <v>0</v>
      </c>
      <c r="FF27" s="208">
        <v>0</v>
      </c>
      <c r="FG27" s="208">
        <v>0</v>
      </c>
      <c r="FH27" s="208">
        <v>0</v>
      </c>
      <c r="FI27" s="208">
        <v>0</v>
      </c>
      <c r="FJ27" s="208">
        <v>482843.3339583333</v>
      </c>
      <c r="FK27" s="208">
        <v>0</v>
      </c>
      <c r="FL27" s="208">
        <v>9754.8160416666669</v>
      </c>
      <c r="FM27" s="208">
        <v>462877</v>
      </c>
      <c r="FN27" s="208">
        <v>0</v>
      </c>
      <c r="FO27" s="208">
        <v>9230</v>
      </c>
      <c r="FP27" s="208">
        <v>19966</v>
      </c>
      <c r="FQ27" s="208">
        <v>0</v>
      </c>
      <c r="FR27" s="208">
        <v>525</v>
      </c>
      <c r="FS27" s="208">
        <v>0</v>
      </c>
      <c r="FT27" s="208">
        <v>0</v>
      </c>
      <c r="FU27" s="208">
        <v>0</v>
      </c>
      <c r="FV27" s="208">
        <v>0</v>
      </c>
      <c r="FW27" s="208">
        <v>0</v>
      </c>
      <c r="FX27" s="208">
        <v>0</v>
      </c>
      <c r="FY27" s="208">
        <v>0</v>
      </c>
      <c r="FZ27" s="208">
        <v>0</v>
      </c>
      <c r="GA27" s="208">
        <v>0</v>
      </c>
      <c r="GB27" s="208">
        <v>3764485</v>
      </c>
      <c r="GC27" s="208">
        <v>0</v>
      </c>
      <c r="GD27" s="208">
        <v>73079</v>
      </c>
      <c r="GE27" s="664">
        <v>0.5</v>
      </c>
      <c r="GF27" s="664">
        <v>0.49</v>
      </c>
      <c r="GG27" s="664">
        <v>0</v>
      </c>
      <c r="GH27" s="664">
        <v>0.01</v>
      </c>
      <c r="GI27" s="187" t="s">
        <v>742</v>
      </c>
    </row>
    <row r="28" spans="2:191" s="187" customFormat="1" x14ac:dyDescent="0.2">
      <c r="B28" s="429" t="s">
        <v>135</v>
      </c>
      <c r="C28" s="429" t="s">
        <v>134</v>
      </c>
      <c r="D28" s="208">
        <v>45564</v>
      </c>
      <c r="E28" s="208">
        <v>0</v>
      </c>
      <c r="F28" s="208">
        <v>45564</v>
      </c>
      <c r="G28" s="208">
        <v>-1223</v>
      </c>
      <c r="H28" s="208">
        <v>0</v>
      </c>
      <c r="I28" s="208">
        <v>-1223</v>
      </c>
      <c r="J28" s="208">
        <v>46787</v>
      </c>
      <c r="K28" s="208">
        <v>0</v>
      </c>
      <c r="L28" s="208">
        <v>46787</v>
      </c>
      <c r="M28" s="208">
        <v>95941</v>
      </c>
      <c r="N28" s="208">
        <v>95941</v>
      </c>
      <c r="O28" s="208">
        <v>0</v>
      </c>
      <c r="P28" s="208">
        <v>0</v>
      </c>
      <c r="Q28" s="208">
        <v>0</v>
      </c>
      <c r="R28" s="208">
        <v>0</v>
      </c>
      <c r="S28" s="208">
        <v>64423</v>
      </c>
      <c r="T28" s="208">
        <v>0</v>
      </c>
      <c r="U28" s="208">
        <v>57903</v>
      </c>
      <c r="V28" s="208">
        <v>0</v>
      </c>
      <c r="W28" s="208">
        <v>6520</v>
      </c>
      <c r="X28" s="208">
        <v>0</v>
      </c>
      <c r="Y28" s="208">
        <v>0</v>
      </c>
      <c r="Z28" s="208">
        <v>0</v>
      </c>
      <c r="AA28" s="208">
        <v>0</v>
      </c>
      <c r="AB28" s="208">
        <v>0</v>
      </c>
      <c r="AC28" s="208">
        <v>0</v>
      </c>
      <c r="AD28" s="208">
        <v>0</v>
      </c>
      <c r="AE28" s="208">
        <v>0</v>
      </c>
      <c r="AF28" s="208">
        <v>0</v>
      </c>
      <c r="AG28" s="208">
        <v>0</v>
      </c>
      <c r="AH28" s="208">
        <v>0</v>
      </c>
      <c r="AI28" s="208">
        <v>0</v>
      </c>
      <c r="AJ28" s="208">
        <v>0</v>
      </c>
      <c r="AK28" s="208">
        <v>0</v>
      </c>
      <c r="AL28" s="208">
        <v>0</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c r="BL28" s="208">
        <v>0</v>
      </c>
      <c r="BM28" s="208">
        <v>0</v>
      </c>
      <c r="BN28" s="208">
        <v>0</v>
      </c>
      <c r="BO28" s="208">
        <v>662881.50839062501</v>
      </c>
      <c r="BP28" s="208">
        <v>649623.87822281243</v>
      </c>
      <c r="BQ28" s="208">
        <v>13257.630167812502</v>
      </c>
      <c r="BR28" s="208">
        <v>49937</v>
      </c>
      <c r="BS28" s="208">
        <v>48938</v>
      </c>
      <c r="BT28" s="208">
        <v>999</v>
      </c>
      <c r="BU28" s="208">
        <v>617127</v>
      </c>
      <c r="BV28" s="208">
        <v>604784</v>
      </c>
      <c r="BW28" s="208">
        <v>12343</v>
      </c>
      <c r="BX28" s="208">
        <v>95692</v>
      </c>
      <c r="BY28" s="208">
        <v>93778</v>
      </c>
      <c r="BZ28" s="208">
        <v>1914</v>
      </c>
      <c r="CA28" s="208">
        <v>8249.8229166666679</v>
      </c>
      <c r="CB28" s="208">
        <v>8084.8264583333339</v>
      </c>
      <c r="CC28" s="208">
        <v>164.99645833333335</v>
      </c>
      <c r="CD28" s="208">
        <v>3888</v>
      </c>
      <c r="CE28" s="208">
        <v>3810</v>
      </c>
      <c r="CF28" s="208">
        <v>78</v>
      </c>
      <c r="CG28" s="208">
        <v>4362</v>
      </c>
      <c r="CH28" s="208">
        <v>4275</v>
      </c>
      <c r="CI28" s="208">
        <v>87</v>
      </c>
      <c r="CJ28" s="208">
        <v>0</v>
      </c>
      <c r="CK28" s="208">
        <v>0</v>
      </c>
      <c r="CL28" s="208">
        <v>0</v>
      </c>
      <c r="CM28" s="208">
        <v>0</v>
      </c>
      <c r="CN28" s="208">
        <v>0</v>
      </c>
      <c r="CO28" s="208">
        <v>0</v>
      </c>
      <c r="CP28" s="208">
        <v>0</v>
      </c>
      <c r="CQ28" s="208">
        <v>0</v>
      </c>
      <c r="CR28" s="208">
        <v>0</v>
      </c>
      <c r="CS28" s="208">
        <v>0</v>
      </c>
      <c r="CT28" s="208">
        <v>0</v>
      </c>
      <c r="CU28" s="208">
        <v>0</v>
      </c>
      <c r="CV28" s="208">
        <v>0</v>
      </c>
      <c r="CW28" s="208">
        <v>0</v>
      </c>
      <c r="CX28" s="208">
        <v>0</v>
      </c>
      <c r="CY28" s="208">
        <v>0</v>
      </c>
      <c r="CZ28" s="208">
        <v>0</v>
      </c>
      <c r="DA28" s="208">
        <v>0</v>
      </c>
      <c r="DB28" s="208">
        <v>0</v>
      </c>
      <c r="DC28" s="208">
        <v>0</v>
      </c>
      <c r="DD28" s="208">
        <v>0</v>
      </c>
      <c r="DE28" s="208">
        <v>4539.7041666666664</v>
      </c>
      <c r="DF28" s="208">
        <v>4448.9100833333332</v>
      </c>
      <c r="DG28" s="208">
        <v>90.794083333333333</v>
      </c>
      <c r="DH28" s="208">
        <v>4338</v>
      </c>
      <c r="DI28" s="208">
        <v>4252</v>
      </c>
      <c r="DJ28" s="208">
        <v>87</v>
      </c>
      <c r="DK28" s="208">
        <v>202</v>
      </c>
      <c r="DL28" s="208">
        <v>197</v>
      </c>
      <c r="DM28" s="208">
        <v>4</v>
      </c>
      <c r="DN28" s="208">
        <v>0</v>
      </c>
      <c r="DO28" s="208">
        <v>0</v>
      </c>
      <c r="DP28" s="208">
        <v>0</v>
      </c>
      <c r="DQ28" s="208">
        <v>0</v>
      </c>
      <c r="DR28" s="208">
        <v>0</v>
      </c>
      <c r="DS28" s="208">
        <v>0</v>
      </c>
      <c r="DT28" s="208">
        <v>0</v>
      </c>
      <c r="DU28" s="208">
        <v>0</v>
      </c>
      <c r="DV28" s="208">
        <v>0</v>
      </c>
      <c r="DW28" s="208">
        <v>6214.7302083333334</v>
      </c>
      <c r="DX28" s="208">
        <v>6090.435604166667</v>
      </c>
      <c r="DY28" s="208">
        <v>124.29460416666667</v>
      </c>
      <c r="DZ28" s="208">
        <v>4196</v>
      </c>
      <c r="EA28" s="208">
        <v>4112</v>
      </c>
      <c r="EB28" s="208">
        <v>84</v>
      </c>
      <c r="EC28" s="208">
        <v>2019</v>
      </c>
      <c r="ED28" s="208">
        <v>1978</v>
      </c>
      <c r="EE28" s="208">
        <v>40</v>
      </c>
      <c r="EF28" s="208">
        <v>45351.010416666664</v>
      </c>
      <c r="EG28" s="208">
        <v>44443.990208333329</v>
      </c>
      <c r="EH28" s="208">
        <v>907.02020833333336</v>
      </c>
      <c r="EI28" s="208">
        <v>-3244.1802083333332</v>
      </c>
      <c r="EJ28" s="208">
        <v>-3179.2966041666664</v>
      </c>
      <c r="EK28" s="208">
        <v>-64.883604166666672</v>
      </c>
      <c r="EL28" s="208">
        <v>55202</v>
      </c>
      <c r="EM28" s="208">
        <v>54098</v>
      </c>
      <c r="EN28" s="208">
        <v>1104</v>
      </c>
      <c r="EO28" s="208">
        <v>-13095</v>
      </c>
      <c r="EP28" s="208">
        <v>-12833</v>
      </c>
      <c r="EQ28" s="208">
        <v>-262</v>
      </c>
      <c r="ER28" s="208">
        <v>7316.9229166666664</v>
      </c>
      <c r="ES28" s="208">
        <v>7170.5844583333328</v>
      </c>
      <c r="ET28" s="208">
        <v>146.33845833333334</v>
      </c>
      <c r="EU28" s="208">
        <v>8027</v>
      </c>
      <c r="EV28" s="208">
        <v>7866</v>
      </c>
      <c r="EW28" s="208">
        <v>161</v>
      </c>
      <c r="EX28" s="208">
        <v>-710</v>
      </c>
      <c r="EY28" s="208">
        <v>-695</v>
      </c>
      <c r="EZ28" s="208">
        <v>-15</v>
      </c>
      <c r="FA28" s="208">
        <v>0</v>
      </c>
      <c r="FB28" s="208">
        <v>0</v>
      </c>
      <c r="FC28" s="208">
        <v>0</v>
      </c>
      <c r="FD28" s="208">
        <v>0</v>
      </c>
      <c r="FE28" s="208">
        <v>0</v>
      </c>
      <c r="FF28" s="208">
        <v>0</v>
      </c>
      <c r="FG28" s="208">
        <v>0</v>
      </c>
      <c r="FH28" s="208">
        <v>0</v>
      </c>
      <c r="FI28" s="208">
        <v>0</v>
      </c>
      <c r="FJ28" s="208">
        <v>335101.82291666663</v>
      </c>
      <c r="FK28" s="208">
        <v>326952.95324999996</v>
      </c>
      <c r="FL28" s="208">
        <v>6672.5092499999992</v>
      </c>
      <c r="FM28" s="208">
        <v>296043</v>
      </c>
      <c r="FN28" s="208">
        <v>288822</v>
      </c>
      <c r="FO28" s="208">
        <v>5894</v>
      </c>
      <c r="FP28" s="208">
        <v>39059</v>
      </c>
      <c r="FQ28" s="208">
        <v>38131</v>
      </c>
      <c r="FR28" s="208">
        <v>779</v>
      </c>
      <c r="FS28" s="208">
        <v>0</v>
      </c>
      <c r="FT28" s="208">
        <v>0</v>
      </c>
      <c r="FU28" s="208">
        <v>0</v>
      </c>
      <c r="FV28" s="208">
        <v>0</v>
      </c>
      <c r="FW28" s="208">
        <v>0</v>
      </c>
      <c r="FX28" s="208">
        <v>0</v>
      </c>
      <c r="FY28" s="208">
        <v>0</v>
      </c>
      <c r="FZ28" s="208">
        <v>0</v>
      </c>
      <c r="GA28" s="208">
        <v>0</v>
      </c>
      <c r="GB28" s="208">
        <v>1116350</v>
      </c>
      <c r="GC28" s="208">
        <v>1092575</v>
      </c>
      <c r="GD28" s="208">
        <v>22298</v>
      </c>
      <c r="GE28" s="664">
        <v>0</v>
      </c>
      <c r="GF28" s="664">
        <v>0.5</v>
      </c>
      <c r="GG28" s="664">
        <v>0.49</v>
      </c>
      <c r="GH28" s="664">
        <v>0.01</v>
      </c>
      <c r="GI28" s="187" t="s">
        <v>1054</v>
      </c>
    </row>
    <row r="29" spans="2:191" s="187" customFormat="1" x14ac:dyDescent="0.2">
      <c r="B29" s="429" t="s">
        <v>137</v>
      </c>
      <c r="C29" s="429" t="s">
        <v>136</v>
      </c>
      <c r="D29" s="208">
        <v>-3451861</v>
      </c>
      <c r="E29" s="208">
        <v>0</v>
      </c>
      <c r="F29" s="208">
        <v>-3451861</v>
      </c>
      <c r="G29" s="208">
        <v>-2867365</v>
      </c>
      <c r="H29" s="208">
        <v>0</v>
      </c>
      <c r="I29" s="208">
        <v>-2867365</v>
      </c>
      <c r="J29" s="208">
        <v>-584496</v>
      </c>
      <c r="K29" s="208">
        <v>0</v>
      </c>
      <c r="L29" s="208">
        <v>-584496</v>
      </c>
      <c r="M29" s="208">
        <v>392835</v>
      </c>
      <c r="N29" s="208">
        <v>392835</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c r="BL29" s="208">
        <v>0</v>
      </c>
      <c r="BM29" s="208">
        <v>0</v>
      </c>
      <c r="BN29" s="208">
        <v>0</v>
      </c>
      <c r="BO29" s="208">
        <v>7987469.3064271882</v>
      </c>
      <c r="BP29" s="208">
        <v>0</v>
      </c>
      <c r="BQ29" s="208">
        <v>80681.508145729167</v>
      </c>
      <c r="BR29" s="208">
        <v>383330</v>
      </c>
      <c r="BS29" s="208">
        <v>0</v>
      </c>
      <c r="BT29" s="208">
        <v>3872</v>
      </c>
      <c r="BU29" s="208">
        <v>7587865</v>
      </c>
      <c r="BV29" s="208">
        <v>0</v>
      </c>
      <c r="BW29" s="208">
        <v>76645</v>
      </c>
      <c r="BX29" s="208">
        <v>782934</v>
      </c>
      <c r="BY29" s="208">
        <v>0</v>
      </c>
      <c r="BZ29" s="208">
        <v>7909</v>
      </c>
      <c r="CA29" s="208">
        <v>3153.508875</v>
      </c>
      <c r="CB29" s="208">
        <v>0</v>
      </c>
      <c r="CC29" s="208">
        <v>31.853624999999997</v>
      </c>
      <c r="CD29" s="208">
        <v>0</v>
      </c>
      <c r="CE29" s="208">
        <v>0</v>
      </c>
      <c r="CF29" s="208">
        <v>0</v>
      </c>
      <c r="CG29" s="208">
        <v>3154</v>
      </c>
      <c r="CH29" s="208">
        <v>0</v>
      </c>
      <c r="CI29" s="208">
        <v>32</v>
      </c>
      <c r="CJ29" s="208">
        <v>0</v>
      </c>
      <c r="CK29" s="208">
        <v>0</v>
      </c>
      <c r="CL29" s="208">
        <v>0</v>
      </c>
      <c r="CM29" s="208">
        <v>-2437.5388124999999</v>
      </c>
      <c r="CN29" s="208">
        <v>0</v>
      </c>
      <c r="CO29" s="208">
        <v>-24.621604166666668</v>
      </c>
      <c r="CP29" s="208">
        <v>6175.368375</v>
      </c>
      <c r="CQ29" s="208">
        <v>0</v>
      </c>
      <c r="CR29" s="208">
        <v>62.377458333333337</v>
      </c>
      <c r="CS29" s="208">
        <v>0</v>
      </c>
      <c r="CT29" s="208">
        <v>0</v>
      </c>
      <c r="CU29" s="208">
        <v>0</v>
      </c>
      <c r="CV29" s="208">
        <v>0</v>
      </c>
      <c r="CW29" s="208">
        <v>0</v>
      </c>
      <c r="CX29" s="208">
        <v>0</v>
      </c>
      <c r="CY29" s="208">
        <v>0</v>
      </c>
      <c r="CZ29" s="208">
        <v>0</v>
      </c>
      <c r="DA29" s="208">
        <v>0</v>
      </c>
      <c r="DB29" s="208">
        <v>0</v>
      </c>
      <c r="DC29" s="208">
        <v>0</v>
      </c>
      <c r="DD29" s="208">
        <v>0</v>
      </c>
      <c r="DE29" s="208">
        <v>0</v>
      </c>
      <c r="DF29" s="208">
        <v>0</v>
      </c>
      <c r="DG29" s="208">
        <v>0</v>
      </c>
      <c r="DH29" s="208">
        <v>0</v>
      </c>
      <c r="DI29" s="208">
        <v>0</v>
      </c>
      <c r="DJ29" s="208">
        <v>0</v>
      </c>
      <c r="DK29" s="208">
        <v>0</v>
      </c>
      <c r="DL29" s="208">
        <v>0</v>
      </c>
      <c r="DM29" s="208">
        <v>0</v>
      </c>
      <c r="DN29" s="208">
        <v>1519.03125</v>
      </c>
      <c r="DO29" s="208">
        <v>0</v>
      </c>
      <c r="DP29" s="208">
        <v>15.34375</v>
      </c>
      <c r="DQ29" s="208">
        <v>1519</v>
      </c>
      <c r="DR29" s="208">
        <v>0</v>
      </c>
      <c r="DS29" s="208">
        <v>15</v>
      </c>
      <c r="DT29" s="208">
        <v>0</v>
      </c>
      <c r="DU29" s="208">
        <v>0</v>
      </c>
      <c r="DV29" s="208">
        <v>0</v>
      </c>
      <c r="DW29" s="208">
        <v>43714.681312500004</v>
      </c>
      <c r="DX29" s="208">
        <v>0</v>
      </c>
      <c r="DY29" s="208">
        <v>441.56243750000004</v>
      </c>
      <c r="DZ29" s="208">
        <v>30381</v>
      </c>
      <c r="EA29" s="208">
        <v>0</v>
      </c>
      <c r="EB29" s="208">
        <v>307</v>
      </c>
      <c r="EC29" s="208">
        <v>13334</v>
      </c>
      <c r="ED29" s="208">
        <v>0</v>
      </c>
      <c r="EE29" s="208">
        <v>135</v>
      </c>
      <c r="EF29" s="208">
        <v>206255.0758125</v>
      </c>
      <c r="EG29" s="208">
        <v>0</v>
      </c>
      <c r="EH29" s="208">
        <v>2083.3846041666666</v>
      </c>
      <c r="EI29" s="208">
        <v>0</v>
      </c>
      <c r="EJ29" s="208">
        <v>0</v>
      </c>
      <c r="EK29" s="208">
        <v>0</v>
      </c>
      <c r="EL29" s="208">
        <v>206255</v>
      </c>
      <c r="EM29" s="208">
        <v>0</v>
      </c>
      <c r="EN29" s="208">
        <v>2083</v>
      </c>
      <c r="EO29" s="208">
        <v>0</v>
      </c>
      <c r="EP29" s="208">
        <v>0</v>
      </c>
      <c r="EQ29" s="208">
        <v>0</v>
      </c>
      <c r="ER29" s="208">
        <v>104769.6106875</v>
      </c>
      <c r="ES29" s="208">
        <v>0</v>
      </c>
      <c r="ET29" s="208">
        <v>1058.2788958333333</v>
      </c>
      <c r="EU29" s="208">
        <v>81015</v>
      </c>
      <c r="EV29" s="208">
        <v>0</v>
      </c>
      <c r="EW29" s="208">
        <v>818</v>
      </c>
      <c r="EX29" s="208">
        <v>23755</v>
      </c>
      <c r="EY29" s="208">
        <v>0</v>
      </c>
      <c r="EZ29" s="208">
        <v>240</v>
      </c>
      <c r="FA29" s="208">
        <v>0</v>
      </c>
      <c r="FB29" s="208">
        <v>0</v>
      </c>
      <c r="FC29" s="208">
        <v>0</v>
      </c>
      <c r="FD29" s="208">
        <v>0</v>
      </c>
      <c r="FE29" s="208">
        <v>0</v>
      </c>
      <c r="FF29" s="208">
        <v>0</v>
      </c>
      <c r="FG29" s="208">
        <v>0</v>
      </c>
      <c r="FH29" s="208">
        <v>0</v>
      </c>
      <c r="FI29" s="208">
        <v>0</v>
      </c>
      <c r="FJ29" s="208">
        <v>1810194.0388124997</v>
      </c>
      <c r="FK29" s="208">
        <v>0</v>
      </c>
      <c r="FL29" s="208">
        <v>18284.788270833335</v>
      </c>
      <c r="FM29" s="208">
        <v>1800694</v>
      </c>
      <c r="FN29" s="208">
        <v>0</v>
      </c>
      <c r="FO29" s="208">
        <v>18189</v>
      </c>
      <c r="FP29" s="208">
        <v>9500</v>
      </c>
      <c r="FQ29" s="208">
        <v>0</v>
      </c>
      <c r="FR29" s="208">
        <v>96</v>
      </c>
      <c r="FS29" s="208">
        <v>0</v>
      </c>
      <c r="FT29" s="208">
        <v>0</v>
      </c>
      <c r="FU29" s="208">
        <v>0</v>
      </c>
      <c r="FV29" s="208">
        <v>0</v>
      </c>
      <c r="FW29" s="208">
        <v>0</v>
      </c>
      <c r="FX29" s="208">
        <v>0</v>
      </c>
      <c r="FY29" s="208">
        <v>0</v>
      </c>
      <c r="FZ29" s="208">
        <v>0</v>
      </c>
      <c r="GA29" s="208">
        <v>0</v>
      </c>
      <c r="GB29" s="208">
        <v>10544143</v>
      </c>
      <c r="GC29" s="208">
        <v>0</v>
      </c>
      <c r="GD29" s="208">
        <v>106506</v>
      </c>
      <c r="GE29" s="664">
        <v>0</v>
      </c>
      <c r="GF29" s="664">
        <v>0.99</v>
      </c>
      <c r="GG29" s="664">
        <v>0</v>
      </c>
      <c r="GH29" s="664">
        <v>0.01</v>
      </c>
      <c r="GI29" s="187" t="s">
        <v>1056</v>
      </c>
    </row>
    <row r="30" spans="2:191" s="187" customFormat="1" x14ac:dyDescent="0.2">
      <c r="B30" s="429" t="s">
        <v>139</v>
      </c>
      <c r="C30" s="429" t="s">
        <v>138</v>
      </c>
      <c r="D30" s="208">
        <v>184625</v>
      </c>
      <c r="E30" s="208">
        <v>0</v>
      </c>
      <c r="F30" s="208">
        <v>184625</v>
      </c>
      <c r="G30" s="208">
        <v>272764</v>
      </c>
      <c r="H30" s="208">
        <v>0</v>
      </c>
      <c r="I30" s="208">
        <v>272764</v>
      </c>
      <c r="J30" s="208">
        <v>-88139</v>
      </c>
      <c r="K30" s="208">
        <v>0</v>
      </c>
      <c r="L30" s="208">
        <v>-88139</v>
      </c>
      <c r="M30" s="208">
        <v>91672</v>
      </c>
      <c r="N30" s="208">
        <v>91672</v>
      </c>
      <c r="O30" s="208">
        <v>0</v>
      </c>
      <c r="P30" s="208">
        <v>0</v>
      </c>
      <c r="Q30" s="208">
        <v>0</v>
      </c>
      <c r="R30" s="208">
        <v>0</v>
      </c>
      <c r="S30" s="208">
        <v>170056</v>
      </c>
      <c r="T30" s="208">
        <v>0</v>
      </c>
      <c r="U30" s="208">
        <v>205000</v>
      </c>
      <c r="V30" s="208">
        <v>0</v>
      </c>
      <c r="W30" s="208">
        <v>-34944</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0</v>
      </c>
      <c r="BM30" s="208">
        <v>0</v>
      </c>
      <c r="BN30" s="208">
        <v>0</v>
      </c>
      <c r="BO30" s="208">
        <v>1044433.8212462501</v>
      </c>
      <c r="BP30" s="208">
        <v>696289.21416416659</v>
      </c>
      <c r="BQ30" s="208">
        <v>0</v>
      </c>
      <c r="BR30" s="208">
        <v>60858</v>
      </c>
      <c r="BS30" s="208">
        <v>40572</v>
      </c>
      <c r="BT30" s="208">
        <v>0</v>
      </c>
      <c r="BU30" s="208">
        <v>963535</v>
      </c>
      <c r="BV30" s="208">
        <v>642357</v>
      </c>
      <c r="BW30" s="208">
        <v>0</v>
      </c>
      <c r="BX30" s="208">
        <v>141757</v>
      </c>
      <c r="BY30" s="208">
        <v>94504</v>
      </c>
      <c r="BZ30" s="208">
        <v>0</v>
      </c>
      <c r="CA30" s="208">
        <v>5888.9312499999996</v>
      </c>
      <c r="CB30" s="208">
        <v>3925.9541666666664</v>
      </c>
      <c r="CC30" s="208">
        <v>0</v>
      </c>
      <c r="CD30" s="208">
        <v>5998</v>
      </c>
      <c r="CE30" s="208">
        <v>3999</v>
      </c>
      <c r="CF30" s="208">
        <v>0</v>
      </c>
      <c r="CG30" s="208">
        <v>-109</v>
      </c>
      <c r="CH30" s="208">
        <v>-73</v>
      </c>
      <c r="CI30" s="208">
        <v>0</v>
      </c>
      <c r="CJ30" s="208">
        <v>0</v>
      </c>
      <c r="CK30" s="208">
        <v>0</v>
      </c>
      <c r="CL30" s="208">
        <v>0</v>
      </c>
      <c r="CM30" s="208">
        <v>0</v>
      </c>
      <c r="CN30" s="208">
        <v>0</v>
      </c>
      <c r="CO30" s="208">
        <v>0</v>
      </c>
      <c r="CP30" s="208">
        <v>0</v>
      </c>
      <c r="CQ30" s="208">
        <v>0</v>
      </c>
      <c r="CR30" s="208">
        <v>0</v>
      </c>
      <c r="CS30" s="208">
        <v>0</v>
      </c>
      <c r="CT30" s="208">
        <v>0</v>
      </c>
      <c r="CU30" s="208">
        <v>0</v>
      </c>
      <c r="CV30" s="208">
        <v>0</v>
      </c>
      <c r="CW30" s="208">
        <v>0</v>
      </c>
      <c r="CX30" s="208">
        <v>0</v>
      </c>
      <c r="CY30" s="208">
        <v>0</v>
      </c>
      <c r="CZ30" s="208">
        <v>0</v>
      </c>
      <c r="DA30" s="208">
        <v>0</v>
      </c>
      <c r="DB30" s="208">
        <v>0</v>
      </c>
      <c r="DC30" s="208">
        <v>0</v>
      </c>
      <c r="DD30" s="208">
        <v>0</v>
      </c>
      <c r="DE30" s="208">
        <v>10155.721250000001</v>
      </c>
      <c r="DF30" s="208">
        <v>6770.480833333334</v>
      </c>
      <c r="DG30" s="208">
        <v>0</v>
      </c>
      <c r="DH30" s="208">
        <v>9918</v>
      </c>
      <c r="DI30" s="208">
        <v>6612</v>
      </c>
      <c r="DJ30" s="208">
        <v>0</v>
      </c>
      <c r="DK30" s="208">
        <v>238</v>
      </c>
      <c r="DL30" s="208">
        <v>158</v>
      </c>
      <c r="DM30" s="208">
        <v>0</v>
      </c>
      <c r="DN30" s="208">
        <v>1841.25</v>
      </c>
      <c r="DO30" s="208">
        <v>1227.5</v>
      </c>
      <c r="DP30" s="208">
        <v>0</v>
      </c>
      <c r="DQ30" s="208">
        <v>1841</v>
      </c>
      <c r="DR30" s="208">
        <v>1228</v>
      </c>
      <c r="DS30" s="208">
        <v>0</v>
      </c>
      <c r="DT30" s="208">
        <v>0</v>
      </c>
      <c r="DU30" s="208">
        <v>-1</v>
      </c>
      <c r="DV30" s="208">
        <v>0</v>
      </c>
      <c r="DW30" s="208">
        <v>2208.8862500000005</v>
      </c>
      <c r="DX30" s="208">
        <v>1472.5908333333332</v>
      </c>
      <c r="DY30" s="208">
        <v>0</v>
      </c>
      <c r="DZ30" s="208">
        <v>2468</v>
      </c>
      <c r="EA30" s="208">
        <v>1646</v>
      </c>
      <c r="EB30" s="208">
        <v>0</v>
      </c>
      <c r="EC30" s="208">
        <v>-259</v>
      </c>
      <c r="ED30" s="208">
        <v>-173</v>
      </c>
      <c r="EE30" s="208">
        <v>0</v>
      </c>
      <c r="EF30" s="208">
        <v>30446.909999999996</v>
      </c>
      <c r="EG30" s="208">
        <v>20297.940000000002</v>
      </c>
      <c r="EH30" s="208">
        <v>0</v>
      </c>
      <c r="EI30" s="208">
        <v>-48.486249999999998</v>
      </c>
      <c r="EJ30" s="208">
        <v>-32.32416666666667</v>
      </c>
      <c r="EK30" s="208">
        <v>0</v>
      </c>
      <c r="EL30" s="208">
        <v>39705</v>
      </c>
      <c r="EM30" s="208">
        <v>26470</v>
      </c>
      <c r="EN30" s="208">
        <v>0</v>
      </c>
      <c r="EO30" s="208">
        <v>-9307</v>
      </c>
      <c r="EP30" s="208">
        <v>-6204</v>
      </c>
      <c r="EQ30" s="208">
        <v>0</v>
      </c>
      <c r="ER30" s="208">
        <v>2930.0425000000005</v>
      </c>
      <c r="ES30" s="208">
        <v>1953.3616666666667</v>
      </c>
      <c r="ET30" s="208">
        <v>0</v>
      </c>
      <c r="EU30" s="208">
        <v>7576</v>
      </c>
      <c r="EV30" s="208">
        <v>5050</v>
      </c>
      <c r="EW30" s="208">
        <v>0</v>
      </c>
      <c r="EX30" s="208">
        <v>-4646</v>
      </c>
      <c r="EY30" s="208">
        <v>-3097</v>
      </c>
      <c r="EZ30" s="208">
        <v>0</v>
      </c>
      <c r="FA30" s="208">
        <v>0</v>
      </c>
      <c r="FB30" s="208">
        <v>0</v>
      </c>
      <c r="FC30" s="208">
        <v>0</v>
      </c>
      <c r="FD30" s="208">
        <v>0</v>
      </c>
      <c r="FE30" s="208">
        <v>0</v>
      </c>
      <c r="FF30" s="208">
        <v>0</v>
      </c>
      <c r="FG30" s="208">
        <v>0</v>
      </c>
      <c r="FH30" s="208">
        <v>0</v>
      </c>
      <c r="FI30" s="208">
        <v>0</v>
      </c>
      <c r="FJ30" s="208">
        <v>304842.80291666667</v>
      </c>
      <c r="FK30" s="208">
        <v>200630.45749999999</v>
      </c>
      <c r="FL30" s="208">
        <v>0</v>
      </c>
      <c r="FM30" s="208">
        <v>273155</v>
      </c>
      <c r="FN30" s="208">
        <v>178971</v>
      </c>
      <c r="FO30" s="208">
        <v>0</v>
      </c>
      <c r="FP30" s="208">
        <v>31688</v>
      </c>
      <c r="FQ30" s="208">
        <v>21659</v>
      </c>
      <c r="FR30" s="208">
        <v>0</v>
      </c>
      <c r="FS30" s="208">
        <v>0</v>
      </c>
      <c r="FT30" s="208">
        <v>0</v>
      </c>
      <c r="FU30" s="208">
        <v>0</v>
      </c>
      <c r="FV30" s="208">
        <v>0</v>
      </c>
      <c r="FW30" s="208">
        <v>0</v>
      </c>
      <c r="FX30" s="208">
        <v>0</v>
      </c>
      <c r="FY30" s="208">
        <v>0</v>
      </c>
      <c r="FZ30" s="208">
        <v>0</v>
      </c>
      <c r="GA30" s="208">
        <v>0</v>
      </c>
      <c r="GB30" s="208">
        <v>1463559</v>
      </c>
      <c r="GC30" s="208">
        <v>973107</v>
      </c>
      <c r="GD30" s="208">
        <v>0</v>
      </c>
      <c r="GE30" s="664">
        <v>0</v>
      </c>
      <c r="GF30" s="664">
        <v>0.6</v>
      </c>
      <c r="GG30" s="664">
        <v>0.4</v>
      </c>
      <c r="GH30" s="664">
        <v>0</v>
      </c>
      <c r="GI30" s="187" t="s">
        <v>1054</v>
      </c>
    </row>
    <row r="31" spans="2:191" s="187" customFormat="1" x14ac:dyDescent="0.2">
      <c r="B31" s="429" t="s">
        <v>141</v>
      </c>
      <c r="C31" s="429" t="s">
        <v>140</v>
      </c>
      <c r="D31" s="208">
        <v>-1857241</v>
      </c>
      <c r="E31" s="208">
        <v>0</v>
      </c>
      <c r="F31" s="208">
        <v>-1857241</v>
      </c>
      <c r="G31" s="208">
        <v>-1788340</v>
      </c>
      <c r="H31" s="208">
        <v>0</v>
      </c>
      <c r="I31" s="208">
        <v>-1788340</v>
      </c>
      <c r="J31" s="208">
        <v>-68901</v>
      </c>
      <c r="K31" s="208">
        <v>0</v>
      </c>
      <c r="L31" s="208">
        <v>-68901</v>
      </c>
      <c r="M31" s="208">
        <v>291069</v>
      </c>
      <c r="N31" s="208">
        <v>291069</v>
      </c>
      <c r="O31" s="208">
        <v>0</v>
      </c>
      <c r="P31" s="208">
        <v>0</v>
      </c>
      <c r="Q31" s="208">
        <v>0</v>
      </c>
      <c r="R31" s="208">
        <v>0</v>
      </c>
      <c r="S31" s="208">
        <v>226</v>
      </c>
      <c r="T31" s="208">
        <v>0</v>
      </c>
      <c r="U31" s="208">
        <v>226</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c r="BL31" s="208">
        <v>0</v>
      </c>
      <c r="BM31" s="208">
        <v>0</v>
      </c>
      <c r="BN31" s="208">
        <v>0</v>
      </c>
      <c r="BO31" s="208">
        <v>2453336.9283046457</v>
      </c>
      <c r="BP31" s="208">
        <v>0</v>
      </c>
      <c r="BQ31" s="208">
        <v>50068.100577645833</v>
      </c>
      <c r="BR31" s="208">
        <v>138888</v>
      </c>
      <c r="BS31" s="208">
        <v>0</v>
      </c>
      <c r="BT31" s="208">
        <v>2834</v>
      </c>
      <c r="BU31" s="208">
        <v>2402561</v>
      </c>
      <c r="BV31" s="208">
        <v>0</v>
      </c>
      <c r="BW31" s="208">
        <v>49032</v>
      </c>
      <c r="BX31" s="208">
        <v>189664</v>
      </c>
      <c r="BY31" s="208">
        <v>0</v>
      </c>
      <c r="BZ31" s="208">
        <v>3870</v>
      </c>
      <c r="CA31" s="208">
        <v>11755.828875000001</v>
      </c>
      <c r="CB31" s="208">
        <v>0</v>
      </c>
      <c r="CC31" s="208">
        <v>239.91487499999999</v>
      </c>
      <c r="CD31" s="208">
        <v>0</v>
      </c>
      <c r="CE31" s="208">
        <v>0</v>
      </c>
      <c r="CF31" s="208">
        <v>0</v>
      </c>
      <c r="CG31" s="208">
        <v>11756</v>
      </c>
      <c r="CH31" s="208">
        <v>0</v>
      </c>
      <c r="CI31" s="208">
        <v>240</v>
      </c>
      <c r="CJ31" s="208">
        <v>0</v>
      </c>
      <c r="CK31" s="208">
        <v>0</v>
      </c>
      <c r="CL31" s="208">
        <v>0</v>
      </c>
      <c r="CM31" s="208">
        <v>0</v>
      </c>
      <c r="CN31" s="208">
        <v>0</v>
      </c>
      <c r="CO31" s="208">
        <v>0</v>
      </c>
      <c r="CP31" s="208">
        <v>-236.07893749999999</v>
      </c>
      <c r="CQ31" s="208">
        <v>0</v>
      </c>
      <c r="CR31" s="208">
        <v>-4.8179375000000002</v>
      </c>
      <c r="CS31" s="208">
        <v>0</v>
      </c>
      <c r="CT31" s="208">
        <v>0</v>
      </c>
      <c r="CU31" s="208">
        <v>0</v>
      </c>
      <c r="CV31" s="208">
        <v>0</v>
      </c>
      <c r="CW31" s="208">
        <v>0</v>
      </c>
      <c r="CX31" s="208">
        <v>0</v>
      </c>
      <c r="CY31" s="208">
        <v>0</v>
      </c>
      <c r="CZ31" s="208">
        <v>0</v>
      </c>
      <c r="DA31" s="208">
        <v>0</v>
      </c>
      <c r="DB31" s="208">
        <v>0</v>
      </c>
      <c r="DC31" s="208">
        <v>0</v>
      </c>
      <c r="DD31" s="208">
        <v>0</v>
      </c>
      <c r="DE31" s="208">
        <v>0</v>
      </c>
      <c r="DF31" s="208">
        <v>0</v>
      </c>
      <c r="DG31" s="208">
        <v>0</v>
      </c>
      <c r="DH31" s="208">
        <v>0</v>
      </c>
      <c r="DI31" s="208">
        <v>0</v>
      </c>
      <c r="DJ31" s="208">
        <v>0</v>
      </c>
      <c r="DK31" s="208">
        <v>0</v>
      </c>
      <c r="DL31" s="208">
        <v>0</v>
      </c>
      <c r="DM31" s="208">
        <v>0</v>
      </c>
      <c r="DN31" s="208">
        <v>1503.6875</v>
      </c>
      <c r="DO31" s="208">
        <v>0</v>
      </c>
      <c r="DP31" s="208">
        <v>30.6875</v>
      </c>
      <c r="DQ31" s="208">
        <v>0</v>
      </c>
      <c r="DR31" s="208">
        <v>0</v>
      </c>
      <c r="DS31" s="208">
        <v>0</v>
      </c>
      <c r="DT31" s="208">
        <v>1504</v>
      </c>
      <c r="DU31" s="208">
        <v>0</v>
      </c>
      <c r="DV31" s="208">
        <v>31</v>
      </c>
      <c r="DW31" s="208">
        <v>28378.091729166666</v>
      </c>
      <c r="DX31" s="208">
        <v>0</v>
      </c>
      <c r="DY31" s="208">
        <v>579.14472916666671</v>
      </c>
      <c r="DZ31" s="208">
        <v>30866</v>
      </c>
      <c r="EA31" s="208">
        <v>0</v>
      </c>
      <c r="EB31" s="208">
        <v>630</v>
      </c>
      <c r="EC31" s="208">
        <v>-2488</v>
      </c>
      <c r="ED31" s="208">
        <v>0</v>
      </c>
      <c r="EE31" s="208">
        <v>-51</v>
      </c>
      <c r="EF31" s="208">
        <v>83447.639041666669</v>
      </c>
      <c r="EG31" s="208">
        <v>0</v>
      </c>
      <c r="EH31" s="208">
        <v>1703.0130416666668</v>
      </c>
      <c r="EI31" s="208">
        <v>-1505.6924166666668</v>
      </c>
      <c r="EJ31" s="208">
        <v>0</v>
      </c>
      <c r="EK31" s="208">
        <v>-30.728416666666668</v>
      </c>
      <c r="EL31" s="208">
        <v>89034</v>
      </c>
      <c r="EM31" s="208">
        <v>0</v>
      </c>
      <c r="EN31" s="208">
        <v>1817</v>
      </c>
      <c r="EO31" s="208">
        <v>-7092</v>
      </c>
      <c r="EP31" s="208">
        <v>0</v>
      </c>
      <c r="EQ31" s="208">
        <v>-145</v>
      </c>
      <c r="ER31" s="208">
        <v>6443.3009375000001</v>
      </c>
      <c r="ES31" s="208">
        <v>0</v>
      </c>
      <c r="ET31" s="208">
        <v>131.4959375</v>
      </c>
      <c r="EU31" s="208">
        <v>6015</v>
      </c>
      <c r="EV31" s="208">
        <v>0</v>
      </c>
      <c r="EW31" s="208">
        <v>123</v>
      </c>
      <c r="EX31" s="208">
        <v>428</v>
      </c>
      <c r="EY31" s="208">
        <v>0</v>
      </c>
      <c r="EZ31" s="208">
        <v>8</v>
      </c>
      <c r="FA31" s="208">
        <v>0</v>
      </c>
      <c r="FB31" s="208">
        <v>0</v>
      </c>
      <c r="FC31" s="208">
        <v>0</v>
      </c>
      <c r="FD31" s="208">
        <v>0</v>
      </c>
      <c r="FE31" s="208">
        <v>0</v>
      </c>
      <c r="FF31" s="208">
        <v>0</v>
      </c>
      <c r="FG31" s="208">
        <v>0</v>
      </c>
      <c r="FH31" s="208">
        <v>0</v>
      </c>
      <c r="FI31" s="208">
        <v>0</v>
      </c>
      <c r="FJ31" s="208">
        <v>657106.06431249995</v>
      </c>
      <c r="FK31" s="208">
        <v>0</v>
      </c>
      <c r="FL31" s="208">
        <v>13410.222145833332</v>
      </c>
      <c r="FM31" s="208">
        <v>706119</v>
      </c>
      <c r="FN31" s="208">
        <v>0</v>
      </c>
      <c r="FO31" s="208">
        <v>14410</v>
      </c>
      <c r="FP31" s="208">
        <v>-49013</v>
      </c>
      <c r="FQ31" s="208">
        <v>0</v>
      </c>
      <c r="FR31" s="208">
        <v>-1000</v>
      </c>
      <c r="FS31" s="208">
        <v>0</v>
      </c>
      <c r="FT31" s="208">
        <v>0</v>
      </c>
      <c r="FU31" s="208">
        <v>0</v>
      </c>
      <c r="FV31" s="208">
        <v>0</v>
      </c>
      <c r="FW31" s="208">
        <v>0</v>
      </c>
      <c r="FX31" s="208">
        <v>0</v>
      </c>
      <c r="FY31" s="208">
        <v>0</v>
      </c>
      <c r="FZ31" s="208">
        <v>0</v>
      </c>
      <c r="GA31" s="208">
        <v>0</v>
      </c>
      <c r="GB31" s="208">
        <v>3379118</v>
      </c>
      <c r="GC31" s="208">
        <v>0</v>
      </c>
      <c r="GD31" s="208">
        <v>68960</v>
      </c>
      <c r="GE31" s="664">
        <v>0.5</v>
      </c>
      <c r="GF31" s="664">
        <v>0.49</v>
      </c>
      <c r="GG31" s="664">
        <v>0</v>
      </c>
      <c r="GH31" s="664">
        <v>0.01</v>
      </c>
      <c r="GI31" s="187" t="s">
        <v>742</v>
      </c>
    </row>
    <row r="32" spans="2:191" s="187" customFormat="1" x14ac:dyDescent="0.2">
      <c r="B32" s="429" t="s">
        <v>143</v>
      </c>
      <c r="C32" s="429" t="s">
        <v>142</v>
      </c>
      <c r="D32" s="208">
        <v>229639</v>
      </c>
      <c r="E32" s="208">
        <v>0</v>
      </c>
      <c r="F32" s="208">
        <v>229639</v>
      </c>
      <c r="G32" s="208">
        <v>-1030636</v>
      </c>
      <c r="H32" s="208">
        <v>0</v>
      </c>
      <c r="I32" s="208">
        <v>-1030636</v>
      </c>
      <c r="J32" s="208">
        <v>1260275</v>
      </c>
      <c r="K32" s="208">
        <v>0</v>
      </c>
      <c r="L32" s="208">
        <v>1260275</v>
      </c>
      <c r="M32" s="208">
        <v>140882</v>
      </c>
      <c r="N32" s="208">
        <v>140882</v>
      </c>
      <c r="O32" s="208">
        <v>0</v>
      </c>
      <c r="P32" s="208">
        <v>0</v>
      </c>
      <c r="Q32" s="208">
        <v>0</v>
      </c>
      <c r="R32" s="208">
        <v>0</v>
      </c>
      <c r="S32" s="208">
        <v>0</v>
      </c>
      <c r="T32" s="208">
        <v>0</v>
      </c>
      <c r="U32" s="208">
        <v>608</v>
      </c>
      <c r="V32" s="208">
        <v>0</v>
      </c>
      <c r="W32" s="208">
        <v>-608</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c r="BL32" s="208">
        <v>0</v>
      </c>
      <c r="BM32" s="208">
        <v>0</v>
      </c>
      <c r="BN32" s="208">
        <v>0</v>
      </c>
      <c r="BO32" s="208">
        <v>1129491.4058855628</v>
      </c>
      <c r="BP32" s="208">
        <v>0</v>
      </c>
      <c r="BQ32" s="208">
        <v>11409.004099854168</v>
      </c>
      <c r="BR32" s="208">
        <v>126086</v>
      </c>
      <c r="BS32" s="208">
        <v>0</v>
      </c>
      <c r="BT32" s="208">
        <v>1274</v>
      </c>
      <c r="BU32" s="208">
        <v>1243329</v>
      </c>
      <c r="BV32" s="208">
        <v>0</v>
      </c>
      <c r="BW32" s="208">
        <v>12559</v>
      </c>
      <c r="BX32" s="208">
        <v>12248</v>
      </c>
      <c r="BY32" s="208">
        <v>0</v>
      </c>
      <c r="BZ32" s="208">
        <v>124</v>
      </c>
      <c r="CA32" s="208">
        <v>2615.7718125000001</v>
      </c>
      <c r="CB32" s="208">
        <v>0</v>
      </c>
      <c r="CC32" s="208">
        <v>26.421937499999999</v>
      </c>
      <c r="CD32" s="208">
        <v>2021</v>
      </c>
      <c r="CE32" s="208">
        <v>0</v>
      </c>
      <c r="CF32" s="208">
        <v>20</v>
      </c>
      <c r="CG32" s="208">
        <v>595</v>
      </c>
      <c r="CH32" s="208">
        <v>0</v>
      </c>
      <c r="CI32" s="208">
        <v>6</v>
      </c>
      <c r="CJ32" s="208">
        <v>0</v>
      </c>
      <c r="CK32" s="208">
        <v>0</v>
      </c>
      <c r="CL32" s="208">
        <v>0</v>
      </c>
      <c r="CM32" s="208">
        <v>0</v>
      </c>
      <c r="CN32" s="208">
        <v>0</v>
      </c>
      <c r="CO32" s="208">
        <v>0</v>
      </c>
      <c r="CP32" s="208">
        <v>0</v>
      </c>
      <c r="CQ32" s="208">
        <v>0</v>
      </c>
      <c r="CR32" s="208">
        <v>0</v>
      </c>
      <c r="CS32" s="208">
        <v>0</v>
      </c>
      <c r="CT32" s="208">
        <v>0</v>
      </c>
      <c r="CU32" s="208">
        <v>0</v>
      </c>
      <c r="CV32" s="208">
        <v>0</v>
      </c>
      <c r="CW32" s="208">
        <v>0</v>
      </c>
      <c r="CX32" s="208">
        <v>0</v>
      </c>
      <c r="CY32" s="208">
        <v>0</v>
      </c>
      <c r="CZ32" s="208">
        <v>0</v>
      </c>
      <c r="DA32" s="208">
        <v>0</v>
      </c>
      <c r="DB32" s="208">
        <v>0</v>
      </c>
      <c r="DC32" s="208">
        <v>0</v>
      </c>
      <c r="DD32" s="208">
        <v>0</v>
      </c>
      <c r="DE32" s="208">
        <v>0</v>
      </c>
      <c r="DF32" s="208">
        <v>0</v>
      </c>
      <c r="DG32" s="208">
        <v>0</v>
      </c>
      <c r="DH32" s="208">
        <v>0</v>
      </c>
      <c r="DI32" s="208">
        <v>0</v>
      </c>
      <c r="DJ32" s="208">
        <v>0</v>
      </c>
      <c r="DK32" s="208">
        <v>0</v>
      </c>
      <c r="DL32" s="208">
        <v>0</v>
      </c>
      <c r="DM32" s="208">
        <v>0</v>
      </c>
      <c r="DN32" s="208">
        <v>0</v>
      </c>
      <c r="DO32" s="208">
        <v>0</v>
      </c>
      <c r="DP32" s="208">
        <v>0</v>
      </c>
      <c r="DQ32" s="208">
        <v>0</v>
      </c>
      <c r="DR32" s="208">
        <v>0</v>
      </c>
      <c r="DS32" s="208">
        <v>0</v>
      </c>
      <c r="DT32" s="208">
        <v>0</v>
      </c>
      <c r="DU32" s="208">
        <v>0</v>
      </c>
      <c r="DV32" s="208">
        <v>0</v>
      </c>
      <c r="DW32" s="208">
        <v>2838.5630625000003</v>
      </c>
      <c r="DX32" s="208">
        <v>0</v>
      </c>
      <c r="DY32" s="208">
        <v>28.672354166666668</v>
      </c>
      <c r="DZ32" s="208">
        <v>22126</v>
      </c>
      <c r="EA32" s="208">
        <v>0</v>
      </c>
      <c r="EB32" s="208">
        <v>223</v>
      </c>
      <c r="EC32" s="208">
        <v>-19287</v>
      </c>
      <c r="ED32" s="208">
        <v>0</v>
      </c>
      <c r="EE32" s="208">
        <v>-194</v>
      </c>
      <c r="EF32" s="208">
        <v>115587.1385625</v>
      </c>
      <c r="EG32" s="208">
        <v>0</v>
      </c>
      <c r="EH32" s="208">
        <v>1167.5468541666667</v>
      </c>
      <c r="EI32" s="208">
        <v>4201.6404375000002</v>
      </c>
      <c r="EJ32" s="208">
        <v>0</v>
      </c>
      <c r="EK32" s="208">
        <v>42.4408125</v>
      </c>
      <c r="EL32" s="208">
        <v>87155</v>
      </c>
      <c r="EM32" s="208">
        <v>0</v>
      </c>
      <c r="EN32" s="208">
        <v>880</v>
      </c>
      <c r="EO32" s="208">
        <v>32634</v>
      </c>
      <c r="EP32" s="208">
        <v>0</v>
      </c>
      <c r="EQ32" s="208">
        <v>330</v>
      </c>
      <c r="ER32" s="208">
        <v>17027.327625000002</v>
      </c>
      <c r="ES32" s="208">
        <v>0</v>
      </c>
      <c r="ET32" s="208">
        <v>171.99320833333334</v>
      </c>
      <c r="EU32" s="208">
        <v>24791</v>
      </c>
      <c r="EV32" s="208">
        <v>0</v>
      </c>
      <c r="EW32" s="208">
        <v>250</v>
      </c>
      <c r="EX32" s="208">
        <v>-7764</v>
      </c>
      <c r="EY32" s="208">
        <v>0</v>
      </c>
      <c r="EZ32" s="208">
        <v>-78</v>
      </c>
      <c r="FA32" s="208">
        <v>0</v>
      </c>
      <c r="FB32" s="208">
        <v>0</v>
      </c>
      <c r="FC32" s="208">
        <v>0</v>
      </c>
      <c r="FD32" s="208">
        <v>0</v>
      </c>
      <c r="FE32" s="208">
        <v>0</v>
      </c>
      <c r="FF32" s="208">
        <v>0</v>
      </c>
      <c r="FG32" s="208">
        <v>0</v>
      </c>
      <c r="FH32" s="208">
        <v>0</v>
      </c>
      <c r="FI32" s="208">
        <v>0</v>
      </c>
      <c r="FJ32" s="208">
        <v>1813531.0524374999</v>
      </c>
      <c r="FK32" s="208">
        <v>0</v>
      </c>
      <c r="FL32" s="208">
        <v>18318.495479166668</v>
      </c>
      <c r="FM32" s="208">
        <v>1582044</v>
      </c>
      <c r="FN32" s="208">
        <v>0</v>
      </c>
      <c r="FO32" s="208">
        <v>15980</v>
      </c>
      <c r="FP32" s="208">
        <v>231487</v>
      </c>
      <c r="FQ32" s="208">
        <v>0</v>
      </c>
      <c r="FR32" s="208">
        <v>2338</v>
      </c>
      <c r="FS32" s="208">
        <v>0</v>
      </c>
      <c r="FT32" s="208">
        <v>0</v>
      </c>
      <c r="FU32" s="208">
        <v>0</v>
      </c>
      <c r="FV32" s="208">
        <v>0</v>
      </c>
      <c r="FW32" s="208">
        <v>0</v>
      </c>
      <c r="FX32" s="208">
        <v>0</v>
      </c>
      <c r="FY32" s="208">
        <v>0</v>
      </c>
      <c r="FZ32" s="208">
        <v>0</v>
      </c>
      <c r="GA32" s="208">
        <v>0</v>
      </c>
      <c r="GB32" s="208">
        <v>3211379</v>
      </c>
      <c r="GC32" s="208">
        <v>0</v>
      </c>
      <c r="GD32" s="208">
        <v>32438</v>
      </c>
      <c r="GE32" s="664">
        <v>0</v>
      </c>
      <c r="GF32" s="664">
        <v>0.99</v>
      </c>
      <c r="GG32" s="664">
        <v>0</v>
      </c>
      <c r="GH32" s="664">
        <v>0.01</v>
      </c>
      <c r="GI32" s="187" t="s">
        <v>742</v>
      </c>
    </row>
    <row r="33" spans="1:191" s="187" customFormat="1" x14ac:dyDescent="0.2">
      <c r="B33" s="429" t="s">
        <v>145</v>
      </c>
      <c r="C33" s="429" t="s">
        <v>144</v>
      </c>
      <c r="D33" s="208">
        <v>-1860489</v>
      </c>
      <c r="E33" s="208">
        <v>0</v>
      </c>
      <c r="F33" s="208">
        <v>-1860489</v>
      </c>
      <c r="G33" s="208">
        <v>-3452724</v>
      </c>
      <c r="H33" s="208">
        <v>0</v>
      </c>
      <c r="I33" s="208">
        <v>-3452724</v>
      </c>
      <c r="J33" s="208">
        <v>1592235</v>
      </c>
      <c r="K33" s="208">
        <v>0</v>
      </c>
      <c r="L33" s="208">
        <v>1592235</v>
      </c>
      <c r="M33" s="208">
        <v>728336</v>
      </c>
      <c r="N33" s="208">
        <v>728336</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c r="BL33" s="208">
        <v>0</v>
      </c>
      <c r="BM33" s="208">
        <v>0</v>
      </c>
      <c r="BN33" s="208">
        <v>0</v>
      </c>
      <c r="BO33" s="208">
        <v>16574615.080928439</v>
      </c>
      <c r="BP33" s="208">
        <v>0</v>
      </c>
      <c r="BQ33" s="208">
        <v>167420.35435281249</v>
      </c>
      <c r="BR33" s="208">
        <v>676796</v>
      </c>
      <c r="BS33" s="208">
        <v>0</v>
      </c>
      <c r="BT33" s="208">
        <v>6836</v>
      </c>
      <c r="BU33" s="208">
        <v>16131705</v>
      </c>
      <c r="BV33" s="208">
        <v>0</v>
      </c>
      <c r="BW33" s="208">
        <v>162947</v>
      </c>
      <c r="BX33" s="208">
        <v>1119706</v>
      </c>
      <c r="BY33" s="208">
        <v>0</v>
      </c>
      <c r="BZ33" s="208">
        <v>11309</v>
      </c>
      <c r="CA33" s="208">
        <v>66255.241717500001</v>
      </c>
      <c r="CB33" s="208">
        <v>0</v>
      </c>
      <c r="CC33" s="208">
        <v>669.24486583333339</v>
      </c>
      <c r="CD33" s="208">
        <v>0</v>
      </c>
      <c r="CE33" s="208">
        <v>0</v>
      </c>
      <c r="CF33" s="208">
        <v>0</v>
      </c>
      <c r="CG33" s="208">
        <v>66255</v>
      </c>
      <c r="CH33" s="208">
        <v>0</v>
      </c>
      <c r="CI33" s="208">
        <v>669</v>
      </c>
      <c r="CJ33" s="208">
        <v>0</v>
      </c>
      <c r="CK33" s="208">
        <v>0</v>
      </c>
      <c r="CL33" s="208">
        <v>0</v>
      </c>
      <c r="CM33" s="208">
        <v>0</v>
      </c>
      <c r="CN33" s="208">
        <v>0</v>
      </c>
      <c r="CO33" s="208">
        <v>0</v>
      </c>
      <c r="CP33" s="208">
        <v>-1461.3080625</v>
      </c>
      <c r="CQ33" s="208">
        <v>0</v>
      </c>
      <c r="CR33" s="208">
        <v>-14.7606875</v>
      </c>
      <c r="CS33" s="208">
        <v>-548.87662499999999</v>
      </c>
      <c r="CT33" s="208">
        <v>0</v>
      </c>
      <c r="CU33" s="208">
        <v>-5.5442083333333336</v>
      </c>
      <c r="CV33" s="208">
        <v>0</v>
      </c>
      <c r="CW33" s="208">
        <v>0</v>
      </c>
      <c r="CX33" s="208">
        <v>0</v>
      </c>
      <c r="CY33" s="208">
        <v>-549</v>
      </c>
      <c r="CZ33" s="208">
        <v>0</v>
      </c>
      <c r="DA33" s="208">
        <v>-6</v>
      </c>
      <c r="DB33" s="208">
        <v>0</v>
      </c>
      <c r="DC33" s="208">
        <v>0</v>
      </c>
      <c r="DD33" s="208">
        <v>0</v>
      </c>
      <c r="DE33" s="208">
        <v>6166.2541874999997</v>
      </c>
      <c r="DF33" s="208">
        <v>0</v>
      </c>
      <c r="DG33" s="208">
        <v>62.285395833333332</v>
      </c>
      <c r="DH33" s="208">
        <v>5984</v>
      </c>
      <c r="DI33" s="208">
        <v>0</v>
      </c>
      <c r="DJ33" s="208">
        <v>60</v>
      </c>
      <c r="DK33" s="208">
        <v>182</v>
      </c>
      <c r="DL33" s="208">
        <v>0</v>
      </c>
      <c r="DM33" s="208">
        <v>2</v>
      </c>
      <c r="DN33" s="208">
        <v>0</v>
      </c>
      <c r="DO33" s="208">
        <v>0</v>
      </c>
      <c r="DP33" s="208">
        <v>0</v>
      </c>
      <c r="DQ33" s="208">
        <v>0</v>
      </c>
      <c r="DR33" s="208">
        <v>0</v>
      </c>
      <c r="DS33" s="208">
        <v>0</v>
      </c>
      <c r="DT33" s="208">
        <v>0</v>
      </c>
      <c r="DU33" s="208">
        <v>0</v>
      </c>
      <c r="DV33" s="208">
        <v>0</v>
      </c>
      <c r="DW33" s="208">
        <v>51076.919437500001</v>
      </c>
      <c r="DX33" s="208">
        <v>0</v>
      </c>
      <c r="DY33" s="208">
        <v>515.92847916666676</v>
      </c>
      <c r="DZ33" s="208">
        <v>46961</v>
      </c>
      <c r="EA33" s="208">
        <v>0</v>
      </c>
      <c r="EB33" s="208">
        <v>474</v>
      </c>
      <c r="EC33" s="208">
        <v>4116</v>
      </c>
      <c r="ED33" s="208">
        <v>0</v>
      </c>
      <c r="EE33" s="208">
        <v>42</v>
      </c>
      <c r="EF33" s="208">
        <v>460319.12849999999</v>
      </c>
      <c r="EG33" s="208">
        <v>0</v>
      </c>
      <c r="EH33" s="208">
        <v>4649.6881666666668</v>
      </c>
      <c r="EI33" s="208">
        <v>-21450.746625</v>
      </c>
      <c r="EJ33" s="208">
        <v>0</v>
      </c>
      <c r="EK33" s="208">
        <v>-216.67420833333335</v>
      </c>
      <c r="EL33" s="208">
        <v>490764</v>
      </c>
      <c r="EM33" s="208">
        <v>0</v>
      </c>
      <c r="EN33" s="208">
        <v>4957</v>
      </c>
      <c r="EO33" s="208">
        <v>-51896</v>
      </c>
      <c r="EP33" s="208">
        <v>0</v>
      </c>
      <c r="EQ33" s="208">
        <v>-524</v>
      </c>
      <c r="ER33" s="208">
        <v>161090.22599999997</v>
      </c>
      <c r="ES33" s="208">
        <v>0</v>
      </c>
      <c r="ET33" s="208">
        <v>1627.1739999999998</v>
      </c>
      <c r="EU33" s="208">
        <v>173861</v>
      </c>
      <c r="EV33" s="208">
        <v>0</v>
      </c>
      <c r="EW33" s="208">
        <v>1756</v>
      </c>
      <c r="EX33" s="208">
        <v>-12771</v>
      </c>
      <c r="EY33" s="208">
        <v>0</v>
      </c>
      <c r="EZ33" s="208">
        <v>-129</v>
      </c>
      <c r="FA33" s="208">
        <v>0</v>
      </c>
      <c r="FB33" s="208">
        <v>0</v>
      </c>
      <c r="FC33" s="208">
        <v>0</v>
      </c>
      <c r="FD33" s="208">
        <v>0</v>
      </c>
      <c r="FE33" s="208">
        <v>0</v>
      </c>
      <c r="FF33" s="208">
        <v>0</v>
      </c>
      <c r="FG33" s="208">
        <v>0</v>
      </c>
      <c r="FH33" s="208">
        <v>0</v>
      </c>
      <c r="FI33" s="208">
        <v>0</v>
      </c>
      <c r="FJ33" s="208">
        <v>2970280.6918124999</v>
      </c>
      <c r="FK33" s="208">
        <v>0</v>
      </c>
      <c r="FL33" s="208">
        <v>30002.835270833333</v>
      </c>
      <c r="FM33" s="208">
        <v>2918917</v>
      </c>
      <c r="FN33" s="208">
        <v>0</v>
      </c>
      <c r="FO33" s="208">
        <v>29484</v>
      </c>
      <c r="FP33" s="208">
        <v>51364</v>
      </c>
      <c r="FQ33" s="208">
        <v>0</v>
      </c>
      <c r="FR33" s="208">
        <v>519</v>
      </c>
      <c r="FS33" s="208">
        <v>0</v>
      </c>
      <c r="FT33" s="208">
        <v>0</v>
      </c>
      <c r="FU33" s="208">
        <v>0</v>
      </c>
      <c r="FV33" s="208">
        <v>0</v>
      </c>
      <c r="FW33" s="208">
        <v>0</v>
      </c>
      <c r="FX33" s="208">
        <v>0</v>
      </c>
      <c r="FY33" s="208">
        <v>0</v>
      </c>
      <c r="FZ33" s="208">
        <v>0</v>
      </c>
      <c r="GA33" s="208">
        <v>0</v>
      </c>
      <c r="GB33" s="208">
        <v>20943138</v>
      </c>
      <c r="GC33" s="208">
        <v>0</v>
      </c>
      <c r="GD33" s="208">
        <v>211545</v>
      </c>
      <c r="GE33" s="664">
        <v>0</v>
      </c>
      <c r="GF33" s="664">
        <v>0.99</v>
      </c>
      <c r="GG33" s="664">
        <v>0</v>
      </c>
      <c r="GH33" s="664">
        <v>0.01</v>
      </c>
      <c r="GI33" s="187" t="s">
        <v>1056</v>
      </c>
    </row>
    <row r="34" spans="1:191" s="187" customFormat="1" x14ac:dyDescent="0.2">
      <c r="B34" s="429" t="s">
        <v>147</v>
      </c>
      <c r="C34" s="429" t="s">
        <v>146</v>
      </c>
      <c r="D34" s="208">
        <v>219413</v>
      </c>
      <c r="E34" s="208">
        <v>0</v>
      </c>
      <c r="F34" s="208">
        <v>219413</v>
      </c>
      <c r="G34" s="208">
        <v>104400</v>
      </c>
      <c r="H34" s="208">
        <v>0</v>
      </c>
      <c r="I34" s="208">
        <v>104400</v>
      </c>
      <c r="J34" s="208">
        <v>115013</v>
      </c>
      <c r="K34" s="208">
        <v>0</v>
      </c>
      <c r="L34" s="208">
        <v>115013</v>
      </c>
      <c r="M34" s="208">
        <v>192808</v>
      </c>
      <c r="N34" s="208">
        <v>192808</v>
      </c>
      <c r="O34" s="208">
        <v>0</v>
      </c>
      <c r="P34" s="208">
        <v>0</v>
      </c>
      <c r="Q34" s="208">
        <v>0</v>
      </c>
      <c r="R34" s="208">
        <v>0</v>
      </c>
      <c r="S34" s="208">
        <v>97132</v>
      </c>
      <c r="T34" s="208">
        <v>104696</v>
      </c>
      <c r="U34" s="208">
        <v>97100</v>
      </c>
      <c r="V34" s="208">
        <v>107500</v>
      </c>
      <c r="W34" s="208">
        <v>32</v>
      </c>
      <c r="X34" s="208">
        <v>-2804</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c r="BL34" s="208">
        <v>0</v>
      </c>
      <c r="BM34" s="208">
        <v>0</v>
      </c>
      <c r="BN34" s="208">
        <v>0</v>
      </c>
      <c r="BO34" s="208">
        <v>1532607.4003600667</v>
      </c>
      <c r="BP34" s="208">
        <v>344836.66508101497</v>
      </c>
      <c r="BQ34" s="208">
        <v>38315.185009001674</v>
      </c>
      <c r="BR34" s="208">
        <v>120688</v>
      </c>
      <c r="BS34" s="208">
        <v>27155</v>
      </c>
      <c r="BT34" s="208">
        <v>3017</v>
      </c>
      <c r="BU34" s="208">
        <v>1354715</v>
      </c>
      <c r="BV34" s="208">
        <v>304811</v>
      </c>
      <c r="BW34" s="208">
        <v>33868</v>
      </c>
      <c r="BX34" s="208">
        <v>298580</v>
      </c>
      <c r="BY34" s="208">
        <v>67181</v>
      </c>
      <c r="BZ34" s="208">
        <v>7464</v>
      </c>
      <c r="CA34" s="208">
        <v>0</v>
      </c>
      <c r="CB34" s="208">
        <v>0</v>
      </c>
      <c r="CC34" s="208">
        <v>0</v>
      </c>
      <c r="CD34" s="208">
        <v>0</v>
      </c>
      <c r="CE34" s="208">
        <v>0</v>
      </c>
      <c r="CF34" s="208">
        <v>0</v>
      </c>
      <c r="CG34" s="208">
        <v>0</v>
      </c>
      <c r="CH34" s="208">
        <v>0</v>
      </c>
      <c r="CI34" s="208">
        <v>0</v>
      </c>
      <c r="CJ34" s="208">
        <v>0</v>
      </c>
      <c r="CK34" s="208">
        <v>0</v>
      </c>
      <c r="CL34" s="208">
        <v>0</v>
      </c>
      <c r="CM34" s="208">
        <v>0</v>
      </c>
      <c r="CN34" s="208">
        <v>0</v>
      </c>
      <c r="CO34" s="208">
        <v>0</v>
      </c>
      <c r="CP34" s="208">
        <v>-613.75</v>
      </c>
      <c r="CQ34" s="208">
        <v>-138.09375</v>
      </c>
      <c r="CR34" s="208">
        <v>-15.34375</v>
      </c>
      <c r="CS34" s="208">
        <v>-1140.3475000000001</v>
      </c>
      <c r="CT34" s="208">
        <v>-256.57818750000001</v>
      </c>
      <c r="CU34" s="208">
        <v>-28.508687500000001</v>
      </c>
      <c r="CV34" s="208">
        <v>0</v>
      </c>
      <c r="CW34" s="208">
        <v>0</v>
      </c>
      <c r="CX34" s="208">
        <v>0</v>
      </c>
      <c r="CY34" s="208">
        <v>-1140</v>
      </c>
      <c r="CZ34" s="208">
        <v>-257</v>
      </c>
      <c r="DA34" s="208">
        <v>-29</v>
      </c>
      <c r="DB34" s="208">
        <v>9.82</v>
      </c>
      <c r="DC34" s="208">
        <v>2.2094999999999998</v>
      </c>
      <c r="DD34" s="208">
        <v>0.24550000000000002</v>
      </c>
      <c r="DE34" s="208">
        <v>4998.380000000001</v>
      </c>
      <c r="DF34" s="208">
        <v>1124.6355000000001</v>
      </c>
      <c r="DG34" s="208">
        <v>124.95950000000001</v>
      </c>
      <c r="DH34" s="208">
        <v>3806</v>
      </c>
      <c r="DI34" s="208">
        <v>856</v>
      </c>
      <c r="DJ34" s="208">
        <v>95</v>
      </c>
      <c r="DK34" s="208">
        <v>1192</v>
      </c>
      <c r="DL34" s="208">
        <v>269</v>
      </c>
      <c r="DM34" s="208">
        <v>30</v>
      </c>
      <c r="DN34" s="208">
        <v>613.75</v>
      </c>
      <c r="DO34" s="208">
        <v>138.09375</v>
      </c>
      <c r="DP34" s="208">
        <v>15.34375</v>
      </c>
      <c r="DQ34" s="208">
        <v>614</v>
      </c>
      <c r="DR34" s="208">
        <v>138</v>
      </c>
      <c r="DS34" s="208">
        <v>15</v>
      </c>
      <c r="DT34" s="208">
        <v>0</v>
      </c>
      <c r="DU34" s="208">
        <v>0</v>
      </c>
      <c r="DV34" s="208">
        <v>0</v>
      </c>
      <c r="DW34" s="208">
        <v>7187.8308333333334</v>
      </c>
      <c r="DX34" s="208">
        <v>1617.2619374999999</v>
      </c>
      <c r="DY34" s="208">
        <v>179.69577083333334</v>
      </c>
      <c r="DZ34" s="208">
        <v>9042</v>
      </c>
      <c r="EA34" s="208">
        <v>2035</v>
      </c>
      <c r="EB34" s="208">
        <v>226</v>
      </c>
      <c r="EC34" s="208">
        <v>-1854</v>
      </c>
      <c r="ED34" s="208">
        <v>-418</v>
      </c>
      <c r="EE34" s="208">
        <v>-46</v>
      </c>
      <c r="EF34" s="208">
        <v>53570.145833333343</v>
      </c>
      <c r="EG34" s="208">
        <v>12053.2828125</v>
      </c>
      <c r="EH34" s="208">
        <v>1339.2536458333334</v>
      </c>
      <c r="EI34" s="208">
        <v>-384.61666666666667</v>
      </c>
      <c r="EJ34" s="208">
        <v>-86.538749999999993</v>
      </c>
      <c r="EK34" s="208">
        <v>-9.6154166666666665</v>
      </c>
      <c r="EL34" s="208">
        <v>57037</v>
      </c>
      <c r="EM34" s="208">
        <v>12834</v>
      </c>
      <c r="EN34" s="208">
        <v>1426</v>
      </c>
      <c r="EO34" s="208">
        <v>-3851</v>
      </c>
      <c r="EP34" s="208">
        <v>-867</v>
      </c>
      <c r="EQ34" s="208">
        <v>-96</v>
      </c>
      <c r="ER34" s="208">
        <v>22426.834166666667</v>
      </c>
      <c r="ES34" s="208">
        <v>5046.0376875000002</v>
      </c>
      <c r="ET34" s="208">
        <v>560.67085416666669</v>
      </c>
      <c r="EU34" s="208">
        <v>23322</v>
      </c>
      <c r="EV34" s="208">
        <v>5248</v>
      </c>
      <c r="EW34" s="208">
        <v>583</v>
      </c>
      <c r="EX34" s="208">
        <v>-895</v>
      </c>
      <c r="EY34" s="208">
        <v>-202</v>
      </c>
      <c r="EZ34" s="208">
        <v>-22</v>
      </c>
      <c r="FA34" s="208">
        <v>0</v>
      </c>
      <c r="FB34" s="208">
        <v>0</v>
      </c>
      <c r="FC34" s="208">
        <v>0</v>
      </c>
      <c r="FD34" s="208">
        <v>0</v>
      </c>
      <c r="FE34" s="208">
        <v>0</v>
      </c>
      <c r="FF34" s="208">
        <v>0</v>
      </c>
      <c r="FG34" s="208">
        <v>0</v>
      </c>
      <c r="FH34" s="208">
        <v>0</v>
      </c>
      <c r="FI34" s="208">
        <v>0</v>
      </c>
      <c r="FJ34" s="208">
        <v>388440.66249999998</v>
      </c>
      <c r="FK34" s="208">
        <v>89297.595520833318</v>
      </c>
      <c r="FL34" s="208">
        <v>9655.3680208333335</v>
      </c>
      <c r="FM34" s="208">
        <v>386236</v>
      </c>
      <c r="FN34" s="208">
        <v>88866</v>
      </c>
      <c r="FO34" s="208">
        <v>9600</v>
      </c>
      <c r="FP34" s="208">
        <v>2205</v>
      </c>
      <c r="FQ34" s="208">
        <v>432</v>
      </c>
      <c r="FR34" s="208">
        <v>55</v>
      </c>
      <c r="FS34" s="208">
        <v>0</v>
      </c>
      <c r="FT34" s="208">
        <v>0</v>
      </c>
      <c r="FU34" s="208">
        <v>0</v>
      </c>
      <c r="FV34" s="208">
        <v>0</v>
      </c>
      <c r="FW34" s="208">
        <v>0</v>
      </c>
      <c r="FX34" s="208">
        <v>0</v>
      </c>
      <c r="FY34" s="208">
        <v>0</v>
      </c>
      <c r="FZ34" s="208">
        <v>0</v>
      </c>
      <c r="GA34" s="208">
        <v>0</v>
      </c>
      <c r="GB34" s="208">
        <v>2128404</v>
      </c>
      <c r="GC34" s="208">
        <v>480789</v>
      </c>
      <c r="GD34" s="208">
        <v>53153</v>
      </c>
      <c r="GE34" s="664">
        <v>0.5</v>
      </c>
      <c r="GF34" s="664">
        <v>0.4</v>
      </c>
      <c r="GG34" s="664">
        <v>0.09</v>
      </c>
      <c r="GH34" s="664">
        <v>0.01</v>
      </c>
      <c r="GI34" s="187" t="s">
        <v>1054</v>
      </c>
    </row>
    <row r="35" spans="1:191" s="187" customFormat="1" x14ac:dyDescent="0.2">
      <c r="B35" s="429" t="s">
        <v>149</v>
      </c>
      <c r="C35" s="429" t="s">
        <v>148</v>
      </c>
      <c r="D35" s="208">
        <v>461504</v>
      </c>
      <c r="E35" s="208">
        <v>0</v>
      </c>
      <c r="F35" s="208">
        <v>461504</v>
      </c>
      <c r="G35" s="208">
        <v>522215</v>
      </c>
      <c r="H35" s="208">
        <v>0</v>
      </c>
      <c r="I35" s="208">
        <v>522215</v>
      </c>
      <c r="J35" s="208">
        <v>-60711</v>
      </c>
      <c r="K35" s="208">
        <v>0</v>
      </c>
      <c r="L35" s="208">
        <v>-60711</v>
      </c>
      <c r="M35" s="208">
        <v>163384</v>
      </c>
      <c r="N35" s="208">
        <v>163384</v>
      </c>
      <c r="O35" s="208">
        <v>0</v>
      </c>
      <c r="P35" s="208">
        <v>0</v>
      </c>
      <c r="Q35" s="208">
        <v>0</v>
      </c>
      <c r="R35" s="208">
        <v>0</v>
      </c>
      <c r="S35" s="208">
        <v>2385940</v>
      </c>
      <c r="T35" s="208">
        <v>0</v>
      </c>
      <c r="U35" s="208">
        <v>1740344</v>
      </c>
      <c r="V35" s="208">
        <v>0</v>
      </c>
      <c r="W35" s="208">
        <v>645596</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c r="BL35" s="208">
        <v>0</v>
      </c>
      <c r="BM35" s="208">
        <v>0</v>
      </c>
      <c r="BN35" s="208">
        <v>0</v>
      </c>
      <c r="BO35" s="208">
        <v>1339868.8442833335</v>
      </c>
      <c r="BP35" s="208">
        <v>334967.21107083338</v>
      </c>
      <c r="BQ35" s="208">
        <v>0</v>
      </c>
      <c r="BR35" s="208">
        <v>83635</v>
      </c>
      <c r="BS35" s="208">
        <v>20909</v>
      </c>
      <c r="BT35" s="208">
        <v>0</v>
      </c>
      <c r="BU35" s="208">
        <v>1285859</v>
      </c>
      <c r="BV35" s="208">
        <v>321465</v>
      </c>
      <c r="BW35" s="208">
        <v>0</v>
      </c>
      <c r="BX35" s="208">
        <v>137645</v>
      </c>
      <c r="BY35" s="208">
        <v>34411</v>
      </c>
      <c r="BZ35" s="208">
        <v>0</v>
      </c>
      <c r="CA35" s="208">
        <v>0</v>
      </c>
      <c r="CB35" s="208">
        <v>0</v>
      </c>
      <c r="CC35" s="208">
        <v>0</v>
      </c>
      <c r="CD35" s="208">
        <v>0</v>
      </c>
      <c r="CE35" s="208">
        <v>0</v>
      </c>
      <c r="CF35" s="208">
        <v>0</v>
      </c>
      <c r="CG35" s="208">
        <v>0</v>
      </c>
      <c r="CH35" s="208">
        <v>0</v>
      </c>
      <c r="CI35" s="208">
        <v>0</v>
      </c>
      <c r="CJ35" s="208">
        <v>0</v>
      </c>
      <c r="CK35" s="208">
        <v>0</v>
      </c>
      <c r="CL35" s="208">
        <v>0</v>
      </c>
      <c r="CM35" s="208">
        <v>0</v>
      </c>
      <c r="CN35" s="208">
        <v>0</v>
      </c>
      <c r="CO35" s="208">
        <v>0</v>
      </c>
      <c r="CP35" s="208">
        <v>-1514.7350000000001</v>
      </c>
      <c r="CQ35" s="208">
        <v>-378.68375000000003</v>
      </c>
      <c r="CR35" s="208">
        <v>0</v>
      </c>
      <c r="CS35" s="208">
        <v>0</v>
      </c>
      <c r="CT35" s="208">
        <v>0</v>
      </c>
      <c r="CU35" s="208">
        <v>0</v>
      </c>
      <c r="CV35" s="208">
        <v>0</v>
      </c>
      <c r="CW35" s="208">
        <v>0</v>
      </c>
      <c r="CX35" s="208">
        <v>0</v>
      </c>
      <c r="CY35" s="208">
        <v>0</v>
      </c>
      <c r="CZ35" s="208">
        <v>0</v>
      </c>
      <c r="DA35" s="208">
        <v>0</v>
      </c>
      <c r="DB35" s="208">
        <v>0</v>
      </c>
      <c r="DC35" s="208">
        <v>0</v>
      </c>
      <c r="DD35" s="208">
        <v>0</v>
      </c>
      <c r="DE35" s="208">
        <v>25727.172500000001</v>
      </c>
      <c r="DF35" s="208">
        <v>6431.7931250000001</v>
      </c>
      <c r="DG35" s="208">
        <v>0</v>
      </c>
      <c r="DH35" s="208">
        <v>24502</v>
      </c>
      <c r="DI35" s="208">
        <v>6126</v>
      </c>
      <c r="DJ35" s="208">
        <v>0</v>
      </c>
      <c r="DK35" s="208">
        <v>1225</v>
      </c>
      <c r="DL35" s="208">
        <v>306</v>
      </c>
      <c r="DM35" s="208">
        <v>0</v>
      </c>
      <c r="DN35" s="208">
        <v>499.18333333333334</v>
      </c>
      <c r="DO35" s="208">
        <v>124.79583333333333</v>
      </c>
      <c r="DP35" s="208">
        <v>0</v>
      </c>
      <c r="DQ35" s="208">
        <v>1114</v>
      </c>
      <c r="DR35" s="208">
        <v>279</v>
      </c>
      <c r="DS35" s="208">
        <v>0</v>
      </c>
      <c r="DT35" s="208">
        <v>-615</v>
      </c>
      <c r="DU35" s="208">
        <v>-154</v>
      </c>
      <c r="DV35" s="208">
        <v>0</v>
      </c>
      <c r="DW35" s="208">
        <v>16788.108333333334</v>
      </c>
      <c r="DX35" s="208">
        <v>4197.0270833333334</v>
      </c>
      <c r="DY35" s="208">
        <v>0</v>
      </c>
      <c r="DZ35" s="208">
        <v>15593</v>
      </c>
      <c r="EA35" s="208">
        <v>3898</v>
      </c>
      <c r="EB35" s="208">
        <v>0</v>
      </c>
      <c r="EC35" s="208">
        <v>1195</v>
      </c>
      <c r="ED35" s="208">
        <v>299</v>
      </c>
      <c r="EE35" s="208">
        <v>0</v>
      </c>
      <c r="EF35" s="208">
        <v>58621.308333333342</v>
      </c>
      <c r="EG35" s="208">
        <v>14655.327083333335</v>
      </c>
      <c r="EH35" s="208">
        <v>0</v>
      </c>
      <c r="EI35" s="208">
        <v>30067.612500000003</v>
      </c>
      <c r="EJ35" s="208">
        <v>7516.9031250000007</v>
      </c>
      <c r="EK35" s="208">
        <v>0</v>
      </c>
      <c r="EL35" s="208">
        <v>63830</v>
      </c>
      <c r="EM35" s="208">
        <v>15958</v>
      </c>
      <c r="EN35" s="208">
        <v>0</v>
      </c>
      <c r="EO35" s="208">
        <v>24859</v>
      </c>
      <c r="EP35" s="208">
        <v>6214</v>
      </c>
      <c r="EQ35" s="208">
        <v>0</v>
      </c>
      <c r="ER35" s="208">
        <v>11126.06</v>
      </c>
      <c r="ES35" s="208">
        <v>2781.5149999999999</v>
      </c>
      <c r="ET35" s="208">
        <v>0</v>
      </c>
      <c r="EU35" s="208">
        <v>10638</v>
      </c>
      <c r="EV35" s="208">
        <v>2660</v>
      </c>
      <c r="EW35" s="208">
        <v>0</v>
      </c>
      <c r="EX35" s="208">
        <v>488</v>
      </c>
      <c r="EY35" s="208">
        <v>122</v>
      </c>
      <c r="EZ35" s="208">
        <v>0</v>
      </c>
      <c r="FA35" s="208">
        <v>0</v>
      </c>
      <c r="FB35" s="208">
        <v>0</v>
      </c>
      <c r="FC35" s="208">
        <v>0</v>
      </c>
      <c r="FD35" s="208">
        <v>0</v>
      </c>
      <c r="FE35" s="208">
        <v>0</v>
      </c>
      <c r="FF35" s="208">
        <v>0</v>
      </c>
      <c r="FG35" s="208">
        <v>0</v>
      </c>
      <c r="FH35" s="208">
        <v>0</v>
      </c>
      <c r="FI35" s="208">
        <v>0</v>
      </c>
      <c r="FJ35" s="208">
        <v>324885.35749999998</v>
      </c>
      <c r="FK35" s="208">
        <v>67551.891458333339</v>
      </c>
      <c r="FL35" s="208">
        <v>0</v>
      </c>
      <c r="FM35" s="208">
        <v>333520</v>
      </c>
      <c r="FN35" s="208">
        <v>73409</v>
      </c>
      <c r="FO35" s="208">
        <v>0</v>
      </c>
      <c r="FP35" s="208">
        <v>-8635</v>
      </c>
      <c r="FQ35" s="208">
        <v>-5857</v>
      </c>
      <c r="FR35" s="208">
        <v>0</v>
      </c>
      <c r="FS35" s="208">
        <v>0</v>
      </c>
      <c r="FT35" s="208">
        <v>0</v>
      </c>
      <c r="FU35" s="208">
        <v>0</v>
      </c>
      <c r="FV35" s="208">
        <v>0</v>
      </c>
      <c r="FW35" s="208">
        <v>0</v>
      </c>
      <c r="FX35" s="208">
        <v>0</v>
      </c>
      <c r="FY35" s="208">
        <v>0</v>
      </c>
      <c r="FZ35" s="208">
        <v>0</v>
      </c>
      <c r="GA35" s="208">
        <v>0</v>
      </c>
      <c r="GB35" s="208">
        <v>1889703</v>
      </c>
      <c r="GC35" s="208">
        <v>458757</v>
      </c>
      <c r="GD35" s="208">
        <v>0</v>
      </c>
      <c r="GE35" s="664">
        <v>0.5</v>
      </c>
      <c r="GF35" s="664">
        <v>0.4</v>
      </c>
      <c r="GG35" s="664">
        <v>0.1</v>
      </c>
      <c r="GH35" s="664">
        <v>0</v>
      </c>
      <c r="GI35" s="187" t="s">
        <v>1054</v>
      </c>
    </row>
    <row r="36" spans="1:191" s="187" customFormat="1" x14ac:dyDescent="0.2">
      <c r="B36" s="429" t="s">
        <v>151</v>
      </c>
      <c r="C36" s="429" t="s">
        <v>150</v>
      </c>
      <c r="D36" s="208">
        <v>1429147</v>
      </c>
      <c r="E36" s="208">
        <v>0</v>
      </c>
      <c r="F36" s="208">
        <v>1429147</v>
      </c>
      <c r="G36" s="208">
        <v>2016557</v>
      </c>
      <c r="H36" s="208">
        <v>0</v>
      </c>
      <c r="I36" s="208">
        <v>2016557</v>
      </c>
      <c r="J36" s="208">
        <v>-587410</v>
      </c>
      <c r="K36" s="208">
        <v>0</v>
      </c>
      <c r="L36" s="208">
        <v>-587410</v>
      </c>
      <c r="M36" s="208">
        <v>418540</v>
      </c>
      <c r="N36" s="208">
        <v>418540</v>
      </c>
      <c r="O36" s="208">
        <v>0</v>
      </c>
      <c r="P36" s="208">
        <v>0</v>
      </c>
      <c r="Q36" s="208">
        <v>0</v>
      </c>
      <c r="R36" s="208">
        <v>0</v>
      </c>
      <c r="S36" s="208">
        <v>0</v>
      </c>
      <c r="T36" s="208">
        <v>0</v>
      </c>
      <c r="U36" s="208">
        <v>0</v>
      </c>
      <c r="V36" s="208">
        <v>0</v>
      </c>
      <c r="W36" s="208">
        <v>0</v>
      </c>
      <c r="X36" s="208">
        <v>0</v>
      </c>
      <c r="Y36" s="208">
        <v>0</v>
      </c>
      <c r="Z36" s="208">
        <v>0</v>
      </c>
      <c r="AA36" s="208">
        <v>0</v>
      </c>
      <c r="AB36" s="208">
        <v>0</v>
      </c>
      <c r="AC36" s="208">
        <v>0</v>
      </c>
      <c r="AD36" s="208">
        <v>0</v>
      </c>
      <c r="AE36" s="208">
        <v>0</v>
      </c>
      <c r="AF36" s="208">
        <v>0</v>
      </c>
      <c r="AG36" s="208">
        <v>0</v>
      </c>
      <c r="AH36" s="208">
        <v>0</v>
      </c>
      <c r="AI36" s="208">
        <v>0</v>
      </c>
      <c r="AJ36" s="208">
        <v>0</v>
      </c>
      <c r="AK36" s="208">
        <v>0</v>
      </c>
      <c r="AL36" s="208">
        <v>0</v>
      </c>
      <c r="AM36" s="208">
        <v>0</v>
      </c>
      <c r="AN36" s="208">
        <v>0</v>
      </c>
      <c r="AO36" s="208">
        <v>0</v>
      </c>
      <c r="AP36" s="208">
        <v>0</v>
      </c>
      <c r="AQ36" s="208">
        <v>0</v>
      </c>
      <c r="AR36" s="208">
        <v>0</v>
      </c>
      <c r="AS36" s="208">
        <v>0</v>
      </c>
      <c r="AT36" s="208">
        <v>0</v>
      </c>
      <c r="AU36" s="208">
        <v>0</v>
      </c>
      <c r="AV36" s="208">
        <v>0</v>
      </c>
      <c r="AW36" s="208">
        <v>0</v>
      </c>
      <c r="AX36" s="208">
        <v>0</v>
      </c>
      <c r="AY36" s="208">
        <v>0</v>
      </c>
      <c r="AZ36" s="208">
        <v>0</v>
      </c>
      <c r="BA36" s="208">
        <v>0</v>
      </c>
      <c r="BB36" s="208">
        <v>0</v>
      </c>
      <c r="BC36" s="208">
        <v>0</v>
      </c>
      <c r="BD36" s="208">
        <v>0</v>
      </c>
      <c r="BE36" s="208">
        <v>0</v>
      </c>
      <c r="BF36" s="208">
        <v>0</v>
      </c>
      <c r="BG36" s="208">
        <v>0</v>
      </c>
      <c r="BH36" s="208">
        <v>0</v>
      </c>
      <c r="BI36" s="208">
        <v>0</v>
      </c>
      <c r="BJ36" s="208">
        <v>0</v>
      </c>
      <c r="BK36" s="208">
        <v>0</v>
      </c>
      <c r="BL36" s="208">
        <v>0</v>
      </c>
      <c r="BM36" s="208">
        <v>0</v>
      </c>
      <c r="BN36" s="208">
        <v>0</v>
      </c>
      <c r="BO36" s="208">
        <v>4621261.937706667</v>
      </c>
      <c r="BP36" s="208">
        <v>2599459.8399599995</v>
      </c>
      <c r="BQ36" s="208">
        <v>0</v>
      </c>
      <c r="BR36" s="208">
        <v>311446</v>
      </c>
      <c r="BS36" s="208">
        <v>175188</v>
      </c>
      <c r="BT36" s="208">
        <v>0</v>
      </c>
      <c r="BU36" s="208">
        <v>4283322</v>
      </c>
      <c r="BV36" s="208">
        <v>2409369</v>
      </c>
      <c r="BW36" s="208">
        <v>0</v>
      </c>
      <c r="BX36" s="208">
        <v>649386</v>
      </c>
      <c r="BY36" s="208">
        <v>365279</v>
      </c>
      <c r="BZ36" s="208">
        <v>0</v>
      </c>
      <c r="CA36" s="208">
        <v>2639.616</v>
      </c>
      <c r="CB36" s="208">
        <v>1484.7839999999999</v>
      </c>
      <c r="CC36" s="208">
        <v>0</v>
      </c>
      <c r="CD36" s="208">
        <v>2639</v>
      </c>
      <c r="CE36" s="208">
        <v>1485</v>
      </c>
      <c r="CF36" s="208">
        <v>0</v>
      </c>
      <c r="CG36" s="208">
        <v>1</v>
      </c>
      <c r="CH36" s="208">
        <v>0</v>
      </c>
      <c r="CI36" s="208">
        <v>0</v>
      </c>
      <c r="CJ36" s="208">
        <v>0</v>
      </c>
      <c r="CK36" s="208">
        <v>0</v>
      </c>
      <c r="CL36" s="208">
        <v>0</v>
      </c>
      <c r="CM36" s="208">
        <v>0</v>
      </c>
      <c r="CN36" s="208">
        <v>0</v>
      </c>
      <c r="CO36" s="208">
        <v>0</v>
      </c>
      <c r="CP36" s="208">
        <v>-1541.74</v>
      </c>
      <c r="CQ36" s="208">
        <v>-867.22874999999999</v>
      </c>
      <c r="CR36" s="208">
        <v>0</v>
      </c>
      <c r="CS36" s="208">
        <v>0</v>
      </c>
      <c r="CT36" s="208">
        <v>0</v>
      </c>
      <c r="CU36" s="208">
        <v>0</v>
      </c>
      <c r="CV36" s="208">
        <v>0</v>
      </c>
      <c r="CW36" s="208">
        <v>0</v>
      </c>
      <c r="CX36" s="208">
        <v>0</v>
      </c>
      <c r="CY36" s="208">
        <v>0</v>
      </c>
      <c r="CZ36" s="208">
        <v>0</v>
      </c>
      <c r="DA36" s="208">
        <v>0</v>
      </c>
      <c r="DB36" s="208">
        <v>314.24</v>
      </c>
      <c r="DC36" s="208">
        <v>176.76</v>
      </c>
      <c r="DD36" s="208">
        <v>0</v>
      </c>
      <c r="DE36" s="208">
        <v>0</v>
      </c>
      <c r="DF36" s="208">
        <v>0</v>
      </c>
      <c r="DG36" s="208">
        <v>0</v>
      </c>
      <c r="DH36" s="208">
        <v>0</v>
      </c>
      <c r="DI36" s="208">
        <v>0</v>
      </c>
      <c r="DJ36" s="208">
        <v>0</v>
      </c>
      <c r="DK36" s="208">
        <v>0</v>
      </c>
      <c r="DL36" s="208">
        <v>0</v>
      </c>
      <c r="DM36" s="208">
        <v>0</v>
      </c>
      <c r="DN36" s="208">
        <v>0</v>
      </c>
      <c r="DO36" s="208">
        <v>0</v>
      </c>
      <c r="DP36" s="208">
        <v>0</v>
      </c>
      <c r="DQ36" s="208">
        <v>0</v>
      </c>
      <c r="DR36" s="208">
        <v>0</v>
      </c>
      <c r="DS36" s="208">
        <v>0</v>
      </c>
      <c r="DT36" s="208">
        <v>0</v>
      </c>
      <c r="DU36" s="208">
        <v>0</v>
      </c>
      <c r="DV36" s="208">
        <v>0</v>
      </c>
      <c r="DW36" s="208">
        <v>72175.036000000007</v>
      </c>
      <c r="DX36" s="208">
        <v>40598.457750000001</v>
      </c>
      <c r="DY36" s="208">
        <v>0</v>
      </c>
      <c r="DZ36" s="208">
        <v>83692</v>
      </c>
      <c r="EA36" s="208">
        <v>47077</v>
      </c>
      <c r="EB36" s="208">
        <v>0</v>
      </c>
      <c r="EC36" s="208">
        <v>-11517</v>
      </c>
      <c r="ED36" s="208">
        <v>-6479</v>
      </c>
      <c r="EE36" s="208">
        <v>0</v>
      </c>
      <c r="EF36" s="208">
        <v>272809.42</v>
      </c>
      <c r="EG36" s="208">
        <v>153455.29874999999</v>
      </c>
      <c r="EH36" s="208">
        <v>0</v>
      </c>
      <c r="EI36" s="208">
        <v>-14073.369333333334</v>
      </c>
      <c r="EJ36" s="208">
        <v>-7916.2702499999996</v>
      </c>
      <c r="EK36" s="208">
        <v>0</v>
      </c>
      <c r="EL36" s="208">
        <v>348283</v>
      </c>
      <c r="EM36" s="208">
        <v>195909</v>
      </c>
      <c r="EN36" s="208">
        <v>0</v>
      </c>
      <c r="EO36" s="208">
        <v>-89547</v>
      </c>
      <c r="EP36" s="208">
        <v>-50370</v>
      </c>
      <c r="EQ36" s="208">
        <v>0</v>
      </c>
      <c r="ER36" s="208">
        <v>23158.178666666667</v>
      </c>
      <c r="ES36" s="208">
        <v>13026.475499999999</v>
      </c>
      <c r="ET36" s="208">
        <v>0</v>
      </c>
      <c r="EU36" s="208">
        <v>24223</v>
      </c>
      <c r="EV36" s="208">
        <v>13625</v>
      </c>
      <c r="EW36" s="208">
        <v>0</v>
      </c>
      <c r="EX36" s="208">
        <v>-1065</v>
      </c>
      <c r="EY36" s="208">
        <v>-599</v>
      </c>
      <c r="EZ36" s="208">
        <v>0</v>
      </c>
      <c r="FA36" s="208">
        <v>0</v>
      </c>
      <c r="FB36" s="208">
        <v>0</v>
      </c>
      <c r="FC36" s="208">
        <v>0</v>
      </c>
      <c r="FD36" s="208">
        <v>0</v>
      </c>
      <c r="FE36" s="208">
        <v>0</v>
      </c>
      <c r="FF36" s="208">
        <v>0</v>
      </c>
      <c r="FG36" s="208">
        <v>0</v>
      </c>
      <c r="FH36" s="208">
        <v>0</v>
      </c>
      <c r="FI36" s="208">
        <v>0</v>
      </c>
      <c r="FJ36" s="208">
        <v>1966121.6226666665</v>
      </c>
      <c r="FK36" s="208">
        <v>1105943.4127499999</v>
      </c>
      <c r="FL36" s="208">
        <v>0</v>
      </c>
      <c r="FM36" s="208">
        <v>1915219</v>
      </c>
      <c r="FN36" s="208">
        <v>1077311</v>
      </c>
      <c r="FO36" s="208">
        <v>0</v>
      </c>
      <c r="FP36" s="208">
        <v>50903</v>
      </c>
      <c r="FQ36" s="208">
        <v>28632</v>
      </c>
      <c r="FR36" s="208">
        <v>0</v>
      </c>
      <c r="FS36" s="208">
        <v>0</v>
      </c>
      <c r="FT36" s="208">
        <v>0</v>
      </c>
      <c r="FU36" s="208">
        <v>0</v>
      </c>
      <c r="FV36" s="208">
        <v>0</v>
      </c>
      <c r="FW36" s="208">
        <v>0</v>
      </c>
      <c r="FX36" s="208">
        <v>0</v>
      </c>
      <c r="FY36" s="208">
        <v>0</v>
      </c>
      <c r="FZ36" s="208">
        <v>0</v>
      </c>
      <c r="GA36" s="208">
        <v>0</v>
      </c>
      <c r="GB36" s="208">
        <v>7254311</v>
      </c>
      <c r="GC36" s="208">
        <v>4080549</v>
      </c>
      <c r="GD36" s="208">
        <v>0</v>
      </c>
      <c r="GE36" s="664">
        <v>0</v>
      </c>
      <c r="GF36" s="664">
        <v>0.64</v>
      </c>
      <c r="GG36" s="664">
        <v>0.36</v>
      </c>
      <c r="GH36" s="664">
        <v>0</v>
      </c>
      <c r="GI36" s="187" t="s">
        <v>1055</v>
      </c>
    </row>
    <row r="37" spans="1:191" s="187" customFormat="1" x14ac:dyDescent="0.2">
      <c r="B37" s="429" t="s">
        <v>153</v>
      </c>
      <c r="C37" s="429" t="s">
        <v>152</v>
      </c>
      <c r="D37" s="208">
        <v>-551766</v>
      </c>
      <c r="E37" s="208">
        <v>0</v>
      </c>
      <c r="F37" s="208">
        <v>-551766</v>
      </c>
      <c r="G37" s="208">
        <v>-392944</v>
      </c>
      <c r="H37" s="208">
        <v>0</v>
      </c>
      <c r="I37" s="208">
        <v>-392944</v>
      </c>
      <c r="J37" s="208">
        <v>-158822</v>
      </c>
      <c r="K37" s="208">
        <v>0</v>
      </c>
      <c r="L37" s="208">
        <v>-158822</v>
      </c>
      <c r="M37" s="208">
        <v>105452</v>
      </c>
      <c r="N37" s="208">
        <v>105452</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0</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0</v>
      </c>
      <c r="BH37" s="208">
        <v>0</v>
      </c>
      <c r="BI37" s="208">
        <v>0</v>
      </c>
      <c r="BJ37" s="208">
        <v>0</v>
      </c>
      <c r="BK37" s="208">
        <v>0</v>
      </c>
      <c r="BL37" s="208">
        <v>0</v>
      </c>
      <c r="BM37" s="208">
        <v>0</v>
      </c>
      <c r="BN37" s="208">
        <v>0</v>
      </c>
      <c r="BO37" s="208">
        <v>781496.13034666667</v>
      </c>
      <c r="BP37" s="208">
        <v>175836.62932799998</v>
      </c>
      <c r="BQ37" s="208">
        <v>19537.403258666669</v>
      </c>
      <c r="BR37" s="208">
        <v>75452</v>
      </c>
      <c r="BS37" s="208">
        <v>16977</v>
      </c>
      <c r="BT37" s="208">
        <v>1886</v>
      </c>
      <c r="BU37" s="208">
        <v>697953</v>
      </c>
      <c r="BV37" s="208">
        <v>157039</v>
      </c>
      <c r="BW37" s="208">
        <v>17449</v>
      </c>
      <c r="BX37" s="208">
        <v>158995</v>
      </c>
      <c r="BY37" s="208">
        <v>35775</v>
      </c>
      <c r="BZ37" s="208">
        <v>3974</v>
      </c>
      <c r="CA37" s="208">
        <v>0</v>
      </c>
      <c r="CB37" s="208">
        <v>0</v>
      </c>
      <c r="CC37" s="208">
        <v>0</v>
      </c>
      <c r="CD37" s="208">
        <v>0</v>
      </c>
      <c r="CE37" s="208">
        <v>0</v>
      </c>
      <c r="CF37" s="208">
        <v>0</v>
      </c>
      <c r="CG37" s="208">
        <v>0</v>
      </c>
      <c r="CH37" s="208">
        <v>0</v>
      </c>
      <c r="CI37" s="208">
        <v>0</v>
      </c>
      <c r="CJ37" s="208">
        <v>-2516.7841666666668</v>
      </c>
      <c r="CK37" s="208">
        <v>-566.27643750000004</v>
      </c>
      <c r="CL37" s="208">
        <v>-62.919604166666666</v>
      </c>
      <c r="CM37" s="208">
        <v>-205.81083333333333</v>
      </c>
      <c r="CN37" s="208">
        <v>-46.307437499999992</v>
      </c>
      <c r="CO37" s="208">
        <v>-5.145270833333333</v>
      </c>
      <c r="CP37" s="208">
        <v>-103.51916666666666</v>
      </c>
      <c r="CQ37" s="208">
        <v>-23.291812499999999</v>
      </c>
      <c r="CR37" s="208">
        <v>-2.5879791666666665</v>
      </c>
      <c r="CS37" s="208">
        <v>0</v>
      </c>
      <c r="CT37" s="208">
        <v>0</v>
      </c>
      <c r="CU37" s="208">
        <v>0</v>
      </c>
      <c r="CV37" s="208">
        <v>0</v>
      </c>
      <c r="CW37" s="208">
        <v>0</v>
      </c>
      <c r="CX37" s="208">
        <v>0</v>
      </c>
      <c r="CY37" s="208">
        <v>0</v>
      </c>
      <c r="CZ37" s="208">
        <v>0</v>
      </c>
      <c r="DA37" s="208">
        <v>0</v>
      </c>
      <c r="DB37" s="208">
        <v>0</v>
      </c>
      <c r="DC37" s="208">
        <v>0</v>
      </c>
      <c r="DD37" s="208">
        <v>0</v>
      </c>
      <c r="DE37" s="208">
        <v>0</v>
      </c>
      <c r="DF37" s="208">
        <v>0</v>
      </c>
      <c r="DG37" s="208">
        <v>0</v>
      </c>
      <c r="DH37" s="208">
        <v>0</v>
      </c>
      <c r="DI37" s="208">
        <v>0</v>
      </c>
      <c r="DJ37" s="208">
        <v>0</v>
      </c>
      <c r="DK37" s="208">
        <v>0</v>
      </c>
      <c r="DL37" s="208">
        <v>0</v>
      </c>
      <c r="DM37" s="208">
        <v>0</v>
      </c>
      <c r="DN37" s="208">
        <v>0</v>
      </c>
      <c r="DO37" s="208">
        <v>0</v>
      </c>
      <c r="DP37" s="208">
        <v>0</v>
      </c>
      <c r="DQ37" s="208">
        <v>0</v>
      </c>
      <c r="DR37" s="208">
        <v>0</v>
      </c>
      <c r="DS37" s="208">
        <v>0</v>
      </c>
      <c r="DT37" s="208">
        <v>0</v>
      </c>
      <c r="DU37" s="208">
        <v>0</v>
      </c>
      <c r="DV37" s="208">
        <v>0</v>
      </c>
      <c r="DW37" s="208">
        <v>1493.8675000000003</v>
      </c>
      <c r="DX37" s="208">
        <v>336.12018749999999</v>
      </c>
      <c r="DY37" s="208">
        <v>37.346687500000002</v>
      </c>
      <c r="DZ37" s="208">
        <v>2159</v>
      </c>
      <c r="EA37" s="208">
        <v>486</v>
      </c>
      <c r="EB37" s="208">
        <v>54</v>
      </c>
      <c r="EC37" s="208">
        <v>-665</v>
      </c>
      <c r="ED37" s="208">
        <v>-150</v>
      </c>
      <c r="EE37" s="208">
        <v>-17</v>
      </c>
      <c r="EF37" s="208">
        <v>21937.88</v>
      </c>
      <c r="EG37" s="208">
        <v>4936.0229999999992</v>
      </c>
      <c r="EH37" s="208">
        <v>548.447</v>
      </c>
      <c r="EI37" s="208">
        <v>-3585.1183333333338</v>
      </c>
      <c r="EJ37" s="208">
        <v>-806.65162499999997</v>
      </c>
      <c r="EK37" s="208">
        <v>-89.627958333333339</v>
      </c>
      <c r="EL37" s="208">
        <v>24911</v>
      </c>
      <c r="EM37" s="208">
        <v>5605</v>
      </c>
      <c r="EN37" s="208">
        <v>623</v>
      </c>
      <c r="EO37" s="208">
        <v>-6558</v>
      </c>
      <c r="EP37" s="208">
        <v>-1476</v>
      </c>
      <c r="EQ37" s="208">
        <v>-164</v>
      </c>
      <c r="ER37" s="208">
        <v>7739.3875000000007</v>
      </c>
      <c r="ES37" s="208">
        <v>1741.3621874999999</v>
      </c>
      <c r="ET37" s="208">
        <v>193.48468750000001</v>
      </c>
      <c r="EU37" s="208">
        <v>7775</v>
      </c>
      <c r="EV37" s="208">
        <v>1749</v>
      </c>
      <c r="EW37" s="208">
        <v>194</v>
      </c>
      <c r="EX37" s="208">
        <v>-36</v>
      </c>
      <c r="EY37" s="208">
        <v>-8</v>
      </c>
      <c r="EZ37" s="208">
        <v>-1</v>
      </c>
      <c r="FA37" s="208">
        <v>0</v>
      </c>
      <c r="FB37" s="208">
        <v>0</v>
      </c>
      <c r="FC37" s="208">
        <v>0</v>
      </c>
      <c r="FD37" s="208">
        <v>0</v>
      </c>
      <c r="FE37" s="208">
        <v>0</v>
      </c>
      <c r="FF37" s="208">
        <v>0</v>
      </c>
      <c r="FG37" s="208">
        <v>0</v>
      </c>
      <c r="FH37" s="208">
        <v>0</v>
      </c>
      <c r="FI37" s="208">
        <v>0</v>
      </c>
      <c r="FJ37" s="208">
        <v>254586.46583333335</v>
      </c>
      <c r="FK37" s="208">
        <v>57281.954812499993</v>
      </c>
      <c r="FL37" s="208">
        <v>6364.6616458333328</v>
      </c>
      <c r="FM37" s="208">
        <v>262602</v>
      </c>
      <c r="FN37" s="208">
        <v>59085</v>
      </c>
      <c r="FO37" s="208">
        <v>6565</v>
      </c>
      <c r="FP37" s="208">
        <v>-8016</v>
      </c>
      <c r="FQ37" s="208">
        <v>-1803</v>
      </c>
      <c r="FR37" s="208">
        <v>-200</v>
      </c>
      <c r="FS37" s="208">
        <v>0</v>
      </c>
      <c r="FT37" s="208">
        <v>0</v>
      </c>
      <c r="FU37" s="208">
        <v>0</v>
      </c>
      <c r="FV37" s="208">
        <v>0</v>
      </c>
      <c r="FW37" s="208">
        <v>0</v>
      </c>
      <c r="FX37" s="208">
        <v>0</v>
      </c>
      <c r="FY37" s="208">
        <v>0</v>
      </c>
      <c r="FZ37" s="208">
        <v>0</v>
      </c>
      <c r="GA37" s="208">
        <v>0</v>
      </c>
      <c r="GB37" s="208">
        <v>1136293</v>
      </c>
      <c r="GC37" s="208">
        <v>255667</v>
      </c>
      <c r="GD37" s="208">
        <v>28405</v>
      </c>
      <c r="GE37" s="664">
        <v>0.5</v>
      </c>
      <c r="GF37" s="664">
        <v>0.4</v>
      </c>
      <c r="GG37" s="664">
        <v>0.09</v>
      </c>
      <c r="GH37" s="664">
        <v>0.01</v>
      </c>
      <c r="GI37" s="187" t="s">
        <v>1054</v>
      </c>
    </row>
    <row r="38" spans="1:191" s="187" customFormat="1" x14ac:dyDescent="0.2">
      <c r="B38" s="429" t="s">
        <v>155</v>
      </c>
      <c r="C38" s="429" t="s">
        <v>154</v>
      </c>
      <c r="D38" s="208">
        <v>4383386</v>
      </c>
      <c r="E38" s="208">
        <v>0</v>
      </c>
      <c r="F38" s="208">
        <v>4383386</v>
      </c>
      <c r="G38" s="208">
        <v>3991799</v>
      </c>
      <c r="H38" s="208">
        <v>0</v>
      </c>
      <c r="I38" s="208">
        <v>3991799</v>
      </c>
      <c r="J38" s="208">
        <v>391587</v>
      </c>
      <c r="K38" s="208">
        <v>0</v>
      </c>
      <c r="L38" s="208">
        <v>391587</v>
      </c>
      <c r="M38" s="208">
        <v>442154</v>
      </c>
      <c r="N38" s="208">
        <v>442154</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0</v>
      </c>
      <c r="BA38" s="208">
        <v>0</v>
      </c>
      <c r="BB38" s="208">
        <v>0</v>
      </c>
      <c r="BC38" s="208">
        <v>0</v>
      </c>
      <c r="BD38" s="208">
        <v>0</v>
      </c>
      <c r="BE38" s="208">
        <v>0</v>
      </c>
      <c r="BF38" s="208">
        <v>0</v>
      </c>
      <c r="BG38" s="208">
        <v>0</v>
      </c>
      <c r="BH38" s="208">
        <v>0</v>
      </c>
      <c r="BI38" s="208">
        <v>0</v>
      </c>
      <c r="BJ38" s="208">
        <v>0</v>
      </c>
      <c r="BK38" s="208">
        <v>0</v>
      </c>
      <c r="BL38" s="208">
        <v>0</v>
      </c>
      <c r="BM38" s="208">
        <v>0</v>
      </c>
      <c r="BN38" s="208">
        <v>0</v>
      </c>
      <c r="BO38" s="208">
        <v>4027845.4685781663</v>
      </c>
      <c r="BP38" s="208">
        <v>0</v>
      </c>
      <c r="BQ38" s="208">
        <v>82200.927930166668</v>
      </c>
      <c r="BR38" s="208">
        <v>323886</v>
      </c>
      <c r="BS38" s="208">
        <v>0</v>
      </c>
      <c r="BT38" s="208">
        <v>6610</v>
      </c>
      <c r="BU38" s="208">
        <v>3739703</v>
      </c>
      <c r="BV38" s="208">
        <v>0</v>
      </c>
      <c r="BW38" s="208">
        <v>76320</v>
      </c>
      <c r="BX38" s="208">
        <v>612028</v>
      </c>
      <c r="BY38" s="208">
        <v>0</v>
      </c>
      <c r="BZ38" s="208">
        <v>12491</v>
      </c>
      <c r="CA38" s="208">
        <v>33717.184812500003</v>
      </c>
      <c r="CB38" s="208">
        <v>0</v>
      </c>
      <c r="CC38" s="208">
        <v>688.10581250000007</v>
      </c>
      <c r="CD38" s="208">
        <v>13092</v>
      </c>
      <c r="CE38" s="208">
        <v>0</v>
      </c>
      <c r="CF38" s="208">
        <v>267</v>
      </c>
      <c r="CG38" s="208">
        <v>20625</v>
      </c>
      <c r="CH38" s="208">
        <v>0</v>
      </c>
      <c r="CI38" s="208">
        <v>421</v>
      </c>
      <c r="CJ38" s="208">
        <v>0</v>
      </c>
      <c r="CK38" s="208">
        <v>0</v>
      </c>
      <c r="CL38" s="208">
        <v>0</v>
      </c>
      <c r="CM38" s="208">
        <v>84.707729166666667</v>
      </c>
      <c r="CN38" s="208">
        <v>0</v>
      </c>
      <c r="CO38" s="208">
        <v>1.7287291666666667</v>
      </c>
      <c r="CP38" s="208">
        <v>-7395.1351249999998</v>
      </c>
      <c r="CQ38" s="208">
        <v>0</v>
      </c>
      <c r="CR38" s="208">
        <v>-150.92112499999999</v>
      </c>
      <c r="CS38" s="208">
        <v>0</v>
      </c>
      <c r="CT38" s="208">
        <v>0</v>
      </c>
      <c r="CU38" s="208">
        <v>0</v>
      </c>
      <c r="CV38" s="208">
        <v>0</v>
      </c>
      <c r="CW38" s="208">
        <v>0</v>
      </c>
      <c r="CX38" s="208">
        <v>0</v>
      </c>
      <c r="CY38" s="208">
        <v>0</v>
      </c>
      <c r="CZ38" s="208">
        <v>0</v>
      </c>
      <c r="DA38" s="208">
        <v>0</v>
      </c>
      <c r="DB38" s="208">
        <v>0</v>
      </c>
      <c r="DC38" s="208">
        <v>0</v>
      </c>
      <c r="DD38" s="208">
        <v>0</v>
      </c>
      <c r="DE38" s="208">
        <v>0</v>
      </c>
      <c r="DF38" s="208">
        <v>0</v>
      </c>
      <c r="DG38" s="208">
        <v>0</v>
      </c>
      <c r="DH38" s="208">
        <v>0</v>
      </c>
      <c r="DI38" s="208">
        <v>0</v>
      </c>
      <c r="DJ38" s="208">
        <v>0</v>
      </c>
      <c r="DK38" s="208">
        <v>0</v>
      </c>
      <c r="DL38" s="208">
        <v>0</v>
      </c>
      <c r="DM38" s="208">
        <v>0</v>
      </c>
      <c r="DN38" s="208">
        <v>0</v>
      </c>
      <c r="DO38" s="208">
        <v>0</v>
      </c>
      <c r="DP38" s="208">
        <v>0</v>
      </c>
      <c r="DQ38" s="208">
        <v>0</v>
      </c>
      <c r="DR38" s="208">
        <v>0</v>
      </c>
      <c r="DS38" s="208">
        <v>0</v>
      </c>
      <c r="DT38" s="208">
        <v>0</v>
      </c>
      <c r="DU38" s="208">
        <v>0</v>
      </c>
      <c r="DV38" s="208">
        <v>0</v>
      </c>
      <c r="DW38" s="208">
        <v>68195.73672916666</v>
      </c>
      <c r="DX38" s="208">
        <v>0</v>
      </c>
      <c r="DY38" s="208">
        <v>1391.7497291666668</v>
      </c>
      <c r="DZ38" s="208">
        <v>69836</v>
      </c>
      <c r="EA38" s="208">
        <v>0</v>
      </c>
      <c r="EB38" s="208">
        <v>1425</v>
      </c>
      <c r="EC38" s="208">
        <v>-1640</v>
      </c>
      <c r="ED38" s="208">
        <v>0</v>
      </c>
      <c r="EE38" s="208">
        <v>-33</v>
      </c>
      <c r="EF38" s="208">
        <v>273427.52762500005</v>
      </c>
      <c r="EG38" s="208">
        <v>0</v>
      </c>
      <c r="EH38" s="208">
        <v>5580.1536250000008</v>
      </c>
      <c r="EI38" s="208">
        <v>96314.692979166677</v>
      </c>
      <c r="EJ38" s="208">
        <v>0</v>
      </c>
      <c r="EK38" s="208">
        <v>1965.6059791666669</v>
      </c>
      <c r="EL38" s="208">
        <v>273494</v>
      </c>
      <c r="EM38" s="208">
        <v>0</v>
      </c>
      <c r="EN38" s="208">
        <v>5581</v>
      </c>
      <c r="EO38" s="208">
        <v>96248</v>
      </c>
      <c r="EP38" s="208">
        <v>0</v>
      </c>
      <c r="EQ38" s="208">
        <v>1965</v>
      </c>
      <c r="ER38" s="208">
        <v>93376.988833333337</v>
      </c>
      <c r="ES38" s="208">
        <v>0</v>
      </c>
      <c r="ET38" s="208">
        <v>1905.6528333333335</v>
      </c>
      <c r="EU38" s="208">
        <v>100747</v>
      </c>
      <c r="EV38" s="208">
        <v>0</v>
      </c>
      <c r="EW38" s="208">
        <v>2056</v>
      </c>
      <c r="EX38" s="208">
        <v>-7370</v>
      </c>
      <c r="EY38" s="208">
        <v>0</v>
      </c>
      <c r="EZ38" s="208">
        <v>-150</v>
      </c>
      <c r="FA38" s="208">
        <v>0</v>
      </c>
      <c r="FB38" s="208">
        <v>0</v>
      </c>
      <c r="FC38" s="208">
        <v>0</v>
      </c>
      <c r="FD38" s="208">
        <v>0</v>
      </c>
      <c r="FE38" s="208">
        <v>0</v>
      </c>
      <c r="FF38" s="208">
        <v>0</v>
      </c>
      <c r="FG38" s="208">
        <v>0</v>
      </c>
      <c r="FH38" s="208">
        <v>0</v>
      </c>
      <c r="FI38" s="208">
        <v>0</v>
      </c>
      <c r="FJ38" s="208">
        <v>1268905.8048333332</v>
      </c>
      <c r="FK38" s="208">
        <v>0</v>
      </c>
      <c r="FL38" s="208">
        <v>25896.036833333335</v>
      </c>
      <c r="FM38" s="208">
        <v>1312173</v>
      </c>
      <c r="FN38" s="208">
        <v>0</v>
      </c>
      <c r="FO38" s="208">
        <v>26779</v>
      </c>
      <c r="FP38" s="208">
        <v>-43267</v>
      </c>
      <c r="FQ38" s="208">
        <v>0</v>
      </c>
      <c r="FR38" s="208">
        <v>-883</v>
      </c>
      <c r="FS38" s="208">
        <v>0</v>
      </c>
      <c r="FT38" s="208">
        <v>0</v>
      </c>
      <c r="FU38" s="208">
        <v>0</v>
      </c>
      <c r="FV38" s="208">
        <v>0</v>
      </c>
      <c r="FW38" s="208">
        <v>0</v>
      </c>
      <c r="FX38" s="208">
        <v>0</v>
      </c>
      <c r="FY38" s="208">
        <v>0</v>
      </c>
      <c r="FZ38" s="208">
        <v>0</v>
      </c>
      <c r="GA38" s="208">
        <v>0</v>
      </c>
      <c r="GB38" s="208">
        <v>6178360</v>
      </c>
      <c r="GC38" s="208">
        <v>0</v>
      </c>
      <c r="GD38" s="208">
        <v>126090</v>
      </c>
      <c r="GE38" s="664">
        <v>0.5</v>
      </c>
      <c r="GF38" s="664">
        <v>0.49</v>
      </c>
      <c r="GG38" s="664">
        <v>0</v>
      </c>
      <c r="GH38" s="664">
        <v>0.01</v>
      </c>
      <c r="GI38" s="187" t="s">
        <v>742</v>
      </c>
    </row>
    <row r="39" spans="1:191" s="187" customFormat="1" x14ac:dyDescent="0.2">
      <c r="A39" s="188"/>
      <c r="B39" s="429" t="s">
        <v>157</v>
      </c>
      <c r="C39" s="429" t="s">
        <v>156</v>
      </c>
      <c r="D39" s="208">
        <v>-2172913</v>
      </c>
      <c r="E39" s="208">
        <v>-181814</v>
      </c>
      <c r="F39" s="208">
        <v>-2354727</v>
      </c>
      <c r="G39" s="208">
        <v>-3946486</v>
      </c>
      <c r="H39" s="208">
        <v>-183018</v>
      </c>
      <c r="I39" s="208">
        <v>-4129504</v>
      </c>
      <c r="J39" s="208">
        <v>1773573</v>
      </c>
      <c r="K39" s="208">
        <v>1204</v>
      </c>
      <c r="L39" s="208">
        <v>1774777</v>
      </c>
      <c r="M39" s="208">
        <v>714145</v>
      </c>
      <c r="N39" s="208">
        <v>714145</v>
      </c>
      <c r="O39" s="208">
        <v>0</v>
      </c>
      <c r="P39" s="208">
        <v>4398785</v>
      </c>
      <c r="Q39" s="208">
        <v>3986130</v>
      </c>
      <c r="R39" s="208">
        <v>412655</v>
      </c>
      <c r="S39" s="208">
        <v>172874</v>
      </c>
      <c r="T39" s="208">
        <v>0.33000000001629815</v>
      </c>
      <c r="U39" s="208">
        <v>158467</v>
      </c>
      <c r="V39" s="208">
        <v>0</v>
      </c>
      <c r="W39" s="208">
        <v>14407</v>
      </c>
      <c r="X39" s="208">
        <v>0.33000000001629815</v>
      </c>
      <c r="Y39" s="208">
        <v>0</v>
      </c>
      <c r="Z39" s="208">
        <v>0</v>
      </c>
      <c r="AA39" s="208">
        <v>0</v>
      </c>
      <c r="AB39" s="208">
        <v>0</v>
      </c>
      <c r="AC39" s="208">
        <v>0</v>
      </c>
      <c r="AD39" s="208">
        <v>0</v>
      </c>
      <c r="AE39" s="208">
        <v>0</v>
      </c>
      <c r="AF39" s="208">
        <v>0</v>
      </c>
      <c r="AG39" s="208">
        <v>0</v>
      </c>
      <c r="AH39" s="208">
        <v>0</v>
      </c>
      <c r="AI39" s="208">
        <v>0</v>
      </c>
      <c r="AJ39" s="208">
        <v>0</v>
      </c>
      <c r="AK39" s="208">
        <v>0</v>
      </c>
      <c r="AL39" s="208">
        <v>0</v>
      </c>
      <c r="AM39" s="208">
        <v>0</v>
      </c>
      <c r="AN39" s="208">
        <v>0</v>
      </c>
      <c r="AO39" s="208">
        <v>0</v>
      </c>
      <c r="AP39" s="208">
        <v>0</v>
      </c>
      <c r="AQ39" s="208">
        <v>0</v>
      </c>
      <c r="AR39" s="208">
        <v>0</v>
      </c>
      <c r="AS39" s="208">
        <v>0</v>
      </c>
      <c r="AT39" s="208">
        <v>0</v>
      </c>
      <c r="AU39" s="208">
        <v>0</v>
      </c>
      <c r="AV39" s="208">
        <v>0</v>
      </c>
      <c r="AW39" s="208">
        <v>0</v>
      </c>
      <c r="AX39" s="208">
        <v>0</v>
      </c>
      <c r="AY39" s="208">
        <v>0</v>
      </c>
      <c r="AZ39" s="208">
        <v>0</v>
      </c>
      <c r="BA39" s="208">
        <v>0</v>
      </c>
      <c r="BB39" s="208">
        <v>0</v>
      </c>
      <c r="BC39" s="208">
        <v>0</v>
      </c>
      <c r="BD39" s="208">
        <v>0</v>
      </c>
      <c r="BE39" s="208">
        <v>0</v>
      </c>
      <c r="BF39" s="208">
        <v>0</v>
      </c>
      <c r="BG39" s="208">
        <v>0</v>
      </c>
      <c r="BH39" s="208">
        <v>0</v>
      </c>
      <c r="BI39" s="208">
        <v>0</v>
      </c>
      <c r="BJ39" s="208">
        <v>0</v>
      </c>
      <c r="BK39" s="208">
        <v>0</v>
      </c>
      <c r="BL39" s="208">
        <v>0</v>
      </c>
      <c r="BM39" s="208">
        <v>0</v>
      </c>
      <c r="BN39" s="208">
        <v>0</v>
      </c>
      <c r="BO39" s="208">
        <v>9504024.6534831226</v>
      </c>
      <c r="BP39" s="208">
        <v>494284.5335036458</v>
      </c>
      <c r="BQ39" s="208">
        <v>98856.90670072916</v>
      </c>
      <c r="BR39" s="208">
        <v>877733</v>
      </c>
      <c r="BS39" s="208">
        <v>43163</v>
      </c>
      <c r="BT39" s="208">
        <v>8633</v>
      </c>
      <c r="BU39" s="208">
        <v>9271034</v>
      </c>
      <c r="BV39" s="208">
        <v>482908</v>
      </c>
      <c r="BW39" s="208">
        <v>96582</v>
      </c>
      <c r="BX39" s="208">
        <v>1110724</v>
      </c>
      <c r="BY39" s="208">
        <v>54540</v>
      </c>
      <c r="BZ39" s="208">
        <v>10908</v>
      </c>
      <c r="CA39" s="208">
        <v>92996.279708333328</v>
      </c>
      <c r="CB39" s="208">
        <v>4547.8363541666668</v>
      </c>
      <c r="CC39" s="208">
        <v>909.56727083333328</v>
      </c>
      <c r="CD39" s="208">
        <v>35398</v>
      </c>
      <c r="CE39" s="208">
        <v>1883</v>
      </c>
      <c r="CF39" s="208">
        <v>377</v>
      </c>
      <c r="CG39" s="208">
        <v>57598</v>
      </c>
      <c r="CH39" s="208">
        <v>2665</v>
      </c>
      <c r="CI39" s="208">
        <v>533</v>
      </c>
      <c r="CJ39" s="208">
        <v>0</v>
      </c>
      <c r="CK39" s="208">
        <v>0</v>
      </c>
      <c r="CL39" s="208">
        <v>0</v>
      </c>
      <c r="CM39" s="208">
        <v>-5001.9397499999995</v>
      </c>
      <c r="CN39" s="208">
        <v>-266.06062500000002</v>
      </c>
      <c r="CO39" s="208">
        <v>-53.212125</v>
      </c>
      <c r="CP39" s="208">
        <v>-1430.7739999999999</v>
      </c>
      <c r="CQ39" s="208">
        <v>-76.105000000000004</v>
      </c>
      <c r="CR39" s="208">
        <v>-15.221</v>
      </c>
      <c r="CS39" s="208">
        <v>0</v>
      </c>
      <c r="CT39" s="208">
        <v>0</v>
      </c>
      <c r="CU39" s="208">
        <v>0</v>
      </c>
      <c r="CV39" s="208">
        <v>0</v>
      </c>
      <c r="CW39" s="208">
        <v>0</v>
      </c>
      <c r="CX39" s="208">
        <v>0</v>
      </c>
      <c r="CY39" s="208">
        <v>0</v>
      </c>
      <c r="CZ39" s="208">
        <v>0</v>
      </c>
      <c r="DA39" s="208">
        <v>0</v>
      </c>
      <c r="DB39" s="208">
        <v>0</v>
      </c>
      <c r="DC39" s="208">
        <v>0</v>
      </c>
      <c r="DD39" s="208">
        <v>0</v>
      </c>
      <c r="DE39" s="208">
        <v>0</v>
      </c>
      <c r="DF39" s="208">
        <v>0</v>
      </c>
      <c r="DG39" s="208">
        <v>0</v>
      </c>
      <c r="DH39" s="208">
        <v>0</v>
      </c>
      <c r="DI39" s="208">
        <v>0</v>
      </c>
      <c r="DJ39" s="208">
        <v>0</v>
      </c>
      <c r="DK39" s="208">
        <v>0</v>
      </c>
      <c r="DL39" s="208">
        <v>0</v>
      </c>
      <c r="DM39" s="208">
        <v>0</v>
      </c>
      <c r="DN39" s="208">
        <v>2884.625</v>
      </c>
      <c r="DO39" s="208">
        <v>153.4375</v>
      </c>
      <c r="DP39" s="208">
        <v>30.6875</v>
      </c>
      <c r="DQ39" s="208">
        <v>0</v>
      </c>
      <c r="DR39" s="208">
        <v>0</v>
      </c>
      <c r="DS39" s="208">
        <v>0</v>
      </c>
      <c r="DT39" s="208">
        <v>2885</v>
      </c>
      <c r="DU39" s="208">
        <v>153</v>
      </c>
      <c r="DV39" s="208">
        <v>31</v>
      </c>
      <c r="DW39" s="208">
        <v>54231.829708333331</v>
      </c>
      <c r="DX39" s="208">
        <v>2783.3051041666668</v>
      </c>
      <c r="DY39" s="208">
        <v>556.6610208333334</v>
      </c>
      <c r="DZ39" s="208">
        <v>108184</v>
      </c>
      <c r="EA39" s="208">
        <v>5700</v>
      </c>
      <c r="EB39" s="208">
        <v>1140</v>
      </c>
      <c r="EC39" s="208">
        <v>-53952</v>
      </c>
      <c r="ED39" s="208">
        <v>-2917</v>
      </c>
      <c r="EE39" s="208">
        <v>-583</v>
      </c>
      <c r="EF39" s="208">
        <v>425531.55345833331</v>
      </c>
      <c r="EG39" s="208">
        <v>21032.649895833336</v>
      </c>
      <c r="EH39" s="208">
        <v>4206.5299791666666</v>
      </c>
      <c r="EI39" s="208">
        <v>-3826.0561250000005</v>
      </c>
      <c r="EJ39" s="208">
        <v>-207.70322916666669</v>
      </c>
      <c r="EK39" s="208">
        <v>-41.540645833333336</v>
      </c>
      <c r="EL39" s="208">
        <v>358333</v>
      </c>
      <c r="EM39" s="208">
        <v>17471</v>
      </c>
      <c r="EN39" s="208">
        <v>3494</v>
      </c>
      <c r="EO39" s="208">
        <v>63372</v>
      </c>
      <c r="EP39" s="208">
        <v>3354</v>
      </c>
      <c r="EQ39" s="208">
        <v>671</v>
      </c>
      <c r="ER39" s="208">
        <v>150318.77029166667</v>
      </c>
      <c r="ES39" s="208">
        <v>7995.6792708333342</v>
      </c>
      <c r="ET39" s="208">
        <v>1599.1358541666666</v>
      </c>
      <c r="EU39" s="208">
        <v>187176</v>
      </c>
      <c r="EV39" s="208">
        <v>9956</v>
      </c>
      <c r="EW39" s="208">
        <v>1991</v>
      </c>
      <c r="EX39" s="208">
        <v>-36857</v>
      </c>
      <c r="EY39" s="208">
        <v>-1960</v>
      </c>
      <c r="EZ39" s="208">
        <v>-392</v>
      </c>
      <c r="FA39" s="208">
        <v>0</v>
      </c>
      <c r="FB39" s="208">
        <v>0</v>
      </c>
      <c r="FC39" s="208">
        <v>0</v>
      </c>
      <c r="FD39" s="208">
        <v>0</v>
      </c>
      <c r="FE39" s="208">
        <v>0</v>
      </c>
      <c r="FF39" s="208">
        <v>0</v>
      </c>
      <c r="FG39" s="208">
        <v>0</v>
      </c>
      <c r="FH39" s="208">
        <v>0</v>
      </c>
      <c r="FI39" s="208">
        <v>0</v>
      </c>
      <c r="FJ39" s="208">
        <v>4567331.5697074998</v>
      </c>
      <c r="FK39" s="208">
        <v>237370.45353541669</v>
      </c>
      <c r="FL39" s="208">
        <v>47474.089194583328</v>
      </c>
      <c r="FM39" s="208">
        <v>4618745</v>
      </c>
      <c r="FN39" s="208">
        <v>240626</v>
      </c>
      <c r="FO39" s="208">
        <v>48125</v>
      </c>
      <c r="FP39" s="208">
        <v>-51413</v>
      </c>
      <c r="FQ39" s="208">
        <v>-3256</v>
      </c>
      <c r="FR39" s="208">
        <v>-651</v>
      </c>
      <c r="FS39" s="208">
        <v>1672987.3687500001</v>
      </c>
      <c r="FT39" s="208">
        <v>0</v>
      </c>
      <c r="FU39" s="208">
        <v>0</v>
      </c>
      <c r="FV39" s="208">
        <v>1627084</v>
      </c>
      <c r="FW39" s="208">
        <v>0</v>
      </c>
      <c r="FX39" s="208">
        <v>0</v>
      </c>
      <c r="FY39" s="208">
        <v>45903</v>
      </c>
      <c r="FZ39" s="208">
        <v>0</v>
      </c>
      <c r="GA39" s="208">
        <v>0</v>
      </c>
      <c r="GB39" s="208">
        <v>17337782</v>
      </c>
      <c r="GC39" s="208">
        <v>810781</v>
      </c>
      <c r="GD39" s="208">
        <v>162158</v>
      </c>
      <c r="GE39" s="664">
        <v>0</v>
      </c>
      <c r="GF39" s="664">
        <v>0.94</v>
      </c>
      <c r="GG39" s="664">
        <v>0.05</v>
      </c>
      <c r="GH39" s="664">
        <v>0.01</v>
      </c>
      <c r="GI39" s="187" t="s">
        <v>742</v>
      </c>
    </row>
    <row r="40" spans="1:191" s="187" customFormat="1" x14ac:dyDescent="0.2">
      <c r="B40" s="429" t="s">
        <v>159</v>
      </c>
      <c r="C40" s="429" t="s">
        <v>158</v>
      </c>
      <c r="D40" s="208">
        <v>-686278</v>
      </c>
      <c r="E40" s="208">
        <v>0</v>
      </c>
      <c r="F40" s="208">
        <v>-686278</v>
      </c>
      <c r="G40" s="208">
        <v>-621473</v>
      </c>
      <c r="H40" s="208">
        <v>0</v>
      </c>
      <c r="I40" s="208">
        <v>-621473</v>
      </c>
      <c r="J40" s="208">
        <v>-64805</v>
      </c>
      <c r="K40" s="208">
        <v>0</v>
      </c>
      <c r="L40" s="208">
        <v>-64805</v>
      </c>
      <c r="M40" s="208">
        <v>139228</v>
      </c>
      <c r="N40" s="208">
        <v>139228</v>
      </c>
      <c r="O40" s="208">
        <v>0</v>
      </c>
      <c r="P40" s="208">
        <v>0</v>
      </c>
      <c r="Q40" s="208">
        <v>0</v>
      </c>
      <c r="R40" s="208">
        <v>0</v>
      </c>
      <c r="S40" s="208">
        <v>162673</v>
      </c>
      <c r="T40" s="208">
        <v>0</v>
      </c>
      <c r="U40" s="208">
        <v>133396</v>
      </c>
      <c r="V40" s="208">
        <v>0</v>
      </c>
      <c r="W40" s="208">
        <v>29277</v>
      </c>
      <c r="X40" s="208">
        <v>0</v>
      </c>
      <c r="Y40" s="208">
        <v>0</v>
      </c>
      <c r="Z40" s="208">
        <v>0</v>
      </c>
      <c r="AA40" s="208">
        <v>0</v>
      </c>
      <c r="AB40" s="208">
        <v>0</v>
      </c>
      <c r="AC40" s="208">
        <v>0</v>
      </c>
      <c r="AD40" s="208">
        <v>0</v>
      </c>
      <c r="AE40" s="208">
        <v>0</v>
      </c>
      <c r="AF40" s="208">
        <v>0</v>
      </c>
      <c r="AG40" s="208">
        <v>0</v>
      </c>
      <c r="AH40" s="208">
        <v>0</v>
      </c>
      <c r="AI40" s="208">
        <v>0</v>
      </c>
      <c r="AJ40" s="208">
        <v>0</v>
      </c>
      <c r="AK40" s="208">
        <v>0</v>
      </c>
      <c r="AL40" s="208">
        <v>0</v>
      </c>
      <c r="AM40" s="208">
        <v>0</v>
      </c>
      <c r="AN40" s="208">
        <v>0</v>
      </c>
      <c r="AO40" s="208">
        <v>0</v>
      </c>
      <c r="AP40" s="208">
        <v>0</v>
      </c>
      <c r="AQ40" s="208">
        <v>0</v>
      </c>
      <c r="AR40" s="208">
        <v>0</v>
      </c>
      <c r="AS40" s="208">
        <v>0</v>
      </c>
      <c r="AT40" s="208">
        <v>0</v>
      </c>
      <c r="AU40" s="208">
        <v>0</v>
      </c>
      <c r="AV40" s="208">
        <v>0</v>
      </c>
      <c r="AW40" s="208">
        <v>0</v>
      </c>
      <c r="AX40" s="208">
        <v>0</v>
      </c>
      <c r="AY40" s="208">
        <v>0</v>
      </c>
      <c r="AZ40" s="208">
        <v>0</v>
      </c>
      <c r="BA40" s="208">
        <v>0</v>
      </c>
      <c r="BB40" s="208">
        <v>0</v>
      </c>
      <c r="BC40" s="208">
        <v>0</v>
      </c>
      <c r="BD40" s="208">
        <v>0</v>
      </c>
      <c r="BE40" s="208">
        <v>0</v>
      </c>
      <c r="BF40" s="208">
        <v>0</v>
      </c>
      <c r="BG40" s="208">
        <v>0</v>
      </c>
      <c r="BH40" s="208">
        <v>0</v>
      </c>
      <c r="BI40" s="208">
        <v>0</v>
      </c>
      <c r="BJ40" s="208">
        <v>0</v>
      </c>
      <c r="BK40" s="208">
        <v>0</v>
      </c>
      <c r="BL40" s="208">
        <v>0</v>
      </c>
      <c r="BM40" s="208">
        <v>0</v>
      </c>
      <c r="BN40" s="208">
        <v>0</v>
      </c>
      <c r="BO40" s="208">
        <v>1088251.0702083337</v>
      </c>
      <c r="BP40" s="208">
        <v>272062.76755208342</v>
      </c>
      <c r="BQ40" s="208">
        <v>0</v>
      </c>
      <c r="BR40" s="208">
        <v>67270</v>
      </c>
      <c r="BS40" s="208">
        <v>16817</v>
      </c>
      <c r="BT40" s="208">
        <v>0</v>
      </c>
      <c r="BU40" s="208">
        <v>1049733</v>
      </c>
      <c r="BV40" s="208">
        <v>262433</v>
      </c>
      <c r="BW40" s="208">
        <v>0</v>
      </c>
      <c r="BX40" s="208">
        <v>105788</v>
      </c>
      <c r="BY40" s="208">
        <v>26447</v>
      </c>
      <c r="BZ40" s="208">
        <v>0</v>
      </c>
      <c r="CA40" s="208">
        <v>6702.9683333333342</v>
      </c>
      <c r="CB40" s="208">
        <v>1675.7420833333335</v>
      </c>
      <c r="CC40" s="208">
        <v>0</v>
      </c>
      <c r="CD40" s="208">
        <v>4845</v>
      </c>
      <c r="CE40" s="208">
        <v>1211</v>
      </c>
      <c r="CF40" s="208">
        <v>0</v>
      </c>
      <c r="CG40" s="208">
        <v>1858</v>
      </c>
      <c r="CH40" s="208">
        <v>465</v>
      </c>
      <c r="CI40" s="208">
        <v>0</v>
      </c>
      <c r="CJ40" s="208">
        <v>0</v>
      </c>
      <c r="CK40" s="208">
        <v>0</v>
      </c>
      <c r="CL40" s="208">
        <v>0</v>
      </c>
      <c r="CM40" s="208">
        <v>0</v>
      </c>
      <c r="CN40" s="208">
        <v>0</v>
      </c>
      <c r="CO40" s="208">
        <v>0</v>
      </c>
      <c r="CP40" s="208">
        <v>0</v>
      </c>
      <c r="CQ40" s="208">
        <v>0</v>
      </c>
      <c r="CR40" s="208">
        <v>0</v>
      </c>
      <c r="CS40" s="208">
        <v>0</v>
      </c>
      <c r="CT40" s="208">
        <v>0</v>
      </c>
      <c r="CU40" s="208">
        <v>0</v>
      </c>
      <c r="CV40" s="208">
        <v>0</v>
      </c>
      <c r="CW40" s="208">
        <v>0</v>
      </c>
      <c r="CX40" s="208">
        <v>0</v>
      </c>
      <c r="CY40" s="208">
        <v>0</v>
      </c>
      <c r="CZ40" s="208">
        <v>0</v>
      </c>
      <c r="DA40" s="208">
        <v>0</v>
      </c>
      <c r="DB40" s="208">
        <v>0</v>
      </c>
      <c r="DC40" s="208">
        <v>0</v>
      </c>
      <c r="DD40" s="208">
        <v>0</v>
      </c>
      <c r="DE40" s="208">
        <v>15122.800000000001</v>
      </c>
      <c r="DF40" s="208">
        <v>3780.7000000000003</v>
      </c>
      <c r="DG40" s="208">
        <v>0</v>
      </c>
      <c r="DH40" s="208">
        <v>18337</v>
      </c>
      <c r="DI40" s="208">
        <v>4584</v>
      </c>
      <c r="DJ40" s="208">
        <v>0</v>
      </c>
      <c r="DK40" s="208">
        <v>-3214</v>
      </c>
      <c r="DL40" s="208">
        <v>-803</v>
      </c>
      <c r="DM40" s="208">
        <v>0</v>
      </c>
      <c r="DN40" s="208">
        <v>0</v>
      </c>
      <c r="DO40" s="208">
        <v>0</v>
      </c>
      <c r="DP40" s="208">
        <v>0</v>
      </c>
      <c r="DQ40" s="208">
        <v>0</v>
      </c>
      <c r="DR40" s="208">
        <v>0</v>
      </c>
      <c r="DS40" s="208">
        <v>0</v>
      </c>
      <c r="DT40" s="208">
        <v>0</v>
      </c>
      <c r="DU40" s="208">
        <v>0</v>
      </c>
      <c r="DV40" s="208">
        <v>0</v>
      </c>
      <c r="DW40" s="208">
        <v>9656.3333333333339</v>
      </c>
      <c r="DX40" s="208">
        <v>2414.0833333333335</v>
      </c>
      <c r="DY40" s="208">
        <v>0</v>
      </c>
      <c r="DZ40" s="208">
        <v>10381</v>
      </c>
      <c r="EA40" s="208">
        <v>2595</v>
      </c>
      <c r="EB40" s="208">
        <v>0</v>
      </c>
      <c r="EC40" s="208">
        <v>-725</v>
      </c>
      <c r="ED40" s="208">
        <v>-181</v>
      </c>
      <c r="EE40" s="208">
        <v>0</v>
      </c>
      <c r="EF40" s="208">
        <v>51491.170000000006</v>
      </c>
      <c r="EG40" s="208">
        <v>12872.792500000001</v>
      </c>
      <c r="EH40" s="208">
        <v>0</v>
      </c>
      <c r="EI40" s="208">
        <v>51.964166666666671</v>
      </c>
      <c r="EJ40" s="208">
        <v>12.991041666666668</v>
      </c>
      <c r="EK40" s="208">
        <v>0</v>
      </c>
      <c r="EL40" s="208">
        <v>57283</v>
      </c>
      <c r="EM40" s="208">
        <v>14321</v>
      </c>
      <c r="EN40" s="208">
        <v>0</v>
      </c>
      <c r="EO40" s="208">
        <v>-5740</v>
      </c>
      <c r="EP40" s="208">
        <v>-1435</v>
      </c>
      <c r="EQ40" s="208">
        <v>0</v>
      </c>
      <c r="ER40" s="208">
        <v>16335.160833333333</v>
      </c>
      <c r="ES40" s="208">
        <v>4083.7902083333333</v>
      </c>
      <c r="ET40" s="208">
        <v>0</v>
      </c>
      <c r="EU40" s="208">
        <v>16366</v>
      </c>
      <c r="EV40" s="208">
        <v>4092</v>
      </c>
      <c r="EW40" s="208">
        <v>0</v>
      </c>
      <c r="EX40" s="208">
        <v>-31</v>
      </c>
      <c r="EY40" s="208">
        <v>-8</v>
      </c>
      <c r="EZ40" s="208">
        <v>0</v>
      </c>
      <c r="FA40" s="208">
        <v>0</v>
      </c>
      <c r="FB40" s="208">
        <v>0</v>
      </c>
      <c r="FC40" s="208">
        <v>0</v>
      </c>
      <c r="FD40" s="208">
        <v>0</v>
      </c>
      <c r="FE40" s="208">
        <v>0</v>
      </c>
      <c r="FF40" s="208">
        <v>0</v>
      </c>
      <c r="FG40" s="208">
        <v>0</v>
      </c>
      <c r="FH40" s="208">
        <v>0</v>
      </c>
      <c r="FI40" s="208">
        <v>0</v>
      </c>
      <c r="FJ40" s="208">
        <v>264086.18958333333</v>
      </c>
      <c r="FK40" s="208">
        <v>65089.566666666666</v>
      </c>
      <c r="FL40" s="208">
        <v>0</v>
      </c>
      <c r="FM40" s="208">
        <v>276103</v>
      </c>
      <c r="FN40" s="208">
        <v>68262</v>
      </c>
      <c r="FO40" s="208">
        <v>0</v>
      </c>
      <c r="FP40" s="208">
        <v>-12017</v>
      </c>
      <c r="FQ40" s="208">
        <v>-3172</v>
      </c>
      <c r="FR40" s="208">
        <v>0</v>
      </c>
      <c r="FS40" s="208">
        <v>0</v>
      </c>
      <c r="FT40" s="208">
        <v>0</v>
      </c>
      <c r="FU40" s="208">
        <v>0</v>
      </c>
      <c r="FV40" s="208">
        <v>0</v>
      </c>
      <c r="FW40" s="208">
        <v>0</v>
      </c>
      <c r="FX40" s="208">
        <v>0</v>
      </c>
      <c r="FY40" s="208">
        <v>0</v>
      </c>
      <c r="FZ40" s="208">
        <v>0</v>
      </c>
      <c r="GA40" s="208">
        <v>0</v>
      </c>
      <c r="GB40" s="208">
        <v>1518967</v>
      </c>
      <c r="GC40" s="208">
        <v>378811</v>
      </c>
      <c r="GD40" s="208">
        <v>0</v>
      </c>
      <c r="GE40" s="664">
        <v>0.5</v>
      </c>
      <c r="GF40" s="664">
        <v>0.4</v>
      </c>
      <c r="GG40" s="664">
        <v>0.1</v>
      </c>
      <c r="GH40" s="664">
        <v>0</v>
      </c>
      <c r="GI40" s="187" t="s">
        <v>1054</v>
      </c>
    </row>
    <row r="41" spans="1:191" s="187" customFormat="1" x14ac:dyDescent="0.2">
      <c r="B41" s="429" t="s">
        <v>161</v>
      </c>
      <c r="C41" s="429" t="s">
        <v>160</v>
      </c>
      <c r="D41" s="208">
        <v>3436241</v>
      </c>
      <c r="E41" s="208">
        <v>0</v>
      </c>
      <c r="F41" s="208">
        <v>3436241</v>
      </c>
      <c r="G41" s="208">
        <v>3525848</v>
      </c>
      <c r="H41" s="208">
        <v>0</v>
      </c>
      <c r="I41" s="208">
        <v>3525848</v>
      </c>
      <c r="J41" s="208">
        <v>-89607</v>
      </c>
      <c r="K41" s="208">
        <v>0</v>
      </c>
      <c r="L41" s="208">
        <v>-89607</v>
      </c>
      <c r="M41" s="208">
        <v>333958</v>
      </c>
      <c r="N41" s="208">
        <v>333958</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c r="BL41" s="208">
        <v>0</v>
      </c>
      <c r="BM41" s="208">
        <v>0</v>
      </c>
      <c r="BN41" s="208">
        <v>0</v>
      </c>
      <c r="BO41" s="208">
        <v>3399026.361146667</v>
      </c>
      <c r="BP41" s="208">
        <v>1911952.3281450002</v>
      </c>
      <c r="BQ41" s="208">
        <v>0</v>
      </c>
      <c r="BR41" s="208">
        <v>206329</v>
      </c>
      <c r="BS41" s="208">
        <v>116060</v>
      </c>
      <c r="BT41" s="208">
        <v>0</v>
      </c>
      <c r="BU41" s="208">
        <v>3277743</v>
      </c>
      <c r="BV41" s="208">
        <v>1843731</v>
      </c>
      <c r="BW41" s="208">
        <v>0</v>
      </c>
      <c r="BX41" s="208">
        <v>327612</v>
      </c>
      <c r="BY41" s="208">
        <v>184281</v>
      </c>
      <c r="BZ41" s="208">
        <v>0</v>
      </c>
      <c r="CA41" s="208">
        <v>0</v>
      </c>
      <c r="CB41" s="208">
        <v>0</v>
      </c>
      <c r="CC41" s="208">
        <v>0</v>
      </c>
      <c r="CD41" s="208">
        <v>0</v>
      </c>
      <c r="CE41" s="208">
        <v>0</v>
      </c>
      <c r="CF41" s="208">
        <v>0</v>
      </c>
      <c r="CG41" s="208">
        <v>0</v>
      </c>
      <c r="CH41" s="208">
        <v>0</v>
      </c>
      <c r="CI41" s="208">
        <v>0</v>
      </c>
      <c r="CJ41" s="208">
        <v>0</v>
      </c>
      <c r="CK41" s="208">
        <v>0</v>
      </c>
      <c r="CL41" s="208">
        <v>0</v>
      </c>
      <c r="CM41" s="208">
        <v>0</v>
      </c>
      <c r="CN41" s="208">
        <v>0</v>
      </c>
      <c r="CO41" s="208">
        <v>0</v>
      </c>
      <c r="CP41" s="208">
        <v>-1646.4866666666667</v>
      </c>
      <c r="CQ41" s="208">
        <v>-926.14874999999995</v>
      </c>
      <c r="CR41" s="208">
        <v>0</v>
      </c>
      <c r="CS41" s="208">
        <v>0</v>
      </c>
      <c r="CT41" s="208">
        <v>0</v>
      </c>
      <c r="CU41" s="208">
        <v>0</v>
      </c>
      <c r="CV41" s="208">
        <v>0</v>
      </c>
      <c r="CW41" s="208">
        <v>0</v>
      </c>
      <c r="CX41" s="208">
        <v>0</v>
      </c>
      <c r="CY41" s="208">
        <v>0</v>
      </c>
      <c r="CZ41" s="208">
        <v>0</v>
      </c>
      <c r="DA41" s="208">
        <v>0</v>
      </c>
      <c r="DB41" s="208">
        <v>-2078.5666666666666</v>
      </c>
      <c r="DC41" s="208">
        <v>-1169.1937499999999</v>
      </c>
      <c r="DD41" s="208">
        <v>0</v>
      </c>
      <c r="DE41" s="208">
        <v>0</v>
      </c>
      <c r="DF41" s="208">
        <v>0</v>
      </c>
      <c r="DG41" s="208">
        <v>0</v>
      </c>
      <c r="DH41" s="208">
        <v>0</v>
      </c>
      <c r="DI41" s="208">
        <v>0</v>
      </c>
      <c r="DJ41" s="208">
        <v>0</v>
      </c>
      <c r="DK41" s="208">
        <v>0</v>
      </c>
      <c r="DL41" s="208">
        <v>0</v>
      </c>
      <c r="DM41" s="208">
        <v>0</v>
      </c>
      <c r="DN41" s="208">
        <v>0</v>
      </c>
      <c r="DO41" s="208">
        <v>0</v>
      </c>
      <c r="DP41" s="208">
        <v>0</v>
      </c>
      <c r="DQ41" s="208">
        <v>0</v>
      </c>
      <c r="DR41" s="208">
        <v>0</v>
      </c>
      <c r="DS41" s="208">
        <v>0</v>
      </c>
      <c r="DT41" s="208">
        <v>0</v>
      </c>
      <c r="DU41" s="208">
        <v>0</v>
      </c>
      <c r="DV41" s="208">
        <v>0</v>
      </c>
      <c r="DW41" s="208">
        <v>83124.335999999996</v>
      </c>
      <c r="DX41" s="208">
        <v>46757.438999999998</v>
      </c>
      <c r="DY41" s="208">
        <v>0</v>
      </c>
      <c r="DZ41" s="208">
        <v>116244</v>
      </c>
      <c r="EA41" s="208">
        <v>65387</v>
      </c>
      <c r="EB41" s="208">
        <v>0</v>
      </c>
      <c r="EC41" s="208">
        <v>-33120</v>
      </c>
      <c r="ED41" s="208">
        <v>-18630</v>
      </c>
      <c r="EE41" s="208">
        <v>0</v>
      </c>
      <c r="EF41" s="208">
        <v>169288.94399999999</v>
      </c>
      <c r="EG41" s="208">
        <v>95225.030999999988</v>
      </c>
      <c r="EH41" s="208">
        <v>0</v>
      </c>
      <c r="EI41" s="208">
        <v>197644.52133333334</v>
      </c>
      <c r="EJ41" s="208">
        <v>111175.04324999999</v>
      </c>
      <c r="EK41" s="208">
        <v>0</v>
      </c>
      <c r="EL41" s="208">
        <v>446482</v>
      </c>
      <c r="EM41" s="208">
        <v>251147</v>
      </c>
      <c r="EN41" s="208">
        <v>0</v>
      </c>
      <c r="EO41" s="208">
        <v>-79549</v>
      </c>
      <c r="EP41" s="208">
        <v>-44747</v>
      </c>
      <c r="EQ41" s="208">
        <v>0</v>
      </c>
      <c r="ER41" s="208">
        <v>24014.48266666667</v>
      </c>
      <c r="ES41" s="208">
        <v>13508.146500000001</v>
      </c>
      <c r="ET41" s="208">
        <v>0</v>
      </c>
      <c r="EU41" s="208">
        <v>26842</v>
      </c>
      <c r="EV41" s="208">
        <v>15098</v>
      </c>
      <c r="EW41" s="208">
        <v>0</v>
      </c>
      <c r="EX41" s="208">
        <v>-2828</v>
      </c>
      <c r="EY41" s="208">
        <v>-1590</v>
      </c>
      <c r="EZ41" s="208">
        <v>0</v>
      </c>
      <c r="FA41" s="208">
        <v>0</v>
      </c>
      <c r="FB41" s="208">
        <v>0</v>
      </c>
      <c r="FC41" s="208">
        <v>0</v>
      </c>
      <c r="FD41" s="208">
        <v>0</v>
      </c>
      <c r="FE41" s="208">
        <v>0</v>
      </c>
      <c r="FF41" s="208">
        <v>0</v>
      </c>
      <c r="FG41" s="208">
        <v>0</v>
      </c>
      <c r="FH41" s="208">
        <v>0</v>
      </c>
      <c r="FI41" s="208">
        <v>0</v>
      </c>
      <c r="FJ41" s="208">
        <v>1371629.7906666666</v>
      </c>
      <c r="FK41" s="208">
        <v>771541.75724999991</v>
      </c>
      <c r="FL41" s="208">
        <v>0</v>
      </c>
      <c r="FM41" s="208">
        <v>1389904</v>
      </c>
      <c r="FN41" s="208">
        <v>781821</v>
      </c>
      <c r="FO41" s="208">
        <v>0</v>
      </c>
      <c r="FP41" s="208">
        <v>-18274</v>
      </c>
      <c r="FQ41" s="208">
        <v>-10279</v>
      </c>
      <c r="FR41" s="208">
        <v>0</v>
      </c>
      <c r="FS41" s="208">
        <v>0</v>
      </c>
      <c r="FT41" s="208">
        <v>0</v>
      </c>
      <c r="FU41" s="208">
        <v>0</v>
      </c>
      <c r="FV41" s="208">
        <v>0</v>
      </c>
      <c r="FW41" s="208">
        <v>0</v>
      </c>
      <c r="FX41" s="208">
        <v>0</v>
      </c>
      <c r="FY41" s="208">
        <v>0</v>
      </c>
      <c r="FZ41" s="208">
        <v>0</v>
      </c>
      <c r="GA41" s="208">
        <v>0</v>
      </c>
      <c r="GB41" s="208">
        <v>5447332</v>
      </c>
      <c r="GC41" s="208">
        <v>3064124</v>
      </c>
      <c r="GD41" s="208">
        <v>0</v>
      </c>
      <c r="GE41" s="664">
        <v>0</v>
      </c>
      <c r="GF41" s="664">
        <v>0.64</v>
      </c>
      <c r="GG41" s="664">
        <v>0.36</v>
      </c>
      <c r="GH41" s="664">
        <v>0</v>
      </c>
      <c r="GI41" s="187" t="s">
        <v>1055</v>
      </c>
    </row>
    <row r="42" spans="1:191" s="187" customFormat="1" x14ac:dyDescent="0.2">
      <c r="B42" s="429" t="s">
        <v>163</v>
      </c>
      <c r="C42" s="429" t="s">
        <v>162</v>
      </c>
      <c r="D42" s="208">
        <v>-592924</v>
      </c>
      <c r="E42" s="208">
        <v>0</v>
      </c>
      <c r="F42" s="208">
        <v>-592924</v>
      </c>
      <c r="G42" s="208">
        <v>-743645.07</v>
      </c>
      <c r="H42" s="208">
        <v>0</v>
      </c>
      <c r="I42" s="208">
        <v>-743645.07</v>
      </c>
      <c r="J42" s="208">
        <v>150721.06999999995</v>
      </c>
      <c r="K42" s="208">
        <v>0</v>
      </c>
      <c r="L42" s="208">
        <v>150721.06999999995</v>
      </c>
      <c r="M42" s="208">
        <v>120902</v>
      </c>
      <c r="N42" s="208">
        <v>120902</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c r="BL42" s="208">
        <v>0</v>
      </c>
      <c r="BM42" s="208">
        <v>0</v>
      </c>
      <c r="BN42" s="208">
        <v>0</v>
      </c>
      <c r="BO42" s="208">
        <v>1160086.7769266665</v>
      </c>
      <c r="BP42" s="208">
        <v>261019.52480849999</v>
      </c>
      <c r="BQ42" s="208">
        <v>29002.169423166662</v>
      </c>
      <c r="BR42" s="208">
        <v>0</v>
      </c>
      <c r="BS42" s="208">
        <v>0</v>
      </c>
      <c r="BT42" s="208">
        <v>0</v>
      </c>
      <c r="BU42" s="208">
        <v>1031780</v>
      </c>
      <c r="BV42" s="208">
        <v>232150</v>
      </c>
      <c r="BW42" s="208">
        <v>25794</v>
      </c>
      <c r="BX42" s="208">
        <v>128307</v>
      </c>
      <c r="BY42" s="208">
        <v>28870</v>
      </c>
      <c r="BZ42" s="208">
        <v>3208</v>
      </c>
      <c r="CA42" s="208">
        <v>0</v>
      </c>
      <c r="CB42" s="208">
        <v>0</v>
      </c>
      <c r="CC42" s="208">
        <v>0</v>
      </c>
      <c r="CD42" s="208">
        <v>0</v>
      </c>
      <c r="CE42" s="208">
        <v>0</v>
      </c>
      <c r="CF42" s="208">
        <v>0</v>
      </c>
      <c r="CG42" s="208">
        <v>0</v>
      </c>
      <c r="CH42" s="208">
        <v>0</v>
      </c>
      <c r="CI42" s="208">
        <v>0</v>
      </c>
      <c r="CJ42" s="208">
        <v>0</v>
      </c>
      <c r="CK42" s="208">
        <v>0</v>
      </c>
      <c r="CL42" s="208">
        <v>0</v>
      </c>
      <c r="CM42" s="208">
        <v>0</v>
      </c>
      <c r="CN42" s="208">
        <v>0</v>
      </c>
      <c r="CO42" s="208">
        <v>0</v>
      </c>
      <c r="CP42" s="208">
        <v>486.09</v>
      </c>
      <c r="CQ42" s="208">
        <v>109.37024999999998</v>
      </c>
      <c r="CR42" s="208">
        <v>12.152249999999999</v>
      </c>
      <c r="CS42" s="208">
        <v>0</v>
      </c>
      <c r="CT42" s="208">
        <v>0</v>
      </c>
      <c r="CU42" s="208">
        <v>0</v>
      </c>
      <c r="CV42" s="208">
        <v>0</v>
      </c>
      <c r="CW42" s="208">
        <v>0</v>
      </c>
      <c r="CX42" s="208">
        <v>0</v>
      </c>
      <c r="CY42" s="208">
        <v>0</v>
      </c>
      <c r="CZ42" s="208">
        <v>0</v>
      </c>
      <c r="DA42" s="208">
        <v>0</v>
      </c>
      <c r="DB42" s="208">
        <v>0</v>
      </c>
      <c r="DC42" s="208">
        <v>0</v>
      </c>
      <c r="DD42" s="208">
        <v>0</v>
      </c>
      <c r="DE42" s="208">
        <v>0</v>
      </c>
      <c r="DF42" s="208">
        <v>0</v>
      </c>
      <c r="DG42" s="208">
        <v>0</v>
      </c>
      <c r="DH42" s="208">
        <v>487</v>
      </c>
      <c r="DI42" s="208">
        <v>109</v>
      </c>
      <c r="DJ42" s="208">
        <v>12</v>
      </c>
      <c r="DK42" s="208">
        <v>-487</v>
      </c>
      <c r="DL42" s="208">
        <v>-109</v>
      </c>
      <c r="DM42" s="208">
        <v>-12</v>
      </c>
      <c r="DN42" s="208">
        <v>0</v>
      </c>
      <c r="DO42" s="208">
        <v>0</v>
      </c>
      <c r="DP42" s="208">
        <v>0</v>
      </c>
      <c r="DQ42" s="208">
        <v>0</v>
      </c>
      <c r="DR42" s="208">
        <v>0</v>
      </c>
      <c r="DS42" s="208">
        <v>0</v>
      </c>
      <c r="DT42" s="208">
        <v>0</v>
      </c>
      <c r="DU42" s="208">
        <v>0</v>
      </c>
      <c r="DV42" s="208">
        <v>0</v>
      </c>
      <c r="DW42" s="208">
        <v>6410.005000000001</v>
      </c>
      <c r="DX42" s="208">
        <v>1442.2511250000002</v>
      </c>
      <c r="DY42" s="208">
        <v>160.25012500000003</v>
      </c>
      <c r="DZ42" s="208">
        <v>6995</v>
      </c>
      <c r="EA42" s="208">
        <v>1574</v>
      </c>
      <c r="EB42" s="208">
        <v>175</v>
      </c>
      <c r="EC42" s="208">
        <v>-585</v>
      </c>
      <c r="ED42" s="208">
        <v>-132</v>
      </c>
      <c r="EE42" s="208">
        <v>-15</v>
      </c>
      <c r="EF42" s="208">
        <v>8750.4383333333335</v>
      </c>
      <c r="EG42" s="208">
        <v>1968.8486249999999</v>
      </c>
      <c r="EH42" s="208">
        <v>218.76095833333332</v>
      </c>
      <c r="EI42" s="208">
        <v>-438.62666666666667</v>
      </c>
      <c r="EJ42" s="208">
        <v>-98.690999999999988</v>
      </c>
      <c r="EK42" s="208">
        <v>-10.965666666666666</v>
      </c>
      <c r="EL42" s="208">
        <v>26596</v>
      </c>
      <c r="EM42" s="208">
        <v>5984</v>
      </c>
      <c r="EN42" s="208">
        <v>665</v>
      </c>
      <c r="EO42" s="208">
        <v>-18284</v>
      </c>
      <c r="EP42" s="208">
        <v>-4114</v>
      </c>
      <c r="EQ42" s="208">
        <v>-457</v>
      </c>
      <c r="ER42" s="208">
        <v>14117.477500000001</v>
      </c>
      <c r="ES42" s="208">
        <v>3176.4324374999997</v>
      </c>
      <c r="ET42" s="208">
        <v>352.9369375</v>
      </c>
      <c r="EU42" s="208">
        <v>17102</v>
      </c>
      <c r="EV42" s="208">
        <v>3848</v>
      </c>
      <c r="EW42" s="208">
        <v>428</v>
      </c>
      <c r="EX42" s="208">
        <v>-2985</v>
      </c>
      <c r="EY42" s="208">
        <v>-672</v>
      </c>
      <c r="EZ42" s="208">
        <v>-75</v>
      </c>
      <c r="FA42" s="208">
        <v>0</v>
      </c>
      <c r="FB42" s="208">
        <v>0</v>
      </c>
      <c r="FC42" s="208">
        <v>0</v>
      </c>
      <c r="FD42" s="208">
        <v>0</v>
      </c>
      <c r="FE42" s="208">
        <v>0</v>
      </c>
      <c r="FF42" s="208">
        <v>0</v>
      </c>
      <c r="FG42" s="208">
        <v>0</v>
      </c>
      <c r="FH42" s="208">
        <v>0</v>
      </c>
      <c r="FI42" s="208">
        <v>0</v>
      </c>
      <c r="FJ42" s="208">
        <v>215912.2533333333</v>
      </c>
      <c r="FK42" s="208">
        <v>48580.256999999991</v>
      </c>
      <c r="FL42" s="208">
        <v>5397.806333333333</v>
      </c>
      <c r="FM42" s="208">
        <v>226252</v>
      </c>
      <c r="FN42" s="208">
        <v>50907</v>
      </c>
      <c r="FO42" s="208">
        <v>5656</v>
      </c>
      <c r="FP42" s="208">
        <v>-10340</v>
      </c>
      <c r="FQ42" s="208">
        <v>-2327</v>
      </c>
      <c r="FR42" s="208">
        <v>-258</v>
      </c>
      <c r="FS42" s="208">
        <v>0</v>
      </c>
      <c r="FT42" s="208">
        <v>0</v>
      </c>
      <c r="FU42" s="208">
        <v>0</v>
      </c>
      <c r="FV42" s="208">
        <v>0</v>
      </c>
      <c r="FW42" s="208">
        <v>0</v>
      </c>
      <c r="FX42" s="208">
        <v>0</v>
      </c>
      <c r="FY42" s="208">
        <v>0</v>
      </c>
      <c r="FZ42" s="208">
        <v>0</v>
      </c>
      <c r="GA42" s="208">
        <v>0</v>
      </c>
      <c r="GB42" s="208">
        <v>1405323</v>
      </c>
      <c r="GC42" s="208">
        <v>316197</v>
      </c>
      <c r="GD42" s="208">
        <v>35133</v>
      </c>
      <c r="GE42" s="664">
        <v>0.5</v>
      </c>
      <c r="GF42" s="664">
        <v>0.4</v>
      </c>
      <c r="GG42" s="664">
        <v>0.09</v>
      </c>
      <c r="GH42" s="664">
        <v>0.01</v>
      </c>
      <c r="GI42" s="187" t="s">
        <v>1054</v>
      </c>
    </row>
    <row r="43" spans="1:191" s="187" customFormat="1" x14ac:dyDescent="0.2">
      <c r="B43" s="429" t="s">
        <v>165</v>
      </c>
      <c r="C43" s="429" t="s">
        <v>164</v>
      </c>
      <c r="D43" s="208">
        <v>-1099192</v>
      </c>
      <c r="E43" s="208">
        <v>0</v>
      </c>
      <c r="F43" s="208">
        <v>-1099192</v>
      </c>
      <c r="G43" s="208">
        <v>-995352</v>
      </c>
      <c r="H43" s="208">
        <v>0</v>
      </c>
      <c r="I43" s="208">
        <v>-995352</v>
      </c>
      <c r="J43" s="208">
        <v>-103840</v>
      </c>
      <c r="K43" s="208">
        <v>0</v>
      </c>
      <c r="L43" s="208">
        <v>-103840</v>
      </c>
      <c r="M43" s="208">
        <v>112353</v>
      </c>
      <c r="N43" s="208">
        <v>112353</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c r="BL43" s="208">
        <v>0</v>
      </c>
      <c r="BM43" s="208">
        <v>0</v>
      </c>
      <c r="BN43" s="208">
        <v>0</v>
      </c>
      <c r="BO43" s="208">
        <v>875058.51382416685</v>
      </c>
      <c r="BP43" s="208">
        <v>218764.62845604171</v>
      </c>
      <c r="BQ43" s="208">
        <v>0</v>
      </c>
      <c r="BR43" s="208">
        <v>64602</v>
      </c>
      <c r="BS43" s="208">
        <v>16151</v>
      </c>
      <c r="BT43" s="208">
        <v>0</v>
      </c>
      <c r="BU43" s="208">
        <v>805789</v>
      </c>
      <c r="BV43" s="208">
        <v>201447</v>
      </c>
      <c r="BW43" s="208">
        <v>0</v>
      </c>
      <c r="BX43" s="208">
        <v>133872</v>
      </c>
      <c r="BY43" s="208">
        <v>33469</v>
      </c>
      <c r="BZ43" s="208">
        <v>0</v>
      </c>
      <c r="CA43" s="208">
        <v>0</v>
      </c>
      <c r="CB43" s="208">
        <v>0</v>
      </c>
      <c r="CC43" s="208">
        <v>0</v>
      </c>
      <c r="CD43" s="208">
        <v>0</v>
      </c>
      <c r="CE43" s="208">
        <v>0</v>
      </c>
      <c r="CF43" s="208">
        <v>0</v>
      </c>
      <c r="CG43" s="208">
        <v>0</v>
      </c>
      <c r="CH43" s="208">
        <v>0</v>
      </c>
      <c r="CI43" s="208">
        <v>0</v>
      </c>
      <c r="CJ43" s="208">
        <v>0</v>
      </c>
      <c r="CK43" s="208">
        <v>0</v>
      </c>
      <c r="CL43" s="208">
        <v>0</v>
      </c>
      <c r="CM43" s="208">
        <v>0</v>
      </c>
      <c r="CN43" s="208">
        <v>0</v>
      </c>
      <c r="CO43" s="208">
        <v>0</v>
      </c>
      <c r="CP43" s="208">
        <v>0</v>
      </c>
      <c r="CQ43" s="208">
        <v>0</v>
      </c>
      <c r="CR43" s="208">
        <v>0</v>
      </c>
      <c r="CS43" s="208">
        <v>0</v>
      </c>
      <c r="CT43" s="208">
        <v>0</v>
      </c>
      <c r="CU43" s="208">
        <v>0</v>
      </c>
      <c r="CV43" s="208">
        <v>0</v>
      </c>
      <c r="CW43" s="208">
        <v>0</v>
      </c>
      <c r="CX43" s="208">
        <v>0</v>
      </c>
      <c r="CY43" s="208">
        <v>0</v>
      </c>
      <c r="CZ43" s="208">
        <v>0</v>
      </c>
      <c r="DA43" s="208">
        <v>0</v>
      </c>
      <c r="DB43" s="208">
        <v>0</v>
      </c>
      <c r="DC43" s="208">
        <v>0</v>
      </c>
      <c r="DD43" s="208">
        <v>0</v>
      </c>
      <c r="DE43" s="208">
        <v>0</v>
      </c>
      <c r="DF43" s="208">
        <v>0</v>
      </c>
      <c r="DG43" s="208">
        <v>0</v>
      </c>
      <c r="DH43" s="208">
        <v>0</v>
      </c>
      <c r="DI43" s="208">
        <v>0</v>
      </c>
      <c r="DJ43" s="208">
        <v>0</v>
      </c>
      <c r="DK43" s="208">
        <v>0</v>
      </c>
      <c r="DL43" s="208">
        <v>0</v>
      </c>
      <c r="DM43" s="208">
        <v>0</v>
      </c>
      <c r="DN43" s="208">
        <v>0</v>
      </c>
      <c r="DO43" s="208">
        <v>0</v>
      </c>
      <c r="DP43" s="208">
        <v>0</v>
      </c>
      <c r="DQ43" s="208">
        <v>0</v>
      </c>
      <c r="DR43" s="208">
        <v>0</v>
      </c>
      <c r="DS43" s="208">
        <v>0</v>
      </c>
      <c r="DT43" s="208">
        <v>0</v>
      </c>
      <c r="DU43" s="208">
        <v>0</v>
      </c>
      <c r="DV43" s="208">
        <v>0</v>
      </c>
      <c r="DW43" s="208">
        <v>4943.9608333333344</v>
      </c>
      <c r="DX43" s="208">
        <v>1235.9902083333336</v>
      </c>
      <c r="DY43" s="208">
        <v>0</v>
      </c>
      <c r="DZ43" s="208">
        <v>8502</v>
      </c>
      <c r="EA43" s="208">
        <v>2125</v>
      </c>
      <c r="EB43" s="208">
        <v>0</v>
      </c>
      <c r="EC43" s="208">
        <v>-3558</v>
      </c>
      <c r="ED43" s="208">
        <v>-889</v>
      </c>
      <c r="EE43" s="208">
        <v>0</v>
      </c>
      <c r="EF43" s="208">
        <v>7851.9083333333328</v>
      </c>
      <c r="EG43" s="208">
        <v>1962.9770833333332</v>
      </c>
      <c r="EH43" s="208">
        <v>0</v>
      </c>
      <c r="EI43" s="208">
        <v>147.30000000000001</v>
      </c>
      <c r="EJ43" s="208">
        <v>36.825000000000003</v>
      </c>
      <c r="EK43" s="208">
        <v>0</v>
      </c>
      <c r="EL43" s="208">
        <v>6533</v>
      </c>
      <c r="EM43" s="208">
        <v>1633</v>
      </c>
      <c r="EN43" s="208">
        <v>0</v>
      </c>
      <c r="EO43" s="208">
        <v>1466</v>
      </c>
      <c r="EP43" s="208">
        <v>367</v>
      </c>
      <c r="EQ43" s="208">
        <v>0</v>
      </c>
      <c r="ER43" s="208">
        <v>9416.1525000000001</v>
      </c>
      <c r="ES43" s="208">
        <v>2354.038125</v>
      </c>
      <c r="ET43" s="208">
        <v>0</v>
      </c>
      <c r="EU43" s="208">
        <v>9411</v>
      </c>
      <c r="EV43" s="208">
        <v>2353</v>
      </c>
      <c r="EW43" s="208">
        <v>0</v>
      </c>
      <c r="EX43" s="208">
        <v>5</v>
      </c>
      <c r="EY43" s="208">
        <v>1</v>
      </c>
      <c r="EZ43" s="208">
        <v>0</v>
      </c>
      <c r="FA43" s="208">
        <v>0</v>
      </c>
      <c r="FB43" s="208">
        <v>0</v>
      </c>
      <c r="FC43" s="208">
        <v>0</v>
      </c>
      <c r="FD43" s="208">
        <v>0</v>
      </c>
      <c r="FE43" s="208">
        <v>0</v>
      </c>
      <c r="FF43" s="208">
        <v>0</v>
      </c>
      <c r="FG43" s="208">
        <v>0</v>
      </c>
      <c r="FH43" s="208">
        <v>0</v>
      </c>
      <c r="FI43" s="208">
        <v>0</v>
      </c>
      <c r="FJ43" s="208">
        <v>350366.03250000003</v>
      </c>
      <c r="FK43" s="208">
        <v>87591.508125000008</v>
      </c>
      <c r="FL43" s="208">
        <v>0</v>
      </c>
      <c r="FM43" s="208">
        <v>376297</v>
      </c>
      <c r="FN43" s="208">
        <v>94074</v>
      </c>
      <c r="FO43" s="208">
        <v>0</v>
      </c>
      <c r="FP43" s="208">
        <v>-25931</v>
      </c>
      <c r="FQ43" s="208">
        <v>-6482</v>
      </c>
      <c r="FR43" s="208">
        <v>0</v>
      </c>
      <c r="FS43" s="208">
        <v>0</v>
      </c>
      <c r="FT43" s="208">
        <v>0</v>
      </c>
      <c r="FU43" s="208">
        <v>0</v>
      </c>
      <c r="FV43" s="208">
        <v>0</v>
      </c>
      <c r="FW43" s="208">
        <v>0</v>
      </c>
      <c r="FX43" s="208">
        <v>0</v>
      </c>
      <c r="FY43" s="208">
        <v>0</v>
      </c>
      <c r="FZ43" s="208">
        <v>0</v>
      </c>
      <c r="GA43" s="208">
        <v>0</v>
      </c>
      <c r="GB43" s="208">
        <v>1312386</v>
      </c>
      <c r="GC43" s="208">
        <v>328098</v>
      </c>
      <c r="GD43" s="208">
        <v>0</v>
      </c>
      <c r="GE43" s="664">
        <v>0.5</v>
      </c>
      <c r="GF43" s="664">
        <v>0.4</v>
      </c>
      <c r="GG43" s="664">
        <v>0.1</v>
      </c>
      <c r="GH43" s="664">
        <v>0</v>
      </c>
      <c r="GI43" s="187" t="s">
        <v>1054</v>
      </c>
    </row>
    <row r="44" spans="1:191" s="187" customFormat="1" x14ac:dyDescent="0.2">
      <c r="B44" s="429" t="s">
        <v>167</v>
      </c>
      <c r="C44" s="429" t="s">
        <v>166</v>
      </c>
      <c r="D44" s="208">
        <v>671327</v>
      </c>
      <c r="E44" s="208">
        <v>-17645</v>
      </c>
      <c r="F44" s="208">
        <v>653682</v>
      </c>
      <c r="G44" s="208">
        <v>482280.27999999991</v>
      </c>
      <c r="H44" s="208">
        <v>17645.41</v>
      </c>
      <c r="I44" s="208">
        <v>499925.68999999989</v>
      </c>
      <c r="J44" s="208">
        <v>189046.72000000009</v>
      </c>
      <c r="K44" s="208">
        <v>-35290.410000000003</v>
      </c>
      <c r="L44" s="208">
        <v>153756.31000000008</v>
      </c>
      <c r="M44" s="208">
        <v>103272</v>
      </c>
      <c r="N44" s="208">
        <v>103272</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112521</v>
      </c>
      <c r="AI44" s="208">
        <v>112520.83333333334</v>
      </c>
      <c r="AJ44" s="208">
        <v>0</v>
      </c>
      <c r="AK44" s="208">
        <v>0</v>
      </c>
      <c r="AL44" s="208">
        <v>110000</v>
      </c>
      <c r="AM44" s="208">
        <v>110000</v>
      </c>
      <c r="AN44" s="208">
        <v>0</v>
      </c>
      <c r="AO44" s="208">
        <v>0</v>
      </c>
      <c r="AP44" s="208">
        <v>2521</v>
      </c>
      <c r="AQ44" s="208">
        <v>2521</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c r="BL44" s="208">
        <v>0</v>
      </c>
      <c r="BM44" s="208">
        <v>0</v>
      </c>
      <c r="BN44" s="208">
        <v>0</v>
      </c>
      <c r="BO44" s="208">
        <v>743848.51426583331</v>
      </c>
      <c r="BP44" s="208">
        <v>167365.91570981251</v>
      </c>
      <c r="BQ44" s="208">
        <v>18596.212856645834</v>
      </c>
      <c r="BR44" s="208">
        <v>47494</v>
      </c>
      <c r="BS44" s="208">
        <v>10686</v>
      </c>
      <c r="BT44" s="208">
        <v>1187</v>
      </c>
      <c r="BU44" s="208">
        <v>705266</v>
      </c>
      <c r="BV44" s="208">
        <v>158685</v>
      </c>
      <c r="BW44" s="208">
        <v>17632</v>
      </c>
      <c r="BX44" s="208">
        <v>86077</v>
      </c>
      <c r="BY44" s="208">
        <v>19367</v>
      </c>
      <c r="BZ44" s="208">
        <v>2151</v>
      </c>
      <c r="CA44" s="208">
        <v>0</v>
      </c>
      <c r="CB44" s="208">
        <v>0</v>
      </c>
      <c r="CC44" s="208">
        <v>0</v>
      </c>
      <c r="CD44" s="208">
        <v>0</v>
      </c>
      <c r="CE44" s="208">
        <v>0</v>
      </c>
      <c r="CF44" s="208">
        <v>0</v>
      </c>
      <c r="CG44" s="208">
        <v>0</v>
      </c>
      <c r="CH44" s="208">
        <v>0</v>
      </c>
      <c r="CI44" s="208">
        <v>0</v>
      </c>
      <c r="CJ44" s="208">
        <v>0</v>
      </c>
      <c r="CK44" s="208">
        <v>0</v>
      </c>
      <c r="CL44" s="208">
        <v>0</v>
      </c>
      <c r="CM44" s="208">
        <v>0</v>
      </c>
      <c r="CN44" s="208">
        <v>0</v>
      </c>
      <c r="CO44" s="208">
        <v>0</v>
      </c>
      <c r="CP44" s="208">
        <v>0</v>
      </c>
      <c r="CQ44" s="208">
        <v>0</v>
      </c>
      <c r="CR44" s="208">
        <v>0</v>
      </c>
      <c r="CS44" s="208">
        <v>0</v>
      </c>
      <c r="CT44" s="208">
        <v>0</v>
      </c>
      <c r="CU44" s="208">
        <v>0</v>
      </c>
      <c r="CV44" s="208">
        <v>0</v>
      </c>
      <c r="CW44" s="208">
        <v>0</v>
      </c>
      <c r="CX44" s="208">
        <v>0</v>
      </c>
      <c r="CY44" s="208">
        <v>0</v>
      </c>
      <c r="CZ44" s="208">
        <v>0</v>
      </c>
      <c r="DA44" s="208">
        <v>0</v>
      </c>
      <c r="DB44" s="208">
        <v>0</v>
      </c>
      <c r="DC44" s="208">
        <v>0</v>
      </c>
      <c r="DD44" s="208">
        <v>0</v>
      </c>
      <c r="DE44" s="208">
        <v>0</v>
      </c>
      <c r="DF44" s="208">
        <v>0</v>
      </c>
      <c r="DG44" s="208">
        <v>0</v>
      </c>
      <c r="DH44" s="208">
        <v>3927</v>
      </c>
      <c r="DI44" s="208">
        <v>883</v>
      </c>
      <c r="DJ44" s="208">
        <v>98</v>
      </c>
      <c r="DK44" s="208">
        <v>-3927</v>
      </c>
      <c r="DL44" s="208">
        <v>-883</v>
      </c>
      <c r="DM44" s="208">
        <v>-98</v>
      </c>
      <c r="DN44" s="208">
        <v>0</v>
      </c>
      <c r="DO44" s="208">
        <v>0</v>
      </c>
      <c r="DP44" s="208">
        <v>0</v>
      </c>
      <c r="DQ44" s="208">
        <v>0</v>
      </c>
      <c r="DR44" s="208">
        <v>0</v>
      </c>
      <c r="DS44" s="208">
        <v>0</v>
      </c>
      <c r="DT44" s="208">
        <v>0</v>
      </c>
      <c r="DU44" s="208">
        <v>0</v>
      </c>
      <c r="DV44" s="208">
        <v>0</v>
      </c>
      <c r="DW44" s="208">
        <v>3750.4216666666671</v>
      </c>
      <c r="DX44" s="208">
        <v>843.844875</v>
      </c>
      <c r="DY44" s="208">
        <v>93.760541666666668</v>
      </c>
      <c r="DZ44" s="208">
        <v>3927</v>
      </c>
      <c r="EA44" s="208">
        <v>883</v>
      </c>
      <c r="EB44" s="208">
        <v>98</v>
      </c>
      <c r="EC44" s="208">
        <v>-177</v>
      </c>
      <c r="ED44" s="208">
        <v>-39</v>
      </c>
      <c r="EE44" s="208">
        <v>-4</v>
      </c>
      <c r="EF44" s="208">
        <v>18946.462500000001</v>
      </c>
      <c r="EG44" s="208">
        <v>4262.9540625</v>
      </c>
      <c r="EH44" s="208">
        <v>473.6615625</v>
      </c>
      <c r="EI44" s="208">
        <v>-1343.7033333333334</v>
      </c>
      <c r="EJ44" s="208">
        <v>-302.33324999999996</v>
      </c>
      <c r="EK44" s="208">
        <v>-33.59258333333333</v>
      </c>
      <c r="EL44" s="208">
        <v>30873</v>
      </c>
      <c r="EM44" s="208">
        <v>6947</v>
      </c>
      <c r="EN44" s="208">
        <v>772</v>
      </c>
      <c r="EO44" s="208">
        <v>-13270</v>
      </c>
      <c r="EP44" s="208">
        <v>-2986</v>
      </c>
      <c r="EQ44" s="208">
        <v>-332</v>
      </c>
      <c r="ER44" s="208">
        <v>13423.530833333332</v>
      </c>
      <c r="ES44" s="208">
        <v>3020.2944374999997</v>
      </c>
      <c r="ET44" s="208">
        <v>335.58827083333335</v>
      </c>
      <c r="EU44" s="208">
        <v>14358</v>
      </c>
      <c r="EV44" s="208">
        <v>3231</v>
      </c>
      <c r="EW44" s="208">
        <v>359</v>
      </c>
      <c r="EX44" s="208">
        <v>-934</v>
      </c>
      <c r="EY44" s="208">
        <v>-211</v>
      </c>
      <c r="EZ44" s="208">
        <v>-23</v>
      </c>
      <c r="FA44" s="208">
        <v>0</v>
      </c>
      <c r="FB44" s="208">
        <v>0</v>
      </c>
      <c r="FC44" s="208">
        <v>0</v>
      </c>
      <c r="FD44" s="208">
        <v>0</v>
      </c>
      <c r="FE44" s="208">
        <v>0</v>
      </c>
      <c r="FF44" s="208">
        <v>0</v>
      </c>
      <c r="FG44" s="208">
        <v>0</v>
      </c>
      <c r="FH44" s="208">
        <v>0</v>
      </c>
      <c r="FI44" s="208">
        <v>0</v>
      </c>
      <c r="FJ44" s="208">
        <v>247926.73583333334</v>
      </c>
      <c r="FK44" s="208">
        <v>55783.515562499997</v>
      </c>
      <c r="FL44" s="208">
        <v>6198.1683958333333</v>
      </c>
      <c r="FM44" s="208">
        <v>259139</v>
      </c>
      <c r="FN44" s="208">
        <v>57739</v>
      </c>
      <c r="FO44" s="208">
        <v>6415</v>
      </c>
      <c r="FP44" s="208">
        <v>-11212</v>
      </c>
      <c r="FQ44" s="208">
        <v>-1955</v>
      </c>
      <c r="FR44" s="208">
        <v>-217</v>
      </c>
      <c r="FS44" s="208">
        <v>0</v>
      </c>
      <c r="FT44" s="208">
        <v>0</v>
      </c>
      <c r="FU44" s="208">
        <v>0</v>
      </c>
      <c r="FV44" s="208">
        <v>0</v>
      </c>
      <c r="FW44" s="208">
        <v>0</v>
      </c>
      <c r="FX44" s="208">
        <v>0</v>
      </c>
      <c r="FY44" s="208">
        <v>0</v>
      </c>
      <c r="FZ44" s="208">
        <v>0</v>
      </c>
      <c r="GA44" s="208">
        <v>0</v>
      </c>
      <c r="GB44" s="208">
        <v>1074046</v>
      </c>
      <c r="GC44" s="208">
        <v>241661</v>
      </c>
      <c r="GD44" s="208">
        <v>26851</v>
      </c>
      <c r="GE44" s="664">
        <v>0.5</v>
      </c>
      <c r="GF44" s="664">
        <v>0.4</v>
      </c>
      <c r="GG44" s="664">
        <v>0.09</v>
      </c>
      <c r="GH44" s="664">
        <v>0.01</v>
      </c>
      <c r="GI44" s="187" t="s">
        <v>1054</v>
      </c>
    </row>
    <row r="45" spans="1:191" s="187" customFormat="1" x14ac:dyDescent="0.2">
      <c r="B45" s="429" t="s">
        <v>169</v>
      </c>
      <c r="C45" s="429" t="s">
        <v>168</v>
      </c>
      <c r="D45" s="208">
        <v>-755059</v>
      </c>
      <c r="E45" s="208">
        <v>0</v>
      </c>
      <c r="F45" s="208">
        <v>-755059</v>
      </c>
      <c r="G45" s="208">
        <v>-866822</v>
      </c>
      <c r="H45" s="208">
        <v>0</v>
      </c>
      <c r="I45" s="208">
        <v>-866822</v>
      </c>
      <c r="J45" s="208">
        <v>111763</v>
      </c>
      <c r="K45" s="208">
        <v>0</v>
      </c>
      <c r="L45" s="208">
        <v>111763</v>
      </c>
      <c r="M45" s="208">
        <v>148187</v>
      </c>
      <c r="N45" s="208">
        <v>148187</v>
      </c>
      <c r="O45" s="208">
        <v>0</v>
      </c>
      <c r="P45" s="208">
        <v>0</v>
      </c>
      <c r="Q45" s="208">
        <v>0</v>
      </c>
      <c r="R45" s="208">
        <v>0</v>
      </c>
      <c r="S45" s="208">
        <v>234779</v>
      </c>
      <c r="T45" s="208">
        <v>0</v>
      </c>
      <c r="U45" s="208">
        <v>235116</v>
      </c>
      <c r="V45" s="208">
        <v>0</v>
      </c>
      <c r="W45" s="208">
        <v>-337</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c r="BL45" s="208">
        <v>0</v>
      </c>
      <c r="BM45" s="208">
        <v>0</v>
      </c>
      <c r="BN45" s="208">
        <v>0</v>
      </c>
      <c r="BO45" s="208">
        <v>1013470.3508091668</v>
      </c>
      <c r="BP45" s="208">
        <v>228030.82893206249</v>
      </c>
      <c r="BQ45" s="208">
        <v>25336.758770229168</v>
      </c>
      <c r="BR45" s="208">
        <v>49398</v>
      </c>
      <c r="BS45" s="208">
        <v>11115</v>
      </c>
      <c r="BT45" s="208">
        <v>1235</v>
      </c>
      <c r="BU45" s="208">
        <v>980913</v>
      </c>
      <c r="BV45" s="208">
        <v>220706</v>
      </c>
      <c r="BW45" s="208">
        <v>24523</v>
      </c>
      <c r="BX45" s="208">
        <v>81955</v>
      </c>
      <c r="BY45" s="208">
        <v>18440</v>
      </c>
      <c r="BZ45" s="208">
        <v>2049</v>
      </c>
      <c r="CA45" s="208">
        <v>4884.0179166666667</v>
      </c>
      <c r="CB45" s="208">
        <v>1098.9040312499999</v>
      </c>
      <c r="CC45" s="208">
        <v>122.10044791666667</v>
      </c>
      <c r="CD45" s="208">
        <v>1728</v>
      </c>
      <c r="CE45" s="208">
        <v>389</v>
      </c>
      <c r="CF45" s="208">
        <v>43</v>
      </c>
      <c r="CG45" s="208">
        <v>3156</v>
      </c>
      <c r="CH45" s="208">
        <v>710</v>
      </c>
      <c r="CI45" s="208">
        <v>79</v>
      </c>
      <c r="CJ45" s="208">
        <v>0</v>
      </c>
      <c r="CK45" s="208">
        <v>0</v>
      </c>
      <c r="CL45" s="208">
        <v>0</v>
      </c>
      <c r="CM45" s="208">
        <v>0</v>
      </c>
      <c r="CN45" s="208">
        <v>0</v>
      </c>
      <c r="CO45" s="208">
        <v>0</v>
      </c>
      <c r="CP45" s="208">
        <v>0</v>
      </c>
      <c r="CQ45" s="208">
        <v>0</v>
      </c>
      <c r="CR45" s="208">
        <v>0</v>
      </c>
      <c r="CS45" s="208">
        <v>0</v>
      </c>
      <c r="CT45" s="208">
        <v>0</v>
      </c>
      <c r="CU45" s="208">
        <v>0</v>
      </c>
      <c r="CV45" s="208">
        <v>0</v>
      </c>
      <c r="CW45" s="208">
        <v>0</v>
      </c>
      <c r="CX45" s="208">
        <v>0</v>
      </c>
      <c r="CY45" s="208">
        <v>0</v>
      </c>
      <c r="CZ45" s="208">
        <v>0</v>
      </c>
      <c r="DA45" s="208">
        <v>0</v>
      </c>
      <c r="DB45" s="208">
        <v>0</v>
      </c>
      <c r="DC45" s="208">
        <v>0</v>
      </c>
      <c r="DD45" s="208">
        <v>0</v>
      </c>
      <c r="DE45" s="208">
        <v>0</v>
      </c>
      <c r="DF45" s="208">
        <v>0</v>
      </c>
      <c r="DG45" s="208">
        <v>0</v>
      </c>
      <c r="DH45" s="208">
        <v>819</v>
      </c>
      <c r="DI45" s="208">
        <v>184</v>
      </c>
      <c r="DJ45" s="208">
        <v>20</v>
      </c>
      <c r="DK45" s="208">
        <v>-819</v>
      </c>
      <c r="DL45" s="208">
        <v>-184</v>
      </c>
      <c r="DM45" s="208">
        <v>-20</v>
      </c>
      <c r="DN45" s="208">
        <v>0</v>
      </c>
      <c r="DO45" s="208">
        <v>0</v>
      </c>
      <c r="DP45" s="208">
        <v>0</v>
      </c>
      <c r="DQ45" s="208">
        <v>1227</v>
      </c>
      <c r="DR45" s="208">
        <v>276</v>
      </c>
      <c r="DS45" s="208">
        <v>31</v>
      </c>
      <c r="DT45" s="208">
        <v>-1227</v>
      </c>
      <c r="DU45" s="208">
        <v>-276</v>
      </c>
      <c r="DV45" s="208">
        <v>-31</v>
      </c>
      <c r="DW45" s="208">
        <v>4276.6099999999997</v>
      </c>
      <c r="DX45" s="208">
        <v>962.2372499999999</v>
      </c>
      <c r="DY45" s="208">
        <v>106.91525</v>
      </c>
      <c r="DZ45" s="208">
        <v>4500</v>
      </c>
      <c r="EA45" s="208">
        <v>1013</v>
      </c>
      <c r="EB45" s="208">
        <v>113</v>
      </c>
      <c r="EC45" s="208">
        <v>-223</v>
      </c>
      <c r="ED45" s="208">
        <v>-51</v>
      </c>
      <c r="EE45" s="208">
        <v>-6</v>
      </c>
      <c r="EF45" s="208">
        <v>15826.566666666666</v>
      </c>
      <c r="EG45" s="208">
        <v>3560.9774999999995</v>
      </c>
      <c r="EH45" s="208">
        <v>395.66416666666663</v>
      </c>
      <c r="EI45" s="208">
        <v>-57.692499999999995</v>
      </c>
      <c r="EJ45" s="208">
        <v>-12.980812499999999</v>
      </c>
      <c r="EK45" s="208">
        <v>-1.4423124999999999</v>
      </c>
      <c r="EL45" s="208">
        <v>17972</v>
      </c>
      <c r="EM45" s="208">
        <v>4043</v>
      </c>
      <c r="EN45" s="208">
        <v>449</v>
      </c>
      <c r="EO45" s="208">
        <v>-2203</v>
      </c>
      <c r="EP45" s="208">
        <v>-495</v>
      </c>
      <c r="EQ45" s="208">
        <v>-55</v>
      </c>
      <c r="ER45" s="208">
        <v>10339.232500000002</v>
      </c>
      <c r="ES45" s="208">
        <v>2326.3273124999996</v>
      </c>
      <c r="ET45" s="208">
        <v>258.48081250000001</v>
      </c>
      <c r="EU45" s="208">
        <v>13094</v>
      </c>
      <c r="EV45" s="208">
        <v>2946</v>
      </c>
      <c r="EW45" s="208">
        <v>327</v>
      </c>
      <c r="EX45" s="208">
        <v>-2755</v>
      </c>
      <c r="EY45" s="208">
        <v>-620</v>
      </c>
      <c r="EZ45" s="208">
        <v>-69</v>
      </c>
      <c r="FA45" s="208">
        <v>0</v>
      </c>
      <c r="FB45" s="208">
        <v>0</v>
      </c>
      <c r="FC45" s="208">
        <v>0</v>
      </c>
      <c r="FD45" s="208">
        <v>0</v>
      </c>
      <c r="FE45" s="208">
        <v>0</v>
      </c>
      <c r="FF45" s="208">
        <v>0</v>
      </c>
      <c r="FG45" s="208">
        <v>0</v>
      </c>
      <c r="FH45" s="208">
        <v>0</v>
      </c>
      <c r="FI45" s="208">
        <v>0</v>
      </c>
      <c r="FJ45" s="208">
        <v>243608.86458333331</v>
      </c>
      <c r="FK45" s="208">
        <v>53601.415312500001</v>
      </c>
      <c r="FL45" s="208">
        <v>5955.712812499999</v>
      </c>
      <c r="FM45" s="208">
        <v>256081</v>
      </c>
      <c r="FN45" s="208">
        <v>56406</v>
      </c>
      <c r="FO45" s="208">
        <v>6267</v>
      </c>
      <c r="FP45" s="208">
        <v>-12472</v>
      </c>
      <c r="FQ45" s="208">
        <v>-2805</v>
      </c>
      <c r="FR45" s="208">
        <v>-311</v>
      </c>
      <c r="FS45" s="208">
        <v>0</v>
      </c>
      <c r="FT45" s="208">
        <v>0</v>
      </c>
      <c r="FU45" s="208">
        <v>0</v>
      </c>
      <c r="FV45" s="208">
        <v>0</v>
      </c>
      <c r="FW45" s="208">
        <v>0</v>
      </c>
      <c r="FX45" s="208">
        <v>0</v>
      </c>
      <c r="FY45" s="208">
        <v>0</v>
      </c>
      <c r="FZ45" s="208">
        <v>0</v>
      </c>
      <c r="GA45" s="208">
        <v>0</v>
      </c>
      <c r="GB45" s="208">
        <v>1341746</v>
      </c>
      <c r="GC45" s="208">
        <v>300682</v>
      </c>
      <c r="GD45" s="208">
        <v>33410</v>
      </c>
      <c r="GE45" s="664">
        <v>0.5</v>
      </c>
      <c r="GF45" s="664">
        <v>0.4</v>
      </c>
      <c r="GG45" s="664">
        <v>0.09</v>
      </c>
      <c r="GH45" s="664">
        <v>0.01</v>
      </c>
      <c r="GI45" s="187" t="s">
        <v>1054</v>
      </c>
    </row>
    <row r="46" spans="1:191" s="187" customFormat="1" x14ac:dyDescent="0.2">
      <c r="B46" s="429" t="s">
        <v>171</v>
      </c>
      <c r="C46" s="429" t="s">
        <v>170</v>
      </c>
      <c r="D46" s="208">
        <v>-1079462</v>
      </c>
      <c r="E46" s="208">
        <v>0</v>
      </c>
      <c r="F46" s="208">
        <v>-1079462</v>
      </c>
      <c r="G46" s="208">
        <v>-885101</v>
      </c>
      <c r="H46" s="208">
        <v>0</v>
      </c>
      <c r="I46" s="208">
        <v>-885101</v>
      </c>
      <c r="J46" s="208">
        <v>-194361</v>
      </c>
      <c r="K46" s="208">
        <v>0</v>
      </c>
      <c r="L46" s="208">
        <v>-194361</v>
      </c>
      <c r="M46" s="208">
        <v>239552</v>
      </c>
      <c r="N46" s="208">
        <v>239552</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0</v>
      </c>
      <c r="BM46" s="208">
        <v>0</v>
      </c>
      <c r="BN46" s="208">
        <v>0</v>
      </c>
      <c r="BO46" s="208">
        <v>5378841.340929375</v>
      </c>
      <c r="BP46" s="208">
        <v>0</v>
      </c>
      <c r="BQ46" s="208">
        <v>54331.730716458333</v>
      </c>
      <c r="BR46" s="208">
        <v>298483</v>
      </c>
      <c r="BS46" s="208">
        <v>0</v>
      </c>
      <c r="BT46" s="208">
        <v>3015</v>
      </c>
      <c r="BU46" s="208">
        <v>5068989</v>
      </c>
      <c r="BV46" s="208">
        <v>0</v>
      </c>
      <c r="BW46" s="208">
        <v>51202</v>
      </c>
      <c r="BX46" s="208">
        <v>608335</v>
      </c>
      <c r="BY46" s="208">
        <v>0</v>
      </c>
      <c r="BZ46" s="208">
        <v>6145</v>
      </c>
      <c r="CA46" s="208">
        <v>10138.014562499999</v>
      </c>
      <c r="CB46" s="208">
        <v>0</v>
      </c>
      <c r="CC46" s="208">
        <v>102.40418749999999</v>
      </c>
      <c r="CD46" s="208">
        <v>0</v>
      </c>
      <c r="CE46" s="208">
        <v>0</v>
      </c>
      <c r="CF46" s="208">
        <v>0</v>
      </c>
      <c r="CG46" s="208">
        <v>10138</v>
      </c>
      <c r="CH46" s="208">
        <v>0</v>
      </c>
      <c r="CI46" s="208">
        <v>102</v>
      </c>
      <c r="CJ46" s="208">
        <v>-5083.6912499999999</v>
      </c>
      <c r="CK46" s="208">
        <v>0</v>
      </c>
      <c r="CL46" s="208">
        <v>-51.350416666666668</v>
      </c>
      <c r="CM46" s="208">
        <v>0</v>
      </c>
      <c r="CN46" s="208">
        <v>0</v>
      </c>
      <c r="CO46" s="208">
        <v>0</v>
      </c>
      <c r="CP46" s="208">
        <v>374.69437500000004</v>
      </c>
      <c r="CQ46" s="208">
        <v>0</v>
      </c>
      <c r="CR46" s="208">
        <v>3.784791666666667</v>
      </c>
      <c r="CS46" s="208">
        <v>-12087.438</v>
      </c>
      <c r="CT46" s="208">
        <v>0</v>
      </c>
      <c r="CU46" s="208">
        <v>-122.09533333333333</v>
      </c>
      <c r="CV46" s="208">
        <v>0</v>
      </c>
      <c r="CW46" s="208">
        <v>0</v>
      </c>
      <c r="CX46" s="208">
        <v>0</v>
      </c>
      <c r="CY46" s="208">
        <v>-12087</v>
      </c>
      <c r="CZ46" s="208">
        <v>0</v>
      </c>
      <c r="DA46" s="208">
        <v>-122</v>
      </c>
      <c r="DB46" s="208">
        <v>-215.7024375</v>
      </c>
      <c r="DC46" s="208">
        <v>0</v>
      </c>
      <c r="DD46" s="208">
        <v>-2.1788124999999998</v>
      </c>
      <c r="DE46" s="208">
        <v>1572.7036875000001</v>
      </c>
      <c r="DF46" s="208">
        <v>0</v>
      </c>
      <c r="DG46" s="208">
        <v>15.885895833333334</v>
      </c>
      <c r="DH46" s="208">
        <v>1573</v>
      </c>
      <c r="DI46" s="208">
        <v>0</v>
      </c>
      <c r="DJ46" s="208">
        <v>16</v>
      </c>
      <c r="DK46" s="208">
        <v>0</v>
      </c>
      <c r="DL46" s="208">
        <v>0</v>
      </c>
      <c r="DM46" s="208">
        <v>0</v>
      </c>
      <c r="DN46" s="208">
        <v>0</v>
      </c>
      <c r="DO46" s="208">
        <v>0</v>
      </c>
      <c r="DP46" s="208">
        <v>0</v>
      </c>
      <c r="DQ46" s="208">
        <v>0</v>
      </c>
      <c r="DR46" s="208">
        <v>0</v>
      </c>
      <c r="DS46" s="208">
        <v>0</v>
      </c>
      <c r="DT46" s="208">
        <v>0</v>
      </c>
      <c r="DU46" s="208">
        <v>0</v>
      </c>
      <c r="DV46" s="208">
        <v>0</v>
      </c>
      <c r="DW46" s="208">
        <v>36345.354374999995</v>
      </c>
      <c r="DX46" s="208">
        <v>0</v>
      </c>
      <c r="DY46" s="208">
        <v>367.12479166666662</v>
      </c>
      <c r="DZ46" s="208">
        <v>14230</v>
      </c>
      <c r="EA46" s="208">
        <v>0</v>
      </c>
      <c r="EB46" s="208">
        <v>144</v>
      </c>
      <c r="EC46" s="208">
        <v>22115</v>
      </c>
      <c r="ED46" s="208">
        <v>0</v>
      </c>
      <c r="EE46" s="208">
        <v>223</v>
      </c>
      <c r="EF46" s="208">
        <v>186334.5</v>
      </c>
      <c r="EG46" s="208">
        <v>0</v>
      </c>
      <c r="EH46" s="208">
        <v>1882.1666666666665</v>
      </c>
      <c r="EI46" s="208">
        <v>-8034.6626249999999</v>
      </c>
      <c r="EJ46" s="208">
        <v>0</v>
      </c>
      <c r="EK46" s="208">
        <v>-81.158208333333334</v>
      </c>
      <c r="EL46" s="208">
        <v>186335</v>
      </c>
      <c r="EM46" s="208">
        <v>0</v>
      </c>
      <c r="EN46" s="208">
        <v>1882</v>
      </c>
      <c r="EO46" s="208">
        <v>-8035</v>
      </c>
      <c r="EP46" s="208">
        <v>0</v>
      </c>
      <c r="EQ46" s="208">
        <v>-81</v>
      </c>
      <c r="ER46" s="208">
        <v>64411.988437500004</v>
      </c>
      <c r="ES46" s="208">
        <v>0</v>
      </c>
      <c r="ET46" s="208">
        <v>650.62614583333345</v>
      </c>
      <c r="EU46" s="208">
        <v>84857</v>
      </c>
      <c r="EV46" s="208">
        <v>0</v>
      </c>
      <c r="EW46" s="208">
        <v>857</v>
      </c>
      <c r="EX46" s="208">
        <v>-20445</v>
      </c>
      <c r="EY46" s="208">
        <v>0</v>
      </c>
      <c r="EZ46" s="208">
        <v>-206</v>
      </c>
      <c r="FA46" s="208">
        <v>0</v>
      </c>
      <c r="FB46" s="208">
        <v>0</v>
      </c>
      <c r="FC46" s="208">
        <v>0</v>
      </c>
      <c r="FD46" s="208">
        <v>0</v>
      </c>
      <c r="FE46" s="208">
        <v>0</v>
      </c>
      <c r="FF46" s="208">
        <v>0</v>
      </c>
      <c r="FG46" s="208">
        <v>0</v>
      </c>
      <c r="FH46" s="208">
        <v>0</v>
      </c>
      <c r="FI46" s="208">
        <v>0</v>
      </c>
      <c r="FJ46" s="208">
        <v>1186977.5795624999</v>
      </c>
      <c r="FK46" s="208">
        <v>0</v>
      </c>
      <c r="FL46" s="208">
        <v>11989.672520833334</v>
      </c>
      <c r="FM46" s="208">
        <v>1065275</v>
      </c>
      <c r="FN46" s="208">
        <v>0</v>
      </c>
      <c r="FO46" s="208">
        <v>10760</v>
      </c>
      <c r="FP46" s="208">
        <v>121703</v>
      </c>
      <c r="FQ46" s="208">
        <v>0</v>
      </c>
      <c r="FR46" s="208">
        <v>1230</v>
      </c>
      <c r="FS46" s="208">
        <v>0</v>
      </c>
      <c r="FT46" s="208">
        <v>0</v>
      </c>
      <c r="FU46" s="208">
        <v>0</v>
      </c>
      <c r="FV46" s="208">
        <v>0</v>
      </c>
      <c r="FW46" s="208">
        <v>0</v>
      </c>
      <c r="FX46" s="208">
        <v>0</v>
      </c>
      <c r="FY46" s="208">
        <v>0</v>
      </c>
      <c r="FZ46" s="208">
        <v>0</v>
      </c>
      <c r="GA46" s="208">
        <v>0</v>
      </c>
      <c r="GB46" s="208">
        <v>7138058</v>
      </c>
      <c r="GC46" s="208">
        <v>0</v>
      </c>
      <c r="GD46" s="208">
        <v>72103</v>
      </c>
      <c r="GE46" s="664">
        <v>0</v>
      </c>
      <c r="GF46" s="664">
        <v>0.99</v>
      </c>
      <c r="GG46" s="664">
        <v>0</v>
      </c>
      <c r="GH46" s="664">
        <v>0.01</v>
      </c>
      <c r="GI46" s="187" t="s">
        <v>1056</v>
      </c>
    </row>
    <row r="47" spans="1:191" s="187" customFormat="1" x14ac:dyDescent="0.2">
      <c r="B47" s="429" t="s">
        <v>173</v>
      </c>
      <c r="C47" s="429" t="s">
        <v>172</v>
      </c>
      <c r="D47" s="208">
        <v>-233399</v>
      </c>
      <c r="E47" s="208">
        <v>0</v>
      </c>
      <c r="F47" s="208">
        <v>-233399</v>
      </c>
      <c r="G47" s="208">
        <v>-397226</v>
      </c>
      <c r="H47" s="208">
        <v>0</v>
      </c>
      <c r="I47" s="208">
        <v>-397226</v>
      </c>
      <c r="J47" s="208">
        <v>163827</v>
      </c>
      <c r="K47" s="208">
        <v>0</v>
      </c>
      <c r="L47" s="208">
        <v>163827</v>
      </c>
      <c r="M47" s="208">
        <v>350505</v>
      </c>
      <c r="N47" s="208">
        <v>350505</v>
      </c>
      <c r="O47" s="208">
        <v>0</v>
      </c>
      <c r="P47" s="208">
        <v>0</v>
      </c>
      <c r="Q47" s="208">
        <v>0</v>
      </c>
      <c r="R47" s="208">
        <v>0</v>
      </c>
      <c r="S47" s="208">
        <v>481356</v>
      </c>
      <c r="T47" s="208">
        <v>0</v>
      </c>
      <c r="U47" s="208">
        <v>208857</v>
      </c>
      <c r="V47" s="208">
        <v>0</v>
      </c>
      <c r="W47" s="208">
        <v>272499</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0</v>
      </c>
      <c r="BM47" s="208">
        <v>0</v>
      </c>
      <c r="BN47" s="208">
        <v>0</v>
      </c>
      <c r="BO47" s="208">
        <v>7433131.9169992497</v>
      </c>
      <c r="BP47" s="208">
        <v>0</v>
      </c>
      <c r="BQ47" s="208">
        <v>75082.140575750003</v>
      </c>
      <c r="BR47" s="208">
        <v>311272</v>
      </c>
      <c r="BS47" s="208">
        <v>0</v>
      </c>
      <c r="BT47" s="208">
        <v>3144</v>
      </c>
      <c r="BU47" s="208">
        <v>6781003</v>
      </c>
      <c r="BV47" s="208">
        <v>0</v>
      </c>
      <c r="BW47" s="208">
        <v>68495</v>
      </c>
      <c r="BX47" s="208">
        <v>963401</v>
      </c>
      <c r="BY47" s="208">
        <v>0</v>
      </c>
      <c r="BZ47" s="208">
        <v>9731</v>
      </c>
      <c r="CA47" s="208">
        <v>0</v>
      </c>
      <c r="CB47" s="208">
        <v>0</v>
      </c>
      <c r="CC47" s="208">
        <v>0</v>
      </c>
      <c r="CD47" s="208">
        <v>0</v>
      </c>
      <c r="CE47" s="208">
        <v>0</v>
      </c>
      <c r="CF47" s="208">
        <v>0</v>
      </c>
      <c r="CG47" s="208">
        <v>0</v>
      </c>
      <c r="CH47" s="208">
        <v>0</v>
      </c>
      <c r="CI47" s="208">
        <v>0</v>
      </c>
      <c r="CJ47" s="208">
        <v>0</v>
      </c>
      <c r="CK47" s="208">
        <v>0</v>
      </c>
      <c r="CL47" s="208">
        <v>0</v>
      </c>
      <c r="CM47" s="208">
        <v>0</v>
      </c>
      <c r="CN47" s="208">
        <v>0</v>
      </c>
      <c r="CO47" s="208">
        <v>0</v>
      </c>
      <c r="CP47" s="208">
        <v>-3975.8111249999997</v>
      </c>
      <c r="CQ47" s="208">
        <v>0</v>
      </c>
      <c r="CR47" s="208">
        <v>-40.159708333333334</v>
      </c>
      <c r="CS47" s="208">
        <v>0</v>
      </c>
      <c r="CT47" s="208">
        <v>0</v>
      </c>
      <c r="CU47" s="208">
        <v>0</v>
      </c>
      <c r="CV47" s="208">
        <v>0</v>
      </c>
      <c r="CW47" s="208">
        <v>0</v>
      </c>
      <c r="CX47" s="208">
        <v>0</v>
      </c>
      <c r="CY47" s="208">
        <v>0</v>
      </c>
      <c r="CZ47" s="208">
        <v>0</v>
      </c>
      <c r="DA47" s="208">
        <v>0</v>
      </c>
      <c r="DB47" s="208">
        <v>-281.52712500000001</v>
      </c>
      <c r="DC47" s="208">
        <v>0</v>
      </c>
      <c r="DD47" s="208">
        <v>-2.8437083333333333</v>
      </c>
      <c r="DE47" s="208">
        <v>6567.2784375000001</v>
      </c>
      <c r="DF47" s="208">
        <v>0</v>
      </c>
      <c r="DG47" s="208">
        <v>66.336145833333333</v>
      </c>
      <c r="DH47" s="208">
        <v>3456</v>
      </c>
      <c r="DI47" s="208">
        <v>0</v>
      </c>
      <c r="DJ47" s="208">
        <v>35</v>
      </c>
      <c r="DK47" s="208">
        <v>3111</v>
      </c>
      <c r="DL47" s="208">
        <v>0</v>
      </c>
      <c r="DM47" s="208">
        <v>31</v>
      </c>
      <c r="DN47" s="208">
        <v>3038.0625</v>
      </c>
      <c r="DO47" s="208">
        <v>0</v>
      </c>
      <c r="DP47" s="208">
        <v>30.6875</v>
      </c>
      <c r="DQ47" s="208">
        <v>0</v>
      </c>
      <c r="DR47" s="208">
        <v>0</v>
      </c>
      <c r="DS47" s="208">
        <v>0</v>
      </c>
      <c r="DT47" s="208">
        <v>3038</v>
      </c>
      <c r="DU47" s="208">
        <v>0</v>
      </c>
      <c r="DV47" s="208">
        <v>31</v>
      </c>
      <c r="DW47" s="208">
        <v>38540.860874999998</v>
      </c>
      <c r="DX47" s="208">
        <v>0</v>
      </c>
      <c r="DY47" s="208">
        <v>389.301625</v>
      </c>
      <c r="DZ47" s="208">
        <v>25317</v>
      </c>
      <c r="EA47" s="208">
        <v>0</v>
      </c>
      <c r="EB47" s="208">
        <v>256</v>
      </c>
      <c r="EC47" s="208">
        <v>13224</v>
      </c>
      <c r="ED47" s="208">
        <v>0</v>
      </c>
      <c r="EE47" s="208">
        <v>133</v>
      </c>
      <c r="EF47" s="208">
        <v>89519.549625</v>
      </c>
      <c r="EG47" s="208">
        <v>0</v>
      </c>
      <c r="EH47" s="208">
        <v>904.23787500000003</v>
      </c>
      <c r="EI47" s="208">
        <v>-11635.779375</v>
      </c>
      <c r="EJ47" s="208">
        <v>0</v>
      </c>
      <c r="EK47" s="208">
        <v>-117.533125</v>
      </c>
      <c r="EL47" s="208">
        <v>155943</v>
      </c>
      <c r="EM47" s="208">
        <v>0</v>
      </c>
      <c r="EN47" s="208">
        <v>1575</v>
      </c>
      <c r="EO47" s="208">
        <v>-78059</v>
      </c>
      <c r="EP47" s="208">
        <v>0</v>
      </c>
      <c r="EQ47" s="208">
        <v>-788</v>
      </c>
      <c r="ER47" s="208">
        <v>86702.252999999997</v>
      </c>
      <c r="ES47" s="208">
        <v>0</v>
      </c>
      <c r="ET47" s="208">
        <v>875.78033333333337</v>
      </c>
      <c r="EU47" s="208">
        <v>99622</v>
      </c>
      <c r="EV47" s="208">
        <v>0</v>
      </c>
      <c r="EW47" s="208">
        <v>1006</v>
      </c>
      <c r="EX47" s="208">
        <v>-12920</v>
      </c>
      <c r="EY47" s="208">
        <v>0</v>
      </c>
      <c r="EZ47" s="208">
        <v>-130</v>
      </c>
      <c r="FA47" s="208">
        <v>0</v>
      </c>
      <c r="FB47" s="208">
        <v>0</v>
      </c>
      <c r="FC47" s="208">
        <v>0</v>
      </c>
      <c r="FD47" s="208">
        <v>0</v>
      </c>
      <c r="FE47" s="208">
        <v>0</v>
      </c>
      <c r="FF47" s="208">
        <v>0</v>
      </c>
      <c r="FG47" s="208">
        <v>0</v>
      </c>
      <c r="FH47" s="208">
        <v>0</v>
      </c>
      <c r="FI47" s="208">
        <v>0</v>
      </c>
      <c r="FJ47" s="208">
        <v>1236181.1199581248</v>
      </c>
      <c r="FK47" s="208">
        <v>0</v>
      </c>
      <c r="FL47" s="208">
        <v>12375.252979374998</v>
      </c>
      <c r="FM47" s="208">
        <v>1231101</v>
      </c>
      <c r="FN47" s="208">
        <v>0</v>
      </c>
      <c r="FO47" s="208">
        <v>12387</v>
      </c>
      <c r="FP47" s="208">
        <v>5080</v>
      </c>
      <c r="FQ47" s="208">
        <v>0</v>
      </c>
      <c r="FR47" s="208">
        <v>-12</v>
      </c>
      <c r="FS47" s="208">
        <v>0</v>
      </c>
      <c r="FT47" s="208">
        <v>0</v>
      </c>
      <c r="FU47" s="208">
        <v>0</v>
      </c>
      <c r="FV47" s="208">
        <v>0</v>
      </c>
      <c r="FW47" s="208">
        <v>0</v>
      </c>
      <c r="FX47" s="208">
        <v>0</v>
      </c>
      <c r="FY47" s="208">
        <v>0</v>
      </c>
      <c r="FZ47" s="208">
        <v>0</v>
      </c>
      <c r="GA47" s="208">
        <v>0</v>
      </c>
      <c r="GB47" s="208">
        <v>9189059</v>
      </c>
      <c r="GC47" s="208">
        <v>0</v>
      </c>
      <c r="GD47" s="208">
        <v>92706</v>
      </c>
      <c r="GE47" s="664">
        <v>0</v>
      </c>
      <c r="GF47" s="664">
        <v>0.99</v>
      </c>
      <c r="GG47" s="664">
        <v>0</v>
      </c>
      <c r="GH47" s="664">
        <v>0.01</v>
      </c>
      <c r="GI47" s="187" t="s">
        <v>1056</v>
      </c>
    </row>
    <row r="48" spans="1:191" s="187" customFormat="1" x14ac:dyDescent="0.2">
      <c r="B48" s="429" t="s">
        <v>175</v>
      </c>
      <c r="C48" s="429" t="s">
        <v>174</v>
      </c>
      <c r="D48" s="208">
        <v>307848</v>
      </c>
      <c r="E48" s="208">
        <v>0</v>
      </c>
      <c r="F48" s="208">
        <v>307848</v>
      </c>
      <c r="G48" s="208">
        <v>88133</v>
      </c>
      <c r="H48" s="208">
        <v>0</v>
      </c>
      <c r="I48" s="208">
        <v>88133</v>
      </c>
      <c r="J48" s="208">
        <v>219715</v>
      </c>
      <c r="K48" s="208">
        <v>0</v>
      </c>
      <c r="L48" s="208">
        <v>219715</v>
      </c>
      <c r="M48" s="208">
        <v>234320</v>
      </c>
      <c r="N48" s="208">
        <v>234320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c r="BL48" s="208">
        <v>0</v>
      </c>
      <c r="BM48" s="208">
        <v>0</v>
      </c>
      <c r="BN48" s="208">
        <v>0</v>
      </c>
      <c r="BO48" s="208">
        <v>863391.88451000012</v>
      </c>
      <c r="BP48" s="208">
        <v>194263.17401474997</v>
      </c>
      <c r="BQ48" s="208">
        <v>21584.797112749999</v>
      </c>
      <c r="BR48" s="208">
        <v>131830</v>
      </c>
      <c r="BS48" s="208">
        <v>29662</v>
      </c>
      <c r="BT48" s="208">
        <v>3296</v>
      </c>
      <c r="BU48" s="208">
        <v>881450</v>
      </c>
      <c r="BV48" s="208">
        <v>198326</v>
      </c>
      <c r="BW48" s="208">
        <v>22036</v>
      </c>
      <c r="BX48" s="208">
        <v>113772</v>
      </c>
      <c r="BY48" s="208">
        <v>25599</v>
      </c>
      <c r="BZ48" s="208">
        <v>2845</v>
      </c>
      <c r="CA48" s="208">
        <v>6301.166666666667</v>
      </c>
      <c r="CB48" s="208">
        <v>1417.7624999999998</v>
      </c>
      <c r="CC48" s="208">
        <v>157.52916666666664</v>
      </c>
      <c r="CD48" s="208">
        <v>12275</v>
      </c>
      <c r="CE48" s="208">
        <v>2762</v>
      </c>
      <c r="CF48" s="208">
        <v>307</v>
      </c>
      <c r="CG48" s="208">
        <v>-5974</v>
      </c>
      <c r="CH48" s="208">
        <v>-1344</v>
      </c>
      <c r="CI48" s="208">
        <v>-149</v>
      </c>
      <c r="CJ48" s="208">
        <v>0</v>
      </c>
      <c r="CK48" s="208">
        <v>0</v>
      </c>
      <c r="CL48" s="208">
        <v>0</v>
      </c>
      <c r="CM48" s="208">
        <v>28126.525833333337</v>
      </c>
      <c r="CN48" s="208">
        <v>6328.4683125000001</v>
      </c>
      <c r="CO48" s="208">
        <v>703.16314583333337</v>
      </c>
      <c r="CP48" s="208">
        <v>-434.12583333333333</v>
      </c>
      <c r="CQ48" s="208">
        <v>-97.67831249999999</v>
      </c>
      <c r="CR48" s="208">
        <v>-10.853145833333333</v>
      </c>
      <c r="CS48" s="208">
        <v>0</v>
      </c>
      <c r="CT48" s="208">
        <v>0</v>
      </c>
      <c r="CU48" s="208">
        <v>0</v>
      </c>
      <c r="CV48" s="208">
        <v>0</v>
      </c>
      <c r="CW48" s="208">
        <v>0</v>
      </c>
      <c r="CX48" s="208">
        <v>0</v>
      </c>
      <c r="CY48" s="208">
        <v>0</v>
      </c>
      <c r="CZ48" s="208">
        <v>0</v>
      </c>
      <c r="DA48" s="208">
        <v>0</v>
      </c>
      <c r="DB48" s="208">
        <v>0</v>
      </c>
      <c r="DC48" s="208">
        <v>0</v>
      </c>
      <c r="DD48" s="208">
        <v>0</v>
      </c>
      <c r="DE48" s="208">
        <v>0</v>
      </c>
      <c r="DF48" s="208">
        <v>0</v>
      </c>
      <c r="DG48" s="208">
        <v>0</v>
      </c>
      <c r="DH48" s="208">
        <v>0</v>
      </c>
      <c r="DI48" s="208">
        <v>0</v>
      </c>
      <c r="DJ48" s="208">
        <v>0</v>
      </c>
      <c r="DK48" s="208">
        <v>0</v>
      </c>
      <c r="DL48" s="208">
        <v>0</v>
      </c>
      <c r="DM48" s="208">
        <v>0</v>
      </c>
      <c r="DN48" s="208">
        <v>0</v>
      </c>
      <c r="DO48" s="208">
        <v>0</v>
      </c>
      <c r="DP48" s="208">
        <v>0</v>
      </c>
      <c r="DQ48" s="208">
        <v>0</v>
      </c>
      <c r="DR48" s="208">
        <v>0</v>
      </c>
      <c r="DS48" s="208">
        <v>0</v>
      </c>
      <c r="DT48" s="208">
        <v>0</v>
      </c>
      <c r="DU48" s="208">
        <v>0</v>
      </c>
      <c r="DV48" s="208">
        <v>0</v>
      </c>
      <c r="DW48" s="208">
        <v>4813.4366666666665</v>
      </c>
      <c r="DX48" s="208">
        <v>1083.02325</v>
      </c>
      <c r="DY48" s="208">
        <v>120.33591666666668</v>
      </c>
      <c r="DZ48" s="208">
        <v>4092</v>
      </c>
      <c r="EA48" s="208">
        <v>921</v>
      </c>
      <c r="EB48" s="208">
        <v>102</v>
      </c>
      <c r="EC48" s="208">
        <v>721</v>
      </c>
      <c r="ED48" s="208">
        <v>162</v>
      </c>
      <c r="EE48" s="208">
        <v>18</v>
      </c>
      <c r="EF48" s="208">
        <v>82515.414166666684</v>
      </c>
      <c r="EG48" s="208">
        <v>18565.968187499999</v>
      </c>
      <c r="EH48" s="208">
        <v>2062.8853541666667</v>
      </c>
      <c r="EI48" s="208">
        <v>-1956.635</v>
      </c>
      <c r="EJ48" s="208">
        <v>-440.24287499999997</v>
      </c>
      <c r="EK48" s="208">
        <v>-48.915875</v>
      </c>
      <c r="EL48" s="208">
        <v>87449</v>
      </c>
      <c r="EM48" s="208">
        <v>19676</v>
      </c>
      <c r="EN48" s="208">
        <v>2186</v>
      </c>
      <c r="EO48" s="208">
        <v>-6890</v>
      </c>
      <c r="EP48" s="208">
        <v>-1550</v>
      </c>
      <c r="EQ48" s="208">
        <v>-172</v>
      </c>
      <c r="ER48" s="208">
        <v>24004.171666666669</v>
      </c>
      <c r="ES48" s="208">
        <v>5400.9386249999998</v>
      </c>
      <c r="ET48" s="208">
        <v>600.10429166666665</v>
      </c>
      <c r="EU48" s="208">
        <v>23322</v>
      </c>
      <c r="EV48" s="208">
        <v>5248</v>
      </c>
      <c r="EW48" s="208">
        <v>583</v>
      </c>
      <c r="EX48" s="208">
        <v>682</v>
      </c>
      <c r="EY48" s="208">
        <v>153</v>
      </c>
      <c r="EZ48" s="208">
        <v>17</v>
      </c>
      <c r="FA48" s="208">
        <v>0</v>
      </c>
      <c r="FB48" s="208">
        <v>0</v>
      </c>
      <c r="FC48" s="208">
        <v>0</v>
      </c>
      <c r="FD48" s="208">
        <v>0</v>
      </c>
      <c r="FE48" s="208">
        <v>0</v>
      </c>
      <c r="FF48" s="208">
        <v>0</v>
      </c>
      <c r="FG48" s="208">
        <v>0</v>
      </c>
      <c r="FH48" s="208">
        <v>0</v>
      </c>
      <c r="FI48" s="208">
        <v>0</v>
      </c>
      <c r="FJ48" s="208">
        <v>1001441.4483333334</v>
      </c>
      <c r="FK48" s="208">
        <v>225324.32587499995</v>
      </c>
      <c r="FL48" s="208">
        <v>25036.036208333335</v>
      </c>
      <c r="FM48" s="208">
        <v>981056</v>
      </c>
      <c r="FN48" s="208">
        <v>220738</v>
      </c>
      <c r="FO48" s="208">
        <v>24526</v>
      </c>
      <c r="FP48" s="208">
        <v>20385</v>
      </c>
      <c r="FQ48" s="208">
        <v>4586</v>
      </c>
      <c r="FR48" s="208">
        <v>510</v>
      </c>
      <c r="FS48" s="208">
        <v>0</v>
      </c>
      <c r="FT48" s="208">
        <v>0</v>
      </c>
      <c r="FU48" s="208">
        <v>0</v>
      </c>
      <c r="FV48" s="208">
        <v>0</v>
      </c>
      <c r="FW48" s="208">
        <v>0</v>
      </c>
      <c r="FX48" s="208">
        <v>0</v>
      </c>
      <c r="FY48" s="208">
        <v>0</v>
      </c>
      <c r="FZ48" s="208">
        <v>0</v>
      </c>
      <c r="GA48" s="208">
        <v>0</v>
      </c>
      <c r="GB48" s="208">
        <v>2140032</v>
      </c>
      <c r="GC48" s="208">
        <v>481507</v>
      </c>
      <c r="GD48" s="208">
        <v>53501</v>
      </c>
      <c r="GE48" s="664">
        <v>0.5</v>
      </c>
      <c r="GF48" s="664">
        <v>0.4</v>
      </c>
      <c r="GG48" s="664">
        <v>0.09</v>
      </c>
      <c r="GH48" s="664">
        <v>0.01</v>
      </c>
      <c r="GI48" s="187" t="s">
        <v>1054</v>
      </c>
    </row>
    <row r="49" spans="2:191" s="187" customFormat="1" x14ac:dyDescent="0.2">
      <c r="B49" s="429" t="s">
        <v>177</v>
      </c>
      <c r="C49" s="429" t="s">
        <v>176</v>
      </c>
      <c r="D49" s="208">
        <v>16973048</v>
      </c>
      <c r="E49" s="208">
        <v>0</v>
      </c>
      <c r="F49" s="208">
        <v>16973048</v>
      </c>
      <c r="G49" s="208">
        <v>16200358</v>
      </c>
      <c r="H49" s="208">
        <v>0</v>
      </c>
      <c r="I49" s="208">
        <v>16200358</v>
      </c>
      <c r="J49" s="208">
        <v>772690</v>
      </c>
      <c r="K49" s="208">
        <v>0</v>
      </c>
      <c r="L49" s="208">
        <v>772690</v>
      </c>
      <c r="M49" s="208">
        <v>1262515</v>
      </c>
      <c r="N49" s="208">
        <v>1262515</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c r="BL49" s="208">
        <v>0</v>
      </c>
      <c r="BM49" s="208">
        <v>0</v>
      </c>
      <c r="BN49" s="208">
        <v>0</v>
      </c>
      <c r="BO49" s="208">
        <v>2911236.4248746666</v>
      </c>
      <c r="BP49" s="208">
        <v>1637570.488992</v>
      </c>
      <c r="BQ49" s="208">
        <v>0</v>
      </c>
      <c r="BR49" s="208">
        <v>804716</v>
      </c>
      <c r="BS49" s="208">
        <v>452653</v>
      </c>
      <c r="BT49" s="208">
        <v>0</v>
      </c>
      <c r="BU49" s="208">
        <v>2483470</v>
      </c>
      <c r="BV49" s="208">
        <v>1396952</v>
      </c>
      <c r="BW49" s="208">
        <v>0</v>
      </c>
      <c r="BX49" s="208">
        <v>1232482</v>
      </c>
      <c r="BY49" s="208">
        <v>693271</v>
      </c>
      <c r="BZ49" s="208">
        <v>0</v>
      </c>
      <c r="CA49" s="208">
        <v>0</v>
      </c>
      <c r="CB49" s="208">
        <v>0</v>
      </c>
      <c r="CC49" s="208">
        <v>0</v>
      </c>
      <c r="CD49" s="208">
        <v>0</v>
      </c>
      <c r="CE49" s="208">
        <v>0</v>
      </c>
      <c r="CF49" s="208">
        <v>0</v>
      </c>
      <c r="CG49" s="208">
        <v>0</v>
      </c>
      <c r="CH49" s="208">
        <v>0</v>
      </c>
      <c r="CI49" s="208">
        <v>0</v>
      </c>
      <c r="CJ49" s="208">
        <v>-569.56000000000006</v>
      </c>
      <c r="CK49" s="208">
        <v>-320.3775</v>
      </c>
      <c r="CL49" s="208">
        <v>0</v>
      </c>
      <c r="CM49" s="208">
        <v>0</v>
      </c>
      <c r="CN49" s="208">
        <v>0</v>
      </c>
      <c r="CO49" s="208">
        <v>0</v>
      </c>
      <c r="CP49" s="208">
        <v>2530.9413333333332</v>
      </c>
      <c r="CQ49" s="208">
        <v>1423.6544999999999</v>
      </c>
      <c r="CR49" s="208">
        <v>0</v>
      </c>
      <c r="CS49" s="208">
        <v>0</v>
      </c>
      <c r="CT49" s="208">
        <v>0</v>
      </c>
      <c r="CU49" s="208">
        <v>0</v>
      </c>
      <c r="CV49" s="208">
        <v>0</v>
      </c>
      <c r="CW49" s="208">
        <v>0</v>
      </c>
      <c r="CX49" s="208">
        <v>0</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1259.5786666666668</v>
      </c>
      <c r="DO49" s="208">
        <v>708.51300000000003</v>
      </c>
      <c r="DP49" s="208">
        <v>0</v>
      </c>
      <c r="DQ49" s="208">
        <v>1964</v>
      </c>
      <c r="DR49" s="208">
        <v>1105</v>
      </c>
      <c r="DS49" s="208">
        <v>0</v>
      </c>
      <c r="DT49" s="208">
        <v>-704</v>
      </c>
      <c r="DU49" s="208">
        <v>-396</v>
      </c>
      <c r="DV49" s="208">
        <v>0</v>
      </c>
      <c r="DW49" s="208">
        <v>107788.90266666666</v>
      </c>
      <c r="DX49" s="208">
        <v>60631.257749999997</v>
      </c>
      <c r="DY49" s="208">
        <v>0</v>
      </c>
      <c r="DZ49" s="208">
        <v>120724</v>
      </c>
      <c r="EA49" s="208">
        <v>67908</v>
      </c>
      <c r="EB49" s="208">
        <v>0</v>
      </c>
      <c r="EC49" s="208">
        <v>-12935</v>
      </c>
      <c r="ED49" s="208">
        <v>-7277</v>
      </c>
      <c r="EE49" s="208">
        <v>0</v>
      </c>
      <c r="EF49" s="208">
        <v>1762183.9426666668</v>
      </c>
      <c r="EG49" s="208">
        <v>991228.46775000007</v>
      </c>
      <c r="EH49" s="208">
        <v>0</v>
      </c>
      <c r="EI49" s="208">
        <v>-75201.56</v>
      </c>
      <c r="EJ49" s="208">
        <v>-42300.877499999995</v>
      </c>
      <c r="EK49" s="208">
        <v>0</v>
      </c>
      <c r="EL49" s="208">
        <v>1790441</v>
      </c>
      <c r="EM49" s="208">
        <v>1007123</v>
      </c>
      <c r="EN49" s="208">
        <v>0</v>
      </c>
      <c r="EO49" s="208">
        <v>-103459</v>
      </c>
      <c r="EP49" s="208">
        <v>-58195</v>
      </c>
      <c r="EQ49" s="208">
        <v>0</v>
      </c>
      <c r="ER49" s="208">
        <v>69255.877333333337</v>
      </c>
      <c r="ES49" s="208">
        <v>38956.430999999997</v>
      </c>
      <c r="ET49" s="208">
        <v>0</v>
      </c>
      <c r="EU49" s="208">
        <v>73323</v>
      </c>
      <c r="EV49" s="208">
        <v>41244</v>
      </c>
      <c r="EW49" s="208">
        <v>0</v>
      </c>
      <c r="EX49" s="208">
        <v>-4067</v>
      </c>
      <c r="EY49" s="208">
        <v>-2288</v>
      </c>
      <c r="EZ49" s="208">
        <v>0</v>
      </c>
      <c r="FA49" s="208">
        <v>0</v>
      </c>
      <c r="FB49" s="208">
        <v>0</v>
      </c>
      <c r="FC49" s="208">
        <v>0</v>
      </c>
      <c r="FD49" s="208">
        <v>0</v>
      </c>
      <c r="FE49" s="208">
        <v>0</v>
      </c>
      <c r="FF49" s="208">
        <v>0</v>
      </c>
      <c r="FG49" s="208">
        <v>0</v>
      </c>
      <c r="FH49" s="208">
        <v>0</v>
      </c>
      <c r="FI49" s="208">
        <v>0</v>
      </c>
      <c r="FJ49" s="208">
        <v>9341013.0901999995</v>
      </c>
      <c r="FK49" s="208">
        <v>5254319.8632374993</v>
      </c>
      <c r="FL49" s="208">
        <v>0</v>
      </c>
      <c r="FM49" s="208">
        <v>9416000</v>
      </c>
      <c r="FN49" s="208">
        <v>5296500</v>
      </c>
      <c r="FO49" s="208">
        <v>0</v>
      </c>
      <c r="FP49" s="208">
        <v>-74987</v>
      </c>
      <c r="FQ49" s="208">
        <v>-42180</v>
      </c>
      <c r="FR49" s="208">
        <v>0</v>
      </c>
      <c r="FS49" s="208">
        <v>0</v>
      </c>
      <c r="FT49" s="208">
        <v>0</v>
      </c>
      <c r="FU49" s="208">
        <v>0</v>
      </c>
      <c r="FV49" s="208">
        <v>0</v>
      </c>
      <c r="FW49" s="208">
        <v>0</v>
      </c>
      <c r="FX49" s="208">
        <v>0</v>
      </c>
      <c r="FY49" s="208">
        <v>0</v>
      </c>
      <c r="FZ49" s="208">
        <v>0</v>
      </c>
      <c r="GA49" s="208">
        <v>0</v>
      </c>
      <c r="GB49" s="208">
        <v>14924213</v>
      </c>
      <c r="GC49" s="208">
        <v>8394870</v>
      </c>
      <c r="GD49" s="208">
        <v>0</v>
      </c>
      <c r="GE49" s="664">
        <v>0</v>
      </c>
      <c r="GF49" s="664">
        <v>0.64</v>
      </c>
      <c r="GG49" s="664">
        <v>0.36</v>
      </c>
      <c r="GH49" s="664">
        <v>0</v>
      </c>
      <c r="GI49" s="187" t="s">
        <v>1057</v>
      </c>
    </row>
    <row r="50" spans="2:191" s="187" customFormat="1" x14ac:dyDescent="0.2">
      <c r="B50" s="429" t="s">
        <v>179</v>
      </c>
      <c r="C50" s="429" t="s">
        <v>178</v>
      </c>
      <c r="D50" s="208">
        <v>-380815</v>
      </c>
      <c r="E50" s="208">
        <v>0</v>
      </c>
      <c r="F50" s="208">
        <v>-380815</v>
      </c>
      <c r="G50" s="208">
        <v>-527180</v>
      </c>
      <c r="H50" s="208">
        <v>0</v>
      </c>
      <c r="I50" s="208">
        <v>-527180</v>
      </c>
      <c r="J50" s="208">
        <v>146365</v>
      </c>
      <c r="K50" s="208">
        <v>0</v>
      </c>
      <c r="L50" s="208">
        <v>146365</v>
      </c>
      <c r="M50" s="208">
        <v>132868</v>
      </c>
      <c r="N50" s="208">
        <v>132868</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c r="BL50" s="208">
        <v>0</v>
      </c>
      <c r="BM50" s="208">
        <v>0</v>
      </c>
      <c r="BN50" s="208">
        <v>0</v>
      </c>
      <c r="BO50" s="208">
        <v>1235090.7794678165</v>
      </c>
      <c r="BP50" s="208">
        <v>277895.42538025876</v>
      </c>
      <c r="BQ50" s="208">
        <v>30877.269486695419</v>
      </c>
      <c r="BR50" s="208">
        <v>70201</v>
      </c>
      <c r="BS50" s="208">
        <v>15795</v>
      </c>
      <c r="BT50" s="208">
        <v>1755</v>
      </c>
      <c r="BU50" s="208">
        <v>1186420</v>
      </c>
      <c r="BV50" s="208">
        <v>266945</v>
      </c>
      <c r="BW50" s="208">
        <v>29661</v>
      </c>
      <c r="BX50" s="208">
        <v>118872</v>
      </c>
      <c r="BY50" s="208">
        <v>26745</v>
      </c>
      <c r="BZ50" s="208">
        <v>2971</v>
      </c>
      <c r="CA50" s="208">
        <v>3245.1008333333339</v>
      </c>
      <c r="CB50" s="208">
        <v>730.14768750000007</v>
      </c>
      <c r="CC50" s="208">
        <v>81.127520833333335</v>
      </c>
      <c r="CD50" s="208">
        <v>0</v>
      </c>
      <c r="CE50" s="208">
        <v>0</v>
      </c>
      <c r="CF50" s="208">
        <v>0</v>
      </c>
      <c r="CG50" s="208">
        <v>3245</v>
      </c>
      <c r="CH50" s="208">
        <v>730</v>
      </c>
      <c r="CI50" s="208">
        <v>81</v>
      </c>
      <c r="CJ50" s="208">
        <v>0</v>
      </c>
      <c r="CK50" s="208">
        <v>0</v>
      </c>
      <c r="CL50" s="208">
        <v>0</v>
      </c>
      <c r="CM50" s="208">
        <v>0</v>
      </c>
      <c r="CN50" s="208">
        <v>0</v>
      </c>
      <c r="CO50" s="208">
        <v>0</v>
      </c>
      <c r="CP50" s="208">
        <v>0</v>
      </c>
      <c r="CQ50" s="208">
        <v>0</v>
      </c>
      <c r="CR50" s="208">
        <v>0</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0</v>
      </c>
      <c r="DI50" s="208">
        <v>0</v>
      </c>
      <c r="DJ50" s="208">
        <v>0</v>
      </c>
      <c r="DK50" s="208">
        <v>0</v>
      </c>
      <c r="DL50" s="208">
        <v>0</v>
      </c>
      <c r="DM50" s="208">
        <v>0</v>
      </c>
      <c r="DN50" s="208">
        <v>613.75</v>
      </c>
      <c r="DO50" s="208">
        <v>138.09375</v>
      </c>
      <c r="DP50" s="208">
        <v>15.34375</v>
      </c>
      <c r="DQ50" s="208">
        <v>614</v>
      </c>
      <c r="DR50" s="208">
        <v>138</v>
      </c>
      <c r="DS50" s="208">
        <v>15</v>
      </c>
      <c r="DT50" s="208">
        <v>0</v>
      </c>
      <c r="DU50" s="208">
        <v>0</v>
      </c>
      <c r="DV50" s="208">
        <v>0</v>
      </c>
      <c r="DW50" s="208">
        <v>1835.9308333333336</v>
      </c>
      <c r="DX50" s="208">
        <v>413.08443749999998</v>
      </c>
      <c r="DY50" s="208">
        <v>45.898270833333335</v>
      </c>
      <c r="DZ50" s="208">
        <v>2604</v>
      </c>
      <c r="EA50" s="208">
        <v>586</v>
      </c>
      <c r="EB50" s="208">
        <v>65</v>
      </c>
      <c r="EC50" s="208">
        <v>-768</v>
      </c>
      <c r="ED50" s="208">
        <v>-173</v>
      </c>
      <c r="EE50" s="208">
        <v>-19</v>
      </c>
      <c r="EF50" s="208">
        <v>26074.555</v>
      </c>
      <c r="EG50" s="208">
        <v>5866.7748749999992</v>
      </c>
      <c r="EH50" s="208">
        <v>651.86387500000001</v>
      </c>
      <c r="EI50" s="208">
        <v>-1654.67</v>
      </c>
      <c r="EJ50" s="208">
        <v>-372.30074999999999</v>
      </c>
      <c r="EK50" s="208">
        <v>-41.366750000000003</v>
      </c>
      <c r="EL50" s="208">
        <v>26186</v>
      </c>
      <c r="EM50" s="208">
        <v>5892</v>
      </c>
      <c r="EN50" s="208">
        <v>655</v>
      </c>
      <c r="EO50" s="208">
        <v>-1766</v>
      </c>
      <c r="EP50" s="208">
        <v>-398</v>
      </c>
      <c r="EQ50" s="208">
        <v>-45</v>
      </c>
      <c r="ER50" s="208">
        <v>6880.546666666668</v>
      </c>
      <c r="ES50" s="208">
        <v>1548.123</v>
      </c>
      <c r="ET50" s="208">
        <v>172.01366666666667</v>
      </c>
      <c r="EU50" s="208">
        <v>17184</v>
      </c>
      <c r="EV50" s="208">
        <v>3867</v>
      </c>
      <c r="EW50" s="208">
        <v>430</v>
      </c>
      <c r="EX50" s="208">
        <v>-10303</v>
      </c>
      <c r="EY50" s="208">
        <v>-2319</v>
      </c>
      <c r="EZ50" s="208">
        <v>-258</v>
      </c>
      <c r="FA50" s="208">
        <v>0</v>
      </c>
      <c r="FB50" s="208">
        <v>0</v>
      </c>
      <c r="FC50" s="208">
        <v>0</v>
      </c>
      <c r="FD50" s="208">
        <v>0</v>
      </c>
      <c r="FE50" s="208">
        <v>0</v>
      </c>
      <c r="FF50" s="208">
        <v>0</v>
      </c>
      <c r="FG50" s="208">
        <v>0</v>
      </c>
      <c r="FH50" s="208">
        <v>0</v>
      </c>
      <c r="FI50" s="208">
        <v>0</v>
      </c>
      <c r="FJ50" s="208">
        <v>279726.72749999998</v>
      </c>
      <c r="FK50" s="208">
        <v>62938.513687499995</v>
      </c>
      <c r="FL50" s="208">
        <v>6993.1681874999995</v>
      </c>
      <c r="FM50" s="208">
        <v>289639</v>
      </c>
      <c r="FN50" s="208">
        <v>65169</v>
      </c>
      <c r="FO50" s="208">
        <v>7241</v>
      </c>
      <c r="FP50" s="208">
        <v>-9912</v>
      </c>
      <c r="FQ50" s="208">
        <v>-2230</v>
      </c>
      <c r="FR50" s="208">
        <v>-248</v>
      </c>
      <c r="FS50" s="208">
        <v>0</v>
      </c>
      <c r="FT50" s="208">
        <v>0</v>
      </c>
      <c r="FU50" s="208">
        <v>0</v>
      </c>
      <c r="FV50" s="208">
        <v>0</v>
      </c>
      <c r="FW50" s="208">
        <v>0</v>
      </c>
      <c r="FX50" s="208">
        <v>0</v>
      </c>
      <c r="FY50" s="208">
        <v>0</v>
      </c>
      <c r="FZ50" s="208">
        <v>0</v>
      </c>
      <c r="GA50" s="208">
        <v>0</v>
      </c>
      <c r="GB50" s="208">
        <v>1622015</v>
      </c>
      <c r="GC50" s="208">
        <v>364953</v>
      </c>
      <c r="GD50" s="208">
        <v>40550</v>
      </c>
      <c r="GE50" s="664">
        <v>0.5</v>
      </c>
      <c r="GF50" s="664">
        <v>0.4</v>
      </c>
      <c r="GG50" s="664">
        <v>0.09</v>
      </c>
      <c r="GH50" s="664">
        <v>0.01</v>
      </c>
      <c r="GI50" s="187" t="s">
        <v>1054</v>
      </c>
    </row>
    <row r="51" spans="2:191" s="187" customFormat="1" x14ac:dyDescent="0.2">
      <c r="B51" s="429" t="s">
        <v>181</v>
      </c>
      <c r="C51" s="429" t="s">
        <v>180</v>
      </c>
      <c r="D51" s="208">
        <v>-2106040</v>
      </c>
      <c r="E51" s="208">
        <v>0</v>
      </c>
      <c r="F51" s="208">
        <v>-2106040</v>
      </c>
      <c r="G51" s="208">
        <v>-1664304</v>
      </c>
      <c r="H51" s="208">
        <v>0</v>
      </c>
      <c r="I51" s="208">
        <v>-1664304</v>
      </c>
      <c r="J51" s="208">
        <v>-441736</v>
      </c>
      <c r="K51" s="208">
        <v>0</v>
      </c>
      <c r="L51" s="208">
        <v>-441736</v>
      </c>
      <c r="M51" s="208">
        <v>229160</v>
      </c>
      <c r="N51" s="208">
        <v>229160</v>
      </c>
      <c r="O51" s="208">
        <v>0</v>
      </c>
      <c r="P51" s="208">
        <v>0</v>
      </c>
      <c r="Q51" s="208">
        <v>0</v>
      </c>
      <c r="R51" s="208">
        <v>0</v>
      </c>
      <c r="S51" s="208">
        <v>326686</v>
      </c>
      <c r="T51" s="208">
        <v>0</v>
      </c>
      <c r="U51" s="208">
        <v>324273</v>
      </c>
      <c r="V51" s="208">
        <v>0</v>
      </c>
      <c r="W51" s="208">
        <v>2413</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c r="BL51" s="208">
        <v>0</v>
      </c>
      <c r="BM51" s="208">
        <v>0</v>
      </c>
      <c r="BN51" s="208">
        <v>0</v>
      </c>
      <c r="BO51" s="208">
        <v>1578996.330406667</v>
      </c>
      <c r="BP51" s="208">
        <v>2329019.5873498339</v>
      </c>
      <c r="BQ51" s="208">
        <v>39474.908260166674</v>
      </c>
      <c r="BR51" s="208">
        <v>104690</v>
      </c>
      <c r="BS51" s="208">
        <v>154418</v>
      </c>
      <c r="BT51" s="208">
        <v>2617</v>
      </c>
      <c r="BU51" s="208">
        <v>1480791</v>
      </c>
      <c r="BV51" s="208">
        <v>2184166</v>
      </c>
      <c r="BW51" s="208">
        <v>37020</v>
      </c>
      <c r="BX51" s="208">
        <v>202895</v>
      </c>
      <c r="BY51" s="208">
        <v>299272</v>
      </c>
      <c r="BZ51" s="208">
        <v>5072</v>
      </c>
      <c r="CA51" s="208">
        <v>3120.7141666666666</v>
      </c>
      <c r="CB51" s="208">
        <v>4603.0533958333326</v>
      </c>
      <c r="CC51" s="208">
        <v>78.017854166666666</v>
      </c>
      <c r="CD51" s="208">
        <v>2526</v>
      </c>
      <c r="CE51" s="208">
        <v>3726</v>
      </c>
      <c r="CF51" s="208">
        <v>63</v>
      </c>
      <c r="CG51" s="208">
        <v>595</v>
      </c>
      <c r="CH51" s="208">
        <v>877</v>
      </c>
      <c r="CI51" s="208">
        <v>15</v>
      </c>
      <c r="CJ51" s="208">
        <v>-2081.021666666667</v>
      </c>
      <c r="CK51" s="208">
        <v>-3069.5069583333334</v>
      </c>
      <c r="CL51" s="208">
        <v>-52.025541666666669</v>
      </c>
      <c r="CM51" s="208">
        <v>0</v>
      </c>
      <c r="CN51" s="208">
        <v>0</v>
      </c>
      <c r="CO51" s="208">
        <v>0</v>
      </c>
      <c r="CP51" s="208">
        <v>-25.7775</v>
      </c>
      <c r="CQ51" s="208">
        <v>-38.021812499999996</v>
      </c>
      <c r="CR51" s="208">
        <v>-0.6444375</v>
      </c>
      <c r="CS51" s="208">
        <v>0</v>
      </c>
      <c r="CT51" s="208">
        <v>0</v>
      </c>
      <c r="CU51" s="208">
        <v>0</v>
      </c>
      <c r="CV51" s="208">
        <v>0</v>
      </c>
      <c r="CW51" s="208">
        <v>0</v>
      </c>
      <c r="CX51" s="208">
        <v>0</v>
      </c>
      <c r="CY51" s="208">
        <v>0</v>
      </c>
      <c r="CZ51" s="208">
        <v>0</v>
      </c>
      <c r="DA51" s="208">
        <v>0</v>
      </c>
      <c r="DB51" s="208">
        <v>-134.20666666666668</v>
      </c>
      <c r="DC51" s="208">
        <v>-197.95483333333331</v>
      </c>
      <c r="DD51" s="208">
        <v>-3.3551666666666664</v>
      </c>
      <c r="DE51" s="208">
        <v>5605.5833333333339</v>
      </c>
      <c r="DF51" s="208">
        <v>8268.2354166666664</v>
      </c>
      <c r="DG51" s="208">
        <v>140.13958333333335</v>
      </c>
      <c r="DH51" s="208">
        <v>34976</v>
      </c>
      <c r="DI51" s="208">
        <v>51590</v>
      </c>
      <c r="DJ51" s="208">
        <v>874</v>
      </c>
      <c r="DK51" s="208">
        <v>-29370</v>
      </c>
      <c r="DL51" s="208">
        <v>-43322</v>
      </c>
      <c r="DM51" s="208">
        <v>-734</v>
      </c>
      <c r="DN51" s="208">
        <v>0</v>
      </c>
      <c r="DO51" s="208">
        <v>0</v>
      </c>
      <c r="DP51" s="208">
        <v>0</v>
      </c>
      <c r="DQ51" s="208">
        <v>0</v>
      </c>
      <c r="DR51" s="208">
        <v>0</v>
      </c>
      <c r="DS51" s="208">
        <v>0</v>
      </c>
      <c r="DT51" s="208">
        <v>0</v>
      </c>
      <c r="DU51" s="208">
        <v>0</v>
      </c>
      <c r="DV51" s="208">
        <v>0</v>
      </c>
      <c r="DW51" s="208">
        <v>32398.225833333338</v>
      </c>
      <c r="DX51" s="208">
        <v>47787.383104166671</v>
      </c>
      <c r="DY51" s="208">
        <v>809.95564583333339</v>
      </c>
      <c r="DZ51" s="208">
        <v>34976</v>
      </c>
      <c r="EA51" s="208">
        <v>51590</v>
      </c>
      <c r="EB51" s="208">
        <v>874</v>
      </c>
      <c r="EC51" s="208">
        <v>-2578</v>
      </c>
      <c r="ED51" s="208">
        <v>-3803</v>
      </c>
      <c r="EE51" s="208">
        <v>-64</v>
      </c>
      <c r="EF51" s="208">
        <v>71511.694999999992</v>
      </c>
      <c r="EG51" s="208">
        <v>105479.75012499999</v>
      </c>
      <c r="EH51" s="208">
        <v>1787.792375</v>
      </c>
      <c r="EI51" s="208">
        <v>-1024.5533333333333</v>
      </c>
      <c r="EJ51" s="208">
        <v>-1511.2161666666666</v>
      </c>
      <c r="EK51" s="208">
        <v>-25.613833333333332</v>
      </c>
      <c r="EL51" s="208">
        <v>84289</v>
      </c>
      <c r="EM51" s="208">
        <v>124325</v>
      </c>
      <c r="EN51" s="208">
        <v>2107</v>
      </c>
      <c r="EO51" s="208">
        <v>-13802</v>
      </c>
      <c r="EP51" s="208">
        <v>-20356</v>
      </c>
      <c r="EQ51" s="208">
        <v>-345</v>
      </c>
      <c r="ER51" s="208">
        <v>30522.605833333331</v>
      </c>
      <c r="ES51" s="208">
        <v>45020.843604166665</v>
      </c>
      <c r="ET51" s="208">
        <v>763.0651458333333</v>
      </c>
      <c r="EU51" s="208">
        <v>27006</v>
      </c>
      <c r="EV51" s="208">
        <v>39832</v>
      </c>
      <c r="EW51" s="208">
        <v>675</v>
      </c>
      <c r="EX51" s="208">
        <v>3517</v>
      </c>
      <c r="EY51" s="208">
        <v>5189</v>
      </c>
      <c r="EZ51" s="208">
        <v>88</v>
      </c>
      <c r="FA51" s="208">
        <v>0</v>
      </c>
      <c r="FB51" s="208">
        <v>0</v>
      </c>
      <c r="FC51" s="208">
        <v>0</v>
      </c>
      <c r="FD51" s="208">
        <v>0</v>
      </c>
      <c r="FE51" s="208">
        <v>0</v>
      </c>
      <c r="FF51" s="208">
        <v>0</v>
      </c>
      <c r="FG51" s="208">
        <v>0</v>
      </c>
      <c r="FH51" s="208">
        <v>0</v>
      </c>
      <c r="FI51" s="208">
        <v>0</v>
      </c>
      <c r="FJ51" s="208">
        <v>471455.37083333329</v>
      </c>
      <c r="FK51" s="208">
        <v>684354.00458333327</v>
      </c>
      <c r="FL51" s="208">
        <v>11599.220416666665</v>
      </c>
      <c r="FM51" s="208">
        <v>465371</v>
      </c>
      <c r="FN51" s="208">
        <v>675462</v>
      </c>
      <c r="FO51" s="208">
        <v>11449</v>
      </c>
      <c r="FP51" s="208">
        <v>6084</v>
      </c>
      <c r="FQ51" s="208">
        <v>8892</v>
      </c>
      <c r="FR51" s="208">
        <v>150</v>
      </c>
      <c r="FS51" s="208">
        <v>0</v>
      </c>
      <c r="FT51" s="208">
        <v>0</v>
      </c>
      <c r="FU51" s="208">
        <v>0</v>
      </c>
      <c r="FV51" s="208">
        <v>0</v>
      </c>
      <c r="FW51" s="208">
        <v>0</v>
      </c>
      <c r="FX51" s="208">
        <v>0</v>
      </c>
      <c r="FY51" s="208">
        <v>0</v>
      </c>
      <c r="FZ51" s="208">
        <v>0</v>
      </c>
      <c r="GA51" s="208">
        <v>0</v>
      </c>
      <c r="GB51" s="208">
        <v>2295035</v>
      </c>
      <c r="GC51" s="208">
        <v>3374134</v>
      </c>
      <c r="GD51" s="208">
        <v>57188</v>
      </c>
      <c r="GE51" s="664">
        <v>0</v>
      </c>
      <c r="GF51" s="664">
        <v>0.4</v>
      </c>
      <c r="GG51" s="664">
        <v>0.59</v>
      </c>
      <c r="GH51" s="664">
        <v>0.01</v>
      </c>
      <c r="GI51" s="187" t="s">
        <v>1054</v>
      </c>
    </row>
    <row r="52" spans="2:191" s="187" customFormat="1" x14ac:dyDescent="0.2">
      <c r="B52" s="429" t="s">
        <v>183</v>
      </c>
      <c r="C52" s="429" t="s">
        <v>182</v>
      </c>
      <c r="D52" s="208">
        <v>-1780362</v>
      </c>
      <c r="E52" s="208">
        <v>-11421</v>
      </c>
      <c r="F52" s="208">
        <v>-1791783</v>
      </c>
      <c r="G52" s="208">
        <v>-1834092</v>
      </c>
      <c r="H52" s="208">
        <v>-11420</v>
      </c>
      <c r="I52" s="208">
        <v>-1845512</v>
      </c>
      <c r="J52" s="208">
        <v>53730</v>
      </c>
      <c r="K52" s="208">
        <v>-1</v>
      </c>
      <c r="L52" s="208">
        <v>53729</v>
      </c>
      <c r="M52" s="208">
        <v>178507</v>
      </c>
      <c r="N52" s="208">
        <v>178507</v>
      </c>
      <c r="O52" s="208">
        <v>0</v>
      </c>
      <c r="P52" s="208">
        <v>0</v>
      </c>
      <c r="Q52" s="208">
        <v>0</v>
      </c>
      <c r="R52" s="208">
        <v>0</v>
      </c>
      <c r="S52" s="208">
        <v>319449</v>
      </c>
      <c r="T52" s="208">
        <v>0</v>
      </c>
      <c r="U52" s="208">
        <v>264957</v>
      </c>
      <c r="V52" s="208">
        <v>0</v>
      </c>
      <c r="W52" s="208">
        <v>54492</v>
      </c>
      <c r="X52" s="208">
        <v>0</v>
      </c>
      <c r="Y52" s="208">
        <v>0</v>
      </c>
      <c r="Z52" s="208">
        <v>0</v>
      </c>
      <c r="AA52" s="208">
        <v>0</v>
      </c>
      <c r="AB52" s="208">
        <v>0</v>
      </c>
      <c r="AC52" s="208">
        <v>0</v>
      </c>
      <c r="AD52" s="208">
        <v>0</v>
      </c>
      <c r="AE52" s="208">
        <v>0</v>
      </c>
      <c r="AF52" s="208">
        <v>0</v>
      </c>
      <c r="AG52" s="208">
        <v>0</v>
      </c>
      <c r="AH52" s="208">
        <v>130082</v>
      </c>
      <c r="AI52" s="208">
        <v>130082.26666666668</v>
      </c>
      <c r="AJ52" s="208">
        <v>0</v>
      </c>
      <c r="AK52" s="208">
        <v>0</v>
      </c>
      <c r="AL52" s="208">
        <v>4560</v>
      </c>
      <c r="AM52" s="208">
        <v>4560</v>
      </c>
      <c r="AN52" s="208">
        <v>0</v>
      </c>
      <c r="AO52" s="208">
        <v>0</v>
      </c>
      <c r="AP52" s="208">
        <v>125522</v>
      </c>
      <c r="AQ52" s="208">
        <v>125522</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c r="BL52" s="208">
        <v>0</v>
      </c>
      <c r="BM52" s="208">
        <v>0</v>
      </c>
      <c r="BN52" s="208">
        <v>0</v>
      </c>
      <c r="BO52" s="208">
        <v>1233913.4634812502</v>
      </c>
      <c r="BP52" s="208">
        <v>291604.69132500002</v>
      </c>
      <c r="BQ52" s="208">
        <v>0</v>
      </c>
      <c r="BR52" s="208">
        <v>91558</v>
      </c>
      <c r="BS52" s="208">
        <v>21634</v>
      </c>
      <c r="BT52" s="208">
        <v>0</v>
      </c>
      <c r="BU52" s="208">
        <v>1152555</v>
      </c>
      <c r="BV52" s="208">
        <v>277725</v>
      </c>
      <c r="BW52" s="208">
        <v>0</v>
      </c>
      <c r="BX52" s="208">
        <v>172916</v>
      </c>
      <c r="BY52" s="208">
        <v>35514</v>
      </c>
      <c r="BZ52" s="208">
        <v>0</v>
      </c>
      <c r="CA52" s="208">
        <v>8383.4158333333344</v>
      </c>
      <c r="CB52" s="208">
        <v>2095.8539583333336</v>
      </c>
      <c r="CC52" s="208">
        <v>0</v>
      </c>
      <c r="CD52" s="208">
        <v>7316</v>
      </c>
      <c r="CE52" s="208">
        <v>1829</v>
      </c>
      <c r="CF52" s="208">
        <v>0</v>
      </c>
      <c r="CG52" s="208">
        <v>1067</v>
      </c>
      <c r="CH52" s="208">
        <v>267</v>
      </c>
      <c r="CI52" s="208">
        <v>0</v>
      </c>
      <c r="CJ52" s="208">
        <v>0</v>
      </c>
      <c r="CK52" s="208">
        <v>0</v>
      </c>
      <c r="CL52" s="208">
        <v>0</v>
      </c>
      <c r="CM52" s="208">
        <v>0</v>
      </c>
      <c r="CN52" s="208">
        <v>0</v>
      </c>
      <c r="CO52" s="208">
        <v>0</v>
      </c>
      <c r="CP52" s="208">
        <v>0</v>
      </c>
      <c r="CQ52" s="208">
        <v>0</v>
      </c>
      <c r="CR52" s="208">
        <v>0</v>
      </c>
      <c r="CS52" s="208">
        <v>24433.387500000001</v>
      </c>
      <c r="CT52" s="208">
        <v>6108.3468750000002</v>
      </c>
      <c r="CU52" s="208">
        <v>0</v>
      </c>
      <c r="CV52" s="208">
        <v>0</v>
      </c>
      <c r="CW52" s="208">
        <v>0</v>
      </c>
      <c r="CX52" s="208">
        <v>0</v>
      </c>
      <c r="CY52" s="208">
        <v>24433</v>
      </c>
      <c r="CZ52" s="208">
        <v>6108</v>
      </c>
      <c r="DA52" s="208">
        <v>0</v>
      </c>
      <c r="DB52" s="208">
        <v>0</v>
      </c>
      <c r="DC52" s="208">
        <v>0</v>
      </c>
      <c r="DD52" s="208">
        <v>0</v>
      </c>
      <c r="DE52" s="208">
        <v>9081.4541666666664</v>
      </c>
      <c r="DF52" s="208">
        <v>2270.3635416666666</v>
      </c>
      <c r="DG52" s="208">
        <v>0</v>
      </c>
      <c r="DH52" s="208">
        <v>10221</v>
      </c>
      <c r="DI52" s="208">
        <v>2555</v>
      </c>
      <c r="DJ52" s="208">
        <v>0</v>
      </c>
      <c r="DK52" s="208">
        <v>-1140</v>
      </c>
      <c r="DL52" s="208">
        <v>-285</v>
      </c>
      <c r="DM52" s="208">
        <v>0</v>
      </c>
      <c r="DN52" s="208">
        <v>613.75</v>
      </c>
      <c r="DO52" s="208">
        <v>153.4375</v>
      </c>
      <c r="DP52" s="208">
        <v>0</v>
      </c>
      <c r="DQ52" s="208">
        <v>614</v>
      </c>
      <c r="DR52" s="208">
        <v>153</v>
      </c>
      <c r="DS52" s="208">
        <v>0</v>
      </c>
      <c r="DT52" s="208">
        <v>0</v>
      </c>
      <c r="DU52" s="208">
        <v>0</v>
      </c>
      <c r="DV52" s="208">
        <v>0</v>
      </c>
      <c r="DW52" s="208">
        <v>5022.5208333333339</v>
      </c>
      <c r="DX52" s="208">
        <v>1255.6302083333335</v>
      </c>
      <c r="DY52" s="208">
        <v>0</v>
      </c>
      <c r="DZ52" s="208">
        <v>5917</v>
      </c>
      <c r="EA52" s="208">
        <v>1479</v>
      </c>
      <c r="EB52" s="208">
        <v>0</v>
      </c>
      <c r="EC52" s="208">
        <v>-894</v>
      </c>
      <c r="ED52" s="208">
        <v>-223</v>
      </c>
      <c r="EE52" s="208">
        <v>0</v>
      </c>
      <c r="EF52" s="208">
        <v>31264.220416666667</v>
      </c>
      <c r="EG52" s="208">
        <v>7135.5597916666666</v>
      </c>
      <c r="EH52" s="208">
        <v>0</v>
      </c>
      <c r="EI52" s="208">
        <v>-2063.4274999999998</v>
      </c>
      <c r="EJ52" s="208">
        <v>-132.263125</v>
      </c>
      <c r="EK52" s="208">
        <v>0</v>
      </c>
      <c r="EL52" s="208">
        <v>39280</v>
      </c>
      <c r="EM52" s="208">
        <v>9820</v>
      </c>
      <c r="EN52" s="208">
        <v>0</v>
      </c>
      <c r="EO52" s="208">
        <v>-10079</v>
      </c>
      <c r="EP52" s="208">
        <v>-2817</v>
      </c>
      <c r="EQ52" s="208">
        <v>0</v>
      </c>
      <c r="ER52" s="208">
        <v>15736.140833333333</v>
      </c>
      <c r="ES52" s="208">
        <v>3934.0352083333332</v>
      </c>
      <c r="ET52" s="208">
        <v>0</v>
      </c>
      <c r="EU52" s="208">
        <v>16776</v>
      </c>
      <c r="EV52" s="208">
        <v>4194</v>
      </c>
      <c r="EW52" s="208">
        <v>0</v>
      </c>
      <c r="EX52" s="208">
        <v>-1040</v>
      </c>
      <c r="EY52" s="208">
        <v>-260</v>
      </c>
      <c r="EZ52" s="208">
        <v>0</v>
      </c>
      <c r="FA52" s="208">
        <v>0</v>
      </c>
      <c r="FB52" s="208">
        <v>0</v>
      </c>
      <c r="FC52" s="208">
        <v>0</v>
      </c>
      <c r="FD52" s="208">
        <v>0</v>
      </c>
      <c r="FE52" s="208">
        <v>0</v>
      </c>
      <c r="FF52" s="208">
        <v>0</v>
      </c>
      <c r="FG52" s="208">
        <v>0</v>
      </c>
      <c r="FH52" s="208">
        <v>0</v>
      </c>
      <c r="FI52" s="208">
        <v>0</v>
      </c>
      <c r="FJ52" s="208">
        <v>374580.33708333335</v>
      </c>
      <c r="FK52" s="208">
        <v>91814.907708333325</v>
      </c>
      <c r="FL52" s="208">
        <v>0</v>
      </c>
      <c r="FM52" s="208">
        <v>379848</v>
      </c>
      <c r="FN52" s="208">
        <v>93418</v>
      </c>
      <c r="FO52" s="208">
        <v>0</v>
      </c>
      <c r="FP52" s="208">
        <v>-5268</v>
      </c>
      <c r="FQ52" s="208">
        <v>-1603</v>
      </c>
      <c r="FR52" s="208">
        <v>0</v>
      </c>
      <c r="FS52" s="208">
        <v>0</v>
      </c>
      <c r="FT52" s="208">
        <v>0</v>
      </c>
      <c r="FU52" s="208">
        <v>0</v>
      </c>
      <c r="FV52" s="208">
        <v>0</v>
      </c>
      <c r="FW52" s="208">
        <v>0</v>
      </c>
      <c r="FX52" s="208">
        <v>0</v>
      </c>
      <c r="FY52" s="208">
        <v>0</v>
      </c>
      <c r="FZ52" s="208">
        <v>0</v>
      </c>
      <c r="GA52" s="208">
        <v>0</v>
      </c>
      <c r="GB52" s="208">
        <v>1792522</v>
      </c>
      <c r="GC52" s="208">
        <v>427875</v>
      </c>
      <c r="GD52" s="208">
        <v>0</v>
      </c>
      <c r="GE52" s="664">
        <v>0.5</v>
      </c>
      <c r="GF52" s="664">
        <v>0.4</v>
      </c>
      <c r="GG52" s="664">
        <v>0.1</v>
      </c>
      <c r="GH52" s="664">
        <v>0</v>
      </c>
      <c r="GI52" s="187" t="s">
        <v>1054</v>
      </c>
    </row>
    <row r="53" spans="2:191" s="187" customFormat="1" x14ac:dyDescent="0.2">
      <c r="B53" s="429" t="s">
        <v>185</v>
      </c>
      <c r="C53" s="429" t="s">
        <v>184</v>
      </c>
      <c r="D53" s="208">
        <v>-77487</v>
      </c>
      <c r="E53" s="208">
        <v>0</v>
      </c>
      <c r="F53" s="208">
        <v>-77487</v>
      </c>
      <c r="G53" s="208">
        <v>-48120</v>
      </c>
      <c r="H53" s="208">
        <v>0</v>
      </c>
      <c r="I53" s="208">
        <v>-48120</v>
      </c>
      <c r="J53" s="208">
        <v>-29367</v>
      </c>
      <c r="K53" s="208">
        <v>0</v>
      </c>
      <c r="L53" s="208">
        <v>-29367</v>
      </c>
      <c r="M53" s="208">
        <v>78327</v>
      </c>
      <c r="N53" s="208">
        <v>78327</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c r="BL53" s="208">
        <v>0</v>
      </c>
      <c r="BM53" s="208">
        <v>0</v>
      </c>
      <c r="BN53" s="208">
        <v>0</v>
      </c>
      <c r="BO53" s="208">
        <v>900520.71285499993</v>
      </c>
      <c r="BP53" s="208">
        <v>202617.16039237499</v>
      </c>
      <c r="BQ53" s="208">
        <v>22513.017821375</v>
      </c>
      <c r="BR53" s="208">
        <v>34333</v>
      </c>
      <c r="BS53" s="208">
        <v>7725</v>
      </c>
      <c r="BT53" s="208">
        <v>858</v>
      </c>
      <c r="BU53" s="208">
        <v>875612</v>
      </c>
      <c r="BV53" s="208">
        <v>197013</v>
      </c>
      <c r="BW53" s="208">
        <v>21890</v>
      </c>
      <c r="BX53" s="208">
        <v>59242</v>
      </c>
      <c r="BY53" s="208">
        <v>13329</v>
      </c>
      <c r="BZ53" s="208">
        <v>1481</v>
      </c>
      <c r="CA53" s="208">
        <v>-297.05500000000001</v>
      </c>
      <c r="CB53" s="208">
        <v>-66.837375000000009</v>
      </c>
      <c r="CC53" s="208">
        <v>-7.4263750000000002</v>
      </c>
      <c r="CD53" s="208">
        <v>1331</v>
      </c>
      <c r="CE53" s="208">
        <v>300</v>
      </c>
      <c r="CF53" s="208">
        <v>33</v>
      </c>
      <c r="CG53" s="208">
        <v>-1628</v>
      </c>
      <c r="CH53" s="208">
        <v>-367</v>
      </c>
      <c r="CI53" s="208">
        <v>-40</v>
      </c>
      <c r="CJ53" s="208">
        <v>0</v>
      </c>
      <c r="CK53" s="208">
        <v>0</v>
      </c>
      <c r="CL53" s="208">
        <v>0</v>
      </c>
      <c r="CM53" s="208">
        <v>0</v>
      </c>
      <c r="CN53" s="208">
        <v>0</v>
      </c>
      <c r="CO53" s="208">
        <v>0</v>
      </c>
      <c r="CP53" s="208">
        <v>0</v>
      </c>
      <c r="CQ53" s="208">
        <v>0</v>
      </c>
      <c r="CR53" s="208">
        <v>0</v>
      </c>
      <c r="CS53" s="208">
        <v>0</v>
      </c>
      <c r="CT53" s="208">
        <v>0</v>
      </c>
      <c r="CU53" s="208">
        <v>0</v>
      </c>
      <c r="CV53" s="208">
        <v>0</v>
      </c>
      <c r="CW53" s="208">
        <v>0</v>
      </c>
      <c r="CX53" s="208">
        <v>0</v>
      </c>
      <c r="CY53" s="208">
        <v>0</v>
      </c>
      <c r="CZ53" s="208">
        <v>0</v>
      </c>
      <c r="DA53" s="208">
        <v>0</v>
      </c>
      <c r="DB53" s="208">
        <v>0</v>
      </c>
      <c r="DC53" s="208">
        <v>0</v>
      </c>
      <c r="DD53" s="208">
        <v>0</v>
      </c>
      <c r="DE53" s="208">
        <v>0</v>
      </c>
      <c r="DF53" s="208">
        <v>0</v>
      </c>
      <c r="DG53" s="208">
        <v>0</v>
      </c>
      <c r="DH53" s="208">
        <v>0</v>
      </c>
      <c r="DI53" s="208">
        <v>0</v>
      </c>
      <c r="DJ53" s="208">
        <v>0</v>
      </c>
      <c r="DK53" s="208">
        <v>0</v>
      </c>
      <c r="DL53" s="208">
        <v>0</v>
      </c>
      <c r="DM53" s="208">
        <v>0</v>
      </c>
      <c r="DN53" s="208">
        <v>0</v>
      </c>
      <c r="DO53" s="208">
        <v>0</v>
      </c>
      <c r="DP53" s="208">
        <v>0</v>
      </c>
      <c r="DQ53" s="208">
        <v>0</v>
      </c>
      <c r="DR53" s="208">
        <v>0</v>
      </c>
      <c r="DS53" s="208">
        <v>0</v>
      </c>
      <c r="DT53" s="208">
        <v>0</v>
      </c>
      <c r="DU53" s="208">
        <v>0</v>
      </c>
      <c r="DV53" s="208">
        <v>0</v>
      </c>
      <c r="DW53" s="208">
        <v>4527.4291666666668</v>
      </c>
      <c r="DX53" s="208">
        <v>1018.6715624999999</v>
      </c>
      <c r="DY53" s="208">
        <v>113.18572916666668</v>
      </c>
      <c r="DZ53" s="208">
        <v>3696</v>
      </c>
      <c r="EA53" s="208">
        <v>832</v>
      </c>
      <c r="EB53" s="208">
        <v>92</v>
      </c>
      <c r="EC53" s="208">
        <v>831</v>
      </c>
      <c r="ED53" s="208">
        <v>187</v>
      </c>
      <c r="EE53" s="208">
        <v>21</v>
      </c>
      <c r="EF53" s="208">
        <v>7089.2216666666664</v>
      </c>
      <c r="EG53" s="208">
        <v>1595.0748749999998</v>
      </c>
      <c r="EH53" s="208">
        <v>177.23054166666665</v>
      </c>
      <c r="EI53" s="208">
        <v>-493.86416666666668</v>
      </c>
      <c r="EJ53" s="208">
        <v>-111.11943749999999</v>
      </c>
      <c r="EK53" s="208">
        <v>-12.346604166666665</v>
      </c>
      <c r="EL53" s="208">
        <v>12275</v>
      </c>
      <c r="EM53" s="208">
        <v>2762</v>
      </c>
      <c r="EN53" s="208">
        <v>307</v>
      </c>
      <c r="EO53" s="208">
        <v>-5680</v>
      </c>
      <c r="EP53" s="208">
        <v>-1278</v>
      </c>
      <c r="EQ53" s="208">
        <v>-142</v>
      </c>
      <c r="ER53" s="208">
        <v>3273.3333333333335</v>
      </c>
      <c r="ES53" s="208">
        <v>736.5</v>
      </c>
      <c r="ET53" s="208">
        <v>81.833333333333329</v>
      </c>
      <c r="EU53" s="208">
        <v>3273</v>
      </c>
      <c r="EV53" s="208">
        <v>737</v>
      </c>
      <c r="EW53" s="208">
        <v>82</v>
      </c>
      <c r="EX53" s="208">
        <v>0</v>
      </c>
      <c r="EY53" s="208">
        <v>-1</v>
      </c>
      <c r="EZ53" s="208">
        <v>0</v>
      </c>
      <c r="FA53" s="208">
        <v>0</v>
      </c>
      <c r="FB53" s="208">
        <v>0</v>
      </c>
      <c r="FC53" s="208">
        <v>0</v>
      </c>
      <c r="FD53" s="208">
        <v>0</v>
      </c>
      <c r="FE53" s="208">
        <v>0</v>
      </c>
      <c r="FF53" s="208">
        <v>0</v>
      </c>
      <c r="FG53" s="208">
        <v>0</v>
      </c>
      <c r="FH53" s="208">
        <v>0</v>
      </c>
      <c r="FI53" s="208">
        <v>0</v>
      </c>
      <c r="FJ53" s="208">
        <v>124010.10893333334</v>
      </c>
      <c r="FK53" s="208">
        <v>27902.274509999996</v>
      </c>
      <c r="FL53" s="208">
        <v>3100.2527233333326</v>
      </c>
      <c r="FM53" s="208">
        <v>127877</v>
      </c>
      <c r="FN53" s="208">
        <v>28772</v>
      </c>
      <c r="FO53" s="208">
        <v>3197</v>
      </c>
      <c r="FP53" s="208">
        <v>-3867</v>
      </c>
      <c r="FQ53" s="208">
        <v>-870</v>
      </c>
      <c r="FR53" s="208">
        <v>-97</v>
      </c>
      <c r="FS53" s="208">
        <v>0</v>
      </c>
      <c r="FT53" s="208">
        <v>0</v>
      </c>
      <c r="FU53" s="208">
        <v>0</v>
      </c>
      <c r="FV53" s="208">
        <v>0</v>
      </c>
      <c r="FW53" s="208">
        <v>0</v>
      </c>
      <c r="FX53" s="208">
        <v>0</v>
      </c>
      <c r="FY53" s="208">
        <v>0</v>
      </c>
      <c r="FZ53" s="208">
        <v>0</v>
      </c>
      <c r="GA53" s="208">
        <v>0</v>
      </c>
      <c r="GB53" s="208">
        <v>1072962</v>
      </c>
      <c r="GC53" s="208">
        <v>241417</v>
      </c>
      <c r="GD53" s="208">
        <v>26824</v>
      </c>
      <c r="GE53" s="664">
        <v>0.5</v>
      </c>
      <c r="GF53" s="664">
        <v>0.4</v>
      </c>
      <c r="GG53" s="664">
        <v>0.09</v>
      </c>
      <c r="GH53" s="664">
        <v>0.01</v>
      </c>
      <c r="GI53" s="187" t="s">
        <v>1054</v>
      </c>
    </row>
    <row r="54" spans="2:191" s="187" customFormat="1" x14ac:dyDescent="0.2">
      <c r="B54" s="429" t="s">
        <v>187</v>
      </c>
      <c r="C54" s="429" t="s">
        <v>186</v>
      </c>
      <c r="D54" s="208">
        <v>-698521</v>
      </c>
      <c r="E54" s="208">
        <v>0</v>
      </c>
      <c r="F54" s="208">
        <v>-698521</v>
      </c>
      <c r="G54" s="208">
        <v>-741632</v>
      </c>
      <c r="H54" s="208">
        <v>0</v>
      </c>
      <c r="I54" s="208">
        <v>-741632</v>
      </c>
      <c r="J54" s="208">
        <v>43111</v>
      </c>
      <c r="K54" s="208">
        <v>0</v>
      </c>
      <c r="L54" s="208">
        <v>43111</v>
      </c>
      <c r="M54" s="208">
        <v>302614</v>
      </c>
      <c r="N54" s="208">
        <v>302614</v>
      </c>
      <c r="O54" s="208">
        <v>0</v>
      </c>
      <c r="P54" s="208">
        <v>0</v>
      </c>
      <c r="Q54" s="208">
        <v>0</v>
      </c>
      <c r="R54" s="208">
        <v>0</v>
      </c>
      <c r="S54" s="208">
        <v>371991</v>
      </c>
      <c r="T54" s="208">
        <v>0</v>
      </c>
      <c r="U54" s="208">
        <v>379908</v>
      </c>
      <c r="V54" s="208">
        <v>0</v>
      </c>
      <c r="W54" s="208">
        <v>-7917</v>
      </c>
      <c r="X54" s="208">
        <v>0</v>
      </c>
      <c r="Y54" s="208">
        <v>0</v>
      </c>
      <c r="Z54" s="208">
        <v>0</v>
      </c>
      <c r="AA54" s="208">
        <v>0</v>
      </c>
      <c r="AB54" s="208">
        <v>0</v>
      </c>
      <c r="AC54" s="208">
        <v>0</v>
      </c>
      <c r="AD54" s="208">
        <v>0</v>
      </c>
      <c r="AE54" s="208">
        <v>0</v>
      </c>
      <c r="AF54" s="208">
        <v>0</v>
      </c>
      <c r="AG54" s="208">
        <v>0</v>
      </c>
      <c r="AH54" s="208">
        <v>0</v>
      </c>
      <c r="AI54" s="208">
        <v>0</v>
      </c>
      <c r="AJ54" s="208">
        <v>0</v>
      </c>
      <c r="AK54" s="208">
        <v>0</v>
      </c>
      <c r="AL54" s="208">
        <v>0</v>
      </c>
      <c r="AM54" s="208">
        <v>0</v>
      </c>
      <c r="AN54" s="208">
        <v>0</v>
      </c>
      <c r="AO54" s="208">
        <v>0</v>
      </c>
      <c r="AP54" s="208">
        <v>0</v>
      </c>
      <c r="AQ54" s="208">
        <v>0</v>
      </c>
      <c r="AR54" s="208">
        <v>0</v>
      </c>
      <c r="AS54" s="208">
        <v>0</v>
      </c>
      <c r="AT54" s="208">
        <v>0</v>
      </c>
      <c r="AU54" s="208">
        <v>0</v>
      </c>
      <c r="AV54" s="208">
        <v>0</v>
      </c>
      <c r="AW54" s="208">
        <v>0</v>
      </c>
      <c r="AX54" s="208">
        <v>0</v>
      </c>
      <c r="AY54" s="208">
        <v>0</v>
      </c>
      <c r="AZ54" s="208">
        <v>0</v>
      </c>
      <c r="BA54" s="208">
        <v>0</v>
      </c>
      <c r="BB54" s="208">
        <v>0</v>
      </c>
      <c r="BC54" s="208">
        <v>0</v>
      </c>
      <c r="BD54" s="208">
        <v>0</v>
      </c>
      <c r="BE54" s="208">
        <v>0</v>
      </c>
      <c r="BF54" s="208">
        <v>0</v>
      </c>
      <c r="BG54" s="208">
        <v>0</v>
      </c>
      <c r="BH54" s="208">
        <v>0</v>
      </c>
      <c r="BI54" s="208">
        <v>0</v>
      </c>
      <c r="BJ54" s="208">
        <v>0</v>
      </c>
      <c r="BK54" s="208">
        <v>0</v>
      </c>
      <c r="BL54" s="208">
        <v>0</v>
      </c>
      <c r="BM54" s="208">
        <v>0</v>
      </c>
      <c r="BN54" s="208">
        <v>0</v>
      </c>
      <c r="BO54" s="208">
        <v>3015874.8732796251</v>
      </c>
      <c r="BP54" s="208">
        <v>0</v>
      </c>
      <c r="BQ54" s="208">
        <v>61548.466801625</v>
      </c>
      <c r="BR54" s="208">
        <v>201844</v>
      </c>
      <c r="BS54" s="208">
        <v>0</v>
      </c>
      <c r="BT54" s="208">
        <v>4008</v>
      </c>
      <c r="BU54" s="208">
        <v>2902954</v>
      </c>
      <c r="BV54" s="208">
        <v>0</v>
      </c>
      <c r="BW54" s="208">
        <v>59244</v>
      </c>
      <c r="BX54" s="208">
        <v>314765</v>
      </c>
      <c r="BY54" s="208">
        <v>0</v>
      </c>
      <c r="BZ54" s="208">
        <v>6312</v>
      </c>
      <c r="CA54" s="208">
        <v>0</v>
      </c>
      <c r="CB54" s="208">
        <v>0</v>
      </c>
      <c r="CC54" s="208">
        <v>0</v>
      </c>
      <c r="CD54" s="208">
        <v>0</v>
      </c>
      <c r="CE54" s="208">
        <v>0</v>
      </c>
      <c r="CF54" s="208">
        <v>0</v>
      </c>
      <c r="CG54" s="208">
        <v>0</v>
      </c>
      <c r="CH54" s="208">
        <v>0</v>
      </c>
      <c r="CI54" s="208">
        <v>0</v>
      </c>
      <c r="CJ54" s="208">
        <v>-34825.903729166668</v>
      </c>
      <c r="CK54" s="208">
        <v>0</v>
      </c>
      <c r="CL54" s="208">
        <v>-710.73272916666667</v>
      </c>
      <c r="CM54" s="208">
        <v>-465.64189583333331</v>
      </c>
      <c r="CN54" s="208">
        <v>0</v>
      </c>
      <c r="CO54" s="208">
        <v>-9.5028958333333335</v>
      </c>
      <c r="CP54" s="208">
        <v>-1402.9404375000001</v>
      </c>
      <c r="CQ54" s="208">
        <v>0</v>
      </c>
      <c r="CR54" s="208">
        <v>-28.631437500000004</v>
      </c>
      <c r="CS54" s="208">
        <v>0</v>
      </c>
      <c r="CT54" s="208">
        <v>0</v>
      </c>
      <c r="CU54" s="208">
        <v>0</v>
      </c>
      <c r="CV54" s="208">
        <v>0</v>
      </c>
      <c r="CW54" s="208">
        <v>0</v>
      </c>
      <c r="CX54" s="208">
        <v>0</v>
      </c>
      <c r="CY54" s="208">
        <v>0</v>
      </c>
      <c r="CZ54" s="208">
        <v>0</v>
      </c>
      <c r="DA54" s="208">
        <v>0</v>
      </c>
      <c r="DB54" s="208">
        <v>0</v>
      </c>
      <c r="DC54" s="208">
        <v>0</v>
      </c>
      <c r="DD54" s="208">
        <v>0</v>
      </c>
      <c r="DE54" s="208">
        <v>915.74568750000003</v>
      </c>
      <c r="DF54" s="208">
        <v>0</v>
      </c>
      <c r="DG54" s="208">
        <v>18.6886875</v>
      </c>
      <c r="DH54" s="208">
        <v>0</v>
      </c>
      <c r="DI54" s="208">
        <v>0</v>
      </c>
      <c r="DJ54" s="208">
        <v>0</v>
      </c>
      <c r="DK54" s="208">
        <v>916</v>
      </c>
      <c r="DL54" s="208">
        <v>0</v>
      </c>
      <c r="DM54" s="208">
        <v>19</v>
      </c>
      <c r="DN54" s="208">
        <v>0</v>
      </c>
      <c r="DO54" s="208">
        <v>0</v>
      </c>
      <c r="DP54" s="208">
        <v>0</v>
      </c>
      <c r="DQ54" s="208">
        <v>0</v>
      </c>
      <c r="DR54" s="208">
        <v>0</v>
      </c>
      <c r="DS54" s="208">
        <v>0</v>
      </c>
      <c r="DT54" s="208">
        <v>0</v>
      </c>
      <c r="DU54" s="208">
        <v>0</v>
      </c>
      <c r="DV54" s="208">
        <v>0</v>
      </c>
      <c r="DW54" s="208">
        <v>7821.1799166666669</v>
      </c>
      <c r="DX54" s="208">
        <v>0</v>
      </c>
      <c r="DY54" s="208">
        <v>159.61591666666666</v>
      </c>
      <c r="DZ54" s="208">
        <v>8968</v>
      </c>
      <c r="EA54" s="208">
        <v>0</v>
      </c>
      <c r="EB54" s="208">
        <v>183</v>
      </c>
      <c r="EC54" s="208">
        <v>-1147</v>
      </c>
      <c r="ED54" s="208">
        <v>0</v>
      </c>
      <c r="EE54" s="208">
        <v>-23</v>
      </c>
      <c r="EF54" s="208">
        <v>83772.93677083333</v>
      </c>
      <c r="EG54" s="208">
        <v>0</v>
      </c>
      <c r="EH54" s="208">
        <v>1709.6517708333336</v>
      </c>
      <c r="EI54" s="208">
        <v>-2066.5678541666666</v>
      </c>
      <c r="EJ54" s="208">
        <v>0</v>
      </c>
      <c r="EK54" s="208">
        <v>-42.174854166666663</v>
      </c>
      <c r="EL54" s="208">
        <v>89180</v>
      </c>
      <c r="EM54" s="208">
        <v>0</v>
      </c>
      <c r="EN54" s="208">
        <v>1820</v>
      </c>
      <c r="EO54" s="208">
        <v>-7474</v>
      </c>
      <c r="EP54" s="208">
        <v>0</v>
      </c>
      <c r="EQ54" s="208">
        <v>-153</v>
      </c>
      <c r="ER54" s="208">
        <v>51909.297416666668</v>
      </c>
      <c r="ES54" s="208">
        <v>0</v>
      </c>
      <c r="ET54" s="208">
        <v>1059.3734166666666</v>
      </c>
      <c r="EU54" s="208">
        <v>64658</v>
      </c>
      <c r="EV54" s="208">
        <v>0</v>
      </c>
      <c r="EW54" s="208">
        <v>1320</v>
      </c>
      <c r="EX54" s="208">
        <v>-12749</v>
      </c>
      <c r="EY54" s="208">
        <v>0</v>
      </c>
      <c r="EZ54" s="208">
        <v>-261</v>
      </c>
      <c r="FA54" s="208">
        <v>0</v>
      </c>
      <c r="FB54" s="208">
        <v>0</v>
      </c>
      <c r="FC54" s="208">
        <v>0</v>
      </c>
      <c r="FD54" s="208">
        <v>0</v>
      </c>
      <c r="FE54" s="208">
        <v>0</v>
      </c>
      <c r="FF54" s="208">
        <v>0</v>
      </c>
      <c r="FG54" s="208">
        <v>0</v>
      </c>
      <c r="FH54" s="208">
        <v>0</v>
      </c>
      <c r="FI54" s="208">
        <v>0</v>
      </c>
      <c r="FJ54" s="208">
        <v>984509.45404166658</v>
      </c>
      <c r="FK54" s="208">
        <v>0</v>
      </c>
      <c r="FL54" s="208">
        <v>19918.054291666664</v>
      </c>
      <c r="FM54" s="208">
        <v>976184</v>
      </c>
      <c r="FN54" s="208">
        <v>0</v>
      </c>
      <c r="FO54" s="208">
        <v>19744</v>
      </c>
      <c r="FP54" s="208">
        <v>8325</v>
      </c>
      <c r="FQ54" s="208">
        <v>0</v>
      </c>
      <c r="FR54" s="208">
        <v>174</v>
      </c>
      <c r="FS54" s="208">
        <v>0</v>
      </c>
      <c r="FT54" s="208">
        <v>0</v>
      </c>
      <c r="FU54" s="208">
        <v>0</v>
      </c>
      <c r="FV54" s="208">
        <v>0</v>
      </c>
      <c r="FW54" s="208">
        <v>0</v>
      </c>
      <c r="FX54" s="208">
        <v>0</v>
      </c>
      <c r="FY54" s="208">
        <v>0</v>
      </c>
      <c r="FZ54" s="208">
        <v>0</v>
      </c>
      <c r="GA54" s="208">
        <v>0</v>
      </c>
      <c r="GB54" s="208">
        <v>4307885</v>
      </c>
      <c r="GC54" s="208">
        <v>0</v>
      </c>
      <c r="GD54" s="208">
        <v>87630</v>
      </c>
      <c r="GE54" s="664">
        <v>0.5</v>
      </c>
      <c r="GF54" s="664">
        <v>0.49</v>
      </c>
      <c r="GG54" s="664">
        <v>0</v>
      </c>
      <c r="GH54" s="664">
        <v>0.01</v>
      </c>
      <c r="GI54" s="187" t="s">
        <v>742</v>
      </c>
    </row>
    <row r="55" spans="2:191" s="187" customFormat="1" x14ac:dyDescent="0.2">
      <c r="B55" s="429" t="s">
        <v>189</v>
      </c>
      <c r="C55" s="429" t="s">
        <v>188</v>
      </c>
      <c r="D55" s="208">
        <v>900620</v>
      </c>
      <c r="E55" s="208">
        <v>0</v>
      </c>
      <c r="F55" s="208">
        <v>900620</v>
      </c>
      <c r="G55" s="208">
        <v>849562</v>
      </c>
      <c r="H55" s="208">
        <v>0</v>
      </c>
      <c r="I55" s="208">
        <v>849562</v>
      </c>
      <c r="J55" s="208">
        <v>51058</v>
      </c>
      <c r="K55" s="208">
        <v>0</v>
      </c>
      <c r="L55" s="208">
        <v>51058</v>
      </c>
      <c r="M55" s="208">
        <v>192801</v>
      </c>
      <c r="N55" s="208">
        <v>192801</v>
      </c>
      <c r="O55" s="208">
        <v>0</v>
      </c>
      <c r="P55" s="208">
        <v>222402</v>
      </c>
      <c r="Q55" s="208">
        <v>198504</v>
      </c>
      <c r="R55" s="208">
        <v>23898</v>
      </c>
      <c r="S55" s="208">
        <v>183388</v>
      </c>
      <c r="T55" s="208">
        <v>4224</v>
      </c>
      <c r="U55" s="208">
        <v>180823</v>
      </c>
      <c r="V55" s="208">
        <v>0</v>
      </c>
      <c r="W55" s="208">
        <v>2565</v>
      </c>
      <c r="X55" s="208">
        <v>4224</v>
      </c>
      <c r="Y55" s="208">
        <v>0</v>
      </c>
      <c r="Z55" s="208">
        <v>0</v>
      </c>
      <c r="AA55" s="208">
        <v>0</v>
      </c>
      <c r="AB55" s="208">
        <v>0</v>
      </c>
      <c r="AC55" s="208">
        <v>0</v>
      </c>
      <c r="AD55" s="208">
        <v>0</v>
      </c>
      <c r="AE55" s="208">
        <v>0</v>
      </c>
      <c r="AF55" s="208">
        <v>0</v>
      </c>
      <c r="AG55" s="208">
        <v>0</v>
      </c>
      <c r="AH55" s="208">
        <v>0</v>
      </c>
      <c r="AI55" s="208">
        <v>0</v>
      </c>
      <c r="AJ55" s="208">
        <v>0</v>
      </c>
      <c r="AK55" s="208">
        <v>0</v>
      </c>
      <c r="AL55" s="208">
        <v>0</v>
      </c>
      <c r="AM55" s="208">
        <v>0</v>
      </c>
      <c r="AN55" s="208">
        <v>0</v>
      </c>
      <c r="AO55" s="208">
        <v>0</v>
      </c>
      <c r="AP55" s="208">
        <v>0</v>
      </c>
      <c r="AQ55" s="208">
        <v>0</v>
      </c>
      <c r="AR55" s="208">
        <v>0</v>
      </c>
      <c r="AS55" s="208">
        <v>0</v>
      </c>
      <c r="AT55" s="208">
        <v>0</v>
      </c>
      <c r="AU55" s="208">
        <v>0</v>
      </c>
      <c r="AV55" s="208">
        <v>0</v>
      </c>
      <c r="AW55" s="208">
        <v>0</v>
      </c>
      <c r="AX55" s="208">
        <v>0</v>
      </c>
      <c r="AY55" s="208">
        <v>0</v>
      </c>
      <c r="AZ55" s="208">
        <v>0</v>
      </c>
      <c r="BA55" s="208">
        <v>0</v>
      </c>
      <c r="BB55" s="208">
        <v>0</v>
      </c>
      <c r="BC55" s="208">
        <v>0</v>
      </c>
      <c r="BD55" s="208">
        <v>0</v>
      </c>
      <c r="BE55" s="208">
        <v>0</v>
      </c>
      <c r="BF55" s="208">
        <v>0</v>
      </c>
      <c r="BG55" s="208">
        <v>0</v>
      </c>
      <c r="BH55" s="208">
        <v>0</v>
      </c>
      <c r="BI55" s="208">
        <v>0</v>
      </c>
      <c r="BJ55" s="208">
        <v>0</v>
      </c>
      <c r="BK55" s="208">
        <v>0</v>
      </c>
      <c r="BL55" s="208">
        <v>0</v>
      </c>
      <c r="BM55" s="208">
        <v>0</v>
      </c>
      <c r="BN55" s="208">
        <v>0</v>
      </c>
      <c r="BO55" s="208">
        <v>1591140.4355350002</v>
      </c>
      <c r="BP55" s="208">
        <v>358006.59799537499</v>
      </c>
      <c r="BQ55" s="208">
        <v>39778.510888375</v>
      </c>
      <c r="BR55" s="208">
        <v>107157</v>
      </c>
      <c r="BS55" s="208">
        <v>24110</v>
      </c>
      <c r="BT55" s="208">
        <v>2679</v>
      </c>
      <c r="BU55" s="208">
        <v>1535264</v>
      </c>
      <c r="BV55" s="208">
        <v>345434</v>
      </c>
      <c r="BW55" s="208">
        <v>38382</v>
      </c>
      <c r="BX55" s="208">
        <v>163033</v>
      </c>
      <c r="BY55" s="208">
        <v>36683</v>
      </c>
      <c r="BZ55" s="208">
        <v>4076</v>
      </c>
      <c r="CA55" s="208">
        <v>4681.6850000000004</v>
      </c>
      <c r="CB55" s="208">
        <v>1053.3791249999999</v>
      </c>
      <c r="CC55" s="208">
        <v>117.042125</v>
      </c>
      <c r="CD55" s="208">
        <v>1896</v>
      </c>
      <c r="CE55" s="208">
        <v>427</v>
      </c>
      <c r="CF55" s="208">
        <v>47</v>
      </c>
      <c r="CG55" s="208">
        <v>2786</v>
      </c>
      <c r="CH55" s="208">
        <v>626</v>
      </c>
      <c r="CI55" s="208">
        <v>70</v>
      </c>
      <c r="CJ55" s="208">
        <v>3657.9500000000003</v>
      </c>
      <c r="CK55" s="208">
        <v>823.03874999999994</v>
      </c>
      <c r="CL55" s="208">
        <v>91.448750000000004</v>
      </c>
      <c r="CM55" s="208">
        <v>-182.48833333333334</v>
      </c>
      <c r="CN55" s="208">
        <v>-41.059874999999998</v>
      </c>
      <c r="CO55" s="208">
        <v>-4.5622083333333334</v>
      </c>
      <c r="CP55" s="208">
        <v>0</v>
      </c>
      <c r="CQ55" s="208">
        <v>0</v>
      </c>
      <c r="CR55" s="208">
        <v>0</v>
      </c>
      <c r="CS55" s="208">
        <v>0</v>
      </c>
      <c r="CT55" s="208">
        <v>0</v>
      </c>
      <c r="CU55" s="208">
        <v>0</v>
      </c>
      <c r="CV55" s="208">
        <v>0</v>
      </c>
      <c r="CW55" s="208">
        <v>0</v>
      </c>
      <c r="CX55" s="208">
        <v>0</v>
      </c>
      <c r="CY55" s="208">
        <v>0</v>
      </c>
      <c r="CZ55" s="208">
        <v>0</v>
      </c>
      <c r="DA55" s="208">
        <v>0</v>
      </c>
      <c r="DB55" s="208">
        <v>0</v>
      </c>
      <c r="DC55" s="208">
        <v>0</v>
      </c>
      <c r="DD55" s="208">
        <v>0</v>
      </c>
      <c r="DE55" s="208">
        <v>797.05666666666673</v>
      </c>
      <c r="DF55" s="208">
        <v>179.33775</v>
      </c>
      <c r="DG55" s="208">
        <v>19.926416666666668</v>
      </c>
      <c r="DH55" s="208">
        <v>797</v>
      </c>
      <c r="DI55" s="208">
        <v>179</v>
      </c>
      <c r="DJ55" s="208">
        <v>20</v>
      </c>
      <c r="DK55" s="208">
        <v>0</v>
      </c>
      <c r="DL55" s="208">
        <v>0</v>
      </c>
      <c r="DM55" s="208">
        <v>0</v>
      </c>
      <c r="DN55" s="208">
        <v>613.75</v>
      </c>
      <c r="DO55" s="208">
        <v>138.09375</v>
      </c>
      <c r="DP55" s="208">
        <v>15.34375</v>
      </c>
      <c r="DQ55" s="208">
        <v>614</v>
      </c>
      <c r="DR55" s="208">
        <v>138</v>
      </c>
      <c r="DS55" s="208">
        <v>15</v>
      </c>
      <c r="DT55" s="208">
        <v>0</v>
      </c>
      <c r="DU55" s="208">
        <v>0</v>
      </c>
      <c r="DV55" s="208">
        <v>0</v>
      </c>
      <c r="DW55" s="208">
        <v>20755.797500000004</v>
      </c>
      <c r="DX55" s="208">
        <v>4670.0544374999999</v>
      </c>
      <c r="DY55" s="208">
        <v>518.89493750000008</v>
      </c>
      <c r="DZ55" s="208">
        <v>20876</v>
      </c>
      <c r="EA55" s="208">
        <v>4697</v>
      </c>
      <c r="EB55" s="208">
        <v>522</v>
      </c>
      <c r="EC55" s="208">
        <v>-120</v>
      </c>
      <c r="ED55" s="208">
        <v>-27</v>
      </c>
      <c r="EE55" s="208">
        <v>-3</v>
      </c>
      <c r="EF55" s="208">
        <v>75748.206666666665</v>
      </c>
      <c r="EG55" s="208">
        <v>17043.3465</v>
      </c>
      <c r="EH55" s="208">
        <v>1893.7051666666666</v>
      </c>
      <c r="EI55" s="208">
        <v>22845.820833333335</v>
      </c>
      <c r="EJ55" s="208">
        <v>5140.3096875000001</v>
      </c>
      <c r="EK55" s="208">
        <v>571.14552083333342</v>
      </c>
      <c r="EL55" s="208">
        <v>90017</v>
      </c>
      <c r="EM55" s="208">
        <v>20254</v>
      </c>
      <c r="EN55" s="208">
        <v>2250</v>
      </c>
      <c r="EO55" s="208">
        <v>8577</v>
      </c>
      <c r="EP55" s="208">
        <v>1930</v>
      </c>
      <c r="EQ55" s="208">
        <v>215</v>
      </c>
      <c r="ER55" s="208">
        <v>23154.332500000004</v>
      </c>
      <c r="ES55" s="208">
        <v>5209.7248124999996</v>
      </c>
      <c r="ET55" s="208">
        <v>578.85831250000001</v>
      </c>
      <c r="EU55" s="208">
        <v>24485</v>
      </c>
      <c r="EV55" s="208">
        <v>5509</v>
      </c>
      <c r="EW55" s="208">
        <v>612</v>
      </c>
      <c r="EX55" s="208">
        <v>-1331</v>
      </c>
      <c r="EY55" s="208">
        <v>-299</v>
      </c>
      <c r="EZ55" s="208">
        <v>-33</v>
      </c>
      <c r="FA55" s="208">
        <v>0</v>
      </c>
      <c r="FB55" s="208">
        <v>0</v>
      </c>
      <c r="FC55" s="208">
        <v>0</v>
      </c>
      <c r="FD55" s="208">
        <v>0</v>
      </c>
      <c r="FE55" s="208">
        <v>0</v>
      </c>
      <c r="FF55" s="208">
        <v>0</v>
      </c>
      <c r="FG55" s="208">
        <v>0</v>
      </c>
      <c r="FH55" s="208">
        <v>0</v>
      </c>
      <c r="FI55" s="208">
        <v>0</v>
      </c>
      <c r="FJ55" s="208">
        <v>417643.78333333333</v>
      </c>
      <c r="FK55" s="208">
        <v>91974.296562499978</v>
      </c>
      <c r="FL55" s="208">
        <v>10208.610729166667</v>
      </c>
      <c r="FM55" s="208">
        <v>429313</v>
      </c>
      <c r="FN55" s="208">
        <v>94639</v>
      </c>
      <c r="FO55" s="208">
        <v>10515</v>
      </c>
      <c r="FP55" s="208">
        <v>-11669</v>
      </c>
      <c r="FQ55" s="208">
        <v>-2665</v>
      </c>
      <c r="FR55" s="208">
        <v>-306</v>
      </c>
      <c r="FS55" s="208">
        <v>0</v>
      </c>
      <c r="FT55" s="208">
        <v>0</v>
      </c>
      <c r="FU55" s="208">
        <v>0</v>
      </c>
      <c r="FV55" s="208">
        <v>0</v>
      </c>
      <c r="FW55" s="208">
        <v>0</v>
      </c>
      <c r="FX55" s="208">
        <v>0</v>
      </c>
      <c r="FY55" s="208">
        <v>0</v>
      </c>
      <c r="FZ55" s="208">
        <v>0</v>
      </c>
      <c r="GA55" s="208">
        <v>0</v>
      </c>
      <c r="GB55" s="208">
        <v>2268014</v>
      </c>
      <c r="GC55" s="208">
        <v>508306</v>
      </c>
      <c r="GD55" s="208">
        <v>56468</v>
      </c>
      <c r="GE55" s="664">
        <v>0.5</v>
      </c>
      <c r="GF55" s="664">
        <v>0.4</v>
      </c>
      <c r="GG55" s="664">
        <v>0.09</v>
      </c>
      <c r="GH55" s="664">
        <v>0.01</v>
      </c>
      <c r="GI55" s="187" t="s">
        <v>1054</v>
      </c>
    </row>
    <row r="56" spans="2:191" s="187" customFormat="1" x14ac:dyDescent="0.2">
      <c r="B56" s="429" t="s">
        <v>191</v>
      </c>
      <c r="C56" s="429" t="s">
        <v>190</v>
      </c>
      <c r="D56" s="208">
        <v>-1828117</v>
      </c>
      <c r="E56" s="208">
        <v>0</v>
      </c>
      <c r="F56" s="208">
        <v>-1828117</v>
      </c>
      <c r="G56" s="208">
        <v>-2271177</v>
      </c>
      <c r="H56" s="208">
        <v>0</v>
      </c>
      <c r="I56" s="208">
        <v>-2271177</v>
      </c>
      <c r="J56" s="208">
        <v>443060</v>
      </c>
      <c r="K56" s="208">
        <v>0</v>
      </c>
      <c r="L56" s="208">
        <v>443060</v>
      </c>
      <c r="M56" s="208">
        <v>217641</v>
      </c>
      <c r="N56" s="208">
        <v>217641</v>
      </c>
      <c r="O56" s="208">
        <v>0</v>
      </c>
      <c r="P56" s="208">
        <v>0</v>
      </c>
      <c r="Q56" s="208">
        <v>0</v>
      </c>
      <c r="R56" s="208">
        <v>0</v>
      </c>
      <c r="S56" s="208">
        <v>0</v>
      </c>
      <c r="T56" s="208">
        <v>0</v>
      </c>
      <c r="U56" s="208">
        <v>0</v>
      </c>
      <c r="V56" s="208">
        <v>0</v>
      </c>
      <c r="W56" s="208">
        <v>0</v>
      </c>
      <c r="X56" s="208">
        <v>0</v>
      </c>
      <c r="Y56" s="208">
        <v>0</v>
      </c>
      <c r="Z56" s="208">
        <v>0</v>
      </c>
      <c r="AA56" s="208">
        <v>0</v>
      </c>
      <c r="AB56" s="208">
        <v>0</v>
      </c>
      <c r="AC56" s="208">
        <v>0</v>
      </c>
      <c r="AD56" s="208">
        <v>0</v>
      </c>
      <c r="AE56" s="208">
        <v>0</v>
      </c>
      <c r="AF56" s="208">
        <v>0</v>
      </c>
      <c r="AG56" s="208">
        <v>0</v>
      </c>
      <c r="AH56" s="208">
        <v>0</v>
      </c>
      <c r="AI56" s="208">
        <v>0</v>
      </c>
      <c r="AJ56" s="208">
        <v>0</v>
      </c>
      <c r="AK56" s="208">
        <v>0</v>
      </c>
      <c r="AL56" s="208">
        <v>0</v>
      </c>
      <c r="AM56" s="208">
        <v>0</v>
      </c>
      <c r="AN56" s="208">
        <v>0</v>
      </c>
      <c r="AO56" s="208">
        <v>0</v>
      </c>
      <c r="AP56" s="208">
        <v>0</v>
      </c>
      <c r="AQ56" s="208">
        <v>0</v>
      </c>
      <c r="AR56" s="208">
        <v>0</v>
      </c>
      <c r="AS56" s="208">
        <v>0</v>
      </c>
      <c r="AT56" s="208">
        <v>0</v>
      </c>
      <c r="AU56" s="208">
        <v>0</v>
      </c>
      <c r="AV56" s="208">
        <v>0</v>
      </c>
      <c r="AW56" s="208">
        <v>0</v>
      </c>
      <c r="AX56" s="208">
        <v>0</v>
      </c>
      <c r="AY56" s="208">
        <v>0</v>
      </c>
      <c r="AZ56" s="208">
        <v>0</v>
      </c>
      <c r="BA56" s="208">
        <v>0</v>
      </c>
      <c r="BB56" s="208">
        <v>0</v>
      </c>
      <c r="BC56" s="208">
        <v>0</v>
      </c>
      <c r="BD56" s="208">
        <v>0</v>
      </c>
      <c r="BE56" s="208">
        <v>0</v>
      </c>
      <c r="BF56" s="208">
        <v>0</v>
      </c>
      <c r="BG56" s="208">
        <v>0</v>
      </c>
      <c r="BH56" s="208">
        <v>0</v>
      </c>
      <c r="BI56" s="208">
        <v>0</v>
      </c>
      <c r="BJ56" s="208">
        <v>0</v>
      </c>
      <c r="BK56" s="208">
        <v>0</v>
      </c>
      <c r="BL56" s="208">
        <v>0</v>
      </c>
      <c r="BM56" s="208">
        <v>0</v>
      </c>
      <c r="BN56" s="208">
        <v>0</v>
      </c>
      <c r="BO56" s="208">
        <v>1578946.9950703667</v>
      </c>
      <c r="BP56" s="208">
        <v>355263.07389083249</v>
      </c>
      <c r="BQ56" s="208">
        <v>39473.674876759163</v>
      </c>
      <c r="BR56" s="208">
        <v>128791</v>
      </c>
      <c r="BS56" s="208">
        <v>28978</v>
      </c>
      <c r="BT56" s="208">
        <v>3220</v>
      </c>
      <c r="BU56" s="208">
        <v>1473061</v>
      </c>
      <c r="BV56" s="208">
        <v>331439</v>
      </c>
      <c r="BW56" s="208">
        <v>36827</v>
      </c>
      <c r="BX56" s="208">
        <v>234677</v>
      </c>
      <c r="BY56" s="208">
        <v>52802</v>
      </c>
      <c r="BZ56" s="208">
        <v>5867</v>
      </c>
      <c r="CA56" s="208">
        <v>0</v>
      </c>
      <c r="CB56" s="208">
        <v>0</v>
      </c>
      <c r="CC56" s="208">
        <v>0</v>
      </c>
      <c r="CD56" s="208">
        <v>0</v>
      </c>
      <c r="CE56" s="208">
        <v>0</v>
      </c>
      <c r="CF56" s="208">
        <v>0</v>
      </c>
      <c r="CG56" s="208">
        <v>0</v>
      </c>
      <c r="CH56" s="208">
        <v>0</v>
      </c>
      <c r="CI56" s="208">
        <v>0</v>
      </c>
      <c r="CJ56" s="208">
        <v>0</v>
      </c>
      <c r="CK56" s="208">
        <v>0</v>
      </c>
      <c r="CL56" s="208">
        <v>0</v>
      </c>
      <c r="CM56" s="208">
        <v>0</v>
      </c>
      <c r="CN56" s="208">
        <v>0</v>
      </c>
      <c r="CO56" s="208">
        <v>0</v>
      </c>
      <c r="CP56" s="208">
        <v>0</v>
      </c>
      <c r="CQ56" s="208">
        <v>0</v>
      </c>
      <c r="CR56" s="208">
        <v>0</v>
      </c>
      <c r="CS56" s="208">
        <v>0</v>
      </c>
      <c r="CT56" s="208">
        <v>0</v>
      </c>
      <c r="CU56" s="208">
        <v>0</v>
      </c>
      <c r="CV56" s="208">
        <v>0</v>
      </c>
      <c r="CW56" s="208">
        <v>0</v>
      </c>
      <c r="CX56" s="208">
        <v>0</v>
      </c>
      <c r="CY56" s="208">
        <v>0</v>
      </c>
      <c r="CZ56" s="208">
        <v>0</v>
      </c>
      <c r="DA56" s="208">
        <v>0</v>
      </c>
      <c r="DB56" s="208">
        <v>0</v>
      </c>
      <c r="DC56" s="208">
        <v>0</v>
      </c>
      <c r="DD56" s="208">
        <v>0</v>
      </c>
      <c r="DE56" s="208">
        <v>2022.1016666666667</v>
      </c>
      <c r="DF56" s="208">
        <v>454.97287499999999</v>
      </c>
      <c r="DG56" s="208">
        <v>50.55254166666667</v>
      </c>
      <c r="DH56" s="208">
        <v>2022</v>
      </c>
      <c r="DI56" s="208">
        <v>455</v>
      </c>
      <c r="DJ56" s="208">
        <v>51</v>
      </c>
      <c r="DK56" s="208">
        <v>0</v>
      </c>
      <c r="DL56" s="208">
        <v>0</v>
      </c>
      <c r="DM56" s="208">
        <v>0</v>
      </c>
      <c r="DN56" s="208">
        <v>613.75</v>
      </c>
      <c r="DO56" s="208">
        <v>138.09375</v>
      </c>
      <c r="DP56" s="208">
        <v>15.34375</v>
      </c>
      <c r="DQ56" s="208">
        <v>614</v>
      </c>
      <c r="DR56" s="208">
        <v>138</v>
      </c>
      <c r="DS56" s="208">
        <v>15</v>
      </c>
      <c r="DT56" s="208">
        <v>0</v>
      </c>
      <c r="DU56" s="208">
        <v>0</v>
      </c>
      <c r="DV56" s="208">
        <v>0</v>
      </c>
      <c r="DW56" s="208">
        <v>11840.055833333334</v>
      </c>
      <c r="DX56" s="208">
        <v>2664.0125624999996</v>
      </c>
      <c r="DY56" s="208">
        <v>296.00139583333333</v>
      </c>
      <c r="DZ56" s="208">
        <v>13787</v>
      </c>
      <c r="EA56" s="208">
        <v>3102</v>
      </c>
      <c r="EB56" s="208">
        <v>345</v>
      </c>
      <c r="EC56" s="208">
        <v>-1947</v>
      </c>
      <c r="ED56" s="208">
        <v>-438</v>
      </c>
      <c r="EE56" s="208">
        <v>-49</v>
      </c>
      <c r="EF56" s="208">
        <v>53741.995833333342</v>
      </c>
      <c r="EG56" s="208">
        <v>12091.9490625</v>
      </c>
      <c r="EH56" s="208">
        <v>1343.5498958333335</v>
      </c>
      <c r="EI56" s="208">
        <v>-3779.4724999999999</v>
      </c>
      <c r="EJ56" s="208">
        <v>-850.38131249999992</v>
      </c>
      <c r="EK56" s="208">
        <v>-94.486812499999999</v>
      </c>
      <c r="EL56" s="208">
        <v>54000</v>
      </c>
      <c r="EM56" s="208">
        <v>12150</v>
      </c>
      <c r="EN56" s="208">
        <v>1350</v>
      </c>
      <c r="EO56" s="208">
        <v>-4037</v>
      </c>
      <c r="EP56" s="208">
        <v>-908</v>
      </c>
      <c r="EQ56" s="208">
        <v>-101</v>
      </c>
      <c r="ER56" s="208">
        <v>27910.895000000004</v>
      </c>
      <c r="ES56" s="208">
        <v>6279.9513750000006</v>
      </c>
      <c r="ET56" s="208">
        <v>697.77237500000001</v>
      </c>
      <c r="EU56" s="208">
        <v>32734</v>
      </c>
      <c r="EV56" s="208">
        <v>7365</v>
      </c>
      <c r="EW56" s="208">
        <v>818</v>
      </c>
      <c r="EX56" s="208">
        <v>-4823</v>
      </c>
      <c r="EY56" s="208">
        <v>-1085</v>
      </c>
      <c r="EZ56" s="208">
        <v>-120</v>
      </c>
      <c r="FA56" s="208">
        <v>0</v>
      </c>
      <c r="FB56" s="208">
        <v>0</v>
      </c>
      <c r="FC56" s="208">
        <v>0</v>
      </c>
      <c r="FD56" s="208">
        <v>0</v>
      </c>
      <c r="FE56" s="208">
        <v>0</v>
      </c>
      <c r="FF56" s="208">
        <v>0</v>
      </c>
      <c r="FG56" s="208">
        <v>0</v>
      </c>
      <c r="FH56" s="208">
        <v>0</v>
      </c>
      <c r="FI56" s="208">
        <v>0</v>
      </c>
      <c r="FJ56" s="208">
        <v>720645.05975000001</v>
      </c>
      <c r="FK56" s="208">
        <v>162145.13844374998</v>
      </c>
      <c r="FL56" s="208">
        <v>18016.126493750002</v>
      </c>
      <c r="FM56" s="208">
        <v>714917</v>
      </c>
      <c r="FN56" s="208">
        <v>160856</v>
      </c>
      <c r="FO56" s="208">
        <v>17873</v>
      </c>
      <c r="FP56" s="208">
        <v>5728</v>
      </c>
      <c r="FQ56" s="208">
        <v>1289</v>
      </c>
      <c r="FR56" s="208">
        <v>143</v>
      </c>
      <c r="FS56" s="208">
        <v>0</v>
      </c>
      <c r="FT56" s="208">
        <v>0</v>
      </c>
      <c r="FU56" s="208">
        <v>0</v>
      </c>
      <c r="FV56" s="208">
        <v>0</v>
      </c>
      <c r="FW56" s="208">
        <v>0</v>
      </c>
      <c r="FX56" s="208">
        <v>0</v>
      </c>
      <c r="FY56" s="208">
        <v>0</v>
      </c>
      <c r="FZ56" s="208">
        <v>0</v>
      </c>
      <c r="GA56" s="208">
        <v>0</v>
      </c>
      <c r="GB56" s="208">
        <v>2520733</v>
      </c>
      <c r="GC56" s="208">
        <v>567165</v>
      </c>
      <c r="GD56" s="208">
        <v>63020</v>
      </c>
      <c r="GE56" s="664">
        <v>0.5</v>
      </c>
      <c r="GF56" s="664">
        <v>0.4</v>
      </c>
      <c r="GG56" s="664">
        <v>0.09</v>
      </c>
      <c r="GH56" s="664">
        <v>0.01</v>
      </c>
      <c r="GI56" s="187" t="s">
        <v>1054</v>
      </c>
    </row>
    <row r="57" spans="2:191" s="187" customFormat="1" x14ac:dyDescent="0.2">
      <c r="B57" s="429" t="s">
        <v>193</v>
      </c>
      <c r="C57" s="429" t="s">
        <v>192</v>
      </c>
      <c r="D57" s="208">
        <v>-1195817</v>
      </c>
      <c r="E57" s="208">
        <v>0</v>
      </c>
      <c r="F57" s="208">
        <v>-1195817</v>
      </c>
      <c r="G57" s="208">
        <v>-1401333</v>
      </c>
      <c r="H57" s="208">
        <v>0</v>
      </c>
      <c r="I57" s="208">
        <v>-1401333</v>
      </c>
      <c r="J57" s="208">
        <v>205516</v>
      </c>
      <c r="K57" s="208">
        <v>0</v>
      </c>
      <c r="L57" s="208">
        <v>205516</v>
      </c>
      <c r="M57" s="208">
        <v>170056</v>
      </c>
      <c r="N57" s="208">
        <v>170056</v>
      </c>
      <c r="O57" s="208">
        <v>0</v>
      </c>
      <c r="P57" s="208">
        <v>0</v>
      </c>
      <c r="Q57" s="208">
        <v>0</v>
      </c>
      <c r="R57" s="208">
        <v>0</v>
      </c>
      <c r="S57" s="208">
        <v>0</v>
      </c>
      <c r="T57" s="208">
        <v>0</v>
      </c>
      <c r="U57" s="208">
        <v>0</v>
      </c>
      <c r="V57" s="208">
        <v>0</v>
      </c>
      <c r="W57" s="208">
        <v>0</v>
      </c>
      <c r="X57" s="208">
        <v>0</v>
      </c>
      <c r="Y57" s="208">
        <v>0</v>
      </c>
      <c r="Z57" s="208">
        <v>0</v>
      </c>
      <c r="AA57" s="208">
        <v>0</v>
      </c>
      <c r="AB57" s="208">
        <v>0</v>
      </c>
      <c r="AC57" s="208">
        <v>0</v>
      </c>
      <c r="AD57" s="208">
        <v>0</v>
      </c>
      <c r="AE57" s="208">
        <v>0</v>
      </c>
      <c r="AF57" s="208">
        <v>0</v>
      </c>
      <c r="AG57" s="208">
        <v>0</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H57" s="208">
        <v>0</v>
      </c>
      <c r="BI57" s="208">
        <v>0</v>
      </c>
      <c r="BJ57" s="208">
        <v>0</v>
      </c>
      <c r="BK57" s="208">
        <v>0</v>
      </c>
      <c r="BL57" s="208">
        <v>0</v>
      </c>
      <c r="BM57" s="208">
        <v>0</v>
      </c>
      <c r="BN57" s="208">
        <v>0</v>
      </c>
      <c r="BO57" s="208">
        <v>1364001.2186072916</v>
      </c>
      <c r="BP57" s="208">
        <v>1364001.2186072916</v>
      </c>
      <c r="BQ57" s="208">
        <v>0</v>
      </c>
      <c r="BR57" s="208">
        <v>119908</v>
      </c>
      <c r="BS57" s="208">
        <v>119908</v>
      </c>
      <c r="BT57" s="208">
        <v>0</v>
      </c>
      <c r="BU57" s="208">
        <v>1316221</v>
      </c>
      <c r="BV57" s="208">
        <v>1316221</v>
      </c>
      <c r="BW57" s="208">
        <v>0</v>
      </c>
      <c r="BX57" s="208">
        <v>167688</v>
      </c>
      <c r="BY57" s="208">
        <v>167688</v>
      </c>
      <c r="BZ57" s="208">
        <v>0</v>
      </c>
      <c r="CA57" s="208">
        <v>1424.4114583333333</v>
      </c>
      <c r="CB57" s="208">
        <v>1424.4114583333333</v>
      </c>
      <c r="CC57" s="208">
        <v>0</v>
      </c>
      <c r="CD57" s="208">
        <v>0</v>
      </c>
      <c r="CE57" s="208">
        <v>0</v>
      </c>
      <c r="CF57" s="208">
        <v>0</v>
      </c>
      <c r="CG57" s="208">
        <v>1424</v>
      </c>
      <c r="CH57" s="208">
        <v>1424</v>
      </c>
      <c r="CI57" s="208">
        <v>0</v>
      </c>
      <c r="CJ57" s="208">
        <v>0</v>
      </c>
      <c r="CK57" s="208">
        <v>0</v>
      </c>
      <c r="CL57" s="208">
        <v>0</v>
      </c>
      <c r="CM57" s="208">
        <v>-1905.1822916666667</v>
      </c>
      <c r="CN57" s="208">
        <v>-1905.1822916666667</v>
      </c>
      <c r="CO57" s="208">
        <v>0</v>
      </c>
      <c r="CP57" s="208">
        <v>37.84791666666667</v>
      </c>
      <c r="CQ57" s="208">
        <v>37.84791666666667</v>
      </c>
      <c r="CR57" s="208">
        <v>0</v>
      </c>
      <c r="CS57" s="208">
        <v>0</v>
      </c>
      <c r="CT57" s="208">
        <v>0</v>
      </c>
      <c r="CU57" s="208">
        <v>0</v>
      </c>
      <c r="CV57" s="208">
        <v>0</v>
      </c>
      <c r="CW57" s="208">
        <v>0</v>
      </c>
      <c r="CX57" s="208">
        <v>0</v>
      </c>
      <c r="CY57" s="208">
        <v>0</v>
      </c>
      <c r="CZ57" s="208">
        <v>0</v>
      </c>
      <c r="DA57" s="208">
        <v>0</v>
      </c>
      <c r="DB57" s="208">
        <v>0</v>
      </c>
      <c r="DC57" s="208">
        <v>0</v>
      </c>
      <c r="DD57" s="208">
        <v>0</v>
      </c>
      <c r="DE57" s="208">
        <v>0</v>
      </c>
      <c r="DF57" s="208">
        <v>0</v>
      </c>
      <c r="DG57" s="208">
        <v>0</v>
      </c>
      <c r="DH57" s="208">
        <v>0</v>
      </c>
      <c r="DI57" s="208">
        <v>0</v>
      </c>
      <c r="DJ57" s="208">
        <v>0</v>
      </c>
      <c r="DK57" s="208">
        <v>0</v>
      </c>
      <c r="DL57" s="208">
        <v>0</v>
      </c>
      <c r="DM57" s="208">
        <v>0</v>
      </c>
      <c r="DN57" s="208">
        <v>0</v>
      </c>
      <c r="DO57" s="208">
        <v>0</v>
      </c>
      <c r="DP57" s="208">
        <v>0</v>
      </c>
      <c r="DQ57" s="208">
        <v>767</v>
      </c>
      <c r="DR57" s="208">
        <v>767</v>
      </c>
      <c r="DS57" s="208">
        <v>0</v>
      </c>
      <c r="DT57" s="208">
        <v>-767</v>
      </c>
      <c r="DU57" s="208">
        <v>-767</v>
      </c>
      <c r="DV57" s="208">
        <v>0</v>
      </c>
      <c r="DW57" s="208">
        <v>6941.5124999999998</v>
      </c>
      <c r="DX57" s="208">
        <v>6941.5124999999998</v>
      </c>
      <c r="DY57" s="208">
        <v>0</v>
      </c>
      <c r="DZ57" s="208">
        <v>7455</v>
      </c>
      <c r="EA57" s="208">
        <v>7456</v>
      </c>
      <c r="EB57" s="208">
        <v>0</v>
      </c>
      <c r="EC57" s="208">
        <v>-513</v>
      </c>
      <c r="ED57" s="208">
        <v>-514</v>
      </c>
      <c r="EE57" s="208">
        <v>0</v>
      </c>
      <c r="EF57" s="208">
        <v>66465.54479166666</v>
      </c>
      <c r="EG57" s="208">
        <v>66465.54479166666</v>
      </c>
      <c r="EH57" s="208">
        <v>0</v>
      </c>
      <c r="EI57" s="208">
        <v>15668.526041666666</v>
      </c>
      <c r="EJ57" s="208">
        <v>15668.526041666666</v>
      </c>
      <c r="EK57" s="208">
        <v>0</v>
      </c>
      <c r="EL57" s="208">
        <v>67263</v>
      </c>
      <c r="EM57" s="208">
        <v>67263</v>
      </c>
      <c r="EN57" s="208">
        <v>0</v>
      </c>
      <c r="EO57" s="208">
        <v>14871</v>
      </c>
      <c r="EP57" s="208">
        <v>14871</v>
      </c>
      <c r="EQ57" s="208">
        <v>0</v>
      </c>
      <c r="ER57" s="208">
        <v>15133.540625</v>
      </c>
      <c r="ES57" s="208">
        <v>15133.540625</v>
      </c>
      <c r="ET57" s="208">
        <v>0</v>
      </c>
      <c r="EU57" s="208">
        <v>16878</v>
      </c>
      <c r="EV57" s="208">
        <v>16878</v>
      </c>
      <c r="EW57" s="208">
        <v>0</v>
      </c>
      <c r="EX57" s="208">
        <v>-1744</v>
      </c>
      <c r="EY57" s="208">
        <v>-1744</v>
      </c>
      <c r="EZ57" s="208">
        <v>0</v>
      </c>
      <c r="FA57" s="208">
        <v>0</v>
      </c>
      <c r="FB57" s="208">
        <v>0</v>
      </c>
      <c r="FC57" s="208">
        <v>0</v>
      </c>
      <c r="FD57" s="208">
        <v>0</v>
      </c>
      <c r="FE57" s="208">
        <v>0</v>
      </c>
      <c r="FF57" s="208">
        <v>0</v>
      </c>
      <c r="FG57" s="208">
        <v>0</v>
      </c>
      <c r="FH57" s="208">
        <v>0</v>
      </c>
      <c r="FI57" s="208">
        <v>0</v>
      </c>
      <c r="FJ57" s="208">
        <v>609047.90833333333</v>
      </c>
      <c r="FK57" s="208">
        <v>609047.90833333333</v>
      </c>
      <c r="FL57" s="208">
        <v>0</v>
      </c>
      <c r="FM57" s="208">
        <v>622840</v>
      </c>
      <c r="FN57" s="208">
        <v>622840</v>
      </c>
      <c r="FO57" s="208">
        <v>0</v>
      </c>
      <c r="FP57" s="208">
        <v>-13792</v>
      </c>
      <c r="FQ57" s="208">
        <v>-13792</v>
      </c>
      <c r="FR57" s="208">
        <v>0</v>
      </c>
      <c r="FS57" s="208">
        <v>0</v>
      </c>
      <c r="FT57" s="208">
        <v>0</v>
      </c>
      <c r="FU57" s="208">
        <v>0</v>
      </c>
      <c r="FV57" s="208">
        <v>0</v>
      </c>
      <c r="FW57" s="208">
        <v>0</v>
      </c>
      <c r="FX57" s="208">
        <v>0</v>
      </c>
      <c r="FY57" s="208">
        <v>0</v>
      </c>
      <c r="FZ57" s="208">
        <v>0</v>
      </c>
      <c r="GA57" s="208">
        <v>0</v>
      </c>
      <c r="GB57" s="208">
        <v>2196725</v>
      </c>
      <c r="GC57" s="208">
        <v>2196725</v>
      </c>
      <c r="GD57" s="208">
        <v>0</v>
      </c>
      <c r="GE57" s="664">
        <v>0</v>
      </c>
      <c r="GF57" s="664">
        <v>0.5</v>
      </c>
      <c r="GG57" s="664">
        <v>0.5</v>
      </c>
      <c r="GH57" s="664">
        <v>0</v>
      </c>
      <c r="GI57" s="187" t="s">
        <v>1054</v>
      </c>
    </row>
    <row r="58" spans="2:191" s="187" customFormat="1" x14ac:dyDescent="0.2">
      <c r="B58" s="429" t="s">
        <v>195</v>
      </c>
      <c r="C58" s="429" t="s">
        <v>194</v>
      </c>
      <c r="D58" s="208">
        <v>4121246</v>
      </c>
      <c r="E58" s="208">
        <v>0</v>
      </c>
      <c r="F58" s="208">
        <v>4121246</v>
      </c>
      <c r="G58" s="208">
        <v>3386821</v>
      </c>
      <c r="H58" s="208">
        <v>0</v>
      </c>
      <c r="I58" s="208">
        <v>3386821</v>
      </c>
      <c r="J58" s="208">
        <v>734425</v>
      </c>
      <c r="K58" s="208">
        <v>0</v>
      </c>
      <c r="L58" s="208">
        <v>734425</v>
      </c>
      <c r="M58" s="208">
        <v>227084</v>
      </c>
      <c r="N58" s="208">
        <v>227084</v>
      </c>
      <c r="O58" s="208">
        <v>0</v>
      </c>
      <c r="P58" s="208">
        <v>0</v>
      </c>
      <c r="Q58" s="208">
        <v>0</v>
      </c>
      <c r="R58" s="208">
        <v>0</v>
      </c>
      <c r="S58" s="208">
        <v>261758</v>
      </c>
      <c r="T58" s="208">
        <v>237873</v>
      </c>
      <c r="U58" s="208">
        <v>251610</v>
      </c>
      <c r="V58" s="208">
        <v>237873</v>
      </c>
      <c r="W58" s="208">
        <v>10148</v>
      </c>
      <c r="X58" s="208">
        <v>0</v>
      </c>
      <c r="Y58" s="208">
        <v>0</v>
      </c>
      <c r="Z58" s="208">
        <v>0</v>
      </c>
      <c r="AA58" s="208">
        <v>0</v>
      </c>
      <c r="AB58" s="208">
        <v>0</v>
      </c>
      <c r="AC58" s="208">
        <v>0</v>
      </c>
      <c r="AD58" s="208">
        <v>0</v>
      </c>
      <c r="AE58" s="208">
        <v>0</v>
      </c>
      <c r="AF58" s="208">
        <v>0</v>
      </c>
      <c r="AG58" s="208">
        <v>0</v>
      </c>
      <c r="AH58" s="208">
        <v>0</v>
      </c>
      <c r="AI58" s="208">
        <v>0</v>
      </c>
      <c r="AJ58" s="208">
        <v>0</v>
      </c>
      <c r="AK58" s="208">
        <v>0</v>
      </c>
      <c r="AL58" s="208">
        <v>0</v>
      </c>
      <c r="AM58" s="208">
        <v>0</v>
      </c>
      <c r="AN58" s="208">
        <v>0</v>
      </c>
      <c r="AO58" s="208">
        <v>0</v>
      </c>
      <c r="AP58" s="208">
        <v>0</v>
      </c>
      <c r="AQ58" s="208">
        <v>0</v>
      </c>
      <c r="AR58" s="208">
        <v>0</v>
      </c>
      <c r="AS58" s="208">
        <v>0</v>
      </c>
      <c r="AT58" s="208">
        <v>0</v>
      </c>
      <c r="AU58" s="208">
        <v>0</v>
      </c>
      <c r="AV58" s="208">
        <v>0</v>
      </c>
      <c r="AW58" s="208">
        <v>0</v>
      </c>
      <c r="AX58" s="208">
        <v>0</v>
      </c>
      <c r="AY58" s="208">
        <v>0</v>
      </c>
      <c r="AZ58" s="208">
        <v>0</v>
      </c>
      <c r="BA58" s="208">
        <v>0</v>
      </c>
      <c r="BB58" s="208">
        <v>0</v>
      </c>
      <c r="BC58" s="208">
        <v>0</v>
      </c>
      <c r="BD58" s="208">
        <v>0</v>
      </c>
      <c r="BE58" s="208">
        <v>0</v>
      </c>
      <c r="BF58" s="208">
        <v>0</v>
      </c>
      <c r="BG58" s="208">
        <v>0</v>
      </c>
      <c r="BH58" s="208">
        <v>0</v>
      </c>
      <c r="BI58" s="208">
        <v>0</v>
      </c>
      <c r="BJ58" s="208">
        <v>0</v>
      </c>
      <c r="BK58" s="208">
        <v>0</v>
      </c>
      <c r="BL58" s="208">
        <v>0</v>
      </c>
      <c r="BM58" s="208">
        <v>0</v>
      </c>
      <c r="BN58" s="208">
        <v>0</v>
      </c>
      <c r="BO58" s="208">
        <v>1302448.1949983335</v>
      </c>
      <c r="BP58" s="208">
        <v>325612.04874958337</v>
      </c>
      <c r="BQ58" s="208">
        <v>0</v>
      </c>
      <c r="BR58" s="208">
        <v>138889</v>
      </c>
      <c r="BS58" s="208">
        <v>34722</v>
      </c>
      <c r="BT58" s="208">
        <v>0</v>
      </c>
      <c r="BU58" s="208">
        <v>1091866</v>
      </c>
      <c r="BV58" s="208">
        <v>272966</v>
      </c>
      <c r="BW58" s="208">
        <v>0</v>
      </c>
      <c r="BX58" s="208">
        <v>349471</v>
      </c>
      <c r="BY58" s="208">
        <v>87368</v>
      </c>
      <c r="BZ58" s="208">
        <v>0</v>
      </c>
      <c r="CA58" s="208">
        <v>1424.3091666666669</v>
      </c>
      <c r="CB58" s="208">
        <v>356.07729166666672</v>
      </c>
      <c r="CC58" s="208">
        <v>0</v>
      </c>
      <c r="CD58" s="208">
        <v>1139</v>
      </c>
      <c r="CE58" s="208">
        <v>285</v>
      </c>
      <c r="CF58" s="208">
        <v>0</v>
      </c>
      <c r="CG58" s="208">
        <v>285</v>
      </c>
      <c r="CH58" s="208">
        <v>71</v>
      </c>
      <c r="CI58" s="208">
        <v>0</v>
      </c>
      <c r="CJ58" s="208">
        <v>0</v>
      </c>
      <c r="CK58" s="208">
        <v>0</v>
      </c>
      <c r="CL58" s="208">
        <v>0</v>
      </c>
      <c r="CM58" s="208">
        <v>-6277.4350000000004</v>
      </c>
      <c r="CN58" s="208">
        <v>-1569.3587500000001</v>
      </c>
      <c r="CO58" s="208">
        <v>0</v>
      </c>
      <c r="CP58" s="208">
        <v>-430.85249999999996</v>
      </c>
      <c r="CQ58" s="208">
        <v>-107.71312499999999</v>
      </c>
      <c r="CR58" s="208">
        <v>0</v>
      </c>
      <c r="CS58" s="208">
        <v>0</v>
      </c>
      <c r="CT58" s="208">
        <v>0</v>
      </c>
      <c r="CU58" s="208">
        <v>0</v>
      </c>
      <c r="CV58" s="208">
        <v>0</v>
      </c>
      <c r="CW58" s="208">
        <v>0</v>
      </c>
      <c r="CX58" s="208">
        <v>0</v>
      </c>
      <c r="CY58" s="208">
        <v>0</v>
      </c>
      <c r="CZ58" s="208">
        <v>0</v>
      </c>
      <c r="DA58" s="208">
        <v>0</v>
      </c>
      <c r="DB58" s="208">
        <v>0</v>
      </c>
      <c r="DC58" s="208">
        <v>0</v>
      </c>
      <c r="DD58" s="208">
        <v>0</v>
      </c>
      <c r="DE58" s="208">
        <v>22371.1875</v>
      </c>
      <c r="DF58" s="208">
        <v>5592.796875</v>
      </c>
      <c r="DG58" s="208">
        <v>0</v>
      </c>
      <c r="DH58" s="208">
        <v>22617</v>
      </c>
      <c r="DI58" s="208">
        <v>5654</v>
      </c>
      <c r="DJ58" s="208">
        <v>0</v>
      </c>
      <c r="DK58" s="208">
        <v>-246</v>
      </c>
      <c r="DL58" s="208">
        <v>-61</v>
      </c>
      <c r="DM58" s="208">
        <v>0</v>
      </c>
      <c r="DN58" s="208">
        <v>686.9908333333334</v>
      </c>
      <c r="DO58" s="208">
        <v>171.74770833333335</v>
      </c>
      <c r="DP58" s="208">
        <v>0</v>
      </c>
      <c r="DQ58" s="208">
        <v>614</v>
      </c>
      <c r="DR58" s="208">
        <v>153</v>
      </c>
      <c r="DS58" s="208">
        <v>0</v>
      </c>
      <c r="DT58" s="208">
        <v>73</v>
      </c>
      <c r="DU58" s="208">
        <v>19</v>
      </c>
      <c r="DV58" s="208">
        <v>0</v>
      </c>
      <c r="DW58" s="208">
        <v>20743.113333333338</v>
      </c>
      <c r="DX58" s="208">
        <v>5185.7783333333346</v>
      </c>
      <c r="DY58" s="208">
        <v>0</v>
      </c>
      <c r="DZ58" s="208">
        <v>21750</v>
      </c>
      <c r="EA58" s="208">
        <v>5438</v>
      </c>
      <c r="EB58" s="208">
        <v>0</v>
      </c>
      <c r="EC58" s="208">
        <v>-1007</v>
      </c>
      <c r="ED58" s="208">
        <v>-252</v>
      </c>
      <c r="EE58" s="208">
        <v>0</v>
      </c>
      <c r="EF58" s="208">
        <v>137516.00666666668</v>
      </c>
      <c r="EG58" s="208">
        <v>34379.001666666671</v>
      </c>
      <c r="EH58" s="208">
        <v>0</v>
      </c>
      <c r="EI58" s="208">
        <v>5484.060833333333</v>
      </c>
      <c r="EJ58" s="208">
        <v>1371.0152083333332</v>
      </c>
      <c r="EK58" s="208">
        <v>0</v>
      </c>
      <c r="EL58" s="208">
        <v>143208</v>
      </c>
      <c r="EM58" s="208">
        <v>35802</v>
      </c>
      <c r="EN58" s="208">
        <v>0</v>
      </c>
      <c r="EO58" s="208">
        <v>-208</v>
      </c>
      <c r="EP58" s="208">
        <v>-52</v>
      </c>
      <c r="EQ58" s="208">
        <v>0</v>
      </c>
      <c r="ER58" s="208">
        <v>21636.324166666669</v>
      </c>
      <c r="ES58" s="208">
        <v>5409.0810416666673</v>
      </c>
      <c r="ET58" s="208">
        <v>0</v>
      </c>
      <c r="EU58" s="208">
        <v>28024</v>
      </c>
      <c r="EV58" s="208">
        <v>7006</v>
      </c>
      <c r="EW58" s="208">
        <v>0</v>
      </c>
      <c r="EX58" s="208">
        <v>-6388</v>
      </c>
      <c r="EY58" s="208">
        <v>-1597</v>
      </c>
      <c r="EZ58" s="208">
        <v>0</v>
      </c>
      <c r="FA58" s="208">
        <v>0</v>
      </c>
      <c r="FB58" s="208">
        <v>0</v>
      </c>
      <c r="FC58" s="208">
        <v>0</v>
      </c>
      <c r="FD58" s="208">
        <v>0</v>
      </c>
      <c r="FE58" s="208">
        <v>0</v>
      </c>
      <c r="FF58" s="208">
        <v>0</v>
      </c>
      <c r="FG58" s="208">
        <v>0</v>
      </c>
      <c r="FH58" s="208">
        <v>0</v>
      </c>
      <c r="FI58" s="208">
        <v>0</v>
      </c>
      <c r="FJ58" s="208">
        <v>860557.71083333332</v>
      </c>
      <c r="FK58" s="208">
        <v>219091.02875</v>
      </c>
      <c r="FL58" s="208">
        <v>0</v>
      </c>
      <c r="FM58" s="208">
        <v>854338</v>
      </c>
      <c r="FN58" s="208">
        <v>217594</v>
      </c>
      <c r="FO58" s="208">
        <v>0</v>
      </c>
      <c r="FP58" s="208">
        <v>6220</v>
      </c>
      <c r="FQ58" s="208">
        <v>1497</v>
      </c>
      <c r="FR58" s="208">
        <v>0</v>
      </c>
      <c r="FS58" s="208">
        <v>0</v>
      </c>
      <c r="FT58" s="208">
        <v>0</v>
      </c>
      <c r="FU58" s="208">
        <v>0</v>
      </c>
      <c r="FV58" s="208">
        <v>0</v>
      </c>
      <c r="FW58" s="208">
        <v>0</v>
      </c>
      <c r="FX58" s="208">
        <v>0</v>
      </c>
      <c r="FY58" s="208">
        <v>0</v>
      </c>
      <c r="FZ58" s="208">
        <v>0</v>
      </c>
      <c r="GA58" s="208">
        <v>0</v>
      </c>
      <c r="GB58" s="208">
        <v>2505048</v>
      </c>
      <c r="GC58" s="208">
        <v>630214</v>
      </c>
      <c r="GD58" s="208">
        <v>0</v>
      </c>
      <c r="GE58" s="664">
        <v>0.5</v>
      </c>
      <c r="GF58" s="664">
        <v>0.4</v>
      </c>
      <c r="GG58" s="664">
        <v>0.1</v>
      </c>
      <c r="GH58" s="664">
        <v>0</v>
      </c>
      <c r="GI58" s="187" t="s">
        <v>1054</v>
      </c>
    </row>
    <row r="59" spans="2:191" s="187" customFormat="1" x14ac:dyDescent="0.2">
      <c r="B59" s="429" t="s">
        <v>197</v>
      </c>
      <c r="C59" s="429" t="s">
        <v>196</v>
      </c>
      <c r="D59" s="208">
        <v>-1262731</v>
      </c>
      <c r="E59" s="208">
        <v>392790</v>
      </c>
      <c r="F59" s="208">
        <v>-869941</v>
      </c>
      <c r="G59" s="208">
        <v>-1870354</v>
      </c>
      <c r="H59" s="208">
        <v>-87551</v>
      </c>
      <c r="I59" s="208">
        <v>-1957905</v>
      </c>
      <c r="J59" s="208">
        <v>607623</v>
      </c>
      <c r="K59" s="208">
        <v>480341</v>
      </c>
      <c r="L59" s="208">
        <v>1087964</v>
      </c>
      <c r="M59" s="208">
        <v>566053</v>
      </c>
      <c r="N59" s="208">
        <v>566053</v>
      </c>
      <c r="O59" s="208">
        <v>0</v>
      </c>
      <c r="P59" s="208">
        <v>175012</v>
      </c>
      <c r="Q59" s="208">
        <v>6673</v>
      </c>
      <c r="R59" s="208">
        <v>168339</v>
      </c>
      <c r="S59" s="208">
        <v>129799</v>
      </c>
      <c r="T59" s="208">
        <v>0</v>
      </c>
      <c r="U59" s="208">
        <v>89372</v>
      </c>
      <c r="V59" s="208">
        <v>0</v>
      </c>
      <c r="W59" s="208">
        <v>40427</v>
      </c>
      <c r="X59" s="208">
        <v>0</v>
      </c>
      <c r="Y59" s="208">
        <v>0</v>
      </c>
      <c r="Z59" s="208">
        <v>0</v>
      </c>
      <c r="AA59" s="208">
        <v>0</v>
      </c>
      <c r="AB59" s="208">
        <v>0</v>
      </c>
      <c r="AC59" s="208">
        <v>0</v>
      </c>
      <c r="AD59" s="208">
        <v>0</v>
      </c>
      <c r="AE59" s="208">
        <v>0</v>
      </c>
      <c r="AF59" s="208">
        <v>0</v>
      </c>
      <c r="AG59" s="208">
        <v>0</v>
      </c>
      <c r="AH59" s="208">
        <v>180855</v>
      </c>
      <c r="AI59" s="208">
        <v>180854.73541666666</v>
      </c>
      <c r="AJ59" s="208">
        <v>0</v>
      </c>
      <c r="AK59" s="208">
        <v>0</v>
      </c>
      <c r="AL59" s="208">
        <v>554097</v>
      </c>
      <c r="AM59" s="208">
        <v>554097</v>
      </c>
      <c r="AN59" s="208">
        <v>0</v>
      </c>
      <c r="AO59" s="208">
        <v>0</v>
      </c>
      <c r="AP59" s="208">
        <v>-373242</v>
      </c>
      <c r="AQ59" s="208">
        <v>-373242</v>
      </c>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c r="BL59" s="208">
        <v>0</v>
      </c>
      <c r="BM59" s="208">
        <v>0</v>
      </c>
      <c r="BN59" s="208">
        <v>0</v>
      </c>
      <c r="BO59" s="208">
        <v>5114335.979460543</v>
      </c>
      <c r="BP59" s="208">
        <v>0</v>
      </c>
      <c r="BQ59" s="208">
        <v>104241.49450404168</v>
      </c>
      <c r="BR59" s="208">
        <v>356898</v>
      </c>
      <c r="BS59" s="208">
        <v>0</v>
      </c>
      <c r="BT59" s="208">
        <v>7236</v>
      </c>
      <c r="BU59" s="208">
        <v>4785592</v>
      </c>
      <c r="BV59" s="208">
        <v>0</v>
      </c>
      <c r="BW59" s="208">
        <v>97335</v>
      </c>
      <c r="BX59" s="208">
        <v>685642</v>
      </c>
      <c r="BY59" s="208">
        <v>0</v>
      </c>
      <c r="BZ59" s="208">
        <v>14142</v>
      </c>
      <c r="CA59" s="208">
        <v>55054.571812499998</v>
      </c>
      <c r="CB59" s="208">
        <v>0</v>
      </c>
      <c r="CC59" s="208">
        <v>1112.2479791666667</v>
      </c>
      <c r="CD59" s="208">
        <v>27302</v>
      </c>
      <c r="CE59" s="208">
        <v>0</v>
      </c>
      <c r="CF59" s="208">
        <v>557</v>
      </c>
      <c r="CG59" s="208">
        <v>27753</v>
      </c>
      <c r="CH59" s="208">
        <v>0</v>
      </c>
      <c r="CI59" s="208">
        <v>555</v>
      </c>
      <c r="CJ59" s="208">
        <v>0</v>
      </c>
      <c r="CK59" s="208">
        <v>0</v>
      </c>
      <c r="CL59" s="208">
        <v>0</v>
      </c>
      <c r="CM59" s="208">
        <v>0</v>
      </c>
      <c r="CN59" s="208">
        <v>0</v>
      </c>
      <c r="CO59" s="208">
        <v>0</v>
      </c>
      <c r="CP59" s="208">
        <v>-751.84375</v>
      </c>
      <c r="CQ59" s="208">
        <v>0</v>
      </c>
      <c r="CR59" s="208">
        <v>-15.34375</v>
      </c>
      <c r="CS59" s="208">
        <v>0</v>
      </c>
      <c r="CT59" s="208">
        <v>0</v>
      </c>
      <c r="CU59" s="208">
        <v>0</v>
      </c>
      <c r="CV59" s="208">
        <v>0</v>
      </c>
      <c r="CW59" s="208">
        <v>0</v>
      </c>
      <c r="CX59" s="208">
        <v>0</v>
      </c>
      <c r="CY59" s="208">
        <v>0</v>
      </c>
      <c r="CZ59" s="208">
        <v>0</v>
      </c>
      <c r="DA59" s="208">
        <v>0</v>
      </c>
      <c r="DB59" s="208">
        <v>0</v>
      </c>
      <c r="DC59" s="208">
        <v>0</v>
      </c>
      <c r="DD59" s="208">
        <v>0</v>
      </c>
      <c r="DE59" s="208">
        <v>6827.7437083333334</v>
      </c>
      <c r="DF59" s="208">
        <v>0</v>
      </c>
      <c r="DG59" s="208">
        <v>139.34170833333334</v>
      </c>
      <c r="DH59" s="208">
        <v>7402</v>
      </c>
      <c r="DI59" s="208">
        <v>0</v>
      </c>
      <c r="DJ59" s="208">
        <v>151</v>
      </c>
      <c r="DK59" s="208">
        <v>-574</v>
      </c>
      <c r="DL59" s="208">
        <v>0</v>
      </c>
      <c r="DM59" s="208">
        <v>-12</v>
      </c>
      <c r="DN59" s="208">
        <v>751.84375</v>
      </c>
      <c r="DO59" s="208">
        <v>0</v>
      </c>
      <c r="DP59" s="208">
        <v>15.34375</v>
      </c>
      <c r="DQ59" s="208">
        <v>752</v>
      </c>
      <c r="DR59" s="208">
        <v>0</v>
      </c>
      <c r="DS59" s="208">
        <v>15</v>
      </c>
      <c r="DT59" s="208">
        <v>0</v>
      </c>
      <c r="DU59" s="208">
        <v>0</v>
      </c>
      <c r="DV59" s="208">
        <v>0</v>
      </c>
      <c r="DW59" s="208">
        <v>29661.23839583333</v>
      </c>
      <c r="DX59" s="208">
        <v>0</v>
      </c>
      <c r="DY59" s="208">
        <v>605.33139583333332</v>
      </c>
      <c r="DZ59" s="208">
        <v>32648</v>
      </c>
      <c r="EA59" s="208">
        <v>0</v>
      </c>
      <c r="EB59" s="208">
        <v>666</v>
      </c>
      <c r="EC59" s="208">
        <v>-2987</v>
      </c>
      <c r="ED59" s="208">
        <v>0</v>
      </c>
      <c r="EE59" s="208">
        <v>-61</v>
      </c>
      <c r="EF59" s="208">
        <v>179228.52295833334</v>
      </c>
      <c r="EG59" s="208">
        <v>0</v>
      </c>
      <c r="EH59" s="208">
        <v>3657.7249583333337</v>
      </c>
      <c r="EI59" s="208">
        <v>-3012.3872916666669</v>
      </c>
      <c r="EJ59" s="208">
        <v>0</v>
      </c>
      <c r="EK59" s="208">
        <v>-61.477291666666673</v>
      </c>
      <c r="EL59" s="208">
        <v>184183</v>
      </c>
      <c r="EM59" s="208">
        <v>0</v>
      </c>
      <c r="EN59" s="208">
        <v>3759</v>
      </c>
      <c r="EO59" s="208">
        <v>-7967</v>
      </c>
      <c r="EP59" s="208">
        <v>0</v>
      </c>
      <c r="EQ59" s="208">
        <v>-163</v>
      </c>
      <c r="ER59" s="208">
        <v>92917.862916666665</v>
      </c>
      <c r="ES59" s="208">
        <v>0</v>
      </c>
      <c r="ET59" s="208">
        <v>1896.2829166666668</v>
      </c>
      <c r="EU59" s="208">
        <v>91387</v>
      </c>
      <c r="EV59" s="208">
        <v>0</v>
      </c>
      <c r="EW59" s="208">
        <v>1865</v>
      </c>
      <c r="EX59" s="208">
        <v>1531</v>
      </c>
      <c r="EY59" s="208">
        <v>0</v>
      </c>
      <c r="EZ59" s="208">
        <v>31</v>
      </c>
      <c r="FA59" s="208">
        <v>0</v>
      </c>
      <c r="FB59" s="208">
        <v>0</v>
      </c>
      <c r="FC59" s="208">
        <v>0</v>
      </c>
      <c r="FD59" s="208">
        <v>0</v>
      </c>
      <c r="FE59" s="208">
        <v>0</v>
      </c>
      <c r="FF59" s="208">
        <v>0</v>
      </c>
      <c r="FG59" s="208">
        <v>0</v>
      </c>
      <c r="FH59" s="208">
        <v>0</v>
      </c>
      <c r="FI59" s="208">
        <v>0</v>
      </c>
      <c r="FJ59" s="208">
        <v>1529646.0696458332</v>
      </c>
      <c r="FK59" s="208">
        <v>0</v>
      </c>
      <c r="FL59" s="208">
        <v>31074.7105625</v>
      </c>
      <c r="FM59" s="208">
        <v>1539411</v>
      </c>
      <c r="FN59" s="208">
        <v>0</v>
      </c>
      <c r="FO59" s="208">
        <v>31112</v>
      </c>
      <c r="FP59" s="208">
        <v>-9765</v>
      </c>
      <c r="FQ59" s="208">
        <v>0</v>
      </c>
      <c r="FR59" s="208">
        <v>-37</v>
      </c>
      <c r="FS59" s="208">
        <v>0</v>
      </c>
      <c r="FT59" s="208">
        <v>0</v>
      </c>
      <c r="FU59" s="208">
        <v>0</v>
      </c>
      <c r="FV59" s="208">
        <v>0</v>
      </c>
      <c r="FW59" s="208">
        <v>0</v>
      </c>
      <c r="FX59" s="208">
        <v>0</v>
      </c>
      <c r="FY59" s="208">
        <v>0</v>
      </c>
      <c r="FZ59" s="208">
        <v>0</v>
      </c>
      <c r="GA59" s="208">
        <v>0</v>
      </c>
      <c r="GB59" s="208">
        <v>7361559</v>
      </c>
      <c r="GC59" s="208">
        <v>0</v>
      </c>
      <c r="GD59" s="208">
        <v>149901</v>
      </c>
      <c r="GE59" s="664">
        <v>0.5</v>
      </c>
      <c r="GF59" s="664">
        <v>0.49</v>
      </c>
      <c r="GG59" s="664">
        <v>0</v>
      </c>
      <c r="GH59" s="664">
        <v>0.01</v>
      </c>
      <c r="GI59" s="187" t="s">
        <v>742</v>
      </c>
    </row>
    <row r="60" spans="2:191" s="187" customFormat="1" x14ac:dyDescent="0.2">
      <c r="B60" s="429" t="s">
        <v>199</v>
      </c>
      <c r="C60" s="429" t="s">
        <v>855</v>
      </c>
      <c r="D60" s="208">
        <v>-10861875</v>
      </c>
      <c r="E60" s="208">
        <v>15</v>
      </c>
      <c r="F60" s="208">
        <v>-10861860</v>
      </c>
      <c r="G60" s="208">
        <v>-8100050</v>
      </c>
      <c r="H60" s="208">
        <v>15</v>
      </c>
      <c r="I60" s="208">
        <v>-8100035</v>
      </c>
      <c r="J60" s="208">
        <v>-2761825</v>
      </c>
      <c r="K60" s="208">
        <v>0</v>
      </c>
      <c r="L60" s="208">
        <v>-2761825</v>
      </c>
      <c r="M60" s="208">
        <v>478716</v>
      </c>
      <c r="N60" s="208">
        <v>478716</v>
      </c>
      <c r="O60" s="208">
        <v>0</v>
      </c>
      <c r="P60" s="208">
        <v>20209</v>
      </c>
      <c r="Q60" s="208">
        <v>3701</v>
      </c>
      <c r="R60" s="208">
        <v>16508</v>
      </c>
      <c r="S60" s="208">
        <v>585489</v>
      </c>
      <c r="T60" s="208">
        <v>0</v>
      </c>
      <c r="U60" s="208">
        <v>369000</v>
      </c>
      <c r="V60" s="208">
        <v>0</v>
      </c>
      <c r="W60" s="208">
        <v>216489</v>
      </c>
      <c r="X60" s="208">
        <v>0</v>
      </c>
      <c r="Y60" s="208">
        <v>0</v>
      </c>
      <c r="Z60" s="208">
        <v>0</v>
      </c>
      <c r="AA60" s="208">
        <v>0</v>
      </c>
      <c r="AB60" s="208">
        <v>0</v>
      </c>
      <c r="AC60" s="208">
        <v>0</v>
      </c>
      <c r="AD60" s="208">
        <v>0</v>
      </c>
      <c r="AE60" s="208">
        <v>0</v>
      </c>
      <c r="AF60" s="208">
        <v>0</v>
      </c>
      <c r="AG60" s="208">
        <v>0</v>
      </c>
      <c r="AH60" s="208">
        <v>210171</v>
      </c>
      <c r="AI60" s="208">
        <v>210170.50416666668</v>
      </c>
      <c r="AJ60" s="208">
        <v>0</v>
      </c>
      <c r="AK60" s="208">
        <v>0</v>
      </c>
      <c r="AL60" s="208">
        <v>191777</v>
      </c>
      <c r="AM60" s="208">
        <v>191777</v>
      </c>
      <c r="AN60" s="208">
        <v>0</v>
      </c>
      <c r="AO60" s="208">
        <v>0</v>
      </c>
      <c r="AP60" s="208">
        <v>18394</v>
      </c>
      <c r="AQ60" s="208">
        <v>18394</v>
      </c>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c r="BL60" s="208">
        <v>0</v>
      </c>
      <c r="BM60" s="208">
        <v>0</v>
      </c>
      <c r="BN60" s="208">
        <v>0</v>
      </c>
      <c r="BO60" s="208">
        <v>3736091.2563374168</v>
      </c>
      <c r="BP60" s="208">
        <v>0</v>
      </c>
      <c r="BQ60" s="208">
        <v>76246.760333416663</v>
      </c>
      <c r="BR60" s="208">
        <v>282061</v>
      </c>
      <c r="BS60" s="208">
        <v>0</v>
      </c>
      <c r="BT60" s="208">
        <v>5743</v>
      </c>
      <c r="BU60" s="208">
        <v>3705637</v>
      </c>
      <c r="BV60" s="208">
        <v>0</v>
      </c>
      <c r="BW60" s="208">
        <v>75625</v>
      </c>
      <c r="BX60" s="208">
        <v>312515</v>
      </c>
      <c r="BY60" s="208">
        <v>0</v>
      </c>
      <c r="BZ60" s="208">
        <v>6365</v>
      </c>
      <c r="CA60" s="208">
        <v>8012.6494583333333</v>
      </c>
      <c r="CB60" s="208">
        <v>0</v>
      </c>
      <c r="CC60" s="208">
        <v>163.52345833333334</v>
      </c>
      <c r="CD60" s="208">
        <v>21553</v>
      </c>
      <c r="CE60" s="208">
        <v>0</v>
      </c>
      <c r="CF60" s="208">
        <v>440</v>
      </c>
      <c r="CG60" s="208">
        <v>-13540</v>
      </c>
      <c r="CH60" s="208">
        <v>0</v>
      </c>
      <c r="CI60" s="208">
        <v>-276</v>
      </c>
      <c r="CJ60" s="208">
        <v>0</v>
      </c>
      <c r="CK60" s="208">
        <v>0</v>
      </c>
      <c r="CL60" s="208">
        <v>0</v>
      </c>
      <c r="CM60" s="208">
        <v>0</v>
      </c>
      <c r="CN60" s="208">
        <v>0</v>
      </c>
      <c r="CO60" s="208">
        <v>0</v>
      </c>
      <c r="CP60" s="208">
        <v>-1497.67275</v>
      </c>
      <c r="CQ60" s="208">
        <v>0</v>
      </c>
      <c r="CR60" s="208">
        <v>-30.56475</v>
      </c>
      <c r="CS60" s="208">
        <v>0</v>
      </c>
      <c r="CT60" s="208">
        <v>0</v>
      </c>
      <c r="CU60" s="208">
        <v>0</v>
      </c>
      <c r="CV60" s="208">
        <v>0</v>
      </c>
      <c r="CW60" s="208">
        <v>0</v>
      </c>
      <c r="CX60" s="208">
        <v>0</v>
      </c>
      <c r="CY60" s="208">
        <v>0</v>
      </c>
      <c r="CZ60" s="208">
        <v>0</v>
      </c>
      <c r="DA60" s="208">
        <v>0</v>
      </c>
      <c r="DB60" s="208">
        <v>0</v>
      </c>
      <c r="DC60" s="208">
        <v>0</v>
      </c>
      <c r="DD60" s="208">
        <v>0</v>
      </c>
      <c r="DE60" s="208">
        <v>2922.6672708333335</v>
      </c>
      <c r="DF60" s="208">
        <v>0</v>
      </c>
      <c r="DG60" s="208">
        <v>59.64627083333334</v>
      </c>
      <c r="DH60" s="208">
        <v>0</v>
      </c>
      <c r="DI60" s="208">
        <v>0</v>
      </c>
      <c r="DJ60" s="208">
        <v>0</v>
      </c>
      <c r="DK60" s="208">
        <v>2923</v>
      </c>
      <c r="DL60" s="208">
        <v>0</v>
      </c>
      <c r="DM60" s="208">
        <v>60</v>
      </c>
      <c r="DN60" s="208">
        <v>941.30837499999996</v>
      </c>
      <c r="DO60" s="208">
        <v>0</v>
      </c>
      <c r="DP60" s="208">
        <v>19.210374999999999</v>
      </c>
      <c r="DQ60" s="208">
        <v>1003</v>
      </c>
      <c r="DR60" s="208">
        <v>0</v>
      </c>
      <c r="DS60" s="208">
        <v>20</v>
      </c>
      <c r="DT60" s="208">
        <v>-62</v>
      </c>
      <c r="DU60" s="208">
        <v>0</v>
      </c>
      <c r="DV60" s="208">
        <v>-1</v>
      </c>
      <c r="DW60" s="208">
        <v>28812.657416666665</v>
      </c>
      <c r="DX60" s="208">
        <v>0</v>
      </c>
      <c r="DY60" s="208">
        <v>588.01341666666667</v>
      </c>
      <c r="DZ60" s="208">
        <v>25062</v>
      </c>
      <c r="EA60" s="208">
        <v>0</v>
      </c>
      <c r="EB60" s="208">
        <v>511</v>
      </c>
      <c r="EC60" s="208">
        <v>3751</v>
      </c>
      <c r="ED60" s="208">
        <v>0</v>
      </c>
      <c r="EE60" s="208">
        <v>77</v>
      </c>
      <c r="EF60" s="208">
        <v>220635.96458333332</v>
      </c>
      <c r="EG60" s="208">
        <v>0</v>
      </c>
      <c r="EH60" s="208">
        <v>4476.2833333333328</v>
      </c>
      <c r="EI60" s="208">
        <v>737.80933333333337</v>
      </c>
      <c r="EJ60" s="208">
        <v>0</v>
      </c>
      <c r="EK60" s="208">
        <v>15.057333333333334</v>
      </c>
      <c r="EL60" s="208">
        <v>219974</v>
      </c>
      <c r="EM60" s="208">
        <v>0</v>
      </c>
      <c r="EN60" s="208">
        <v>4489</v>
      </c>
      <c r="EO60" s="208">
        <v>1400</v>
      </c>
      <c r="EP60" s="208">
        <v>0</v>
      </c>
      <c r="EQ60" s="208">
        <v>2</v>
      </c>
      <c r="ER60" s="208">
        <v>68157.643312500004</v>
      </c>
      <c r="ES60" s="208">
        <v>0</v>
      </c>
      <c r="ET60" s="208">
        <v>1390.9723125</v>
      </c>
      <c r="EU60" s="208">
        <v>74683</v>
      </c>
      <c r="EV60" s="208">
        <v>0</v>
      </c>
      <c r="EW60" s="208">
        <v>1524</v>
      </c>
      <c r="EX60" s="208">
        <v>-6525</v>
      </c>
      <c r="EY60" s="208">
        <v>0</v>
      </c>
      <c r="EZ60" s="208">
        <v>-133</v>
      </c>
      <c r="FA60" s="208">
        <v>0</v>
      </c>
      <c r="FB60" s="208">
        <v>0</v>
      </c>
      <c r="FC60" s="208">
        <v>0</v>
      </c>
      <c r="FD60" s="208">
        <v>0</v>
      </c>
      <c r="FE60" s="208">
        <v>0</v>
      </c>
      <c r="FF60" s="208">
        <v>0</v>
      </c>
      <c r="FG60" s="208">
        <v>0</v>
      </c>
      <c r="FH60" s="208">
        <v>0</v>
      </c>
      <c r="FI60" s="208">
        <v>0</v>
      </c>
      <c r="FJ60" s="208">
        <v>1547385.0548749999</v>
      </c>
      <c r="FK60" s="208">
        <v>0</v>
      </c>
      <c r="FL60" s="208">
        <v>31296.009708333331</v>
      </c>
      <c r="FM60" s="208">
        <v>1579409</v>
      </c>
      <c r="FN60" s="208">
        <v>0</v>
      </c>
      <c r="FO60" s="208">
        <v>31969</v>
      </c>
      <c r="FP60" s="208">
        <v>-32024</v>
      </c>
      <c r="FQ60" s="208">
        <v>0</v>
      </c>
      <c r="FR60" s="208">
        <v>-673</v>
      </c>
      <c r="FS60" s="208">
        <v>0</v>
      </c>
      <c r="FT60" s="208">
        <v>0</v>
      </c>
      <c r="FU60" s="208">
        <v>0</v>
      </c>
      <c r="FV60" s="208">
        <v>0</v>
      </c>
      <c r="FW60" s="208">
        <v>0</v>
      </c>
      <c r="FX60" s="208">
        <v>0</v>
      </c>
      <c r="FY60" s="208">
        <v>0</v>
      </c>
      <c r="FZ60" s="208">
        <v>0</v>
      </c>
      <c r="GA60" s="208">
        <v>0</v>
      </c>
      <c r="GB60" s="208">
        <v>5894261</v>
      </c>
      <c r="GC60" s="208">
        <v>0</v>
      </c>
      <c r="GD60" s="208">
        <v>119968</v>
      </c>
      <c r="GE60" s="664">
        <v>0.5</v>
      </c>
      <c r="GF60" s="664">
        <v>0.49</v>
      </c>
      <c r="GG60" s="664">
        <v>0</v>
      </c>
      <c r="GH60" s="664">
        <v>0.01</v>
      </c>
      <c r="GI60" s="187" t="s">
        <v>742</v>
      </c>
    </row>
    <row r="61" spans="2:191" s="187" customFormat="1" x14ac:dyDescent="0.2">
      <c r="B61" s="429" t="s">
        <v>201</v>
      </c>
      <c r="C61" s="429" t="s">
        <v>200</v>
      </c>
      <c r="D61" s="208">
        <v>-163033</v>
      </c>
      <c r="E61" s="208">
        <v>0</v>
      </c>
      <c r="F61" s="208">
        <v>-163033</v>
      </c>
      <c r="G61" s="208">
        <v>-180203</v>
      </c>
      <c r="H61" s="208">
        <v>-11345</v>
      </c>
      <c r="I61" s="208">
        <v>-191548</v>
      </c>
      <c r="J61" s="208">
        <v>17170</v>
      </c>
      <c r="K61" s="208">
        <v>11345</v>
      </c>
      <c r="L61" s="208">
        <v>28515</v>
      </c>
      <c r="M61" s="208">
        <v>164099</v>
      </c>
      <c r="N61" s="208">
        <v>164099</v>
      </c>
      <c r="O61" s="208">
        <v>0</v>
      </c>
      <c r="P61" s="208">
        <v>1204152</v>
      </c>
      <c r="Q61" s="208">
        <v>1504390</v>
      </c>
      <c r="R61" s="208">
        <v>-300238</v>
      </c>
      <c r="S61" s="208">
        <v>49882</v>
      </c>
      <c r="T61" s="208">
        <v>0</v>
      </c>
      <c r="U61" s="208">
        <v>30426</v>
      </c>
      <c r="V61" s="208">
        <v>0</v>
      </c>
      <c r="W61" s="208">
        <v>19456</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0</v>
      </c>
      <c r="AS61" s="208">
        <v>0</v>
      </c>
      <c r="AT61" s="208">
        <v>0</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c r="BL61" s="208">
        <v>0</v>
      </c>
      <c r="BM61" s="208">
        <v>0</v>
      </c>
      <c r="BN61" s="208">
        <v>0</v>
      </c>
      <c r="BO61" s="208">
        <v>1633334.5872291669</v>
      </c>
      <c r="BP61" s="208">
        <v>1600667.8954845835</v>
      </c>
      <c r="BQ61" s="208">
        <v>32666.691744583339</v>
      </c>
      <c r="BR61" s="208">
        <v>113978</v>
      </c>
      <c r="BS61" s="208">
        <v>111699</v>
      </c>
      <c r="BT61" s="208">
        <v>2280</v>
      </c>
      <c r="BU61" s="208">
        <v>1512344</v>
      </c>
      <c r="BV61" s="208">
        <v>1482097</v>
      </c>
      <c r="BW61" s="208">
        <v>30247</v>
      </c>
      <c r="BX61" s="208">
        <v>234969</v>
      </c>
      <c r="BY61" s="208">
        <v>230270</v>
      </c>
      <c r="BZ61" s="208">
        <v>4700</v>
      </c>
      <c r="CA61" s="208">
        <v>2857.5177083333333</v>
      </c>
      <c r="CB61" s="208">
        <v>2800.3673541666667</v>
      </c>
      <c r="CC61" s="208">
        <v>57.150354166666666</v>
      </c>
      <c r="CD61" s="208">
        <v>3806</v>
      </c>
      <c r="CE61" s="208">
        <v>3729</v>
      </c>
      <c r="CF61" s="208">
        <v>76</v>
      </c>
      <c r="CG61" s="208">
        <v>-948</v>
      </c>
      <c r="CH61" s="208">
        <v>-929</v>
      </c>
      <c r="CI61" s="208">
        <v>-19</v>
      </c>
      <c r="CJ61" s="208">
        <v>0</v>
      </c>
      <c r="CK61" s="208">
        <v>0</v>
      </c>
      <c r="CL61" s="208">
        <v>0</v>
      </c>
      <c r="CM61" s="208">
        <v>-799.40937499999995</v>
      </c>
      <c r="CN61" s="208">
        <v>-783.42118749999997</v>
      </c>
      <c r="CO61" s="208">
        <v>-15.988187499999999</v>
      </c>
      <c r="CP61" s="208">
        <v>-590.734375</v>
      </c>
      <c r="CQ61" s="208">
        <v>-578.91968750000001</v>
      </c>
      <c r="CR61" s="208">
        <v>-11.8146875</v>
      </c>
      <c r="CS61" s="208">
        <v>0</v>
      </c>
      <c r="CT61" s="208">
        <v>0</v>
      </c>
      <c r="CU61" s="208">
        <v>0</v>
      </c>
      <c r="CV61" s="208">
        <v>0</v>
      </c>
      <c r="CW61" s="208">
        <v>0</v>
      </c>
      <c r="CX61" s="208">
        <v>0</v>
      </c>
      <c r="CY61" s="208">
        <v>0</v>
      </c>
      <c r="CZ61" s="208">
        <v>0</v>
      </c>
      <c r="DA61" s="208">
        <v>0</v>
      </c>
      <c r="DB61" s="208">
        <v>0</v>
      </c>
      <c r="DC61" s="208">
        <v>0</v>
      </c>
      <c r="DD61" s="208">
        <v>0</v>
      </c>
      <c r="DE61" s="208">
        <v>1942.51875</v>
      </c>
      <c r="DF61" s="208">
        <v>1903.668375</v>
      </c>
      <c r="DG61" s="208">
        <v>38.850375</v>
      </c>
      <c r="DH61" s="208">
        <v>384</v>
      </c>
      <c r="DI61" s="208">
        <v>377</v>
      </c>
      <c r="DJ61" s="208">
        <v>8</v>
      </c>
      <c r="DK61" s="208">
        <v>1559</v>
      </c>
      <c r="DL61" s="208">
        <v>1527</v>
      </c>
      <c r="DM61" s="208">
        <v>31</v>
      </c>
      <c r="DN61" s="208">
        <v>767.1875</v>
      </c>
      <c r="DO61" s="208">
        <v>751.84375</v>
      </c>
      <c r="DP61" s="208">
        <v>15.34375</v>
      </c>
      <c r="DQ61" s="208">
        <v>767</v>
      </c>
      <c r="DR61" s="208">
        <v>752</v>
      </c>
      <c r="DS61" s="208">
        <v>15</v>
      </c>
      <c r="DT61" s="208">
        <v>0</v>
      </c>
      <c r="DU61" s="208">
        <v>0</v>
      </c>
      <c r="DV61" s="208">
        <v>0</v>
      </c>
      <c r="DW61" s="208">
        <v>9723.8458333333328</v>
      </c>
      <c r="DX61" s="208">
        <v>9529.3689166666663</v>
      </c>
      <c r="DY61" s="208">
        <v>194.47691666666668</v>
      </c>
      <c r="DZ61" s="208">
        <v>9182</v>
      </c>
      <c r="EA61" s="208">
        <v>8999</v>
      </c>
      <c r="EB61" s="208">
        <v>184</v>
      </c>
      <c r="EC61" s="208">
        <v>542</v>
      </c>
      <c r="ED61" s="208">
        <v>530</v>
      </c>
      <c r="EE61" s="208">
        <v>10</v>
      </c>
      <c r="EF61" s="208">
        <v>66734.571874999994</v>
      </c>
      <c r="EG61" s="208">
        <v>65399.880437499996</v>
      </c>
      <c r="EH61" s="208">
        <v>1334.6914374999999</v>
      </c>
      <c r="EI61" s="208">
        <v>-1399.35</v>
      </c>
      <c r="EJ61" s="208">
        <v>-1371.3629999999998</v>
      </c>
      <c r="EK61" s="208">
        <v>-27.986999999999998</v>
      </c>
      <c r="EL61" s="208">
        <v>77741</v>
      </c>
      <c r="EM61" s="208">
        <v>76187</v>
      </c>
      <c r="EN61" s="208">
        <v>1555</v>
      </c>
      <c r="EO61" s="208">
        <v>-12406</v>
      </c>
      <c r="EP61" s="208">
        <v>-12158</v>
      </c>
      <c r="EQ61" s="208">
        <v>-248</v>
      </c>
      <c r="ER61" s="208">
        <v>15938.576041666665</v>
      </c>
      <c r="ES61" s="208">
        <v>15619.804520833333</v>
      </c>
      <c r="ET61" s="208">
        <v>318.77152083333328</v>
      </c>
      <c r="EU61" s="208">
        <v>25062</v>
      </c>
      <c r="EV61" s="208">
        <v>24560</v>
      </c>
      <c r="EW61" s="208">
        <v>501</v>
      </c>
      <c r="EX61" s="208">
        <v>-9123</v>
      </c>
      <c r="EY61" s="208">
        <v>-8940</v>
      </c>
      <c r="EZ61" s="208">
        <v>-182</v>
      </c>
      <c r="FA61" s="208">
        <v>0</v>
      </c>
      <c r="FB61" s="208">
        <v>0</v>
      </c>
      <c r="FC61" s="208">
        <v>0</v>
      </c>
      <c r="FD61" s="208">
        <v>0</v>
      </c>
      <c r="FE61" s="208">
        <v>0</v>
      </c>
      <c r="FF61" s="208">
        <v>0</v>
      </c>
      <c r="FG61" s="208">
        <v>0</v>
      </c>
      <c r="FH61" s="208">
        <v>0</v>
      </c>
      <c r="FI61" s="208">
        <v>0</v>
      </c>
      <c r="FJ61" s="208">
        <v>456289.2583333333</v>
      </c>
      <c r="FK61" s="208">
        <v>418999.95958333334</v>
      </c>
      <c r="FL61" s="208">
        <v>8551.0195833333328</v>
      </c>
      <c r="FM61" s="208">
        <v>450291</v>
      </c>
      <c r="FN61" s="208">
        <v>406815</v>
      </c>
      <c r="FO61" s="208">
        <v>8302</v>
      </c>
      <c r="FP61" s="208">
        <v>5998</v>
      </c>
      <c r="FQ61" s="208">
        <v>12185</v>
      </c>
      <c r="FR61" s="208">
        <v>249</v>
      </c>
      <c r="FS61" s="208">
        <v>0</v>
      </c>
      <c r="FT61" s="208">
        <v>0</v>
      </c>
      <c r="FU61" s="208">
        <v>0</v>
      </c>
      <c r="FV61" s="208">
        <v>0</v>
      </c>
      <c r="FW61" s="208">
        <v>0</v>
      </c>
      <c r="FX61" s="208">
        <v>0</v>
      </c>
      <c r="FY61" s="208">
        <v>0</v>
      </c>
      <c r="FZ61" s="208">
        <v>0</v>
      </c>
      <c r="GA61" s="208">
        <v>0</v>
      </c>
      <c r="GB61" s="208">
        <v>2298779</v>
      </c>
      <c r="GC61" s="208">
        <v>2224639</v>
      </c>
      <c r="GD61" s="208">
        <v>45401</v>
      </c>
      <c r="GE61" s="664">
        <v>0</v>
      </c>
      <c r="GF61" s="664">
        <v>0.5</v>
      </c>
      <c r="GG61" s="664">
        <v>0.49</v>
      </c>
      <c r="GH61" s="664">
        <v>0.01</v>
      </c>
      <c r="GI61" s="187" t="s">
        <v>1054</v>
      </c>
    </row>
    <row r="62" spans="2:191" s="187" customFormat="1" x14ac:dyDescent="0.2">
      <c r="B62" s="429" t="s">
        <v>203</v>
      </c>
      <c r="C62" s="429" t="s">
        <v>202</v>
      </c>
      <c r="D62" s="208">
        <v>911615</v>
      </c>
      <c r="E62" s="208">
        <v>0</v>
      </c>
      <c r="F62" s="208">
        <v>911615</v>
      </c>
      <c r="G62" s="208">
        <v>961552</v>
      </c>
      <c r="H62" s="208">
        <v>0</v>
      </c>
      <c r="I62" s="208">
        <v>961552</v>
      </c>
      <c r="J62" s="208">
        <v>-49937</v>
      </c>
      <c r="K62" s="208">
        <v>0</v>
      </c>
      <c r="L62" s="208">
        <v>-49937</v>
      </c>
      <c r="M62" s="208">
        <v>198581</v>
      </c>
      <c r="N62" s="208">
        <v>198581</v>
      </c>
      <c r="O62" s="208">
        <v>0</v>
      </c>
      <c r="P62" s="208">
        <v>0</v>
      </c>
      <c r="Q62" s="208">
        <v>0</v>
      </c>
      <c r="R62" s="208">
        <v>0</v>
      </c>
      <c r="S62" s="208">
        <v>123492</v>
      </c>
      <c r="T62" s="208">
        <v>15074</v>
      </c>
      <c r="U62" s="208">
        <v>111612</v>
      </c>
      <c r="V62" s="208">
        <v>15074</v>
      </c>
      <c r="W62" s="208">
        <v>11880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c r="BL62" s="208">
        <v>0</v>
      </c>
      <c r="BM62" s="208">
        <v>0</v>
      </c>
      <c r="BN62" s="208">
        <v>0</v>
      </c>
      <c r="BO62" s="208">
        <v>1588656.2161250003</v>
      </c>
      <c r="BP62" s="208">
        <v>397164.05403125007</v>
      </c>
      <c r="BQ62" s="208">
        <v>0</v>
      </c>
      <c r="BR62" s="208">
        <v>104261</v>
      </c>
      <c r="BS62" s="208">
        <v>26065</v>
      </c>
      <c r="BT62" s="208">
        <v>0</v>
      </c>
      <c r="BU62" s="208">
        <v>1501082</v>
      </c>
      <c r="BV62" s="208">
        <v>375270</v>
      </c>
      <c r="BW62" s="208">
        <v>0</v>
      </c>
      <c r="BX62" s="208">
        <v>191835</v>
      </c>
      <c r="BY62" s="208">
        <v>47959</v>
      </c>
      <c r="BZ62" s="208">
        <v>0</v>
      </c>
      <c r="CA62" s="208">
        <v>3637.0825</v>
      </c>
      <c r="CB62" s="208">
        <v>909.270625</v>
      </c>
      <c r="CC62" s="208">
        <v>0</v>
      </c>
      <c r="CD62" s="208">
        <v>9147</v>
      </c>
      <c r="CE62" s="208">
        <v>2287</v>
      </c>
      <c r="CF62" s="208">
        <v>0</v>
      </c>
      <c r="CG62" s="208">
        <v>-5510</v>
      </c>
      <c r="CH62" s="208">
        <v>-1378</v>
      </c>
      <c r="CI62" s="208">
        <v>0</v>
      </c>
      <c r="CJ62" s="208">
        <v>0</v>
      </c>
      <c r="CK62" s="208">
        <v>0</v>
      </c>
      <c r="CL62" s="208">
        <v>0</v>
      </c>
      <c r="CM62" s="208">
        <v>0</v>
      </c>
      <c r="CN62" s="208">
        <v>0</v>
      </c>
      <c r="CO62" s="208">
        <v>0</v>
      </c>
      <c r="CP62" s="208">
        <v>-856.89319999999998</v>
      </c>
      <c r="CQ62" s="208">
        <v>-214.22329999999999</v>
      </c>
      <c r="CR62" s="208">
        <v>0</v>
      </c>
      <c r="CS62" s="208">
        <v>0</v>
      </c>
      <c r="CT62" s="208">
        <v>0</v>
      </c>
      <c r="CU62" s="208">
        <v>0</v>
      </c>
      <c r="CV62" s="208">
        <v>0</v>
      </c>
      <c r="CW62" s="208">
        <v>0</v>
      </c>
      <c r="CX62" s="208">
        <v>0</v>
      </c>
      <c r="CY62" s="208">
        <v>0</v>
      </c>
      <c r="CZ62" s="208">
        <v>0</v>
      </c>
      <c r="DA62" s="208">
        <v>0</v>
      </c>
      <c r="DB62" s="208">
        <v>0</v>
      </c>
      <c r="DC62" s="208">
        <v>0</v>
      </c>
      <c r="DD62" s="208">
        <v>0</v>
      </c>
      <c r="DE62" s="208">
        <v>7597.3739333333342</v>
      </c>
      <c r="DF62" s="208">
        <v>1899.3434833333336</v>
      </c>
      <c r="DG62" s="208">
        <v>0</v>
      </c>
      <c r="DH62" s="208">
        <v>9715</v>
      </c>
      <c r="DI62" s="208">
        <v>2429</v>
      </c>
      <c r="DJ62" s="208">
        <v>0</v>
      </c>
      <c r="DK62" s="208">
        <v>-2118</v>
      </c>
      <c r="DL62" s="208">
        <v>-530</v>
      </c>
      <c r="DM62" s="208">
        <v>0</v>
      </c>
      <c r="DN62" s="208">
        <v>898.53</v>
      </c>
      <c r="DO62" s="208">
        <v>224.63249999999999</v>
      </c>
      <c r="DP62" s="208">
        <v>0</v>
      </c>
      <c r="DQ62" s="208">
        <v>917</v>
      </c>
      <c r="DR62" s="208">
        <v>229</v>
      </c>
      <c r="DS62" s="208">
        <v>0</v>
      </c>
      <c r="DT62" s="208">
        <v>-18</v>
      </c>
      <c r="DU62" s="208">
        <v>-4</v>
      </c>
      <c r="DV62" s="208">
        <v>0</v>
      </c>
      <c r="DW62" s="208">
        <v>22272.987500000003</v>
      </c>
      <c r="DX62" s="208">
        <v>5568.2468750000007</v>
      </c>
      <c r="DY62" s="208">
        <v>0</v>
      </c>
      <c r="DZ62" s="208">
        <v>19640</v>
      </c>
      <c r="EA62" s="208">
        <v>4910</v>
      </c>
      <c r="EB62" s="208">
        <v>0</v>
      </c>
      <c r="EC62" s="208">
        <v>2633</v>
      </c>
      <c r="ED62" s="208">
        <v>658</v>
      </c>
      <c r="EE62" s="208">
        <v>0</v>
      </c>
      <c r="EF62" s="208">
        <v>89276.893333333341</v>
      </c>
      <c r="EG62" s="208">
        <v>22319.223333333335</v>
      </c>
      <c r="EH62" s="208">
        <v>0</v>
      </c>
      <c r="EI62" s="208">
        <v>9081.4541666666682</v>
      </c>
      <c r="EJ62" s="208">
        <v>2270.3635416666671</v>
      </c>
      <c r="EK62" s="208">
        <v>0</v>
      </c>
      <c r="EL62" s="208">
        <v>90004</v>
      </c>
      <c r="EM62" s="208">
        <v>22501</v>
      </c>
      <c r="EN62" s="208">
        <v>0</v>
      </c>
      <c r="EO62" s="208">
        <v>8354</v>
      </c>
      <c r="EP62" s="208">
        <v>2089</v>
      </c>
      <c r="EQ62" s="208">
        <v>0</v>
      </c>
      <c r="ER62" s="208">
        <v>35267.899883333332</v>
      </c>
      <c r="ES62" s="208">
        <v>8816.9749708333329</v>
      </c>
      <c r="ET62" s="208">
        <v>0</v>
      </c>
      <c r="EU62" s="208">
        <v>39280</v>
      </c>
      <c r="EV62" s="208">
        <v>9820</v>
      </c>
      <c r="EW62" s="208">
        <v>0</v>
      </c>
      <c r="EX62" s="208">
        <v>-4012</v>
      </c>
      <c r="EY62" s="208">
        <v>-1003</v>
      </c>
      <c r="EZ62" s="208">
        <v>0</v>
      </c>
      <c r="FA62" s="208">
        <v>0</v>
      </c>
      <c r="FB62" s="208">
        <v>0</v>
      </c>
      <c r="FC62" s="208">
        <v>0</v>
      </c>
      <c r="FD62" s="208">
        <v>0</v>
      </c>
      <c r="FE62" s="208">
        <v>0</v>
      </c>
      <c r="FF62" s="208">
        <v>0</v>
      </c>
      <c r="FG62" s="208">
        <v>0</v>
      </c>
      <c r="FH62" s="208">
        <v>0</v>
      </c>
      <c r="FI62" s="208">
        <v>0</v>
      </c>
      <c r="FJ62" s="208">
        <v>440604.01559166657</v>
      </c>
      <c r="FK62" s="208">
        <v>109788.94348124997</v>
      </c>
      <c r="FL62" s="208">
        <v>0</v>
      </c>
      <c r="FM62" s="208">
        <v>441900</v>
      </c>
      <c r="FN62" s="208">
        <v>110181</v>
      </c>
      <c r="FO62" s="208">
        <v>0</v>
      </c>
      <c r="FP62" s="208">
        <v>-1296</v>
      </c>
      <c r="FQ62" s="208">
        <v>-392</v>
      </c>
      <c r="FR62" s="208">
        <v>0</v>
      </c>
      <c r="FS62" s="208">
        <v>0</v>
      </c>
      <c r="FT62" s="208">
        <v>0</v>
      </c>
      <c r="FU62" s="208">
        <v>0</v>
      </c>
      <c r="FV62" s="208">
        <v>0</v>
      </c>
      <c r="FW62" s="208">
        <v>0</v>
      </c>
      <c r="FX62" s="208">
        <v>0</v>
      </c>
      <c r="FY62" s="208">
        <v>0</v>
      </c>
      <c r="FZ62" s="208">
        <v>0</v>
      </c>
      <c r="GA62" s="208">
        <v>0</v>
      </c>
      <c r="GB62" s="208">
        <v>2300696</v>
      </c>
      <c r="GC62" s="208">
        <v>574811</v>
      </c>
      <c r="GD62" s="208">
        <v>0</v>
      </c>
      <c r="GE62" s="664">
        <v>0.5</v>
      </c>
      <c r="GF62" s="664">
        <v>0.4</v>
      </c>
      <c r="GG62" s="664">
        <v>0.1</v>
      </c>
      <c r="GH62" s="664">
        <v>0</v>
      </c>
      <c r="GI62" s="187" t="s">
        <v>1054</v>
      </c>
    </row>
    <row r="63" spans="2:191" s="187" customFormat="1" x14ac:dyDescent="0.2">
      <c r="B63" s="429" t="s">
        <v>205</v>
      </c>
      <c r="C63" s="429" t="s">
        <v>204</v>
      </c>
      <c r="D63" s="208">
        <v>640414</v>
      </c>
      <c r="E63" s="208">
        <v>0</v>
      </c>
      <c r="F63" s="208">
        <v>640414</v>
      </c>
      <c r="G63" s="208">
        <v>598371</v>
      </c>
      <c r="H63" s="208">
        <v>0</v>
      </c>
      <c r="I63" s="208">
        <v>598371</v>
      </c>
      <c r="J63" s="208">
        <v>42043</v>
      </c>
      <c r="K63" s="208">
        <v>0</v>
      </c>
      <c r="L63" s="208">
        <v>42043</v>
      </c>
      <c r="M63" s="208">
        <v>110239</v>
      </c>
      <c r="N63" s="208">
        <v>110239</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c r="BL63" s="208">
        <v>0</v>
      </c>
      <c r="BM63" s="208">
        <v>0</v>
      </c>
      <c r="BN63" s="208">
        <v>0</v>
      </c>
      <c r="BO63" s="208">
        <v>852010.1493369668</v>
      </c>
      <c r="BP63" s="208">
        <v>191702.28360081749</v>
      </c>
      <c r="BQ63" s="208">
        <v>21300.253733424168</v>
      </c>
      <c r="BR63" s="208">
        <v>74534</v>
      </c>
      <c r="BS63" s="208">
        <v>16770</v>
      </c>
      <c r="BT63" s="208">
        <v>1863</v>
      </c>
      <c r="BU63" s="208">
        <v>826531</v>
      </c>
      <c r="BV63" s="208">
        <v>185970</v>
      </c>
      <c r="BW63" s="208">
        <v>20663</v>
      </c>
      <c r="BX63" s="208">
        <v>100013</v>
      </c>
      <c r="BY63" s="208">
        <v>22502</v>
      </c>
      <c r="BZ63" s="208">
        <v>2500</v>
      </c>
      <c r="CA63" s="208">
        <v>0</v>
      </c>
      <c r="CB63" s="208">
        <v>0</v>
      </c>
      <c r="CC63" s="208">
        <v>0</v>
      </c>
      <c r="CD63" s="208">
        <v>0</v>
      </c>
      <c r="CE63" s="208">
        <v>0</v>
      </c>
      <c r="CF63" s="208">
        <v>0</v>
      </c>
      <c r="CG63" s="208">
        <v>0</v>
      </c>
      <c r="CH63" s="208">
        <v>0</v>
      </c>
      <c r="CI63" s="208">
        <v>0</v>
      </c>
      <c r="CJ63" s="208">
        <v>0</v>
      </c>
      <c r="CK63" s="208">
        <v>0</v>
      </c>
      <c r="CL63" s="208">
        <v>0</v>
      </c>
      <c r="CM63" s="208">
        <v>0</v>
      </c>
      <c r="CN63" s="208">
        <v>0</v>
      </c>
      <c r="CO63" s="208">
        <v>0</v>
      </c>
      <c r="CP63" s="208">
        <v>-1795.5010749999999</v>
      </c>
      <c r="CQ63" s="208">
        <v>-403.98774187499993</v>
      </c>
      <c r="CR63" s="208">
        <v>-44.887526874999992</v>
      </c>
      <c r="CS63" s="208">
        <v>0</v>
      </c>
      <c r="CT63" s="208">
        <v>0</v>
      </c>
      <c r="CU63" s="208">
        <v>0</v>
      </c>
      <c r="CV63" s="208">
        <v>0</v>
      </c>
      <c r="CW63" s="208">
        <v>0</v>
      </c>
      <c r="CX63" s="208">
        <v>0</v>
      </c>
      <c r="CY63" s="208">
        <v>0</v>
      </c>
      <c r="CZ63" s="208">
        <v>0</v>
      </c>
      <c r="DA63" s="208">
        <v>0</v>
      </c>
      <c r="DB63" s="208">
        <v>0</v>
      </c>
      <c r="DC63" s="208">
        <v>0</v>
      </c>
      <c r="DD63" s="208">
        <v>0</v>
      </c>
      <c r="DE63" s="208">
        <v>0</v>
      </c>
      <c r="DF63" s="208">
        <v>0</v>
      </c>
      <c r="DG63" s="208">
        <v>0</v>
      </c>
      <c r="DH63" s="208">
        <v>0</v>
      </c>
      <c r="DI63" s="208">
        <v>0</v>
      </c>
      <c r="DJ63" s="208">
        <v>0</v>
      </c>
      <c r="DK63" s="208">
        <v>0</v>
      </c>
      <c r="DL63" s="208">
        <v>0</v>
      </c>
      <c r="DM63" s="208">
        <v>0</v>
      </c>
      <c r="DN63" s="208">
        <v>0</v>
      </c>
      <c r="DO63" s="208">
        <v>0</v>
      </c>
      <c r="DP63" s="208">
        <v>0</v>
      </c>
      <c r="DQ63" s="208">
        <v>0</v>
      </c>
      <c r="DR63" s="208">
        <v>0</v>
      </c>
      <c r="DS63" s="208">
        <v>0</v>
      </c>
      <c r="DT63" s="208">
        <v>0</v>
      </c>
      <c r="DU63" s="208">
        <v>0</v>
      </c>
      <c r="DV63" s="208">
        <v>0</v>
      </c>
      <c r="DW63" s="208">
        <v>8102.081016666667</v>
      </c>
      <c r="DX63" s="208">
        <v>1822.9682287499998</v>
      </c>
      <c r="DY63" s="208">
        <v>202.55202541666665</v>
      </c>
      <c r="DZ63" s="208">
        <v>8101</v>
      </c>
      <c r="EA63" s="208">
        <v>1823</v>
      </c>
      <c r="EB63" s="208">
        <v>203</v>
      </c>
      <c r="EC63" s="208">
        <v>1</v>
      </c>
      <c r="ED63" s="208">
        <v>0</v>
      </c>
      <c r="EE63" s="208">
        <v>0</v>
      </c>
      <c r="EF63" s="208">
        <v>38941.21</v>
      </c>
      <c r="EG63" s="208">
        <v>8761.77225</v>
      </c>
      <c r="EH63" s="208">
        <v>973.53024999999991</v>
      </c>
      <c r="EI63" s="208">
        <v>-796.03784166666674</v>
      </c>
      <c r="EJ63" s="208">
        <v>-179.108514375</v>
      </c>
      <c r="EK63" s="208">
        <v>-19.900946041666668</v>
      </c>
      <c r="EL63" s="208">
        <v>38871</v>
      </c>
      <c r="EM63" s="208">
        <v>8746</v>
      </c>
      <c r="EN63" s="208">
        <v>972</v>
      </c>
      <c r="EO63" s="208">
        <v>-726</v>
      </c>
      <c r="EP63" s="208">
        <v>-163</v>
      </c>
      <c r="EQ63" s="208">
        <v>-18</v>
      </c>
      <c r="ER63" s="208">
        <v>14843.277791666667</v>
      </c>
      <c r="ES63" s="208">
        <v>3339.7375031249999</v>
      </c>
      <c r="ET63" s="208">
        <v>371.08194479166667</v>
      </c>
      <c r="EU63" s="208">
        <v>16740</v>
      </c>
      <c r="EV63" s="208">
        <v>3766</v>
      </c>
      <c r="EW63" s="208">
        <v>418</v>
      </c>
      <c r="EX63" s="208">
        <v>-1897</v>
      </c>
      <c r="EY63" s="208">
        <v>-426</v>
      </c>
      <c r="EZ63" s="208">
        <v>-47</v>
      </c>
      <c r="FA63" s="208">
        <v>0</v>
      </c>
      <c r="FB63" s="208">
        <v>0</v>
      </c>
      <c r="FC63" s="208">
        <v>0</v>
      </c>
      <c r="FD63" s="208">
        <v>0</v>
      </c>
      <c r="FE63" s="208">
        <v>0</v>
      </c>
      <c r="FF63" s="208">
        <v>0</v>
      </c>
      <c r="FG63" s="208">
        <v>0</v>
      </c>
      <c r="FH63" s="208">
        <v>0</v>
      </c>
      <c r="FI63" s="208">
        <v>0</v>
      </c>
      <c r="FJ63" s="208">
        <v>197613.22166666665</v>
      </c>
      <c r="FK63" s="208">
        <v>44462.974875</v>
      </c>
      <c r="FL63" s="208">
        <v>4940.3305416666662</v>
      </c>
      <c r="FM63" s="208">
        <v>196073</v>
      </c>
      <c r="FN63" s="208">
        <v>44117</v>
      </c>
      <c r="FO63" s="208">
        <v>4902</v>
      </c>
      <c r="FP63" s="208">
        <v>1540</v>
      </c>
      <c r="FQ63" s="208">
        <v>346</v>
      </c>
      <c r="FR63" s="208">
        <v>38</v>
      </c>
      <c r="FS63" s="208">
        <v>0</v>
      </c>
      <c r="FT63" s="208">
        <v>0</v>
      </c>
      <c r="FU63" s="208">
        <v>0</v>
      </c>
      <c r="FV63" s="208">
        <v>0</v>
      </c>
      <c r="FW63" s="208">
        <v>0</v>
      </c>
      <c r="FX63" s="208">
        <v>0</v>
      </c>
      <c r="FY63" s="208">
        <v>0</v>
      </c>
      <c r="FZ63" s="208">
        <v>0</v>
      </c>
      <c r="GA63" s="208">
        <v>0</v>
      </c>
      <c r="GB63" s="208">
        <v>1183451</v>
      </c>
      <c r="GC63" s="208">
        <v>266277</v>
      </c>
      <c r="GD63" s="208">
        <v>29586</v>
      </c>
      <c r="GE63" s="664">
        <v>0.5</v>
      </c>
      <c r="GF63" s="664">
        <v>0.4</v>
      </c>
      <c r="GG63" s="664">
        <v>0.09</v>
      </c>
      <c r="GH63" s="664">
        <v>0.01</v>
      </c>
      <c r="GI63" s="187" t="s">
        <v>1054</v>
      </c>
    </row>
    <row r="64" spans="2:191" s="187" customFormat="1" x14ac:dyDescent="0.2">
      <c r="B64" s="429" t="s">
        <v>207</v>
      </c>
      <c r="C64" s="429" t="s">
        <v>206</v>
      </c>
      <c r="D64" s="208">
        <v>-990077</v>
      </c>
      <c r="E64" s="208">
        <v>0</v>
      </c>
      <c r="F64" s="208">
        <v>-990077</v>
      </c>
      <c r="G64" s="208">
        <v>-989621</v>
      </c>
      <c r="H64" s="208">
        <v>0</v>
      </c>
      <c r="I64" s="208">
        <v>-989621</v>
      </c>
      <c r="J64" s="208">
        <v>-456</v>
      </c>
      <c r="K64" s="208">
        <v>0</v>
      </c>
      <c r="L64" s="208">
        <v>-456</v>
      </c>
      <c r="M64" s="208">
        <v>130263</v>
      </c>
      <c r="N64" s="208">
        <v>130263</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c r="BL64" s="208">
        <v>0</v>
      </c>
      <c r="BM64" s="208">
        <v>0</v>
      </c>
      <c r="BN64" s="208">
        <v>0</v>
      </c>
      <c r="BO64" s="208">
        <v>1001929.9878733334</v>
      </c>
      <c r="BP64" s="208">
        <v>225434.24727150003</v>
      </c>
      <c r="BQ64" s="208">
        <v>25048.249696833333</v>
      </c>
      <c r="BR64" s="208">
        <v>56702</v>
      </c>
      <c r="BS64" s="208">
        <v>12758</v>
      </c>
      <c r="BT64" s="208">
        <v>1418</v>
      </c>
      <c r="BU64" s="208">
        <v>958481</v>
      </c>
      <c r="BV64" s="208">
        <v>215658</v>
      </c>
      <c r="BW64" s="208">
        <v>23962</v>
      </c>
      <c r="BX64" s="208">
        <v>100151</v>
      </c>
      <c r="BY64" s="208">
        <v>22534</v>
      </c>
      <c r="BZ64" s="208">
        <v>2504</v>
      </c>
      <c r="CA64" s="208">
        <v>0</v>
      </c>
      <c r="CB64" s="208">
        <v>0</v>
      </c>
      <c r="CC64" s="208">
        <v>0</v>
      </c>
      <c r="CD64" s="208">
        <v>0</v>
      </c>
      <c r="CE64" s="208">
        <v>0</v>
      </c>
      <c r="CF64" s="208">
        <v>0</v>
      </c>
      <c r="CG64" s="208">
        <v>0</v>
      </c>
      <c r="CH64" s="208">
        <v>0</v>
      </c>
      <c r="CI64" s="208">
        <v>0</v>
      </c>
      <c r="CJ64" s="208">
        <v>0</v>
      </c>
      <c r="CK64" s="208">
        <v>0</v>
      </c>
      <c r="CL64" s="208">
        <v>0</v>
      </c>
      <c r="CM64" s="208">
        <v>0</v>
      </c>
      <c r="CN64" s="208">
        <v>0</v>
      </c>
      <c r="CO64" s="208">
        <v>0</v>
      </c>
      <c r="CP64" s="208">
        <v>99.018333333333331</v>
      </c>
      <c r="CQ64" s="208">
        <v>22.279124999999997</v>
      </c>
      <c r="CR64" s="208">
        <v>2.4754583333333331</v>
      </c>
      <c r="CS64" s="208">
        <v>0</v>
      </c>
      <c r="CT64" s="208">
        <v>0</v>
      </c>
      <c r="CU64" s="208">
        <v>0</v>
      </c>
      <c r="CV64" s="208">
        <v>0</v>
      </c>
      <c r="CW64" s="208">
        <v>0</v>
      </c>
      <c r="CX64" s="208">
        <v>0</v>
      </c>
      <c r="CY64" s="208">
        <v>0</v>
      </c>
      <c r="CZ64" s="208">
        <v>0</v>
      </c>
      <c r="DA64" s="208">
        <v>0</v>
      </c>
      <c r="DB64" s="208">
        <v>0</v>
      </c>
      <c r="DC64" s="208">
        <v>0</v>
      </c>
      <c r="DD64" s="208">
        <v>0</v>
      </c>
      <c r="DE64" s="208">
        <v>2234.0500000000002</v>
      </c>
      <c r="DF64" s="208">
        <v>502.66125</v>
      </c>
      <c r="DG64" s="208">
        <v>55.85125</v>
      </c>
      <c r="DH64" s="208">
        <v>2234</v>
      </c>
      <c r="DI64" s="208">
        <v>503</v>
      </c>
      <c r="DJ64" s="208">
        <v>56</v>
      </c>
      <c r="DK64" s="208">
        <v>0</v>
      </c>
      <c r="DL64" s="208">
        <v>0</v>
      </c>
      <c r="DM64" s="208">
        <v>0</v>
      </c>
      <c r="DN64" s="208">
        <v>0</v>
      </c>
      <c r="DO64" s="208">
        <v>0</v>
      </c>
      <c r="DP64" s="208">
        <v>0</v>
      </c>
      <c r="DQ64" s="208">
        <v>0</v>
      </c>
      <c r="DR64" s="208">
        <v>0</v>
      </c>
      <c r="DS64" s="208">
        <v>0</v>
      </c>
      <c r="DT64" s="208">
        <v>0</v>
      </c>
      <c r="DU64" s="208">
        <v>0</v>
      </c>
      <c r="DV64" s="208">
        <v>0</v>
      </c>
      <c r="DW64" s="208">
        <v>10043.405000000002</v>
      </c>
      <c r="DX64" s="208">
        <v>2259.7661250000001</v>
      </c>
      <c r="DY64" s="208">
        <v>251.08512500000001</v>
      </c>
      <c r="DZ64" s="208">
        <v>11136</v>
      </c>
      <c r="EA64" s="208">
        <v>2506</v>
      </c>
      <c r="EB64" s="208">
        <v>278</v>
      </c>
      <c r="EC64" s="208">
        <v>-1093</v>
      </c>
      <c r="ED64" s="208">
        <v>-246</v>
      </c>
      <c r="EE64" s="208">
        <v>-27</v>
      </c>
      <c r="EF64" s="208">
        <v>20789.758333333335</v>
      </c>
      <c r="EG64" s="208">
        <v>4677.6956250000003</v>
      </c>
      <c r="EH64" s="208">
        <v>519.74395833333335</v>
      </c>
      <c r="EI64" s="208">
        <v>-24.140833333333333</v>
      </c>
      <c r="EJ64" s="208">
        <v>-5.4316874999999998</v>
      </c>
      <c r="EK64" s="208">
        <v>-0.6035208333333334</v>
      </c>
      <c r="EL64" s="208">
        <v>23634</v>
      </c>
      <c r="EM64" s="208">
        <v>5318</v>
      </c>
      <c r="EN64" s="208">
        <v>591</v>
      </c>
      <c r="EO64" s="208">
        <v>-2868</v>
      </c>
      <c r="EP64" s="208">
        <v>-646</v>
      </c>
      <c r="EQ64" s="208">
        <v>-72</v>
      </c>
      <c r="ER64" s="208">
        <v>21540.170000000002</v>
      </c>
      <c r="ES64" s="208">
        <v>4846.5382499999996</v>
      </c>
      <c r="ET64" s="208">
        <v>538.50425000000007</v>
      </c>
      <c r="EU64" s="208">
        <v>21686</v>
      </c>
      <c r="EV64" s="208">
        <v>4879</v>
      </c>
      <c r="EW64" s="208">
        <v>542</v>
      </c>
      <c r="EX64" s="208">
        <v>-146</v>
      </c>
      <c r="EY64" s="208">
        <v>-32</v>
      </c>
      <c r="EZ64" s="208">
        <v>-3</v>
      </c>
      <c r="FA64" s="208">
        <v>0</v>
      </c>
      <c r="FB64" s="208">
        <v>0</v>
      </c>
      <c r="FC64" s="208">
        <v>0</v>
      </c>
      <c r="FD64" s="208">
        <v>0</v>
      </c>
      <c r="FE64" s="208">
        <v>0</v>
      </c>
      <c r="FF64" s="208">
        <v>0</v>
      </c>
      <c r="FG64" s="208">
        <v>0</v>
      </c>
      <c r="FH64" s="208">
        <v>0</v>
      </c>
      <c r="FI64" s="208">
        <v>0</v>
      </c>
      <c r="FJ64" s="208">
        <v>219824.77916666665</v>
      </c>
      <c r="FK64" s="208">
        <v>49460.575312499997</v>
      </c>
      <c r="FL64" s="208">
        <v>5495.6194791666667</v>
      </c>
      <c r="FM64" s="208">
        <v>225186</v>
      </c>
      <c r="FN64" s="208">
        <v>50667</v>
      </c>
      <c r="FO64" s="208">
        <v>5630</v>
      </c>
      <c r="FP64" s="208">
        <v>-5361</v>
      </c>
      <c r="FQ64" s="208">
        <v>-1206</v>
      </c>
      <c r="FR64" s="208">
        <v>-134</v>
      </c>
      <c r="FS64" s="208">
        <v>0</v>
      </c>
      <c r="FT64" s="208">
        <v>0</v>
      </c>
      <c r="FU64" s="208">
        <v>0</v>
      </c>
      <c r="FV64" s="208">
        <v>0</v>
      </c>
      <c r="FW64" s="208">
        <v>0</v>
      </c>
      <c r="FX64" s="208">
        <v>0</v>
      </c>
      <c r="FY64" s="208">
        <v>0</v>
      </c>
      <c r="FZ64" s="208">
        <v>0</v>
      </c>
      <c r="GA64" s="208">
        <v>0</v>
      </c>
      <c r="GB64" s="208">
        <v>1333139</v>
      </c>
      <c r="GC64" s="208">
        <v>299958</v>
      </c>
      <c r="GD64" s="208">
        <v>33329</v>
      </c>
      <c r="GE64" s="664">
        <v>0.5</v>
      </c>
      <c r="GF64" s="664">
        <v>0.4</v>
      </c>
      <c r="GG64" s="664">
        <v>0.09</v>
      </c>
      <c r="GH64" s="664">
        <v>0.01</v>
      </c>
      <c r="GI64" s="187" t="s">
        <v>1054</v>
      </c>
    </row>
    <row r="65" spans="1:191" s="187" customFormat="1" x14ac:dyDescent="0.2">
      <c r="B65" s="429" t="s">
        <v>209</v>
      </c>
      <c r="C65" s="429" t="s">
        <v>208</v>
      </c>
      <c r="D65" s="208">
        <v>20051</v>
      </c>
      <c r="E65" s="208">
        <v>0</v>
      </c>
      <c r="F65" s="208">
        <v>20051</v>
      </c>
      <c r="G65" s="208">
        <v>12327</v>
      </c>
      <c r="H65" s="208">
        <v>0</v>
      </c>
      <c r="I65" s="208">
        <v>12327</v>
      </c>
      <c r="J65" s="208">
        <v>7724</v>
      </c>
      <c r="K65" s="208">
        <v>0</v>
      </c>
      <c r="L65" s="208">
        <v>7724</v>
      </c>
      <c r="M65" s="208">
        <v>74984</v>
      </c>
      <c r="N65" s="208">
        <v>74984</v>
      </c>
      <c r="O65" s="208">
        <v>0</v>
      </c>
      <c r="P65" s="208">
        <v>0</v>
      </c>
      <c r="Q65" s="208">
        <v>0</v>
      </c>
      <c r="R65" s="208">
        <v>0</v>
      </c>
      <c r="S65" s="208">
        <v>210243</v>
      </c>
      <c r="T65" s="208">
        <v>0</v>
      </c>
      <c r="U65" s="208">
        <v>318272</v>
      </c>
      <c r="V65" s="208">
        <v>0</v>
      </c>
      <c r="W65" s="208">
        <v>-108029</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c r="BL65" s="208">
        <v>0</v>
      </c>
      <c r="BM65" s="208">
        <v>0</v>
      </c>
      <c r="BN65" s="208">
        <v>0</v>
      </c>
      <c r="BO65" s="208">
        <v>655533.72765833337</v>
      </c>
      <c r="BP65" s="208">
        <v>147495.08872312499</v>
      </c>
      <c r="BQ65" s="208">
        <v>16388.343191458334</v>
      </c>
      <c r="BR65" s="208">
        <v>38097</v>
      </c>
      <c r="BS65" s="208">
        <v>8572</v>
      </c>
      <c r="BT65" s="208">
        <v>952</v>
      </c>
      <c r="BU65" s="208">
        <v>577689</v>
      </c>
      <c r="BV65" s="208">
        <v>129980</v>
      </c>
      <c r="BW65" s="208">
        <v>14442</v>
      </c>
      <c r="BX65" s="208">
        <v>115942</v>
      </c>
      <c r="BY65" s="208">
        <v>26087</v>
      </c>
      <c r="BZ65" s="208">
        <v>2898</v>
      </c>
      <c r="CA65" s="208">
        <v>-120.70416666666668</v>
      </c>
      <c r="CB65" s="208">
        <v>-27.158437500000002</v>
      </c>
      <c r="CC65" s="208">
        <v>-3.0176041666666671</v>
      </c>
      <c r="CD65" s="208">
        <v>0</v>
      </c>
      <c r="CE65" s="208">
        <v>0</v>
      </c>
      <c r="CF65" s="208">
        <v>0</v>
      </c>
      <c r="CG65" s="208">
        <v>-121</v>
      </c>
      <c r="CH65" s="208">
        <v>-27</v>
      </c>
      <c r="CI65" s="208">
        <v>-3</v>
      </c>
      <c r="CJ65" s="208">
        <v>0</v>
      </c>
      <c r="CK65" s="208">
        <v>0</v>
      </c>
      <c r="CL65" s="208">
        <v>0</v>
      </c>
      <c r="CM65" s="208">
        <v>0</v>
      </c>
      <c r="CN65" s="208">
        <v>0</v>
      </c>
      <c r="CO65" s="208">
        <v>0</v>
      </c>
      <c r="CP65" s="208">
        <v>0</v>
      </c>
      <c r="CQ65" s="208">
        <v>0</v>
      </c>
      <c r="CR65" s="208">
        <v>0</v>
      </c>
      <c r="CS65" s="208">
        <v>0</v>
      </c>
      <c r="CT65" s="208">
        <v>0</v>
      </c>
      <c r="CU65" s="208">
        <v>0</v>
      </c>
      <c r="CV65" s="208">
        <v>0</v>
      </c>
      <c r="CW65" s="208">
        <v>0</v>
      </c>
      <c r="CX65" s="208">
        <v>0</v>
      </c>
      <c r="CY65" s="208">
        <v>0</v>
      </c>
      <c r="CZ65" s="208">
        <v>0</v>
      </c>
      <c r="DA65" s="208">
        <v>0</v>
      </c>
      <c r="DB65" s="208">
        <v>0</v>
      </c>
      <c r="DC65" s="208">
        <v>0</v>
      </c>
      <c r="DD65" s="208">
        <v>0</v>
      </c>
      <c r="DE65" s="208">
        <v>0</v>
      </c>
      <c r="DF65" s="208">
        <v>0</v>
      </c>
      <c r="DG65" s="208">
        <v>0</v>
      </c>
      <c r="DH65" s="208">
        <v>0</v>
      </c>
      <c r="DI65" s="208">
        <v>0</v>
      </c>
      <c r="DJ65" s="208">
        <v>0</v>
      </c>
      <c r="DK65" s="208">
        <v>0</v>
      </c>
      <c r="DL65" s="208">
        <v>0</v>
      </c>
      <c r="DM65" s="208">
        <v>0</v>
      </c>
      <c r="DN65" s="208">
        <v>0</v>
      </c>
      <c r="DO65" s="208">
        <v>0</v>
      </c>
      <c r="DP65" s="208">
        <v>0</v>
      </c>
      <c r="DQ65" s="208">
        <v>0</v>
      </c>
      <c r="DR65" s="208">
        <v>0</v>
      </c>
      <c r="DS65" s="208">
        <v>0</v>
      </c>
      <c r="DT65" s="208">
        <v>0</v>
      </c>
      <c r="DU65" s="208">
        <v>0</v>
      </c>
      <c r="DV65" s="208">
        <v>0</v>
      </c>
      <c r="DW65" s="208">
        <v>1223.8174999999999</v>
      </c>
      <c r="DX65" s="208">
        <v>275.35893749999997</v>
      </c>
      <c r="DY65" s="208">
        <v>30.595437499999999</v>
      </c>
      <c r="DZ65" s="208">
        <v>1346</v>
      </c>
      <c r="EA65" s="208">
        <v>303</v>
      </c>
      <c r="EB65" s="208">
        <v>34</v>
      </c>
      <c r="EC65" s="208">
        <v>-122</v>
      </c>
      <c r="ED65" s="208">
        <v>-28</v>
      </c>
      <c r="EE65" s="208">
        <v>-3</v>
      </c>
      <c r="EF65" s="208">
        <v>31143.720833333333</v>
      </c>
      <c r="EG65" s="208">
        <v>7007.3371874999993</v>
      </c>
      <c r="EH65" s="208">
        <v>778.5930208333333</v>
      </c>
      <c r="EI65" s="208">
        <v>-699.26583333333338</v>
      </c>
      <c r="EJ65" s="208">
        <v>-157.3348125</v>
      </c>
      <c r="EK65" s="208">
        <v>-17.481645833333335</v>
      </c>
      <c r="EL65" s="208">
        <v>31751</v>
      </c>
      <c r="EM65" s="208">
        <v>7144</v>
      </c>
      <c r="EN65" s="208">
        <v>794</v>
      </c>
      <c r="EO65" s="208">
        <v>-1307</v>
      </c>
      <c r="EP65" s="208">
        <v>-294</v>
      </c>
      <c r="EQ65" s="208">
        <v>-33</v>
      </c>
      <c r="ER65" s="208">
        <v>6678.0091666666667</v>
      </c>
      <c r="ES65" s="208">
        <v>1502.5520624999999</v>
      </c>
      <c r="ET65" s="208">
        <v>166.95022916666667</v>
      </c>
      <c r="EU65" s="208">
        <v>6546</v>
      </c>
      <c r="EV65" s="208">
        <v>1473</v>
      </c>
      <c r="EW65" s="208">
        <v>164</v>
      </c>
      <c r="EX65" s="208">
        <v>132</v>
      </c>
      <c r="EY65" s="208">
        <v>30</v>
      </c>
      <c r="EZ65" s="208">
        <v>3</v>
      </c>
      <c r="FA65" s="208">
        <v>0</v>
      </c>
      <c r="FB65" s="208">
        <v>0</v>
      </c>
      <c r="FC65" s="208">
        <v>0</v>
      </c>
      <c r="FD65" s="208">
        <v>0</v>
      </c>
      <c r="FE65" s="208">
        <v>0</v>
      </c>
      <c r="FF65" s="208">
        <v>0</v>
      </c>
      <c r="FG65" s="208">
        <v>0</v>
      </c>
      <c r="FH65" s="208">
        <v>0</v>
      </c>
      <c r="FI65" s="208">
        <v>0</v>
      </c>
      <c r="FJ65" s="208">
        <v>194439.75375</v>
      </c>
      <c r="FK65" s="208">
        <v>42664.879124999992</v>
      </c>
      <c r="FL65" s="208">
        <v>4740.5421249999999</v>
      </c>
      <c r="FM65" s="208">
        <v>196178</v>
      </c>
      <c r="FN65" s="208">
        <v>42499</v>
      </c>
      <c r="FO65" s="208">
        <v>4722</v>
      </c>
      <c r="FP65" s="208">
        <v>-1738</v>
      </c>
      <c r="FQ65" s="208">
        <v>166</v>
      </c>
      <c r="FR65" s="208">
        <v>19</v>
      </c>
      <c r="FS65" s="208">
        <v>0</v>
      </c>
      <c r="FT65" s="208">
        <v>0</v>
      </c>
      <c r="FU65" s="208">
        <v>0</v>
      </c>
      <c r="FV65" s="208">
        <v>0</v>
      </c>
      <c r="FW65" s="208">
        <v>0</v>
      </c>
      <c r="FX65" s="208">
        <v>0</v>
      </c>
      <c r="FY65" s="208">
        <v>0</v>
      </c>
      <c r="FZ65" s="208">
        <v>0</v>
      </c>
      <c r="GA65" s="208">
        <v>0</v>
      </c>
      <c r="GB65" s="208">
        <v>926297</v>
      </c>
      <c r="GC65" s="208">
        <v>207333</v>
      </c>
      <c r="GD65" s="208">
        <v>23038</v>
      </c>
      <c r="GE65" s="664">
        <v>0.5</v>
      </c>
      <c r="GF65" s="664">
        <v>0.4</v>
      </c>
      <c r="GG65" s="664">
        <v>0.09</v>
      </c>
      <c r="GH65" s="664">
        <v>0.01</v>
      </c>
      <c r="GI65" s="187" t="s">
        <v>1054</v>
      </c>
    </row>
    <row r="66" spans="1:191" s="187" customFormat="1" x14ac:dyDescent="0.2">
      <c r="B66" s="429" t="s">
        <v>211</v>
      </c>
      <c r="C66" s="429" t="s">
        <v>210</v>
      </c>
      <c r="D66" s="208">
        <v>12705461</v>
      </c>
      <c r="E66" s="208">
        <v>0</v>
      </c>
      <c r="F66" s="208">
        <v>12705461</v>
      </c>
      <c r="G66" s="208">
        <v>10382585</v>
      </c>
      <c r="H66" s="208">
        <v>0</v>
      </c>
      <c r="I66" s="208">
        <v>10382585</v>
      </c>
      <c r="J66" s="208">
        <v>2322876</v>
      </c>
      <c r="K66" s="208">
        <v>0</v>
      </c>
      <c r="L66" s="208">
        <v>2322876</v>
      </c>
      <c r="M66" s="208">
        <v>1982843</v>
      </c>
      <c r="N66" s="208">
        <v>1982843</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c r="BL66" s="208">
        <v>0</v>
      </c>
      <c r="BM66" s="208">
        <v>0</v>
      </c>
      <c r="BN66" s="208">
        <v>0</v>
      </c>
      <c r="BO66" s="208">
        <v>616139.00632666668</v>
      </c>
      <c r="BP66" s="208">
        <v>346578.19105875003</v>
      </c>
      <c r="BQ66" s="208">
        <v>0</v>
      </c>
      <c r="BR66" s="208">
        <v>542852</v>
      </c>
      <c r="BS66" s="208">
        <v>305354</v>
      </c>
      <c r="BT66" s="208">
        <v>0</v>
      </c>
      <c r="BU66" s="208">
        <v>353866</v>
      </c>
      <c r="BV66" s="208">
        <v>199050</v>
      </c>
      <c r="BW66" s="208">
        <v>0</v>
      </c>
      <c r="BX66" s="208">
        <v>805125</v>
      </c>
      <c r="BY66" s="208">
        <v>452882</v>
      </c>
      <c r="BZ66" s="208">
        <v>0</v>
      </c>
      <c r="CA66" s="208">
        <v>0</v>
      </c>
      <c r="CB66" s="208">
        <v>0</v>
      </c>
      <c r="CC66" s="208">
        <v>0</v>
      </c>
      <c r="CD66" s="208">
        <v>0</v>
      </c>
      <c r="CE66" s="208">
        <v>0</v>
      </c>
      <c r="CF66" s="208">
        <v>0</v>
      </c>
      <c r="CG66" s="208">
        <v>0</v>
      </c>
      <c r="CH66" s="208">
        <v>0</v>
      </c>
      <c r="CI66" s="208">
        <v>0</v>
      </c>
      <c r="CJ66" s="208">
        <v>14411.177333333335</v>
      </c>
      <c r="CK66" s="208">
        <v>8106.2872500000003</v>
      </c>
      <c r="CL66" s="208">
        <v>0</v>
      </c>
      <c r="CM66" s="208">
        <v>0</v>
      </c>
      <c r="CN66" s="208">
        <v>0</v>
      </c>
      <c r="CO66" s="208">
        <v>0</v>
      </c>
      <c r="CP66" s="208">
        <v>-107.36533333333333</v>
      </c>
      <c r="CQ66" s="208">
        <v>-60.392999999999994</v>
      </c>
      <c r="CR66" s="208">
        <v>0</v>
      </c>
      <c r="CS66" s="208">
        <v>0</v>
      </c>
      <c r="CT66" s="208">
        <v>0</v>
      </c>
      <c r="CU66" s="208">
        <v>0</v>
      </c>
      <c r="CV66" s="208">
        <v>0</v>
      </c>
      <c r="CW66" s="208">
        <v>0</v>
      </c>
      <c r="CX66" s="208">
        <v>0</v>
      </c>
      <c r="CY66" s="208">
        <v>0</v>
      </c>
      <c r="CZ66" s="208">
        <v>0</v>
      </c>
      <c r="DA66" s="208">
        <v>0</v>
      </c>
      <c r="DB66" s="208">
        <v>0</v>
      </c>
      <c r="DC66" s="208">
        <v>0</v>
      </c>
      <c r="DD66" s="208">
        <v>0</v>
      </c>
      <c r="DE66" s="208">
        <v>0</v>
      </c>
      <c r="DF66" s="208">
        <v>0</v>
      </c>
      <c r="DG66" s="208">
        <v>0</v>
      </c>
      <c r="DH66" s="208">
        <v>0</v>
      </c>
      <c r="DI66" s="208">
        <v>0</v>
      </c>
      <c r="DJ66" s="208">
        <v>0</v>
      </c>
      <c r="DK66" s="208">
        <v>0</v>
      </c>
      <c r="DL66" s="208">
        <v>0</v>
      </c>
      <c r="DM66" s="208">
        <v>0</v>
      </c>
      <c r="DN66" s="208">
        <v>0</v>
      </c>
      <c r="DO66" s="208">
        <v>0</v>
      </c>
      <c r="DP66" s="208">
        <v>0</v>
      </c>
      <c r="DQ66" s="208">
        <v>0</v>
      </c>
      <c r="DR66" s="208">
        <v>0</v>
      </c>
      <c r="DS66" s="208">
        <v>0</v>
      </c>
      <c r="DT66" s="208">
        <v>0</v>
      </c>
      <c r="DU66" s="208">
        <v>0</v>
      </c>
      <c r="DV66" s="208">
        <v>0</v>
      </c>
      <c r="DW66" s="208">
        <v>15345.386666666667</v>
      </c>
      <c r="DX66" s="208">
        <v>8631.7800000000007</v>
      </c>
      <c r="DY66" s="208">
        <v>0</v>
      </c>
      <c r="DZ66" s="208">
        <v>19530</v>
      </c>
      <c r="EA66" s="208">
        <v>10985</v>
      </c>
      <c r="EB66" s="208">
        <v>0</v>
      </c>
      <c r="EC66" s="208">
        <v>-4185</v>
      </c>
      <c r="ED66" s="208">
        <v>-2353</v>
      </c>
      <c r="EE66" s="208">
        <v>0</v>
      </c>
      <c r="EF66" s="208">
        <v>1759534.5066666666</v>
      </c>
      <c r="EG66" s="208">
        <v>989738.15999999992</v>
      </c>
      <c r="EH66" s="208">
        <v>0</v>
      </c>
      <c r="EI66" s="208">
        <v>15712</v>
      </c>
      <c r="EJ66" s="208">
        <v>8838</v>
      </c>
      <c r="EK66" s="208">
        <v>0</v>
      </c>
      <c r="EL66" s="208">
        <v>1761708</v>
      </c>
      <c r="EM66" s="208">
        <v>990961</v>
      </c>
      <c r="EN66" s="208">
        <v>0</v>
      </c>
      <c r="EO66" s="208">
        <v>13539</v>
      </c>
      <c r="EP66" s="208">
        <v>7615</v>
      </c>
      <c r="EQ66" s="208">
        <v>0</v>
      </c>
      <c r="ER66" s="208">
        <v>33063.285333333333</v>
      </c>
      <c r="ES66" s="208">
        <v>18598.097999999998</v>
      </c>
      <c r="ET66" s="208">
        <v>0</v>
      </c>
      <c r="EU66" s="208">
        <v>32523</v>
      </c>
      <c r="EV66" s="208">
        <v>18294</v>
      </c>
      <c r="EW66" s="208">
        <v>0</v>
      </c>
      <c r="EX66" s="208">
        <v>540</v>
      </c>
      <c r="EY66" s="208">
        <v>304</v>
      </c>
      <c r="EZ66" s="208">
        <v>0</v>
      </c>
      <c r="FA66" s="208">
        <v>0</v>
      </c>
      <c r="FB66" s="208">
        <v>0</v>
      </c>
      <c r="FC66" s="208">
        <v>0</v>
      </c>
      <c r="FD66" s="208">
        <v>0</v>
      </c>
      <c r="FE66" s="208">
        <v>0</v>
      </c>
      <c r="FF66" s="208">
        <v>0</v>
      </c>
      <c r="FG66" s="208">
        <v>0</v>
      </c>
      <c r="FH66" s="208">
        <v>0</v>
      </c>
      <c r="FI66" s="208">
        <v>0</v>
      </c>
      <c r="FJ66" s="208">
        <v>17368398.446666665</v>
      </c>
      <c r="FK66" s="208">
        <v>9769724.1262499988</v>
      </c>
      <c r="FL66" s="208">
        <v>0</v>
      </c>
      <c r="FM66" s="208">
        <v>16938800</v>
      </c>
      <c r="FN66" s="208">
        <v>9378479</v>
      </c>
      <c r="FO66" s="208">
        <v>0</v>
      </c>
      <c r="FP66" s="208">
        <v>429598</v>
      </c>
      <c r="FQ66" s="208">
        <v>391245</v>
      </c>
      <c r="FR66" s="208">
        <v>0</v>
      </c>
      <c r="FS66" s="208">
        <v>0</v>
      </c>
      <c r="FT66" s="208">
        <v>0</v>
      </c>
      <c r="FU66" s="208">
        <v>0</v>
      </c>
      <c r="FV66" s="208">
        <v>0</v>
      </c>
      <c r="FW66" s="208">
        <v>0</v>
      </c>
      <c r="FX66" s="208">
        <v>0</v>
      </c>
      <c r="FY66" s="208">
        <v>0</v>
      </c>
      <c r="FZ66" s="208">
        <v>0</v>
      </c>
      <c r="GA66" s="208">
        <v>0</v>
      </c>
      <c r="GB66" s="208">
        <v>20365348</v>
      </c>
      <c r="GC66" s="208">
        <v>11455508</v>
      </c>
      <c r="GD66" s="208">
        <v>0</v>
      </c>
      <c r="GE66" s="664">
        <v>0</v>
      </c>
      <c r="GF66" s="664">
        <v>0.64</v>
      </c>
      <c r="GG66" s="664">
        <v>0.36</v>
      </c>
      <c r="GH66" s="664">
        <v>0</v>
      </c>
      <c r="GI66" s="187" t="s">
        <v>1057</v>
      </c>
    </row>
    <row r="67" spans="1:191" s="187" customFormat="1" x14ac:dyDescent="0.2">
      <c r="B67" s="429" t="s">
        <v>213</v>
      </c>
      <c r="C67" s="429" t="s">
        <v>212</v>
      </c>
      <c r="D67" s="208">
        <v>-523677</v>
      </c>
      <c r="E67" s="208">
        <v>0</v>
      </c>
      <c r="F67" s="208">
        <v>-523677</v>
      </c>
      <c r="G67" s="208">
        <v>-714401</v>
      </c>
      <c r="H67" s="208">
        <v>0</v>
      </c>
      <c r="I67" s="208">
        <v>-714401</v>
      </c>
      <c r="J67" s="208">
        <v>190724</v>
      </c>
      <c r="K67" s="208">
        <v>0</v>
      </c>
      <c r="L67" s="208">
        <v>190724</v>
      </c>
      <c r="M67" s="208">
        <v>237632</v>
      </c>
      <c r="N67" s="208">
        <v>237632</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c r="BL67" s="208">
        <v>0</v>
      </c>
      <c r="BM67" s="208">
        <v>0</v>
      </c>
      <c r="BN67" s="208">
        <v>0</v>
      </c>
      <c r="BO67" s="208">
        <v>1701125.1843100004</v>
      </c>
      <c r="BP67" s="208">
        <v>382753.16646974994</v>
      </c>
      <c r="BQ67" s="208">
        <v>42528.129607749994</v>
      </c>
      <c r="BR67" s="208">
        <v>129345</v>
      </c>
      <c r="BS67" s="208">
        <v>29103</v>
      </c>
      <c r="BT67" s="208">
        <v>3234</v>
      </c>
      <c r="BU67" s="208">
        <v>1660306</v>
      </c>
      <c r="BV67" s="208">
        <v>373569</v>
      </c>
      <c r="BW67" s="208">
        <v>41508</v>
      </c>
      <c r="BX67" s="208">
        <v>170164</v>
      </c>
      <c r="BY67" s="208">
        <v>38287</v>
      </c>
      <c r="BZ67" s="208">
        <v>4254</v>
      </c>
      <c r="CA67" s="208">
        <v>0</v>
      </c>
      <c r="CB67" s="208">
        <v>0</v>
      </c>
      <c r="CC67" s="208">
        <v>0</v>
      </c>
      <c r="CD67" s="208">
        <v>0</v>
      </c>
      <c r="CE67" s="208">
        <v>0</v>
      </c>
      <c r="CF67" s="208">
        <v>0</v>
      </c>
      <c r="CG67" s="208">
        <v>0</v>
      </c>
      <c r="CH67" s="208">
        <v>0</v>
      </c>
      <c r="CI67" s="208">
        <v>0</v>
      </c>
      <c r="CJ67" s="208">
        <v>0</v>
      </c>
      <c r="CK67" s="208">
        <v>0</v>
      </c>
      <c r="CL67" s="208">
        <v>0</v>
      </c>
      <c r="CM67" s="208">
        <v>0</v>
      </c>
      <c r="CN67" s="208">
        <v>0</v>
      </c>
      <c r="CO67" s="208">
        <v>0</v>
      </c>
      <c r="CP67" s="208">
        <v>-207.85666666666668</v>
      </c>
      <c r="CQ67" s="208">
        <v>-46.767749999999999</v>
      </c>
      <c r="CR67" s="208">
        <v>-5.1964166666666669</v>
      </c>
      <c r="CS67" s="208">
        <v>0</v>
      </c>
      <c r="CT67" s="208">
        <v>0</v>
      </c>
      <c r="CU67" s="208">
        <v>0</v>
      </c>
      <c r="CV67" s="208">
        <v>0</v>
      </c>
      <c r="CW67" s="208">
        <v>0</v>
      </c>
      <c r="CX67" s="208">
        <v>0</v>
      </c>
      <c r="CY67" s="208">
        <v>0</v>
      </c>
      <c r="CZ67" s="208">
        <v>0</v>
      </c>
      <c r="DA67" s="208">
        <v>0</v>
      </c>
      <c r="DB67" s="208">
        <v>0</v>
      </c>
      <c r="DC67" s="208">
        <v>0</v>
      </c>
      <c r="DD67" s="208">
        <v>0</v>
      </c>
      <c r="DE67" s="208">
        <v>2173.084166666667</v>
      </c>
      <c r="DF67" s="208">
        <v>488.9439375</v>
      </c>
      <c r="DG67" s="208">
        <v>54.327104166666672</v>
      </c>
      <c r="DH67" s="208">
        <v>2164</v>
      </c>
      <c r="DI67" s="208">
        <v>487</v>
      </c>
      <c r="DJ67" s="208">
        <v>54</v>
      </c>
      <c r="DK67" s="208">
        <v>9</v>
      </c>
      <c r="DL67" s="208">
        <v>2</v>
      </c>
      <c r="DM67" s="208">
        <v>0</v>
      </c>
      <c r="DN67" s="208">
        <v>613.75</v>
      </c>
      <c r="DO67" s="208">
        <v>138.09375</v>
      </c>
      <c r="DP67" s="208">
        <v>15.34375</v>
      </c>
      <c r="DQ67" s="208">
        <v>614</v>
      </c>
      <c r="DR67" s="208">
        <v>138</v>
      </c>
      <c r="DS67" s="208">
        <v>15</v>
      </c>
      <c r="DT67" s="208">
        <v>0</v>
      </c>
      <c r="DU67" s="208">
        <v>0</v>
      </c>
      <c r="DV67" s="208">
        <v>0</v>
      </c>
      <c r="DW67" s="208">
        <v>8465.6583333333347</v>
      </c>
      <c r="DX67" s="208">
        <v>1904.7731250000002</v>
      </c>
      <c r="DY67" s="208">
        <v>211.64145833333336</v>
      </c>
      <c r="DZ67" s="208">
        <v>6966</v>
      </c>
      <c r="EA67" s="208">
        <v>1567</v>
      </c>
      <c r="EB67" s="208">
        <v>174</v>
      </c>
      <c r="EC67" s="208">
        <v>1500</v>
      </c>
      <c r="ED67" s="208">
        <v>338</v>
      </c>
      <c r="EE67" s="208">
        <v>38</v>
      </c>
      <c r="EF67" s="208">
        <v>59153.225000000006</v>
      </c>
      <c r="EG67" s="208">
        <v>13309.475624999999</v>
      </c>
      <c r="EH67" s="208">
        <v>1478.8306250000001</v>
      </c>
      <c r="EI67" s="208">
        <v>-7491.8416666666672</v>
      </c>
      <c r="EJ67" s="208">
        <v>-1685.6643750000001</v>
      </c>
      <c r="EK67" s="208">
        <v>-187.2960416666667</v>
      </c>
      <c r="EL67" s="208">
        <v>59154</v>
      </c>
      <c r="EM67" s="208">
        <v>13309</v>
      </c>
      <c r="EN67" s="208">
        <v>1479</v>
      </c>
      <c r="EO67" s="208">
        <v>-7493</v>
      </c>
      <c r="EP67" s="208">
        <v>-1685</v>
      </c>
      <c r="EQ67" s="208">
        <v>-187</v>
      </c>
      <c r="ER67" s="208">
        <v>25651.476666666669</v>
      </c>
      <c r="ES67" s="208">
        <v>5771.5822499999995</v>
      </c>
      <c r="ET67" s="208">
        <v>641.28691666666668</v>
      </c>
      <c r="EU67" s="208">
        <v>26784</v>
      </c>
      <c r="EV67" s="208">
        <v>6026</v>
      </c>
      <c r="EW67" s="208">
        <v>670</v>
      </c>
      <c r="EX67" s="208">
        <v>-1133</v>
      </c>
      <c r="EY67" s="208">
        <v>-254</v>
      </c>
      <c r="EZ67" s="208">
        <v>-29</v>
      </c>
      <c r="FA67" s="208">
        <v>0</v>
      </c>
      <c r="FB67" s="208">
        <v>0</v>
      </c>
      <c r="FC67" s="208">
        <v>0</v>
      </c>
      <c r="FD67" s="208">
        <v>0</v>
      </c>
      <c r="FE67" s="208">
        <v>0</v>
      </c>
      <c r="FF67" s="208">
        <v>0</v>
      </c>
      <c r="FG67" s="208">
        <v>0</v>
      </c>
      <c r="FH67" s="208">
        <v>0</v>
      </c>
      <c r="FI67" s="208">
        <v>0</v>
      </c>
      <c r="FJ67" s="208">
        <v>542916.67833333334</v>
      </c>
      <c r="FK67" s="208">
        <v>122156.25262499999</v>
      </c>
      <c r="FL67" s="208">
        <v>13572.916958333331</v>
      </c>
      <c r="FM67" s="208">
        <v>567315</v>
      </c>
      <c r="FN67" s="208">
        <v>127646</v>
      </c>
      <c r="FO67" s="208">
        <v>14183</v>
      </c>
      <c r="FP67" s="208">
        <v>-24398</v>
      </c>
      <c r="FQ67" s="208">
        <v>-5490</v>
      </c>
      <c r="FR67" s="208">
        <v>-610</v>
      </c>
      <c r="FS67" s="208">
        <v>0</v>
      </c>
      <c r="FT67" s="208">
        <v>0</v>
      </c>
      <c r="FU67" s="208">
        <v>0</v>
      </c>
      <c r="FV67" s="208">
        <v>0</v>
      </c>
      <c r="FW67" s="208">
        <v>0</v>
      </c>
      <c r="FX67" s="208">
        <v>0</v>
      </c>
      <c r="FY67" s="208">
        <v>0</v>
      </c>
      <c r="FZ67" s="208">
        <v>0</v>
      </c>
      <c r="GA67" s="208">
        <v>0</v>
      </c>
      <c r="GB67" s="208">
        <v>2461744</v>
      </c>
      <c r="GC67" s="208">
        <v>553892</v>
      </c>
      <c r="GD67" s="208">
        <v>61544</v>
      </c>
      <c r="GE67" s="664">
        <v>0.5</v>
      </c>
      <c r="GF67" s="664">
        <v>0.4</v>
      </c>
      <c r="GG67" s="664">
        <v>0.09</v>
      </c>
      <c r="GH67" s="664">
        <v>0.01</v>
      </c>
      <c r="GI67" s="187" t="s">
        <v>1054</v>
      </c>
    </row>
    <row r="68" spans="1:191" s="187" customFormat="1" x14ac:dyDescent="0.2">
      <c r="A68" s="187" t="s">
        <v>1811</v>
      </c>
      <c r="B68" s="429" t="s">
        <v>215</v>
      </c>
      <c r="C68" s="429" t="s">
        <v>214</v>
      </c>
      <c r="D68" s="208">
        <v>-5336483</v>
      </c>
      <c r="E68" s="208">
        <v>0</v>
      </c>
      <c r="F68" s="208">
        <v>-5336483</v>
      </c>
      <c r="G68" s="208">
        <v>-5947551</v>
      </c>
      <c r="H68" s="208">
        <v>0</v>
      </c>
      <c r="I68" s="208">
        <v>-5947551</v>
      </c>
      <c r="J68" s="208">
        <v>611068</v>
      </c>
      <c r="K68" s="208">
        <v>0</v>
      </c>
      <c r="L68" s="208">
        <v>611068</v>
      </c>
      <c r="M68" s="208">
        <v>102511</v>
      </c>
      <c r="N68" s="208">
        <v>102511</v>
      </c>
      <c r="O68" s="208">
        <v>0</v>
      </c>
      <c r="P68" s="208">
        <v>0</v>
      </c>
      <c r="Q68" s="208">
        <v>0</v>
      </c>
      <c r="R68" s="208">
        <v>0</v>
      </c>
      <c r="S68" s="208">
        <v>35220</v>
      </c>
      <c r="T68" s="208">
        <v>0</v>
      </c>
      <c r="U68" s="208">
        <v>40818</v>
      </c>
      <c r="V68" s="208">
        <v>0</v>
      </c>
      <c r="W68" s="208">
        <v>-5598</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c r="BL68" s="208">
        <v>0</v>
      </c>
      <c r="BM68" s="208">
        <v>0</v>
      </c>
      <c r="BN68" s="208">
        <v>0</v>
      </c>
      <c r="BO68" s="208">
        <v>616545.08460333338</v>
      </c>
      <c r="BP68" s="208">
        <v>154136.27115083335</v>
      </c>
      <c r="BQ68" s="208">
        <v>0</v>
      </c>
      <c r="BR68" s="208">
        <v>36774</v>
      </c>
      <c r="BS68" s="208">
        <v>9194</v>
      </c>
      <c r="BT68" s="208">
        <v>0</v>
      </c>
      <c r="BU68" s="208">
        <v>557945</v>
      </c>
      <c r="BV68" s="208">
        <v>139486</v>
      </c>
      <c r="BW68" s="208">
        <v>0</v>
      </c>
      <c r="BX68" s="208">
        <v>95374</v>
      </c>
      <c r="BY68" s="208">
        <v>23844</v>
      </c>
      <c r="BZ68" s="208">
        <v>0</v>
      </c>
      <c r="CA68" s="208">
        <v>0</v>
      </c>
      <c r="CB68" s="208">
        <v>0</v>
      </c>
      <c r="CC68" s="208">
        <v>0</v>
      </c>
      <c r="CD68" s="208">
        <v>0</v>
      </c>
      <c r="CE68" s="208">
        <v>0</v>
      </c>
      <c r="CF68" s="208">
        <v>0</v>
      </c>
      <c r="CG68" s="208">
        <v>0</v>
      </c>
      <c r="CH68" s="208">
        <v>0</v>
      </c>
      <c r="CI68" s="208">
        <v>0</v>
      </c>
      <c r="CJ68" s="208">
        <v>0</v>
      </c>
      <c r="CK68" s="208">
        <v>0</v>
      </c>
      <c r="CL68" s="208">
        <v>0</v>
      </c>
      <c r="CM68" s="208">
        <v>0</v>
      </c>
      <c r="CN68" s="208">
        <v>0</v>
      </c>
      <c r="CO68" s="208">
        <v>0</v>
      </c>
      <c r="CP68" s="208">
        <v>-1604.3425</v>
      </c>
      <c r="CQ68" s="208">
        <v>-401.08562499999999</v>
      </c>
      <c r="CR68" s="208">
        <v>0</v>
      </c>
      <c r="CS68" s="208">
        <v>0</v>
      </c>
      <c r="CT68" s="208">
        <v>0</v>
      </c>
      <c r="CU68" s="208">
        <v>0</v>
      </c>
      <c r="CV68" s="208">
        <v>0</v>
      </c>
      <c r="CW68" s="208">
        <v>0</v>
      </c>
      <c r="CX68" s="208">
        <v>0</v>
      </c>
      <c r="CY68" s="208">
        <v>0</v>
      </c>
      <c r="CZ68" s="208">
        <v>0</v>
      </c>
      <c r="DA68" s="208">
        <v>0</v>
      </c>
      <c r="DB68" s="208">
        <v>0</v>
      </c>
      <c r="DC68" s="208">
        <v>0</v>
      </c>
      <c r="DD68" s="208">
        <v>0</v>
      </c>
      <c r="DE68" s="208">
        <v>7373.1833333333334</v>
      </c>
      <c r="DF68" s="208">
        <v>1843.2958333333333</v>
      </c>
      <c r="DG68" s="208">
        <v>0</v>
      </c>
      <c r="DH68" s="208">
        <v>7373</v>
      </c>
      <c r="DI68" s="208">
        <v>1843</v>
      </c>
      <c r="DJ68" s="208">
        <v>0</v>
      </c>
      <c r="DK68" s="208">
        <v>0</v>
      </c>
      <c r="DL68" s="208">
        <v>0</v>
      </c>
      <c r="DM68" s="208">
        <v>0</v>
      </c>
      <c r="DN68" s="208">
        <v>-144.43583333333333</v>
      </c>
      <c r="DO68" s="208">
        <v>-36.108958333333334</v>
      </c>
      <c r="DP68" s="208">
        <v>0</v>
      </c>
      <c r="DQ68" s="208">
        <v>614</v>
      </c>
      <c r="DR68" s="208">
        <v>153</v>
      </c>
      <c r="DS68" s="208">
        <v>0</v>
      </c>
      <c r="DT68" s="208">
        <v>-758</v>
      </c>
      <c r="DU68" s="208">
        <v>-189</v>
      </c>
      <c r="DV68" s="208">
        <v>0</v>
      </c>
      <c r="DW68" s="208">
        <v>6369.4974999999995</v>
      </c>
      <c r="DX68" s="208">
        <v>1592.3743749999999</v>
      </c>
      <c r="DY68" s="208">
        <v>0</v>
      </c>
      <c r="DZ68" s="208">
        <v>5826</v>
      </c>
      <c r="EA68" s="208">
        <v>1457</v>
      </c>
      <c r="EB68" s="208">
        <v>0</v>
      </c>
      <c r="EC68" s="208">
        <v>543</v>
      </c>
      <c r="ED68" s="208">
        <v>135</v>
      </c>
      <c r="EE68" s="208">
        <v>0</v>
      </c>
      <c r="EF68" s="208">
        <v>38796.774166666662</v>
      </c>
      <c r="EG68" s="208">
        <v>9699.1935416666656</v>
      </c>
      <c r="EH68" s="208">
        <v>0</v>
      </c>
      <c r="EI68" s="208">
        <v>-3217.2775000000001</v>
      </c>
      <c r="EJ68" s="208">
        <v>-804.31937500000004</v>
      </c>
      <c r="EK68" s="208">
        <v>0</v>
      </c>
      <c r="EL68" s="208">
        <v>39689</v>
      </c>
      <c r="EM68" s="208">
        <v>9922</v>
      </c>
      <c r="EN68" s="208">
        <v>0</v>
      </c>
      <c r="EO68" s="208">
        <v>-4110</v>
      </c>
      <c r="EP68" s="208">
        <v>-1027</v>
      </c>
      <c r="EQ68" s="208">
        <v>0</v>
      </c>
      <c r="ER68" s="208">
        <v>20712.01666666667</v>
      </c>
      <c r="ES68" s="208">
        <v>5178.0041666666675</v>
      </c>
      <c r="ET68" s="208">
        <v>0</v>
      </c>
      <c r="EU68" s="208">
        <v>21830</v>
      </c>
      <c r="EV68" s="208">
        <v>5458</v>
      </c>
      <c r="EW68" s="208">
        <v>0</v>
      </c>
      <c r="EX68" s="208">
        <v>-1118</v>
      </c>
      <c r="EY68" s="208">
        <v>-280</v>
      </c>
      <c r="EZ68" s="208">
        <v>0</v>
      </c>
      <c r="FA68" s="208">
        <v>0</v>
      </c>
      <c r="FB68" s="208">
        <v>0</v>
      </c>
      <c r="FC68" s="208">
        <v>0</v>
      </c>
      <c r="FD68" s="208">
        <v>0</v>
      </c>
      <c r="FE68" s="208">
        <v>0</v>
      </c>
      <c r="FF68" s="208">
        <v>0</v>
      </c>
      <c r="FG68" s="208">
        <v>0</v>
      </c>
      <c r="FH68" s="208">
        <v>0</v>
      </c>
      <c r="FI68" s="208">
        <v>0</v>
      </c>
      <c r="FJ68" s="208">
        <v>356997.69416666665</v>
      </c>
      <c r="FK68" s="208">
        <v>89047.642291666663</v>
      </c>
      <c r="FL68" s="208">
        <v>0</v>
      </c>
      <c r="FM68" s="208">
        <v>321471</v>
      </c>
      <c r="FN68" s="208">
        <v>80134</v>
      </c>
      <c r="FO68" s="208">
        <v>0</v>
      </c>
      <c r="FP68" s="208">
        <v>35527</v>
      </c>
      <c r="FQ68" s="208">
        <v>8914</v>
      </c>
      <c r="FR68" s="208">
        <v>0</v>
      </c>
      <c r="FS68" s="208">
        <v>0</v>
      </c>
      <c r="FT68" s="208">
        <v>0</v>
      </c>
      <c r="FU68" s="208">
        <v>0</v>
      </c>
      <c r="FV68" s="208">
        <v>0</v>
      </c>
      <c r="FW68" s="208">
        <v>0</v>
      </c>
      <c r="FX68" s="208">
        <v>0</v>
      </c>
      <c r="FY68" s="208">
        <v>0</v>
      </c>
      <c r="FZ68" s="208">
        <v>0</v>
      </c>
      <c r="GA68" s="208">
        <v>0</v>
      </c>
      <c r="GB68" s="208">
        <v>1078603</v>
      </c>
      <c r="GC68" s="208">
        <v>269449</v>
      </c>
      <c r="GD68" s="208">
        <v>0</v>
      </c>
      <c r="GE68" s="664">
        <v>0.5</v>
      </c>
      <c r="GF68" s="664">
        <v>0.4</v>
      </c>
      <c r="GG68" s="664">
        <v>0.1</v>
      </c>
      <c r="GH68" s="664">
        <v>0</v>
      </c>
      <c r="GI68" s="187" t="s">
        <v>1054</v>
      </c>
    </row>
    <row r="69" spans="1:191" s="187" customFormat="1" x14ac:dyDescent="0.2">
      <c r="A69" s="188" t="s">
        <v>1817</v>
      </c>
      <c r="B69" s="429" t="s">
        <v>217</v>
      </c>
      <c r="C69" s="429" t="s">
        <v>216</v>
      </c>
      <c r="D69" s="208">
        <v>-635646</v>
      </c>
      <c r="E69" s="208">
        <v>0</v>
      </c>
      <c r="F69" s="208">
        <v>-635646</v>
      </c>
      <c r="G69" s="208">
        <v>997298</v>
      </c>
      <c r="H69" s="208">
        <v>0</v>
      </c>
      <c r="I69" s="208">
        <v>997298</v>
      </c>
      <c r="J69" s="208">
        <v>-1632944</v>
      </c>
      <c r="K69" s="208">
        <v>0</v>
      </c>
      <c r="L69" s="208">
        <v>-1632944</v>
      </c>
      <c r="M69" s="208">
        <v>88006</v>
      </c>
      <c r="N69" s="208">
        <v>88006</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c r="BL69" s="208">
        <v>0</v>
      </c>
      <c r="BM69" s="208">
        <v>0</v>
      </c>
      <c r="BN69" s="208">
        <v>0</v>
      </c>
      <c r="BO69" s="208">
        <v>553133.56390333327</v>
      </c>
      <c r="BP69" s="208">
        <v>138283.39097583332</v>
      </c>
      <c r="BQ69" s="208">
        <v>0</v>
      </c>
      <c r="BR69" s="208">
        <v>0</v>
      </c>
      <c r="BS69" s="208">
        <v>0</v>
      </c>
      <c r="BT69" s="208">
        <v>0</v>
      </c>
      <c r="BU69" s="208">
        <v>485734</v>
      </c>
      <c r="BV69" s="208">
        <v>121434</v>
      </c>
      <c r="BW69" s="208">
        <v>0</v>
      </c>
      <c r="BX69" s="208">
        <v>67400</v>
      </c>
      <c r="BY69" s="208">
        <v>16849</v>
      </c>
      <c r="BZ69" s="208">
        <v>0</v>
      </c>
      <c r="CA69" s="208">
        <v>0</v>
      </c>
      <c r="CB69" s="208">
        <v>0</v>
      </c>
      <c r="CC69" s="208">
        <v>0</v>
      </c>
      <c r="CD69" s="208">
        <v>0</v>
      </c>
      <c r="CE69" s="208">
        <v>0</v>
      </c>
      <c r="CF69" s="208">
        <v>0</v>
      </c>
      <c r="CG69" s="208">
        <v>0</v>
      </c>
      <c r="CH69" s="208">
        <v>0</v>
      </c>
      <c r="CI69" s="208">
        <v>0</v>
      </c>
      <c r="CJ69" s="208">
        <v>0</v>
      </c>
      <c r="CK69" s="208">
        <v>0</v>
      </c>
      <c r="CL69" s="208">
        <v>0</v>
      </c>
      <c r="CM69" s="208">
        <v>0</v>
      </c>
      <c r="CN69" s="208">
        <v>0</v>
      </c>
      <c r="CO69" s="208">
        <v>0</v>
      </c>
      <c r="CP69" s="208">
        <v>0</v>
      </c>
      <c r="CQ69" s="208">
        <v>0</v>
      </c>
      <c r="CR69" s="208">
        <v>0</v>
      </c>
      <c r="CS69" s="208">
        <v>0</v>
      </c>
      <c r="CT69" s="208">
        <v>0</v>
      </c>
      <c r="CU69" s="208">
        <v>0</v>
      </c>
      <c r="CV69" s="208">
        <v>0</v>
      </c>
      <c r="CW69" s="208">
        <v>0</v>
      </c>
      <c r="CX69" s="208">
        <v>0</v>
      </c>
      <c r="CY69" s="208">
        <v>0</v>
      </c>
      <c r="CZ69" s="208">
        <v>0</v>
      </c>
      <c r="DA69" s="208">
        <v>0</v>
      </c>
      <c r="DB69" s="208">
        <v>0</v>
      </c>
      <c r="DC69" s="208">
        <v>0</v>
      </c>
      <c r="DD69" s="208">
        <v>0</v>
      </c>
      <c r="DE69" s="208">
        <v>0</v>
      </c>
      <c r="DF69" s="208">
        <v>0</v>
      </c>
      <c r="DG69" s="208">
        <v>0</v>
      </c>
      <c r="DH69" s="208">
        <v>0</v>
      </c>
      <c r="DI69" s="208">
        <v>0</v>
      </c>
      <c r="DJ69" s="208">
        <v>0</v>
      </c>
      <c r="DK69" s="208">
        <v>0</v>
      </c>
      <c r="DL69" s="208">
        <v>0</v>
      </c>
      <c r="DM69" s="208">
        <v>0</v>
      </c>
      <c r="DN69" s="208">
        <v>0</v>
      </c>
      <c r="DO69" s="208">
        <v>0</v>
      </c>
      <c r="DP69" s="208">
        <v>0</v>
      </c>
      <c r="DQ69" s="208">
        <v>0</v>
      </c>
      <c r="DR69" s="208">
        <v>0</v>
      </c>
      <c r="DS69" s="208">
        <v>0</v>
      </c>
      <c r="DT69" s="208">
        <v>0</v>
      </c>
      <c r="DU69" s="208">
        <v>0</v>
      </c>
      <c r="DV69" s="208">
        <v>0</v>
      </c>
      <c r="DW69" s="208">
        <v>1480.365</v>
      </c>
      <c r="DX69" s="208">
        <v>370.09125</v>
      </c>
      <c r="DY69" s="208">
        <v>0</v>
      </c>
      <c r="DZ69" s="208">
        <v>0</v>
      </c>
      <c r="EA69" s="208">
        <v>0</v>
      </c>
      <c r="EB69" s="208">
        <v>0</v>
      </c>
      <c r="EC69" s="208">
        <v>1480</v>
      </c>
      <c r="ED69" s="208">
        <v>370</v>
      </c>
      <c r="EE69" s="208">
        <v>0</v>
      </c>
      <c r="EF69" s="208">
        <v>0</v>
      </c>
      <c r="EG69" s="208">
        <v>0</v>
      </c>
      <c r="EH69" s="208">
        <v>0</v>
      </c>
      <c r="EI69" s="208">
        <v>0</v>
      </c>
      <c r="EJ69" s="208">
        <v>0</v>
      </c>
      <c r="EK69" s="208">
        <v>0</v>
      </c>
      <c r="EL69" s="208">
        <v>3682</v>
      </c>
      <c r="EM69" s="208">
        <v>921</v>
      </c>
      <c r="EN69" s="208">
        <v>0</v>
      </c>
      <c r="EO69" s="208">
        <v>-3682</v>
      </c>
      <c r="EP69" s="208">
        <v>-921</v>
      </c>
      <c r="EQ69" s="208">
        <v>0</v>
      </c>
      <c r="ER69" s="208">
        <v>1227.5</v>
      </c>
      <c r="ES69" s="208">
        <v>306.875</v>
      </c>
      <c r="ET69" s="208">
        <v>0</v>
      </c>
      <c r="EU69" s="208">
        <v>3274</v>
      </c>
      <c r="EV69" s="208">
        <v>818</v>
      </c>
      <c r="EW69" s="208">
        <v>0</v>
      </c>
      <c r="EX69" s="208">
        <v>-2047</v>
      </c>
      <c r="EY69" s="208">
        <v>-511</v>
      </c>
      <c r="EZ69" s="208">
        <v>0</v>
      </c>
      <c r="FA69" s="208">
        <v>0</v>
      </c>
      <c r="FB69" s="208">
        <v>0</v>
      </c>
      <c r="FC69" s="208">
        <v>0</v>
      </c>
      <c r="FD69" s="208">
        <v>0</v>
      </c>
      <c r="FE69" s="208">
        <v>0</v>
      </c>
      <c r="FF69" s="208">
        <v>0</v>
      </c>
      <c r="FG69" s="208">
        <v>0</v>
      </c>
      <c r="FH69" s="208">
        <v>0</v>
      </c>
      <c r="FI69" s="208">
        <v>0</v>
      </c>
      <c r="FJ69" s="208">
        <v>337607.63666666666</v>
      </c>
      <c r="FK69" s="208">
        <v>84401.909166666665</v>
      </c>
      <c r="FL69" s="208">
        <v>0</v>
      </c>
      <c r="FM69" s="208">
        <v>305533</v>
      </c>
      <c r="FN69" s="208">
        <v>76383</v>
      </c>
      <c r="FO69" s="208">
        <v>0</v>
      </c>
      <c r="FP69" s="208">
        <v>32075</v>
      </c>
      <c r="FQ69" s="208">
        <v>8019</v>
      </c>
      <c r="FR69" s="208">
        <v>0</v>
      </c>
      <c r="FS69" s="208">
        <v>0</v>
      </c>
      <c r="FT69" s="208">
        <v>0</v>
      </c>
      <c r="FU69" s="208">
        <v>0</v>
      </c>
      <c r="FV69" s="208">
        <v>0</v>
      </c>
      <c r="FW69" s="208">
        <v>0</v>
      </c>
      <c r="FX69" s="208">
        <v>0</v>
      </c>
      <c r="FY69" s="208">
        <v>0</v>
      </c>
      <c r="FZ69" s="208">
        <v>0</v>
      </c>
      <c r="GA69" s="208">
        <v>0</v>
      </c>
      <c r="GB69" s="208">
        <v>893450</v>
      </c>
      <c r="GC69" s="208">
        <v>223362</v>
      </c>
      <c r="GD69" s="208">
        <v>0</v>
      </c>
      <c r="GE69" s="664">
        <v>0.5</v>
      </c>
      <c r="GF69" s="664">
        <v>0.4</v>
      </c>
      <c r="GG69" s="664">
        <v>0.1</v>
      </c>
      <c r="GH69" s="664">
        <v>0</v>
      </c>
      <c r="GI69" s="187" t="s">
        <v>1054</v>
      </c>
    </row>
    <row r="70" spans="1:191" s="187" customFormat="1" x14ac:dyDescent="0.2">
      <c r="B70" s="429" t="s">
        <v>219</v>
      </c>
      <c r="C70" s="429" t="s">
        <v>218</v>
      </c>
      <c r="D70" s="208">
        <v>42898</v>
      </c>
      <c r="E70" s="208">
        <v>-769</v>
      </c>
      <c r="F70" s="208">
        <v>42129</v>
      </c>
      <c r="G70" s="208">
        <v>-28875</v>
      </c>
      <c r="H70" s="208">
        <v>-769</v>
      </c>
      <c r="I70" s="208">
        <v>-29644</v>
      </c>
      <c r="J70" s="208">
        <v>71773</v>
      </c>
      <c r="K70" s="208">
        <v>0</v>
      </c>
      <c r="L70" s="208">
        <v>71773</v>
      </c>
      <c r="M70" s="208">
        <v>1125959</v>
      </c>
      <c r="N70" s="208">
        <v>1125959</v>
      </c>
      <c r="O70" s="208">
        <v>0</v>
      </c>
      <c r="P70" s="208">
        <v>134760</v>
      </c>
      <c r="Q70" s="208">
        <v>134822</v>
      </c>
      <c r="R70" s="208">
        <v>-62</v>
      </c>
      <c r="S70" s="208">
        <v>1570086</v>
      </c>
      <c r="T70" s="208">
        <v>0</v>
      </c>
      <c r="U70" s="208">
        <v>1705000</v>
      </c>
      <c r="V70" s="208">
        <v>0</v>
      </c>
      <c r="W70" s="208">
        <v>-134914</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c r="BL70" s="208">
        <v>0</v>
      </c>
      <c r="BM70" s="208">
        <v>0</v>
      </c>
      <c r="BN70" s="208">
        <v>0</v>
      </c>
      <c r="BO70" s="208">
        <v>26808543.813233335</v>
      </c>
      <c r="BP70" s="208">
        <v>0</v>
      </c>
      <c r="BQ70" s="208">
        <v>0</v>
      </c>
      <c r="BR70" s="208">
        <v>1117122</v>
      </c>
      <c r="BS70" s="208">
        <v>0</v>
      </c>
      <c r="BT70" s="208">
        <v>0</v>
      </c>
      <c r="BU70" s="208">
        <v>24250137</v>
      </c>
      <c r="BV70" s="208">
        <v>0</v>
      </c>
      <c r="BW70" s="208">
        <v>0</v>
      </c>
      <c r="BX70" s="208">
        <v>3675529</v>
      </c>
      <c r="BY70" s="208">
        <v>0</v>
      </c>
      <c r="BZ70" s="208">
        <v>0</v>
      </c>
      <c r="CA70" s="208">
        <v>22012.143749999999</v>
      </c>
      <c r="CB70" s="208">
        <v>0</v>
      </c>
      <c r="CC70" s="208">
        <v>0</v>
      </c>
      <c r="CD70" s="208">
        <v>37227</v>
      </c>
      <c r="CE70" s="208">
        <v>0</v>
      </c>
      <c r="CF70" s="208">
        <v>0</v>
      </c>
      <c r="CG70" s="208">
        <v>-15215</v>
      </c>
      <c r="CH70" s="208">
        <v>0</v>
      </c>
      <c r="CI70" s="208">
        <v>0</v>
      </c>
      <c r="CJ70" s="208">
        <v>0</v>
      </c>
      <c r="CK70" s="208">
        <v>0</v>
      </c>
      <c r="CL70" s="208">
        <v>0</v>
      </c>
      <c r="CM70" s="208">
        <v>0</v>
      </c>
      <c r="CN70" s="208">
        <v>0</v>
      </c>
      <c r="CO70" s="208">
        <v>0</v>
      </c>
      <c r="CP70" s="208">
        <v>-11886.291666666666</v>
      </c>
      <c r="CQ70" s="208">
        <v>0</v>
      </c>
      <c r="CR70" s="208">
        <v>0</v>
      </c>
      <c r="CS70" s="208">
        <v>0</v>
      </c>
      <c r="CT70" s="208">
        <v>0</v>
      </c>
      <c r="CU70" s="208">
        <v>0</v>
      </c>
      <c r="CV70" s="208">
        <v>0</v>
      </c>
      <c r="CW70" s="208">
        <v>0</v>
      </c>
      <c r="CX70" s="208">
        <v>0</v>
      </c>
      <c r="CY70" s="208">
        <v>0</v>
      </c>
      <c r="CZ70" s="208">
        <v>0</v>
      </c>
      <c r="DA70" s="208">
        <v>0</v>
      </c>
      <c r="DB70" s="208">
        <v>-4123.3770833333338</v>
      </c>
      <c r="DC70" s="208">
        <v>0</v>
      </c>
      <c r="DD70" s="208">
        <v>0</v>
      </c>
      <c r="DE70" s="208">
        <v>175000.58333333331</v>
      </c>
      <c r="DF70" s="208">
        <v>0</v>
      </c>
      <c r="DG70" s="208">
        <v>0</v>
      </c>
      <c r="DH70" s="208">
        <v>173560</v>
      </c>
      <c r="DI70" s="208">
        <v>0</v>
      </c>
      <c r="DJ70" s="208">
        <v>0</v>
      </c>
      <c r="DK70" s="208">
        <v>1441</v>
      </c>
      <c r="DL70" s="208">
        <v>0</v>
      </c>
      <c r="DM70" s="208">
        <v>0</v>
      </c>
      <c r="DN70" s="208">
        <v>11051.591666666667</v>
      </c>
      <c r="DO70" s="208">
        <v>0</v>
      </c>
      <c r="DP70" s="208">
        <v>0</v>
      </c>
      <c r="DQ70" s="208">
        <v>6138</v>
      </c>
      <c r="DR70" s="208">
        <v>0</v>
      </c>
      <c r="DS70" s="208">
        <v>0</v>
      </c>
      <c r="DT70" s="208">
        <v>4914</v>
      </c>
      <c r="DU70" s="208">
        <v>0</v>
      </c>
      <c r="DV70" s="208">
        <v>0</v>
      </c>
      <c r="DW70" s="208">
        <v>252963.20000000001</v>
      </c>
      <c r="DX70" s="208">
        <v>0</v>
      </c>
      <c r="DY70" s="208">
        <v>0</v>
      </c>
      <c r="DZ70" s="208">
        <v>51146</v>
      </c>
      <c r="EA70" s="208">
        <v>0</v>
      </c>
      <c r="EB70" s="208">
        <v>0</v>
      </c>
      <c r="EC70" s="208">
        <v>201817</v>
      </c>
      <c r="ED70" s="208">
        <v>0</v>
      </c>
      <c r="EE70" s="208">
        <v>0</v>
      </c>
      <c r="EF70" s="208">
        <v>760003.55625000002</v>
      </c>
      <c r="EG70" s="208">
        <v>0</v>
      </c>
      <c r="EH70" s="208">
        <v>0</v>
      </c>
      <c r="EI70" s="208">
        <v>142401.25208333333</v>
      </c>
      <c r="EJ70" s="208">
        <v>0</v>
      </c>
      <c r="EK70" s="208">
        <v>0</v>
      </c>
      <c r="EL70" s="208">
        <v>788437</v>
      </c>
      <c r="EM70" s="208">
        <v>0</v>
      </c>
      <c r="EN70" s="208">
        <v>0</v>
      </c>
      <c r="EO70" s="208">
        <v>113968</v>
      </c>
      <c r="EP70" s="208">
        <v>0</v>
      </c>
      <c r="EQ70" s="208">
        <v>0</v>
      </c>
      <c r="ER70" s="208">
        <v>250925.55</v>
      </c>
      <c r="ES70" s="208">
        <v>0</v>
      </c>
      <c r="ET70" s="208">
        <v>0</v>
      </c>
      <c r="EU70" s="208">
        <v>235271</v>
      </c>
      <c r="EV70" s="208">
        <v>0</v>
      </c>
      <c r="EW70" s="208">
        <v>0</v>
      </c>
      <c r="EX70" s="208">
        <v>15655</v>
      </c>
      <c r="EY70" s="208">
        <v>0</v>
      </c>
      <c r="EZ70" s="208">
        <v>0</v>
      </c>
      <c r="FA70" s="208">
        <v>0</v>
      </c>
      <c r="FB70" s="208">
        <v>0</v>
      </c>
      <c r="FC70" s="208">
        <v>0</v>
      </c>
      <c r="FD70" s="208">
        <v>0</v>
      </c>
      <c r="FE70" s="208">
        <v>0</v>
      </c>
      <c r="FF70" s="208">
        <v>0</v>
      </c>
      <c r="FG70" s="208">
        <v>0</v>
      </c>
      <c r="FH70" s="208">
        <v>0</v>
      </c>
      <c r="FI70" s="208">
        <v>0</v>
      </c>
      <c r="FJ70" s="208">
        <v>3592073.5354166664</v>
      </c>
      <c r="FK70" s="208">
        <v>0</v>
      </c>
      <c r="FL70" s="208">
        <v>0</v>
      </c>
      <c r="FM70" s="208">
        <v>3476628</v>
      </c>
      <c r="FN70" s="208">
        <v>0</v>
      </c>
      <c r="FO70" s="208">
        <v>0</v>
      </c>
      <c r="FP70" s="208">
        <v>115446</v>
      </c>
      <c r="FQ70" s="208">
        <v>0</v>
      </c>
      <c r="FR70" s="208">
        <v>0</v>
      </c>
      <c r="FS70" s="208">
        <v>326037.29791666666</v>
      </c>
      <c r="FT70" s="208">
        <v>0</v>
      </c>
      <c r="FU70" s="208">
        <v>0</v>
      </c>
      <c r="FV70" s="208">
        <v>229243</v>
      </c>
      <c r="FW70" s="208">
        <v>0</v>
      </c>
      <c r="FX70" s="208">
        <v>0</v>
      </c>
      <c r="FY70" s="208">
        <v>96794</v>
      </c>
      <c r="FZ70" s="208">
        <v>0</v>
      </c>
      <c r="GA70" s="208">
        <v>0</v>
      </c>
      <c r="GB70" s="208">
        <v>33442127</v>
      </c>
      <c r="GC70" s="208">
        <v>0</v>
      </c>
      <c r="GD70" s="208">
        <v>0</v>
      </c>
      <c r="GE70" s="664">
        <v>0</v>
      </c>
      <c r="GF70" s="664">
        <v>1</v>
      </c>
      <c r="GG70" s="664">
        <v>0</v>
      </c>
      <c r="GH70" s="664">
        <v>0</v>
      </c>
      <c r="GI70" s="187" t="s">
        <v>742</v>
      </c>
    </row>
    <row r="71" spans="1:191" s="187" customFormat="1" x14ac:dyDescent="0.2">
      <c r="B71" s="429" t="s">
        <v>221</v>
      </c>
      <c r="C71" s="429" t="s">
        <v>220</v>
      </c>
      <c r="D71" s="208">
        <v>826436</v>
      </c>
      <c r="E71" s="208">
        <v>0</v>
      </c>
      <c r="F71" s="208">
        <v>826436</v>
      </c>
      <c r="G71" s="208">
        <v>869150</v>
      </c>
      <c r="H71" s="208">
        <v>0</v>
      </c>
      <c r="I71" s="208">
        <v>869150</v>
      </c>
      <c r="J71" s="208">
        <v>-42714</v>
      </c>
      <c r="K71" s="208">
        <v>0</v>
      </c>
      <c r="L71" s="208">
        <v>-42714</v>
      </c>
      <c r="M71" s="208">
        <v>179327</v>
      </c>
      <c r="N71" s="208">
        <v>179327</v>
      </c>
      <c r="O71" s="208">
        <v>0</v>
      </c>
      <c r="P71" s="208">
        <v>0</v>
      </c>
      <c r="Q71" s="208">
        <v>0</v>
      </c>
      <c r="R71" s="208">
        <v>0</v>
      </c>
      <c r="S71" s="208">
        <v>83627</v>
      </c>
      <c r="T71" s="208">
        <v>0</v>
      </c>
      <c r="U71" s="208">
        <v>77789</v>
      </c>
      <c r="V71" s="208">
        <v>0</v>
      </c>
      <c r="W71" s="208">
        <v>5838</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c r="BL71" s="208">
        <v>0</v>
      </c>
      <c r="BM71" s="208">
        <v>0</v>
      </c>
      <c r="BN71" s="208">
        <v>0</v>
      </c>
      <c r="BO71" s="208">
        <v>1999379.4223500001</v>
      </c>
      <c r="BP71" s="208">
        <v>1999379.4223500001</v>
      </c>
      <c r="BQ71" s="208">
        <v>0</v>
      </c>
      <c r="BR71" s="208">
        <v>117223</v>
      </c>
      <c r="BS71" s="208">
        <v>117223</v>
      </c>
      <c r="BT71" s="208">
        <v>0</v>
      </c>
      <c r="BU71" s="208">
        <v>1813076</v>
      </c>
      <c r="BV71" s="208">
        <v>1813075</v>
      </c>
      <c r="BW71" s="208">
        <v>0</v>
      </c>
      <c r="BX71" s="208">
        <v>303526</v>
      </c>
      <c r="BY71" s="208">
        <v>303527</v>
      </c>
      <c r="BZ71" s="208">
        <v>0</v>
      </c>
      <c r="CA71" s="208">
        <v>5510.9635416666661</v>
      </c>
      <c r="CB71" s="208">
        <v>5510.9635416666661</v>
      </c>
      <c r="CC71" s="208">
        <v>0</v>
      </c>
      <c r="CD71" s="208">
        <v>9405</v>
      </c>
      <c r="CE71" s="208">
        <v>9406</v>
      </c>
      <c r="CF71" s="208">
        <v>0</v>
      </c>
      <c r="CG71" s="208">
        <v>-3894</v>
      </c>
      <c r="CH71" s="208">
        <v>-3895</v>
      </c>
      <c r="CI71" s="208">
        <v>0</v>
      </c>
      <c r="CJ71" s="208">
        <v>0</v>
      </c>
      <c r="CK71" s="208">
        <v>0</v>
      </c>
      <c r="CL71" s="208">
        <v>0</v>
      </c>
      <c r="CM71" s="208">
        <v>0</v>
      </c>
      <c r="CN71" s="208">
        <v>0</v>
      </c>
      <c r="CO71" s="208">
        <v>0</v>
      </c>
      <c r="CP71" s="208">
        <v>-1278.6458333333333</v>
      </c>
      <c r="CQ71" s="208">
        <v>-1278.6458333333333</v>
      </c>
      <c r="CR71" s="208">
        <v>0</v>
      </c>
      <c r="CS71" s="208">
        <v>0</v>
      </c>
      <c r="CT71" s="208">
        <v>0</v>
      </c>
      <c r="CU71" s="208">
        <v>0</v>
      </c>
      <c r="CV71" s="208">
        <v>0</v>
      </c>
      <c r="CW71" s="208">
        <v>0</v>
      </c>
      <c r="CX71" s="208">
        <v>0</v>
      </c>
      <c r="CY71" s="208">
        <v>0</v>
      </c>
      <c r="CZ71" s="208">
        <v>0</v>
      </c>
      <c r="DA71" s="208">
        <v>0</v>
      </c>
      <c r="DB71" s="208">
        <v>0</v>
      </c>
      <c r="DC71" s="208">
        <v>0</v>
      </c>
      <c r="DD71" s="208">
        <v>0</v>
      </c>
      <c r="DE71" s="208">
        <v>15921.697916666668</v>
      </c>
      <c r="DF71" s="208">
        <v>15921.697916666668</v>
      </c>
      <c r="DG71" s="208">
        <v>0</v>
      </c>
      <c r="DH71" s="208">
        <v>12973</v>
      </c>
      <c r="DI71" s="208">
        <v>12973</v>
      </c>
      <c r="DJ71" s="208">
        <v>0</v>
      </c>
      <c r="DK71" s="208">
        <v>2949</v>
      </c>
      <c r="DL71" s="208">
        <v>2949</v>
      </c>
      <c r="DM71" s="208">
        <v>0</v>
      </c>
      <c r="DN71" s="208">
        <v>575.90208333333328</v>
      </c>
      <c r="DO71" s="208">
        <v>575.90208333333328</v>
      </c>
      <c r="DP71" s="208">
        <v>0</v>
      </c>
      <c r="DQ71" s="208">
        <v>767</v>
      </c>
      <c r="DR71" s="208">
        <v>767</v>
      </c>
      <c r="DS71" s="208">
        <v>0</v>
      </c>
      <c r="DT71" s="208">
        <v>-191</v>
      </c>
      <c r="DU71" s="208">
        <v>-191</v>
      </c>
      <c r="DV71" s="208">
        <v>0</v>
      </c>
      <c r="DW71" s="208">
        <v>10510.980208333334</v>
      </c>
      <c r="DX71" s="208">
        <v>10510.980208333334</v>
      </c>
      <c r="DY71" s="208">
        <v>0</v>
      </c>
      <c r="DZ71" s="208">
        <v>8265</v>
      </c>
      <c r="EA71" s="208">
        <v>8266</v>
      </c>
      <c r="EB71" s="208">
        <v>0</v>
      </c>
      <c r="EC71" s="208">
        <v>2246</v>
      </c>
      <c r="ED71" s="208">
        <v>2245</v>
      </c>
      <c r="EE71" s="208">
        <v>0</v>
      </c>
      <c r="EF71" s="208">
        <v>91020.659375000003</v>
      </c>
      <c r="EG71" s="208">
        <v>91020.659375000003</v>
      </c>
      <c r="EH71" s="208">
        <v>0</v>
      </c>
      <c r="EI71" s="208">
        <v>-1795.7302083333334</v>
      </c>
      <c r="EJ71" s="208">
        <v>-1795.7302083333334</v>
      </c>
      <c r="EK71" s="208">
        <v>0</v>
      </c>
      <c r="EL71" s="208">
        <v>91551</v>
      </c>
      <c r="EM71" s="208">
        <v>91551</v>
      </c>
      <c r="EN71" s="208">
        <v>0</v>
      </c>
      <c r="EO71" s="208">
        <v>-2326</v>
      </c>
      <c r="EP71" s="208">
        <v>-2326</v>
      </c>
      <c r="EQ71" s="208">
        <v>0</v>
      </c>
      <c r="ER71" s="208">
        <v>42662.273958333331</v>
      </c>
      <c r="ES71" s="208">
        <v>42662.273958333331</v>
      </c>
      <c r="ET71" s="208">
        <v>0</v>
      </c>
      <c r="EU71" s="208">
        <v>35802</v>
      </c>
      <c r="EV71" s="208">
        <v>35802</v>
      </c>
      <c r="EW71" s="208">
        <v>0</v>
      </c>
      <c r="EX71" s="208">
        <v>6860</v>
      </c>
      <c r="EY71" s="208">
        <v>6860</v>
      </c>
      <c r="EZ71" s="208">
        <v>0</v>
      </c>
      <c r="FA71" s="208">
        <v>0</v>
      </c>
      <c r="FB71" s="208">
        <v>0</v>
      </c>
      <c r="FC71" s="208">
        <v>0</v>
      </c>
      <c r="FD71" s="208">
        <v>0</v>
      </c>
      <c r="FE71" s="208">
        <v>0</v>
      </c>
      <c r="FF71" s="208">
        <v>0</v>
      </c>
      <c r="FG71" s="208">
        <v>0</v>
      </c>
      <c r="FH71" s="208">
        <v>0</v>
      </c>
      <c r="FI71" s="208">
        <v>0</v>
      </c>
      <c r="FJ71" s="208">
        <v>370005.16666666663</v>
      </c>
      <c r="FK71" s="208">
        <v>368088.71458333329</v>
      </c>
      <c r="FL71" s="208">
        <v>0</v>
      </c>
      <c r="FM71" s="208">
        <v>377941</v>
      </c>
      <c r="FN71" s="208">
        <v>376159</v>
      </c>
      <c r="FO71" s="208">
        <v>0</v>
      </c>
      <c r="FP71" s="208">
        <v>-7936</v>
      </c>
      <c r="FQ71" s="208">
        <v>-8070</v>
      </c>
      <c r="FR71" s="208">
        <v>0</v>
      </c>
      <c r="FS71" s="208">
        <v>0</v>
      </c>
      <c r="FT71" s="208">
        <v>0</v>
      </c>
      <c r="FU71" s="208">
        <v>0</v>
      </c>
      <c r="FV71" s="208">
        <v>0</v>
      </c>
      <c r="FW71" s="208">
        <v>0</v>
      </c>
      <c r="FX71" s="208">
        <v>0</v>
      </c>
      <c r="FY71" s="208">
        <v>0</v>
      </c>
      <c r="FZ71" s="208">
        <v>0</v>
      </c>
      <c r="GA71" s="208">
        <v>0</v>
      </c>
      <c r="GB71" s="208">
        <v>2649735</v>
      </c>
      <c r="GC71" s="208">
        <v>2647819</v>
      </c>
      <c r="GD71" s="208">
        <v>0</v>
      </c>
      <c r="GE71" s="664">
        <v>0</v>
      </c>
      <c r="GF71" s="664">
        <v>0.5</v>
      </c>
      <c r="GG71" s="664">
        <v>0.5</v>
      </c>
      <c r="GH71" s="664">
        <v>0</v>
      </c>
      <c r="GI71" s="187" t="s">
        <v>1054</v>
      </c>
    </row>
    <row r="72" spans="1:191" s="187" customFormat="1" x14ac:dyDescent="0.2">
      <c r="B72" s="429" t="s">
        <v>223</v>
      </c>
      <c r="C72" s="429" t="s">
        <v>222</v>
      </c>
      <c r="D72" s="208">
        <v>-2994289</v>
      </c>
      <c r="E72" s="208">
        <v>0</v>
      </c>
      <c r="F72" s="208">
        <v>-2994289</v>
      </c>
      <c r="G72" s="208">
        <v>-3075000</v>
      </c>
      <c r="H72" s="208">
        <v>0</v>
      </c>
      <c r="I72" s="208">
        <v>-3075000</v>
      </c>
      <c r="J72" s="208">
        <v>80711</v>
      </c>
      <c r="K72" s="208">
        <v>0</v>
      </c>
      <c r="L72" s="208">
        <v>80711</v>
      </c>
      <c r="M72" s="208">
        <v>375121</v>
      </c>
      <c r="N72" s="208">
        <v>375121</v>
      </c>
      <c r="O72" s="208">
        <v>0</v>
      </c>
      <c r="P72" s="208">
        <v>0</v>
      </c>
      <c r="Q72" s="208">
        <v>0</v>
      </c>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0</v>
      </c>
      <c r="BE72" s="208">
        <v>0</v>
      </c>
      <c r="BF72" s="208">
        <v>0</v>
      </c>
      <c r="BG72" s="208">
        <v>0</v>
      </c>
      <c r="BH72" s="208">
        <v>0</v>
      </c>
      <c r="BI72" s="208">
        <v>0</v>
      </c>
      <c r="BJ72" s="208">
        <v>0</v>
      </c>
      <c r="BK72" s="208">
        <v>0</v>
      </c>
      <c r="BL72" s="208">
        <v>0</v>
      </c>
      <c r="BM72" s="208">
        <v>0</v>
      </c>
      <c r="BN72" s="208">
        <v>0</v>
      </c>
      <c r="BO72" s="208">
        <v>6233999.027718001</v>
      </c>
      <c r="BP72" s="208">
        <v>0</v>
      </c>
      <c r="BQ72" s="208">
        <v>62969.687148666671</v>
      </c>
      <c r="BR72" s="208">
        <v>434458</v>
      </c>
      <c r="BS72" s="208">
        <v>0</v>
      </c>
      <c r="BT72" s="208">
        <v>4388</v>
      </c>
      <c r="BU72" s="208">
        <v>5665072</v>
      </c>
      <c r="BV72" s="208">
        <v>0</v>
      </c>
      <c r="BW72" s="208">
        <v>57223</v>
      </c>
      <c r="BX72" s="208">
        <v>1003385</v>
      </c>
      <c r="BY72" s="208">
        <v>0</v>
      </c>
      <c r="BZ72" s="208">
        <v>10135</v>
      </c>
      <c r="CA72" s="208">
        <v>-18284.781693749999</v>
      </c>
      <c r="CB72" s="208">
        <v>0</v>
      </c>
      <c r="CC72" s="208">
        <v>-184.69476458333335</v>
      </c>
      <c r="CD72" s="208">
        <v>0</v>
      </c>
      <c r="CE72" s="208">
        <v>0</v>
      </c>
      <c r="CF72" s="208">
        <v>0</v>
      </c>
      <c r="CG72" s="208">
        <v>-18285</v>
      </c>
      <c r="CH72" s="208">
        <v>0</v>
      </c>
      <c r="CI72" s="208">
        <v>-185</v>
      </c>
      <c r="CJ72" s="208">
        <v>-50748.808687500001</v>
      </c>
      <c r="CK72" s="208">
        <v>0</v>
      </c>
      <c r="CL72" s="208">
        <v>-512.61422916666675</v>
      </c>
      <c r="CM72" s="208">
        <v>-9923.3248125000009</v>
      </c>
      <c r="CN72" s="208">
        <v>0</v>
      </c>
      <c r="CO72" s="208">
        <v>-100.23560416666668</v>
      </c>
      <c r="CP72" s="208">
        <v>1077.4995000000001</v>
      </c>
      <c r="CQ72" s="208">
        <v>0</v>
      </c>
      <c r="CR72" s="208">
        <v>10.883833333333335</v>
      </c>
      <c r="CS72" s="208">
        <v>0</v>
      </c>
      <c r="CT72" s="208">
        <v>0</v>
      </c>
      <c r="CU72" s="208">
        <v>0</v>
      </c>
      <c r="CV72" s="208">
        <v>0</v>
      </c>
      <c r="CW72" s="208">
        <v>0</v>
      </c>
      <c r="CX72" s="208">
        <v>0</v>
      </c>
      <c r="CY72" s="208">
        <v>0</v>
      </c>
      <c r="CZ72" s="208">
        <v>0</v>
      </c>
      <c r="DA72" s="208">
        <v>0</v>
      </c>
      <c r="DB72" s="208">
        <v>0</v>
      </c>
      <c r="DC72" s="208">
        <v>0</v>
      </c>
      <c r="DD72" s="208">
        <v>0</v>
      </c>
      <c r="DE72" s="208">
        <v>0</v>
      </c>
      <c r="DF72" s="208">
        <v>0</v>
      </c>
      <c r="DG72" s="208">
        <v>0</v>
      </c>
      <c r="DH72" s="208">
        <v>0</v>
      </c>
      <c r="DI72" s="208">
        <v>0</v>
      </c>
      <c r="DJ72" s="208">
        <v>0</v>
      </c>
      <c r="DK72" s="208">
        <v>0</v>
      </c>
      <c r="DL72" s="208">
        <v>0</v>
      </c>
      <c r="DM72" s="208">
        <v>0</v>
      </c>
      <c r="DN72" s="208">
        <v>1519.2540412499718</v>
      </c>
      <c r="DO72" s="208">
        <v>0</v>
      </c>
      <c r="DP72" s="208">
        <v>15.346000416666381</v>
      </c>
      <c r="DQ72" s="208">
        <v>1519</v>
      </c>
      <c r="DR72" s="208">
        <v>0</v>
      </c>
      <c r="DS72" s="208">
        <v>15</v>
      </c>
      <c r="DT72" s="208">
        <v>0</v>
      </c>
      <c r="DU72" s="208">
        <v>0</v>
      </c>
      <c r="DV72" s="208">
        <v>0</v>
      </c>
      <c r="DW72" s="208">
        <v>74498.355937500004</v>
      </c>
      <c r="DX72" s="208">
        <v>0</v>
      </c>
      <c r="DY72" s="208">
        <v>752.50864583333339</v>
      </c>
      <c r="DZ72" s="208">
        <v>57723</v>
      </c>
      <c r="EA72" s="208">
        <v>0</v>
      </c>
      <c r="EB72" s="208">
        <v>583</v>
      </c>
      <c r="EC72" s="208">
        <v>16775</v>
      </c>
      <c r="ED72" s="208">
        <v>0</v>
      </c>
      <c r="EE72" s="208">
        <v>170</v>
      </c>
      <c r="EF72" s="208">
        <v>189222.68474999999</v>
      </c>
      <c r="EG72" s="208">
        <v>0</v>
      </c>
      <c r="EH72" s="208">
        <v>1911.34025</v>
      </c>
      <c r="EI72" s="208">
        <v>-5902.9554374999998</v>
      </c>
      <c r="EJ72" s="208">
        <v>0</v>
      </c>
      <c r="EK72" s="208">
        <v>-59.625812500000002</v>
      </c>
      <c r="EL72" s="208">
        <v>207601</v>
      </c>
      <c r="EM72" s="208">
        <v>0</v>
      </c>
      <c r="EN72" s="208">
        <v>2097</v>
      </c>
      <c r="EO72" s="208">
        <v>-24281</v>
      </c>
      <c r="EP72" s="208">
        <v>0</v>
      </c>
      <c r="EQ72" s="208">
        <v>-245</v>
      </c>
      <c r="ER72" s="208">
        <v>75623.451749999993</v>
      </c>
      <c r="ES72" s="208">
        <v>0</v>
      </c>
      <c r="ET72" s="208">
        <v>763.87324999999998</v>
      </c>
      <c r="EU72" s="208">
        <v>92154</v>
      </c>
      <c r="EV72" s="208">
        <v>0</v>
      </c>
      <c r="EW72" s="208">
        <v>931</v>
      </c>
      <c r="EX72" s="208">
        <v>-16531</v>
      </c>
      <c r="EY72" s="208">
        <v>0</v>
      </c>
      <c r="EZ72" s="208">
        <v>-167</v>
      </c>
      <c r="FA72" s="208">
        <v>0</v>
      </c>
      <c r="FB72" s="208">
        <v>0</v>
      </c>
      <c r="FC72" s="208">
        <v>0</v>
      </c>
      <c r="FD72" s="208">
        <v>0</v>
      </c>
      <c r="FE72" s="208">
        <v>0</v>
      </c>
      <c r="FF72" s="208">
        <v>0</v>
      </c>
      <c r="FG72" s="208">
        <v>0</v>
      </c>
      <c r="FH72" s="208">
        <v>0</v>
      </c>
      <c r="FI72" s="208">
        <v>0</v>
      </c>
      <c r="FJ72" s="208">
        <v>2631031.5549375</v>
      </c>
      <c r="FK72" s="208">
        <v>0</v>
      </c>
      <c r="FL72" s="208">
        <v>26576.076312500001</v>
      </c>
      <c r="FM72" s="208">
        <v>2671898</v>
      </c>
      <c r="FN72" s="208">
        <v>0</v>
      </c>
      <c r="FO72" s="208">
        <v>26989</v>
      </c>
      <c r="FP72" s="208">
        <v>-40866</v>
      </c>
      <c r="FQ72" s="208">
        <v>0</v>
      </c>
      <c r="FR72" s="208">
        <v>-413</v>
      </c>
      <c r="FS72" s="208">
        <v>0</v>
      </c>
      <c r="FT72" s="208">
        <v>0</v>
      </c>
      <c r="FU72" s="208">
        <v>0</v>
      </c>
      <c r="FV72" s="208">
        <v>0</v>
      </c>
      <c r="FW72" s="208">
        <v>0</v>
      </c>
      <c r="FX72" s="208">
        <v>0</v>
      </c>
      <c r="FY72" s="208">
        <v>0</v>
      </c>
      <c r="FZ72" s="208">
        <v>0</v>
      </c>
      <c r="GA72" s="208">
        <v>0</v>
      </c>
      <c r="GB72" s="208">
        <v>9556569</v>
      </c>
      <c r="GC72" s="208">
        <v>0</v>
      </c>
      <c r="GD72" s="208">
        <v>96530</v>
      </c>
      <c r="GE72" s="664">
        <v>0</v>
      </c>
      <c r="GF72" s="664">
        <v>0.99</v>
      </c>
      <c r="GG72" s="664">
        <v>0</v>
      </c>
      <c r="GH72" s="664">
        <v>0.01</v>
      </c>
      <c r="GI72" s="187" t="s">
        <v>1056</v>
      </c>
    </row>
    <row r="73" spans="1:191" s="187" customFormat="1" x14ac:dyDescent="0.2">
      <c r="B73" s="429" t="s">
        <v>225</v>
      </c>
      <c r="C73" s="429" t="s">
        <v>224</v>
      </c>
      <c r="D73" s="208">
        <v>362849</v>
      </c>
      <c r="E73" s="208">
        <v>0</v>
      </c>
      <c r="F73" s="208">
        <v>362849</v>
      </c>
      <c r="G73" s="208">
        <v>417565</v>
      </c>
      <c r="H73" s="208">
        <v>0</v>
      </c>
      <c r="I73" s="208">
        <v>417565</v>
      </c>
      <c r="J73" s="208">
        <v>-54716</v>
      </c>
      <c r="K73" s="208">
        <v>0</v>
      </c>
      <c r="L73" s="208">
        <v>-54716</v>
      </c>
      <c r="M73" s="208">
        <v>116449</v>
      </c>
      <c r="N73" s="208">
        <v>116449</v>
      </c>
      <c r="O73" s="208">
        <v>0</v>
      </c>
      <c r="P73" s="208">
        <v>0</v>
      </c>
      <c r="Q73" s="208">
        <v>0</v>
      </c>
      <c r="R73" s="208">
        <v>0</v>
      </c>
      <c r="S73" s="208">
        <v>0</v>
      </c>
      <c r="T73" s="208">
        <v>0</v>
      </c>
      <c r="U73" s="208">
        <v>0</v>
      </c>
      <c r="V73" s="208">
        <v>0</v>
      </c>
      <c r="W73" s="208">
        <v>0</v>
      </c>
      <c r="X73" s="208">
        <v>0</v>
      </c>
      <c r="Y73" s="208">
        <v>0</v>
      </c>
      <c r="Z73" s="208">
        <v>0</v>
      </c>
      <c r="AA73" s="208">
        <v>0</v>
      </c>
      <c r="AB73" s="208">
        <v>0</v>
      </c>
      <c r="AC73" s="208">
        <v>0</v>
      </c>
      <c r="AD73" s="208">
        <v>0</v>
      </c>
      <c r="AE73" s="208">
        <v>0</v>
      </c>
      <c r="AF73" s="208">
        <v>0</v>
      </c>
      <c r="AG73" s="208">
        <v>0</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0</v>
      </c>
      <c r="BH73" s="208">
        <v>0</v>
      </c>
      <c r="BI73" s="208">
        <v>0</v>
      </c>
      <c r="BJ73" s="208">
        <v>0</v>
      </c>
      <c r="BK73" s="208">
        <v>0</v>
      </c>
      <c r="BL73" s="208">
        <v>0</v>
      </c>
      <c r="BM73" s="208">
        <v>0</v>
      </c>
      <c r="BN73" s="208">
        <v>0</v>
      </c>
      <c r="BO73" s="208">
        <v>990836.80323660013</v>
      </c>
      <c r="BP73" s="208">
        <v>222938.28072823503</v>
      </c>
      <c r="BQ73" s="208">
        <v>24770.920080914999</v>
      </c>
      <c r="BR73" s="208">
        <v>57858</v>
      </c>
      <c r="BS73" s="208">
        <v>13018</v>
      </c>
      <c r="BT73" s="208">
        <v>1446</v>
      </c>
      <c r="BU73" s="208">
        <v>936827</v>
      </c>
      <c r="BV73" s="208">
        <v>210786</v>
      </c>
      <c r="BW73" s="208">
        <v>23421</v>
      </c>
      <c r="BX73" s="208">
        <v>111868</v>
      </c>
      <c r="BY73" s="208">
        <v>25170</v>
      </c>
      <c r="BZ73" s="208">
        <v>2796</v>
      </c>
      <c r="CA73" s="208">
        <v>15327.624741666667</v>
      </c>
      <c r="CB73" s="208">
        <v>3448.7155668749997</v>
      </c>
      <c r="CC73" s="208">
        <v>383.19061854166665</v>
      </c>
      <c r="CD73" s="208">
        <v>3556</v>
      </c>
      <c r="CE73" s="208">
        <v>800</v>
      </c>
      <c r="CF73" s="208">
        <v>89</v>
      </c>
      <c r="CG73" s="208">
        <v>11772</v>
      </c>
      <c r="CH73" s="208">
        <v>2649</v>
      </c>
      <c r="CI73" s="208">
        <v>294</v>
      </c>
      <c r="CJ73" s="208">
        <v>0</v>
      </c>
      <c r="CK73" s="208">
        <v>0</v>
      </c>
      <c r="CL73" s="208">
        <v>0</v>
      </c>
      <c r="CM73" s="208">
        <v>0</v>
      </c>
      <c r="CN73" s="208">
        <v>0</v>
      </c>
      <c r="CO73" s="208">
        <v>0</v>
      </c>
      <c r="CP73" s="208">
        <v>0</v>
      </c>
      <c r="CQ73" s="208">
        <v>0</v>
      </c>
      <c r="CR73" s="208">
        <v>0</v>
      </c>
      <c r="CS73" s="208">
        <v>0</v>
      </c>
      <c r="CT73" s="208">
        <v>0</v>
      </c>
      <c r="CU73" s="208">
        <v>0</v>
      </c>
      <c r="CV73" s="208">
        <v>0</v>
      </c>
      <c r="CW73" s="208">
        <v>0</v>
      </c>
      <c r="CX73" s="208">
        <v>0</v>
      </c>
      <c r="CY73" s="208">
        <v>0</v>
      </c>
      <c r="CZ73" s="208">
        <v>0</v>
      </c>
      <c r="DA73" s="208">
        <v>0</v>
      </c>
      <c r="DB73" s="208">
        <v>0</v>
      </c>
      <c r="DC73" s="208">
        <v>0</v>
      </c>
      <c r="DD73" s="208">
        <v>0</v>
      </c>
      <c r="DE73" s="208">
        <v>3353.5300000000007</v>
      </c>
      <c r="DF73" s="208">
        <v>754.54425000000003</v>
      </c>
      <c r="DG73" s="208">
        <v>83.838250000000002</v>
      </c>
      <c r="DH73" s="208">
        <v>7200</v>
      </c>
      <c r="DI73" s="208">
        <v>1620</v>
      </c>
      <c r="DJ73" s="208">
        <v>180</v>
      </c>
      <c r="DK73" s="208">
        <v>-3846</v>
      </c>
      <c r="DL73" s="208">
        <v>-865</v>
      </c>
      <c r="DM73" s="208">
        <v>-96</v>
      </c>
      <c r="DN73" s="208">
        <v>0</v>
      </c>
      <c r="DO73" s="208">
        <v>0</v>
      </c>
      <c r="DP73" s="208">
        <v>0</v>
      </c>
      <c r="DQ73" s="208">
        <v>0</v>
      </c>
      <c r="DR73" s="208">
        <v>0</v>
      </c>
      <c r="DS73" s="208">
        <v>0</v>
      </c>
      <c r="DT73" s="208">
        <v>0</v>
      </c>
      <c r="DU73" s="208">
        <v>0</v>
      </c>
      <c r="DV73" s="208">
        <v>0</v>
      </c>
      <c r="DW73" s="208">
        <v>7267.2091666666665</v>
      </c>
      <c r="DX73" s="208">
        <v>1635.1220624999999</v>
      </c>
      <c r="DY73" s="208">
        <v>181.68022916666666</v>
      </c>
      <c r="DZ73" s="208">
        <v>7784</v>
      </c>
      <c r="EA73" s="208">
        <v>1752</v>
      </c>
      <c r="EB73" s="208">
        <v>195</v>
      </c>
      <c r="EC73" s="208">
        <v>-517</v>
      </c>
      <c r="ED73" s="208">
        <v>-117</v>
      </c>
      <c r="EE73" s="208">
        <v>-13</v>
      </c>
      <c r="EF73" s="208">
        <v>29759.919166666667</v>
      </c>
      <c r="EG73" s="208">
        <v>6695.9818124999993</v>
      </c>
      <c r="EH73" s="208">
        <v>743.9979791666666</v>
      </c>
      <c r="EI73" s="208">
        <v>0</v>
      </c>
      <c r="EJ73" s="208">
        <v>0</v>
      </c>
      <c r="EK73" s="208">
        <v>0</v>
      </c>
      <c r="EL73" s="208">
        <v>31097</v>
      </c>
      <c r="EM73" s="208">
        <v>6997</v>
      </c>
      <c r="EN73" s="208">
        <v>777</v>
      </c>
      <c r="EO73" s="208">
        <v>-1337</v>
      </c>
      <c r="EP73" s="208">
        <v>-301</v>
      </c>
      <c r="EQ73" s="208">
        <v>-33</v>
      </c>
      <c r="ER73" s="208">
        <v>23237.393333333337</v>
      </c>
      <c r="ES73" s="208">
        <v>5228.4134999999997</v>
      </c>
      <c r="ET73" s="208">
        <v>580.93483333333336</v>
      </c>
      <c r="EU73" s="208">
        <v>23467</v>
      </c>
      <c r="EV73" s="208">
        <v>5280</v>
      </c>
      <c r="EW73" s="208">
        <v>587</v>
      </c>
      <c r="EX73" s="208">
        <v>-230</v>
      </c>
      <c r="EY73" s="208">
        <v>-52</v>
      </c>
      <c r="EZ73" s="208">
        <v>-6</v>
      </c>
      <c r="FA73" s="208">
        <v>0</v>
      </c>
      <c r="FB73" s="208">
        <v>0</v>
      </c>
      <c r="FC73" s="208">
        <v>0</v>
      </c>
      <c r="FD73" s="208">
        <v>0</v>
      </c>
      <c r="FE73" s="208">
        <v>0</v>
      </c>
      <c r="FF73" s="208">
        <v>0</v>
      </c>
      <c r="FG73" s="208">
        <v>0</v>
      </c>
      <c r="FH73" s="208">
        <v>0</v>
      </c>
      <c r="FI73" s="208">
        <v>0</v>
      </c>
      <c r="FJ73" s="208">
        <v>170126.39416666667</v>
      </c>
      <c r="FK73" s="208">
        <v>38278.438687499991</v>
      </c>
      <c r="FL73" s="208">
        <v>4253.1598541666663</v>
      </c>
      <c r="FM73" s="208">
        <v>169802</v>
      </c>
      <c r="FN73" s="208">
        <v>38205</v>
      </c>
      <c r="FO73" s="208">
        <v>4245</v>
      </c>
      <c r="FP73" s="208">
        <v>324</v>
      </c>
      <c r="FQ73" s="208">
        <v>73</v>
      </c>
      <c r="FR73" s="208">
        <v>8</v>
      </c>
      <c r="FS73" s="208">
        <v>0</v>
      </c>
      <c r="FT73" s="208">
        <v>0</v>
      </c>
      <c r="FU73" s="208">
        <v>0</v>
      </c>
      <c r="FV73" s="208">
        <v>0</v>
      </c>
      <c r="FW73" s="208">
        <v>0</v>
      </c>
      <c r="FX73" s="208">
        <v>0</v>
      </c>
      <c r="FY73" s="208">
        <v>0</v>
      </c>
      <c r="FZ73" s="208">
        <v>0</v>
      </c>
      <c r="GA73" s="208">
        <v>0</v>
      </c>
      <c r="GB73" s="208">
        <v>1297767</v>
      </c>
      <c r="GC73" s="208">
        <v>291997</v>
      </c>
      <c r="GD73" s="208">
        <v>32444</v>
      </c>
      <c r="GE73" s="664">
        <v>0.5</v>
      </c>
      <c r="GF73" s="664">
        <v>0.4</v>
      </c>
      <c r="GG73" s="664">
        <v>0.09</v>
      </c>
      <c r="GH73" s="664">
        <v>0.01</v>
      </c>
      <c r="GI73" s="187" t="s">
        <v>1054</v>
      </c>
    </row>
    <row r="74" spans="1:191" s="187" customFormat="1" x14ac:dyDescent="0.2">
      <c r="B74" s="429" t="s">
        <v>227</v>
      </c>
      <c r="C74" s="429" t="s">
        <v>226</v>
      </c>
      <c r="D74" s="208">
        <v>-2344960</v>
      </c>
      <c r="E74" s="208">
        <v>0</v>
      </c>
      <c r="F74" s="208">
        <v>-2344960</v>
      </c>
      <c r="G74" s="208">
        <v>-2076511</v>
      </c>
      <c r="H74" s="208">
        <v>0</v>
      </c>
      <c r="I74" s="208">
        <v>-2076511</v>
      </c>
      <c r="J74" s="208">
        <v>-268449</v>
      </c>
      <c r="K74" s="208">
        <v>0</v>
      </c>
      <c r="L74" s="208">
        <v>-268449</v>
      </c>
      <c r="M74" s="208">
        <v>201945</v>
      </c>
      <c r="N74" s="208">
        <v>201945</v>
      </c>
      <c r="O74" s="208">
        <v>0</v>
      </c>
      <c r="P74" s="208">
        <v>0</v>
      </c>
      <c r="Q74" s="208">
        <v>0</v>
      </c>
      <c r="R74" s="208">
        <v>0</v>
      </c>
      <c r="S74" s="208">
        <v>4800</v>
      </c>
      <c r="T74" s="208">
        <v>0</v>
      </c>
      <c r="U74" s="208">
        <v>4800</v>
      </c>
      <c r="V74" s="208">
        <v>0</v>
      </c>
      <c r="W74" s="208">
        <v>0</v>
      </c>
      <c r="X74" s="208">
        <v>0</v>
      </c>
      <c r="Y74" s="208">
        <v>0</v>
      </c>
      <c r="Z74" s="208">
        <v>0</v>
      </c>
      <c r="AA74" s="208">
        <v>0</v>
      </c>
      <c r="AB74" s="208">
        <v>0</v>
      </c>
      <c r="AC74" s="208">
        <v>0</v>
      </c>
      <c r="AD74" s="208">
        <v>0</v>
      </c>
      <c r="AE74" s="208">
        <v>0</v>
      </c>
      <c r="AF74" s="208">
        <v>0</v>
      </c>
      <c r="AG74" s="208">
        <v>0</v>
      </c>
      <c r="AH74" s="208">
        <v>0</v>
      </c>
      <c r="AI74" s="208">
        <v>0</v>
      </c>
      <c r="AJ74" s="208">
        <v>0</v>
      </c>
      <c r="AK74" s="208">
        <v>0</v>
      </c>
      <c r="AL74" s="208">
        <v>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H74" s="208">
        <v>0</v>
      </c>
      <c r="BI74" s="208">
        <v>0</v>
      </c>
      <c r="BJ74" s="208">
        <v>0</v>
      </c>
      <c r="BK74" s="208">
        <v>0</v>
      </c>
      <c r="BL74" s="208">
        <v>0</v>
      </c>
      <c r="BM74" s="208">
        <v>0</v>
      </c>
      <c r="BN74" s="208">
        <v>0</v>
      </c>
      <c r="BO74" s="208">
        <v>551068.87903416669</v>
      </c>
      <c r="BP74" s="208">
        <v>137767.21975854167</v>
      </c>
      <c r="BQ74" s="208">
        <v>0</v>
      </c>
      <c r="BR74" s="208">
        <v>92440</v>
      </c>
      <c r="BS74" s="208">
        <v>23110</v>
      </c>
      <c r="BT74" s="208">
        <v>0</v>
      </c>
      <c r="BU74" s="208">
        <v>495275</v>
      </c>
      <c r="BV74" s="208">
        <v>123819</v>
      </c>
      <c r="BW74" s="208">
        <v>0</v>
      </c>
      <c r="BX74" s="208">
        <v>148234</v>
      </c>
      <c r="BY74" s="208">
        <v>37058</v>
      </c>
      <c r="BZ74" s="208">
        <v>0</v>
      </c>
      <c r="CA74" s="208">
        <v>5669.4133333333339</v>
      </c>
      <c r="CB74" s="208">
        <v>1417.3533333333335</v>
      </c>
      <c r="CC74" s="208">
        <v>0</v>
      </c>
      <c r="CD74" s="208">
        <v>8183</v>
      </c>
      <c r="CE74" s="208">
        <v>2046</v>
      </c>
      <c r="CF74" s="208">
        <v>0</v>
      </c>
      <c r="CG74" s="208">
        <v>-2514</v>
      </c>
      <c r="CH74" s="208">
        <v>-629</v>
      </c>
      <c r="CI74" s="208">
        <v>0</v>
      </c>
      <c r="CJ74" s="208">
        <v>0</v>
      </c>
      <c r="CK74" s="208">
        <v>0</v>
      </c>
      <c r="CL74" s="208">
        <v>0</v>
      </c>
      <c r="CM74" s="208">
        <v>0</v>
      </c>
      <c r="CN74" s="208">
        <v>0</v>
      </c>
      <c r="CO74" s="208">
        <v>0</v>
      </c>
      <c r="CP74" s="208">
        <v>0</v>
      </c>
      <c r="CQ74" s="208">
        <v>0</v>
      </c>
      <c r="CR74" s="208">
        <v>0</v>
      </c>
      <c r="CS74" s="208">
        <v>0</v>
      </c>
      <c r="CT74" s="208">
        <v>0</v>
      </c>
      <c r="CU74" s="208">
        <v>0</v>
      </c>
      <c r="CV74" s="208">
        <v>0</v>
      </c>
      <c r="CW74" s="208">
        <v>0</v>
      </c>
      <c r="CX74" s="208">
        <v>0</v>
      </c>
      <c r="CY74" s="208">
        <v>0</v>
      </c>
      <c r="CZ74" s="208">
        <v>0</v>
      </c>
      <c r="DA74" s="208">
        <v>0</v>
      </c>
      <c r="DB74" s="208">
        <v>0</v>
      </c>
      <c r="DC74" s="208">
        <v>0</v>
      </c>
      <c r="DD74" s="208">
        <v>0</v>
      </c>
      <c r="DE74" s="208">
        <v>0</v>
      </c>
      <c r="DF74" s="208">
        <v>0</v>
      </c>
      <c r="DG74" s="208">
        <v>0</v>
      </c>
      <c r="DH74" s="208">
        <v>0</v>
      </c>
      <c r="DI74" s="208">
        <v>0</v>
      </c>
      <c r="DJ74" s="208">
        <v>0</v>
      </c>
      <c r="DK74" s="208">
        <v>0</v>
      </c>
      <c r="DL74" s="208">
        <v>0</v>
      </c>
      <c r="DM74" s="208">
        <v>0</v>
      </c>
      <c r="DN74" s="208">
        <v>0</v>
      </c>
      <c r="DO74" s="208">
        <v>0</v>
      </c>
      <c r="DP74" s="208">
        <v>0</v>
      </c>
      <c r="DQ74" s="208">
        <v>0</v>
      </c>
      <c r="DR74" s="208">
        <v>0</v>
      </c>
      <c r="DS74" s="208">
        <v>0</v>
      </c>
      <c r="DT74" s="208">
        <v>0</v>
      </c>
      <c r="DU74" s="208">
        <v>0</v>
      </c>
      <c r="DV74" s="208">
        <v>0</v>
      </c>
      <c r="DW74" s="208">
        <v>6094.128333333334</v>
      </c>
      <c r="DX74" s="208">
        <v>1523.5320833333335</v>
      </c>
      <c r="DY74" s="208">
        <v>0</v>
      </c>
      <c r="DZ74" s="208">
        <v>3437</v>
      </c>
      <c r="EA74" s="208">
        <v>859</v>
      </c>
      <c r="EB74" s="208">
        <v>0</v>
      </c>
      <c r="EC74" s="208">
        <v>2657</v>
      </c>
      <c r="ED74" s="208">
        <v>665</v>
      </c>
      <c r="EE74" s="208">
        <v>0</v>
      </c>
      <c r="EF74" s="208">
        <v>33872.862500000003</v>
      </c>
      <c r="EG74" s="208">
        <v>8468.2156250000007</v>
      </c>
      <c r="EH74" s="208">
        <v>0</v>
      </c>
      <c r="EI74" s="208">
        <v>-6326.1258333333335</v>
      </c>
      <c r="EJ74" s="208">
        <v>-1581.5314583333334</v>
      </c>
      <c r="EK74" s="208">
        <v>0</v>
      </c>
      <c r="EL74" s="208">
        <v>52890</v>
      </c>
      <c r="EM74" s="208">
        <v>13223</v>
      </c>
      <c r="EN74" s="208">
        <v>0</v>
      </c>
      <c r="EO74" s="208">
        <v>-25343</v>
      </c>
      <c r="EP74" s="208">
        <v>-6336</v>
      </c>
      <c r="EQ74" s="208">
        <v>0</v>
      </c>
      <c r="ER74" s="208">
        <v>7340.4500000000007</v>
      </c>
      <c r="ES74" s="208">
        <v>1835.1125000000002</v>
      </c>
      <c r="ET74" s="208">
        <v>0</v>
      </c>
      <c r="EU74" s="208">
        <v>8183</v>
      </c>
      <c r="EV74" s="208">
        <v>2046</v>
      </c>
      <c r="EW74" s="208">
        <v>0</v>
      </c>
      <c r="EX74" s="208">
        <v>-843</v>
      </c>
      <c r="EY74" s="208">
        <v>-211</v>
      </c>
      <c r="EZ74" s="208">
        <v>0</v>
      </c>
      <c r="FA74" s="208">
        <v>0</v>
      </c>
      <c r="FB74" s="208">
        <v>0</v>
      </c>
      <c r="FC74" s="208">
        <v>0</v>
      </c>
      <c r="FD74" s="208">
        <v>0</v>
      </c>
      <c r="FE74" s="208">
        <v>0</v>
      </c>
      <c r="FF74" s="208">
        <v>0</v>
      </c>
      <c r="FG74" s="208">
        <v>0</v>
      </c>
      <c r="FH74" s="208">
        <v>0</v>
      </c>
      <c r="FI74" s="208">
        <v>0</v>
      </c>
      <c r="FJ74" s="208">
        <v>1096506.3175000001</v>
      </c>
      <c r="FK74" s="208">
        <v>274099.07937500003</v>
      </c>
      <c r="FL74" s="208">
        <v>0</v>
      </c>
      <c r="FM74" s="208">
        <v>1099714</v>
      </c>
      <c r="FN74" s="208">
        <v>274901</v>
      </c>
      <c r="FO74" s="208">
        <v>0</v>
      </c>
      <c r="FP74" s="208">
        <v>-3208</v>
      </c>
      <c r="FQ74" s="208">
        <v>-802</v>
      </c>
      <c r="FR74" s="208">
        <v>0</v>
      </c>
      <c r="FS74" s="208">
        <v>0</v>
      </c>
      <c r="FT74" s="208">
        <v>0</v>
      </c>
      <c r="FU74" s="208">
        <v>0</v>
      </c>
      <c r="FV74" s="208">
        <v>0</v>
      </c>
      <c r="FW74" s="208">
        <v>0</v>
      </c>
      <c r="FX74" s="208">
        <v>0</v>
      </c>
      <c r="FY74" s="208">
        <v>0</v>
      </c>
      <c r="FZ74" s="208">
        <v>0</v>
      </c>
      <c r="GA74" s="208">
        <v>0</v>
      </c>
      <c r="GB74" s="208">
        <v>1786665</v>
      </c>
      <c r="GC74" s="208">
        <v>446638</v>
      </c>
      <c r="GD74" s="208">
        <v>0</v>
      </c>
      <c r="GE74" s="664">
        <v>0.5</v>
      </c>
      <c r="GF74" s="664">
        <v>0.4</v>
      </c>
      <c r="GG74" s="664">
        <v>0.1</v>
      </c>
      <c r="GH74" s="664">
        <v>0</v>
      </c>
      <c r="GI74" s="187" t="s">
        <v>1054</v>
      </c>
    </row>
    <row r="75" spans="1:191" s="187" customFormat="1" x14ac:dyDescent="0.2">
      <c r="B75" s="429" t="s">
        <v>229</v>
      </c>
      <c r="C75" s="429" t="s">
        <v>228</v>
      </c>
      <c r="D75" s="208">
        <v>5999118</v>
      </c>
      <c r="E75" s="208">
        <v>-682531</v>
      </c>
      <c r="F75" s="208">
        <v>5316587</v>
      </c>
      <c r="G75" s="208">
        <v>8758385</v>
      </c>
      <c r="H75" s="208">
        <v>-1770900</v>
      </c>
      <c r="I75" s="208">
        <v>6987485</v>
      </c>
      <c r="J75" s="208">
        <v>-2759267</v>
      </c>
      <c r="K75" s="208">
        <v>1088369</v>
      </c>
      <c r="L75" s="208">
        <v>-1670898</v>
      </c>
      <c r="M75" s="208">
        <v>425727</v>
      </c>
      <c r="N75" s="208">
        <v>425727</v>
      </c>
      <c r="O75" s="208">
        <v>0</v>
      </c>
      <c r="P75" s="208">
        <v>2511947</v>
      </c>
      <c r="Q75" s="208">
        <v>1371497</v>
      </c>
      <c r="R75" s="208">
        <v>1140450</v>
      </c>
      <c r="S75" s="208">
        <v>0</v>
      </c>
      <c r="T75" s="208">
        <v>0</v>
      </c>
      <c r="U75" s="208">
        <v>0</v>
      </c>
      <c r="V75" s="208">
        <v>0</v>
      </c>
      <c r="W75" s="208">
        <v>0</v>
      </c>
      <c r="X75" s="208">
        <v>0</v>
      </c>
      <c r="Y75" s="208">
        <v>0</v>
      </c>
      <c r="Z75" s="208">
        <v>0</v>
      </c>
      <c r="AA75" s="208">
        <v>0</v>
      </c>
      <c r="AB75" s="208">
        <v>0</v>
      </c>
      <c r="AC75" s="208">
        <v>0</v>
      </c>
      <c r="AD75" s="208">
        <v>0</v>
      </c>
      <c r="AE75" s="208">
        <v>0</v>
      </c>
      <c r="AF75" s="208">
        <v>0</v>
      </c>
      <c r="AG75" s="208">
        <v>0</v>
      </c>
      <c r="AH75" s="208">
        <v>0</v>
      </c>
      <c r="AI75" s="208">
        <v>0</v>
      </c>
      <c r="AJ75" s="208">
        <v>0</v>
      </c>
      <c r="AK75" s="208">
        <v>0</v>
      </c>
      <c r="AL75" s="208">
        <v>0</v>
      </c>
      <c r="AM75" s="208">
        <v>0</v>
      </c>
      <c r="AN75" s="208">
        <v>0</v>
      </c>
      <c r="AO75" s="208">
        <v>0</v>
      </c>
      <c r="AP75" s="208">
        <v>0</v>
      </c>
      <c r="AQ75" s="208">
        <v>0</v>
      </c>
      <c r="AR75" s="208">
        <v>0</v>
      </c>
      <c r="AS75" s="208">
        <v>0</v>
      </c>
      <c r="AT75" s="208">
        <v>0</v>
      </c>
      <c r="AU75" s="208">
        <v>0</v>
      </c>
      <c r="AV75" s="208">
        <v>0</v>
      </c>
      <c r="AW75" s="208">
        <v>0</v>
      </c>
      <c r="AX75" s="208">
        <v>0</v>
      </c>
      <c r="AY75" s="208">
        <v>0</v>
      </c>
      <c r="AZ75" s="208">
        <v>0</v>
      </c>
      <c r="BA75" s="208">
        <v>0</v>
      </c>
      <c r="BB75" s="208">
        <v>0</v>
      </c>
      <c r="BC75" s="208">
        <v>0</v>
      </c>
      <c r="BD75" s="208">
        <v>0</v>
      </c>
      <c r="BE75" s="208">
        <v>0</v>
      </c>
      <c r="BF75" s="208">
        <v>0</v>
      </c>
      <c r="BG75" s="208">
        <v>0</v>
      </c>
      <c r="BH75" s="208">
        <v>0</v>
      </c>
      <c r="BI75" s="208">
        <v>0</v>
      </c>
      <c r="BJ75" s="208">
        <v>0</v>
      </c>
      <c r="BK75" s="208">
        <v>0</v>
      </c>
      <c r="BL75" s="208">
        <v>0</v>
      </c>
      <c r="BM75" s="208">
        <v>0</v>
      </c>
      <c r="BN75" s="208">
        <v>0</v>
      </c>
      <c r="BO75" s="208">
        <v>4089463.1695099161</v>
      </c>
      <c r="BP75" s="208">
        <v>2170914.2214629995</v>
      </c>
      <c r="BQ75" s="208">
        <v>0</v>
      </c>
      <c r="BR75" s="208">
        <v>232174</v>
      </c>
      <c r="BS75" s="208">
        <v>111432</v>
      </c>
      <c r="BT75" s="208">
        <v>0</v>
      </c>
      <c r="BU75" s="208">
        <v>3538273</v>
      </c>
      <c r="BV75" s="208">
        <v>1865701</v>
      </c>
      <c r="BW75" s="208">
        <v>0</v>
      </c>
      <c r="BX75" s="208">
        <v>783364</v>
      </c>
      <c r="BY75" s="208">
        <v>416645</v>
      </c>
      <c r="BZ75" s="208">
        <v>0</v>
      </c>
      <c r="CA75" s="208">
        <v>25464.241999999998</v>
      </c>
      <c r="CB75" s="208">
        <v>13600.945499999998</v>
      </c>
      <c r="CC75" s="208">
        <v>0</v>
      </c>
      <c r="CD75" s="208">
        <v>19661</v>
      </c>
      <c r="CE75" s="208">
        <v>11060</v>
      </c>
      <c r="CF75" s="208">
        <v>0</v>
      </c>
      <c r="CG75" s="208">
        <v>5803</v>
      </c>
      <c r="CH75" s="208">
        <v>2541</v>
      </c>
      <c r="CI75" s="208">
        <v>0</v>
      </c>
      <c r="CJ75" s="208">
        <v>0</v>
      </c>
      <c r="CK75" s="208">
        <v>0</v>
      </c>
      <c r="CL75" s="208">
        <v>0</v>
      </c>
      <c r="CM75" s="208">
        <v>0</v>
      </c>
      <c r="CN75" s="208">
        <v>0</v>
      </c>
      <c r="CO75" s="208">
        <v>0</v>
      </c>
      <c r="CP75" s="208">
        <v>0</v>
      </c>
      <c r="CQ75" s="208">
        <v>0</v>
      </c>
      <c r="CR75" s="208">
        <v>0</v>
      </c>
      <c r="CS75" s="208">
        <v>0</v>
      </c>
      <c r="CT75" s="208">
        <v>0</v>
      </c>
      <c r="CU75" s="208">
        <v>0</v>
      </c>
      <c r="CV75" s="208">
        <v>0</v>
      </c>
      <c r="CW75" s="208">
        <v>0</v>
      </c>
      <c r="CX75" s="208">
        <v>0</v>
      </c>
      <c r="CY75" s="208">
        <v>0</v>
      </c>
      <c r="CZ75" s="208">
        <v>0</v>
      </c>
      <c r="DA75" s="208">
        <v>0</v>
      </c>
      <c r="DB75" s="208">
        <v>0</v>
      </c>
      <c r="DC75" s="208">
        <v>0</v>
      </c>
      <c r="DD75" s="208">
        <v>0</v>
      </c>
      <c r="DE75" s="208">
        <v>0</v>
      </c>
      <c r="DF75" s="208">
        <v>0</v>
      </c>
      <c r="DG75" s="208">
        <v>0</v>
      </c>
      <c r="DH75" s="208">
        <v>0</v>
      </c>
      <c r="DI75" s="208">
        <v>0</v>
      </c>
      <c r="DJ75" s="208">
        <v>0</v>
      </c>
      <c r="DK75" s="208">
        <v>0</v>
      </c>
      <c r="DL75" s="208">
        <v>0</v>
      </c>
      <c r="DM75" s="208">
        <v>0</v>
      </c>
      <c r="DN75" s="208">
        <v>0</v>
      </c>
      <c r="DO75" s="208">
        <v>0</v>
      </c>
      <c r="DP75" s="208">
        <v>0</v>
      </c>
      <c r="DQ75" s="208">
        <v>0</v>
      </c>
      <c r="DR75" s="208">
        <v>0</v>
      </c>
      <c r="DS75" s="208">
        <v>0</v>
      </c>
      <c r="DT75" s="208">
        <v>0</v>
      </c>
      <c r="DU75" s="208">
        <v>0</v>
      </c>
      <c r="DV75" s="208">
        <v>0</v>
      </c>
      <c r="DW75" s="208">
        <v>182002.3660833333</v>
      </c>
      <c r="DX75" s="208">
        <v>100533.35474999998</v>
      </c>
      <c r="DY75" s="208">
        <v>0</v>
      </c>
      <c r="DZ75" s="208">
        <v>226197</v>
      </c>
      <c r="EA75" s="208">
        <v>123482</v>
      </c>
      <c r="EB75" s="208">
        <v>0</v>
      </c>
      <c r="EC75" s="208">
        <v>-44195</v>
      </c>
      <c r="ED75" s="208">
        <v>-22949</v>
      </c>
      <c r="EE75" s="208">
        <v>0</v>
      </c>
      <c r="EF75" s="208">
        <v>589000.16299999994</v>
      </c>
      <c r="EG75" s="208">
        <v>294646.3995</v>
      </c>
      <c r="EH75" s="208">
        <v>0</v>
      </c>
      <c r="EI75" s="208">
        <v>-37594.724333333332</v>
      </c>
      <c r="EJ75" s="208">
        <v>-13342.433999999999</v>
      </c>
      <c r="EK75" s="208">
        <v>0</v>
      </c>
      <c r="EL75" s="208">
        <v>607443</v>
      </c>
      <c r="EM75" s="208">
        <v>282249</v>
      </c>
      <c r="EN75" s="208">
        <v>0</v>
      </c>
      <c r="EO75" s="208">
        <v>-56038</v>
      </c>
      <c r="EP75" s="208">
        <v>-945</v>
      </c>
      <c r="EQ75" s="208">
        <v>0</v>
      </c>
      <c r="ER75" s="208">
        <v>25127.579666666665</v>
      </c>
      <c r="ES75" s="208">
        <v>13846.56825</v>
      </c>
      <c r="ET75" s="208">
        <v>0</v>
      </c>
      <c r="EU75" s="208">
        <v>31326</v>
      </c>
      <c r="EV75" s="208">
        <v>17334</v>
      </c>
      <c r="EW75" s="208">
        <v>0</v>
      </c>
      <c r="EX75" s="208">
        <v>-6198</v>
      </c>
      <c r="EY75" s="208">
        <v>-3487</v>
      </c>
      <c r="EZ75" s="208">
        <v>0</v>
      </c>
      <c r="FA75" s="208">
        <v>0</v>
      </c>
      <c r="FB75" s="208">
        <v>0</v>
      </c>
      <c r="FC75" s="208">
        <v>0</v>
      </c>
      <c r="FD75" s="208">
        <v>0</v>
      </c>
      <c r="FE75" s="208">
        <v>0</v>
      </c>
      <c r="FF75" s="208">
        <v>0</v>
      </c>
      <c r="FG75" s="208">
        <v>0</v>
      </c>
      <c r="FH75" s="208">
        <v>0</v>
      </c>
      <c r="FI75" s="208">
        <v>0</v>
      </c>
      <c r="FJ75" s="208">
        <v>1942489.5920833333</v>
      </c>
      <c r="FK75" s="208">
        <v>1060269.8287499999</v>
      </c>
      <c r="FL75" s="208">
        <v>0</v>
      </c>
      <c r="FM75" s="208">
        <v>1819506</v>
      </c>
      <c r="FN75" s="208">
        <v>1005793</v>
      </c>
      <c r="FO75" s="208">
        <v>0</v>
      </c>
      <c r="FP75" s="208">
        <v>122984</v>
      </c>
      <c r="FQ75" s="208">
        <v>54477</v>
      </c>
      <c r="FR75" s="208">
        <v>0</v>
      </c>
      <c r="FS75" s="208">
        <v>0</v>
      </c>
      <c r="FT75" s="208">
        <v>0</v>
      </c>
      <c r="FU75" s="208">
        <v>0</v>
      </c>
      <c r="FV75" s="208">
        <v>0</v>
      </c>
      <c r="FW75" s="208">
        <v>0</v>
      </c>
      <c r="FX75" s="208">
        <v>0</v>
      </c>
      <c r="FY75" s="208">
        <v>0</v>
      </c>
      <c r="FZ75" s="208">
        <v>0</v>
      </c>
      <c r="GA75" s="208">
        <v>0</v>
      </c>
      <c r="GB75" s="208">
        <v>7048126</v>
      </c>
      <c r="GC75" s="208">
        <v>3751901</v>
      </c>
      <c r="GD75" s="208">
        <v>0</v>
      </c>
      <c r="GE75" s="664">
        <v>0</v>
      </c>
      <c r="GF75" s="664">
        <v>0.64</v>
      </c>
      <c r="GG75" s="664">
        <v>0.36</v>
      </c>
      <c r="GH75" s="664">
        <v>0</v>
      </c>
      <c r="GI75" s="187" t="s">
        <v>1055</v>
      </c>
    </row>
    <row r="76" spans="1:191" s="187" customFormat="1" x14ac:dyDescent="0.2">
      <c r="B76" s="429" t="s">
        <v>231</v>
      </c>
      <c r="C76" s="429" t="s">
        <v>230</v>
      </c>
      <c r="D76" s="208">
        <v>39683</v>
      </c>
      <c r="E76" s="208">
        <v>594</v>
      </c>
      <c r="F76" s="208">
        <v>40277</v>
      </c>
      <c r="G76" s="208">
        <v>358302</v>
      </c>
      <c r="H76" s="208">
        <v>1024</v>
      </c>
      <c r="I76" s="208">
        <v>359326</v>
      </c>
      <c r="J76" s="208">
        <v>-318619</v>
      </c>
      <c r="K76" s="208">
        <v>-430</v>
      </c>
      <c r="L76" s="208">
        <v>-319049</v>
      </c>
      <c r="M76" s="208">
        <v>207800</v>
      </c>
      <c r="N76" s="208">
        <v>207800</v>
      </c>
      <c r="O76" s="208">
        <v>0</v>
      </c>
      <c r="P76" s="208">
        <v>214115</v>
      </c>
      <c r="Q76" s="208">
        <v>64090</v>
      </c>
      <c r="R76" s="208">
        <v>150025</v>
      </c>
      <c r="S76" s="208">
        <v>42783</v>
      </c>
      <c r="T76" s="208">
        <v>0</v>
      </c>
      <c r="U76" s="208">
        <v>0</v>
      </c>
      <c r="V76" s="208">
        <v>0</v>
      </c>
      <c r="W76" s="208">
        <v>42783</v>
      </c>
      <c r="X76" s="208">
        <v>0</v>
      </c>
      <c r="Y76" s="208">
        <v>0</v>
      </c>
      <c r="Z76" s="208">
        <v>0</v>
      </c>
      <c r="AA76" s="208">
        <v>0</v>
      </c>
      <c r="AB76" s="208">
        <v>0</v>
      </c>
      <c r="AC76" s="208">
        <v>0</v>
      </c>
      <c r="AD76" s="208">
        <v>0</v>
      </c>
      <c r="AE76" s="208">
        <v>0</v>
      </c>
      <c r="AF76" s="208">
        <v>0</v>
      </c>
      <c r="AG76" s="208">
        <v>0</v>
      </c>
      <c r="AH76" s="208">
        <v>18945</v>
      </c>
      <c r="AI76" s="208">
        <v>18945.439583333333</v>
      </c>
      <c r="AJ76" s="208">
        <v>0</v>
      </c>
      <c r="AK76" s="208">
        <v>0</v>
      </c>
      <c r="AL76" s="208">
        <v>0</v>
      </c>
      <c r="AM76" s="208">
        <v>0</v>
      </c>
      <c r="AN76" s="208">
        <v>0</v>
      </c>
      <c r="AO76" s="208">
        <v>0</v>
      </c>
      <c r="AP76" s="208">
        <v>18945</v>
      </c>
      <c r="AQ76" s="208">
        <v>18945</v>
      </c>
      <c r="AR76" s="208">
        <v>0</v>
      </c>
      <c r="AS76" s="208">
        <v>0</v>
      </c>
      <c r="AT76" s="208">
        <v>0</v>
      </c>
      <c r="AU76" s="208">
        <v>0</v>
      </c>
      <c r="AV76" s="208">
        <v>0</v>
      </c>
      <c r="AW76" s="208">
        <v>0</v>
      </c>
      <c r="AX76" s="208">
        <v>0</v>
      </c>
      <c r="AY76" s="208">
        <v>0</v>
      </c>
      <c r="AZ76" s="208">
        <v>0</v>
      </c>
      <c r="BA76" s="208">
        <v>0</v>
      </c>
      <c r="BB76" s="208">
        <v>0</v>
      </c>
      <c r="BC76" s="208">
        <v>0</v>
      </c>
      <c r="BD76" s="208">
        <v>0</v>
      </c>
      <c r="BE76" s="208">
        <v>0</v>
      </c>
      <c r="BF76" s="208">
        <v>0</v>
      </c>
      <c r="BG76" s="208">
        <v>0</v>
      </c>
      <c r="BH76" s="208">
        <v>0</v>
      </c>
      <c r="BI76" s="208">
        <v>0</v>
      </c>
      <c r="BJ76" s="208">
        <v>0</v>
      </c>
      <c r="BK76" s="208">
        <v>0</v>
      </c>
      <c r="BL76" s="208">
        <v>0</v>
      </c>
      <c r="BM76" s="208">
        <v>0</v>
      </c>
      <c r="BN76" s="208">
        <v>0</v>
      </c>
      <c r="BO76" s="208">
        <v>1177849.0611750002</v>
      </c>
      <c r="BP76" s="208">
        <v>294462.26529375004</v>
      </c>
      <c r="BQ76" s="208">
        <v>0</v>
      </c>
      <c r="BR76" s="208">
        <v>121771</v>
      </c>
      <c r="BS76" s="208">
        <v>30443</v>
      </c>
      <c r="BT76" s="208">
        <v>0</v>
      </c>
      <c r="BU76" s="208">
        <v>1129209</v>
      </c>
      <c r="BV76" s="208">
        <v>282302</v>
      </c>
      <c r="BW76" s="208">
        <v>0</v>
      </c>
      <c r="BX76" s="208">
        <v>170411</v>
      </c>
      <c r="BY76" s="208">
        <v>42603</v>
      </c>
      <c r="BZ76" s="208">
        <v>0</v>
      </c>
      <c r="CA76" s="208">
        <v>0</v>
      </c>
      <c r="CB76" s="208">
        <v>0</v>
      </c>
      <c r="CC76" s="208">
        <v>0</v>
      </c>
      <c r="CD76" s="208">
        <v>0</v>
      </c>
      <c r="CE76" s="208">
        <v>0</v>
      </c>
      <c r="CF76" s="208">
        <v>0</v>
      </c>
      <c r="CG76" s="208">
        <v>0</v>
      </c>
      <c r="CH76" s="208">
        <v>0</v>
      </c>
      <c r="CI76" s="208">
        <v>0</v>
      </c>
      <c r="CJ76" s="208">
        <v>0</v>
      </c>
      <c r="CK76" s="208">
        <v>0</v>
      </c>
      <c r="CL76" s="208">
        <v>0</v>
      </c>
      <c r="CM76" s="208">
        <v>0</v>
      </c>
      <c r="CN76" s="208">
        <v>0</v>
      </c>
      <c r="CO76" s="208">
        <v>0</v>
      </c>
      <c r="CP76" s="208">
        <v>-989.36500000000001</v>
      </c>
      <c r="CQ76" s="208">
        <v>-247.34125</v>
      </c>
      <c r="CR76" s="208">
        <v>0</v>
      </c>
      <c r="CS76" s="208">
        <v>0</v>
      </c>
      <c r="CT76" s="208">
        <v>0</v>
      </c>
      <c r="CU76" s="208">
        <v>0</v>
      </c>
      <c r="CV76" s="208">
        <v>0</v>
      </c>
      <c r="CW76" s="208">
        <v>0</v>
      </c>
      <c r="CX76" s="208">
        <v>0</v>
      </c>
      <c r="CY76" s="208">
        <v>0</v>
      </c>
      <c r="CZ76" s="208">
        <v>0</v>
      </c>
      <c r="DA76" s="208">
        <v>0</v>
      </c>
      <c r="DB76" s="208">
        <v>0</v>
      </c>
      <c r="DC76" s="208">
        <v>0</v>
      </c>
      <c r="DD76" s="208">
        <v>0</v>
      </c>
      <c r="DE76" s="208">
        <v>1744.6866666666665</v>
      </c>
      <c r="DF76" s="208">
        <v>436.17166666666662</v>
      </c>
      <c r="DG76" s="208">
        <v>0</v>
      </c>
      <c r="DH76" s="208">
        <v>1729</v>
      </c>
      <c r="DI76" s="208">
        <v>432</v>
      </c>
      <c r="DJ76" s="208">
        <v>0</v>
      </c>
      <c r="DK76" s="208">
        <v>16</v>
      </c>
      <c r="DL76" s="208">
        <v>4</v>
      </c>
      <c r="DM76" s="208">
        <v>0</v>
      </c>
      <c r="DN76" s="208">
        <v>0</v>
      </c>
      <c r="DO76" s="208">
        <v>0</v>
      </c>
      <c r="DP76" s="208">
        <v>0</v>
      </c>
      <c r="DQ76" s="208">
        <v>0</v>
      </c>
      <c r="DR76" s="208">
        <v>0</v>
      </c>
      <c r="DS76" s="208">
        <v>0</v>
      </c>
      <c r="DT76" s="208">
        <v>0</v>
      </c>
      <c r="DU76" s="208">
        <v>0</v>
      </c>
      <c r="DV76" s="208">
        <v>0</v>
      </c>
      <c r="DW76" s="208">
        <v>7583.4950000000008</v>
      </c>
      <c r="DX76" s="208">
        <v>1895.8737500000002</v>
      </c>
      <c r="DY76" s="208">
        <v>0</v>
      </c>
      <c r="DZ76" s="208">
        <v>8187</v>
      </c>
      <c r="EA76" s="208">
        <v>2047</v>
      </c>
      <c r="EB76" s="208">
        <v>0</v>
      </c>
      <c r="EC76" s="208">
        <v>-604</v>
      </c>
      <c r="ED76" s="208">
        <v>-151</v>
      </c>
      <c r="EE76" s="208">
        <v>0</v>
      </c>
      <c r="EF76" s="208">
        <v>72210.551666666681</v>
      </c>
      <c r="EG76" s="208">
        <v>18052.63791666667</v>
      </c>
      <c r="EH76" s="208">
        <v>0</v>
      </c>
      <c r="EI76" s="208">
        <v>-1104.8563833333335</v>
      </c>
      <c r="EJ76" s="208">
        <v>-276.21409583333337</v>
      </c>
      <c r="EK76" s="208">
        <v>0</v>
      </c>
      <c r="EL76" s="208">
        <v>75918</v>
      </c>
      <c r="EM76" s="208">
        <v>18980</v>
      </c>
      <c r="EN76" s="208">
        <v>0</v>
      </c>
      <c r="EO76" s="208">
        <v>-4812</v>
      </c>
      <c r="EP76" s="208">
        <v>-1204</v>
      </c>
      <c r="EQ76" s="208">
        <v>0</v>
      </c>
      <c r="ER76" s="208">
        <v>15875.666666666668</v>
      </c>
      <c r="ES76" s="208">
        <v>3968.916666666667</v>
      </c>
      <c r="ET76" s="208">
        <v>0</v>
      </c>
      <c r="EU76" s="208">
        <v>19950</v>
      </c>
      <c r="EV76" s="208">
        <v>4988</v>
      </c>
      <c r="EW76" s="208">
        <v>0</v>
      </c>
      <c r="EX76" s="208">
        <v>-4074</v>
      </c>
      <c r="EY76" s="208">
        <v>-1019</v>
      </c>
      <c r="EZ76" s="208">
        <v>0</v>
      </c>
      <c r="FA76" s="208">
        <v>0</v>
      </c>
      <c r="FB76" s="208">
        <v>0</v>
      </c>
      <c r="FC76" s="208">
        <v>0</v>
      </c>
      <c r="FD76" s="208">
        <v>0</v>
      </c>
      <c r="FE76" s="208">
        <v>0</v>
      </c>
      <c r="FF76" s="208">
        <v>0</v>
      </c>
      <c r="FG76" s="208">
        <v>0</v>
      </c>
      <c r="FH76" s="208">
        <v>0</v>
      </c>
      <c r="FI76" s="208">
        <v>0</v>
      </c>
      <c r="FJ76" s="208">
        <v>585979.24</v>
      </c>
      <c r="FK76" s="208">
        <v>145022.99854166666</v>
      </c>
      <c r="FL76" s="208">
        <v>0</v>
      </c>
      <c r="FM76" s="208">
        <v>585469</v>
      </c>
      <c r="FN76" s="208">
        <v>146000</v>
      </c>
      <c r="FO76" s="208">
        <v>0</v>
      </c>
      <c r="FP76" s="208">
        <v>510</v>
      </c>
      <c r="FQ76" s="208">
        <v>-977</v>
      </c>
      <c r="FR76" s="208">
        <v>0</v>
      </c>
      <c r="FS76" s="208">
        <v>0</v>
      </c>
      <c r="FT76" s="208">
        <v>0</v>
      </c>
      <c r="FU76" s="208">
        <v>0</v>
      </c>
      <c r="FV76" s="208">
        <v>0</v>
      </c>
      <c r="FW76" s="208">
        <v>0</v>
      </c>
      <c r="FX76" s="208">
        <v>0</v>
      </c>
      <c r="FY76" s="208">
        <v>0</v>
      </c>
      <c r="FZ76" s="208">
        <v>0</v>
      </c>
      <c r="GA76" s="208">
        <v>0</v>
      </c>
      <c r="GB76" s="208">
        <v>1980920</v>
      </c>
      <c r="GC76" s="208">
        <v>493759</v>
      </c>
      <c r="GD76" s="208">
        <v>0</v>
      </c>
      <c r="GE76" s="664">
        <v>0.5</v>
      </c>
      <c r="GF76" s="664">
        <v>0.4</v>
      </c>
      <c r="GG76" s="664">
        <v>0.1</v>
      </c>
      <c r="GH76" s="664">
        <v>0</v>
      </c>
      <c r="GI76" s="187" t="s">
        <v>1054</v>
      </c>
    </row>
    <row r="77" spans="1:191" s="187" customFormat="1" x14ac:dyDescent="0.2">
      <c r="B77" s="429" t="s">
        <v>233</v>
      </c>
      <c r="C77" s="429" t="s">
        <v>232</v>
      </c>
      <c r="D77" s="208">
        <v>-2403135</v>
      </c>
      <c r="E77" s="208">
        <v>-4164</v>
      </c>
      <c r="F77" s="208">
        <v>-2407299</v>
      </c>
      <c r="G77" s="208">
        <v>-2379302</v>
      </c>
      <c r="H77" s="208">
        <v>-4165</v>
      </c>
      <c r="I77" s="208">
        <v>-2383467</v>
      </c>
      <c r="J77" s="208">
        <v>-23833</v>
      </c>
      <c r="K77" s="208">
        <v>1</v>
      </c>
      <c r="L77" s="208">
        <v>-23832</v>
      </c>
      <c r="M77" s="208">
        <v>144093</v>
      </c>
      <c r="N77" s="208">
        <v>144093</v>
      </c>
      <c r="O77" s="208">
        <v>0</v>
      </c>
      <c r="P77" s="208">
        <v>203084</v>
      </c>
      <c r="Q77" s="208">
        <v>176660</v>
      </c>
      <c r="R77" s="208">
        <v>26424</v>
      </c>
      <c r="S77" s="208">
        <v>0</v>
      </c>
      <c r="T77" s="208">
        <v>0</v>
      </c>
      <c r="U77" s="208">
        <v>0</v>
      </c>
      <c r="V77" s="208">
        <v>0</v>
      </c>
      <c r="W77" s="208">
        <v>0</v>
      </c>
      <c r="X77" s="208">
        <v>0</v>
      </c>
      <c r="Y77" s="208">
        <v>0</v>
      </c>
      <c r="Z77" s="208">
        <v>0</v>
      </c>
      <c r="AA77" s="208">
        <v>0</v>
      </c>
      <c r="AB77" s="208">
        <v>0</v>
      </c>
      <c r="AC77" s="208">
        <v>0</v>
      </c>
      <c r="AD77" s="208">
        <v>0</v>
      </c>
      <c r="AE77" s="208">
        <v>0</v>
      </c>
      <c r="AF77" s="208">
        <v>0</v>
      </c>
      <c r="AG77" s="208">
        <v>0</v>
      </c>
      <c r="AH77" s="208">
        <v>28206</v>
      </c>
      <c r="AI77" s="208">
        <v>28205.904166666667</v>
      </c>
      <c r="AJ77" s="208">
        <v>0</v>
      </c>
      <c r="AK77" s="208">
        <v>0</v>
      </c>
      <c r="AL77" s="208">
        <v>21216</v>
      </c>
      <c r="AM77" s="208">
        <v>21216</v>
      </c>
      <c r="AN77" s="208">
        <v>0</v>
      </c>
      <c r="AO77" s="208">
        <v>0</v>
      </c>
      <c r="AP77" s="208">
        <v>6990</v>
      </c>
      <c r="AQ77" s="208">
        <v>6990</v>
      </c>
      <c r="AR77" s="208">
        <v>0</v>
      </c>
      <c r="AS77" s="208">
        <v>0</v>
      </c>
      <c r="AT77" s="208">
        <v>138192</v>
      </c>
      <c r="AU77" s="208">
        <v>135428.16</v>
      </c>
      <c r="AV77" s="208">
        <v>0</v>
      </c>
      <c r="AW77" s="208">
        <v>2763.84</v>
      </c>
      <c r="AX77" s="208">
        <v>615256</v>
      </c>
      <c r="AY77" s="208">
        <v>602951</v>
      </c>
      <c r="AZ77" s="208">
        <v>0</v>
      </c>
      <c r="BA77" s="208">
        <v>12305</v>
      </c>
      <c r="BB77" s="208">
        <v>-477064</v>
      </c>
      <c r="BC77" s="208">
        <v>-467523</v>
      </c>
      <c r="BD77" s="208">
        <v>0</v>
      </c>
      <c r="BE77" s="208">
        <v>-9541</v>
      </c>
      <c r="BF77" s="208">
        <v>0</v>
      </c>
      <c r="BG77" s="208">
        <v>0</v>
      </c>
      <c r="BH77" s="208">
        <v>0</v>
      </c>
      <c r="BI77" s="208">
        <v>0</v>
      </c>
      <c r="BJ77" s="208">
        <v>0</v>
      </c>
      <c r="BK77" s="208">
        <v>0</v>
      </c>
      <c r="BL77" s="208">
        <v>-467523</v>
      </c>
      <c r="BM77" s="208">
        <v>0</v>
      </c>
      <c r="BN77" s="208">
        <v>-9541</v>
      </c>
      <c r="BO77" s="208">
        <v>1419582.2412130835</v>
      </c>
      <c r="BP77" s="208">
        <v>0</v>
      </c>
      <c r="BQ77" s="208">
        <v>27912.73309941667</v>
      </c>
      <c r="BR77" s="208">
        <v>68841</v>
      </c>
      <c r="BS77" s="208">
        <v>0</v>
      </c>
      <c r="BT77" s="208">
        <v>1398</v>
      </c>
      <c r="BU77" s="208">
        <v>1274147</v>
      </c>
      <c r="BV77" s="208">
        <v>0</v>
      </c>
      <c r="BW77" s="208">
        <v>24817</v>
      </c>
      <c r="BX77" s="208">
        <v>214276</v>
      </c>
      <c r="BY77" s="208">
        <v>0</v>
      </c>
      <c r="BZ77" s="208">
        <v>4494</v>
      </c>
      <c r="CA77" s="208">
        <v>10964.3061875</v>
      </c>
      <c r="CB77" s="208">
        <v>0</v>
      </c>
      <c r="CC77" s="208">
        <v>195.20318750000001</v>
      </c>
      <c r="CD77" s="208">
        <v>7843</v>
      </c>
      <c r="CE77" s="208">
        <v>0</v>
      </c>
      <c r="CF77" s="208">
        <v>160</v>
      </c>
      <c r="CG77" s="208">
        <v>3121</v>
      </c>
      <c r="CH77" s="208">
        <v>0</v>
      </c>
      <c r="CI77" s="208">
        <v>35</v>
      </c>
      <c r="CJ77" s="208">
        <v>0</v>
      </c>
      <c r="CK77" s="208">
        <v>0</v>
      </c>
      <c r="CL77" s="208">
        <v>0</v>
      </c>
      <c r="CM77" s="208">
        <v>-15.036875</v>
      </c>
      <c r="CN77" s="208">
        <v>0</v>
      </c>
      <c r="CO77" s="208">
        <v>-0.30687500000000001</v>
      </c>
      <c r="CP77" s="208">
        <v>0</v>
      </c>
      <c r="CQ77" s="208">
        <v>0</v>
      </c>
      <c r="CR77" s="208">
        <v>0</v>
      </c>
      <c r="CS77" s="208">
        <v>0</v>
      </c>
      <c r="CT77" s="208">
        <v>0</v>
      </c>
      <c r="CU77" s="208">
        <v>0</v>
      </c>
      <c r="CV77" s="208">
        <v>0</v>
      </c>
      <c r="CW77" s="208">
        <v>0</v>
      </c>
      <c r="CX77" s="208">
        <v>0</v>
      </c>
      <c r="CY77" s="208">
        <v>0</v>
      </c>
      <c r="CZ77" s="208">
        <v>0</v>
      </c>
      <c r="DA77" s="208">
        <v>0</v>
      </c>
      <c r="DB77" s="208">
        <v>0</v>
      </c>
      <c r="DC77" s="208">
        <v>0</v>
      </c>
      <c r="DD77" s="208">
        <v>0</v>
      </c>
      <c r="DE77" s="208">
        <v>0</v>
      </c>
      <c r="DF77" s="208">
        <v>0</v>
      </c>
      <c r="DG77" s="208">
        <v>0</v>
      </c>
      <c r="DH77" s="208">
        <v>0</v>
      </c>
      <c r="DI77" s="208">
        <v>0</v>
      </c>
      <c r="DJ77" s="208">
        <v>0</v>
      </c>
      <c r="DK77" s="208">
        <v>0</v>
      </c>
      <c r="DL77" s="208">
        <v>0</v>
      </c>
      <c r="DM77" s="208">
        <v>0</v>
      </c>
      <c r="DN77" s="208">
        <v>751.84375</v>
      </c>
      <c r="DO77" s="208">
        <v>0</v>
      </c>
      <c r="DP77" s="208">
        <v>15.34375</v>
      </c>
      <c r="DQ77" s="208">
        <v>752</v>
      </c>
      <c r="DR77" s="208">
        <v>0</v>
      </c>
      <c r="DS77" s="208">
        <v>15</v>
      </c>
      <c r="DT77" s="208">
        <v>0</v>
      </c>
      <c r="DU77" s="208">
        <v>0</v>
      </c>
      <c r="DV77" s="208">
        <v>0</v>
      </c>
      <c r="DW77" s="208">
        <v>9364.9657499999994</v>
      </c>
      <c r="DX77" s="208">
        <v>0</v>
      </c>
      <c r="DY77" s="208">
        <v>191.12174999999999</v>
      </c>
      <c r="DZ77" s="208">
        <v>8639</v>
      </c>
      <c r="EA77" s="208">
        <v>0</v>
      </c>
      <c r="EB77" s="208">
        <v>176</v>
      </c>
      <c r="EC77" s="208">
        <v>726</v>
      </c>
      <c r="ED77" s="208">
        <v>0</v>
      </c>
      <c r="EE77" s="208">
        <v>15</v>
      </c>
      <c r="EF77" s="208">
        <v>32494.686874999999</v>
      </c>
      <c r="EG77" s="208">
        <v>0</v>
      </c>
      <c r="EH77" s="208">
        <v>663.15687500000001</v>
      </c>
      <c r="EI77" s="208">
        <v>-4481.4899791666667</v>
      </c>
      <c r="EJ77" s="208">
        <v>0</v>
      </c>
      <c r="EK77" s="208">
        <v>-91.458979166666666</v>
      </c>
      <c r="EL77" s="208">
        <v>33470</v>
      </c>
      <c r="EM77" s="208">
        <v>0</v>
      </c>
      <c r="EN77" s="208">
        <v>644</v>
      </c>
      <c r="EO77" s="208">
        <v>-5457</v>
      </c>
      <c r="EP77" s="208">
        <v>0</v>
      </c>
      <c r="EQ77" s="208">
        <v>-72</v>
      </c>
      <c r="ER77" s="208">
        <v>19787.0238125</v>
      </c>
      <c r="ES77" s="208">
        <v>0</v>
      </c>
      <c r="ET77" s="208">
        <v>403.81681250000003</v>
      </c>
      <c r="EU77" s="208">
        <v>20049</v>
      </c>
      <c r="EV77" s="208">
        <v>0</v>
      </c>
      <c r="EW77" s="208">
        <v>409</v>
      </c>
      <c r="EX77" s="208">
        <v>-262</v>
      </c>
      <c r="EY77" s="208">
        <v>0</v>
      </c>
      <c r="EZ77" s="208">
        <v>-5</v>
      </c>
      <c r="FA77" s="208">
        <v>0</v>
      </c>
      <c r="FB77" s="208">
        <v>0</v>
      </c>
      <c r="FC77" s="208">
        <v>0</v>
      </c>
      <c r="FD77" s="208">
        <v>0</v>
      </c>
      <c r="FE77" s="208">
        <v>0</v>
      </c>
      <c r="FF77" s="208">
        <v>0</v>
      </c>
      <c r="FG77" s="208">
        <v>0</v>
      </c>
      <c r="FH77" s="208">
        <v>0</v>
      </c>
      <c r="FI77" s="208">
        <v>0</v>
      </c>
      <c r="FJ77" s="208">
        <v>355079.31112499995</v>
      </c>
      <c r="FK77" s="208">
        <v>0</v>
      </c>
      <c r="FL77" s="208">
        <v>7151.5367916666664</v>
      </c>
      <c r="FM77" s="208">
        <v>380345</v>
      </c>
      <c r="FN77" s="208">
        <v>0</v>
      </c>
      <c r="FO77" s="208">
        <v>7670</v>
      </c>
      <c r="FP77" s="208">
        <v>-25266</v>
      </c>
      <c r="FQ77" s="208">
        <v>0</v>
      </c>
      <c r="FR77" s="208">
        <v>-518</v>
      </c>
      <c r="FS77" s="208">
        <v>0</v>
      </c>
      <c r="FT77" s="208">
        <v>0</v>
      </c>
      <c r="FU77" s="208">
        <v>0</v>
      </c>
      <c r="FV77" s="208">
        <v>0</v>
      </c>
      <c r="FW77" s="208">
        <v>0</v>
      </c>
      <c r="FX77" s="208">
        <v>0</v>
      </c>
      <c r="FY77" s="208">
        <v>0</v>
      </c>
      <c r="FZ77" s="208">
        <v>0</v>
      </c>
      <c r="GA77" s="208">
        <v>0</v>
      </c>
      <c r="GB77" s="208">
        <v>1912369</v>
      </c>
      <c r="GC77" s="208">
        <v>0</v>
      </c>
      <c r="GD77" s="208">
        <v>37840</v>
      </c>
      <c r="GE77" s="664">
        <v>0.5</v>
      </c>
      <c r="GF77" s="664">
        <v>0.49</v>
      </c>
      <c r="GG77" s="664">
        <v>0</v>
      </c>
      <c r="GH77" s="664">
        <v>0.01</v>
      </c>
      <c r="GI77" s="187" t="s">
        <v>742</v>
      </c>
    </row>
    <row r="78" spans="1:191" s="187" customFormat="1" x14ac:dyDescent="0.2">
      <c r="B78" s="429" t="s">
        <v>235</v>
      </c>
      <c r="C78" s="429" t="s">
        <v>234</v>
      </c>
      <c r="D78" s="208">
        <v>-4258832</v>
      </c>
      <c r="E78" s="208">
        <v>0</v>
      </c>
      <c r="F78" s="208">
        <v>-4258832</v>
      </c>
      <c r="G78" s="208">
        <v>-3970196</v>
      </c>
      <c r="H78" s="208">
        <v>0</v>
      </c>
      <c r="I78" s="208">
        <v>-3970196</v>
      </c>
      <c r="J78" s="208">
        <v>-288636</v>
      </c>
      <c r="K78" s="208">
        <v>0</v>
      </c>
      <c r="L78" s="208">
        <v>-288636</v>
      </c>
      <c r="M78" s="208">
        <v>172215</v>
      </c>
      <c r="N78" s="208">
        <v>172215</v>
      </c>
      <c r="O78" s="208">
        <v>0</v>
      </c>
      <c r="P78" s="208">
        <v>0</v>
      </c>
      <c r="Q78" s="208">
        <v>0</v>
      </c>
      <c r="R78" s="208">
        <v>0</v>
      </c>
      <c r="S78" s="208">
        <v>0</v>
      </c>
      <c r="T78" s="208">
        <v>0</v>
      </c>
      <c r="U78" s="208">
        <v>0</v>
      </c>
      <c r="V78" s="208">
        <v>0</v>
      </c>
      <c r="W78" s="208">
        <v>0</v>
      </c>
      <c r="X78" s="208">
        <v>0</v>
      </c>
      <c r="Y78" s="208">
        <v>0</v>
      </c>
      <c r="Z78" s="208">
        <v>0</v>
      </c>
      <c r="AA78" s="208">
        <v>0</v>
      </c>
      <c r="AB78" s="208">
        <v>0</v>
      </c>
      <c r="AC78" s="208">
        <v>0</v>
      </c>
      <c r="AD78" s="208">
        <v>0</v>
      </c>
      <c r="AE78" s="208">
        <v>0</v>
      </c>
      <c r="AF78" s="208">
        <v>0</v>
      </c>
      <c r="AG78" s="208">
        <v>0</v>
      </c>
      <c r="AH78" s="208">
        <v>0</v>
      </c>
      <c r="AI78" s="208">
        <v>0</v>
      </c>
      <c r="AJ78" s="208">
        <v>0</v>
      </c>
      <c r="AK78" s="208">
        <v>0</v>
      </c>
      <c r="AL78" s="208">
        <v>0</v>
      </c>
      <c r="AM78" s="208">
        <v>0</v>
      </c>
      <c r="AN78" s="208">
        <v>0</v>
      </c>
      <c r="AO78" s="208">
        <v>0</v>
      </c>
      <c r="AP78" s="208">
        <v>0</v>
      </c>
      <c r="AQ78" s="208">
        <v>0</v>
      </c>
      <c r="AR78" s="208">
        <v>0</v>
      </c>
      <c r="AS78" s="208">
        <v>0</v>
      </c>
      <c r="AT78" s="208">
        <v>0</v>
      </c>
      <c r="AU78" s="208">
        <v>0</v>
      </c>
      <c r="AV78" s="208">
        <v>0</v>
      </c>
      <c r="AW78" s="208">
        <v>0</v>
      </c>
      <c r="AX78" s="208">
        <v>0</v>
      </c>
      <c r="AY78" s="208">
        <v>0</v>
      </c>
      <c r="AZ78" s="208">
        <v>0</v>
      </c>
      <c r="BA78" s="208">
        <v>0</v>
      </c>
      <c r="BB78" s="208">
        <v>0</v>
      </c>
      <c r="BC78" s="208">
        <v>0</v>
      </c>
      <c r="BD78" s="208">
        <v>0</v>
      </c>
      <c r="BE78" s="208">
        <v>0</v>
      </c>
      <c r="BF78" s="208">
        <v>0</v>
      </c>
      <c r="BG78" s="208">
        <v>0</v>
      </c>
      <c r="BH78" s="208">
        <v>0</v>
      </c>
      <c r="BI78" s="208">
        <v>0</v>
      </c>
      <c r="BJ78" s="208">
        <v>0</v>
      </c>
      <c r="BK78" s="208">
        <v>0</v>
      </c>
      <c r="BL78" s="208">
        <v>0</v>
      </c>
      <c r="BM78" s="208">
        <v>0</v>
      </c>
      <c r="BN78" s="208">
        <v>0</v>
      </c>
      <c r="BO78" s="208">
        <v>672536.16403833334</v>
      </c>
      <c r="BP78" s="208">
        <v>991990.84195654164</v>
      </c>
      <c r="BQ78" s="208">
        <v>16813.404100958334</v>
      </c>
      <c r="BR78" s="208">
        <v>72109</v>
      </c>
      <c r="BS78" s="208">
        <v>106361</v>
      </c>
      <c r="BT78" s="208">
        <v>1803</v>
      </c>
      <c r="BU78" s="208">
        <v>697537</v>
      </c>
      <c r="BV78" s="208">
        <v>1028867</v>
      </c>
      <c r="BW78" s="208">
        <v>17438</v>
      </c>
      <c r="BX78" s="208">
        <v>47108</v>
      </c>
      <c r="BY78" s="208">
        <v>69485</v>
      </c>
      <c r="BZ78" s="208">
        <v>1178</v>
      </c>
      <c r="CA78" s="208">
        <v>252.04666666666668</v>
      </c>
      <c r="CB78" s="208">
        <v>371.7688333333333</v>
      </c>
      <c r="CC78" s="208">
        <v>6.301166666666667</v>
      </c>
      <c r="CD78" s="208">
        <v>1480</v>
      </c>
      <c r="CE78" s="208">
        <v>2182</v>
      </c>
      <c r="CF78" s="208">
        <v>37</v>
      </c>
      <c r="CG78" s="208">
        <v>-1228</v>
      </c>
      <c r="CH78" s="208">
        <v>-1810</v>
      </c>
      <c r="CI78" s="208">
        <v>-31</v>
      </c>
      <c r="CJ78" s="208">
        <v>0</v>
      </c>
      <c r="CK78" s="208">
        <v>0</v>
      </c>
      <c r="CL78" s="208">
        <v>0</v>
      </c>
      <c r="CM78" s="208">
        <v>0</v>
      </c>
      <c r="CN78" s="208">
        <v>0</v>
      </c>
      <c r="CO78" s="208">
        <v>0</v>
      </c>
      <c r="CP78" s="208">
        <v>-573.24250000000006</v>
      </c>
      <c r="CQ78" s="208">
        <v>-845.53268749999995</v>
      </c>
      <c r="CR78" s="208">
        <v>-14.331062500000002</v>
      </c>
      <c r="CS78" s="208">
        <v>0</v>
      </c>
      <c r="CT78" s="208">
        <v>0</v>
      </c>
      <c r="CU78" s="208">
        <v>0</v>
      </c>
      <c r="CV78" s="208">
        <v>0</v>
      </c>
      <c r="CW78" s="208">
        <v>0</v>
      </c>
      <c r="CX78" s="208">
        <v>0</v>
      </c>
      <c r="CY78" s="208">
        <v>0</v>
      </c>
      <c r="CZ78" s="208">
        <v>0</v>
      </c>
      <c r="DA78" s="208">
        <v>0</v>
      </c>
      <c r="DB78" s="208">
        <v>-4.5008333333333335</v>
      </c>
      <c r="DC78" s="208">
        <v>-6.6387291666666659</v>
      </c>
      <c r="DD78" s="208">
        <v>-0.11252083333333333</v>
      </c>
      <c r="DE78" s="208">
        <v>0</v>
      </c>
      <c r="DF78" s="208">
        <v>0</v>
      </c>
      <c r="DG78" s="208">
        <v>0</v>
      </c>
      <c r="DH78" s="208">
        <v>0</v>
      </c>
      <c r="DI78" s="208">
        <v>0</v>
      </c>
      <c r="DJ78" s="208">
        <v>0</v>
      </c>
      <c r="DK78" s="208">
        <v>0</v>
      </c>
      <c r="DL78" s="208">
        <v>0</v>
      </c>
      <c r="DM78" s="208">
        <v>0</v>
      </c>
      <c r="DN78" s="208">
        <v>0</v>
      </c>
      <c r="DO78" s="208">
        <v>0</v>
      </c>
      <c r="DP78" s="208">
        <v>0</v>
      </c>
      <c r="DQ78" s="208">
        <v>0</v>
      </c>
      <c r="DR78" s="208">
        <v>0</v>
      </c>
      <c r="DS78" s="208">
        <v>0</v>
      </c>
      <c r="DT78" s="208">
        <v>0</v>
      </c>
      <c r="DU78" s="208">
        <v>0</v>
      </c>
      <c r="DV78" s="208">
        <v>0</v>
      </c>
      <c r="DW78" s="208">
        <v>5123.5850000000009</v>
      </c>
      <c r="DX78" s="208">
        <v>7557.287875</v>
      </c>
      <c r="DY78" s="208">
        <v>128.08962500000001</v>
      </c>
      <c r="DZ78" s="208">
        <v>2129</v>
      </c>
      <c r="EA78" s="208">
        <v>3140</v>
      </c>
      <c r="EB78" s="208">
        <v>53</v>
      </c>
      <c r="EC78" s="208">
        <v>2995</v>
      </c>
      <c r="ED78" s="208">
        <v>4417</v>
      </c>
      <c r="EE78" s="208">
        <v>75</v>
      </c>
      <c r="EF78" s="208">
        <v>44451.866666666669</v>
      </c>
      <c r="EG78" s="208">
        <v>65566.503333333327</v>
      </c>
      <c r="EH78" s="208">
        <v>1111.2966666666669</v>
      </c>
      <c r="EI78" s="208">
        <v>-881.34500000000014</v>
      </c>
      <c r="EJ78" s="208">
        <v>-1299.9838750000001</v>
      </c>
      <c r="EK78" s="208">
        <v>-22.033625000000001</v>
      </c>
      <c r="EL78" s="208">
        <v>34713</v>
      </c>
      <c r="EM78" s="208">
        <v>51203</v>
      </c>
      <c r="EN78" s="208">
        <v>868</v>
      </c>
      <c r="EO78" s="208">
        <v>8858</v>
      </c>
      <c r="EP78" s="208">
        <v>13064</v>
      </c>
      <c r="EQ78" s="208">
        <v>221</v>
      </c>
      <c r="ER78" s="208">
        <v>12702.17</v>
      </c>
      <c r="ES78" s="208">
        <v>18735.70075</v>
      </c>
      <c r="ET78" s="208">
        <v>317.55425000000002</v>
      </c>
      <c r="EU78" s="208">
        <v>8592</v>
      </c>
      <c r="EV78" s="208">
        <v>12674</v>
      </c>
      <c r="EW78" s="208">
        <v>215</v>
      </c>
      <c r="EX78" s="208">
        <v>4110</v>
      </c>
      <c r="EY78" s="208">
        <v>6062</v>
      </c>
      <c r="EZ78" s="208">
        <v>103</v>
      </c>
      <c r="FA78" s="208">
        <v>0</v>
      </c>
      <c r="FB78" s="208">
        <v>0</v>
      </c>
      <c r="FC78" s="208">
        <v>0</v>
      </c>
      <c r="FD78" s="208">
        <v>0</v>
      </c>
      <c r="FE78" s="208">
        <v>0</v>
      </c>
      <c r="FF78" s="208">
        <v>0</v>
      </c>
      <c r="FG78" s="208">
        <v>0</v>
      </c>
      <c r="FH78" s="208">
        <v>0</v>
      </c>
      <c r="FI78" s="208">
        <v>0</v>
      </c>
      <c r="FJ78" s="208">
        <v>778173.91666666663</v>
      </c>
      <c r="FK78" s="208">
        <v>1147806.5270833333</v>
      </c>
      <c r="FL78" s="208">
        <v>19454.347916666666</v>
      </c>
      <c r="FM78" s="208">
        <v>762775</v>
      </c>
      <c r="FN78" s="208">
        <v>1125093</v>
      </c>
      <c r="FO78" s="208">
        <v>19069</v>
      </c>
      <c r="FP78" s="208">
        <v>15399</v>
      </c>
      <c r="FQ78" s="208">
        <v>22714</v>
      </c>
      <c r="FR78" s="208">
        <v>385</v>
      </c>
      <c r="FS78" s="208">
        <v>0</v>
      </c>
      <c r="FT78" s="208">
        <v>0</v>
      </c>
      <c r="FU78" s="208">
        <v>0</v>
      </c>
      <c r="FV78" s="208">
        <v>0</v>
      </c>
      <c r="FW78" s="208">
        <v>0</v>
      </c>
      <c r="FX78" s="208">
        <v>0</v>
      </c>
      <c r="FY78" s="208">
        <v>0</v>
      </c>
      <c r="FZ78" s="208">
        <v>0</v>
      </c>
      <c r="GA78" s="208">
        <v>0</v>
      </c>
      <c r="GB78" s="208">
        <v>1583890</v>
      </c>
      <c r="GC78" s="208">
        <v>2336238</v>
      </c>
      <c r="GD78" s="208">
        <v>39597</v>
      </c>
      <c r="GE78" s="664">
        <v>0</v>
      </c>
      <c r="GF78" s="664">
        <v>0.4</v>
      </c>
      <c r="GG78" s="664">
        <v>0.59</v>
      </c>
      <c r="GH78" s="664">
        <v>0.01</v>
      </c>
      <c r="GI78" s="187" t="s">
        <v>1054</v>
      </c>
    </row>
    <row r="79" spans="1:191" s="187" customFormat="1" x14ac:dyDescent="0.2">
      <c r="B79" s="429" t="s">
        <v>237</v>
      </c>
      <c r="C79" s="429" t="s">
        <v>236</v>
      </c>
      <c r="D79" s="208">
        <v>-442368</v>
      </c>
      <c r="E79" s="208">
        <v>0</v>
      </c>
      <c r="F79" s="208">
        <v>-442368</v>
      </c>
      <c r="G79" s="208">
        <v>-326116</v>
      </c>
      <c r="H79" s="208">
        <v>0</v>
      </c>
      <c r="I79" s="208">
        <v>-326116</v>
      </c>
      <c r="J79" s="208">
        <v>-116252</v>
      </c>
      <c r="K79" s="208">
        <v>0</v>
      </c>
      <c r="L79" s="208">
        <v>-116252</v>
      </c>
      <c r="M79" s="208">
        <v>119221</v>
      </c>
      <c r="N79" s="208">
        <v>119221</v>
      </c>
      <c r="O79" s="208">
        <v>0</v>
      </c>
      <c r="P79" s="208">
        <v>0</v>
      </c>
      <c r="Q79" s="208">
        <v>0</v>
      </c>
      <c r="R79" s="208">
        <v>0</v>
      </c>
      <c r="S79" s="208">
        <v>674296</v>
      </c>
      <c r="T79" s="208">
        <v>0</v>
      </c>
      <c r="U79" s="208">
        <v>806026</v>
      </c>
      <c r="V79" s="208">
        <v>0</v>
      </c>
      <c r="W79" s="208">
        <v>-131730</v>
      </c>
      <c r="X79" s="208">
        <v>0</v>
      </c>
      <c r="Y79" s="208">
        <v>0</v>
      </c>
      <c r="Z79" s="208">
        <v>0</v>
      </c>
      <c r="AA79" s="208">
        <v>0</v>
      </c>
      <c r="AB79" s="208">
        <v>0</v>
      </c>
      <c r="AC79" s="208">
        <v>0</v>
      </c>
      <c r="AD79" s="208">
        <v>0</v>
      </c>
      <c r="AE79" s="208">
        <v>0</v>
      </c>
      <c r="AF79" s="208">
        <v>0</v>
      </c>
      <c r="AG79" s="208">
        <v>0</v>
      </c>
      <c r="AH79" s="208">
        <v>0</v>
      </c>
      <c r="AI79" s="208">
        <v>0</v>
      </c>
      <c r="AJ79" s="208">
        <v>0</v>
      </c>
      <c r="AK79" s="208">
        <v>0</v>
      </c>
      <c r="AL79" s="208">
        <v>0</v>
      </c>
      <c r="AM79" s="208">
        <v>0</v>
      </c>
      <c r="AN79" s="208">
        <v>0</v>
      </c>
      <c r="AO79" s="208">
        <v>0</v>
      </c>
      <c r="AP79" s="208">
        <v>0</v>
      </c>
      <c r="AQ79" s="208">
        <v>0</v>
      </c>
      <c r="AR79" s="208">
        <v>0</v>
      </c>
      <c r="AS79" s="208">
        <v>0</v>
      </c>
      <c r="AT79" s="208">
        <v>0</v>
      </c>
      <c r="AU79" s="208">
        <v>0</v>
      </c>
      <c r="AV79" s="208">
        <v>0</v>
      </c>
      <c r="AW79" s="208">
        <v>0</v>
      </c>
      <c r="AX79" s="208">
        <v>0</v>
      </c>
      <c r="AY79" s="208">
        <v>0</v>
      </c>
      <c r="AZ79" s="208">
        <v>0</v>
      </c>
      <c r="BA79" s="208">
        <v>0</v>
      </c>
      <c r="BB79" s="208">
        <v>0</v>
      </c>
      <c r="BC79" s="208">
        <v>0</v>
      </c>
      <c r="BD79" s="208">
        <v>0</v>
      </c>
      <c r="BE79" s="208">
        <v>0</v>
      </c>
      <c r="BF79" s="208">
        <v>0</v>
      </c>
      <c r="BG79" s="208">
        <v>0</v>
      </c>
      <c r="BH79" s="208">
        <v>0</v>
      </c>
      <c r="BI79" s="208">
        <v>0</v>
      </c>
      <c r="BJ79" s="208">
        <v>0</v>
      </c>
      <c r="BK79" s="208">
        <v>0</v>
      </c>
      <c r="BL79" s="208">
        <v>0</v>
      </c>
      <c r="BM79" s="208">
        <v>0</v>
      </c>
      <c r="BN79" s="208">
        <v>0</v>
      </c>
      <c r="BO79" s="208">
        <v>759468.23245250003</v>
      </c>
      <c r="BP79" s="208">
        <v>189867.05811312501</v>
      </c>
      <c r="BQ79" s="208">
        <v>0</v>
      </c>
      <c r="BR79" s="208">
        <v>58010</v>
      </c>
      <c r="BS79" s="208">
        <v>14502</v>
      </c>
      <c r="BT79" s="208">
        <v>0</v>
      </c>
      <c r="BU79" s="208">
        <v>746937</v>
      </c>
      <c r="BV79" s="208">
        <v>186734</v>
      </c>
      <c r="BW79" s="208">
        <v>0</v>
      </c>
      <c r="BX79" s="208">
        <v>70541</v>
      </c>
      <c r="BY79" s="208">
        <v>17635</v>
      </c>
      <c r="BZ79" s="208">
        <v>0</v>
      </c>
      <c r="CA79" s="208">
        <v>0</v>
      </c>
      <c r="CB79" s="208">
        <v>0</v>
      </c>
      <c r="CC79" s="208">
        <v>0</v>
      </c>
      <c r="CD79" s="208">
        <v>0</v>
      </c>
      <c r="CE79" s="208">
        <v>0</v>
      </c>
      <c r="CF79" s="208">
        <v>0</v>
      </c>
      <c r="CG79" s="208">
        <v>0</v>
      </c>
      <c r="CH79" s="208">
        <v>0</v>
      </c>
      <c r="CI79" s="208">
        <v>0</v>
      </c>
      <c r="CJ79" s="208">
        <v>0</v>
      </c>
      <c r="CK79" s="208">
        <v>0</v>
      </c>
      <c r="CL79" s="208">
        <v>0</v>
      </c>
      <c r="CM79" s="208">
        <v>0</v>
      </c>
      <c r="CN79" s="208">
        <v>0</v>
      </c>
      <c r="CO79" s="208">
        <v>0</v>
      </c>
      <c r="CP79" s="208">
        <v>0</v>
      </c>
      <c r="CQ79" s="208">
        <v>0</v>
      </c>
      <c r="CR79" s="208">
        <v>0</v>
      </c>
      <c r="CS79" s="208">
        <v>0</v>
      </c>
      <c r="CT79" s="208">
        <v>0</v>
      </c>
      <c r="CU79" s="208">
        <v>0</v>
      </c>
      <c r="CV79" s="208">
        <v>0</v>
      </c>
      <c r="CW79" s="208">
        <v>0</v>
      </c>
      <c r="CX79" s="208">
        <v>0</v>
      </c>
      <c r="CY79" s="208">
        <v>0</v>
      </c>
      <c r="CZ79" s="208">
        <v>0</v>
      </c>
      <c r="DA79" s="208">
        <v>0</v>
      </c>
      <c r="DB79" s="208">
        <v>0</v>
      </c>
      <c r="DC79" s="208">
        <v>0</v>
      </c>
      <c r="DD79" s="208">
        <v>0</v>
      </c>
      <c r="DE79" s="208">
        <v>17500.876666666667</v>
      </c>
      <c r="DF79" s="208">
        <v>4375.2191666666668</v>
      </c>
      <c r="DG79" s="208">
        <v>0</v>
      </c>
      <c r="DH79" s="208">
        <v>18168</v>
      </c>
      <c r="DI79" s="208">
        <v>4542</v>
      </c>
      <c r="DJ79" s="208">
        <v>0</v>
      </c>
      <c r="DK79" s="208">
        <v>-667</v>
      </c>
      <c r="DL79" s="208">
        <v>-167</v>
      </c>
      <c r="DM79" s="208">
        <v>0</v>
      </c>
      <c r="DN79" s="208">
        <v>0</v>
      </c>
      <c r="DO79" s="208">
        <v>0</v>
      </c>
      <c r="DP79" s="208">
        <v>0</v>
      </c>
      <c r="DQ79" s="208">
        <v>0</v>
      </c>
      <c r="DR79" s="208">
        <v>0</v>
      </c>
      <c r="DS79" s="208">
        <v>0</v>
      </c>
      <c r="DT79" s="208">
        <v>0</v>
      </c>
      <c r="DU79" s="208">
        <v>0</v>
      </c>
      <c r="DV79" s="208">
        <v>0</v>
      </c>
      <c r="DW79" s="208">
        <v>7828.9949999999999</v>
      </c>
      <c r="DX79" s="208">
        <v>1957.24875</v>
      </c>
      <c r="DY79" s="208">
        <v>0</v>
      </c>
      <c r="DZ79" s="208">
        <v>7404</v>
      </c>
      <c r="EA79" s="208">
        <v>1851</v>
      </c>
      <c r="EB79" s="208">
        <v>0</v>
      </c>
      <c r="EC79" s="208">
        <v>425</v>
      </c>
      <c r="ED79" s="208">
        <v>106</v>
      </c>
      <c r="EE79" s="208">
        <v>0</v>
      </c>
      <c r="EF79" s="208">
        <v>18287.704166666666</v>
      </c>
      <c r="EG79" s="208">
        <v>4571.9260416666666</v>
      </c>
      <c r="EH79" s="208">
        <v>0</v>
      </c>
      <c r="EI79" s="208">
        <v>-1161.2149999999999</v>
      </c>
      <c r="EJ79" s="208">
        <v>-290.30374999999998</v>
      </c>
      <c r="EK79" s="208">
        <v>0</v>
      </c>
      <c r="EL79" s="208">
        <v>18162</v>
      </c>
      <c r="EM79" s="208">
        <v>4540</v>
      </c>
      <c r="EN79" s="208">
        <v>0</v>
      </c>
      <c r="EO79" s="208">
        <v>-1036</v>
      </c>
      <c r="EP79" s="208">
        <v>-258</v>
      </c>
      <c r="EQ79" s="208">
        <v>0</v>
      </c>
      <c r="ER79" s="208">
        <v>13914.121666666668</v>
      </c>
      <c r="ES79" s="208">
        <v>3478.530416666667</v>
      </c>
      <c r="ET79" s="208">
        <v>0</v>
      </c>
      <c r="EU79" s="208">
        <v>16033</v>
      </c>
      <c r="EV79" s="208">
        <v>4008</v>
      </c>
      <c r="EW79" s="208">
        <v>0</v>
      </c>
      <c r="EX79" s="208">
        <v>-2119</v>
      </c>
      <c r="EY79" s="208">
        <v>-529</v>
      </c>
      <c r="EZ79" s="208">
        <v>0</v>
      </c>
      <c r="FA79" s="208">
        <v>0</v>
      </c>
      <c r="FB79" s="208">
        <v>0</v>
      </c>
      <c r="FC79" s="208">
        <v>0</v>
      </c>
      <c r="FD79" s="208">
        <v>0</v>
      </c>
      <c r="FE79" s="208">
        <v>0</v>
      </c>
      <c r="FF79" s="208">
        <v>0</v>
      </c>
      <c r="FG79" s="208">
        <v>0</v>
      </c>
      <c r="FH79" s="208">
        <v>0</v>
      </c>
      <c r="FI79" s="208">
        <v>0</v>
      </c>
      <c r="FJ79" s="208">
        <v>424232.36166666669</v>
      </c>
      <c r="FK79" s="208">
        <v>102194.93625</v>
      </c>
      <c r="FL79" s="208">
        <v>0</v>
      </c>
      <c r="FM79" s="208">
        <v>435141</v>
      </c>
      <c r="FN79" s="208">
        <v>104168</v>
      </c>
      <c r="FO79" s="208">
        <v>0</v>
      </c>
      <c r="FP79" s="208">
        <v>-10909</v>
      </c>
      <c r="FQ79" s="208">
        <v>-1973</v>
      </c>
      <c r="FR79" s="208">
        <v>0</v>
      </c>
      <c r="FS79" s="208">
        <v>0</v>
      </c>
      <c r="FT79" s="208">
        <v>0</v>
      </c>
      <c r="FU79" s="208">
        <v>0</v>
      </c>
      <c r="FV79" s="208">
        <v>0</v>
      </c>
      <c r="FW79" s="208">
        <v>0</v>
      </c>
      <c r="FX79" s="208">
        <v>0</v>
      </c>
      <c r="FY79" s="208">
        <v>0</v>
      </c>
      <c r="FZ79" s="208">
        <v>0</v>
      </c>
      <c r="GA79" s="208">
        <v>0</v>
      </c>
      <c r="GB79" s="208">
        <v>1298081</v>
      </c>
      <c r="GC79" s="208">
        <v>320657</v>
      </c>
      <c r="GD79" s="208">
        <v>0</v>
      </c>
      <c r="GE79" s="664">
        <v>0.5</v>
      </c>
      <c r="GF79" s="664">
        <v>0.4</v>
      </c>
      <c r="GG79" s="664">
        <v>0.1</v>
      </c>
      <c r="GH79" s="664">
        <v>0</v>
      </c>
      <c r="GI79" s="187" t="s">
        <v>1054</v>
      </c>
    </row>
    <row r="80" spans="1:191" s="187" customFormat="1" x14ac:dyDescent="0.2">
      <c r="B80" s="429" t="s">
        <v>239</v>
      </c>
      <c r="C80" s="429" t="s">
        <v>238</v>
      </c>
      <c r="D80" s="208">
        <v>1606592</v>
      </c>
      <c r="E80" s="208">
        <v>0</v>
      </c>
      <c r="F80" s="208">
        <v>1606592</v>
      </c>
      <c r="G80" s="208">
        <v>1608498</v>
      </c>
      <c r="H80" s="208">
        <v>0</v>
      </c>
      <c r="I80" s="208">
        <v>1608498</v>
      </c>
      <c r="J80" s="208">
        <v>-1906</v>
      </c>
      <c r="K80" s="208">
        <v>0</v>
      </c>
      <c r="L80" s="208">
        <v>-1906</v>
      </c>
      <c r="M80" s="208">
        <v>318634</v>
      </c>
      <c r="N80" s="208">
        <v>318634</v>
      </c>
      <c r="O80" s="208">
        <v>0</v>
      </c>
      <c r="P80" s="208">
        <v>120053</v>
      </c>
      <c r="Q80" s="208">
        <v>121977</v>
      </c>
      <c r="R80" s="208">
        <v>-1924</v>
      </c>
      <c r="S80" s="208">
        <v>729538</v>
      </c>
      <c r="T80" s="208">
        <v>0</v>
      </c>
      <c r="U80" s="208">
        <v>712878</v>
      </c>
      <c r="V80" s="208">
        <v>0</v>
      </c>
      <c r="W80" s="208">
        <v>16660</v>
      </c>
      <c r="X80" s="208">
        <v>0</v>
      </c>
      <c r="Y80" s="208">
        <v>0</v>
      </c>
      <c r="Z80" s="208">
        <v>0</v>
      </c>
      <c r="AA80" s="208">
        <v>0</v>
      </c>
      <c r="AB80" s="208">
        <v>0</v>
      </c>
      <c r="AC80" s="208">
        <v>0</v>
      </c>
      <c r="AD80" s="208">
        <v>0</v>
      </c>
      <c r="AE80" s="208">
        <v>0</v>
      </c>
      <c r="AF80" s="208">
        <v>0</v>
      </c>
      <c r="AG80" s="208">
        <v>0</v>
      </c>
      <c r="AH80" s="208">
        <v>0</v>
      </c>
      <c r="AI80" s="208">
        <v>0</v>
      </c>
      <c r="AJ80" s="208">
        <v>0</v>
      </c>
      <c r="AK80" s="208">
        <v>0</v>
      </c>
      <c r="AL80" s="208">
        <v>0</v>
      </c>
      <c r="AM80" s="208">
        <v>0</v>
      </c>
      <c r="AN80" s="208">
        <v>0</v>
      </c>
      <c r="AO80" s="208">
        <v>0</v>
      </c>
      <c r="AP80" s="208">
        <v>0</v>
      </c>
      <c r="AQ80" s="208">
        <v>0</v>
      </c>
      <c r="AR80" s="208">
        <v>0</v>
      </c>
      <c r="AS80" s="208">
        <v>0</v>
      </c>
      <c r="AT80" s="208">
        <v>0</v>
      </c>
      <c r="AU80" s="208">
        <v>0</v>
      </c>
      <c r="AV80" s="208">
        <v>0</v>
      </c>
      <c r="AW80" s="208">
        <v>0</v>
      </c>
      <c r="AX80" s="208">
        <v>0</v>
      </c>
      <c r="AY80" s="208">
        <v>0</v>
      </c>
      <c r="AZ80" s="208">
        <v>0</v>
      </c>
      <c r="BA80" s="208">
        <v>0</v>
      </c>
      <c r="BB80" s="208">
        <v>0</v>
      </c>
      <c r="BC80" s="208">
        <v>0</v>
      </c>
      <c r="BD80" s="208">
        <v>0</v>
      </c>
      <c r="BE80" s="208">
        <v>0</v>
      </c>
      <c r="BF80" s="208">
        <v>0</v>
      </c>
      <c r="BG80" s="208">
        <v>0</v>
      </c>
      <c r="BH80" s="208">
        <v>0</v>
      </c>
      <c r="BI80" s="208">
        <v>0</v>
      </c>
      <c r="BJ80" s="208">
        <v>0</v>
      </c>
      <c r="BK80" s="208">
        <v>0</v>
      </c>
      <c r="BL80" s="208">
        <v>0</v>
      </c>
      <c r="BM80" s="208">
        <v>0</v>
      </c>
      <c r="BN80" s="208">
        <v>0</v>
      </c>
      <c r="BO80" s="208">
        <v>4630144.8957534172</v>
      </c>
      <c r="BP80" s="208">
        <v>0</v>
      </c>
      <c r="BQ80" s="208">
        <v>46666.31345075</v>
      </c>
      <c r="BR80" s="208">
        <v>430434</v>
      </c>
      <c r="BS80" s="208">
        <v>0</v>
      </c>
      <c r="BT80" s="208">
        <v>4345</v>
      </c>
      <c r="BU80" s="208">
        <v>4403630</v>
      </c>
      <c r="BV80" s="208">
        <v>0</v>
      </c>
      <c r="BW80" s="208">
        <v>44403</v>
      </c>
      <c r="BX80" s="208">
        <v>656949</v>
      </c>
      <c r="BY80" s="208">
        <v>0</v>
      </c>
      <c r="BZ80" s="208">
        <v>6608</v>
      </c>
      <c r="CA80" s="208">
        <v>0</v>
      </c>
      <c r="CB80" s="208">
        <v>0</v>
      </c>
      <c r="CC80" s="208">
        <v>0</v>
      </c>
      <c r="CD80" s="208">
        <v>0</v>
      </c>
      <c r="CE80" s="208">
        <v>0</v>
      </c>
      <c r="CF80" s="208">
        <v>0</v>
      </c>
      <c r="CG80" s="208">
        <v>0</v>
      </c>
      <c r="CH80" s="208">
        <v>0</v>
      </c>
      <c r="CI80" s="208">
        <v>0</v>
      </c>
      <c r="CJ80" s="208">
        <v>0</v>
      </c>
      <c r="CK80" s="208">
        <v>0</v>
      </c>
      <c r="CL80" s="208">
        <v>0</v>
      </c>
      <c r="CM80" s="208">
        <v>0</v>
      </c>
      <c r="CN80" s="208">
        <v>0</v>
      </c>
      <c r="CO80" s="208">
        <v>0</v>
      </c>
      <c r="CP80" s="208">
        <v>-4971.2829374999992</v>
      </c>
      <c r="CQ80" s="208">
        <v>0</v>
      </c>
      <c r="CR80" s="208">
        <v>-50.214979166666666</v>
      </c>
      <c r="CS80" s="208">
        <v>0</v>
      </c>
      <c r="CT80" s="208">
        <v>0</v>
      </c>
      <c r="CU80" s="208">
        <v>0</v>
      </c>
      <c r="CV80" s="208">
        <v>0</v>
      </c>
      <c r="CW80" s="208">
        <v>0</v>
      </c>
      <c r="CX80" s="208">
        <v>0</v>
      </c>
      <c r="CY80" s="208">
        <v>0</v>
      </c>
      <c r="CZ80" s="208">
        <v>0</v>
      </c>
      <c r="DA80" s="208">
        <v>0</v>
      </c>
      <c r="DB80" s="208">
        <v>0</v>
      </c>
      <c r="DC80" s="208">
        <v>0</v>
      </c>
      <c r="DD80" s="208">
        <v>0</v>
      </c>
      <c r="DE80" s="208">
        <v>0</v>
      </c>
      <c r="DF80" s="208">
        <v>0</v>
      </c>
      <c r="DG80" s="208">
        <v>0</v>
      </c>
      <c r="DH80" s="208">
        <v>0</v>
      </c>
      <c r="DI80" s="208">
        <v>0</v>
      </c>
      <c r="DJ80" s="208">
        <v>0</v>
      </c>
      <c r="DK80" s="208">
        <v>0</v>
      </c>
      <c r="DL80" s="208">
        <v>0</v>
      </c>
      <c r="DM80" s="208">
        <v>0</v>
      </c>
      <c r="DN80" s="208">
        <v>1519.03125</v>
      </c>
      <c r="DO80" s="208">
        <v>0</v>
      </c>
      <c r="DP80" s="208">
        <v>15.34375</v>
      </c>
      <c r="DQ80" s="208">
        <v>1519</v>
      </c>
      <c r="DR80" s="208">
        <v>0</v>
      </c>
      <c r="DS80" s="208">
        <v>15</v>
      </c>
      <c r="DT80" s="208">
        <v>0</v>
      </c>
      <c r="DU80" s="208">
        <v>0</v>
      </c>
      <c r="DV80" s="208">
        <v>0</v>
      </c>
      <c r="DW80" s="208">
        <v>78253.4011875</v>
      </c>
      <c r="DX80" s="208">
        <v>0</v>
      </c>
      <c r="DY80" s="208">
        <v>790.4383958333334</v>
      </c>
      <c r="DZ80" s="208">
        <v>148974</v>
      </c>
      <c r="EA80" s="208">
        <v>0</v>
      </c>
      <c r="EB80" s="208">
        <v>1505</v>
      </c>
      <c r="EC80" s="208">
        <v>-70721</v>
      </c>
      <c r="ED80" s="208">
        <v>0</v>
      </c>
      <c r="EE80" s="208">
        <v>-715</v>
      </c>
      <c r="EF80" s="208">
        <v>164682.41268750001</v>
      </c>
      <c r="EG80" s="208">
        <v>0</v>
      </c>
      <c r="EH80" s="208">
        <v>1662.2498125000002</v>
      </c>
      <c r="EI80" s="208">
        <v>-15372.596250000001</v>
      </c>
      <c r="EJ80" s="208">
        <v>0</v>
      </c>
      <c r="EK80" s="208">
        <v>-155.27875</v>
      </c>
      <c r="EL80" s="208">
        <v>253172</v>
      </c>
      <c r="EM80" s="208">
        <v>0</v>
      </c>
      <c r="EN80" s="208">
        <v>2557</v>
      </c>
      <c r="EO80" s="208">
        <v>-103862</v>
      </c>
      <c r="EP80" s="208">
        <v>0</v>
      </c>
      <c r="EQ80" s="208">
        <v>-1050</v>
      </c>
      <c r="ER80" s="208">
        <v>77451.352687499995</v>
      </c>
      <c r="ES80" s="208">
        <v>0</v>
      </c>
      <c r="ET80" s="208">
        <v>782.3368958333333</v>
      </c>
      <c r="EU80" s="208">
        <v>94160</v>
      </c>
      <c r="EV80" s="208">
        <v>0</v>
      </c>
      <c r="EW80" s="208">
        <v>951</v>
      </c>
      <c r="EX80" s="208">
        <v>-16709</v>
      </c>
      <c r="EY80" s="208">
        <v>0</v>
      </c>
      <c r="EZ80" s="208">
        <v>-169</v>
      </c>
      <c r="FA80" s="208">
        <v>0</v>
      </c>
      <c r="FB80" s="208">
        <v>0</v>
      </c>
      <c r="FC80" s="208">
        <v>0</v>
      </c>
      <c r="FD80" s="208">
        <v>0</v>
      </c>
      <c r="FE80" s="208">
        <v>0</v>
      </c>
      <c r="FF80" s="208">
        <v>0</v>
      </c>
      <c r="FG80" s="208">
        <v>0</v>
      </c>
      <c r="FH80" s="208">
        <v>0</v>
      </c>
      <c r="FI80" s="208">
        <v>0</v>
      </c>
      <c r="FJ80" s="208">
        <v>2018899.0222499997</v>
      </c>
      <c r="FK80" s="208">
        <v>0</v>
      </c>
      <c r="FL80" s="208">
        <v>20196.254833333332</v>
      </c>
      <c r="FM80" s="208">
        <v>2161885</v>
      </c>
      <c r="FN80" s="208">
        <v>0</v>
      </c>
      <c r="FO80" s="208">
        <v>21644</v>
      </c>
      <c r="FP80" s="208">
        <v>-142986</v>
      </c>
      <c r="FQ80" s="208">
        <v>0</v>
      </c>
      <c r="FR80" s="208">
        <v>-1448</v>
      </c>
      <c r="FS80" s="208">
        <v>32115.491666666669</v>
      </c>
      <c r="FT80" s="208">
        <v>0</v>
      </c>
      <c r="FU80" s="208">
        <v>0</v>
      </c>
      <c r="FV80" s="208">
        <v>102162.81</v>
      </c>
      <c r="FW80" s="208">
        <v>0</v>
      </c>
      <c r="FX80" s="208">
        <v>672.19</v>
      </c>
      <c r="FY80" s="208">
        <v>-70047</v>
      </c>
      <c r="FZ80" s="208">
        <v>0</v>
      </c>
      <c r="GA80" s="208">
        <v>-672</v>
      </c>
      <c r="GB80" s="208">
        <v>7413154</v>
      </c>
      <c r="GC80" s="208">
        <v>0</v>
      </c>
      <c r="GD80" s="208">
        <v>74251</v>
      </c>
      <c r="GE80" s="664">
        <v>0</v>
      </c>
      <c r="GF80" s="664">
        <v>0.99</v>
      </c>
      <c r="GG80" s="664">
        <v>0</v>
      </c>
      <c r="GH80" s="664">
        <v>0.01</v>
      </c>
      <c r="GI80" s="187" t="s">
        <v>742</v>
      </c>
    </row>
    <row r="81" spans="1:191" s="187" customFormat="1" x14ac:dyDescent="0.2">
      <c r="B81" s="429" t="s">
        <v>241</v>
      </c>
      <c r="C81" s="429" t="s">
        <v>240</v>
      </c>
      <c r="D81" s="208">
        <v>1550294</v>
      </c>
      <c r="E81" s="208">
        <v>0</v>
      </c>
      <c r="F81" s="208">
        <v>1550294</v>
      </c>
      <c r="G81" s="208">
        <v>1705561</v>
      </c>
      <c r="H81" s="208">
        <v>0</v>
      </c>
      <c r="I81" s="208">
        <v>1705561</v>
      </c>
      <c r="J81" s="208">
        <v>-155267</v>
      </c>
      <c r="K81" s="208">
        <v>0</v>
      </c>
      <c r="L81" s="208">
        <v>-155267</v>
      </c>
      <c r="M81" s="208">
        <v>146820</v>
      </c>
      <c r="N81" s="208">
        <v>146820</v>
      </c>
      <c r="O81" s="208">
        <v>0</v>
      </c>
      <c r="P81" s="208">
        <v>0</v>
      </c>
      <c r="Q81" s="208">
        <v>0</v>
      </c>
      <c r="R81" s="208">
        <v>0</v>
      </c>
      <c r="S81" s="208">
        <v>156767</v>
      </c>
      <c r="T81" s="208">
        <v>0</v>
      </c>
      <c r="U81" s="208">
        <v>164687</v>
      </c>
      <c r="V81" s="208">
        <v>0</v>
      </c>
      <c r="W81" s="208">
        <v>-7920</v>
      </c>
      <c r="X81" s="208">
        <v>0</v>
      </c>
      <c r="Y81" s="208">
        <v>0</v>
      </c>
      <c r="Z81" s="208">
        <v>0</v>
      </c>
      <c r="AA81" s="208">
        <v>0</v>
      </c>
      <c r="AB81" s="208">
        <v>0</v>
      </c>
      <c r="AC81" s="208">
        <v>0</v>
      </c>
      <c r="AD81" s="208">
        <v>0</v>
      </c>
      <c r="AE81" s="208">
        <v>0</v>
      </c>
      <c r="AF81" s="208">
        <v>0</v>
      </c>
      <c r="AG81" s="208">
        <v>0</v>
      </c>
      <c r="AH81" s="208">
        <v>0</v>
      </c>
      <c r="AI81" s="208">
        <v>0</v>
      </c>
      <c r="AJ81" s="208">
        <v>0</v>
      </c>
      <c r="AK81" s="208">
        <v>0</v>
      </c>
      <c r="AL81" s="208">
        <v>0</v>
      </c>
      <c r="AM81" s="208">
        <v>0</v>
      </c>
      <c r="AN81" s="208">
        <v>0</v>
      </c>
      <c r="AO81" s="208">
        <v>0</v>
      </c>
      <c r="AP81" s="208">
        <v>0</v>
      </c>
      <c r="AQ81" s="208">
        <v>0</v>
      </c>
      <c r="AR81" s="208">
        <v>0</v>
      </c>
      <c r="AS81" s="208">
        <v>0</v>
      </c>
      <c r="AT81" s="208">
        <v>0</v>
      </c>
      <c r="AU81" s="208">
        <v>0</v>
      </c>
      <c r="AV81" s="208">
        <v>0</v>
      </c>
      <c r="AW81" s="208">
        <v>0</v>
      </c>
      <c r="AX81" s="208">
        <v>0</v>
      </c>
      <c r="AY81" s="208">
        <v>0</v>
      </c>
      <c r="AZ81" s="208">
        <v>0</v>
      </c>
      <c r="BA81" s="208">
        <v>0</v>
      </c>
      <c r="BB81" s="208">
        <v>0</v>
      </c>
      <c r="BC81" s="208">
        <v>0</v>
      </c>
      <c r="BD81" s="208">
        <v>0</v>
      </c>
      <c r="BE81" s="208">
        <v>0</v>
      </c>
      <c r="BF81" s="208">
        <v>0</v>
      </c>
      <c r="BG81" s="208">
        <v>0</v>
      </c>
      <c r="BH81" s="208">
        <v>0</v>
      </c>
      <c r="BI81" s="208">
        <v>0</v>
      </c>
      <c r="BJ81" s="208">
        <v>0</v>
      </c>
      <c r="BK81" s="208">
        <v>0</v>
      </c>
      <c r="BL81" s="208">
        <v>0</v>
      </c>
      <c r="BM81" s="208">
        <v>0</v>
      </c>
      <c r="BN81" s="208">
        <v>0</v>
      </c>
      <c r="BO81" s="208">
        <v>1621707.2003228127</v>
      </c>
      <c r="BP81" s="208">
        <v>1589273.0563163562</v>
      </c>
      <c r="BQ81" s="208">
        <v>32434.144006456252</v>
      </c>
      <c r="BR81" s="208">
        <v>74827</v>
      </c>
      <c r="BS81" s="208">
        <v>73331</v>
      </c>
      <c r="BT81" s="208">
        <v>1497</v>
      </c>
      <c r="BU81" s="208">
        <v>1407028</v>
      </c>
      <c r="BV81" s="208">
        <v>1378888</v>
      </c>
      <c r="BW81" s="208">
        <v>28141</v>
      </c>
      <c r="BX81" s="208">
        <v>289506</v>
      </c>
      <c r="BY81" s="208">
        <v>283716</v>
      </c>
      <c r="BZ81" s="208">
        <v>5790</v>
      </c>
      <c r="CA81" s="208">
        <v>0</v>
      </c>
      <c r="CB81" s="208">
        <v>0</v>
      </c>
      <c r="CC81" s="208">
        <v>0</v>
      </c>
      <c r="CD81" s="208">
        <v>0</v>
      </c>
      <c r="CE81" s="208">
        <v>0</v>
      </c>
      <c r="CF81" s="208">
        <v>0</v>
      </c>
      <c r="CG81" s="208">
        <v>0</v>
      </c>
      <c r="CH81" s="208">
        <v>0</v>
      </c>
      <c r="CI81" s="208">
        <v>0</v>
      </c>
      <c r="CJ81" s="208">
        <v>0</v>
      </c>
      <c r="CK81" s="208">
        <v>0</v>
      </c>
      <c r="CL81" s="208">
        <v>0</v>
      </c>
      <c r="CM81" s="208">
        <v>0</v>
      </c>
      <c r="CN81" s="208">
        <v>0</v>
      </c>
      <c r="CO81" s="208">
        <v>0</v>
      </c>
      <c r="CP81" s="208">
        <v>0</v>
      </c>
      <c r="CQ81" s="208">
        <v>0</v>
      </c>
      <c r="CR81" s="208">
        <v>0</v>
      </c>
      <c r="CS81" s="208">
        <v>0</v>
      </c>
      <c r="CT81" s="208">
        <v>0</v>
      </c>
      <c r="CU81" s="208">
        <v>0</v>
      </c>
      <c r="CV81" s="208">
        <v>0</v>
      </c>
      <c r="CW81" s="208">
        <v>0</v>
      </c>
      <c r="CX81" s="208">
        <v>0</v>
      </c>
      <c r="CY81" s="208">
        <v>0</v>
      </c>
      <c r="CZ81" s="208">
        <v>0</v>
      </c>
      <c r="DA81" s="208">
        <v>0</v>
      </c>
      <c r="DB81" s="208">
        <v>0</v>
      </c>
      <c r="DC81" s="208">
        <v>0</v>
      </c>
      <c r="DD81" s="208">
        <v>0</v>
      </c>
      <c r="DE81" s="208">
        <v>23490.769791666666</v>
      </c>
      <c r="DF81" s="208">
        <v>23020.954395833331</v>
      </c>
      <c r="DG81" s="208">
        <v>469.8153958333333</v>
      </c>
      <c r="DH81" s="208">
        <v>24183</v>
      </c>
      <c r="DI81" s="208">
        <v>23699</v>
      </c>
      <c r="DJ81" s="208">
        <v>484</v>
      </c>
      <c r="DK81" s="208">
        <v>-692</v>
      </c>
      <c r="DL81" s="208">
        <v>-678</v>
      </c>
      <c r="DM81" s="208">
        <v>-14</v>
      </c>
      <c r="DN81" s="208">
        <v>0</v>
      </c>
      <c r="DO81" s="208">
        <v>0</v>
      </c>
      <c r="DP81" s="208">
        <v>0</v>
      </c>
      <c r="DQ81" s="208">
        <v>0</v>
      </c>
      <c r="DR81" s="208">
        <v>0</v>
      </c>
      <c r="DS81" s="208">
        <v>0</v>
      </c>
      <c r="DT81" s="208">
        <v>0</v>
      </c>
      <c r="DU81" s="208">
        <v>0</v>
      </c>
      <c r="DV81" s="208">
        <v>0</v>
      </c>
      <c r="DW81" s="208">
        <v>42032.668749999997</v>
      </c>
      <c r="DX81" s="208">
        <v>41192.015375000003</v>
      </c>
      <c r="DY81" s="208">
        <v>840.65337499999998</v>
      </c>
      <c r="DZ81" s="208">
        <v>40078</v>
      </c>
      <c r="EA81" s="208">
        <v>39277</v>
      </c>
      <c r="EB81" s="208">
        <v>802</v>
      </c>
      <c r="EC81" s="208">
        <v>1955</v>
      </c>
      <c r="ED81" s="208">
        <v>1915</v>
      </c>
      <c r="EE81" s="208">
        <v>39</v>
      </c>
      <c r="EF81" s="208">
        <v>89021.880208333328</v>
      </c>
      <c r="EG81" s="208">
        <v>87241.442604166659</v>
      </c>
      <c r="EH81" s="208">
        <v>1780.4376041666667</v>
      </c>
      <c r="EI81" s="208">
        <v>-551.35208333333333</v>
      </c>
      <c r="EJ81" s="208">
        <v>-540.32504166666661</v>
      </c>
      <c r="EK81" s="208">
        <v>-11.027041666666667</v>
      </c>
      <c r="EL81" s="208">
        <v>93085</v>
      </c>
      <c r="EM81" s="208">
        <v>91224</v>
      </c>
      <c r="EN81" s="208">
        <v>1862</v>
      </c>
      <c r="EO81" s="208">
        <v>-4614</v>
      </c>
      <c r="EP81" s="208">
        <v>-4523</v>
      </c>
      <c r="EQ81" s="208">
        <v>-93</v>
      </c>
      <c r="ER81" s="208">
        <v>39506.576041666667</v>
      </c>
      <c r="ES81" s="208">
        <v>38716.444520833327</v>
      </c>
      <c r="ET81" s="208">
        <v>790.1315208333333</v>
      </c>
      <c r="EU81" s="208">
        <v>39894</v>
      </c>
      <c r="EV81" s="208">
        <v>39096</v>
      </c>
      <c r="EW81" s="208">
        <v>798</v>
      </c>
      <c r="EX81" s="208">
        <v>-387</v>
      </c>
      <c r="EY81" s="208">
        <v>-380</v>
      </c>
      <c r="EZ81" s="208">
        <v>-8</v>
      </c>
      <c r="FA81" s="208">
        <v>0</v>
      </c>
      <c r="FB81" s="208">
        <v>0</v>
      </c>
      <c r="FC81" s="208">
        <v>0</v>
      </c>
      <c r="FD81" s="208">
        <v>0</v>
      </c>
      <c r="FE81" s="208">
        <v>0</v>
      </c>
      <c r="FF81" s="208">
        <v>0</v>
      </c>
      <c r="FG81" s="208">
        <v>0</v>
      </c>
      <c r="FH81" s="208">
        <v>0</v>
      </c>
      <c r="FI81" s="208">
        <v>0</v>
      </c>
      <c r="FJ81" s="208">
        <v>228633.26979166665</v>
      </c>
      <c r="FK81" s="208">
        <v>220539.87885416663</v>
      </c>
      <c r="FL81" s="208">
        <v>4500.8138541666658</v>
      </c>
      <c r="FM81" s="208">
        <v>223040</v>
      </c>
      <c r="FN81" s="208">
        <v>214881</v>
      </c>
      <c r="FO81" s="208">
        <v>4385</v>
      </c>
      <c r="FP81" s="208">
        <v>5593</v>
      </c>
      <c r="FQ81" s="208">
        <v>5659</v>
      </c>
      <c r="FR81" s="208">
        <v>116</v>
      </c>
      <c r="FS81" s="208">
        <v>0</v>
      </c>
      <c r="FT81" s="208">
        <v>0</v>
      </c>
      <c r="FU81" s="208">
        <v>0</v>
      </c>
      <c r="FV81" s="208">
        <v>0</v>
      </c>
      <c r="FW81" s="208">
        <v>0</v>
      </c>
      <c r="FX81" s="208">
        <v>0</v>
      </c>
      <c r="FY81" s="208">
        <v>0</v>
      </c>
      <c r="FZ81" s="208">
        <v>0</v>
      </c>
      <c r="GA81" s="208">
        <v>0</v>
      </c>
      <c r="GB81" s="208">
        <v>2118669</v>
      </c>
      <c r="GC81" s="208">
        <v>2072774</v>
      </c>
      <c r="GD81" s="208">
        <v>42302</v>
      </c>
      <c r="GE81" s="664">
        <v>0</v>
      </c>
      <c r="GF81" s="664">
        <v>0.5</v>
      </c>
      <c r="GG81" s="664">
        <v>0.49</v>
      </c>
      <c r="GH81" s="664">
        <v>0.01</v>
      </c>
      <c r="GI81" s="187" t="s">
        <v>1054</v>
      </c>
    </row>
    <row r="82" spans="1:191" s="187" customFormat="1" x14ac:dyDescent="0.2">
      <c r="B82" s="429" t="s">
        <v>243</v>
      </c>
      <c r="C82" s="429" t="s">
        <v>242</v>
      </c>
      <c r="D82" s="208">
        <v>-1404321</v>
      </c>
      <c r="E82" s="208">
        <v>0</v>
      </c>
      <c r="F82" s="208">
        <v>-1404321</v>
      </c>
      <c r="G82" s="208">
        <v>-1943441</v>
      </c>
      <c r="H82" s="208">
        <v>0</v>
      </c>
      <c r="I82" s="208">
        <v>-1943441</v>
      </c>
      <c r="J82" s="208">
        <v>539120</v>
      </c>
      <c r="K82" s="208">
        <v>0</v>
      </c>
      <c r="L82" s="208">
        <v>539120</v>
      </c>
      <c r="M82" s="208">
        <v>372424</v>
      </c>
      <c r="N82" s="208">
        <v>372424</v>
      </c>
      <c r="O82" s="208">
        <v>0</v>
      </c>
      <c r="P82" s="208">
        <v>0</v>
      </c>
      <c r="Q82" s="208">
        <v>0</v>
      </c>
      <c r="R82" s="208">
        <v>0</v>
      </c>
      <c r="S82" s="208">
        <v>176028</v>
      </c>
      <c r="T82" s="208">
        <v>0</v>
      </c>
      <c r="U82" s="208">
        <v>210340</v>
      </c>
      <c r="V82" s="208">
        <v>0</v>
      </c>
      <c r="W82" s="208">
        <v>-34312</v>
      </c>
      <c r="X82" s="208">
        <v>0</v>
      </c>
      <c r="Y82" s="208">
        <v>0</v>
      </c>
      <c r="Z82" s="208">
        <v>0</v>
      </c>
      <c r="AA82" s="208">
        <v>0</v>
      </c>
      <c r="AB82" s="208">
        <v>0</v>
      </c>
      <c r="AC82" s="208">
        <v>0</v>
      </c>
      <c r="AD82" s="208">
        <v>0</v>
      </c>
      <c r="AE82" s="208">
        <v>0</v>
      </c>
      <c r="AF82" s="208">
        <v>0</v>
      </c>
      <c r="AG82" s="208">
        <v>0</v>
      </c>
      <c r="AH82" s="208">
        <v>0</v>
      </c>
      <c r="AI82" s="208">
        <v>0</v>
      </c>
      <c r="AJ82" s="208">
        <v>0</v>
      </c>
      <c r="AK82" s="208">
        <v>0</v>
      </c>
      <c r="AL82" s="208">
        <v>0</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H82" s="208">
        <v>0</v>
      </c>
      <c r="BI82" s="208">
        <v>0</v>
      </c>
      <c r="BJ82" s="208">
        <v>0</v>
      </c>
      <c r="BK82" s="208">
        <v>0</v>
      </c>
      <c r="BL82" s="208">
        <v>0</v>
      </c>
      <c r="BM82" s="208">
        <v>0</v>
      </c>
      <c r="BN82" s="208">
        <v>0</v>
      </c>
      <c r="BO82" s="208">
        <v>3329773.1946243332</v>
      </c>
      <c r="BP82" s="208">
        <v>0</v>
      </c>
      <c r="BQ82" s="208">
        <v>67954.554992333346</v>
      </c>
      <c r="BR82" s="208">
        <v>198521</v>
      </c>
      <c r="BS82" s="208">
        <v>0</v>
      </c>
      <c r="BT82" s="208">
        <v>4051</v>
      </c>
      <c r="BU82" s="208">
        <v>2989578</v>
      </c>
      <c r="BV82" s="208">
        <v>0</v>
      </c>
      <c r="BW82" s="208">
        <v>61012</v>
      </c>
      <c r="BX82" s="208">
        <v>538716</v>
      </c>
      <c r="BY82" s="208">
        <v>0</v>
      </c>
      <c r="BZ82" s="208">
        <v>10994</v>
      </c>
      <c r="CA82" s="208">
        <v>21576.411937499997</v>
      </c>
      <c r="CB82" s="208">
        <v>0</v>
      </c>
      <c r="CC82" s="208">
        <v>440.33493750000002</v>
      </c>
      <c r="CD82" s="208">
        <v>20159</v>
      </c>
      <c r="CE82" s="208">
        <v>0</v>
      </c>
      <c r="CF82" s="208">
        <v>411</v>
      </c>
      <c r="CG82" s="208">
        <v>1417</v>
      </c>
      <c r="CH82" s="208">
        <v>0</v>
      </c>
      <c r="CI82" s="208">
        <v>29</v>
      </c>
      <c r="CJ82" s="208">
        <v>-19600.065333333332</v>
      </c>
      <c r="CK82" s="208">
        <v>0</v>
      </c>
      <c r="CL82" s="208">
        <v>-400.00133333333332</v>
      </c>
      <c r="CM82" s="208">
        <v>0</v>
      </c>
      <c r="CN82" s="208">
        <v>0</v>
      </c>
      <c r="CO82" s="208">
        <v>0</v>
      </c>
      <c r="CP82" s="208">
        <v>-1253.0729166666665</v>
      </c>
      <c r="CQ82" s="208">
        <v>0</v>
      </c>
      <c r="CR82" s="208">
        <v>-25.572916666666664</v>
      </c>
      <c r="CS82" s="208">
        <v>0</v>
      </c>
      <c r="CT82" s="208">
        <v>0</v>
      </c>
      <c r="CU82" s="208">
        <v>0</v>
      </c>
      <c r="CV82" s="208">
        <v>0</v>
      </c>
      <c r="CW82" s="208">
        <v>0</v>
      </c>
      <c r="CX82" s="208">
        <v>0</v>
      </c>
      <c r="CY82" s="208">
        <v>0</v>
      </c>
      <c r="CZ82" s="208">
        <v>0</v>
      </c>
      <c r="DA82" s="208">
        <v>0</v>
      </c>
      <c r="DB82" s="208">
        <v>0</v>
      </c>
      <c r="DC82" s="208">
        <v>0</v>
      </c>
      <c r="DD82" s="208">
        <v>0</v>
      </c>
      <c r="DE82" s="208">
        <v>1803.4225416666668</v>
      </c>
      <c r="DF82" s="208">
        <v>0</v>
      </c>
      <c r="DG82" s="208">
        <v>36.804541666666672</v>
      </c>
      <c r="DH82" s="208">
        <v>1803</v>
      </c>
      <c r="DI82" s="208">
        <v>0</v>
      </c>
      <c r="DJ82" s="208">
        <v>37</v>
      </c>
      <c r="DK82" s="208">
        <v>0</v>
      </c>
      <c r="DL82" s="208">
        <v>0</v>
      </c>
      <c r="DM82" s="208">
        <v>0</v>
      </c>
      <c r="DN82" s="208">
        <v>0</v>
      </c>
      <c r="DO82" s="208">
        <v>0</v>
      </c>
      <c r="DP82" s="208">
        <v>0</v>
      </c>
      <c r="DQ82" s="208">
        <v>0</v>
      </c>
      <c r="DR82" s="208">
        <v>0</v>
      </c>
      <c r="DS82" s="208">
        <v>0</v>
      </c>
      <c r="DT82" s="208">
        <v>0</v>
      </c>
      <c r="DU82" s="208">
        <v>0</v>
      </c>
      <c r="DV82" s="208">
        <v>0</v>
      </c>
      <c r="DW82" s="208">
        <v>20120.341208333331</v>
      </c>
      <c r="DX82" s="208">
        <v>0</v>
      </c>
      <c r="DY82" s="208">
        <v>410.61920833333329</v>
      </c>
      <c r="DZ82" s="208">
        <v>21272</v>
      </c>
      <c r="EA82" s="208">
        <v>0</v>
      </c>
      <c r="EB82" s="208">
        <v>434</v>
      </c>
      <c r="EC82" s="208">
        <v>-1152</v>
      </c>
      <c r="ED82" s="208">
        <v>0</v>
      </c>
      <c r="EE82" s="208">
        <v>-23</v>
      </c>
      <c r="EF82" s="208">
        <v>112744.9850625</v>
      </c>
      <c r="EG82" s="208">
        <v>0</v>
      </c>
      <c r="EH82" s="208">
        <v>2300.9180624999999</v>
      </c>
      <c r="EI82" s="208">
        <v>1951.7863750000001</v>
      </c>
      <c r="EJ82" s="208">
        <v>0</v>
      </c>
      <c r="EK82" s="208">
        <v>39.832375000000006</v>
      </c>
      <c r="EL82" s="208">
        <v>112753</v>
      </c>
      <c r="EM82" s="208">
        <v>0</v>
      </c>
      <c r="EN82" s="208">
        <v>2301</v>
      </c>
      <c r="EO82" s="208">
        <v>1944</v>
      </c>
      <c r="EP82" s="208">
        <v>0</v>
      </c>
      <c r="EQ82" s="208">
        <v>40</v>
      </c>
      <c r="ER82" s="208">
        <v>42515.761604166662</v>
      </c>
      <c r="ES82" s="208">
        <v>0</v>
      </c>
      <c r="ET82" s="208">
        <v>867.66860416666657</v>
      </c>
      <c r="EU82" s="208">
        <v>48619</v>
      </c>
      <c r="EV82" s="208">
        <v>0</v>
      </c>
      <c r="EW82" s="208">
        <v>992</v>
      </c>
      <c r="EX82" s="208">
        <v>-6103</v>
      </c>
      <c r="EY82" s="208">
        <v>0</v>
      </c>
      <c r="EZ82" s="208">
        <v>-124</v>
      </c>
      <c r="FA82" s="208">
        <v>0</v>
      </c>
      <c r="FB82" s="208">
        <v>0</v>
      </c>
      <c r="FC82" s="208">
        <v>0</v>
      </c>
      <c r="FD82" s="208">
        <v>0</v>
      </c>
      <c r="FE82" s="208">
        <v>0</v>
      </c>
      <c r="FF82" s="208">
        <v>0</v>
      </c>
      <c r="FG82" s="208">
        <v>0</v>
      </c>
      <c r="FH82" s="208">
        <v>0</v>
      </c>
      <c r="FI82" s="208">
        <v>0</v>
      </c>
      <c r="FJ82" s="208">
        <v>1056048.7063958333</v>
      </c>
      <c r="FK82" s="208">
        <v>0</v>
      </c>
      <c r="FL82" s="208">
        <v>21469.688395833331</v>
      </c>
      <c r="FM82" s="208">
        <v>1070535</v>
      </c>
      <c r="FN82" s="208">
        <v>0</v>
      </c>
      <c r="FO82" s="208">
        <v>21749</v>
      </c>
      <c r="FP82" s="208">
        <v>-14486</v>
      </c>
      <c r="FQ82" s="208">
        <v>0</v>
      </c>
      <c r="FR82" s="208">
        <v>-279</v>
      </c>
      <c r="FS82" s="208">
        <v>0</v>
      </c>
      <c r="FT82" s="208">
        <v>0</v>
      </c>
      <c r="FU82" s="208">
        <v>0</v>
      </c>
      <c r="FV82" s="208">
        <v>0</v>
      </c>
      <c r="FW82" s="208">
        <v>0</v>
      </c>
      <c r="FX82" s="208">
        <v>0</v>
      </c>
      <c r="FY82" s="208">
        <v>0</v>
      </c>
      <c r="FZ82" s="208">
        <v>0</v>
      </c>
      <c r="GA82" s="208">
        <v>0</v>
      </c>
      <c r="GB82" s="208">
        <v>4764202</v>
      </c>
      <c r="GC82" s="208">
        <v>0</v>
      </c>
      <c r="GD82" s="208">
        <v>97147</v>
      </c>
      <c r="GE82" s="664">
        <v>0.5</v>
      </c>
      <c r="GF82" s="664">
        <v>0.49</v>
      </c>
      <c r="GG82" s="664">
        <v>0</v>
      </c>
      <c r="GH82" s="664">
        <v>0.01</v>
      </c>
      <c r="GI82" s="187" t="s">
        <v>1056</v>
      </c>
    </row>
    <row r="83" spans="1:191" s="187" customFormat="1" x14ac:dyDescent="0.2">
      <c r="B83" s="429" t="s">
        <v>245</v>
      </c>
      <c r="C83" s="429" t="s">
        <v>244</v>
      </c>
      <c r="D83" s="208">
        <v>-581436</v>
      </c>
      <c r="E83" s="208">
        <v>0</v>
      </c>
      <c r="F83" s="208">
        <v>-581436</v>
      </c>
      <c r="G83" s="208">
        <v>-867393</v>
      </c>
      <c r="H83" s="208">
        <v>0</v>
      </c>
      <c r="I83" s="208">
        <v>-867393</v>
      </c>
      <c r="J83" s="208">
        <v>285957</v>
      </c>
      <c r="K83" s="208">
        <v>0</v>
      </c>
      <c r="L83" s="208">
        <v>285957</v>
      </c>
      <c r="M83" s="208">
        <v>159573</v>
      </c>
      <c r="N83" s="208">
        <v>159573</v>
      </c>
      <c r="O83" s="208">
        <v>0</v>
      </c>
      <c r="P83" s="208">
        <v>0</v>
      </c>
      <c r="Q83" s="208">
        <v>0</v>
      </c>
      <c r="R83" s="208">
        <v>0</v>
      </c>
      <c r="S83" s="208">
        <v>303313</v>
      </c>
      <c r="T83" s="208">
        <v>0</v>
      </c>
      <c r="U83" s="208">
        <v>309425</v>
      </c>
      <c r="V83" s="208">
        <v>0</v>
      </c>
      <c r="W83" s="208">
        <v>-6112</v>
      </c>
      <c r="X83" s="208">
        <v>0</v>
      </c>
      <c r="Y83" s="208">
        <v>0</v>
      </c>
      <c r="Z83" s="208">
        <v>0</v>
      </c>
      <c r="AA83" s="208">
        <v>0</v>
      </c>
      <c r="AB83" s="208">
        <v>0</v>
      </c>
      <c r="AC83" s="208">
        <v>0</v>
      </c>
      <c r="AD83" s="208">
        <v>0</v>
      </c>
      <c r="AE83" s="208">
        <v>0</v>
      </c>
      <c r="AF83" s="208">
        <v>0</v>
      </c>
      <c r="AG83" s="208">
        <v>0</v>
      </c>
      <c r="AH83" s="208">
        <v>0</v>
      </c>
      <c r="AI83" s="208">
        <v>0</v>
      </c>
      <c r="AJ83" s="208">
        <v>0</v>
      </c>
      <c r="AK83" s="208">
        <v>0</v>
      </c>
      <c r="AL83" s="208">
        <v>0</v>
      </c>
      <c r="AM83" s="208">
        <v>0</v>
      </c>
      <c r="AN83" s="208">
        <v>0</v>
      </c>
      <c r="AO83" s="208">
        <v>0</v>
      </c>
      <c r="AP83" s="208">
        <v>0</v>
      </c>
      <c r="AQ83" s="208">
        <v>0</v>
      </c>
      <c r="AR83" s="208">
        <v>0</v>
      </c>
      <c r="AS83" s="208">
        <v>0</v>
      </c>
      <c r="AT83" s="208">
        <v>0</v>
      </c>
      <c r="AU83" s="208">
        <v>0</v>
      </c>
      <c r="AV83" s="208">
        <v>0</v>
      </c>
      <c r="AW83" s="208">
        <v>0</v>
      </c>
      <c r="AX83" s="208">
        <v>0</v>
      </c>
      <c r="AY83" s="208">
        <v>0</v>
      </c>
      <c r="AZ83" s="208">
        <v>0</v>
      </c>
      <c r="BA83" s="208">
        <v>0</v>
      </c>
      <c r="BB83" s="208">
        <v>0</v>
      </c>
      <c r="BC83" s="208">
        <v>0</v>
      </c>
      <c r="BD83" s="208">
        <v>0</v>
      </c>
      <c r="BE83" s="208">
        <v>0</v>
      </c>
      <c r="BF83" s="208">
        <v>0</v>
      </c>
      <c r="BG83" s="208">
        <v>0</v>
      </c>
      <c r="BH83" s="208">
        <v>0</v>
      </c>
      <c r="BI83" s="208">
        <v>0</v>
      </c>
      <c r="BJ83" s="208">
        <v>0</v>
      </c>
      <c r="BK83" s="208">
        <v>0</v>
      </c>
      <c r="BL83" s="208">
        <v>0</v>
      </c>
      <c r="BM83" s="208">
        <v>0</v>
      </c>
      <c r="BN83" s="208">
        <v>0</v>
      </c>
      <c r="BO83" s="208">
        <v>1102012.3394833335</v>
      </c>
      <c r="BP83" s="208">
        <v>1625468.2007379166</v>
      </c>
      <c r="BQ83" s="208">
        <v>27550.308487083341</v>
      </c>
      <c r="BR83" s="208">
        <v>62499</v>
      </c>
      <c r="BS83" s="208">
        <v>91215</v>
      </c>
      <c r="BT83" s="208">
        <v>1546</v>
      </c>
      <c r="BU83" s="208">
        <v>1023664</v>
      </c>
      <c r="BV83" s="208">
        <v>1509905</v>
      </c>
      <c r="BW83" s="208">
        <v>25592</v>
      </c>
      <c r="BX83" s="208">
        <v>140847</v>
      </c>
      <c r="BY83" s="208">
        <v>206778</v>
      </c>
      <c r="BZ83" s="208">
        <v>3504</v>
      </c>
      <c r="CA83" s="208">
        <v>4400.1783333333333</v>
      </c>
      <c r="CB83" s="208">
        <v>6490.2630416666661</v>
      </c>
      <c r="CC83" s="208">
        <v>110.00445833333333</v>
      </c>
      <c r="CD83" s="208">
        <v>1943</v>
      </c>
      <c r="CE83" s="208">
        <v>2867</v>
      </c>
      <c r="CF83" s="208">
        <v>49</v>
      </c>
      <c r="CG83" s="208">
        <v>2457</v>
      </c>
      <c r="CH83" s="208">
        <v>3623</v>
      </c>
      <c r="CI83" s="208">
        <v>61</v>
      </c>
      <c r="CJ83" s="208">
        <v>0</v>
      </c>
      <c r="CK83" s="208">
        <v>0</v>
      </c>
      <c r="CL83" s="208">
        <v>0</v>
      </c>
      <c r="CM83" s="208">
        <v>0</v>
      </c>
      <c r="CN83" s="208">
        <v>0</v>
      </c>
      <c r="CO83" s="208">
        <v>0</v>
      </c>
      <c r="CP83" s="208">
        <v>-1115.3883333333333</v>
      </c>
      <c r="CQ83" s="208">
        <v>-1645.1977916666665</v>
      </c>
      <c r="CR83" s="208">
        <v>-27.884708333333332</v>
      </c>
      <c r="CS83" s="208">
        <v>0</v>
      </c>
      <c r="CT83" s="208">
        <v>0</v>
      </c>
      <c r="CU83" s="208">
        <v>0</v>
      </c>
      <c r="CV83" s="208">
        <v>0</v>
      </c>
      <c r="CW83" s="208">
        <v>0</v>
      </c>
      <c r="CX83" s="208">
        <v>0</v>
      </c>
      <c r="CY83" s="208">
        <v>0</v>
      </c>
      <c r="CZ83" s="208">
        <v>0</v>
      </c>
      <c r="DA83" s="208">
        <v>0</v>
      </c>
      <c r="DB83" s="208">
        <v>-33.142500000000005</v>
      </c>
      <c r="DC83" s="208">
        <v>-48.885187500000001</v>
      </c>
      <c r="DD83" s="208">
        <v>-0.82856250000000009</v>
      </c>
      <c r="DE83" s="208">
        <v>5907.9575000000004</v>
      </c>
      <c r="DF83" s="208">
        <v>8714.2373124999995</v>
      </c>
      <c r="DG83" s="208">
        <v>147.6989375</v>
      </c>
      <c r="DH83" s="208">
        <v>5978</v>
      </c>
      <c r="DI83" s="208">
        <v>8817</v>
      </c>
      <c r="DJ83" s="208">
        <v>149</v>
      </c>
      <c r="DK83" s="208">
        <v>-70</v>
      </c>
      <c r="DL83" s="208">
        <v>-103</v>
      </c>
      <c r="DM83" s="208">
        <v>-1</v>
      </c>
      <c r="DN83" s="208">
        <v>613.75</v>
      </c>
      <c r="DO83" s="208">
        <v>905.28125</v>
      </c>
      <c r="DP83" s="208">
        <v>15.34375</v>
      </c>
      <c r="DQ83" s="208">
        <v>614</v>
      </c>
      <c r="DR83" s="208">
        <v>905</v>
      </c>
      <c r="DS83" s="208">
        <v>15</v>
      </c>
      <c r="DT83" s="208">
        <v>0</v>
      </c>
      <c r="DU83" s="208">
        <v>0</v>
      </c>
      <c r="DV83" s="208">
        <v>0</v>
      </c>
      <c r="DW83" s="208">
        <v>14049.555833333332</v>
      </c>
      <c r="DX83" s="208">
        <v>20723.094854166666</v>
      </c>
      <c r="DY83" s="208">
        <v>351.23889583333334</v>
      </c>
      <c r="DZ83" s="208">
        <v>14684</v>
      </c>
      <c r="EA83" s="208">
        <v>21660</v>
      </c>
      <c r="EB83" s="208">
        <v>367</v>
      </c>
      <c r="EC83" s="208">
        <v>-634</v>
      </c>
      <c r="ED83" s="208">
        <v>-937</v>
      </c>
      <c r="EE83" s="208">
        <v>-16</v>
      </c>
      <c r="EF83" s="208">
        <v>39364.288333333338</v>
      </c>
      <c r="EG83" s="208">
        <v>58062.325291666668</v>
      </c>
      <c r="EH83" s="208">
        <v>984.10720833333346</v>
      </c>
      <c r="EI83" s="208">
        <v>-616.61416666666673</v>
      </c>
      <c r="EJ83" s="208">
        <v>-909.50589583333328</v>
      </c>
      <c r="EK83" s="208">
        <v>-15.415354166666667</v>
      </c>
      <c r="EL83" s="208">
        <v>45827</v>
      </c>
      <c r="EM83" s="208">
        <v>67594</v>
      </c>
      <c r="EN83" s="208">
        <v>1146</v>
      </c>
      <c r="EO83" s="208">
        <v>-7079</v>
      </c>
      <c r="EP83" s="208">
        <v>-10441</v>
      </c>
      <c r="EQ83" s="208">
        <v>-177</v>
      </c>
      <c r="ER83" s="208">
        <v>23738.213333333337</v>
      </c>
      <c r="ES83" s="208">
        <v>35013.864666666668</v>
      </c>
      <c r="ET83" s="208">
        <v>593.45533333333333</v>
      </c>
      <c r="EU83" s="208">
        <v>19193</v>
      </c>
      <c r="EV83" s="208">
        <v>28311</v>
      </c>
      <c r="EW83" s="208">
        <v>480</v>
      </c>
      <c r="EX83" s="208">
        <v>4545</v>
      </c>
      <c r="EY83" s="208">
        <v>6703</v>
      </c>
      <c r="EZ83" s="208">
        <v>113</v>
      </c>
      <c r="FA83" s="208">
        <v>0</v>
      </c>
      <c r="FB83" s="208">
        <v>0</v>
      </c>
      <c r="FC83" s="208">
        <v>0</v>
      </c>
      <c r="FD83" s="208">
        <v>0</v>
      </c>
      <c r="FE83" s="208">
        <v>0</v>
      </c>
      <c r="FF83" s="208">
        <v>0</v>
      </c>
      <c r="FG83" s="208">
        <v>0</v>
      </c>
      <c r="FH83" s="208">
        <v>0</v>
      </c>
      <c r="FI83" s="208">
        <v>0</v>
      </c>
      <c r="FJ83" s="208">
        <v>369598.45541666669</v>
      </c>
      <c r="FK83" s="208">
        <v>534905.11043749994</v>
      </c>
      <c r="FL83" s="208">
        <v>9066.1883124999986</v>
      </c>
      <c r="FM83" s="208">
        <v>374729</v>
      </c>
      <c r="FN83" s="208">
        <v>542267</v>
      </c>
      <c r="FO83" s="208">
        <v>9191</v>
      </c>
      <c r="FP83" s="208">
        <v>-5131</v>
      </c>
      <c r="FQ83" s="208">
        <v>-7362</v>
      </c>
      <c r="FR83" s="208">
        <v>-125</v>
      </c>
      <c r="FS83" s="208">
        <v>1089635.3833333333</v>
      </c>
      <c r="FT83" s="208">
        <v>1607212.1904166667</v>
      </c>
      <c r="FU83" s="208">
        <v>27240.884583333336</v>
      </c>
      <c r="FV83" s="208">
        <v>608800</v>
      </c>
      <c r="FW83" s="208">
        <v>897980</v>
      </c>
      <c r="FX83" s="208">
        <v>15220</v>
      </c>
      <c r="FY83" s="208">
        <v>480835</v>
      </c>
      <c r="FZ83" s="208">
        <v>709232</v>
      </c>
      <c r="GA83" s="208">
        <v>12021</v>
      </c>
      <c r="GB83" s="208">
        <v>2710053</v>
      </c>
      <c r="GC83" s="208">
        <v>3986104</v>
      </c>
      <c r="GD83" s="208">
        <v>67560</v>
      </c>
      <c r="GE83" s="664">
        <v>0</v>
      </c>
      <c r="GF83" s="664">
        <v>0.4</v>
      </c>
      <c r="GG83" s="664">
        <v>0.59</v>
      </c>
      <c r="GH83" s="664">
        <v>0.01</v>
      </c>
      <c r="GI83" s="187" t="s">
        <v>1054</v>
      </c>
    </row>
    <row r="84" spans="1:191" s="187" customFormat="1" x14ac:dyDescent="0.2">
      <c r="B84" s="429" t="s">
        <v>247</v>
      </c>
      <c r="C84" s="429" t="s">
        <v>246</v>
      </c>
      <c r="D84" s="208">
        <v>-2007439</v>
      </c>
      <c r="E84" s="208">
        <v>905</v>
      </c>
      <c r="F84" s="208">
        <v>-2006534</v>
      </c>
      <c r="G84" s="208">
        <v>-2606039</v>
      </c>
      <c r="H84" s="208">
        <v>965</v>
      </c>
      <c r="I84" s="208">
        <v>-2605074</v>
      </c>
      <c r="J84" s="208">
        <v>598600</v>
      </c>
      <c r="K84" s="208">
        <v>-60</v>
      </c>
      <c r="L84" s="208">
        <v>598540</v>
      </c>
      <c r="M84" s="208">
        <v>420256</v>
      </c>
      <c r="N84" s="208">
        <v>420256</v>
      </c>
      <c r="O84" s="208">
        <v>0</v>
      </c>
      <c r="P84" s="208">
        <v>0</v>
      </c>
      <c r="Q84" s="208">
        <v>0</v>
      </c>
      <c r="R84" s="208">
        <v>0</v>
      </c>
      <c r="S84" s="208">
        <v>0</v>
      </c>
      <c r="T84" s="208">
        <v>0</v>
      </c>
      <c r="U84" s="208">
        <v>0</v>
      </c>
      <c r="V84" s="208">
        <v>0</v>
      </c>
      <c r="W84" s="208">
        <v>0</v>
      </c>
      <c r="X84" s="208">
        <v>0</v>
      </c>
      <c r="Y84" s="208">
        <v>0</v>
      </c>
      <c r="Z84" s="208">
        <v>0</v>
      </c>
      <c r="AA84" s="208">
        <v>0</v>
      </c>
      <c r="AB84" s="208">
        <v>0</v>
      </c>
      <c r="AC84" s="208">
        <v>0</v>
      </c>
      <c r="AD84" s="208">
        <v>0</v>
      </c>
      <c r="AE84" s="208">
        <v>0</v>
      </c>
      <c r="AF84" s="208">
        <v>0</v>
      </c>
      <c r="AG84" s="208">
        <v>0</v>
      </c>
      <c r="AH84" s="208">
        <v>0</v>
      </c>
      <c r="AI84" s="208">
        <v>0</v>
      </c>
      <c r="AJ84" s="208">
        <v>0</v>
      </c>
      <c r="AK84" s="208">
        <v>0</v>
      </c>
      <c r="AL84" s="208">
        <v>0</v>
      </c>
      <c r="AM84" s="208">
        <v>0</v>
      </c>
      <c r="AN84" s="208">
        <v>0</v>
      </c>
      <c r="AO84" s="208">
        <v>0</v>
      </c>
      <c r="AP84" s="208">
        <v>0</v>
      </c>
      <c r="AQ84" s="208">
        <v>0</v>
      </c>
      <c r="AR84" s="208">
        <v>0</v>
      </c>
      <c r="AS84" s="208">
        <v>0</v>
      </c>
      <c r="AT84" s="208">
        <v>0</v>
      </c>
      <c r="AU84" s="208">
        <v>0</v>
      </c>
      <c r="AV84" s="208">
        <v>0</v>
      </c>
      <c r="AW84" s="208">
        <v>0</v>
      </c>
      <c r="AX84" s="208">
        <v>0</v>
      </c>
      <c r="AY84" s="208">
        <v>0</v>
      </c>
      <c r="AZ84" s="208">
        <v>0</v>
      </c>
      <c r="BA84" s="208">
        <v>0</v>
      </c>
      <c r="BB84" s="208">
        <v>0</v>
      </c>
      <c r="BC84" s="208">
        <v>0</v>
      </c>
      <c r="BD84" s="208">
        <v>0</v>
      </c>
      <c r="BE84" s="208">
        <v>0</v>
      </c>
      <c r="BF84" s="208">
        <v>0</v>
      </c>
      <c r="BG84" s="208">
        <v>0</v>
      </c>
      <c r="BH84" s="208">
        <v>0</v>
      </c>
      <c r="BI84" s="208">
        <v>0</v>
      </c>
      <c r="BJ84" s="208">
        <v>0</v>
      </c>
      <c r="BK84" s="208">
        <v>0</v>
      </c>
      <c r="BL84" s="208">
        <v>0</v>
      </c>
      <c r="BM84" s="208">
        <v>0</v>
      </c>
      <c r="BN84" s="208">
        <v>0</v>
      </c>
      <c r="BO84" s="208">
        <v>7879423.7975962516</v>
      </c>
      <c r="BP84" s="208">
        <v>0</v>
      </c>
      <c r="BQ84" s="208">
        <v>79558.243712083349</v>
      </c>
      <c r="BR84" s="208">
        <v>454341</v>
      </c>
      <c r="BS84" s="208">
        <v>0</v>
      </c>
      <c r="BT84" s="208">
        <v>4582</v>
      </c>
      <c r="BU84" s="208">
        <v>7337506</v>
      </c>
      <c r="BV84" s="208">
        <v>0</v>
      </c>
      <c r="BW84" s="208">
        <v>74084</v>
      </c>
      <c r="BX84" s="208">
        <v>996259</v>
      </c>
      <c r="BY84" s="208">
        <v>0</v>
      </c>
      <c r="BZ84" s="208">
        <v>10056</v>
      </c>
      <c r="CA84" s="208">
        <v>94127.277749999994</v>
      </c>
      <c r="CB84" s="208">
        <v>0</v>
      </c>
      <c r="CC84" s="208">
        <v>950.78058333333331</v>
      </c>
      <c r="CD84" s="208">
        <v>12682</v>
      </c>
      <c r="CE84" s="208">
        <v>0</v>
      </c>
      <c r="CF84" s="208">
        <v>128</v>
      </c>
      <c r="CG84" s="208">
        <v>81445</v>
      </c>
      <c r="CH84" s="208">
        <v>0</v>
      </c>
      <c r="CI84" s="208">
        <v>823</v>
      </c>
      <c r="CJ84" s="208">
        <v>0</v>
      </c>
      <c r="CK84" s="208">
        <v>0</v>
      </c>
      <c r="CL84" s="208">
        <v>0</v>
      </c>
      <c r="CM84" s="208">
        <v>381.7831875</v>
      </c>
      <c r="CN84" s="208">
        <v>0</v>
      </c>
      <c r="CO84" s="208">
        <v>3.8563958333333335</v>
      </c>
      <c r="CP84" s="208">
        <v>-4265.4397499999995</v>
      </c>
      <c r="CQ84" s="208">
        <v>0</v>
      </c>
      <c r="CR84" s="208">
        <v>-43.085249999999995</v>
      </c>
      <c r="CS84" s="208">
        <v>0</v>
      </c>
      <c r="CT84" s="208">
        <v>0</v>
      </c>
      <c r="CU84" s="208">
        <v>0</v>
      </c>
      <c r="CV84" s="208">
        <v>0</v>
      </c>
      <c r="CW84" s="208">
        <v>0</v>
      </c>
      <c r="CX84" s="208">
        <v>0</v>
      </c>
      <c r="CY84" s="208">
        <v>0</v>
      </c>
      <c r="CZ84" s="208">
        <v>0</v>
      </c>
      <c r="DA84" s="208">
        <v>0</v>
      </c>
      <c r="DB84" s="208">
        <v>0</v>
      </c>
      <c r="DC84" s="208">
        <v>0</v>
      </c>
      <c r="DD84" s="208">
        <v>0</v>
      </c>
      <c r="DE84" s="208">
        <v>0</v>
      </c>
      <c r="DF84" s="208">
        <v>0</v>
      </c>
      <c r="DG84" s="208">
        <v>0</v>
      </c>
      <c r="DH84" s="208">
        <v>0</v>
      </c>
      <c r="DI84" s="208">
        <v>0</v>
      </c>
      <c r="DJ84" s="208">
        <v>0</v>
      </c>
      <c r="DK84" s="208">
        <v>0</v>
      </c>
      <c r="DL84" s="208">
        <v>0</v>
      </c>
      <c r="DM84" s="208">
        <v>0</v>
      </c>
      <c r="DN84" s="208">
        <v>1788.406125</v>
      </c>
      <c r="DO84" s="208">
        <v>0</v>
      </c>
      <c r="DP84" s="208">
        <v>18.064708333333332</v>
      </c>
      <c r="DQ84" s="208">
        <v>3682</v>
      </c>
      <c r="DR84" s="208">
        <v>0</v>
      </c>
      <c r="DS84" s="208">
        <v>37</v>
      </c>
      <c r="DT84" s="208">
        <v>-1894</v>
      </c>
      <c r="DU84" s="208">
        <v>0</v>
      </c>
      <c r="DV84" s="208">
        <v>-19</v>
      </c>
      <c r="DW84" s="208">
        <v>15867.8004375</v>
      </c>
      <c r="DX84" s="208">
        <v>0</v>
      </c>
      <c r="DY84" s="208">
        <v>160.28081250000002</v>
      </c>
      <c r="DZ84" s="208">
        <v>18658</v>
      </c>
      <c r="EA84" s="208">
        <v>0</v>
      </c>
      <c r="EB84" s="208">
        <v>188</v>
      </c>
      <c r="EC84" s="208">
        <v>-2790</v>
      </c>
      <c r="ED84" s="208">
        <v>0</v>
      </c>
      <c r="EE84" s="208">
        <v>-28</v>
      </c>
      <c r="EF84" s="208">
        <v>164491.84331249999</v>
      </c>
      <c r="EG84" s="208">
        <v>0</v>
      </c>
      <c r="EH84" s="208">
        <v>1661.5337708333334</v>
      </c>
      <c r="EI84" s="208">
        <v>0</v>
      </c>
      <c r="EJ84" s="208">
        <v>0</v>
      </c>
      <c r="EK84" s="208">
        <v>0</v>
      </c>
      <c r="EL84" s="208">
        <v>151904</v>
      </c>
      <c r="EM84" s="208">
        <v>0</v>
      </c>
      <c r="EN84" s="208">
        <v>1534</v>
      </c>
      <c r="EO84" s="208">
        <v>12588</v>
      </c>
      <c r="EP84" s="208">
        <v>0</v>
      </c>
      <c r="EQ84" s="208">
        <v>128</v>
      </c>
      <c r="ER84" s="208">
        <v>69133.137562499993</v>
      </c>
      <c r="ES84" s="208">
        <v>0</v>
      </c>
      <c r="ET84" s="208">
        <v>698.31452083333329</v>
      </c>
      <c r="EU84" s="208">
        <v>81015</v>
      </c>
      <c r="EV84" s="208">
        <v>0</v>
      </c>
      <c r="EW84" s="208">
        <v>818</v>
      </c>
      <c r="EX84" s="208">
        <v>-11882</v>
      </c>
      <c r="EY84" s="208">
        <v>0</v>
      </c>
      <c r="EZ84" s="208">
        <v>-120</v>
      </c>
      <c r="FA84" s="208">
        <v>0</v>
      </c>
      <c r="FB84" s="208">
        <v>0</v>
      </c>
      <c r="FC84" s="208">
        <v>0</v>
      </c>
      <c r="FD84" s="208">
        <v>0</v>
      </c>
      <c r="FE84" s="208">
        <v>0</v>
      </c>
      <c r="FF84" s="208">
        <v>0</v>
      </c>
      <c r="FG84" s="208">
        <v>0</v>
      </c>
      <c r="FH84" s="208">
        <v>0</v>
      </c>
      <c r="FI84" s="208">
        <v>0</v>
      </c>
      <c r="FJ84" s="208">
        <v>1935039.0633749999</v>
      </c>
      <c r="FK84" s="208">
        <v>0</v>
      </c>
      <c r="FL84" s="208">
        <v>19545.849125000001</v>
      </c>
      <c r="FM84" s="208">
        <v>1966389</v>
      </c>
      <c r="FN84" s="208">
        <v>0</v>
      </c>
      <c r="FO84" s="208">
        <v>19863</v>
      </c>
      <c r="FP84" s="208">
        <v>-31350</v>
      </c>
      <c r="FQ84" s="208">
        <v>0</v>
      </c>
      <c r="FR84" s="208">
        <v>-317</v>
      </c>
      <c r="FS84" s="208">
        <v>393522.79291666666</v>
      </c>
      <c r="FT84" s="208">
        <v>0</v>
      </c>
      <c r="FU84" s="208">
        <v>1842.6820833333334</v>
      </c>
      <c r="FV84" s="208">
        <v>209880</v>
      </c>
      <c r="FW84" s="208">
        <v>0</v>
      </c>
      <c r="FX84" s="208">
        <v>2120</v>
      </c>
      <c r="FY84" s="208">
        <v>183643</v>
      </c>
      <c r="FZ84" s="208">
        <v>0</v>
      </c>
      <c r="GA84" s="208">
        <v>-277</v>
      </c>
      <c r="GB84" s="208">
        <v>11003852</v>
      </c>
      <c r="GC84" s="208">
        <v>0</v>
      </c>
      <c r="GD84" s="208">
        <v>108979</v>
      </c>
      <c r="GE84" s="664">
        <v>0</v>
      </c>
      <c r="GF84" s="664">
        <v>0.99</v>
      </c>
      <c r="GG84" s="664">
        <v>0</v>
      </c>
      <c r="GH84" s="664">
        <v>0.01</v>
      </c>
      <c r="GI84" s="187" t="s">
        <v>1056</v>
      </c>
    </row>
    <row r="85" spans="1:191" s="187" customFormat="1" x14ac:dyDescent="0.2">
      <c r="B85" s="429" t="s">
        <v>249</v>
      </c>
      <c r="C85" s="429" t="s">
        <v>248</v>
      </c>
      <c r="D85" s="208">
        <v>-1897572</v>
      </c>
      <c r="E85" s="208">
        <v>0</v>
      </c>
      <c r="F85" s="208">
        <v>-1897572</v>
      </c>
      <c r="G85" s="208">
        <v>-2220783</v>
      </c>
      <c r="H85" s="208">
        <v>0</v>
      </c>
      <c r="I85" s="208">
        <v>-2220783</v>
      </c>
      <c r="J85" s="208">
        <v>323211</v>
      </c>
      <c r="K85" s="208">
        <v>0</v>
      </c>
      <c r="L85" s="208">
        <v>323211</v>
      </c>
      <c r="M85" s="208">
        <v>586050</v>
      </c>
      <c r="N85" s="208">
        <v>586050</v>
      </c>
      <c r="O85" s="208">
        <v>0</v>
      </c>
      <c r="P85" s="208">
        <v>0</v>
      </c>
      <c r="Q85" s="208">
        <v>0</v>
      </c>
      <c r="R85" s="208">
        <v>0</v>
      </c>
      <c r="S85" s="208">
        <v>177655</v>
      </c>
      <c r="T85" s="208">
        <v>0</v>
      </c>
      <c r="U85" s="208">
        <v>105655</v>
      </c>
      <c r="V85" s="208">
        <v>0</v>
      </c>
      <c r="W85" s="208">
        <v>72000</v>
      </c>
      <c r="X85" s="208">
        <v>0</v>
      </c>
      <c r="Y85" s="208">
        <v>0</v>
      </c>
      <c r="Z85" s="208">
        <v>0</v>
      </c>
      <c r="AA85" s="208">
        <v>0</v>
      </c>
      <c r="AB85" s="208">
        <v>0</v>
      </c>
      <c r="AC85" s="208">
        <v>0</v>
      </c>
      <c r="AD85" s="208">
        <v>0</v>
      </c>
      <c r="AE85" s="208">
        <v>0</v>
      </c>
      <c r="AF85" s="208">
        <v>0</v>
      </c>
      <c r="AG85" s="208">
        <v>0</v>
      </c>
      <c r="AH85" s="208">
        <v>0</v>
      </c>
      <c r="AI85" s="208">
        <v>0</v>
      </c>
      <c r="AJ85" s="208">
        <v>0</v>
      </c>
      <c r="AK85" s="208">
        <v>0</v>
      </c>
      <c r="AL85" s="208">
        <v>0</v>
      </c>
      <c r="AM85" s="208">
        <v>0</v>
      </c>
      <c r="AN85" s="208">
        <v>0</v>
      </c>
      <c r="AO85" s="208">
        <v>0</v>
      </c>
      <c r="AP85" s="208">
        <v>0</v>
      </c>
      <c r="AQ85" s="208">
        <v>0</v>
      </c>
      <c r="AR85" s="208">
        <v>0</v>
      </c>
      <c r="AS85" s="208">
        <v>0</v>
      </c>
      <c r="AT85" s="208">
        <v>0</v>
      </c>
      <c r="AU85" s="208">
        <v>0</v>
      </c>
      <c r="AV85" s="208">
        <v>0</v>
      </c>
      <c r="AW85" s="208">
        <v>0</v>
      </c>
      <c r="AX85" s="208">
        <v>0</v>
      </c>
      <c r="AY85" s="208">
        <v>0</v>
      </c>
      <c r="AZ85" s="208">
        <v>0</v>
      </c>
      <c r="BA85" s="208">
        <v>0</v>
      </c>
      <c r="BB85" s="208">
        <v>0</v>
      </c>
      <c r="BC85" s="208">
        <v>0</v>
      </c>
      <c r="BD85" s="208">
        <v>0</v>
      </c>
      <c r="BE85" s="208">
        <v>0</v>
      </c>
      <c r="BF85" s="208">
        <v>0</v>
      </c>
      <c r="BG85" s="208">
        <v>0</v>
      </c>
      <c r="BH85" s="208">
        <v>0</v>
      </c>
      <c r="BI85" s="208">
        <v>0</v>
      </c>
      <c r="BJ85" s="208">
        <v>0</v>
      </c>
      <c r="BK85" s="208">
        <v>0</v>
      </c>
      <c r="BL85" s="208">
        <v>0</v>
      </c>
      <c r="BM85" s="208">
        <v>0</v>
      </c>
      <c r="BN85" s="208">
        <v>0</v>
      </c>
      <c r="BO85" s="208">
        <v>4729082.9316553241</v>
      </c>
      <c r="BP85" s="208">
        <v>0</v>
      </c>
      <c r="BQ85" s="208">
        <v>96511.896564394381</v>
      </c>
      <c r="BR85" s="208">
        <v>303273</v>
      </c>
      <c r="BS85" s="208">
        <v>0</v>
      </c>
      <c r="BT85" s="208">
        <v>6095</v>
      </c>
      <c r="BU85" s="208">
        <v>4763077</v>
      </c>
      <c r="BV85" s="208">
        <v>0</v>
      </c>
      <c r="BW85" s="208">
        <v>97206</v>
      </c>
      <c r="BX85" s="208">
        <v>269279</v>
      </c>
      <c r="BY85" s="208">
        <v>0</v>
      </c>
      <c r="BZ85" s="208">
        <v>5401</v>
      </c>
      <c r="CA85" s="208">
        <v>51097.170834791672</v>
      </c>
      <c r="CB85" s="208">
        <v>0</v>
      </c>
      <c r="CC85" s="208">
        <v>1042.7994047916668</v>
      </c>
      <c r="CD85" s="208">
        <v>6458</v>
      </c>
      <c r="CE85" s="208">
        <v>0</v>
      </c>
      <c r="CF85" s="208">
        <v>132</v>
      </c>
      <c r="CG85" s="208">
        <v>44639</v>
      </c>
      <c r="CH85" s="208">
        <v>0</v>
      </c>
      <c r="CI85" s="208">
        <v>911</v>
      </c>
      <c r="CJ85" s="208">
        <v>0</v>
      </c>
      <c r="CK85" s="208">
        <v>0</v>
      </c>
      <c r="CL85" s="208">
        <v>0</v>
      </c>
      <c r="CM85" s="208">
        <v>0</v>
      </c>
      <c r="CN85" s="208">
        <v>0</v>
      </c>
      <c r="CO85" s="208">
        <v>0</v>
      </c>
      <c r="CP85" s="208">
        <v>-231.06664583333335</v>
      </c>
      <c r="CQ85" s="208">
        <v>0</v>
      </c>
      <c r="CR85" s="208">
        <v>-4.7156458333333333</v>
      </c>
      <c r="CS85" s="208">
        <v>0</v>
      </c>
      <c r="CT85" s="208">
        <v>0</v>
      </c>
      <c r="CU85" s="208">
        <v>0</v>
      </c>
      <c r="CV85" s="208">
        <v>0</v>
      </c>
      <c r="CW85" s="208">
        <v>0</v>
      </c>
      <c r="CX85" s="208">
        <v>0</v>
      </c>
      <c r="CY85" s="208">
        <v>0</v>
      </c>
      <c r="CZ85" s="208">
        <v>0</v>
      </c>
      <c r="DA85" s="208">
        <v>0</v>
      </c>
      <c r="DB85" s="208">
        <v>-16.039333333333335</v>
      </c>
      <c r="DC85" s="208">
        <v>0</v>
      </c>
      <c r="DD85" s="208">
        <v>-0.32733333333333337</v>
      </c>
      <c r="DE85" s="208">
        <v>39293.359291666668</v>
      </c>
      <c r="DF85" s="208">
        <v>0</v>
      </c>
      <c r="DG85" s="208">
        <v>801.90529166666681</v>
      </c>
      <c r="DH85" s="208">
        <v>44646</v>
      </c>
      <c r="DI85" s="208">
        <v>0</v>
      </c>
      <c r="DJ85" s="208">
        <v>911</v>
      </c>
      <c r="DK85" s="208">
        <v>-5353</v>
      </c>
      <c r="DL85" s="208">
        <v>0</v>
      </c>
      <c r="DM85" s="208">
        <v>-109</v>
      </c>
      <c r="DN85" s="208">
        <v>751.84375</v>
      </c>
      <c r="DO85" s="208">
        <v>0</v>
      </c>
      <c r="DP85" s="208">
        <v>15.34375</v>
      </c>
      <c r="DQ85" s="208">
        <v>752</v>
      </c>
      <c r="DR85" s="208">
        <v>0</v>
      </c>
      <c r="DS85" s="208">
        <v>15</v>
      </c>
      <c r="DT85" s="208">
        <v>0</v>
      </c>
      <c r="DU85" s="208">
        <v>0</v>
      </c>
      <c r="DV85" s="208">
        <v>0</v>
      </c>
      <c r="DW85" s="208">
        <v>39197.12329166667</v>
      </c>
      <c r="DX85" s="208">
        <v>0</v>
      </c>
      <c r="DY85" s="208">
        <v>799.94129166666676</v>
      </c>
      <c r="DZ85" s="208">
        <v>37733</v>
      </c>
      <c r="EA85" s="208">
        <v>0</v>
      </c>
      <c r="EB85" s="208">
        <v>770</v>
      </c>
      <c r="EC85" s="208">
        <v>1464</v>
      </c>
      <c r="ED85" s="208">
        <v>0</v>
      </c>
      <c r="EE85" s="208">
        <v>30</v>
      </c>
      <c r="EF85" s="208">
        <v>161299.55566666665</v>
      </c>
      <c r="EG85" s="208">
        <v>0</v>
      </c>
      <c r="EH85" s="208">
        <v>3291.8276666666666</v>
      </c>
      <c r="EI85" s="208">
        <v>-1434.0166458333333</v>
      </c>
      <c r="EJ85" s="208">
        <v>0</v>
      </c>
      <c r="EK85" s="208">
        <v>-29.265645833333334</v>
      </c>
      <c r="EL85" s="208">
        <v>161299</v>
      </c>
      <c r="EM85" s="208">
        <v>0</v>
      </c>
      <c r="EN85" s="208">
        <v>3292</v>
      </c>
      <c r="EO85" s="208">
        <v>-1433</v>
      </c>
      <c r="EP85" s="208">
        <v>0</v>
      </c>
      <c r="EQ85" s="208">
        <v>-29</v>
      </c>
      <c r="ER85" s="208">
        <v>80544.018479166669</v>
      </c>
      <c r="ES85" s="208">
        <v>0</v>
      </c>
      <c r="ET85" s="208">
        <v>1643.7554791666666</v>
      </c>
      <c r="EU85" s="208">
        <v>91430</v>
      </c>
      <c r="EV85" s="208">
        <v>0</v>
      </c>
      <c r="EW85" s="208">
        <v>1866</v>
      </c>
      <c r="EX85" s="208">
        <v>-10886</v>
      </c>
      <c r="EY85" s="208">
        <v>0</v>
      </c>
      <c r="EZ85" s="208">
        <v>-222</v>
      </c>
      <c r="FA85" s="208">
        <v>0</v>
      </c>
      <c r="FB85" s="208">
        <v>0</v>
      </c>
      <c r="FC85" s="208">
        <v>0</v>
      </c>
      <c r="FD85" s="208">
        <v>0</v>
      </c>
      <c r="FE85" s="208">
        <v>0</v>
      </c>
      <c r="FF85" s="208">
        <v>0</v>
      </c>
      <c r="FG85" s="208">
        <v>0</v>
      </c>
      <c r="FH85" s="208">
        <v>0</v>
      </c>
      <c r="FI85" s="208">
        <v>0</v>
      </c>
      <c r="FJ85" s="208">
        <v>1241144.1968749999</v>
      </c>
      <c r="FK85" s="208">
        <v>0</v>
      </c>
      <c r="FL85" s="208">
        <v>25246.386458333331</v>
      </c>
      <c r="FM85" s="208">
        <v>1189126</v>
      </c>
      <c r="FN85" s="208">
        <v>0</v>
      </c>
      <c r="FO85" s="208">
        <v>24218</v>
      </c>
      <c r="FP85" s="208">
        <v>52018</v>
      </c>
      <c r="FQ85" s="208">
        <v>0</v>
      </c>
      <c r="FR85" s="208">
        <v>1028</v>
      </c>
      <c r="FS85" s="208">
        <v>0</v>
      </c>
      <c r="FT85" s="208">
        <v>0</v>
      </c>
      <c r="FU85" s="208">
        <v>0</v>
      </c>
      <c r="FV85" s="208">
        <v>0</v>
      </c>
      <c r="FW85" s="208">
        <v>0</v>
      </c>
      <c r="FX85" s="208">
        <v>0</v>
      </c>
      <c r="FY85" s="208">
        <v>0</v>
      </c>
      <c r="FZ85" s="208">
        <v>0</v>
      </c>
      <c r="GA85" s="208">
        <v>0</v>
      </c>
      <c r="GB85" s="208">
        <v>6644002</v>
      </c>
      <c r="GC85" s="208">
        <v>0</v>
      </c>
      <c r="GD85" s="208">
        <v>135415</v>
      </c>
      <c r="GE85" s="664">
        <v>0.5</v>
      </c>
      <c r="GF85" s="664">
        <v>0.49</v>
      </c>
      <c r="GG85" s="664">
        <v>0</v>
      </c>
      <c r="GH85" s="664">
        <v>0.01</v>
      </c>
      <c r="GI85" s="187" t="s">
        <v>742</v>
      </c>
    </row>
    <row r="86" spans="1:191" s="187" customFormat="1" x14ac:dyDescent="0.2">
      <c r="B86" s="429" t="s">
        <v>251</v>
      </c>
      <c r="C86" s="429" t="s">
        <v>250</v>
      </c>
      <c r="D86" s="208">
        <v>2963471</v>
      </c>
      <c r="E86" s="208">
        <v>0</v>
      </c>
      <c r="F86" s="208">
        <v>2963471</v>
      </c>
      <c r="G86" s="208">
        <v>2914399</v>
      </c>
      <c r="H86" s="208">
        <v>0</v>
      </c>
      <c r="I86" s="208">
        <v>2914399</v>
      </c>
      <c r="J86" s="208">
        <v>49072</v>
      </c>
      <c r="K86" s="208">
        <v>0</v>
      </c>
      <c r="L86" s="208">
        <v>49072</v>
      </c>
      <c r="M86" s="208">
        <v>498579</v>
      </c>
      <c r="N86" s="208">
        <v>498579</v>
      </c>
      <c r="O86" s="208">
        <v>0</v>
      </c>
      <c r="P86" s="208">
        <v>0</v>
      </c>
      <c r="Q86" s="208">
        <v>0</v>
      </c>
      <c r="R86" s="208">
        <v>0</v>
      </c>
      <c r="S86" s="208">
        <v>0</v>
      </c>
      <c r="T86" s="208">
        <v>0</v>
      </c>
      <c r="U86" s="208">
        <v>0</v>
      </c>
      <c r="V86" s="208">
        <v>0</v>
      </c>
      <c r="W86" s="208">
        <v>0</v>
      </c>
      <c r="X86" s="208">
        <v>0</v>
      </c>
      <c r="Y86" s="208">
        <v>0</v>
      </c>
      <c r="Z86" s="208">
        <v>0</v>
      </c>
      <c r="AA86" s="208">
        <v>0</v>
      </c>
      <c r="AB86" s="208">
        <v>0</v>
      </c>
      <c r="AC86" s="208">
        <v>0</v>
      </c>
      <c r="AD86" s="208">
        <v>0</v>
      </c>
      <c r="AE86" s="208">
        <v>0</v>
      </c>
      <c r="AF86" s="208">
        <v>0</v>
      </c>
      <c r="AG86" s="208">
        <v>0</v>
      </c>
      <c r="AH86" s="208">
        <v>0</v>
      </c>
      <c r="AI86" s="208">
        <v>0</v>
      </c>
      <c r="AJ86" s="208">
        <v>0</v>
      </c>
      <c r="AK86" s="208">
        <v>0</v>
      </c>
      <c r="AL86" s="208">
        <v>0</v>
      </c>
      <c r="AM86" s="208">
        <v>0</v>
      </c>
      <c r="AN86" s="208">
        <v>0</v>
      </c>
      <c r="AO86" s="208">
        <v>0</v>
      </c>
      <c r="AP86" s="208">
        <v>0</v>
      </c>
      <c r="AQ86" s="208">
        <v>0</v>
      </c>
      <c r="AR86" s="208">
        <v>0</v>
      </c>
      <c r="AS86" s="208">
        <v>0</v>
      </c>
      <c r="AT86" s="208">
        <v>0</v>
      </c>
      <c r="AU86" s="208">
        <v>0</v>
      </c>
      <c r="AV86" s="208">
        <v>0</v>
      </c>
      <c r="AW86" s="208">
        <v>0</v>
      </c>
      <c r="AX86" s="208">
        <v>0</v>
      </c>
      <c r="AY86" s="208">
        <v>0</v>
      </c>
      <c r="AZ86" s="208">
        <v>0</v>
      </c>
      <c r="BA86" s="208">
        <v>0</v>
      </c>
      <c r="BB86" s="208">
        <v>0</v>
      </c>
      <c r="BC86" s="208">
        <v>0</v>
      </c>
      <c r="BD86" s="208">
        <v>0</v>
      </c>
      <c r="BE86" s="208">
        <v>0</v>
      </c>
      <c r="BF86" s="208">
        <v>0</v>
      </c>
      <c r="BG86" s="208">
        <v>0</v>
      </c>
      <c r="BH86" s="208">
        <v>0</v>
      </c>
      <c r="BI86" s="208">
        <v>0</v>
      </c>
      <c r="BJ86" s="208">
        <v>0</v>
      </c>
      <c r="BK86" s="208">
        <v>0</v>
      </c>
      <c r="BL86" s="208">
        <v>0</v>
      </c>
      <c r="BM86" s="208">
        <v>0</v>
      </c>
      <c r="BN86" s="208">
        <v>0</v>
      </c>
      <c r="BO86" s="208">
        <v>4900426.9311013343</v>
      </c>
      <c r="BP86" s="208">
        <v>2756490.1487444998</v>
      </c>
      <c r="BQ86" s="208">
        <v>0</v>
      </c>
      <c r="BR86" s="208">
        <v>277792</v>
      </c>
      <c r="BS86" s="208">
        <v>156258</v>
      </c>
      <c r="BT86" s="208">
        <v>0</v>
      </c>
      <c r="BU86" s="208">
        <v>4373548</v>
      </c>
      <c r="BV86" s="208">
        <v>2460121</v>
      </c>
      <c r="BW86" s="208">
        <v>0</v>
      </c>
      <c r="BX86" s="208">
        <v>804671</v>
      </c>
      <c r="BY86" s="208">
        <v>452627</v>
      </c>
      <c r="BZ86" s="208">
        <v>0</v>
      </c>
      <c r="CA86" s="208">
        <v>27026.603999999999</v>
      </c>
      <c r="CB86" s="208">
        <v>15202.464749999997</v>
      </c>
      <c r="CC86" s="208">
        <v>0</v>
      </c>
      <c r="CD86" s="208">
        <v>10259</v>
      </c>
      <c r="CE86" s="208">
        <v>5771</v>
      </c>
      <c r="CF86" s="208">
        <v>0</v>
      </c>
      <c r="CG86" s="208">
        <v>16768</v>
      </c>
      <c r="CH86" s="208">
        <v>9431</v>
      </c>
      <c r="CI86" s="208">
        <v>0</v>
      </c>
      <c r="CJ86" s="208">
        <v>0</v>
      </c>
      <c r="CK86" s="208">
        <v>0</v>
      </c>
      <c r="CL86" s="208">
        <v>0</v>
      </c>
      <c r="CM86" s="208">
        <v>0</v>
      </c>
      <c r="CN86" s="208">
        <v>0</v>
      </c>
      <c r="CO86" s="208">
        <v>0</v>
      </c>
      <c r="CP86" s="208">
        <v>-7600.68</v>
      </c>
      <c r="CQ86" s="208">
        <v>-4275.3824999999997</v>
      </c>
      <c r="CR86" s="208">
        <v>0</v>
      </c>
      <c r="CS86" s="208">
        <v>0</v>
      </c>
      <c r="CT86" s="208">
        <v>0</v>
      </c>
      <c r="CU86" s="208">
        <v>0</v>
      </c>
      <c r="CV86" s="208">
        <v>0</v>
      </c>
      <c r="CW86" s="208">
        <v>0</v>
      </c>
      <c r="CX86" s="208">
        <v>0</v>
      </c>
      <c r="CY86" s="208">
        <v>0</v>
      </c>
      <c r="CZ86" s="208">
        <v>0</v>
      </c>
      <c r="DA86" s="208">
        <v>0</v>
      </c>
      <c r="DB86" s="208">
        <v>0</v>
      </c>
      <c r="DC86" s="208">
        <v>0</v>
      </c>
      <c r="DD86" s="208">
        <v>0</v>
      </c>
      <c r="DE86" s="208">
        <v>0</v>
      </c>
      <c r="DF86" s="208">
        <v>0</v>
      </c>
      <c r="DG86" s="208">
        <v>0</v>
      </c>
      <c r="DH86" s="208">
        <v>0</v>
      </c>
      <c r="DI86" s="208">
        <v>0</v>
      </c>
      <c r="DJ86" s="208">
        <v>0</v>
      </c>
      <c r="DK86" s="208">
        <v>0</v>
      </c>
      <c r="DL86" s="208">
        <v>0</v>
      </c>
      <c r="DM86" s="208">
        <v>0</v>
      </c>
      <c r="DN86" s="208">
        <v>0</v>
      </c>
      <c r="DO86" s="208">
        <v>0</v>
      </c>
      <c r="DP86" s="208">
        <v>0</v>
      </c>
      <c r="DQ86" s="208">
        <v>0</v>
      </c>
      <c r="DR86" s="208">
        <v>0</v>
      </c>
      <c r="DS86" s="208">
        <v>0</v>
      </c>
      <c r="DT86" s="208">
        <v>0</v>
      </c>
      <c r="DU86" s="208">
        <v>0</v>
      </c>
      <c r="DV86" s="208">
        <v>0</v>
      </c>
      <c r="DW86" s="208">
        <v>107760.09733333332</v>
      </c>
      <c r="DX86" s="208">
        <v>60615.054749999996</v>
      </c>
      <c r="DY86" s="208">
        <v>0</v>
      </c>
      <c r="DZ86" s="208">
        <v>120513</v>
      </c>
      <c r="EA86" s="208">
        <v>67788</v>
      </c>
      <c r="EB86" s="208">
        <v>0</v>
      </c>
      <c r="EC86" s="208">
        <v>-12753</v>
      </c>
      <c r="ED86" s="208">
        <v>-7173</v>
      </c>
      <c r="EE86" s="208">
        <v>0</v>
      </c>
      <c r="EF86" s="208">
        <v>419018.74533333333</v>
      </c>
      <c r="EG86" s="208">
        <v>235698.04424999998</v>
      </c>
      <c r="EH86" s="208">
        <v>0</v>
      </c>
      <c r="EI86" s="208">
        <v>-20893.031999999999</v>
      </c>
      <c r="EJ86" s="208">
        <v>-11752.3305</v>
      </c>
      <c r="EK86" s="208">
        <v>0</v>
      </c>
      <c r="EL86" s="208">
        <v>470713</v>
      </c>
      <c r="EM86" s="208">
        <v>264776</v>
      </c>
      <c r="EN86" s="208">
        <v>0</v>
      </c>
      <c r="EO86" s="208">
        <v>-72587</v>
      </c>
      <c r="EP86" s="208">
        <v>-40830</v>
      </c>
      <c r="EQ86" s="208">
        <v>0</v>
      </c>
      <c r="ER86" s="208">
        <v>31702.887999999999</v>
      </c>
      <c r="ES86" s="208">
        <v>17832.874499999998</v>
      </c>
      <c r="ET86" s="208">
        <v>0</v>
      </c>
      <c r="EU86" s="208">
        <v>15057</v>
      </c>
      <c r="EV86" s="208">
        <v>8470</v>
      </c>
      <c r="EW86" s="208">
        <v>0</v>
      </c>
      <c r="EX86" s="208">
        <v>16646</v>
      </c>
      <c r="EY86" s="208">
        <v>9363</v>
      </c>
      <c r="EZ86" s="208">
        <v>0</v>
      </c>
      <c r="FA86" s="208">
        <v>0</v>
      </c>
      <c r="FB86" s="208">
        <v>0</v>
      </c>
      <c r="FC86" s="208">
        <v>0</v>
      </c>
      <c r="FD86" s="208">
        <v>0</v>
      </c>
      <c r="FE86" s="208">
        <v>0</v>
      </c>
      <c r="FF86" s="208">
        <v>0</v>
      </c>
      <c r="FG86" s="208">
        <v>0</v>
      </c>
      <c r="FH86" s="208">
        <v>0</v>
      </c>
      <c r="FI86" s="208">
        <v>0</v>
      </c>
      <c r="FJ86" s="208">
        <v>2198806.6613333332</v>
      </c>
      <c r="FK86" s="208">
        <v>1236828.747</v>
      </c>
      <c r="FL86" s="208">
        <v>0</v>
      </c>
      <c r="FM86" s="208">
        <v>2203900</v>
      </c>
      <c r="FN86" s="208">
        <v>1239694</v>
      </c>
      <c r="FO86" s="208">
        <v>0</v>
      </c>
      <c r="FP86" s="208">
        <v>-5093</v>
      </c>
      <c r="FQ86" s="208">
        <v>-2865</v>
      </c>
      <c r="FR86" s="208">
        <v>0</v>
      </c>
      <c r="FS86" s="208">
        <v>0</v>
      </c>
      <c r="FT86" s="208">
        <v>0</v>
      </c>
      <c r="FU86" s="208">
        <v>0</v>
      </c>
      <c r="FV86" s="208">
        <v>0</v>
      </c>
      <c r="FW86" s="208">
        <v>0</v>
      </c>
      <c r="FX86" s="208">
        <v>0</v>
      </c>
      <c r="FY86" s="208">
        <v>0</v>
      </c>
      <c r="FZ86" s="208">
        <v>0</v>
      </c>
      <c r="GA86" s="208">
        <v>0</v>
      </c>
      <c r="GB86" s="208">
        <v>7934041</v>
      </c>
      <c r="GC86" s="208">
        <v>4462898</v>
      </c>
      <c r="GD86" s="208">
        <v>0</v>
      </c>
      <c r="GE86" s="664">
        <v>0</v>
      </c>
      <c r="GF86" s="664">
        <v>0.64</v>
      </c>
      <c r="GG86" s="664">
        <v>0.36</v>
      </c>
      <c r="GH86" s="664">
        <v>0</v>
      </c>
      <c r="GI86" s="187" t="s">
        <v>1055</v>
      </c>
    </row>
    <row r="87" spans="1:191" s="187" customFormat="1" x14ac:dyDescent="0.2">
      <c r="B87" s="429" t="s">
        <v>253</v>
      </c>
      <c r="C87" s="429" t="s">
        <v>252</v>
      </c>
      <c r="D87" s="208">
        <v>1146018</v>
      </c>
      <c r="E87" s="208">
        <v>0</v>
      </c>
      <c r="F87" s="208">
        <v>1146018</v>
      </c>
      <c r="G87" s="208">
        <v>733361</v>
      </c>
      <c r="H87" s="208">
        <v>0</v>
      </c>
      <c r="I87" s="208">
        <v>733361</v>
      </c>
      <c r="J87" s="208">
        <v>412657</v>
      </c>
      <c r="K87" s="208">
        <v>0</v>
      </c>
      <c r="L87" s="208">
        <v>412657</v>
      </c>
      <c r="M87" s="208">
        <v>94722</v>
      </c>
      <c r="N87" s="208">
        <v>94722</v>
      </c>
      <c r="O87" s="208">
        <v>0</v>
      </c>
      <c r="P87" s="208">
        <v>0</v>
      </c>
      <c r="Q87" s="208">
        <v>0</v>
      </c>
      <c r="R87" s="208">
        <v>0</v>
      </c>
      <c r="S87" s="208">
        <v>840826</v>
      </c>
      <c r="T87" s="208">
        <v>0</v>
      </c>
      <c r="U87" s="208">
        <v>331937</v>
      </c>
      <c r="V87" s="208">
        <v>0</v>
      </c>
      <c r="W87" s="208">
        <v>508889</v>
      </c>
      <c r="X87" s="208">
        <v>0</v>
      </c>
      <c r="Y87" s="208">
        <v>0</v>
      </c>
      <c r="Z87" s="208">
        <v>0</v>
      </c>
      <c r="AA87" s="208">
        <v>0</v>
      </c>
      <c r="AB87" s="208">
        <v>0</v>
      </c>
      <c r="AC87" s="208">
        <v>0</v>
      </c>
      <c r="AD87" s="208">
        <v>0</v>
      </c>
      <c r="AE87" s="208">
        <v>0</v>
      </c>
      <c r="AF87" s="208">
        <v>0</v>
      </c>
      <c r="AG87" s="208">
        <v>0</v>
      </c>
      <c r="AH87" s="208">
        <v>33564</v>
      </c>
      <c r="AI87" s="208">
        <v>33563.941666666666</v>
      </c>
      <c r="AJ87" s="208">
        <v>0</v>
      </c>
      <c r="AK87" s="208">
        <v>0</v>
      </c>
      <c r="AL87" s="208">
        <v>32812</v>
      </c>
      <c r="AM87" s="208">
        <v>32812</v>
      </c>
      <c r="AN87" s="208">
        <v>0</v>
      </c>
      <c r="AO87" s="208">
        <v>0</v>
      </c>
      <c r="AP87" s="208">
        <v>752</v>
      </c>
      <c r="AQ87" s="208">
        <v>752</v>
      </c>
      <c r="AR87" s="208">
        <v>0</v>
      </c>
      <c r="AS87" s="208">
        <v>0</v>
      </c>
      <c r="AT87" s="208">
        <v>0</v>
      </c>
      <c r="AU87" s="208">
        <v>0</v>
      </c>
      <c r="AV87" s="208">
        <v>0</v>
      </c>
      <c r="AW87" s="208">
        <v>0</v>
      </c>
      <c r="AX87" s="208">
        <v>0</v>
      </c>
      <c r="AY87" s="208">
        <v>0</v>
      </c>
      <c r="AZ87" s="208">
        <v>0</v>
      </c>
      <c r="BA87" s="208">
        <v>0</v>
      </c>
      <c r="BB87" s="208">
        <v>0</v>
      </c>
      <c r="BC87" s="208">
        <v>0</v>
      </c>
      <c r="BD87" s="208">
        <v>0</v>
      </c>
      <c r="BE87" s="208">
        <v>0</v>
      </c>
      <c r="BF87" s="208">
        <v>0</v>
      </c>
      <c r="BG87" s="208">
        <v>0</v>
      </c>
      <c r="BH87" s="208">
        <v>0</v>
      </c>
      <c r="BI87" s="208">
        <v>0</v>
      </c>
      <c r="BJ87" s="208">
        <v>0</v>
      </c>
      <c r="BK87" s="208">
        <v>0</v>
      </c>
      <c r="BL87" s="208">
        <v>0</v>
      </c>
      <c r="BM87" s="208">
        <v>0</v>
      </c>
      <c r="BN87" s="208">
        <v>0</v>
      </c>
      <c r="BO87" s="208">
        <v>750393.5258533333</v>
      </c>
      <c r="BP87" s="208">
        <v>168838.543317</v>
      </c>
      <c r="BQ87" s="208">
        <v>18759.838146333332</v>
      </c>
      <c r="BR87" s="208">
        <v>62725</v>
      </c>
      <c r="BS87" s="208">
        <v>14113</v>
      </c>
      <c r="BT87" s="208">
        <v>1568</v>
      </c>
      <c r="BU87" s="208">
        <v>723356</v>
      </c>
      <c r="BV87" s="208">
        <v>162755</v>
      </c>
      <c r="BW87" s="208">
        <v>18084</v>
      </c>
      <c r="BX87" s="208">
        <v>89763</v>
      </c>
      <c r="BY87" s="208">
        <v>20197</v>
      </c>
      <c r="BZ87" s="208">
        <v>2244</v>
      </c>
      <c r="CA87" s="208">
        <v>0</v>
      </c>
      <c r="CB87" s="208">
        <v>0</v>
      </c>
      <c r="CC87" s="208">
        <v>0</v>
      </c>
      <c r="CD87" s="208">
        <v>0</v>
      </c>
      <c r="CE87" s="208">
        <v>0</v>
      </c>
      <c r="CF87" s="208">
        <v>0</v>
      </c>
      <c r="CG87" s="208">
        <v>0</v>
      </c>
      <c r="CH87" s="208">
        <v>0</v>
      </c>
      <c r="CI87" s="208">
        <v>0</v>
      </c>
      <c r="CJ87" s="208">
        <v>0</v>
      </c>
      <c r="CK87" s="208">
        <v>0</v>
      </c>
      <c r="CL87" s="208">
        <v>0</v>
      </c>
      <c r="CM87" s="208">
        <v>0</v>
      </c>
      <c r="CN87" s="208">
        <v>0</v>
      </c>
      <c r="CO87" s="208">
        <v>0</v>
      </c>
      <c r="CP87" s="208">
        <v>0</v>
      </c>
      <c r="CQ87" s="208">
        <v>0</v>
      </c>
      <c r="CR87" s="208">
        <v>0</v>
      </c>
      <c r="CS87" s="208">
        <v>0</v>
      </c>
      <c r="CT87" s="208">
        <v>0</v>
      </c>
      <c r="CU87" s="208">
        <v>0</v>
      </c>
      <c r="CV87" s="208">
        <v>0</v>
      </c>
      <c r="CW87" s="208">
        <v>0</v>
      </c>
      <c r="CX87" s="208">
        <v>0</v>
      </c>
      <c r="CY87" s="208">
        <v>0</v>
      </c>
      <c r="CZ87" s="208">
        <v>0</v>
      </c>
      <c r="DA87" s="208">
        <v>0</v>
      </c>
      <c r="DB87" s="208">
        <v>0</v>
      </c>
      <c r="DC87" s="208">
        <v>0</v>
      </c>
      <c r="DD87" s="208">
        <v>0</v>
      </c>
      <c r="DE87" s="208">
        <v>11905.522499999999</v>
      </c>
      <c r="DF87" s="208">
        <v>2678.7425625000001</v>
      </c>
      <c r="DG87" s="208">
        <v>297.63806249999999</v>
      </c>
      <c r="DH87" s="208">
        <v>10591</v>
      </c>
      <c r="DI87" s="208">
        <v>2383</v>
      </c>
      <c r="DJ87" s="208">
        <v>265</v>
      </c>
      <c r="DK87" s="208">
        <v>1315</v>
      </c>
      <c r="DL87" s="208">
        <v>296</v>
      </c>
      <c r="DM87" s="208">
        <v>33</v>
      </c>
      <c r="DN87" s="208">
        <v>0</v>
      </c>
      <c r="DO87" s="208">
        <v>0</v>
      </c>
      <c r="DP87" s="208">
        <v>0</v>
      </c>
      <c r="DQ87" s="208">
        <v>0</v>
      </c>
      <c r="DR87" s="208">
        <v>0</v>
      </c>
      <c r="DS87" s="208">
        <v>0</v>
      </c>
      <c r="DT87" s="208">
        <v>0</v>
      </c>
      <c r="DU87" s="208">
        <v>0</v>
      </c>
      <c r="DV87" s="208">
        <v>0</v>
      </c>
      <c r="DW87" s="208">
        <v>13423.121666666668</v>
      </c>
      <c r="DX87" s="208">
        <v>3020.2023749999998</v>
      </c>
      <c r="DY87" s="208">
        <v>335.57804166666671</v>
      </c>
      <c r="DZ87" s="208">
        <v>15896</v>
      </c>
      <c r="EA87" s="208">
        <v>3577</v>
      </c>
      <c r="EB87" s="208">
        <v>397</v>
      </c>
      <c r="EC87" s="208">
        <v>-2473</v>
      </c>
      <c r="ED87" s="208">
        <v>-557</v>
      </c>
      <c r="EE87" s="208">
        <v>-61</v>
      </c>
      <c r="EF87" s="208">
        <v>35399.054166666669</v>
      </c>
      <c r="EG87" s="208">
        <v>7964.7871875000001</v>
      </c>
      <c r="EH87" s="208">
        <v>884.97635416666674</v>
      </c>
      <c r="EI87" s="208">
        <v>12199.713333333333</v>
      </c>
      <c r="EJ87" s="208">
        <v>2744.9355</v>
      </c>
      <c r="EK87" s="208">
        <v>304.99283333333335</v>
      </c>
      <c r="EL87" s="208">
        <v>41326</v>
      </c>
      <c r="EM87" s="208">
        <v>9298</v>
      </c>
      <c r="EN87" s="208">
        <v>1033</v>
      </c>
      <c r="EO87" s="208">
        <v>6273</v>
      </c>
      <c r="EP87" s="208">
        <v>1412</v>
      </c>
      <c r="EQ87" s="208">
        <v>157</v>
      </c>
      <c r="ER87" s="208">
        <v>12243.903333333334</v>
      </c>
      <c r="ES87" s="208">
        <v>2754.8782500000002</v>
      </c>
      <c r="ET87" s="208">
        <v>306.09758333333332</v>
      </c>
      <c r="EU87" s="208">
        <v>11457</v>
      </c>
      <c r="EV87" s="208">
        <v>2578</v>
      </c>
      <c r="EW87" s="208">
        <v>286</v>
      </c>
      <c r="EX87" s="208">
        <v>787</v>
      </c>
      <c r="EY87" s="208">
        <v>177</v>
      </c>
      <c r="EZ87" s="208">
        <v>20</v>
      </c>
      <c r="FA87" s="208">
        <v>0</v>
      </c>
      <c r="FB87" s="208">
        <v>0</v>
      </c>
      <c r="FC87" s="208">
        <v>0</v>
      </c>
      <c r="FD87" s="208">
        <v>0</v>
      </c>
      <c r="FE87" s="208">
        <v>0</v>
      </c>
      <c r="FF87" s="208">
        <v>0</v>
      </c>
      <c r="FG87" s="208">
        <v>0</v>
      </c>
      <c r="FH87" s="208">
        <v>0</v>
      </c>
      <c r="FI87" s="208">
        <v>0</v>
      </c>
      <c r="FJ87" s="208">
        <v>210044.51416666666</v>
      </c>
      <c r="FK87" s="208">
        <v>42924.506624999995</v>
      </c>
      <c r="FL87" s="208">
        <v>4769.3896249999998</v>
      </c>
      <c r="FM87" s="208">
        <v>195759</v>
      </c>
      <c r="FN87" s="208">
        <v>42165</v>
      </c>
      <c r="FO87" s="208">
        <v>4685</v>
      </c>
      <c r="FP87" s="208">
        <v>14286</v>
      </c>
      <c r="FQ87" s="208">
        <v>760</v>
      </c>
      <c r="FR87" s="208">
        <v>84</v>
      </c>
      <c r="FS87" s="208">
        <v>0</v>
      </c>
      <c r="FT87" s="208">
        <v>0</v>
      </c>
      <c r="FU87" s="208">
        <v>0</v>
      </c>
      <c r="FV87" s="208">
        <v>0</v>
      </c>
      <c r="FW87" s="208">
        <v>0</v>
      </c>
      <c r="FX87" s="208">
        <v>0</v>
      </c>
      <c r="FY87" s="208">
        <v>0</v>
      </c>
      <c r="FZ87" s="208">
        <v>0</v>
      </c>
      <c r="GA87" s="208">
        <v>0</v>
      </c>
      <c r="GB87" s="208">
        <v>1108336</v>
      </c>
      <c r="GC87" s="208">
        <v>245041</v>
      </c>
      <c r="GD87" s="208">
        <v>27227</v>
      </c>
      <c r="GE87" s="664">
        <v>0.5</v>
      </c>
      <c r="GF87" s="664">
        <v>0.4</v>
      </c>
      <c r="GG87" s="664">
        <v>0.09</v>
      </c>
      <c r="GH87" s="664">
        <v>0.01</v>
      </c>
      <c r="GI87" s="187" t="s">
        <v>1054</v>
      </c>
    </row>
    <row r="88" spans="1:191" s="187" customFormat="1" x14ac:dyDescent="0.2">
      <c r="B88" s="429" t="s">
        <v>255</v>
      </c>
      <c r="C88" s="429" t="s">
        <v>254</v>
      </c>
      <c r="D88" s="208">
        <v>396872</v>
      </c>
      <c r="E88" s="208">
        <v>3459</v>
      </c>
      <c r="F88" s="208">
        <v>400331</v>
      </c>
      <c r="G88" s="208">
        <v>272275</v>
      </c>
      <c r="H88" s="208">
        <v>0</v>
      </c>
      <c r="I88" s="208">
        <v>272275</v>
      </c>
      <c r="J88" s="208">
        <v>124597</v>
      </c>
      <c r="K88" s="208">
        <v>3459</v>
      </c>
      <c r="L88" s="208">
        <v>128056</v>
      </c>
      <c r="M88" s="208">
        <v>228623</v>
      </c>
      <c r="N88" s="208">
        <v>228623</v>
      </c>
      <c r="O88" s="208">
        <v>0</v>
      </c>
      <c r="P88" s="208">
        <v>232987</v>
      </c>
      <c r="Q88" s="208">
        <v>191146</v>
      </c>
      <c r="R88" s="208">
        <v>41841</v>
      </c>
      <c r="S88" s="208">
        <v>313813</v>
      </c>
      <c r="T88" s="208">
        <v>0</v>
      </c>
      <c r="U88" s="208">
        <v>265849</v>
      </c>
      <c r="V88" s="208">
        <v>0</v>
      </c>
      <c r="W88" s="208">
        <v>47964</v>
      </c>
      <c r="X88" s="208">
        <v>0</v>
      </c>
      <c r="Y88" s="208">
        <v>0</v>
      </c>
      <c r="Z88" s="208">
        <v>0</v>
      </c>
      <c r="AA88" s="208">
        <v>0</v>
      </c>
      <c r="AB88" s="208">
        <v>0</v>
      </c>
      <c r="AC88" s="208">
        <v>0</v>
      </c>
      <c r="AD88" s="208">
        <v>0</v>
      </c>
      <c r="AE88" s="208">
        <v>0</v>
      </c>
      <c r="AF88" s="208">
        <v>0</v>
      </c>
      <c r="AG88" s="208">
        <v>0</v>
      </c>
      <c r="AH88" s="208">
        <v>0</v>
      </c>
      <c r="AI88" s="208">
        <v>0</v>
      </c>
      <c r="AJ88" s="208">
        <v>0</v>
      </c>
      <c r="AK88" s="208">
        <v>0</v>
      </c>
      <c r="AL88" s="208">
        <v>0</v>
      </c>
      <c r="AM88" s="208">
        <v>0</v>
      </c>
      <c r="AN88" s="208">
        <v>0</v>
      </c>
      <c r="AO88" s="208">
        <v>0</v>
      </c>
      <c r="AP88" s="208">
        <v>0</v>
      </c>
      <c r="AQ88" s="208">
        <v>0</v>
      </c>
      <c r="AR88" s="208">
        <v>0</v>
      </c>
      <c r="AS88" s="208">
        <v>0</v>
      </c>
      <c r="AT88" s="208">
        <v>0</v>
      </c>
      <c r="AU88" s="208">
        <v>0</v>
      </c>
      <c r="AV88" s="208">
        <v>0</v>
      </c>
      <c r="AW88" s="208">
        <v>0</v>
      </c>
      <c r="AX88" s="208">
        <v>0</v>
      </c>
      <c r="AY88" s="208">
        <v>0</v>
      </c>
      <c r="AZ88" s="208">
        <v>0</v>
      </c>
      <c r="BA88" s="208">
        <v>0</v>
      </c>
      <c r="BB88" s="208">
        <v>0</v>
      </c>
      <c r="BC88" s="208">
        <v>0</v>
      </c>
      <c r="BD88" s="208">
        <v>0</v>
      </c>
      <c r="BE88" s="208">
        <v>0</v>
      </c>
      <c r="BF88" s="208">
        <v>0</v>
      </c>
      <c r="BG88" s="208">
        <v>0</v>
      </c>
      <c r="BH88" s="208">
        <v>0</v>
      </c>
      <c r="BI88" s="208">
        <v>0</v>
      </c>
      <c r="BJ88" s="208">
        <v>0</v>
      </c>
      <c r="BK88" s="208">
        <v>0</v>
      </c>
      <c r="BL88" s="208">
        <v>0</v>
      </c>
      <c r="BM88" s="208">
        <v>0</v>
      </c>
      <c r="BN88" s="208">
        <v>0</v>
      </c>
      <c r="BO88" s="208">
        <v>1989661.160414167</v>
      </c>
      <c r="BP88" s="208">
        <v>2879045.6762468331</v>
      </c>
      <c r="BQ88" s="208">
        <v>48797.384343166676</v>
      </c>
      <c r="BR88" s="208">
        <v>95508</v>
      </c>
      <c r="BS88" s="208">
        <v>137839</v>
      </c>
      <c r="BT88" s="208">
        <v>2336</v>
      </c>
      <c r="BU88" s="208">
        <v>1878346</v>
      </c>
      <c r="BV88" s="208">
        <v>2730772</v>
      </c>
      <c r="BW88" s="208">
        <v>46284</v>
      </c>
      <c r="BX88" s="208">
        <v>206823</v>
      </c>
      <c r="BY88" s="208">
        <v>286113</v>
      </c>
      <c r="BZ88" s="208">
        <v>4849</v>
      </c>
      <c r="CA88" s="208">
        <v>15912.0825</v>
      </c>
      <c r="CB88" s="208">
        <v>23470.321687500003</v>
      </c>
      <c r="CC88" s="208">
        <v>397.80206250000003</v>
      </c>
      <c r="CD88" s="208">
        <v>2545</v>
      </c>
      <c r="CE88" s="208">
        <v>3753</v>
      </c>
      <c r="CF88" s="208">
        <v>64</v>
      </c>
      <c r="CG88" s="208">
        <v>13367</v>
      </c>
      <c r="CH88" s="208">
        <v>19717</v>
      </c>
      <c r="CI88" s="208">
        <v>334</v>
      </c>
      <c r="CJ88" s="208">
        <v>0</v>
      </c>
      <c r="CK88" s="208">
        <v>0</v>
      </c>
      <c r="CL88" s="208">
        <v>0</v>
      </c>
      <c r="CM88" s="208">
        <v>0</v>
      </c>
      <c r="CN88" s="208">
        <v>0</v>
      </c>
      <c r="CO88" s="208">
        <v>0</v>
      </c>
      <c r="CP88" s="208">
        <v>-1022.9166666666666</v>
      </c>
      <c r="CQ88" s="208">
        <v>-1508.8020833333333</v>
      </c>
      <c r="CR88" s="208">
        <v>-25.572916666666664</v>
      </c>
      <c r="CS88" s="208">
        <v>0</v>
      </c>
      <c r="CT88" s="208">
        <v>0</v>
      </c>
      <c r="CU88" s="208">
        <v>0</v>
      </c>
      <c r="CV88" s="208">
        <v>0</v>
      </c>
      <c r="CW88" s="208">
        <v>0</v>
      </c>
      <c r="CX88" s="208">
        <v>0</v>
      </c>
      <c r="CY88" s="208">
        <v>0</v>
      </c>
      <c r="CZ88" s="208">
        <v>0</v>
      </c>
      <c r="DA88" s="208">
        <v>0</v>
      </c>
      <c r="DB88" s="208">
        <v>-2215.2283333333335</v>
      </c>
      <c r="DC88" s="208">
        <v>-3267.4617916666666</v>
      </c>
      <c r="DD88" s="208">
        <v>-55.380708333333331</v>
      </c>
      <c r="DE88" s="208">
        <v>18876.495000000003</v>
      </c>
      <c r="DF88" s="208">
        <v>27842.830125</v>
      </c>
      <c r="DG88" s="208">
        <v>471.91237500000005</v>
      </c>
      <c r="DH88" s="208">
        <v>19548</v>
      </c>
      <c r="DI88" s="208">
        <v>28833</v>
      </c>
      <c r="DJ88" s="208">
        <v>489</v>
      </c>
      <c r="DK88" s="208">
        <v>-672</v>
      </c>
      <c r="DL88" s="208">
        <v>-990</v>
      </c>
      <c r="DM88" s="208">
        <v>-17</v>
      </c>
      <c r="DN88" s="208">
        <v>613.75</v>
      </c>
      <c r="DO88" s="208">
        <v>905.28125</v>
      </c>
      <c r="DP88" s="208">
        <v>15.34375</v>
      </c>
      <c r="DQ88" s="208">
        <v>614</v>
      </c>
      <c r="DR88" s="208">
        <v>905</v>
      </c>
      <c r="DS88" s="208">
        <v>15</v>
      </c>
      <c r="DT88" s="208">
        <v>0</v>
      </c>
      <c r="DU88" s="208">
        <v>0</v>
      </c>
      <c r="DV88" s="208">
        <v>0</v>
      </c>
      <c r="DW88" s="208">
        <v>6946.4224999999997</v>
      </c>
      <c r="DX88" s="208">
        <v>10245.973187499998</v>
      </c>
      <c r="DY88" s="208">
        <v>173.66056249999997</v>
      </c>
      <c r="DZ88" s="208">
        <v>7813</v>
      </c>
      <c r="EA88" s="208">
        <v>11522</v>
      </c>
      <c r="EB88" s="208">
        <v>195</v>
      </c>
      <c r="EC88" s="208">
        <v>-867</v>
      </c>
      <c r="ED88" s="208">
        <v>-1276</v>
      </c>
      <c r="EE88" s="208">
        <v>-21</v>
      </c>
      <c r="EF88" s="208">
        <v>48825.449166666665</v>
      </c>
      <c r="EG88" s="208">
        <v>72017.537520833328</v>
      </c>
      <c r="EH88" s="208">
        <v>1220.6362291666667</v>
      </c>
      <c r="EI88" s="208">
        <v>-4551.1608333333334</v>
      </c>
      <c r="EJ88" s="208">
        <v>-6712.9622291666656</v>
      </c>
      <c r="EK88" s="208">
        <v>-113.77902083333333</v>
      </c>
      <c r="EL88" s="208">
        <v>51505</v>
      </c>
      <c r="EM88" s="208">
        <v>75969</v>
      </c>
      <c r="EN88" s="208">
        <v>1288</v>
      </c>
      <c r="EO88" s="208">
        <v>-7231</v>
      </c>
      <c r="EP88" s="208">
        <v>-10664</v>
      </c>
      <c r="EQ88" s="208">
        <v>-181</v>
      </c>
      <c r="ER88" s="208">
        <v>24995.173333333332</v>
      </c>
      <c r="ES88" s="208">
        <v>36867.880666666664</v>
      </c>
      <c r="ET88" s="208">
        <v>624.87933333333331</v>
      </c>
      <c r="EU88" s="208">
        <v>23482</v>
      </c>
      <c r="EV88" s="208">
        <v>34635</v>
      </c>
      <c r="EW88" s="208">
        <v>587</v>
      </c>
      <c r="EX88" s="208">
        <v>1513</v>
      </c>
      <c r="EY88" s="208">
        <v>2233</v>
      </c>
      <c r="EZ88" s="208">
        <v>38</v>
      </c>
      <c r="FA88" s="208">
        <v>0</v>
      </c>
      <c r="FB88" s="208">
        <v>0</v>
      </c>
      <c r="FC88" s="208">
        <v>0</v>
      </c>
      <c r="FD88" s="208">
        <v>0</v>
      </c>
      <c r="FE88" s="208">
        <v>0</v>
      </c>
      <c r="FF88" s="208">
        <v>0</v>
      </c>
      <c r="FG88" s="208">
        <v>0</v>
      </c>
      <c r="FH88" s="208">
        <v>0</v>
      </c>
      <c r="FI88" s="208">
        <v>0</v>
      </c>
      <c r="FJ88" s="208">
        <v>347216.20083333331</v>
      </c>
      <c r="FK88" s="208">
        <v>493660.91706249997</v>
      </c>
      <c r="FL88" s="208">
        <v>8367.1341874999998</v>
      </c>
      <c r="FM88" s="208">
        <v>325749</v>
      </c>
      <c r="FN88" s="208">
        <v>465033</v>
      </c>
      <c r="FO88" s="208">
        <v>7882</v>
      </c>
      <c r="FP88" s="208">
        <v>21467</v>
      </c>
      <c r="FQ88" s="208">
        <v>28628</v>
      </c>
      <c r="FR88" s="208">
        <v>485</v>
      </c>
      <c r="FS88" s="208">
        <v>184445.17291666666</v>
      </c>
      <c r="FT88" s="208">
        <v>0</v>
      </c>
      <c r="FU88" s="208">
        <v>0</v>
      </c>
      <c r="FV88" s="208">
        <v>44134</v>
      </c>
      <c r="FW88" s="208">
        <v>0</v>
      </c>
      <c r="FX88" s="208">
        <v>0</v>
      </c>
      <c r="FY88" s="208">
        <v>140311</v>
      </c>
      <c r="FZ88" s="208">
        <v>0</v>
      </c>
      <c r="GA88" s="208">
        <v>0</v>
      </c>
      <c r="GB88" s="208">
        <v>2725209</v>
      </c>
      <c r="GC88" s="208">
        <v>3670407</v>
      </c>
      <c r="GD88" s="208">
        <v>62210</v>
      </c>
      <c r="GE88" s="664">
        <v>0</v>
      </c>
      <c r="GF88" s="664">
        <v>0.4</v>
      </c>
      <c r="GG88" s="664">
        <v>0.59</v>
      </c>
      <c r="GH88" s="664">
        <v>0.01</v>
      </c>
      <c r="GI88" s="187" t="s">
        <v>1054</v>
      </c>
    </row>
    <row r="89" spans="1:191" s="187" customFormat="1" x14ac:dyDescent="0.2">
      <c r="B89" s="429" t="s">
        <v>257</v>
      </c>
      <c r="C89" s="429" t="s">
        <v>256</v>
      </c>
      <c r="D89" s="208">
        <v>365759</v>
      </c>
      <c r="E89" s="208">
        <v>0</v>
      </c>
      <c r="F89" s="208">
        <v>365759</v>
      </c>
      <c r="G89" s="208">
        <v>278830</v>
      </c>
      <c r="H89" s="208">
        <v>0</v>
      </c>
      <c r="I89" s="208">
        <v>278830</v>
      </c>
      <c r="J89" s="208">
        <v>86929</v>
      </c>
      <c r="K89" s="208">
        <v>0</v>
      </c>
      <c r="L89" s="208">
        <v>86929</v>
      </c>
      <c r="M89" s="208">
        <v>107467</v>
      </c>
      <c r="N89" s="208">
        <v>107467</v>
      </c>
      <c r="O89" s="208">
        <v>0</v>
      </c>
      <c r="P89" s="208">
        <v>0</v>
      </c>
      <c r="Q89" s="208">
        <v>0</v>
      </c>
      <c r="R89" s="208">
        <v>0</v>
      </c>
      <c r="S89" s="208">
        <v>210243</v>
      </c>
      <c r="T89" s="208">
        <v>0</v>
      </c>
      <c r="U89" s="208">
        <v>228881</v>
      </c>
      <c r="V89" s="208">
        <v>0</v>
      </c>
      <c r="W89" s="208">
        <v>-18638</v>
      </c>
      <c r="X89" s="208">
        <v>0</v>
      </c>
      <c r="Y89" s="208">
        <v>0</v>
      </c>
      <c r="Z89" s="208">
        <v>0</v>
      </c>
      <c r="AA89" s="208">
        <v>0</v>
      </c>
      <c r="AB89" s="208">
        <v>0</v>
      </c>
      <c r="AC89" s="208">
        <v>0</v>
      </c>
      <c r="AD89" s="208">
        <v>0</v>
      </c>
      <c r="AE89" s="208">
        <v>0</v>
      </c>
      <c r="AF89" s="208">
        <v>0</v>
      </c>
      <c r="AG89" s="208">
        <v>0</v>
      </c>
      <c r="AH89" s="208">
        <v>0</v>
      </c>
      <c r="AI89" s="208">
        <v>0</v>
      </c>
      <c r="AJ89" s="208">
        <v>0</v>
      </c>
      <c r="AK89" s="208">
        <v>0</v>
      </c>
      <c r="AL89" s="208">
        <v>0</v>
      </c>
      <c r="AM89" s="208">
        <v>0</v>
      </c>
      <c r="AN89" s="208">
        <v>0</v>
      </c>
      <c r="AO89" s="208">
        <v>0</v>
      </c>
      <c r="AP89" s="208">
        <v>0</v>
      </c>
      <c r="AQ89" s="208">
        <v>0</v>
      </c>
      <c r="AR89" s="208">
        <v>0</v>
      </c>
      <c r="AS89" s="208">
        <v>0</v>
      </c>
      <c r="AT89" s="208">
        <v>0</v>
      </c>
      <c r="AU89" s="208">
        <v>0</v>
      </c>
      <c r="AV89" s="208">
        <v>0</v>
      </c>
      <c r="AW89" s="208">
        <v>0</v>
      </c>
      <c r="AX89" s="208">
        <v>0</v>
      </c>
      <c r="AY89" s="208">
        <v>0</v>
      </c>
      <c r="AZ89" s="208">
        <v>0</v>
      </c>
      <c r="BA89" s="208">
        <v>0</v>
      </c>
      <c r="BB89" s="208">
        <v>0</v>
      </c>
      <c r="BC89" s="208">
        <v>0</v>
      </c>
      <c r="BD89" s="208">
        <v>0</v>
      </c>
      <c r="BE89" s="208">
        <v>0</v>
      </c>
      <c r="BF89" s="208">
        <v>0</v>
      </c>
      <c r="BG89" s="208">
        <v>0</v>
      </c>
      <c r="BH89" s="208">
        <v>0</v>
      </c>
      <c r="BI89" s="208">
        <v>0</v>
      </c>
      <c r="BJ89" s="208">
        <v>0</v>
      </c>
      <c r="BK89" s="208">
        <v>0</v>
      </c>
      <c r="BL89" s="208">
        <v>0</v>
      </c>
      <c r="BM89" s="208">
        <v>0</v>
      </c>
      <c r="BN89" s="208">
        <v>0</v>
      </c>
      <c r="BO89" s="208">
        <v>1025601.5135866668</v>
      </c>
      <c r="BP89" s="208">
        <v>230760.34055699999</v>
      </c>
      <c r="BQ89" s="208">
        <v>25640.037839666667</v>
      </c>
      <c r="BR89" s="208">
        <v>64863</v>
      </c>
      <c r="BS89" s="208">
        <v>14594</v>
      </c>
      <c r="BT89" s="208">
        <v>1622</v>
      </c>
      <c r="BU89" s="208">
        <v>995827</v>
      </c>
      <c r="BV89" s="208">
        <v>224061</v>
      </c>
      <c r="BW89" s="208">
        <v>24896</v>
      </c>
      <c r="BX89" s="208">
        <v>94638</v>
      </c>
      <c r="BY89" s="208">
        <v>21293</v>
      </c>
      <c r="BZ89" s="208">
        <v>2366</v>
      </c>
      <c r="CA89" s="208">
        <v>2116.6191666666668</v>
      </c>
      <c r="CB89" s="208">
        <v>476.23931249999998</v>
      </c>
      <c r="CC89" s="208">
        <v>52.915479166666664</v>
      </c>
      <c r="CD89" s="208">
        <v>927</v>
      </c>
      <c r="CE89" s="208">
        <v>209</v>
      </c>
      <c r="CF89" s="208">
        <v>23</v>
      </c>
      <c r="CG89" s="208">
        <v>1190</v>
      </c>
      <c r="CH89" s="208">
        <v>267</v>
      </c>
      <c r="CI89" s="208">
        <v>30</v>
      </c>
      <c r="CJ89" s="208">
        <v>0</v>
      </c>
      <c r="CK89" s="208">
        <v>0</v>
      </c>
      <c r="CL89" s="208">
        <v>0</v>
      </c>
      <c r="CM89" s="208">
        <v>0</v>
      </c>
      <c r="CN89" s="208">
        <v>0</v>
      </c>
      <c r="CO89" s="208">
        <v>0</v>
      </c>
      <c r="CP89" s="208">
        <v>0</v>
      </c>
      <c r="CQ89" s="208">
        <v>0</v>
      </c>
      <c r="CR89" s="208">
        <v>0</v>
      </c>
      <c r="CS89" s="208">
        <v>0</v>
      </c>
      <c r="CT89" s="208">
        <v>0</v>
      </c>
      <c r="CU89" s="208">
        <v>0</v>
      </c>
      <c r="CV89" s="208">
        <v>0</v>
      </c>
      <c r="CW89" s="208">
        <v>0</v>
      </c>
      <c r="CX89" s="208">
        <v>0</v>
      </c>
      <c r="CY89" s="208">
        <v>0</v>
      </c>
      <c r="CZ89" s="208">
        <v>0</v>
      </c>
      <c r="DA89" s="208">
        <v>0</v>
      </c>
      <c r="DB89" s="208">
        <v>0</v>
      </c>
      <c r="DC89" s="208">
        <v>0</v>
      </c>
      <c r="DD89" s="208">
        <v>0</v>
      </c>
      <c r="DE89" s="208">
        <v>4187.0025000000005</v>
      </c>
      <c r="DF89" s="208">
        <v>942.07556250000005</v>
      </c>
      <c r="DG89" s="208">
        <v>104.67506250000001</v>
      </c>
      <c r="DH89" s="208">
        <v>4187</v>
      </c>
      <c r="DI89" s="208">
        <v>942</v>
      </c>
      <c r="DJ89" s="208">
        <v>105</v>
      </c>
      <c r="DK89" s="208">
        <v>0</v>
      </c>
      <c r="DL89" s="208">
        <v>0</v>
      </c>
      <c r="DM89" s="208">
        <v>0</v>
      </c>
      <c r="DN89" s="208">
        <v>0</v>
      </c>
      <c r="DO89" s="208">
        <v>0</v>
      </c>
      <c r="DP89" s="208">
        <v>0</v>
      </c>
      <c r="DQ89" s="208">
        <v>0</v>
      </c>
      <c r="DR89" s="208">
        <v>0</v>
      </c>
      <c r="DS89" s="208">
        <v>0</v>
      </c>
      <c r="DT89" s="208">
        <v>0</v>
      </c>
      <c r="DU89" s="208">
        <v>0</v>
      </c>
      <c r="DV89" s="208">
        <v>0</v>
      </c>
      <c r="DW89" s="208">
        <v>8683.7441666666655</v>
      </c>
      <c r="DX89" s="208">
        <v>1953.8424374999997</v>
      </c>
      <c r="DY89" s="208">
        <v>217.09360416666667</v>
      </c>
      <c r="DZ89" s="208">
        <v>9391</v>
      </c>
      <c r="EA89" s="208">
        <v>2113</v>
      </c>
      <c r="EB89" s="208">
        <v>235</v>
      </c>
      <c r="EC89" s="208">
        <v>-707</v>
      </c>
      <c r="ED89" s="208">
        <v>-159</v>
      </c>
      <c r="EE89" s="208">
        <v>-18</v>
      </c>
      <c r="EF89" s="208">
        <v>40348.334166666667</v>
      </c>
      <c r="EG89" s="208">
        <v>9078.3751874999998</v>
      </c>
      <c r="EH89" s="208">
        <v>1008.7083541666667</v>
      </c>
      <c r="EI89" s="208">
        <v>-504.5025</v>
      </c>
      <c r="EJ89" s="208">
        <v>-113.51306249999999</v>
      </c>
      <c r="EK89" s="208">
        <v>-12.612562499999999</v>
      </c>
      <c r="EL89" s="208">
        <v>44570</v>
      </c>
      <c r="EM89" s="208">
        <v>10028</v>
      </c>
      <c r="EN89" s="208">
        <v>1114</v>
      </c>
      <c r="EO89" s="208">
        <v>-4726</v>
      </c>
      <c r="EP89" s="208">
        <v>-1063</v>
      </c>
      <c r="EQ89" s="208">
        <v>-118</v>
      </c>
      <c r="ER89" s="208">
        <v>14218.950833333334</v>
      </c>
      <c r="ES89" s="208">
        <v>3199.2639374999994</v>
      </c>
      <c r="ET89" s="208">
        <v>355.47377083333328</v>
      </c>
      <c r="EU89" s="208">
        <v>16366</v>
      </c>
      <c r="EV89" s="208">
        <v>3683</v>
      </c>
      <c r="EW89" s="208">
        <v>409</v>
      </c>
      <c r="EX89" s="208">
        <v>-2147</v>
      </c>
      <c r="EY89" s="208">
        <v>-484</v>
      </c>
      <c r="EZ89" s="208">
        <v>-54</v>
      </c>
      <c r="FA89" s="208">
        <v>0</v>
      </c>
      <c r="FB89" s="208">
        <v>0</v>
      </c>
      <c r="FC89" s="208">
        <v>0</v>
      </c>
      <c r="FD89" s="208">
        <v>0</v>
      </c>
      <c r="FE89" s="208">
        <v>0</v>
      </c>
      <c r="FF89" s="208">
        <v>0</v>
      </c>
      <c r="FG89" s="208">
        <v>0</v>
      </c>
      <c r="FH89" s="208">
        <v>0</v>
      </c>
      <c r="FI89" s="208">
        <v>0</v>
      </c>
      <c r="FJ89" s="208">
        <v>206272.26124999998</v>
      </c>
      <c r="FK89" s="208">
        <v>45327.193312499992</v>
      </c>
      <c r="FL89" s="208">
        <v>5036.3548124999998</v>
      </c>
      <c r="FM89" s="208">
        <v>216570</v>
      </c>
      <c r="FN89" s="208">
        <v>47548</v>
      </c>
      <c r="FO89" s="208">
        <v>5283</v>
      </c>
      <c r="FP89" s="208">
        <v>-10298</v>
      </c>
      <c r="FQ89" s="208">
        <v>-2221</v>
      </c>
      <c r="FR89" s="208">
        <v>-247</v>
      </c>
      <c r="FS89" s="208">
        <v>0</v>
      </c>
      <c r="FT89" s="208">
        <v>0</v>
      </c>
      <c r="FU89" s="208">
        <v>0</v>
      </c>
      <c r="FV89" s="208">
        <v>0</v>
      </c>
      <c r="FW89" s="208">
        <v>0</v>
      </c>
      <c r="FX89" s="208">
        <v>0</v>
      </c>
      <c r="FY89" s="208">
        <v>0</v>
      </c>
      <c r="FZ89" s="208">
        <v>0</v>
      </c>
      <c r="GA89" s="208">
        <v>0</v>
      </c>
      <c r="GB89" s="208">
        <v>1365787</v>
      </c>
      <c r="GC89" s="208">
        <v>306216</v>
      </c>
      <c r="GD89" s="208">
        <v>34024</v>
      </c>
      <c r="GE89" s="664">
        <v>0.5</v>
      </c>
      <c r="GF89" s="664">
        <v>0.4</v>
      </c>
      <c r="GG89" s="664">
        <v>0.09</v>
      </c>
      <c r="GH89" s="664">
        <v>0.01</v>
      </c>
      <c r="GI89" s="187" t="s">
        <v>1054</v>
      </c>
    </row>
    <row r="90" spans="1:191" s="187" customFormat="1" x14ac:dyDescent="0.2">
      <c r="B90" s="429" t="s">
        <v>259</v>
      </c>
      <c r="C90" s="429" t="s">
        <v>258</v>
      </c>
      <c r="D90" s="208">
        <v>957487</v>
      </c>
      <c r="E90" s="208">
        <v>0</v>
      </c>
      <c r="F90" s="208">
        <v>957487</v>
      </c>
      <c r="G90" s="208">
        <v>968166.83999999985</v>
      </c>
      <c r="H90" s="208">
        <v>0</v>
      </c>
      <c r="I90" s="208">
        <v>968166.83999999985</v>
      </c>
      <c r="J90" s="208">
        <v>-10679.839999999851</v>
      </c>
      <c r="K90" s="208">
        <v>0</v>
      </c>
      <c r="L90" s="208">
        <v>-10679.839999999851</v>
      </c>
      <c r="M90" s="208">
        <v>154906</v>
      </c>
      <c r="N90" s="208">
        <v>154906</v>
      </c>
      <c r="O90" s="208">
        <v>0</v>
      </c>
      <c r="P90" s="208">
        <v>37657</v>
      </c>
      <c r="Q90" s="208">
        <v>7199</v>
      </c>
      <c r="R90" s="208">
        <v>30458</v>
      </c>
      <c r="S90" s="208">
        <v>0</v>
      </c>
      <c r="T90" s="208">
        <v>0</v>
      </c>
      <c r="U90" s="208">
        <v>0</v>
      </c>
      <c r="V90" s="208">
        <v>0</v>
      </c>
      <c r="W90" s="208">
        <v>0</v>
      </c>
      <c r="X90" s="208">
        <v>0</v>
      </c>
      <c r="Y90" s="208">
        <v>0</v>
      </c>
      <c r="Z90" s="208">
        <v>0</v>
      </c>
      <c r="AA90" s="208">
        <v>0</v>
      </c>
      <c r="AB90" s="208">
        <v>0</v>
      </c>
      <c r="AC90" s="208">
        <v>0</v>
      </c>
      <c r="AD90" s="208">
        <v>0</v>
      </c>
      <c r="AE90" s="208">
        <v>0</v>
      </c>
      <c r="AF90" s="208">
        <v>0</v>
      </c>
      <c r="AG90" s="208">
        <v>0</v>
      </c>
      <c r="AH90" s="208">
        <v>16126</v>
      </c>
      <c r="AI90" s="208">
        <v>16126.28125</v>
      </c>
      <c r="AJ90" s="208">
        <v>0</v>
      </c>
      <c r="AK90" s="208">
        <v>0</v>
      </c>
      <c r="AL90" s="208">
        <v>47253</v>
      </c>
      <c r="AM90" s="208">
        <v>47253</v>
      </c>
      <c r="AN90" s="208">
        <v>0</v>
      </c>
      <c r="AO90" s="208">
        <v>0</v>
      </c>
      <c r="AP90" s="208">
        <v>-31127</v>
      </c>
      <c r="AQ90" s="208">
        <v>-31127</v>
      </c>
      <c r="AR90" s="208">
        <v>0</v>
      </c>
      <c r="AS90" s="208">
        <v>0</v>
      </c>
      <c r="AT90" s="208">
        <v>0</v>
      </c>
      <c r="AU90" s="208">
        <v>0</v>
      </c>
      <c r="AV90" s="208">
        <v>0</v>
      </c>
      <c r="AW90" s="208">
        <v>0</v>
      </c>
      <c r="AX90" s="208">
        <v>0</v>
      </c>
      <c r="AY90" s="208">
        <v>0</v>
      </c>
      <c r="AZ90" s="208">
        <v>0</v>
      </c>
      <c r="BA90" s="208">
        <v>0</v>
      </c>
      <c r="BB90" s="208">
        <v>0</v>
      </c>
      <c r="BC90" s="208">
        <v>0</v>
      </c>
      <c r="BD90" s="208">
        <v>0</v>
      </c>
      <c r="BE90" s="208">
        <v>0</v>
      </c>
      <c r="BF90" s="208">
        <v>0</v>
      </c>
      <c r="BG90" s="208">
        <v>0</v>
      </c>
      <c r="BH90" s="208">
        <v>0</v>
      </c>
      <c r="BI90" s="208">
        <v>0</v>
      </c>
      <c r="BJ90" s="208">
        <v>0</v>
      </c>
      <c r="BK90" s="208">
        <v>0</v>
      </c>
      <c r="BL90" s="208">
        <v>0</v>
      </c>
      <c r="BM90" s="208">
        <v>0</v>
      </c>
      <c r="BN90" s="208">
        <v>0</v>
      </c>
      <c r="BO90" s="208">
        <v>1221467.3379108333</v>
      </c>
      <c r="BP90" s="208">
        <v>273984.65547431249</v>
      </c>
      <c r="BQ90" s="208">
        <v>30442.739497145834</v>
      </c>
      <c r="BR90" s="208">
        <v>104277</v>
      </c>
      <c r="BS90" s="208">
        <v>23462</v>
      </c>
      <c r="BT90" s="208">
        <v>2607</v>
      </c>
      <c r="BU90" s="208">
        <v>1177748</v>
      </c>
      <c r="BV90" s="208">
        <v>264993</v>
      </c>
      <c r="BW90" s="208">
        <v>29444</v>
      </c>
      <c r="BX90" s="208">
        <v>147996</v>
      </c>
      <c r="BY90" s="208">
        <v>32454</v>
      </c>
      <c r="BZ90" s="208">
        <v>3606</v>
      </c>
      <c r="CA90" s="208">
        <v>2718.0941666666668</v>
      </c>
      <c r="CB90" s="208">
        <v>611.57118749999995</v>
      </c>
      <c r="CC90" s="208">
        <v>67.952354166666666</v>
      </c>
      <c r="CD90" s="208">
        <v>604</v>
      </c>
      <c r="CE90" s="208">
        <v>136</v>
      </c>
      <c r="CF90" s="208">
        <v>15</v>
      </c>
      <c r="CG90" s="208">
        <v>2114</v>
      </c>
      <c r="CH90" s="208">
        <v>476</v>
      </c>
      <c r="CI90" s="208">
        <v>53</v>
      </c>
      <c r="CJ90" s="208">
        <v>0</v>
      </c>
      <c r="CK90" s="208">
        <v>0</v>
      </c>
      <c r="CL90" s="208">
        <v>0</v>
      </c>
      <c r="CM90" s="208">
        <v>0</v>
      </c>
      <c r="CN90" s="208">
        <v>0</v>
      </c>
      <c r="CO90" s="208">
        <v>0</v>
      </c>
      <c r="CP90" s="208">
        <v>-1123.9808333333333</v>
      </c>
      <c r="CQ90" s="208">
        <v>-252.89568749999998</v>
      </c>
      <c r="CR90" s="208">
        <v>-28.099520833333333</v>
      </c>
      <c r="CS90" s="208">
        <v>0</v>
      </c>
      <c r="CT90" s="208">
        <v>0</v>
      </c>
      <c r="CU90" s="208">
        <v>0</v>
      </c>
      <c r="CV90" s="208">
        <v>0</v>
      </c>
      <c r="CW90" s="208">
        <v>0</v>
      </c>
      <c r="CX90" s="208">
        <v>0</v>
      </c>
      <c r="CY90" s="208">
        <v>0</v>
      </c>
      <c r="CZ90" s="208">
        <v>0</v>
      </c>
      <c r="DA90" s="208">
        <v>0</v>
      </c>
      <c r="DB90" s="208">
        <v>0</v>
      </c>
      <c r="DC90" s="208">
        <v>0</v>
      </c>
      <c r="DD90" s="208">
        <v>0</v>
      </c>
      <c r="DE90" s="208">
        <v>6784.8016666666663</v>
      </c>
      <c r="DF90" s="208">
        <v>1526.5803749999998</v>
      </c>
      <c r="DG90" s="208">
        <v>169.62004166666665</v>
      </c>
      <c r="DH90" s="208">
        <v>7960</v>
      </c>
      <c r="DI90" s="208">
        <v>1791</v>
      </c>
      <c r="DJ90" s="208">
        <v>199</v>
      </c>
      <c r="DK90" s="208">
        <v>-1175</v>
      </c>
      <c r="DL90" s="208">
        <v>-264</v>
      </c>
      <c r="DM90" s="208">
        <v>-29</v>
      </c>
      <c r="DN90" s="208">
        <v>3068.75</v>
      </c>
      <c r="DO90" s="208">
        <v>690.46875</v>
      </c>
      <c r="DP90" s="208">
        <v>76.71875</v>
      </c>
      <c r="DQ90" s="208">
        <v>614</v>
      </c>
      <c r="DR90" s="208">
        <v>138</v>
      </c>
      <c r="DS90" s="208">
        <v>15</v>
      </c>
      <c r="DT90" s="208">
        <v>2455</v>
      </c>
      <c r="DU90" s="208">
        <v>552</v>
      </c>
      <c r="DV90" s="208">
        <v>62</v>
      </c>
      <c r="DW90" s="208">
        <v>17317.979166666668</v>
      </c>
      <c r="DX90" s="208">
        <v>3896.5453124999999</v>
      </c>
      <c r="DY90" s="208">
        <v>432.94947916666666</v>
      </c>
      <c r="DZ90" s="208">
        <v>18531</v>
      </c>
      <c r="EA90" s="208">
        <v>4169</v>
      </c>
      <c r="EB90" s="208">
        <v>463</v>
      </c>
      <c r="EC90" s="208">
        <v>-1213</v>
      </c>
      <c r="ED90" s="208">
        <v>-272</v>
      </c>
      <c r="EE90" s="208">
        <v>-30</v>
      </c>
      <c r="EF90" s="208">
        <v>82715.905833333338</v>
      </c>
      <c r="EG90" s="208">
        <v>18611.0788125</v>
      </c>
      <c r="EH90" s="208">
        <v>2067.8976458333336</v>
      </c>
      <c r="EI90" s="208">
        <v>-2148.5341666666668</v>
      </c>
      <c r="EJ90" s="208">
        <v>-483.4201875</v>
      </c>
      <c r="EK90" s="208">
        <v>-53.713354166666669</v>
      </c>
      <c r="EL90" s="208">
        <v>83849</v>
      </c>
      <c r="EM90" s="208">
        <v>18866</v>
      </c>
      <c r="EN90" s="208">
        <v>2096</v>
      </c>
      <c r="EO90" s="208">
        <v>-3282</v>
      </c>
      <c r="EP90" s="208">
        <v>-738</v>
      </c>
      <c r="EQ90" s="208">
        <v>-82</v>
      </c>
      <c r="ER90" s="208">
        <v>20480.428333333337</v>
      </c>
      <c r="ES90" s="208">
        <v>4608.0963750000001</v>
      </c>
      <c r="ET90" s="208">
        <v>512.01070833333335</v>
      </c>
      <c r="EU90" s="208">
        <v>22913</v>
      </c>
      <c r="EV90" s="208">
        <v>5156</v>
      </c>
      <c r="EW90" s="208">
        <v>573</v>
      </c>
      <c r="EX90" s="208">
        <v>-2433</v>
      </c>
      <c r="EY90" s="208">
        <v>-548</v>
      </c>
      <c r="EZ90" s="208">
        <v>-61</v>
      </c>
      <c r="FA90" s="208">
        <v>0</v>
      </c>
      <c r="FB90" s="208">
        <v>0</v>
      </c>
      <c r="FC90" s="208">
        <v>0</v>
      </c>
      <c r="FD90" s="208">
        <v>0</v>
      </c>
      <c r="FE90" s="208">
        <v>0</v>
      </c>
      <c r="FF90" s="208">
        <v>0</v>
      </c>
      <c r="FG90" s="208">
        <v>0</v>
      </c>
      <c r="FH90" s="208">
        <v>0</v>
      </c>
      <c r="FI90" s="208">
        <v>0</v>
      </c>
      <c r="FJ90" s="208">
        <v>281973.63791666669</v>
      </c>
      <c r="FK90" s="208">
        <v>63249.899624999998</v>
      </c>
      <c r="FL90" s="208">
        <v>7027.7666249999993</v>
      </c>
      <c r="FM90" s="208">
        <v>310002</v>
      </c>
      <c r="FN90" s="208">
        <v>69470</v>
      </c>
      <c r="FO90" s="208">
        <v>7719</v>
      </c>
      <c r="FP90" s="208">
        <v>-28028</v>
      </c>
      <c r="FQ90" s="208">
        <v>-6220</v>
      </c>
      <c r="FR90" s="208">
        <v>-691</v>
      </c>
      <c r="FS90" s="208">
        <v>0</v>
      </c>
      <c r="FT90" s="208">
        <v>0</v>
      </c>
      <c r="FU90" s="208">
        <v>0</v>
      </c>
      <c r="FV90" s="208">
        <v>0</v>
      </c>
      <c r="FW90" s="208">
        <v>0</v>
      </c>
      <c r="FX90" s="208">
        <v>0</v>
      </c>
      <c r="FY90" s="208">
        <v>0</v>
      </c>
      <c r="FZ90" s="208">
        <v>0</v>
      </c>
      <c r="GA90" s="208">
        <v>0</v>
      </c>
      <c r="GB90" s="208">
        <v>1737531</v>
      </c>
      <c r="GC90" s="208">
        <v>389906</v>
      </c>
      <c r="GD90" s="208">
        <v>43324</v>
      </c>
      <c r="GE90" s="664">
        <v>0.5</v>
      </c>
      <c r="GF90" s="664">
        <v>0.4</v>
      </c>
      <c r="GG90" s="664">
        <v>0.09</v>
      </c>
      <c r="GH90" s="664">
        <v>0.01</v>
      </c>
      <c r="GI90" s="187" t="s">
        <v>1054</v>
      </c>
    </row>
    <row r="91" spans="1:191" s="187" customFormat="1" x14ac:dyDescent="0.2">
      <c r="B91" s="429" t="s">
        <v>261</v>
      </c>
      <c r="C91" s="429" t="s">
        <v>260</v>
      </c>
      <c r="D91" s="208">
        <v>607288</v>
      </c>
      <c r="E91" s="208">
        <v>0</v>
      </c>
      <c r="F91" s="208">
        <v>607288</v>
      </c>
      <c r="G91" s="208">
        <v>400732</v>
      </c>
      <c r="H91" s="208">
        <v>0</v>
      </c>
      <c r="I91" s="208">
        <v>400732</v>
      </c>
      <c r="J91" s="208">
        <v>206556</v>
      </c>
      <c r="K91" s="208">
        <v>0</v>
      </c>
      <c r="L91" s="208">
        <v>206556</v>
      </c>
      <c r="M91" s="208">
        <v>197610</v>
      </c>
      <c r="N91" s="208">
        <v>197610</v>
      </c>
      <c r="O91" s="208">
        <v>0</v>
      </c>
      <c r="P91" s="208">
        <v>0</v>
      </c>
      <c r="Q91" s="208">
        <v>0</v>
      </c>
      <c r="R91" s="208">
        <v>0</v>
      </c>
      <c r="S91" s="208">
        <v>0</v>
      </c>
      <c r="T91" s="208">
        <v>0</v>
      </c>
      <c r="U91" s="208">
        <v>0</v>
      </c>
      <c r="V91" s="208">
        <v>0</v>
      </c>
      <c r="W91" s="208">
        <v>0</v>
      </c>
      <c r="X91" s="208">
        <v>0</v>
      </c>
      <c r="Y91" s="208">
        <v>0</v>
      </c>
      <c r="Z91" s="208">
        <v>0</v>
      </c>
      <c r="AA91" s="208">
        <v>0</v>
      </c>
      <c r="AB91" s="208">
        <v>0</v>
      </c>
      <c r="AC91" s="208">
        <v>0</v>
      </c>
      <c r="AD91" s="208">
        <v>0</v>
      </c>
      <c r="AE91" s="208">
        <v>0</v>
      </c>
      <c r="AF91" s="208">
        <v>0</v>
      </c>
      <c r="AG91" s="208">
        <v>0</v>
      </c>
      <c r="AH91" s="208">
        <v>0</v>
      </c>
      <c r="AI91" s="208">
        <v>0</v>
      </c>
      <c r="AJ91" s="208">
        <v>0</v>
      </c>
      <c r="AK91" s="208">
        <v>0</v>
      </c>
      <c r="AL91" s="208">
        <v>0</v>
      </c>
      <c r="AM91" s="208">
        <v>0</v>
      </c>
      <c r="AN91" s="208">
        <v>0</v>
      </c>
      <c r="AO91" s="208">
        <v>0</v>
      </c>
      <c r="AP91" s="208">
        <v>0</v>
      </c>
      <c r="AQ91" s="208">
        <v>0</v>
      </c>
      <c r="AR91" s="208">
        <v>0</v>
      </c>
      <c r="AS91" s="208">
        <v>0</v>
      </c>
      <c r="AT91" s="208">
        <v>0</v>
      </c>
      <c r="AU91" s="208">
        <v>0</v>
      </c>
      <c r="AV91" s="208">
        <v>0</v>
      </c>
      <c r="AW91" s="208">
        <v>0</v>
      </c>
      <c r="AX91" s="208">
        <v>0</v>
      </c>
      <c r="AY91" s="208">
        <v>0</v>
      </c>
      <c r="AZ91" s="208">
        <v>0</v>
      </c>
      <c r="BA91" s="208">
        <v>0</v>
      </c>
      <c r="BB91" s="208">
        <v>0</v>
      </c>
      <c r="BC91" s="208">
        <v>0</v>
      </c>
      <c r="BD91" s="208">
        <v>0</v>
      </c>
      <c r="BE91" s="208">
        <v>0</v>
      </c>
      <c r="BF91" s="208">
        <v>0</v>
      </c>
      <c r="BG91" s="208">
        <v>0</v>
      </c>
      <c r="BH91" s="208">
        <v>0</v>
      </c>
      <c r="BI91" s="208">
        <v>0</v>
      </c>
      <c r="BJ91" s="208">
        <v>0</v>
      </c>
      <c r="BK91" s="208">
        <v>0</v>
      </c>
      <c r="BL91" s="208">
        <v>0</v>
      </c>
      <c r="BM91" s="208">
        <v>0</v>
      </c>
      <c r="BN91" s="208">
        <v>0</v>
      </c>
      <c r="BO91" s="208">
        <v>1592104.6016457665</v>
      </c>
      <c r="BP91" s="208">
        <v>398026.15041144163</v>
      </c>
      <c r="BQ91" s="208">
        <v>0</v>
      </c>
      <c r="BR91" s="208">
        <v>125159</v>
      </c>
      <c r="BS91" s="208">
        <v>31290</v>
      </c>
      <c r="BT91" s="208">
        <v>0</v>
      </c>
      <c r="BU91" s="208">
        <v>1449690</v>
      </c>
      <c r="BV91" s="208">
        <v>362422</v>
      </c>
      <c r="BW91" s="208">
        <v>0</v>
      </c>
      <c r="BX91" s="208">
        <v>267574</v>
      </c>
      <c r="BY91" s="208">
        <v>66894</v>
      </c>
      <c r="BZ91" s="208">
        <v>0</v>
      </c>
      <c r="CA91" s="208">
        <v>0</v>
      </c>
      <c r="CB91" s="208">
        <v>0</v>
      </c>
      <c r="CC91" s="208">
        <v>0</v>
      </c>
      <c r="CD91" s="208">
        <v>0</v>
      </c>
      <c r="CE91" s="208">
        <v>0</v>
      </c>
      <c r="CF91" s="208">
        <v>0</v>
      </c>
      <c r="CG91" s="208">
        <v>0</v>
      </c>
      <c r="CH91" s="208">
        <v>0</v>
      </c>
      <c r="CI91" s="208">
        <v>0</v>
      </c>
      <c r="CJ91" s="208">
        <v>0</v>
      </c>
      <c r="CK91" s="208">
        <v>0</v>
      </c>
      <c r="CL91" s="208">
        <v>0</v>
      </c>
      <c r="CM91" s="208">
        <v>0</v>
      </c>
      <c r="CN91" s="208">
        <v>0</v>
      </c>
      <c r="CO91" s="208">
        <v>0</v>
      </c>
      <c r="CP91" s="208">
        <v>0</v>
      </c>
      <c r="CQ91" s="208">
        <v>0</v>
      </c>
      <c r="CR91" s="208">
        <v>0</v>
      </c>
      <c r="CS91" s="208">
        <v>0</v>
      </c>
      <c r="CT91" s="208">
        <v>0</v>
      </c>
      <c r="CU91" s="208">
        <v>0</v>
      </c>
      <c r="CV91" s="208">
        <v>0</v>
      </c>
      <c r="CW91" s="208">
        <v>0</v>
      </c>
      <c r="CX91" s="208">
        <v>0</v>
      </c>
      <c r="CY91" s="208">
        <v>0</v>
      </c>
      <c r="CZ91" s="208">
        <v>0</v>
      </c>
      <c r="DA91" s="208">
        <v>0</v>
      </c>
      <c r="DB91" s="208">
        <v>0</v>
      </c>
      <c r="DC91" s="208">
        <v>0</v>
      </c>
      <c r="DD91" s="208">
        <v>0</v>
      </c>
      <c r="DE91" s="208">
        <v>17027.524025000002</v>
      </c>
      <c r="DF91" s="208">
        <v>4256.8810062500006</v>
      </c>
      <c r="DG91" s="208">
        <v>0</v>
      </c>
      <c r="DH91" s="208">
        <v>16098</v>
      </c>
      <c r="DI91" s="208">
        <v>4024</v>
      </c>
      <c r="DJ91" s="208">
        <v>0</v>
      </c>
      <c r="DK91" s="208">
        <v>930</v>
      </c>
      <c r="DL91" s="208">
        <v>233</v>
      </c>
      <c r="DM91" s="208">
        <v>0</v>
      </c>
      <c r="DN91" s="208">
        <v>1047.8758333333335</v>
      </c>
      <c r="DO91" s="208">
        <v>261.96895833333338</v>
      </c>
      <c r="DP91" s="208">
        <v>0</v>
      </c>
      <c r="DQ91" s="208">
        <v>614</v>
      </c>
      <c r="DR91" s="208">
        <v>153</v>
      </c>
      <c r="DS91" s="208">
        <v>0</v>
      </c>
      <c r="DT91" s="208">
        <v>434</v>
      </c>
      <c r="DU91" s="208">
        <v>109</v>
      </c>
      <c r="DV91" s="208">
        <v>0</v>
      </c>
      <c r="DW91" s="208">
        <v>13911.666666666668</v>
      </c>
      <c r="DX91" s="208">
        <v>3477.916666666667</v>
      </c>
      <c r="DY91" s="208">
        <v>0</v>
      </c>
      <c r="DZ91" s="208">
        <v>12275</v>
      </c>
      <c r="EA91" s="208">
        <v>3069</v>
      </c>
      <c r="EB91" s="208">
        <v>0</v>
      </c>
      <c r="EC91" s="208">
        <v>1637</v>
      </c>
      <c r="ED91" s="208">
        <v>409</v>
      </c>
      <c r="EE91" s="208">
        <v>0</v>
      </c>
      <c r="EF91" s="208">
        <v>64610.69</v>
      </c>
      <c r="EG91" s="208">
        <v>16152.672500000001</v>
      </c>
      <c r="EH91" s="208">
        <v>0</v>
      </c>
      <c r="EI91" s="208">
        <v>347.38249999999999</v>
      </c>
      <c r="EJ91" s="208">
        <v>86.845624999999998</v>
      </c>
      <c r="EK91" s="208">
        <v>0</v>
      </c>
      <c r="EL91" s="208">
        <v>65058</v>
      </c>
      <c r="EM91" s="208">
        <v>16264</v>
      </c>
      <c r="EN91" s="208">
        <v>0</v>
      </c>
      <c r="EO91" s="208">
        <v>-100</v>
      </c>
      <c r="EP91" s="208">
        <v>-24</v>
      </c>
      <c r="EQ91" s="208">
        <v>0</v>
      </c>
      <c r="ER91" s="208">
        <v>31453.050833333335</v>
      </c>
      <c r="ES91" s="208">
        <v>7863.2627083333336</v>
      </c>
      <c r="ET91" s="208">
        <v>0</v>
      </c>
      <c r="EU91" s="208">
        <v>28642</v>
      </c>
      <c r="EV91" s="208">
        <v>7160</v>
      </c>
      <c r="EW91" s="208">
        <v>0</v>
      </c>
      <c r="EX91" s="208">
        <v>2811</v>
      </c>
      <c r="EY91" s="208">
        <v>703</v>
      </c>
      <c r="EZ91" s="208">
        <v>0</v>
      </c>
      <c r="FA91" s="208">
        <v>0</v>
      </c>
      <c r="FB91" s="208">
        <v>0</v>
      </c>
      <c r="FC91" s="208">
        <v>0</v>
      </c>
      <c r="FD91" s="208">
        <v>0</v>
      </c>
      <c r="FE91" s="208">
        <v>0</v>
      </c>
      <c r="FF91" s="208">
        <v>0</v>
      </c>
      <c r="FG91" s="208">
        <v>0</v>
      </c>
      <c r="FH91" s="208">
        <v>0</v>
      </c>
      <c r="FI91" s="208">
        <v>0</v>
      </c>
      <c r="FJ91" s="208">
        <v>399567.52</v>
      </c>
      <c r="FK91" s="208">
        <v>99891.88</v>
      </c>
      <c r="FL91" s="208">
        <v>0</v>
      </c>
      <c r="FM91" s="208">
        <v>392123</v>
      </c>
      <c r="FN91" s="208">
        <v>98031</v>
      </c>
      <c r="FO91" s="208">
        <v>0</v>
      </c>
      <c r="FP91" s="208">
        <v>7445</v>
      </c>
      <c r="FQ91" s="208">
        <v>1861</v>
      </c>
      <c r="FR91" s="208">
        <v>0</v>
      </c>
      <c r="FS91" s="208">
        <v>0</v>
      </c>
      <c r="FT91" s="208">
        <v>0</v>
      </c>
      <c r="FU91" s="208">
        <v>0</v>
      </c>
      <c r="FV91" s="208">
        <v>0</v>
      </c>
      <c r="FW91" s="208">
        <v>0</v>
      </c>
      <c r="FX91" s="208">
        <v>0</v>
      </c>
      <c r="FY91" s="208">
        <v>0</v>
      </c>
      <c r="FZ91" s="208">
        <v>0</v>
      </c>
      <c r="GA91" s="208">
        <v>0</v>
      </c>
      <c r="GB91" s="208">
        <v>2245231</v>
      </c>
      <c r="GC91" s="208">
        <v>561308</v>
      </c>
      <c r="GD91" s="208">
        <v>0</v>
      </c>
      <c r="GE91" s="664">
        <v>0.5</v>
      </c>
      <c r="GF91" s="664">
        <v>0.4</v>
      </c>
      <c r="GG91" s="664">
        <v>0.1</v>
      </c>
      <c r="GH91" s="664">
        <v>0</v>
      </c>
      <c r="GI91" s="187" t="s">
        <v>1054</v>
      </c>
    </row>
    <row r="92" spans="1:191" s="187" customFormat="1" x14ac:dyDescent="0.2">
      <c r="B92" s="429" t="s">
        <v>263</v>
      </c>
      <c r="C92" s="429" t="s">
        <v>262</v>
      </c>
      <c r="D92" s="208">
        <v>1095310</v>
      </c>
      <c r="E92" s="208">
        <v>0</v>
      </c>
      <c r="F92" s="208">
        <v>1095310</v>
      </c>
      <c r="G92" s="208">
        <v>911026</v>
      </c>
      <c r="H92" s="208">
        <v>0</v>
      </c>
      <c r="I92" s="208">
        <v>911026</v>
      </c>
      <c r="J92" s="208">
        <v>184284</v>
      </c>
      <c r="K92" s="208">
        <v>0</v>
      </c>
      <c r="L92" s="208">
        <v>184284</v>
      </c>
      <c r="M92" s="208">
        <v>264379</v>
      </c>
      <c r="N92" s="208">
        <v>264379</v>
      </c>
      <c r="O92" s="208">
        <v>0</v>
      </c>
      <c r="P92" s="208">
        <v>0</v>
      </c>
      <c r="Q92" s="208">
        <v>0</v>
      </c>
      <c r="R92" s="208">
        <v>0</v>
      </c>
      <c r="S92" s="208">
        <v>685164</v>
      </c>
      <c r="T92" s="208">
        <v>71520</v>
      </c>
      <c r="U92" s="208">
        <v>685164</v>
      </c>
      <c r="V92" s="208">
        <v>71520</v>
      </c>
      <c r="W92" s="208">
        <v>0</v>
      </c>
      <c r="X92" s="208">
        <v>0</v>
      </c>
      <c r="Y92" s="208">
        <v>0</v>
      </c>
      <c r="Z92" s="208">
        <v>0</v>
      </c>
      <c r="AA92" s="208">
        <v>0</v>
      </c>
      <c r="AB92" s="208">
        <v>0</v>
      </c>
      <c r="AC92" s="208">
        <v>0</v>
      </c>
      <c r="AD92" s="208">
        <v>0</v>
      </c>
      <c r="AE92" s="208">
        <v>0</v>
      </c>
      <c r="AF92" s="208">
        <v>0</v>
      </c>
      <c r="AG92" s="208">
        <v>0</v>
      </c>
      <c r="AH92" s="208">
        <v>0</v>
      </c>
      <c r="AI92" s="208">
        <v>0</v>
      </c>
      <c r="AJ92" s="208">
        <v>0</v>
      </c>
      <c r="AK92" s="208">
        <v>0</v>
      </c>
      <c r="AL92" s="208">
        <v>0</v>
      </c>
      <c r="AM92" s="208">
        <v>0</v>
      </c>
      <c r="AN92" s="208">
        <v>0</v>
      </c>
      <c r="AO92" s="208">
        <v>0</v>
      </c>
      <c r="AP92" s="208">
        <v>0</v>
      </c>
      <c r="AQ92" s="208">
        <v>0</v>
      </c>
      <c r="AR92" s="208">
        <v>0</v>
      </c>
      <c r="AS92" s="208">
        <v>0</v>
      </c>
      <c r="AT92" s="208">
        <v>0</v>
      </c>
      <c r="AU92" s="208">
        <v>0</v>
      </c>
      <c r="AV92" s="208">
        <v>0</v>
      </c>
      <c r="AW92" s="208">
        <v>0</v>
      </c>
      <c r="AX92" s="208">
        <v>0</v>
      </c>
      <c r="AY92" s="208">
        <v>0</v>
      </c>
      <c r="AZ92" s="208">
        <v>0</v>
      </c>
      <c r="BA92" s="208">
        <v>0</v>
      </c>
      <c r="BB92" s="208">
        <v>0</v>
      </c>
      <c r="BC92" s="208">
        <v>0</v>
      </c>
      <c r="BD92" s="208">
        <v>0</v>
      </c>
      <c r="BE92" s="208">
        <v>0</v>
      </c>
      <c r="BF92" s="208">
        <v>0</v>
      </c>
      <c r="BG92" s="208">
        <v>0</v>
      </c>
      <c r="BH92" s="208">
        <v>0</v>
      </c>
      <c r="BI92" s="208">
        <v>0</v>
      </c>
      <c r="BJ92" s="208">
        <v>0</v>
      </c>
      <c r="BK92" s="208">
        <v>0</v>
      </c>
      <c r="BL92" s="208">
        <v>0</v>
      </c>
      <c r="BM92" s="208">
        <v>0</v>
      </c>
      <c r="BN92" s="208">
        <v>0</v>
      </c>
      <c r="BO92" s="208">
        <v>2768330.0370649998</v>
      </c>
      <c r="BP92" s="208">
        <v>1845553.3580433335</v>
      </c>
      <c r="BQ92" s="208">
        <v>0</v>
      </c>
      <c r="BR92" s="208">
        <v>156713</v>
      </c>
      <c r="BS92" s="208">
        <v>104475</v>
      </c>
      <c r="BT92" s="208">
        <v>0</v>
      </c>
      <c r="BU92" s="208">
        <v>2645962</v>
      </c>
      <c r="BV92" s="208">
        <v>1763974</v>
      </c>
      <c r="BW92" s="208">
        <v>0</v>
      </c>
      <c r="BX92" s="208">
        <v>279081</v>
      </c>
      <c r="BY92" s="208">
        <v>186054</v>
      </c>
      <c r="BZ92" s="208">
        <v>0</v>
      </c>
      <c r="CA92" s="208">
        <v>7352.1112499999999</v>
      </c>
      <c r="CB92" s="208">
        <v>4901.4075000000003</v>
      </c>
      <c r="CC92" s="208">
        <v>0</v>
      </c>
      <c r="CD92" s="208">
        <v>0</v>
      </c>
      <c r="CE92" s="208">
        <v>0</v>
      </c>
      <c r="CF92" s="208">
        <v>0</v>
      </c>
      <c r="CG92" s="208">
        <v>7352</v>
      </c>
      <c r="CH92" s="208">
        <v>4901</v>
      </c>
      <c r="CI92" s="208">
        <v>0</v>
      </c>
      <c r="CJ92" s="208">
        <v>0</v>
      </c>
      <c r="CK92" s="208">
        <v>0</v>
      </c>
      <c r="CL92" s="208">
        <v>0</v>
      </c>
      <c r="CM92" s="208">
        <v>0</v>
      </c>
      <c r="CN92" s="208">
        <v>0</v>
      </c>
      <c r="CO92" s="208">
        <v>0</v>
      </c>
      <c r="CP92" s="208">
        <v>-2004.5074999999999</v>
      </c>
      <c r="CQ92" s="208">
        <v>-1336.3383333333334</v>
      </c>
      <c r="CR92" s="208">
        <v>0</v>
      </c>
      <c r="CS92" s="208">
        <v>0</v>
      </c>
      <c r="CT92" s="208">
        <v>0</v>
      </c>
      <c r="CU92" s="208">
        <v>0</v>
      </c>
      <c r="CV92" s="208">
        <v>0</v>
      </c>
      <c r="CW92" s="208">
        <v>0</v>
      </c>
      <c r="CX92" s="208">
        <v>0</v>
      </c>
      <c r="CY92" s="208">
        <v>0</v>
      </c>
      <c r="CZ92" s="208">
        <v>0</v>
      </c>
      <c r="DA92" s="208">
        <v>0</v>
      </c>
      <c r="DB92" s="208">
        <v>0</v>
      </c>
      <c r="DC92" s="208">
        <v>0</v>
      </c>
      <c r="DD92" s="208">
        <v>0</v>
      </c>
      <c r="DE92" s="208">
        <v>55266.346250000002</v>
      </c>
      <c r="DF92" s="208">
        <v>36844.230833333335</v>
      </c>
      <c r="DG92" s="208">
        <v>0</v>
      </c>
      <c r="DH92" s="208">
        <v>54422</v>
      </c>
      <c r="DI92" s="208">
        <v>36281</v>
      </c>
      <c r="DJ92" s="208">
        <v>0</v>
      </c>
      <c r="DK92" s="208">
        <v>844</v>
      </c>
      <c r="DL92" s="208">
        <v>563</v>
      </c>
      <c r="DM92" s="208">
        <v>0</v>
      </c>
      <c r="DN92" s="208">
        <v>0</v>
      </c>
      <c r="DO92" s="208">
        <v>0</v>
      </c>
      <c r="DP92" s="208">
        <v>0</v>
      </c>
      <c r="DQ92" s="208">
        <v>0</v>
      </c>
      <c r="DR92" s="208">
        <v>0</v>
      </c>
      <c r="DS92" s="208">
        <v>0</v>
      </c>
      <c r="DT92" s="208">
        <v>0</v>
      </c>
      <c r="DU92" s="208">
        <v>0</v>
      </c>
      <c r="DV92" s="208">
        <v>0</v>
      </c>
      <c r="DW92" s="208">
        <v>38446.527499999997</v>
      </c>
      <c r="DX92" s="208">
        <v>25631.018333333333</v>
      </c>
      <c r="DY92" s="208">
        <v>0</v>
      </c>
      <c r="DZ92" s="208">
        <v>39748</v>
      </c>
      <c r="EA92" s="208">
        <v>26498</v>
      </c>
      <c r="EB92" s="208">
        <v>0</v>
      </c>
      <c r="EC92" s="208">
        <v>-1301</v>
      </c>
      <c r="ED92" s="208">
        <v>-867</v>
      </c>
      <c r="EE92" s="208">
        <v>0</v>
      </c>
      <c r="EF92" s="208">
        <v>120735.67249999999</v>
      </c>
      <c r="EG92" s="208">
        <v>80490.448333333334</v>
      </c>
      <c r="EH92" s="208">
        <v>0</v>
      </c>
      <c r="EI92" s="208">
        <v>58265.7425</v>
      </c>
      <c r="EJ92" s="208">
        <v>38843.828333333331</v>
      </c>
      <c r="EK92" s="208">
        <v>0</v>
      </c>
      <c r="EL92" s="208">
        <v>125205</v>
      </c>
      <c r="EM92" s="208">
        <v>83470</v>
      </c>
      <c r="EN92" s="208">
        <v>0</v>
      </c>
      <c r="EO92" s="208">
        <v>53796</v>
      </c>
      <c r="EP92" s="208">
        <v>35864</v>
      </c>
      <c r="EQ92" s="208">
        <v>0</v>
      </c>
      <c r="ER92" s="208">
        <v>51163.427499999998</v>
      </c>
      <c r="ES92" s="208">
        <v>34108.95166666666</v>
      </c>
      <c r="ET92" s="208">
        <v>0</v>
      </c>
      <c r="EU92" s="208">
        <v>52169</v>
      </c>
      <c r="EV92" s="208">
        <v>34779</v>
      </c>
      <c r="EW92" s="208">
        <v>0</v>
      </c>
      <c r="EX92" s="208">
        <v>-1006</v>
      </c>
      <c r="EY92" s="208">
        <v>-670</v>
      </c>
      <c r="EZ92" s="208">
        <v>0</v>
      </c>
      <c r="FA92" s="208">
        <v>0</v>
      </c>
      <c r="FB92" s="208">
        <v>0</v>
      </c>
      <c r="FC92" s="208">
        <v>0</v>
      </c>
      <c r="FD92" s="208">
        <v>0</v>
      </c>
      <c r="FE92" s="208">
        <v>0</v>
      </c>
      <c r="FF92" s="208">
        <v>0</v>
      </c>
      <c r="FG92" s="208">
        <v>0</v>
      </c>
      <c r="FH92" s="208">
        <v>0</v>
      </c>
      <c r="FI92" s="208">
        <v>0</v>
      </c>
      <c r="FJ92" s="208">
        <v>529893.15499999991</v>
      </c>
      <c r="FK92" s="208">
        <v>344433.32</v>
      </c>
      <c r="FL92" s="208">
        <v>0</v>
      </c>
      <c r="FM92" s="208">
        <v>494975</v>
      </c>
      <c r="FN92" s="208">
        <v>321154</v>
      </c>
      <c r="FO92" s="208">
        <v>0</v>
      </c>
      <c r="FP92" s="208">
        <v>34918</v>
      </c>
      <c r="FQ92" s="208">
        <v>23279</v>
      </c>
      <c r="FR92" s="208">
        <v>0</v>
      </c>
      <c r="FS92" s="208">
        <v>0</v>
      </c>
      <c r="FT92" s="208">
        <v>0</v>
      </c>
      <c r="FU92" s="208">
        <v>0</v>
      </c>
      <c r="FV92" s="208">
        <v>0</v>
      </c>
      <c r="FW92" s="208">
        <v>0</v>
      </c>
      <c r="FX92" s="208">
        <v>0</v>
      </c>
      <c r="FY92" s="208">
        <v>0</v>
      </c>
      <c r="FZ92" s="208">
        <v>0</v>
      </c>
      <c r="GA92" s="208">
        <v>0</v>
      </c>
      <c r="GB92" s="208">
        <v>3784161</v>
      </c>
      <c r="GC92" s="208">
        <v>2513944</v>
      </c>
      <c r="GD92" s="208">
        <v>0</v>
      </c>
      <c r="GE92" s="664">
        <v>0</v>
      </c>
      <c r="GF92" s="664">
        <v>0.6</v>
      </c>
      <c r="GG92" s="664">
        <v>0.4</v>
      </c>
      <c r="GH92" s="664">
        <v>0</v>
      </c>
      <c r="GI92" s="187" t="s">
        <v>1054</v>
      </c>
    </row>
    <row r="93" spans="1:191" s="187" customFormat="1" x14ac:dyDescent="0.2">
      <c r="A93" s="187" t="s">
        <v>1811</v>
      </c>
      <c r="B93" s="429" t="s">
        <v>265</v>
      </c>
      <c r="C93" s="429" t="s">
        <v>264</v>
      </c>
      <c r="D93" s="208">
        <v>-264332</v>
      </c>
      <c r="E93" s="208">
        <v>0</v>
      </c>
      <c r="F93" s="208">
        <v>-264332</v>
      </c>
      <c r="G93" s="208">
        <v>-320190</v>
      </c>
      <c r="H93" s="208">
        <v>0</v>
      </c>
      <c r="I93" s="208">
        <v>-320190</v>
      </c>
      <c r="J93" s="208">
        <v>55858</v>
      </c>
      <c r="K93" s="208">
        <v>0</v>
      </c>
      <c r="L93" s="208">
        <v>55858</v>
      </c>
      <c r="M93" s="208">
        <v>100875</v>
      </c>
      <c r="N93" s="208">
        <v>100875</v>
      </c>
      <c r="O93" s="208">
        <v>0</v>
      </c>
      <c r="P93" s="208">
        <v>0</v>
      </c>
      <c r="Q93" s="208">
        <v>0</v>
      </c>
      <c r="R93" s="208">
        <v>0</v>
      </c>
      <c r="S93" s="208">
        <v>445962</v>
      </c>
      <c r="T93" s="208">
        <v>0</v>
      </c>
      <c r="U93" s="208">
        <v>445962</v>
      </c>
      <c r="V93" s="208">
        <v>0</v>
      </c>
      <c r="W93" s="208">
        <v>0</v>
      </c>
      <c r="X93" s="208">
        <v>0</v>
      </c>
      <c r="Y93" s="208">
        <v>0</v>
      </c>
      <c r="Z93" s="208">
        <v>0</v>
      </c>
      <c r="AA93" s="208">
        <v>0</v>
      </c>
      <c r="AB93" s="208">
        <v>0</v>
      </c>
      <c r="AC93" s="208">
        <v>0</v>
      </c>
      <c r="AD93" s="208">
        <v>0</v>
      </c>
      <c r="AE93" s="208">
        <v>0</v>
      </c>
      <c r="AF93" s="208">
        <v>0</v>
      </c>
      <c r="AG93" s="208">
        <v>0</v>
      </c>
      <c r="AH93" s="208">
        <v>0</v>
      </c>
      <c r="AI93" s="208">
        <v>0</v>
      </c>
      <c r="AJ93" s="208">
        <v>0</v>
      </c>
      <c r="AK93" s="208">
        <v>0</v>
      </c>
      <c r="AL93" s="208">
        <v>0</v>
      </c>
      <c r="AM93" s="208">
        <v>0</v>
      </c>
      <c r="AN93" s="208">
        <v>0</v>
      </c>
      <c r="AO93" s="208">
        <v>0</v>
      </c>
      <c r="AP93" s="208">
        <v>0</v>
      </c>
      <c r="AQ93" s="208">
        <v>0</v>
      </c>
      <c r="AR93" s="208">
        <v>0</v>
      </c>
      <c r="AS93" s="208">
        <v>0</v>
      </c>
      <c r="AT93" s="208">
        <v>0</v>
      </c>
      <c r="AU93" s="208">
        <v>0</v>
      </c>
      <c r="AV93" s="208">
        <v>0</v>
      </c>
      <c r="AW93" s="208">
        <v>0</v>
      </c>
      <c r="AX93" s="208">
        <v>0</v>
      </c>
      <c r="AY93" s="208">
        <v>0</v>
      </c>
      <c r="AZ93" s="208">
        <v>0</v>
      </c>
      <c r="BA93" s="208">
        <v>0</v>
      </c>
      <c r="BB93" s="208">
        <v>0</v>
      </c>
      <c r="BC93" s="208">
        <v>0</v>
      </c>
      <c r="BD93" s="208">
        <v>0</v>
      </c>
      <c r="BE93" s="208">
        <v>0</v>
      </c>
      <c r="BF93" s="208">
        <v>0</v>
      </c>
      <c r="BG93" s="208">
        <v>0</v>
      </c>
      <c r="BH93" s="208">
        <v>0</v>
      </c>
      <c r="BI93" s="208">
        <v>0</v>
      </c>
      <c r="BJ93" s="208">
        <v>0</v>
      </c>
      <c r="BK93" s="208">
        <v>0</v>
      </c>
      <c r="BL93" s="208">
        <v>0</v>
      </c>
      <c r="BM93" s="208">
        <v>0</v>
      </c>
      <c r="BN93" s="208">
        <v>0</v>
      </c>
      <c r="BO93" s="208">
        <v>835896.15660583333</v>
      </c>
      <c r="BP93" s="208">
        <v>208974.03915145833</v>
      </c>
      <c r="BQ93" s="208">
        <v>0</v>
      </c>
      <c r="BR93" s="208">
        <v>42141</v>
      </c>
      <c r="BS93" s="208">
        <v>10535</v>
      </c>
      <c r="BT93" s="208">
        <v>0</v>
      </c>
      <c r="BU93" s="208">
        <v>794241</v>
      </c>
      <c r="BV93" s="208">
        <v>198560</v>
      </c>
      <c r="BW93" s="208">
        <v>0</v>
      </c>
      <c r="BX93" s="208">
        <v>83796</v>
      </c>
      <c r="BY93" s="208">
        <v>20949</v>
      </c>
      <c r="BZ93" s="208">
        <v>0</v>
      </c>
      <c r="CA93" s="208">
        <v>3144.0366666666669</v>
      </c>
      <c r="CB93" s="208">
        <v>786.00916666666672</v>
      </c>
      <c r="CC93" s="208">
        <v>0</v>
      </c>
      <c r="CD93" s="208">
        <v>3221</v>
      </c>
      <c r="CE93" s="208">
        <v>805</v>
      </c>
      <c r="CF93" s="208">
        <v>0</v>
      </c>
      <c r="CG93" s="208">
        <v>-77</v>
      </c>
      <c r="CH93" s="208">
        <v>-19</v>
      </c>
      <c r="CI93" s="208">
        <v>0</v>
      </c>
      <c r="CJ93" s="208">
        <v>0</v>
      </c>
      <c r="CK93" s="208">
        <v>0</v>
      </c>
      <c r="CL93" s="208">
        <v>0</v>
      </c>
      <c r="CM93" s="208">
        <v>0</v>
      </c>
      <c r="CN93" s="208">
        <v>0</v>
      </c>
      <c r="CO93" s="208">
        <v>0</v>
      </c>
      <c r="CP93" s="208">
        <v>0</v>
      </c>
      <c r="CQ93" s="208">
        <v>0</v>
      </c>
      <c r="CR93" s="208">
        <v>0</v>
      </c>
      <c r="CS93" s="208">
        <v>0</v>
      </c>
      <c r="CT93" s="208">
        <v>0</v>
      </c>
      <c r="CU93" s="208">
        <v>0</v>
      </c>
      <c r="CV93" s="208">
        <v>0</v>
      </c>
      <c r="CW93" s="208">
        <v>0</v>
      </c>
      <c r="CX93" s="208">
        <v>0</v>
      </c>
      <c r="CY93" s="208">
        <v>0</v>
      </c>
      <c r="CZ93" s="208">
        <v>0</v>
      </c>
      <c r="DA93" s="208">
        <v>0</v>
      </c>
      <c r="DB93" s="208">
        <v>0</v>
      </c>
      <c r="DC93" s="208">
        <v>0</v>
      </c>
      <c r="DD93" s="208">
        <v>0</v>
      </c>
      <c r="DE93" s="208">
        <v>10257.399166666668</v>
      </c>
      <c r="DF93" s="208">
        <v>2564.349791666667</v>
      </c>
      <c r="DG93" s="208">
        <v>0</v>
      </c>
      <c r="DH93" s="208">
        <v>11479</v>
      </c>
      <c r="DI93" s="208">
        <v>2870</v>
      </c>
      <c r="DJ93" s="208">
        <v>0</v>
      </c>
      <c r="DK93" s="208">
        <v>-1222</v>
      </c>
      <c r="DL93" s="208">
        <v>-306</v>
      </c>
      <c r="DM93" s="208">
        <v>0</v>
      </c>
      <c r="DN93" s="208">
        <v>0</v>
      </c>
      <c r="DO93" s="208">
        <v>0</v>
      </c>
      <c r="DP93" s="208">
        <v>0</v>
      </c>
      <c r="DQ93" s="208">
        <v>0</v>
      </c>
      <c r="DR93" s="208">
        <v>0</v>
      </c>
      <c r="DS93" s="208">
        <v>0</v>
      </c>
      <c r="DT93" s="208">
        <v>0</v>
      </c>
      <c r="DU93" s="208">
        <v>0</v>
      </c>
      <c r="DV93" s="208">
        <v>0</v>
      </c>
      <c r="DW93" s="208">
        <v>3196.0008333333335</v>
      </c>
      <c r="DX93" s="208">
        <v>799.00020833333338</v>
      </c>
      <c r="DY93" s="208">
        <v>0</v>
      </c>
      <c r="DZ93" s="208">
        <v>3682</v>
      </c>
      <c r="EA93" s="208">
        <v>921</v>
      </c>
      <c r="EB93" s="208">
        <v>0</v>
      </c>
      <c r="EC93" s="208">
        <v>-486</v>
      </c>
      <c r="ED93" s="208">
        <v>-122</v>
      </c>
      <c r="EE93" s="208">
        <v>0</v>
      </c>
      <c r="EF93" s="208">
        <v>14862.979166666666</v>
      </c>
      <c r="EG93" s="208">
        <v>3715.7447916666665</v>
      </c>
      <c r="EH93" s="208">
        <v>0</v>
      </c>
      <c r="EI93" s="208">
        <v>0</v>
      </c>
      <c r="EJ93" s="208">
        <v>0</v>
      </c>
      <c r="EK93" s="208">
        <v>0</v>
      </c>
      <c r="EL93" s="208">
        <v>15548</v>
      </c>
      <c r="EM93" s="208">
        <v>3887</v>
      </c>
      <c r="EN93" s="208">
        <v>0</v>
      </c>
      <c r="EO93" s="208">
        <v>-685</v>
      </c>
      <c r="EP93" s="208">
        <v>-171</v>
      </c>
      <c r="EQ93" s="208">
        <v>0</v>
      </c>
      <c r="ER93" s="208">
        <v>16313.065833333334</v>
      </c>
      <c r="ES93" s="208">
        <v>4078.2664583333335</v>
      </c>
      <c r="ET93" s="208">
        <v>0</v>
      </c>
      <c r="EU93" s="208">
        <v>15958</v>
      </c>
      <c r="EV93" s="208">
        <v>3989</v>
      </c>
      <c r="EW93" s="208">
        <v>0</v>
      </c>
      <c r="EX93" s="208">
        <v>355</v>
      </c>
      <c r="EY93" s="208">
        <v>89</v>
      </c>
      <c r="EZ93" s="208">
        <v>0</v>
      </c>
      <c r="FA93" s="208">
        <v>0</v>
      </c>
      <c r="FB93" s="208">
        <v>0</v>
      </c>
      <c r="FC93" s="208">
        <v>0</v>
      </c>
      <c r="FD93" s="208">
        <v>0</v>
      </c>
      <c r="FE93" s="208">
        <v>0</v>
      </c>
      <c r="FF93" s="208">
        <v>0</v>
      </c>
      <c r="FG93" s="208">
        <v>0</v>
      </c>
      <c r="FH93" s="208">
        <v>0</v>
      </c>
      <c r="FI93" s="208">
        <v>0</v>
      </c>
      <c r="FJ93" s="208">
        <v>310986.41749999998</v>
      </c>
      <c r="FK93" s="208">
        <v>75191.613750000004</v>
      </c>
      <c r="FL93" s="208">
        <v>0</v>
      </c>
      <c r="FM93" s="208">
        <v>305839</v>
      </c>
      <c r="FN93" s="208">
        <v>73905</v>
      </c>
      <c r="FO93" s="208">
        <v>0</v>
      </c>
      <c r="FP93" s="208">
        <v>5147</v>
      </c>
      <c r="FQ93" s="208">
        <v>1287</v>
      </c>
      <c r="FR93" s="208">
        <v>0</v>
      </c>
      <c r="FS93" s="208">
        <v>0</v>
      </c>
      <c r="FT93" s="208">
        <v>0</v>
      </c>
      <c r="FU93" s="208">
        <v>0</v>
      </c>
      <c r="FV93" s="208">
        <v>0</v>
      </c>
      <c r="FW93" s="208">
        <v>0</v>
      </c>
      <c r="FX93" s="208">
        <v>0</v>
      </c>
      <c r="FY93" s="208">
        <v>0</v>
      </c>
      <c r="FZ93" s="208">
        <v>0</v>
      </c>
      <c r="GA93" s="208">
        <v>0</v>
      </c>
      <c r="GB93" s="208">
        <v>1236796</v>
      </c>
      <c r="GC93" s="208">
        <v>306644</v>
      </c>
      <c r="GD93" s="208">
        <v>0</v>
      </c>
      <c r="GE93" s="664">
        <v>0.5</v>
      </c>
      <c r="GF93" s="664">
        <v>0.4</v>
      </c>
      <c r="GG93" s="664">
        <v>0.1</v>
      </c>
      <c r="GH93" s="664">
        <v>0</v>
      </c>
      <c r="GI93" s="187" t="s">
        <v>1054</v>
      </c>
    </row>
    <row r="94" spans="1:191" s="187" customFormat="1" x14ac:dyDescent="0.2">
      <c r="B94" s="429" t="s">
        <v>267</v>
      </c>
      <c r="C94" s="429" t="s">
        <v>266</v>
      </c>
      <c r="D94" s="208">
        <v>-7585030</v>
      </c>
      <c r="E94" s="208">
        <v>0</v>
      </c>
      <c r="F94" s="208">
        <v>-7585030</v>
      </c>
      <c r="G94" s="208">
        <v>-7597263</v>
      </c>
      <c r="H94" s="208">
        <v>0</v>
      </c>
      <c r="I94" s="208">
        <v>-7597263</v>
      </c>
      <c r="J94" s="208">
        <v>12233</v>
      </c>
      <c r="K94" s="208">
        <v>0</v>
      </c>
      <c r="L94" s="208">
        <v>12233</v>
      </c>
      <c r="M94" s="208">
        <v>434166</v>
      </c>
      <c r="N94" s="208">
        <v>434166</v>
      </c>
      <c r="O94" s="208">
        <v>0</v>
      </c>
      <c r="P94" s="208">
        <v>0</v>
      </c>
      <c r="Q94" s="208">
        <v>0</v>
      </c>
      <c r="R94" s="208">
        <v>0</v>
      </c>
      <c r="S94" s="208">
        <v>4614559</v>
      </c>
      <c r="T94" s="208">
        <v>0</v>
      </c>
      <c r="U94" s="208">
        <v>4735590</v>
      </c>
      <c r="V94" s="208">
        <v>0</v>
      </c>
      <c r="W94" s="208">
        <v>-121031</v>
      </c>
      <c r="X94" s="208">
        <v>0</v>
      </c>
      <c r="Y94" s="208">
        <v>0</v>
      </c>
      <c r="Z94" s="208">
        <v>0</v>
      </c>
      <c r="AA94" s="208">
        <v>0</v>
      </c>
      <c r="AB94" s="208">
        <v>0</v>
      </c>
      <c r="AC94" s="208">
        <v>0</v>
      </c>
      <c r="AD94" s="208">
        <v>0</v>
      </c>
      <c r="AE94" s="208">
        <v>0</v>
      </c>
      <c r="AF94" s="208">
        <v>0</v>
      </c>
      <c r="AG94" s="208">
        <v>0</v>
      </c>
      <c r="AH94" s="208">
        <v>72183</v>
      </c>
      <c r="AI94" s="208">
        <v>70739.474749999994</v>
      </c>
      <c r="AJ94" s="208">
        <v>0</v>
      </c>
      <c r="AK94" s="208">
        <v>1443.66275</v>
      </c>
      <c r="AL94" s="208">
        <v>94661</v>
      </c>
      <c r="AM94" s="208">
        <v>92768</v>
      </c>
      <c r="AN94" s="208">
        <v>0</v>
      </c>
      <c r="AO94" s="208">
        <v>1893</v>
      </c>
      <c r="AP94" s="208">
        <v>-22478</v>
      </c>
      <c r="AQ94" s="208">
        <v>-22029</v>
      </c>
      <c r="AR94" s="208">
        <v>0</v>
      </c>
      <c r="AS94" s="208">
        <v>-449</v>
      </c>
      <c r="AT94" s="208">
        <v>0</v>
      </c>
      <c r="AU94" s="208">
        <v>0</v>
      </c>
      <c r="AV94" s="208">
        <v>0</v>
      </c>
      <c r="AW94" s="208">
        <v>0</v>
      </c>
      <c r="AX94" s="208">
        <v>0</v>
      </c>
      <c r="AY94" s="208">
        <v>0</v>
      </c>
      <c r="AZ94" s="208">
        <v>0</v>
      </c>
      <c r="BA94" s="208">
        <v>0</v>
      </c>
      <c r="BB94" s="208">
        <v>0</v>
      </c>
      <c r="BC94" s="208">
        <v>0</v>
      </c>
      <c r="BD94" s="208">
        <v>0</v>
      </c>
      <c r="BE94" s="208">
        <v>0</v>
      </c>
      <c r="BF94" s="208">
        <v>0</v>
      </c>
      <c r="BG94" s="208">
        <v>0</v>
      </c>
      <c r="BH94" s="208">
        <v>0</v>
      </c>
      <c r="BI94" s="208">
        <v>0</v>
      </c>
      <c r="BJ94" s="208">
        <v>0</v>
      </c>
      <c r="BK94" s="208">
        <v>0</v>
      </c>
      <c r="BL94" s="208">
        <v>0</v>
      </c>
      <c r="BM94" s="208">
        <v>0</v>
      </c>
      <c r="BN94" s="208">
        <v>0</v>
      </c>
      <c r="BO94" s="208">
        <v>4283022.0352850007</v>
      </c>
      <c r="BP94" s="208">
        <v>0</v>
      </c>
      <c r="BQ94" s="208">
        <v>87408.612965000008</v>
      </c>
      <c r="BR94" s="208">
        <v>245270</v>
      </c>
      <c r="BS94" s="208">
        <v>0</v>
      </c>
      <c r="BT94" s="208">
        <v>5006</v>
      </c>
      <c r="BU94" s="208">
        <v>4046554</v>
      </c>
      <c r="BV94" s="208">
        <v>0</v>
      </c>
      <c r="BW94" s="208">
        <v>82583</v>
      </c>
      <c r="BX94" s="208">
        <v>481738</v>
      </c>
      <c r="BY94" s="208">
        <v>0</v>
      </c>
      <c r="BZ94" s="208">
        <v>9832</v>
      </c>
      <c r="CA94" s="208">
        <v>8891.3041874999999</v>
      </c>
      <c r="CB94" s="208">
        <v>0</v>
      </c>
      <c r="CC94" s="208">
        <v>181.45518750000002</v>
      </c>
      <c r="CD94" s="208">
        <v>8358</v>
      </c>
      <c r="CE94" s="208">
        <v>0</v>
      </c>
      <c r="CF94" s="208">
        <v>171</v>
      </c>
      <c r="CG94" s="208">
        <v>533</v>
      </c>
      <c r="CH94" s="208">
        <v>0</v>
      </c>
      <c r="CI94" s="208">
        <v>10</v>
      </c>
      <c r="CJ94" s="208">
        <v>0</v>
      </c>
      <c r="CK94" s="208">
        <v>0</v>
      </c>
      <c r="CL94" s="208">
        <v>0</v>
      </c>
      <c r="CM94" s="208">
        <v>0</v>
      </c>
      <c r="CN94" s="208">
        <v>0</v>
      </c>
      <c r="CO94" s="208">
        <v>0</v>
      </c>
      <c r="CP94" s="208">
        <v>-1532.7587916666666</v>
      </c>
      <c r="CQ94" s="208">
        <v>0</v>
      </c>
      <c r="CR94" s="208">
        <v>-31.280791666666669</v>
      </c>
      <c r="CS94" s="208">
        <v>0</v>
      </c>
      <c r="CT94" s="208">
        <v>0</v>
      </c>
      <c r="CU94" s="208">
        <v>0</v>
      </c>
      <c r="CV94" s="208">
        <v>0</v>
      </c>
      <c r="CW94" s="208">
        <v>0</v>
      </c>
      <c r="CX94" s="208">
        <v>0</v>
      </c>
      <c r="CY94" s="208">
        <v>0</v>
      </c>
      <c r="CZ94" s="208">
        <v>0</v>
      </c>
      <c r="DA94" s="208">
        <v>0</v>
      </c>
      <c r="DB94" s="208">
        <v>0</v>
      </c>
      <c r="DC94" s="208">
        <v>0</v>
      </c>
      <c r="DD94" s="208">
        <v>0</v>
      </c>
      <c r="DE94" s="208">
        <v>29421.650854166666</v>
      </c>
      <c r="DF94" s="208">
        <v>0</v>
      </c>
      <c r="DG94" s="208">
        <v>600.44185416666664</v>
      </c>
      <c r="DH94" s="208">
        <v>32558</v>
      </c>
      <c r="DI94" s="208">
        <v>0</v>
      </c>
      <c r="DJ94" s="208">
        <v>664</v>
      </c>
      <c r="DK94" s="208">
        <v>-3136</v>
      </c>
      <c r="DL94" s="208">
        <v>0</v>
      </c>
      <c r="DM94" s="208">
        <v>-64</v>
      </c>
      <c r="DN94" s="208">
        <v>2255.53125</v>
      </c>
      <c r="DO94" s="208">
        <v>0</v>
      </c>
      <c r="DP94" s="208">
        <v>46.03125</v>
      </c>
      <c r="DQ94" s="208">
        <v>752</v>
      </c>
      <c r="DR94" s="208">
        <v>0</v>
      </c>
      <c r="DS94" s="208">
        <v>15</v>
      </c>
      <c r="DT94" s="208">
        <v>1504</v>
      </c>
      <c r="DU94" s="208">
        <v>0</v>
      </c>
      <c r="DV94" s="208">
        <v>31</v>
      </c>
      <c r="DW94" s="208">
        <v>78016.319791666654</v>
      </c>
      <c r="DX94" s="208">
        <v>0</v>
      </c>
      <c r="DY94" s="208">
        <v>1592.1697916666667</v>
      </c>
      <c r="DZ94" s="208">
        <v>56903</v>
      </c>
      <c r="EA94" s="208">
        <v>0</v>
      </c>
      <c r="EB94" s="208">
        <v>1161</v>
      </c>
      <c r="EC94" s="208">
        <v>21113</v>
      </c>
      <c r="ED94" s="208">
        <v>0</v>
      </c>
      <c r="EE94" s="208">
        <v>431</v>
      </c>
      <c r="EF94" s="208">
        <v>134123.41147916668</v>
      </c>
      <c r="EG94" s="208">
        <v>0</v>
      </c>
      <c r="EH94" s="208">
        <v>2737.212479166667</v>
      </c>
      <c r="EI94" s="208">
        <v>0</v>
      </c>
      <c r="EJ94" s="208">
        <v>0</v>
      </c>
      <c r="EK94" s="208">
        <v>0</v>
      </c>
      <c r="EL94" s="208">
        <v>136335</v>
      </c>
      <c r="EM94" s="208">
        <v>0</v>
      </c>
      <c r="EN94" s="208">
        <v>2782</v>
      </c>
      <c r="EO94" s="208">
        <v>-2212</v>
      </c>
      <c r="EP94" s="208">
        <v>0</v>
      </c>
      <c r="EQ94" s="208">
        <v>-45</v>
      </c>
      <c r="ER94" s="208">
        <v>88561.178999999989</v>
      </c>
      <c r="ES94" s="208">
        <v>0</v>
      </c>
      <c r="ET94" s="208">
        <v>1807.3710000000001</v>
      </c>
      <c r="EU94" s="208">
        <v>79729</v>
      </c>
      <c r="EV94" s="208">
        <v>0</v>
      </c>
      <c r="EW94" s="208">
        <v>1627</v>
      </c>
      <c r="EX94" s="208">
        <v>8832</v>
      </c>
      <c r="EY94" s="208">
        <v>0</v>
      </c>
      <c r="EZ94" s="208">
        <v>180</v>
      </c>
      <c r="FA94" s="208">
        <v>0</v>
      </c>
      <c r="FB94" s="208">
        <v>0</v>
      </c>
      <c r="FC94" s="208">
        <v>0</v>
      </c>
      <c r="FD94" s="208">
        <v>0</v>
      </c>
      <c r="FE94" s="208">
        <v>0</v>
      </c>
      <c r="FF94" s="208">
        <v>0</v>
      </c>
      <c r="FG94" s="208">
        <v>0</v>
      </c>
      <c r="FH94" s="208">
        <v>0</v>
      </c>
      <c r="FI94" s="208">
        <v>0</v>
      </c>
      <c r="FJ94" s="208">
        <v>1167401.9126458331</v>
      </c>
      <c r="FK94" s="208">
        <v>0</v>
      </c>
      <c r="FL94" s="208">
        <v>21666.359229166665</v>
      </c>
      <c r="FM94" s="208">
        <v>1181039</v>
      </c>
      <c r="FN94" s="208">
        <v>0</v>
      </c>
      <c r="FO94" s="208">
        <v>21888</v>
      </c>
      <c r="FP94" s="208">
        <v>-13637</v>
      </c>
      <c r="FQ94" s="208">
        <v>0</v>
      </c>
      <c r="FR94" s="208">
        <v>-222</v>
      </c>
      <c r="FS94" s="208">
        <v>0</v>
      </c>
      <c r="FT94" s="208">
        <v>0</v>
      </c>
      <c r="FU94" s="208">
        <v>0</v>
      </c>
      <c r="FV94" s="208">
        <v>0</v>
      </c>
      <c r="FW94" s="208">
        <v>0</v>
      </c>
      <c r="FX94" s="208">
        <v>0</v>
      </c>
      <c r="FY94" s="208">
        <v>0</v>
      </c>
      <c r="FZ94" s="208">
        <v>0</v>
      </c>
      <c r="GA94" s="208">
        <v>0</v>
      </c>
      <c r="GB94" s="208">
        <v>6035430</v>
      </c>
      <c r="GC94" s="208">
        <v>0</v>
      </c>
      <c r="GD94" s="208">
        <v>121013</v>
      </c>
      <c r="GE94" s="664">
        <v>0.5</v>
      </c>
      <c r="GF94" s="664">
        <v>0.49</v>
      </c>
      <c r="GG94" s="664">
        <v>0</v>
      </c>
      <c r="GH94" s="664">
        <v>0.01</v>
      </c>
      <c r="GI94" s="187" t="s">
        <v>742</v>
      </c>
    </row>
    <row r="95" spans="1:191" s="187" customFormat="1" x14ac:dyDescent="0.2">
      <c r="B95" s="429" t="s">
        <v>269</v>
      </c>
      <c r="C95" s="429" t="s">
        <v>268</v>
      </c>
      <c r="D95" s="208">
        <v>-875135</v>
      </c>
      <c r="E95" s="208">
        <v>0</v>
      </c>
      <c r="F95" s="208">
        <v>-875135</v>
      </c>
      <c r="G95" s="208">
        <v>-319227</v>
      </c>
      <c r="H95" s="208">
        <v>0</v>
      </c>
      <c r="I95" s="208">
        <v>-319227</v>
      </c>
      <c r="J95" s="208">
        <v>-555908</v>
      </c>
      <c r="K95" s="208">
        <v>0</v>
      </c>
      <c r="L95" s="208">
        <v>-555908</v>
      </c>
      <c r="M95" s="208">
        <v>174671</v>
      </c>
      <c r="N95" s="208">
        <v>174671</v>
      </c>
      <c r="O95" s="208">
        <v>0</v>
      </c>
      <c r="P95" s="208">
        <v>0</v>
      </c>
      <c r="Q95" s="208">
        <v>0</v>
      </c>
      <c r="R95" s="208">
        <v>0</v>
      </c>
      <c r="S95" s="208">
        <v>0</v>
      </c>
      <c r="T95" s="208">
        <v>0</v>
      </c>
      <c r="U95" s="208">
        <v>0</v>
      </c>
      <c r="V95" s="208">
        <v>0</v>
      </c>
      <c r="W95" s="208">
        <v>0</v>
      </c>
      <c r="X95" s="208">
        <v>0</v>
      </c>
      <c r="Y95" s="208">
        <v>0</v>
      </c>
      <c r="Z95" s="208">
        <v>0</v>
      </c>
      <c r="AA95" s="208">
        <v>0</v>
      </c>
      <c r="AB95" s="208">
        <v>0</v>
      </c>
      <c r="AC95" s="208">
        <v>0</v>
      </c>
      <c r="AD95" s="208">
        <v>0</v>
      </c>
      <c r="AE95" s="208">
        <v>0</v>
      </c>
      <c r="AF95" s="208">
        <v>0</v>
      </c>
      <c r="AG95" s="208">
        <v>0</v>
      </c>
      <c r="AH95" s="208">
        <v>0</v>
      </c>
      <c r="AI95" s="208">
        <v>0</v>
      </c>
      <c r="AJ95" s="208">
        <v>0</v>
      </c>
      <c r="AK95" s="208">
        <v>0</v>
      </c>
      <c r="AL95" s="208">
        <v>0</v>
      </c>
      <c r="AM95" s="208">
        <v>0</v>
      </c>
      <c r="AN95" s="208">
        <v>0</v>
      </c>
      <c r="AO95" s="208">
        <v>0</v>
      </c>
      <c r="AP95" s="208">
        <v>0</v>
      </c>
      <c r="AQ95" s="208">
        <v>0</v>
      </c>
      <c r="AR95" s="208">
        <v>0</v>
      </c>
      <c r="AS95" s="208">
        <v>0</v>
      </c>
      <c r="AT95" s="208">
        <v>0</v>
      </c>
      <c r="AU95" s="208">
        <v>0</v>
      </c>
      <c r="AV95" s="208">
        <v>0</v>
      </c>
      <c r="AW95" s="208">
        <v>0</v>
      </c>
      <c r="AX95" s="208">
        <v>0</v>
      </c>
      <c r="AY95" s="208">
        <v>0</v>
      </c>
      <c r="AZ95" s="208">
        <v>0</v>
      </c>
      <c r="BA95" s="208">
        <v>0</v>
      </c>
      <c r="BB95" s="208">
        <v>0</v>
      </c>
      <c r="BC95" s="208">
        <v>0</v>
      </c>
      <c r="BD95" s="208">
        <v>0</v>
      </c>
      <c r="BE95" s="208">
        <v>0</v>
      </c>
      <c r="BF95" s="208">
        <v>0</v>
      </c>
      <c r="BG95" s="208">
        <v>0</v>
      </c>
      <c r="BH95" s="208">
        <v>0</v>
      </c>
      <c r="BI95" s="208">
        <v>0</v>
      </c>
      <c r="BJ95" s="208">
        <v>0</v>
      </c>
      <c r="BK95" s="208">
        <v>0</v>
      </c>
      <c r="BL95" s="208">
        <v>0</v>
      </c>
      <c r="BM95" s="208">
        <v>0</v>
      </c>
      <c r="BN95" s="208">
        <v>0</v>
      </c>
      <c r="BO95" s="208">
        <v>1221429.5615983335</v>
      </c>
      <c r="BP95" s="208">
        <v>274821.6513596251</v>
      </c>
      <c r="BQ95" s="208">
        <v>30535.739039958342</v>
      </c>
      <c r="BR95" s="208">
        <v>89901</v>
      </c>
      <c r="BS95" s="208">
        <v>20228</v>
      </c>
      <c r="BT95" s="208">
        <v>2248</v>
      </c>
      <c r="BU95" s="208">
        <v>1171105</v>
      </c>
      <c r="BV95" s="208">
        <v>263499</v>
      </c>
      <c r="BW95" s="208">
        <v>29278</v>
      </c>
      <c r="BX95" s="208">
        <v>140226</v>
      </c>
      <c r="BY95" s="208">
        <v>31551</v>
      </c>
      <c r="BZ95" s="208">
        <v>3506</v>
      </c>
      <c r="CA95" s="208">
        <v>0</v>
      </c>
      <c r="CB95" s="208">
        <v>0</v>
      </c>
      <c r="CC95" s="208">
        <v>0</v>
      </c>
      <c r="CD95" s="208">
        <v>0</v>
      </c>
      <c r="CE95" s="208">
        <v>0</v>
      </c>
      <c r="CF95" s="208">
        <v>0</v>
      </c>
      <c r="CG95" s="208">
        <v>0</v>
      </c>
      <c r="CH95" s="208">
        <v>0</v>
      </c>
      <c r="CI95" s="208">
        <v>0</v>
      </c>
      <c r="CJ95" s="208">
        <v>0</v>
      </c>
      <c r="CK95" s="208">
        <v>0</v>
      </c>
      <c r="CL95" s="208">
        <v>0</v>
      </c>
      <c r="CM95" s="208">
        <v>0</v>
      </c>
      <c r="CN95" s="208">
        <v>0</v>
      </c>
      <c r="CO95" s="208">
        <v>0</v>
      </c>
      <c r="CP95" s="208">
        <v>0</v>
      </c>
      <c r="CQ95" s="208">
        <v>0</v>
      </c>
      <c r="CR95" s="208">
        <v>0</v>
      </c>
      <c r="CS95" s="208">
        <v>0</v>
      </c>
      <c r="CT95" s="208">
        <v>0</v>
      </c>
      <c r="CU95" s="208">
        <v>0</v>
      </c>
      <c r="CV95" s="208">
        <v>0</v>
      </c>
      <c r="CW95" s="208">
        <v>0</v>
      </c>
      <c r="CX95" s="208">
        <v>0</v>
      </c>
      <c r="CY95" s="208">
        <v>0</v>
      </c>
      <c r="CZ95" s="208">
        <v>0</v>
      </c>
      <c r="DA95" s="208">
        <v>0</v>
      </c>
      <c r="DB95" s="208">
        <v>0</v>
      </c>
      <c r="DC95" s="208">
        <v>0</v>
      </c>
      <c r="DD95" s="208">
        <v>0</v>
      </c>
      <c r="DE95" s="208">
        <v>0</v>
      </c>
      <c r="DF95" s="208">
        <v>0</v>
      </c>
      <c r="DG95" s="208">
        <v>0</v>
      </c>
      <c r="DH95" s="208">
        <v>1091</v>
      </c>
      <c r="DI95" s="208">
        <v>245</v>
      </c>
      <c r="DJ95" s="208">
        <v>27</v>
      </c>
      <c r="DK95" s="208">
        <v>-1091</v>
      </c>
      <c r="DL95" s="208">
        <v>-245</v>
      </c>
      <c r="DM95" s="208">
        <v>-27</v>
      </c>
      <c r="DN95" s="208">
        <v>1227.5</v>
      </c>
      <c r="DO95" s="208">
        <v>276.1875</v>
      </c>
      <c r="DP95" s="208">
        <v>30.6875</v>
      </c>
      <c r="DQ95" s="208">
        <v>0</v>
      </c>
      <c r="DR95" s="208">
        <v>0</v>
      </c>
      <c r="DS95" s="208">
        <v>0</v>
      </c>
      <c r="DT95" s="208">
        <v>1228</v>
      </c>
      <c r="DU95" s="208">
        <v>276</v>
      </c>
      <c r="DV95" s="208">
        <v>31</v>
      </c>
      <c r="DW95" s="208">
        <v>10317.546666666665</v>
      </c>
      <c r="DX95" s="208">
        <v>2321.4479999999994</v>
      </c>
      <c r="DY95" s="208">
        <v>257.93866666666662</v>
      </c>
      <c r="DZ95" s="208">
        <v>7675</v>
      </c>
      <c r="EA95" s="208">
        <v>1727</v>
      </c>
      <c r="EB95" s="208">
        <v>192</v>
      </c>
      <c r="EC95" s="208">
        <v>2643</v>
      </c>
      <c r="ED95" s="208">
        <v>594</v>
      </c>
      <c r="EE95" s="208">
        <v>66</v>
      </c>
      <c r="EF95" s="208">
        <v>73270.293333333335</v>
      </c>
      <c r="EG95" s="208">
        <v>16485.815999999999</v>
      </c>
      <c r="EH95" s="208">
        <v>1831.7573333333335</v>
      </c>
      <c r="EI95" s="208">
        <v>-15228.774166666668</v>
      </c>
      <c r="EJ95" s="208">
        <v>-3426.4741875</v>
      </c>
      <c r="EK95" s="208">
        <v>-380.71935416666668</v>
      </c>
      <c r="EL95" s="208">
        <v>72518</v>
      </c>
      <c r="EM95" s="208">
        <v>16316</v>
      </c>
      <c r="EN95" s="208">
        <v>1813</v>
      </c>
      <c r="EO95" s="208">
        <v>-14476</v>
      </c>
      <c r="EP95" s="208">
        <v>-3257</v>
      </c>
      <c r="EQ95" s="208">
        <v>-362</v>
      </c>
      <c r="ER95" s="208">
        <v>8862.1408333333329</v>
      </c>
      <c r="ES95" s="208">
        <v>1993.9816874999999</v>
      </c>
      <c r="ET95" s="208">
        <v>221.55352083333332</v>
      </c>
      <c r="EU95" s="208">
        <v>7553</v>
      </c>
      <c r="EV95" s="208">
        <v>1700</v>
      </c>
      <c r="EW95" s="208">
        <v>189</v>
      </c>
      <c r="EX95" s="208">
        <v>1309</v>
      </c>
      <c r="EY95" s="208">
        <v>294</v>
      </c>
      <c r="EZ95" s="208">
        <v>33</v>
      </c>
      <c r="FA95" s="208">
        <v>0</v>
      </c>
      <c r="FB95" s="208">
        <v>0</v>
      </c>
      <c r="FC95" s="208">
        <v>0</v>
      </c>
      <c r="FD95" s="208">
        <v>0</v>
      </c>
      <c r="FE95" s="208">
        <v>0</v>
      </c>
      <c r="FF95" s="208">
        <v>0</v>
      </c>
      <c r="FG95" s="208">
        <v>0</v>
      </c>
      <c r="FH95" s="208">
        <v>0</v>
      </c>
      <c r="FI95" s="208">
        <v>0</v>
      </c>
      <c r="FJ95" s="208">
        <v>478186.98583333334</v>
      </c>
      <c r="FK95" s="208">
        <v>107592.07181249998</v>
      </c>
      <c r="FL95" s="208">
        <v>11954.674645833333</v>
      </c>
      <c r="FM95" s="208">
        <v>478199</v>
      </c>
      <c r="FN95" s="208">
        <v>107595</v>
      </c>
      <c r="FO95" s="208">
        <v>11955</v>
      </c>
      <c r="FP95" s="208">
        <v>-12</v>
      </c>
      <c r="FQ95" s="208">
        <v>-3</v>
      </c>
      <c r="FR95" s="208">
        <v>0</v>
      </c>
      <c r="FS95" s="208">
        <v>0</v>
      </c>
      <c r="FT95" s="208">
        <v>0</v>
      </c>
      <c r="FU95" s="208">
        <v>0</v>
      </c>
      <c r="FV95" s="208">
        <v>0</v>
      </c>
      <c r="FW95" s="208">
        <v>0</v>
      </c>
      <c r="FX95" s="208">
        <v>0</v>
      </c>
      <c r="FY95" s="208">
        <v>0</v>
      </c>
      <c r="FZ95" s="208">
        <v>0</v>
      </c>
      <c r="GA95" s="208">
        <v>0</v>
      </c>
      <c r="GB95" s="208">
        <v>1867967</v>
      </c>
      <c r="GC95" s="208">
        <v>420293</v>
      </c>
      <c r="GD95" s="208">
        <v>46701</v>
      </c>
      <c r="GE95" s="664">
        <v>0.5</v>
      </c>
      <c r="GF95" s="664">
        <v>0.4</v>
      </c>
      <c r="GG95" s="664">
        <v>0.09</v>
      </c>
      <c r="GH95" s="664">
        <v>0.01</v>
      </c>
      <c r="GI95" s="187" t="s">
        <v>1054</v>
      </c>
    </row>
    <row r="96" spans="1:191" s="187" customFormat="1" x14ac:dyDescent="0.2">
      <c r="A96" s="187" t="s">
        <v>1811</v>
      </c>
      <c r="B96" s="429" t="s">
        <v>271</v>
      </c>
      <c r="C96" s="429" t="s">
        <v>270</v>
      </c>
      <c r="D96" s="208">
        <v>574513</v>
      </c>
      <c r="E96" s="208">
        <v>0</v>
      </c>
      <c r="F96" s="208">
        <v>574513</v>
      </c>
      <c r="G96" s="208">
        <v>751617</v>
      </c>
      <c r="H96" s="208">
        <v>0</v>
      </c>
      <c r="I96" s="208">
        <v>751617</v>
      </c>
      <c r="J96" s="208">
        <v>-177104</v>
      </c>
      <c r="K96" s="208">
        <v>0</v>
      </c>
      <c r="L96" s="208">
        <v>-177104</v>
      </c>
      <c r="M96" s="208">
        <v>128715</v>
      </c>
      <c r="N96" s="208">
        <v>128715</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0</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08">
        <v>0</v>
      </c>
      <c r="AX96" s="208">
        <v>0</v>
      </c>
      <c r="AY96" s="208">
        <v>0</v>
      </c>
      <c r="AZ96" s="208">
        <v>0</v>
      </c>
      <c r="BA96" s="208">
        <v>0</v>
      </c>
      <c r="BB96" s="208">
        <v>0</v>
      </c>
      <c r="BC96" s="208">
        <v>0</v>
      </c>
      <c r="BD96" s="208">
        <v>0</v>
      </c>
      <c r="BE96" s="208">
        <v>0</v>
      </c>
      <c r="BF96" s="208">
        <v>0</v>
      </c>
      <c r="BG96" s="208">
        <v>0</v>
      </c>
      <c r="BH96" s="208">
        <v>0</v>
      </c>
      <c r="BI96" s="208">
        <v>0</v>
      </c>
      <c r="BJ96" s="208">
        <v>0</v>
      </c>
      <c r="BK96" s="208">
        <v>0</v>
      </c>
      <c r="BL96" s="208">
        <v>0</v>
      </c>
      <c r="BM96" s="208">
        <v>0</v>
      </c>
      <c r="BN96" s="208">
        <v>0</v>
      </c>
      <c r="BO96" s="208">
        <v>1026906.1586883335</v>
      </c>
      <c r="BP96" s="208">
        <v>231053.88570487499</v>
      </c>
      <c r="BQ96" s="208">
        <v>25672.653967208335</v>
      </c>
      <c r="BR96" s="208">
        <v>73541</v>
      </c>
      <c r="BS96" s="208">
        <v>16547</v>
      </c>
      <c r="BT96" s="208">
        <v>1839</v>
      </c>
      <c r="BU96" s="208">
        <v>958252</v>
      </c>
      <c r="BV96" s="208">
        <v>215607</v>
      </c>
      <c r="BW96" s="208">
        <v>23956</v>
      </c>
      <c r="BX96" s="208">
        <v>142195</v>
      </c>
      <c r="BY96" s="208">
        <v>31994</v>
      </c>
      <c r="BZ96" s="208">
        <v>3556</v>
      </c>
      <c r="CA96" s="208">
        <v>0</v>
      </c>
      <c r="CB96" s="208">
        <v>0</v>
      </c>
      <c r="CC96" s="208">
        <v>0</v>
      </c>
      <c r="CD96" s="208">
        <v>0</v>
      </c>
      <c r="CE96" s="208">
        <v>0</v>
      </c>
      <c r="CF96" s="208">
        <v>0</v>
      </c>
      <c r="CG96" s="208">
        <v>0</v>
      </c>
      <c r="CH96" s="208">
        <v>0</v>
      </c>
      <c r="CI96" s="208">
        <v>0</v>
      </c>
      <c r="CJ96" s="208">
        <v>0</v>
      </c>
      <c r="CK96" s="208">
        <v>0</v>
      </c>
      <c r="CL96" s="208">
        <v>0</v>
      </c>
      <c r="CM96" s="208">
        <v>-59.738333333333337</v>
      </c>
      <c r="CN96" s="208">
        <v>-13.441125</v>
      </c>
      <c r="CO96" s="208">
        <v>-1.4934583333333333</v>
      </c>
      <c r="CP96" s="208">
        <v>-1682.4933333333336</v>
      </c>
      <c r="CQ96" s="208">
        <v>-378.56100000000004</v>
      </c>
      <c r="CR96" s="208">
        <v>-42.062333333333335</v>
      </c>
      <c r="CS96" s="208">
        <v>0</v>
      </c>
      <c r="CT96" s="208">
        <v>0</v>
      </c>
      <c r="CU96" s="208">
        <v>0</v>
      </c>
      <c r="CV96" s="208">
        <v>0</v>
      </c>
      <c r="CW96" s="208">
        <v>0</v>
      </c>
      <c r="CX96" s="208">
        <v>0</v>
      </c>
      <c r="CY96" s="208">
        <v>0</v>
      </c>
      <c r="CZ96" s="208">
        <v>0</v>
      </c>
      <c r="DA96" s="208">
        <v>0</v>
      </c>
      <c r="DB96" s="208">
        <v>-10.229166666666668</v>
      </c>
      <c r="DC96" s="208">
        <v>-2.3015625000000002</v>
      </c>
      <c r="DD96" s="208">
        <v>-0.25572916666666667</v>
      </c>
      <c r="DE96" s="208">
        <v>0</v>
      </c>
      <c r="DF96" s="208">
        <v>0</v>
      </c>
      <c r="DG96" s="208">
        <v>0</v>
      </c>
      <c r="DH96" s="208">
        <v>0</v>
      </c>
      <c r="DI96" s="208">
        <v>0</v>
      </c>
      <c r="DJ96" s="208">
        <v>0</v>
      </c>
      <c r="DK96" s="208">
        <v>0</v>
      </c>
      <c r="DL96" s="208">
        <v>0</v>
      </c>
      <c r="DM96" s="208">
        <v>0</v>
      </c>
      <c r="DN96" s="208">
        <v>0</v>
      </c>
      <c r="DO96" s="208">
        <v>0</v>
      </c>
      <c r="DP96" s="208">
        <v>0</v>
      </c>
      <c r="DQ96" s="208">
        <v>0</v>
      </c>
      <c r="DR96" s="208">
        <v>0</v>
      </c>
      <c r="DS96" s="208">
        <v>0</v>
      </c>
      <c r="DT96" s="208">
        <v>0</v>
      </c>
      <c r="DU96" s="208">
        <v>0</v>
      </c>
      <c r="DV96" s="208">
        <v>0</v>
      </c>
      <c r="DW96" s="208">
        <v>16412.493333333332</v>
      </c>
      <c r="DX96" s="208">
        <v>3692.8110000000001</v>
      </c>
      <c r="DY96" s="208">
        <v>410.3123333333333</v>
      </c>
      <c r="DZ96" s="208">
        <v>19262</v>
      </c>
      <c r="EA96" s="208">
        <v>4334</v>
      </c>
      <c r="EB96" s="208">
        <v>482</v>
      </c>
      <c r="EC96" s="208">
        <v>-2850</v>
      </c>
      <c r="ED96" s="208">
        <v>-641</v>
      </c>
      <c r="EE96" s="208">
        <v>-72</v>
      </c>
      <c r="EF96" s="208">
        <v>48697.380000000005</v>
      </c>
      <c r="EG96" s="208">
        <v>10956.9105</v>
      </c>
      <c r="EH96" s="208">
        <v>1217.4345000000001</v>
      </c>
      <c r="EI96" s="208">
        <v>-2796.2450000000003</v>
      </c>
      <c r="EJ96" s="208">
        <v>-629.155125</v>
      </c>
      <c r="EK96" s="208">
        <v>-69.906125000000003</v>
      </c>
      <c r="EL96" s="208">
        <v>58482</v>
      </c>
      <c r="EM96" s="208">
        <v>13158</v>
      </c>
      <c r="EN96" s="208">
        <v>1462</v>
      </c>
      <c r="EO96" s="208">
        <v>-12581</v>
      </c>
      <c r="EP96" s="208">
        <v>-2830</v>
      </c>
      <c r="EQ96" s="208">
        <v>-314</v>
      </c>
      <c r="ER96" s="208">
        <v>10906.337500000001</v>
      </c>
      <c r="ES96" s="208">
        <v>2453.9259375000001</v>
      </c>
      <c r="ET96" s="208">
        <v>272.65843750000005</v>
      </c>
      <c r="EU96" s="208">
        <v>11457</v>
      </c>
      <c r="EV96" s="208">
        <v>2578</v>
      </c>
      <c r="EW96" s="208">
        <v>286</v>
      </c>
      <c r="EX96" s="208">
        <v>-551</v>
      </c>
      <c r="EY96" s="208">
        <v>-124</v>
      </c>
      <c r="EZ96" s="208">
        <v>-13</v>
      </c>
      <c r="FA96" s="208">
        <v>0</v>
      </c>
      <c r="FB96" s="208">
        <v>0</v>
      </c>
      <c r="FC96" s="208">
        <v>0</v>
      </c>
      <c r="FD96" s="208">
        <v>0</v>
      </c>
      <c r="FE96" s="208">
        <v>0</v>
      </c>
      <c r="FF96" s="208">
        <v>0</v>
      </c>
      <c r="FG96" s="208">
        <v>0</v>
      </c>
      <c r="FH96" s="208">
        <v>0</v>
      </c>
      <c r="FI96" s="208">
        <v>0</v>
      </c>
      <c r="FJ96" s="208">
        <v>317237.41499999998</v>
      </c>
      <c r="FK96" s="208">
        <v>71378.418374999994</v>
      </c>
      <c r="FL96" s="208">
        <v>7930.9353749999991</v>
      </c>
      <c r="FM96" s="208">
        <v>332876</v>
      </c>
      <c r="FN96" s="208">
        <v>74897</v>
      </c>
      <c r="FO96" s="208">
        <v>8322</v>
      </c>
      <c r="FP96" s="208">
        <v>-15639</v>
      </c>
      <c r="FQ96" s="208">
        <v>-3519</v>
      </c>
      <c r="FR96" s="208">
        <v>-391</v>
      </c>
      <c r="FS96" s="208">
        <v>0</v>
      </c>
      <c r="FT96" s="208">
        <v>0</v>
      </c>
      <c r="FU96" s="208">
        <v>0</v>
      </c>
      <c r="FV96" s="208">
        <v>0</v>
      </c>
      <c r="FW96" s="208">
        <v>0</v>
      </c>
      <c r="FX96" s="208">
        <v>0</v>
      </c>
      <c r="FY96" s="208">
        <v>0</v>
      </c>
      <c r="FZ96" s="208">
        <v>0</v>
      </c>
      <c r="GA96" s="208">
        <v>0</v>
      </c>
      <c r="GB96" s="208">
        <v>1489151</v>
      </c>
      <c r="GC96" s="208">
        <v>335060</v>
      </c>
      <c r="GD96" s="208">
        <v>37230</v>
      </c>
      <c r="GE96" s="664">
        <v>0.5</v>
      </c>
      <c r="GF96" s="664">
        <v>0.4</v>
      </c>
      <c r="GG96" s="664">
        <v>0.09</v>
      </c>
      <c r="GH96" s="664">
        <v>0.01</v>
      </c>
      <c r="GI96" s="187" t="s">
        <v>1054</v>
      </c>
    </row>
    <row r="97" spans="1:191" s="187" customFormat="1" x14ac:dyDescent="0.2">
      <c r="B97" s="429" t="s">
        <v>273</v>
      </c>
      <c r="C97" s="429" t="s">
        <v>272</v>
      </c>
      <c r="D97" s="208">
        <v>-1098705</v>
      </c>
      <c r="E97" s="208">
        <v>0</v>
      </c>
      <c r="F97" s="208">
        <v>-1098705</v>
      </c>
      <c r="G97" s="208">
        <v>-1146243</v>
      </c>
      <c r="H97" s="208">
        <v>0</v>
      </c>
      <c r="I97" s="208">
        <v>-1146243</v>
      </c>
      <c r="J97" s="208">
        <v>47538</v>
      </c>
      <c r="K97" s="208">
        <v>0</v>
      </c>
      <c r="L97" s="208">
        <v>47538</v>
      </c>
      <c r="M97" s="208">
        <v>146707</v>
      </c>
      <c r="N97" s="208">
        <v>146707</v>
      </c>
      <c r="O97" s="208">
        <v>0</v>
      </c>
      <c r="P97" s="208">
        <v>0</v>
      </c>
      <c r="Q97" s="208">
        <v>0</v>
      </c>
      <c r="R97" s="208">
        <v>0</v>
      </c>
      <c r="S97" s="208">
        <v>0</v>
      </c>
      <c r="T97" s="208">
        <v>0</v>
      </c>
      <c r="U97" s="208">
        <v>0</v>
      </c>
      <c r="V97" s="208">
        <v>0</v>
      </c>
      <c r="W97" s="208">
        <v>0</v>
      </c>
      <c r="X97" s="208">
        <v>0</v>
      </c>
      <c r="Y97" s="208">
        <v>0</v>
      </c>
      <c r="Z97" s="208">
        <v>0</v>
      </c>
      <c r="AA97" s="208">
        <v>0</v>
      </c>
      <c r="AB97" s="208">
        <v>0</v>
      </c>
      <c r="AC97" s="208">
        <v>0</v>
      </c>
      <c r="AD97" s="208">
        <v>0</v>
      </c>
      <c r="AE97" s="208">
        <v>0</v>
      </c>
      <c r="AF97" s="208">
        <v>0</v>
      </c>
      <c r="AG97" s="208">
        <v>0</v>
      </c>
      <c r="AH97" s="208">
        <v>0</v>
      </c>
      <c r="AI97" s="208">
        <v>0</v>
      </c>
      <c r="AJ97" s="208">
        <v>0</v>
      </c>
      <c r="AK97" s="208">
        <v>0</v>
      </c>
      <c r="AL97" s="208">
        <v>0</v>
      </c>
      <c r="AM97" s="208">
        <v>0</v>
      </c>
      <c r="AN97" s="208">
        <v>0</v>
      </c>
      <c r="AO97" s="208">
        <v>0</v>
      </c>
      <c r="AP97" s="208">
        <v>0</v>
      </c>
      <c r="AQ97" s="208">
        <v>0</v>
      </c>
      <c r="AR97" s="208">
        <v>0</v>
      </c>
      <c r="AS97" s="208">
        <v>0</v>
      </c>
      <c r="AT97" s="208">
        <v>0</v>
      </c>
      <c r="AU97" s="208">
        <v>0</v>
      </c>
      <c r="AV97" s="208">
        <v>0</v>
      </c>
      <c r="AW97" s="208">
        <v>0</v>
      </c>
      <c r="AX97" s="208">
        <v>0</v>
      </c>
      <c r="AY97" s="208">
        <v>0</v>
      </c>
      <c r="AZ97" s="208">
        <v>0</v>
      </c>
      <c r="BA97" s="208">
        <v>0</v>
      </c>
      <c r="BB97" s="208">
        <v>0</v>
      </c>
      <c r="BC97" s="208">
        <v>0</v>
      </c>
      <c r="BD97" s="208">
        <v>0</v>
      </c>
      <c r="BE97" s="208">
        <v>0</v>
      </c>
      <c r="BF97" s="208">
        <v>0</v>
      </c>
      <c r="BG97" s="208">
        <v>0</v>
      </c>
      <c r="BH97" s="208">
        <v>0</v>
      </c>
      <c r="BI97" s="208">
        <v>0</v>
      </c>
      <c r="BJ97" s="208">
        <v>0</v>
      </c>
      <c r="BK97" s="208">
        <v>0</v>
      </c>
      <c r="BL97" s="208">
        <v>0</v>
      </c>
      <c r="BM97" s="208">
        <v>0</v>
      </c>
      <c r="BN97" s="208">
        <v>0</v>
      </c>
      <c r="BO97" s="208">
        <v>867628.24069333333</v>
      </c>
      <c r="BP97" s="208">
        <v>195216.35415599999</v>
      </c>
      <c r="BQ97" s="208">
        <v>21690.706017333334</v>
      </c>
      <c r="BR97" s="208">
        <v>102813</v>
      </c>
      <c r="BS97" s="208">
        <v>23133</v>
      </c>
      <c r="BT97" s="208">
        <v>2570</v>
      </c>
      <c r="BU97" s="208">
        <v>868448</v>
      </c>
      <c r="BV97" s="208">
        <v>195401</v>
      </c>
      <c r="BW97" s="208">
        <v>21711</v>
      </c>
      <c r="BX97" s="208">
        <v>101993</v>
      </c>
      <c r="BY97" s="208">
        <v>22948</v>
      </c>
      <c r="BZ97" s="208">
        <v>2550</v>
      </c>
      <c r="CA97" s="208">
        <v>4993.060833333333</v>
      </c>
      <c r="CB97" s="208">
        <v>1123.4386874999998</v>
      </c>
      <c r="CC97" s="208">
        <v>124.82652083333333</v>
      </c>
      <c r="CD97" s="208">
        <v>5105</v>
      </c>
      <c r="CE97" s="208">
        <v>1149</v>
      </c>
      <c r="CF97" s="208">
        <v>128</v>
      </c>
      <c r="CG97" s="208">
        <v>-112</v>
      </c>
      <c r="CH97" s="208">
        <v>-26</v>
      </c>
      <c r="CI97" s="208">
        <v>-3</v>
      </c>
      <c r="CJ97" s="208">
        <v>0</v>
      </c>
      <c r="CK97" s="208">
        <v>0</v>
      </c>
      <c r="CL97" s="208">
        <v>0</v>
      </c>
      <c r="CM97" s="208">
        <v>-2.4427249999999998</v>
      </c>
      <c r="CN97" s="208">
        <v>-0.54961312499999992</v>
      </c>
      <c r="CO97" s="208">
        <v>-6.1068124999999994E-2</v>
      </c>
      <c r="CP97" s="208">
        <v>0</v>
      </c>
      <c r="CQ97" s="208">
        <v>0</v>
      </c>
      <c r="CR97" s="208">
        <v>0</v>
      </c>
      <c r="CS97" s="208">
        <v>0</v>
      </c>
      <c r="CT97" s="208">
        <v>0</v>
      </c>
      <c r="CU97" s="208">
        <v>0</v>
      </c>
      <c r="CV97" s="208">
        <v>0</v>
      </c>
      <c r="CW97" s="208">
        <v>0</v>
      </c>
      <c r="CX97" s="208">
        <v>0</v>
      </c>
      <c r="CY97" s="208">
        <v>0</v>
      </c>
      <c r="CZ97" s="208">
        <v>0</v>
      </c>
      <c r="DA97" s="208">
        <v>0</v>
      </c>
      <c r="DB97" s="208">
        <v>0</v>
      </c>
      <c r="DC97" s="208">
        <v>0</v>
      </c>
      <c r="DD97" s="208">
        <v>0</v>
      </c>
      <c r="DE97" s="208">
        <v>0</v>
      </c>
      <c r="DF97" s="208">
        <v>0</v>
      </c>
      <c r="DG97" s="208">
        <v>0</v>
      </c>
      <c r="DH97" s="208">
        <v>0</v>
      </c>
      <c r="DI97" s="208">
        <v>0</v>
      </c>
      <c r="DJ97" s="208">
        <v>0</v>
      </c>
      <c r="DK97" s="208">
        <v>0</v>
      </c>
      <c r="DL97" s="208">
        <v>0</v>
      </c>
      <c r="DM97" s="208">
        <v>0</v>
      </c>
      <c r="DN97" s="208">
        <v>0</v>
      </c>
      <c r="DO97" s="208">
        <v>0</v>
      </c>
      <c r="DP97" s="208">
        <v>0</v>
      </c>
      <c r="DQ97" s="208">
        <v>0</v>
      </c>
      <c r="DR97" s="208">
        <v>0</v>
      </c>
      <c r="DS97" s="208">
        <v>0</v>
      </c>
      <c r="DT97" s="208">
        <v>0</v>
      </c>
      <c r="DU97" s="208">
        <v>0</v>
      </c>
      <c r="DV97" s="208">
        <v>0</v>
      </c>
      <c r="DW97" s="208">
        <v>2454.1816666666668</v>
      </c>
      <c r="DX97" s="208">
        <v>552.19087500000001</v>
      </c>
      <c r="DY97" s="208">
        <v>61.354541666666663</v>
      </c>
      <c r="DZ97" s="208">
        <v>3486</v>
      </c>
      <c r="EA97" s="208">
        <v>784</v>
      </c>
      <c r="EB97" s="208">
        <v>87</v>
      </c>
      <c r="EC97" s="208">
        <v>-1032</v>
      </c>
      <c r="ED97" s="208">
        <v>-232</v>
      </c>
      <c r="EE97" s="208">
        <v>-26</v>
      </c>
      <c r="EF97" s="208">
        <v>20932.148333333334</v>
      </c>
      <c r="EG97" s="208">
        <v>4709.7333749999998</v>
      </c>
      <c r="EH97" s="208">
        <v>523.30370833333336</v>
      </c>
      <c r="EI97" s="208">
        <v>8939.064166666667</v>
      </c>
      <c r="EJ97" s="208">
        <v>2011.2894374999998</v>
      </c>
      <c r="EK97" s="208">
        <v>223.47660416666668</v>
      </c>
      <c r="EL97" s="208">
        <v>33142</v>
      </c>
      <c r="EM97" s="208">
        <v>7457</v>
      </c>
      <c r="EN97" s="208">
        <v>829</v>
      </c>
      <c r="EO97" s="208">
        <v>-3271</v>
      </c>
      <c r="EP97" s="208">
        <v>-736</v>
      </c>
      <c r="EQ97" s="208">
        <v>-82</v>
      </c>
      <c r="ER97" s="208">
        <v>6796.6675000000014</v>
      </c>
      <c r="ES97" s="208">
        <v>1529.2501875</v>
      </c>
      <c r="ET97" s="208">
        <v>169.91668750000002</v>
      </c>
      <c r="EU97" s="208">
        <v>5728</v>
      </c>
      <c r="EV97" s="208">
        <v>1289</v>
      </c>
      <c r="EW97" s="208">
        <v>143</v>
      </c>
      <c r="EX97" s="208">
        <v>1069</v>
      </c>
      <c r="EY97" s="208">
        <v>240</v>
      </c>
      <c r="EZ97" s="208">
        <v>27</v>
      </c>
      <c r="FA97" s="208">
        <v>0</v>
      </c>
      <c r="FB97" s="208">
        <v>0</v>
      </c>
      <c r="FC97" s="208">
        <v>0</v>
      </c>
      <c r="FD97" s="208">
        <v>0</v>
      </c>
      <c r="FE97" s="208">
        <v>0</v>
      </c>
      <c r="FF97" s="208">
        <v>0</v>
      </c>
      <c r="FG97" s="208">
        <v>0</v>
      </c>
      <c r="FH97" s="208">
        <v>0</v>
      </c>
      <c r="FI97" s="208">
        <v>0</v>
      </c>
      <c r="FJ97" s="208">
        <v>529845.56166666665</v>
      </c>
      <c r="FK97" s="208">
        <v>119215.25137499998</v>
      </c>
      <c r="FL97" s="208">
        <v>13246.139041666665</v>
      </c>
      <c r="FM97" s="208">
        <v>540274</v>
      </c>
      <c r="FN97" s="208">
        <v>121562</v>
      </c>
      <c r="FO97" s="208">
        <v>13507</v>
      </c>
      <c r="FP97" s="208">
        <v>-10428</v>
      </c>
      <c r="FQ97" s="208">
        <v>-2347</v>
      </c>
      <c r="FR97" s="208">
        <v>-261</v>
      </c>
      <c r="FS97" s="208">
        <v>0</v>
      </c>
      <c r="FT97" s="208">
        <v>0</v>
      </c>
      <c r="FU97" s="208">
        <v>0</v>
      </c>
      <c r="FV97" s="208">
        <v>0</v>
      </c>
      <c r="FW97" s="208">
        <v>0</v>
      </c>
      <c r="FX97" s="208">
        <v>0</v>
      </c>
      <c r="FY97" s="208">
        <v>0</v>
      </c>
      <c r="FZ97" s="208">
        <v>0</v>
      </c>
      <c r="GA97" s="208">
        <v>0</v>
      </c>
      <c r="GB97" s="208">
        <v>1544400</v>
      </c>
      <c r="GC97" s="208">
        <v>347488</v>
      </c>
      <c r="GD97" s="208">
        <v>38609</v>
      </c>
      <c r="GE97" s="664">
        <v>0.5</v>
      </c>
      <c r="GF97" s="664">
        <v>0.4</v>
      </c>
      <c r="GG97" s="664">
        <v>0.09</v>
      </c>
      <c r="GH97" s="664">
        <v>0.01</v>
      </c>
      <c r="GI97" s="187" t="s">
        <v>1054</v>
      </c>
    </row>
    <row r="98" spans="1:191" s="187" customFormat="1" x14ac:dyDescent="0.2">
      <c r="A98" s="185"/>
      <c r="B98" s="429" t="s">
        <v>275</v>
      </c>
      <c r="C98" s="429" t="s">
        <v>274</v>
      </c>
      <c r="D98" s="208">
        <v>440354</v>
      </c>
      <c r="E98" s="208">
        <v>0</v>
      </c>
      <c r="F98" s="208">
        <v>440354</v>
      </c>
      <c r="G98" s="208">
        <v>341483</v>
      </c>
      <c r="H98" s="208">
        <v>0</v>
      </c>
      <c r="I98" s="208">
        <v>341483</v>
      </c>
      <c r="J98" s="208">
        <v>98871</v>
      </c>
      <c r="K98" s="208">
        <v>0</v>
      </c>
      <c r="L98" s="208">
        <v>98871</v>
      </c>
      <c r="M98" s="208">
        <v>126168</v>
      </c>
      <c r="N98" s="208">
        <v>126168</v>
      </c>
      <c r="O98" s="208">
        <v>0</v>
      </c>
      <c r="P98" s="208">
        <v>0</v>
      </c>
      <c r="Q98" s="208">
        <v>0</v>
      </c>
      <c r="R98" s="208">
        <v>0</v>
      </c>
      <c r="S98" s="208">
        <v>20359</v>
      </c>
      <c r="T98" s="208">
        <v>0</v>
      </c>
      <c r="U98" s="208">
        <v>0</v>
      </c>
      <c r="V98" s="208">
        <v>0</v>
      </c>
      <c r="W98" s="208">
        <v>20359</v>
      </c>
      <c r="X98" s="208">
        <v>0</v>
      </c>
      <c r="Y98" s="208">
        <v>0</v>
      </c>
      <c r="Z98" s="208">
        <v>0</v>
      </c>
      <c r="AA98" s="208">
        <v>0</v>
      </c>
      <c r="AB98" s="208">
        <v>0</v>
      </c>
      <c r="AC98" s="208">
        <v>0</v>
      </c>
      <c r="AD98" s="208">
        <v>0</v>
      </c>
      <c r="AE98" s="208">
        <v>0</v>
      </c>
      <c r="AF98" s="208">
        <v>0</v>
      </c>
      <c r="AG98" s="208">
        <v>0</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H98" s="208">
        <v>0</v>
      </c>
      <c r="BI98" s="208">
        <v>0</v>
      </c>
      <c r="BJ98" s="208">
        <v>0</v>
      </c>
      <c r="BK98" s="208">
        <v>0</v>
      </c>
      <c r="BL98" s="208">
        <v>0</v>
      </c>
      <c r="BM98" s="208">
        <v>0</v>
      </c>
      <c r="BN98" s="208">
        <v>0</v>
      </c>
      <c r="BO98" s="208">
        <v>1007886.1632100001</v>
      </c>
      <c r="BP98" s="208">
        <v>251971.54080250004</v>
      </c>
      <c r="BQ98" s="208">
        <v>0</v>
      </c>
      <c r="BR98" s="208">
        <v>41114</v>
      </c>
      <c r="BS98" s="208">
        <v>10279</v>
      </c>
      <c r="BT98" s="208">
        <v>0</v>
      </c>
      <c r="BU98" s="208">
        <v>851040</v>
      </c>
      <c r="BV98" s="208">
        <v>212760</v>
      </c>
      <c r="BW98" s="208">
        <v>0</v>
      </c>
      <c r="BX98" s="208">
        <v>197960</v>
      </c>
      <c r="BY98" s="208">
        <v>49491</v>
      </c>
      <c r="BZ98" s="208">
        <v>0</v>
      </c>
      <c r="CA98" s="208">
        <v>1265.5525</v>
      </c>
      <c r="CB98" s="208">
        <v>316.388125</v>
      </c>
      <c r="CC98" s="208">
        <v>0</v>
      </c>
      <c r="CD98" s="208">
        <v>0</v>
      </c>
      <c r="CE98" s="208">
        <v>0</v>
      </c>
      <c r="CF98" s="208">
        <v>0</v>
      </c>
      <c r="CG98" s="208">
        <v>1266</v>
      </c>
      <c r="CH98" s="208">
        <v>316</v>
      </c>
      <c r="CI98" s="208">
        <v>0</v>
      </c>
      <c r="CJ98" s="208">
        <v>0</v>
      </c>
      <c r="CK98" s="208">
        <v>0</v>
      </c>
      <c r="CL98" s="208">
        <v>0</v>
      </c>
      <c r="CM98" s="208">
        <v>0</v>
      </c>
      <c r="CN98" s="208">
        <v>0</v>
      </c>
      <c r="CO98" s="208">
        <v>0</v>
      </c>
      <c r="CP98" s="208">
        <v>0</v>
      </c>
      <c r="CQ98" s="208">
        <v>0</v>
      </c>
      <c r="CR98" s="208">
        <v>0</v>
      </c>
      <c r="CS98" s="208">
        <v>0</v>
      </c>
      <c r="CT98" s="208">
        <v>0</v>
      </c>
      <c r="CU98" s="208">
        <v>0</v>
      </c>
      <c r="CV98" s="208">
        <v>0</v>
      </c>
      <c r="CW98" s="208">
        <v>0</v>
      </c>
      <c r="CX98" s="208">
        <v>0</v>
      </c>
      <c r="CY98" s="208">
        <v>0</v>
      </c>
      <c r="CZ98" s="208">
        <v>0</v>
      </c>
      <c r="DA98" s="208">
        <v>0</v>
      </c>
      <c r="DB98" s="208">
        <v>0</v>
      </c>
      <c r="DC98" s="208">
        <v>0</v>
      </c>
      <c r="DD98" s="208">
        <v>0</v>
      </c>
      <c r="DE98" s="208">
        <v>25155.157500000005</v>
      </c>
      <c r="DF98" s="208">
        <v>6288.7893750000012</v>
      </c>
      <c r="DG98" s="208">
        <v>0</v>
      </c>
      <c r="DH98" s="208">
        <v>23706</v>
      </c>
      <c r="DI98" s="208">
        <v>5927</v>
      </c>
      <c r="DJ98" s="208">
        <v>0</v>
      </c>
      <c r="DK98" s="208">
        <v>1449</v>
      </c>
      <c r="DL98" s="208">
        <v>362</v>
      </c>
      <c r="DM98" s="208">
        <v>0</v>
      </c>
      <c r="DN98" s="208">
        <v>613.75</v>
      </c>
      <c r="DO98" s="208">
        <v>153.4375</v>
      </c>
      <c r="DP98" s="208">
        <v>0</v>
      </c>
      <c r="DQ98" s="208">
        <v>614</v>
      </c>
      <c r="DR98" s="208">
        <v>153</v>
      </c>
      <c r="DS98" s="208">
        <v>0</v>
      </c>
      <c r="DT98" s="208">
        <v>0</v>
      </c>
      <c r="DU98" s="208">
        <v>0</v>
      </c>
      <c r="DV98" s="208">
        <v>0</v>
      </c>
      <c r="DW98" s="208">
        <v>10959.12</v>
      </c>
      <c r="DX98" s="208">
        <v>2739.78</v>
      </c>
      <c r="DY98" s="208">
        <v>0</v>
      </c>
      <c r="DZ98" s="208">
        <v>4898</v>
      </c>
      <c r="EA98" s="208">
        <v>1225</v>
      </c>
      <c r="EB98" s="208">
        <v>0</v>
      </c>
      <c r="EC98" s="208">
        <v>6061</v>
      </c>
      <c r="ED98" s="208">
        <v>1515</v>
      </c>
      <c r="EE98" s="208">
        <v>0</v>
      </c>
      <c r="EF98" s="208">
        <v>16548.745833333334</v>
      </c>
      <c r="EG98" s="208">
        <v>4137.1864583333336</v>
      </c>
      <c r="EH98" s="208">
        <v>0</v>
      </c>
      <c r="EI98" s="208">
        <v>-4256.560833333333</v>
      </c>
      <c r="EJ98" s="208">
        <v>-1064.1402083333332</v>
      </c>
      <c r="EK98" s="208">
        <v>0</v>
      </c>
      <c r="EL98" s="208">
        <v>19258</v>
      </c>
      <c r="EM98" s="208">
        <v>4815</v>
      </c>
      <c r="EN98" s="208">
        <v>0</v>
      </c>
      <c r="EO98" s="208">
        <v>-6966</v>
      </c>
      <c r="EP98" s="208">
        <v>-1742</v>
      </c>
      <c r="EQ98" s="208">
        <v>0</v>
      </c>
      <c r="ER98" s="208">
        <v>24027.085000000003</v>
      </c>
      <c r="ES98" s="208">
        <v>6006.7712500000007</v>
      </c>
      <c r="ET98" s="208">
        <v>0</v>
      </c>
      <c r="EU98" s="208">
        <v>24959</v>
      </c>
      <c r="EV98" s="208">
        <v>6240</v>
      </c>
      <c r="EW98" s="208">
        <v>0</v>
      </c>
      <c r="EX98" s="208">
        <v>-932</v>
      </c>
      <c r="EY98" s="208">
        <v>-233</v>
      </c>
      <c r="EZ98" s="208">
        <v>0</v>
      </c>
      <c r="FA98" s="208">
        <v>0</v>
      </c>
      <c r="FB98" s="208">
        <v>0</v>
      </c>
      <c r="FC98" s="208">
        <v>0</v>
      </c>
      <c r="FD98" s="208">
        <v>0</v>
      </c>
      <c r="FE98" s="208">
        <v>0</v>
      </c>
      <c r="FF98" s="208">
        <v>0</v>
      </c>
      <c r="FG98" s="208">
        <v>0</v>
      </c>
      <c r="FH98" s="208">
        <v>0</v>
      </c>
      <c r="FI98" s="208">
        <v>0</v>
      </c>
      <c r="FJ98" s="208">
        <v>195410.86124999999</v>
      </c>
      <c r="FK98" s="208">
        <v>48736.075208333335</v>
      </c>
      <c r="FL98" s="208">
        <v>0</v>
      </c>
      <c r="FM98" s="208">
        <v>197352</v>
      </c>
      <c r="FN98" s="208">
        <v>49338</v>
      </c>
      <c r="FO98" s="208">
        <v>0</v>
      </c>
      <c r="FP98" s="208">
        <v>-1941</v>
      </c>
      <c r="FQ98" s="208">
        <v>-602</v>
      </c>
      <c r="FR98" s="208">
        <v>0</v>
      </c>
      <c r="FS98" s="208">
        <v>0</v>
      </c>
      <c r="FT98" s="208">
        <v>0</v>
      </c>
      <c r="FU98" s="208">
        <v>0</v>
      </c>
      <c r="FV98" s="208">
        <v>0</v>
      </c>
      <c r="FW98" s="208">
        <v>0</v>
      </c>
      <c r="FX98" s="208">
        <v>0</v>
      </c>
      <c r="FY98" s="208">
        <v>0</v>
      </c>
      <c r="FZ98" s="208">
        <v>0</v>
      </c>
      <c r="GA98" s="208">
        <v>0</v>
      </c>
      <c r="GB98" s="208">
        <v>1318724</v>
      </c>
      <c r="GC98" s="208">
        <v>329565</v>
      </c>
      <c r="GD98" s="208">
        <v>0</v>
      </c>
      <c r="GE98" s="664">
        <v>0.5</v>
      </c>
      <c r="GF98" s="664">
        <v>0.4</v>
      </c>
      <c r="GG98" s="664">
        <v>0.1</v>
      </c>
      <c r="GH98" s="664">
        <v>0</v>
      </c>
      <c r="GI98" s="187" t="s">
        <v>1054</v>
      </c>
    </row>
    <row r="99" spans="1:191" s="187" customFormat="1" x14ac:dyDescent="0.2">
      <c r="B99" s="429" t="s">
        <v>277</v>
      </c>
      <c r="C99" s="429" t="s">
        <v>276</v>
      </c>
      <c r="D99" s="208">
        <v>2080326</v>
      </c>
      <c r="E99" s="208">
        <v>0</v>
      </c>
      <c r="F99" s="208">
        <v>2080326</v>
      </c>
      <c r="G99" s="208">
        <v>2464832</v>
      </c>
      <c r="H99" s="208">
        <v>0</v>
      </c>
      <c r="I99" s="208">
        <v>2464832</v>
      </c>
      <c r="J99" s="208">
        <v>-384506</v>
      </c>
      <c r="K99" s="208">
        <v>0</v>
      </c>
      <c r="L99" s="208">
        <v>-384506</v>
      </c>
      <c r="M99" s="208">
        <v>181894</v>
      </c>
      <c r="N99" s="208">
        <v>181894</v>
      </c>
      <c r="O99" s="208">
        <v>0</v>
      </c>
      <c r="P99" s="208">
        <v>0</v>
      </c>
      <c r="Q99" s="208">
        <v>0</v>
      </c>
      <c r="R99" s="208">
        <v>0</v>
      </c>
      <c r="S99" s="208">
        <v>19741</v>
      </c>
      <c r="T99" s="208">
        <v>0</v>
      </c>
      <c r="U99" s="208">
        <v>19741</v>
      </c>
      <c r="V99" s="208">
        <v>0</v>
      </c>
      <c r="W99" s="208">
        <v>0</v>
      </c>
      <c r="X99" s="208">
        <v>0</v>
      </c>
      <c r="Y99" s="208">
        <v>0</v>
      </c>
      <c r="Z99" s="208">
        <v>0</v>
      </c>
      <c r="AA99" s="208">
        <v>0</v>
      </c>
      <c r="AB99" s="208">
        <v>0</v>
      </c>
      <c r="AC99" s="208">
        <v>0</v>
      </c>
      <c r="AD99" s="208">
        <v>0</v>
      </c>
      <c r="AE99" s="208">
        <v>0</v>
      </c>
      <c r="AF99" s="208">
        <v>0</v>
      </c>
      <c r="AG99" s="208">
        <v>0</v>
      </c>
      <c r="AH99" s="208">
        <v>0</v>
      </c>
      <c r="AI99" s="208">
        <v>0</v>
      </c>
      <c r="AJ99" s="208">
        <v>0</v>
      </c>
      <c r="AK99" s="208">
        <v>0</v>
      </c>
      <c r="AL99" s="208">
        <v>0</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0</v>
      </c>
      <c r="BD99" s="208">
        <v>0</v>
      </c>
      <c r="BE99" s="208">
        <v>0</v>
      </c>
      <c r="BF99" s="208">
        <v>0</v>
      </c>
      <c r="BG99" s="208">
        <v>0</v>
      </c>
      <c r="BH99" s="208">
        <v>0</v>
      </c>
      <c r="BI99" s="208">
        <v>0</v>
      </c>
      <c r="BJ99" s="208">
        <v>0</v>
      </c>
      <c r="BK99" s="208">
        <v>0</v>
      </c>
      <c r="BL99" s="208">
        <v>0</v>
      </c>
      <c r="BM99" s="208">
        <v>0</v>
      </c>
      <c r="BN99" s="208">
        <v>0</v>
      </c>
      <c r="BO99" s="208">
        <v>722834.86852500006</v>
      </c>
      <c r="BP99" s="208">
        <v>1686614.6932250001</v>
      </c>
      <c r="BQ99" s="208">
        <v>0</v>
      </c>
      <c r="BR99" s="208">
        <v>92253</v>
      </c>
      <c r="BS99" s="208">
        <v>215257</v>
      </c>
      <c r="BT99" s="208">
        <v>0</v>
      </c>
      <c r="BU99" s="208">
        <v>693525</v>
      </c>
      <c r="BV99" s="208">
        <v>1618224</v>
      </c>
      <c r="BW99" s="208">
        <v>0</v>
      </c>
      <c r="BX99" s="208">
        <v>121563</v>
      </c>
      <c r="BY99" s="208">
        <v>283648</v>
      </c>
      <c r="BZ99" s="208">
        <v>0</v>
      </c>
      <c r="CA99" s="208">
        <v>548.6925</v>
      </c>
      <c r="CB99" s="208">
        <v>1280.2824999999998</v>
      </c>
      <c r="CC99" s="208">
        <v>0</v>
      </c>
      <c r="CD99" s="208">
        <v>0</v>
      </c>
      <c r="CE99" s="208">
        <v>0</v>
      </c>
      <c r="CF99" s="208">
        <v>0</v>
      </c>
      <c r="CG99" s="208">
        <v>549</v>
      </c>
      <c r="CH99" s="208">
        <v>1280</v>
      </c>
      <c r="CI99" s="208">
        <v>0</v>
      </c>
      <c r="CJ99" s="208">
        <v>0</v>
      </c>
      <c r="CK99" s="208">
        <v>0</v>
      </c>
      <c r="CL99" s="208">
        <v>0</v>
      </c>
      <c r="CM99" s="208">
        <v>0</v>
      </c>
      <c r="CN99" s="208">
        <v>0</v>
      </c>
      <c r="CO99" s="208">
        <v>0</v>
      </c>
      <c r="CP99" s="208">
        <v>-675.12499999999989</v>
      </c>
      <c r="CQ99" s="208">
        <v>-1575.2916666666665</v>
      </c>
      <c r="CR99" s="208">
        <v>0</v>
      </c>
      <c r="CS99" s="208">
        <v>0</v>
      </c>
      <c r="CT99" s="208">
        <v>0</v>
      </c>
      <c r="CU99" s="208">
        <v>0</v>
      </c>
      <c r="CV99" s="208">
        <v>0</v>
      </c>
      <c r="CW99" s="208">
        <v>0</v>
      </c>
      <c r="CX99" s="208">
        <v>0</v>
      </c>
      <c r="CY99" s="208">
        <v>0</v>
      </c>
      <c r="CZ99" s="208">
        <v>0</v>
      </c>
      <c r="DA99" s="208">
        <v>0</v>
      </c>
      <c r="DB99" s="208">
        <v>0</v>
      </c>
      <c r="DC99" s="208">
        <v>0</v>
      </c>
      <c r="DD99" s="208">
        <v>0</v>
      </c>
      <c r="DE99" s="208">
        <v>0</v>
      </c>
      <c r="DF99" s="208">
        <v>0</v>
      </c>
      <c r="DG99" s="208">
        <v>0</v>
      </c>
      <c r="DH99" s="208">
        <v>0</v>
      </c>
      <c r="DI99" s="208">
        <v>0</v>
      </c>
      <c r="DJ99" s="208">
        <v>0</v>
      </c>
      <c r="DK99" s="208">
        <v>0</v>
      </c>
      <c r="DL99" s="208">
        <v>0</v>
      </c>
      <c r="DM99" s="208">
        <v>0</v>
      </c>
      <c r="DN99" s="208">
        <v>0</v>
      </c>
      <c r="DO99" s="208">
        <v>0</v>
      </c>
      <c r="DP99" s="208">
        <v>0</v>
      </c>
      <c r="DQ99" s="208">
        <v>0</v>
      </c>
      <c r="DR99" s="208">
        <v>0</v>
      </c>
      <c r="DS99" s="208">
        <v>0</v>
      </c>
      <c r="DT99" s="208">
        <v>0</v>
      </c>
      <c r="DU99" s="208">
        <v>0</v>
      </c>
      <c r="DV99" s="208">
        <v>0</v>
      </c>
      <c r="DW99" s="208">
        <v>28046.226875</v>
      </c>
      <c r="DX99" s="208">
        <v>65441.196041666662</v>
      </c>
      <c r="DY99" s="208">
        <v>0</v>
      </c>
      <c r="DZ99" s="208">
        <v>26405</v>
      </c>
      <c r="EA99" s="208">
        <v>61613</v>
      </c>
      <c r="EB99" s="208">
        <v>0</v>
      </c>
      <c r="EC99" s="208">
        <v>1641</v>
      </c>
      <c r="ED99" s="208">
        <v>3828</v>
      </c>
      <c r="EE99" s="208">
        <v>0</v>
      </c>
      <c r="EF99" s="208">
        <v>122706.11687499999</v>
      </c>
      <c r="EG99" s="208">
        <v>286314.27270833333</v>
      </c>
      <c r="EH99" s="208">
        <v>0</v>
      </c>
      <c r="EI99" s="208">
        <v>-1042.76125</v>
      </c>
      <c r="EJ99" s="208">
        <v>-2433.1095833333334</v>
      </c>
      <c r="EK99" s="208">
        <v>0</v>
      </c>
      <c r="EL99" s="208">
        <v>123269</v>
      </c>
      <c r="EM99" s="208">
        <v>287627</v>
      </c>
      <c r="EN99" s="208">
        <v>0</v>
      </c>
      <c r="EO99" s="208">
        <v>-1606</v>
      </c>
      <c r="EP99" s="208">
        <v>-3746</v>
      </c>
      <c r="EQ99" s="208">
        <v>0</v>
      </c>
      <c r="ER99" s="208">
        <v>6968.8243750000001</v>
      </c>
      <c r="ES99" s="208">
        <v>16260.590208333333</v>
      </c>
      <c r="ET99" s="208">
        <v>0</v>
      </c>
      <c r="EU99" s="208">
        <v>4603</v>
      </c>
      <c r="EV99" s="208">
        <v>10741</v>
      </c>
      <c r="EW99" s="208">
        <v>0</v>
      </c>
      <c r="EX99" s="208">
        <v>2366</v>
      </c>
      <c r="EY99" s="208">
        <v>5520</v>
      </c>
      <c r="EZ99" s="208">
        <v>0</v>
      </c>
      <c r="FA99" s="208">
        <v>0</v>
      </c>
      <c r="FB99" s="208">
        <v>0</v>
      </c>
      <c r="FC99" s="208">
        <v>0</v>
      </c>
      <c r="FD99" s="208">
        <v>0</v>
      </c>
      <c r="FE99" s="208">
        <v>0</v>
      </c>
      <c r="FF99" s="208">
        <v>0</v>
      </c>
      <c r="FG99" s="208">
        <v>0</v>
      </c>
      <c r="FH99" s="208">
        <v>0</v>
      </c>
      <c r="FI99" s="208">
        <v>0</v>
      </c>
      <c r="FJ99" s="208">
        <v>457158.97104166658</v>
      </c>
      <c r="FK99" s="208">
        <v>1065648.6706249998</v>
      </c>
      <c r="FL99" s="208">
        <v>0</v>
      </c>
      <c r="FM99" s="208">
        <v>439989</v>
      </c>
      <c r="FN99" s="208">
        <v>1025585</v>
      </c>
      <c r="FO99" s="208">
        <v>0</v>
      </c>
      <c r="FP99" s="208">
        <v>17170</v>
      </c>
      <c r="FQ99" s="208">
        <v>40064</v>
      </c>
      <c r="FR99" s="208">
        <v>0</v>
      </c>
      <c r="FS99" s="208">
        <v>0</v>
      </c>
      <c r="FT99" s="208">
        <v>0</v>
      </c>
      <c r="FU99" s="208">
        <v>0</v>
      </c>
      <c r="FV99" s="208">
        <v>0</v>
      </c>
      <c r="FW99" s="208">
        <v>0</v>
      </c>
      <c r="FX99" s="208">
        <v>0</v>
      </c>
      <c r="FY99" s="208">
        <v>0</v>
      </c>
      <c r="FZ99" s="208">
        <v>0</v>
      </c>
      <c r="GA99" s="208">
        <v>0</v>
      </c>
      <c r="GB99" s="208">
        <v>1428799</v>
      </c>
      <c r="GC99" s="208">
        <v>3332809</v>
      </c>
      <c r="GD99" s="208">
        <v>0</v>
      </c>
      <c r="GE99" s="664">
        <v>0</v>
      </c>
      <c r="GF99" s="664">
        <v>0.3</v>
      </c>
      <c r="GG99" s="664">
        <v>0.7</v>
      </c>
      <c r="GH99" s="664">
        <v>0</v>
      </c>
      <c r="GI99" s="187" t="s">
        <v>1054</v>
      </c>
    </row>
    <row r="100" spans="1:191" s="187" customFormat="1" x14ac:dyDescent="0.2">
      <c r="B100" s="429" t="s">
        <v>279</v>
      </c>
      <c r="C100" s="429" t="s">
        <v>278</v>
      </c>
      <c r="D100" s="208">
        <v>-450106</v>
      </c>
      <c r="E100" s="208">
        <v>0</v>
      </c>
      <c r="F100" s="208">
        <v>-450106</v>
      </c>
      <c r="G100" s="208">
        <v>-528452</v>
      </c>
      <c r="H100" s="208">
        <v>0</v>
      </c>
      <c r="I100" s="208">
        <v>-528452</v>
      </c>
      <c r="J100" s="208">
        <v>78346</v>
      </c>
      <c r="K100" s="208">
        <v>0</v>
      </c>
      <c r="L100" s="208">
        <v>78346</v>
      </c>
      <c r="M100" s="208">
        <v>336786</v>
      </c>
      <c r="N100" s="208">
        <v>336786</v>
      </c>
      <c r="O100" s="208">
        <v>0</v>
      </c>
      <c r="P100" s="208">
        <v>0</v>
      </c>
      <c r="Q100" s="208">
        <v>0</v>
      </c>
      <c r="R100" s="208">
        <v>0</v>
      </c>
      <c r="S100" s="208">
        <v>0</v>
      </c>
      <c r="T100" s="208">
        <v>0</v>
      </c>
      <c r="U100" s="208">
        <v>0</v>
      </c>
      <c r="V100" s="208">
        <v>0</v>
      </c>
      <c r="W100" s="208">
        <v>0</v>
      </c>
      <c r="X100" s="208">
        <v>0</v>
      </c>
      <c r="Y100" s="208">
        <v>0</v>
      </c>
      <c r="Z100" s="208">
        <v>0</v>
      </c>
      <c r="AA100" s="208">
        <v>0</v>
      </c>
      <c r="AB100" s="208">
        <v>0</v>
      </c>
      <c r="AC100" s="208">
        <v>0</v>
      </c>
      <c r="AD100" s="208">
        <v>0</v>
      </c>
      <c r="AE100" s="208">
        <v>0</v>
      </c>
      <c r="AF100" s="208">
        <v>0</v>
      </c>
      <c r="AG100" s="208">
        <v>0</v>
      </c>
      <c r="AH100" s="208">
        <v>0</v>
      </c>
      <c r="AI100" s="208">
        <v>0</v>
      </c>
      <c r="AJ100" s="208">
        <v>0</v>
      </c>
      <c r="AK100" s="208">
        <v>0</v>
      </c>
      <c r="AL100" s="208">
        <v>0</v>
      </c>
      <c r="AM100" s="208">
        <v>0</v>
      </c>
      <c r="AN100" s="208">
        <v>0</v>
      </c>
      <c r="AO100" s="208">
        <v>0</v>
      </c>
      <c r="AP100" s="208">
        <v>0</v>
      </c>
      <c r="AQ100" s="208">
        <v>0</v>
      </c>
      <c r="AR100" s="208">
        <v>0</v>
      </c>
      <c r="AS100" s="208">
        <v>0</v>
      </c>
      <c r="AT100" s="208">
        <v>0</v>
      </c>
      <c r="AU100" s="208">
        <v>0</v>
      </c>
      <c r="AV100" s="208">
        <v>0</v>
      </c>
      <c r="AW100" s="208">
        <v>0</v>
      </c>
      <c r="AX100" s="208">
        <v>0</v>
      </c>
      <c r="AY100" s="208">
        <v>0</v>
      </c>
      <c r="AZ100" s="208">
        <v>0</v>
      </c>
      <c r="BA100" s="208">
        <v>0</v>
      </c>
      <c r="BB100" s="208">
        <v>0</v>
      </c>
      <c r="BC100" s="208">
        <v>0</v>
      </c>
      <c r="BD100" s="208">
        <v>0</v>
      </c>
      <c r="BE100" s="208">
        <v>0</v>
      </c>
      <c r="BF100" s="208">
        <v>0</v>
      </c>
      <c r="BG100" s="208">
        <v>0</v>
      </c>
      <c r="BH100" s="208">
        <v>0</v>
      </c>
      <c r="BI100" s="208">
        <v>0</v>
      </c>
      <c r="BJ100" s="208">
        <v>0</v>
      </c>
      <c r="BK100" s="208">
        <v>0</v>
      </c>
      <c r="BL100" s="208">
        <v>0</v>
      </c>
      <c r="BM100" s="208">
        <v>0</v>
      </c>
      <c r="BN100" s="208">
        <v>0</v>
      </c>
      <c r="BO100" s="208">
        <v>3507775.0981093333</v>
      </c>
      <c r="BP100" s="208">
        <v>1973123.4926865001</v>
      </c>
      <c r="BQ100" s="208">
        <v>0</v>
      </c>
      <c r="BR100" s="208">
        <v>225338</v>
      </c>
      <c r="BS100" s="208">
        <v>126753</v>
      </c>
      <c r="BT100" s="208">
        <v>0</v>
      </c>
      <c r="BU100" s="208">
        <v>3425046</v>
      </c>
      <c r="BV100" s="208">
        <v>1926589</v>
      </c>
      <c r="BW100" s="208">
        <v>0</v>
      </c>
      <c r="BX100" s="208">
        <v>308067</v>
      </c>
      <c r="BY100" s="208">
        <v>173287</v>
      </c>
      <c r="BZ100" s="208">
        <v>0</v>
      </c>
      <c r="CA100" s="208">
        <v>0</v>
      </c>
      <c r="CB100" s="208">
        <v>0</v>
      </c>
      <c r="CC100" s="208">
        <v>0</v>
      </c>
      <c r="CD100" s="208">
        <v>0</v>
      </c>
      <c r="CE100" s="208">
        <v>0</v>
      </c>
      <c r="CF100" s="208">
        <v>0</v>
      </c>
      <c r="CG100" s="208">
        <v>0</v>
      </c>
      <c r="CH100" s="208">
        <v>0</v>
      </c>
      <c r="CI100" s="208">
        <v>0</v>
      </c>
      <c r="CJ100" s="208">
        <v>0</v>
      </c>
      <c r="CK100" s="208">
        <v>0</v>
      </c>
      <c r="CL100" s="208">
        <v>0</v>
      </c>
      <c r="CM100" s="208">
        <v>0</v>
      </c>
      <c r="CN100" s="208">
        <v>0</v>
      </c>
      <c r="CO100" s="208">
        <v>0</v>
      </c>
      <c r="CP100" s="208">
        <v>-1046.8119999999999</v>
      </c>
      <c r="CQ100" s="208">
        <v>-588.83174999999994</v>
      </c>
      <c r="CR100" s="208">
        <v>0</v>
      </c>
      <c r="CS100" s="208">
        <v>0</v>
      </c>
      <c r="CT100" s="208">
        <v>0</v>
      </c>
      <c r="CU100" s="208">
        <v>0</v>
      </c>
      <c r="CV100" s="208">
        <v>0</v>
      </c>
      <c r="CW100" s="208">
        <v>0</v>
      </c>
      <c r="CX100" s="208">
        <v>0</v>
      </c>
      <c r="CY100" s="208">
        <v>0</v>
      </c>
      <c r="CZ100" s="208">
        <v>0</v>
      </c>
      <c r="DA100" s="208">
        <v>0</v>
      </c>
      <c r="DB100" s="208">
        <v>-2485.1146666666668</v>
      </c>
      <c r="DC100" s="208">
        <v>-1397.877</v>
      </c>
      <c r="DD100" s="208">
        <v>0</v>
      </c>
      <c r="DE100" s="208">
        <v>0</v>
      </c>
      <c r="DF100" s="208">
        <v>0</v>
      </c>
      <c r="DG100" s="208">
        <v>0</v>
      </c>
      <c r="DH100" s="208">
        <v>0</v>
      </c>
      <c r="DI100" s="208">
        <v>0</v>
      </c>
      <c r="DJ100" s="208">
        <v>0</v>
      </c>
      <c r="DK100" s="208">
        <v>0</v>
      </c>
      <c r="DL100" s="208">
        <v>0</v>
      </c>
      <c r="DM100" s="208">
        <v>0</v>
      </c>
      <c r="DN100" s="208">
        <v>982</v>
      </c>
      <c r="DO100" s="208">
        <v>552.375</v>
      </c>
      <c r="DP100" s="208">
        <v>0</v>
      </c>
      <c r="DQ100" s="208">
        <v>982</v>
      </c>
      <c r="DR100" s="208">
        <v>552</v>
      </c>
      <c r="DS100" s="208">
        <v>0</v>
      </c>
      <c r="DT100" s="208">
        <v>0</v>
      </c>
      <c r="DU100" s="208">
        <v>0</v>
      </c>
      <c r="DV100" s="208">
        <v>0</v>
      </c>
      <c r="DW100" s="208">
        <v>24425.613333333331</v>
      </c>
      <c r="DX100" s="208">
        <v>13739.407499999999</v>
      </c>
      <c r="DY100" s="208">
        <v>0</v>
      </c>
      <c r="DZ100" s="208">
        <v>8736</v>
      </c>
      <c r="EA100" s="208">
        <v>4914</v>
      </c>
      <c r="EB100" s="208">
        <v>0</v>
      </c>
      <c r="EC100" s="208">
        <v>15690</v>
      </c>
      <c r="ED100" s="208">
        <v>8825</v>
      </c>
      <c r="EE100" s="208">
        <v>0</v>
      </c>
      <c r="EF100" s="208">
        <v>253533.41466666665</v>
      </c>
      <c r="EG100" s="208">
        <v>142612.54574999999</v>
      </c>
      <c r="EH100" s="208">
        <v>0</v>
      </c>
      <c r="EI100" s="208">
        <v>-18899.572</v>
      </c>
      <c r="EJ100" s="208">
        <v>-10631.009249999999</v>
      </c>
      <c r="EK100" s="208">
        <v>0</v>
      </c>
      <c r="EL100" s="208">
        <v>289306</v>
      </c>
      <c r="EM100" s="208">
        <v>162734</v>
      </c>
      <c r="EN100" s="208">
        <v>0</v>
      </c>
      <c r="EO100" s="208">
        <v>-54672</v>
      </c>
      <c r="EP100" s="208">
        <v>-30752</v>
      </c>
      <c r="EQ100" s="208">
        <v>0</v>
      </c>
      <c r="ER100" s="208">
        <v>25583.064000000002</v>
      </c>
      <c r="ES100" s="208">
        <v>14390.473500000002</v>
      </c>
      <c r="ET100" s="208">
        <v>0</v>
      </c>
      <c r="EU100" s="208">
        <v>28023</v>
      </c>
      <c r="EV100" s="208">
        <v>15763</v>
      </c>
      <c r="EW100" s="208">
        <v>0</v>
      </c>
      <c r="EX100" s="208">
        <v>-2440</v>
      </c>
      <c r="EY100" s="208">
        <v>-1373</v>
      </c>
      <c r="EZ100" s="208">
        <v>0</v>
      </c>
      <c r="FA100" s="208">
        <v>0</v>
      </c>
      <c r="FB100" s="208">
        <v>0</v>
      </c>
      <c r="FC100" s="208">
        <v>0</v>
      </c>
      <c r="FD100" s="208">
        <v>0</v>
      </c>
      <c r="FE100" s="208">
        <v>0</v>
      </c>
      <c r="FF100" s="208">
        <v>0</v>
      </c>
      <c r="FG100" s="208">
        <v>0</v>
      </c>
      <c r="FH100" s="208">
        <v>0</v>
      </c>
      <c r="FI100" s="208">
        <v>0</v>
      </c>
      <c r="FJ100" s="208">
        <v>1630373.976</v>
      </c>
      <c r="FK100" s="208">
        <v>917085.3615</v>
      </c>
      <c r="FL100" s="208">
        <v>0</v>
      </c>
      <c r="FM100" s="208">
        <v>1655078</v>
      </c>
      <c r="FN100" s="208">
        <v>930981</v>
      </c>
      <c r="FO100" s="208">
        <v>0</v>
      </c>
      <c r="FP100" s="208">
        <v>-24704</v>
      </c>
      <c r="FQ100" s="208">
        <v>-13896</v>
      </c>
      <c r="FR100" s="208">
        <v>0</v>
      </c>
      <c r="FS100" s="208">
        <v>0</v>
      </c>
      <c r="FT100" s="208">
        <v>0</v>
      </c>
      <c r="FU100" s="208">
        <v>0</v>
      </c>
      <c r="FV100" s="208">
        <v>0</v>
      </c>
      <c r="FW100" s="208">
        <v>0</v>
      </c>
      <c r="FX100" s="208">
        <v>0</v>
      </c>
      <c r="FY100" s="208">
        <v>0</v>
      </c>
      <c r="FZ100" s="208">
        <v>0</v>
      </c>
      <c r="GA100" s="208">
        <v>0</v>
      </c>
      <c r="GB100" s="208">
        <v>5645579</v>
      </c>
      <c r="GC100" s="208">
        <v>3175637</v>
      </c>
      <c r="GD100" s="208">
        <v>0</v>
      </c>
      <c r="GE100" s="664">
        <v>0</v>
      </c>
      <c r="GF100" s="664">
        <v>0.64</v>
      </c>
      <c r="GG100" s="664">
        <v>0.36</v>
      </c>
      <c r="GH100" s="664">
        <v>0</v>
      </c>
      <c r="GI100" s="187" t="s">
        <v>1055</v>
      </c>
    </row>
    <row r="101" spans="1:191" s="187" customFormat="1" x14ac:dyDescent="0.2">
      <c r="B101" s="429" t="s">
        <v>281</v>
      </c>
      <c r="C101" s="429" t="s">
        <v>280</v>
      </c>
      <c r="D101" s="208">
        <v>530191</v>
      </c>
      <c r="E101" s="208">
        <v>0</v>
      </c>
      <c r="F101" s="208">
        <v>530191</v>
      </c>
      <c r="G101" s="208">
        <v>699428</v>
      </c>
      <c r="H101" s="208">
        <v>0</v>
      </c>
      <c r="I101" s="208">
        <v>699428</v>
      </c>
      <c r="J101" s="208">
        <v>-169237</v>
      </c>
      <c r="K101" s="208">
        <v>0</v>
      </c>
      <c r="L101" s="208">
        <v>-169237</v>
      </c>
      <c r="M101" s="208">
        <v>172565</v>
      </c>
      <c r="N101" s="208">
        <v>172565</v>
      </c>
      <c r="O101" s="208">
        <v>0</v>
      </c>
      <c r="P101" s="208">
        <v>0</v>
      </c>
      <c r="Q101" s="208">
        <v>0</v>
      </c>
      <c r="R101" s="208">
        <v>0</v>
      </c>
      <c r="S101" s="208">
        <v>0</v>
      </c>
      <c r="T101" s="208">
        <v>0</v>
      </c>
      <c r="U101" s="208">
        <v>0</v>
      </c>
      <c r="V101" s="208">
        <v>0</v>
      </c>
      <c r="W101" s="208">
        <v>0</v>
      </c>
      <c r="X101" s="208">
        <v>0</v>
      </c>
      <c r="Y101" s="208">
        <v>0</v>
      </c>
      <c r="Z101" s="208">
        <v>0</v>
      </c>
      <c r="AA101" s="208">
        <v>0</v>
      </c>
      <c r="AB101" s="208">
        <v>0</v>
      </c>
      <c r="AC101" s="208">
        <v>0</v>
      </c>
      <c r="AD101" s="208">
        <v>0</v>
      </c>
      <c r="AE101" s="208">
        <v>0</v>
      </c>
      <c r="AF101" s="208">
        <v>0</v>
      </c>
      <c r="AG101" s="208">
        <v>0</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0</v>
      </c>
      <c r="BH101" s="208">
        <v>0</v>
      </c>
      <c r="BI101" s="208">
        <v>0</v>
      </c>
      <c r="BJ101" s="208">
        <v>0</v>
      </c>
      <c r="BK101" s="208">
        <v>0</v>
      </c>
      <c r="BL101" s="208">
        <v>0</v>
      </c>
      <c r="BM101" s="208">
        <v>0</v>
      </c>
      <c r="BN101" s="208">
        <v>0</v>
      </c>
      <c r="BO101" s="208">
        <v>1487233.5098016667</v>
      </c>
      <c r="BP101" s="208">
        <v>334627.53970537492</v>
      </c>
      <c r="BQ101" s="208">
        <v>37180.837745041674</v>
      </c>
      <c r="BR101" s="208">
        <v>113370</v>
      </c>
      <c r="BS101" s="208">
        <v>25508</v>
      </c>
      <c r="BT101" s="208">
        <v>2834</v>
      </c>
      <c r="BU101" s="208">
        <v>1388709</v>
      </c>
      <c r="BV101" s="208">
        <v>312459</v>
      </c>
      <c r="BW101" s="208">
        <v>34718</v>
      </c>
      <c r="BX101" s="208">
        <v>211895</v>
      </c>
      <c r="BY101" s="208">
        <v>47677</v>
      </c>
      <c r="BZ101" s="208">
        <v>5297</v>
      </c>
      <c r="CA101" s="208">
        <v>712.76833333333343</v>
      </c>
      <c r="CB101" s="208">
        <v>160.37287499999999</v>
      </c>
      <c r="CC101" s="208">
        <v>17.819208333333332</v>
      </c>
      <c r="CD101" s="208">
        <v>4391</v>
      </c>
      <c r="CE101" s="208">
        <v>988</v>
      </c>
      <c r="CF101" s="208">
        <v>110</v>
      </c>
      <c r="CG101" s="208">
        <v>-3678</v>
      </c>
      <c r="CH101" s="208">
        <v>-828</v>
      </c>
      <c r="CI101" s="208">
        <v>-92</v>
      </c>
      <c r="CJ101" s="208">
        <v>0</v>
      </c>
      <c r="CK101" s="208">
        <v>0</v>
      </c>
      <c r="CL101" s="208">
        <v>0</v>
      </c>
      <c r="CM101" s="208">
        <v>0</v>
      </c>
      <c r="CN101" s="208">
        <v>0</v>
      </c>
      <c r="CO101" s="208">
        <v>0</v>
      </c>
      <c r="CP101" s="208">
        <v>0</v>
      </c>
      <c r="CQ101" s="208">
        <v>0</v>
      </c>
      <c r="CR101" s="208">
        <v>0</v>
      </c>
      <c r="CS101" s="208">
        <v>0</v>
      </c>
      <c r="CT101" s="208">
        <v>0</v>
      </c>
      <c r="CU101" s="208">
        <v>0</v>
      </c>
      <c r="CV101" s="208">
        <v>0</v>
      </c>
      <c r="CW101" s="208">
        <v>0</v>
      </c>
      <c r="CX101" s="208">
        <v>0</v>
      </c>
      <c r="CY101" s="208">
        <v>0</v>
      </c>
      <c r="CZ101" s="208">
        <v>0</v>
      </c>
      <c r="DA101" s="208">
        <v>0</v>
      </c>
      <c r="DB101" s="208">
        <v>0</v>
      </c>
      <c r="DC101" s="208">
        <v>0</v>
      </c>
      <c r="DD101" s="208">
        <v>0</v>
      </c>
      <c r="DE101" s="208">
        <v>0</v>
      </c>
      <c r="DF101" s="208">
        <v>0</v>
      </c>
      <c r="DG101" s="208">
        <v>0</v>
      </c>
      <c r="DH101" s="208">
        <v>0</v>
      </c>
      <c r="DI101" s="208">
        <v>0</v>
      </c>
      <c r="DJ101" s="208">
        <v>0</v>
      </c>
      <c r="DK101" s="208">
        <v>0</v>
      </c>
      <c r="DL101" s="208">
        <v>0</v>
      </c>
      <c r="DM101" s="208">
        <v>0</v>
      </c>
      <c r="DN101" s="208">
        <v>0</v>
      </c>
      <c r="DO101" s="208">
        <v>0</v>
      </c>
      <c r="DP101" s="208">
        <v>0</v>
      </c>
      <c r="DQ101" s="208">
        <v>0</v>
      </c>
      <c r="DR101" s="208">
        <v>0</v>
      </c>
      <c r="DS101" s="208">
        <v>0</v>
      </c>
      <c r="DT101" s="208">
        <v>0</v>
      </c>
      <c r="DU101" s="208">
        <v>0</v>
      </c>
      <c r="DV101" s="208">
        <v>0</v>
      </c>
      <c r="DW101" s="208">
        <v>11756.176666666668</v>
      </c>
      <c r="DX101" s="208">
        <v>2645.1397500000003</v>
      </c>
      <c r="DY101" s="208">
        <v>293.90441666666669</v>
      </c>
      <c r="DZ101" s="208">
        <v>12234</v>
      </c>
      <c r="EA101" s="208">
        <v>2752</v>
      </c>
      <c r="EB101" s="208">
        <v>306</v>
      </c>
      <c r="EC101" s="208">
        <v>-478</v>
      </c>
      <c r="ED101" s="208">
        <v>-107</v>
      </c>
      <c r="EE101" s="208">
        <v>-12</v>
      </c>
      <c r="EF101" s="208">
        <v>49200.245833333334</v>
      </c>
      <c r="EG101" s="208">
        <v>11070.055312499999</v>
      </c>
      <c r="EH101" s="208">
        <v>1230.0061458333332</v>
      </c>
      <c r="EI101" s="208">
        <v>-864.56916666666677</v>
      </c>
      <c r="EJ101" s="208">
        <v>-194.5280625</v>
      </c>
      <c r="EK101" s="208">
        <v>-21.614229166666668</v>
      </c>
      <c r="EL101" s="208">
        <v>59329</v>
      </c>
      <c r="EM101" s="208">
        <v>13349</v>
      </c>
      <c r="EN101" s="208">
        <v>1483</v>
      </c>
      <c r="EO101" s="208">
        <v>-10993</v>
      </c>
      <c r="EP101" s="208">
        <v>-2473</v>
      </c>
      <c r="EQ101" s="208">
        <v>-275</v>
      </c>
      <c r="ER101" s="208">
        <v>16486.552500000002</v>
      </c>
      <c r="ES101" s="208">
        <v>3709.4743124999995</v>
      </c>
      <c r="ET101" s="208">
        <v>412.16381249999995</v>
      </c>
      <c r="EU101" s="208">
        <v>16860</v>
      </c>
      <c r="EV101" s="208">
        <v>3794</v>
      </c>
      <c r="EW101" s="208">
        <v>422</v>
      </c>
      <c r="EX101" s="208">
        <v>-373</v>
      </c>
      <c r="EY101" s="208">
        <v>-85</v>
      </c>
      <c r="EZ101" s="208">
        <v>-10</v>
      </c>
      <c r="FA101" s="208">
        <v>0</v>
      </c>
      <c r="FB101" s="208">
        <v>0</v>
      </c>
      <c r="FC101" s="208">
        <v>0</v>
      </c>
      <c r="FD101" s="208">
        <v>0</v>
      </c>
      <c r="FE101" s="208">
        <v>0</v>
      </c>
      <c r="FF101" s="208">
        <v>0</v>
      </c>
      <c r="FG101" s="208">
        <v>0</v>
      </c>
      <c r="FH101" s="208">
        <v>0</v>
      </c>
      <c r="FI101" s="208">
        <v>0</v>
      </c>
      <c r="FJ101" s="208">
        <v>341742.90333333332</v>
      </c>
      <c r="FK101" s="208">
        <v>76892.153249999988</v>
      </c>
      <c r="FL101" s="208">
        <v>8543.5725833333327</v>
      </c>
      <c r="FM101" s="208">
        <v>315045</v>
      </c>
      <c r="FN101" s="208">
        <v>70885</v>
      </c>
      <c r="FO101" s="208">
        <v>7876</v>
      </c>
      <c r="FP101" s="208">
        <v>26698</v>
      </c>
      <c r="FQ101" s="208">
        <v>6007</v>
      </c>
      <c r="FR101" s="208">
        <v>668</v>
      </c>
      <c r="FS101" s="208">
        <v>0</v>
      </c>
      <c r="FT101" s="208">
        <v>0</v>
      </c>
      <c r="FU101" s="208">
        <v>0</v>
      </c>
      <c r="FV101" s="208">
        <v>0</v>
      </c>
      <c r="FW101" s="208">
        <v>0</v>
      </c>
      <c r="FX101" s="208">
        <v>0</v>
      </c>
      <c r="FY101" s="208">
        <v>0</v>
      </c>
      <c r="FZ101" s="208">
        <v>0</v>
      </c>
      <c r="GA101" s="208">
        <v>0</v>
      </c>
      <c r="GB101" s="208">
        <v>2019638</v>
      </c>
      <c r="GC101" s="208">
        <v>454417</v>
      </c>
      <c r="GD101" s="208">
        <v>50491</v>
      </c>
      <c r="GE101" s="664">
        <v>0.5</v>
      </c>
      <c r="GF101" s="664">
        <v>0.4</v>
      </c>
      <c r="GG101" s="664">
        <v>0.09</v>
      </c>
      <c r="GH101" s="664">
        <v>0.01</v>
      </c>
      <c r="GI101" s="187" t="s">
        <v>1054</v>
      </c>
    </row>
    <row r="102" spans="1:191" s="187" customFormat="1" x14ac:dyDescent="0.2">
      <c r="B102" s="429" t="s">
        <v>283</v>
      </c>
      <c r="C102" s="429" t="s">
        <v>282</v>
      </c>
      <c r="D102" s="208">
        <v>406337</v>
      </c>
      <c r="E102" s="208">
        <v>0</v>
      </c>
      <c r="F102" s="208">
        <v>406337</v>
      </c>
      <c r="G102" s="208">
        <v>-6310</v>
      </c>
      <c r="H102" s="208">
        <v>0</v>
      </c>
      <c r="I102" s="208">
        <v>-6310</v>
      </c>
      <c r="J102" s="208">
        <v>412647</v>
      </c>
      <c r="K102" s="208">
        <v>0</v>
      </c>
      <c r="L102" s="208">
        <v>412647</v>
      </c>
      <c r="M102" s="208">
        <v>85059</v>
      </c>
      <c r="N102" s="208">
        <v>85059</v>
      </c>
      <c r="O102" s="208">
        <v>0</v>
      </c>
      <c r="P102" s="208">
        <v>0</v>
      </c>
      <c r="Q102" s="208">
        <v>0</v>
      </c>
      <c r="R102" s="208">
        <v>0</v>
      </c>
      <c r="S102" s="208">
        <v>0</v>
      </c>
      <c r="T102" s="208">
        <v>0</v>
      </c>
      <c r="U102" s="208">
        <v>0</v>
      </c>
      <c r="V102" s="208">
        <v>0</v>
      </c>
      <c r="W102" s="208">
        <v>0</v>
      </c>
      <c r="X102" s="208">
        <v>0</v>
      </c>
      <c r="Y102" s="208">
        <v>0</v>
      </c>
      <c r="Z102" s="208">
        <v>0</v>
      </c>
      <c r="AA102" s="208">
        <v>0</v>
      </c>
      <c r="AB102" s="208">
        <v>0</v>
      </c>
      <c r="AC102" s="208">
        <v>0</v>
      </c>
      <c r="AD102" s="208">
        <v>0</v>
      </c>
      <c r="AE102" s="208">
        <v>0</v>
      </c>
      <c r="AF102" s="208">
        <v>0</v>
      </c>
      <c r="AG102" s="208">
        <v>0</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0</v>
      </c>
      <c r="BE102" s="208">
        <v>0</v>
      </c>
      <c r="BF102" s="208">
        <v>0</v>
      </c>
      <c r="BG102" s="208">
        <v>0</v>
      </c>
      <c r="BH102" s="208">
        <v>0</v>
      </c>
      <c r="BI102" s="208">
        <v>0</v>
      </c>
      <c r="BJ102" s="208">
        <v>0</v>
      </c>
      <c r="BK102" s="208">
        <v>0</v>
      </c>
      <c r="BL102" s="208">
        <v>0</v>
      </c>
      <c r="BM102" s="208">
        <v>0</v>
      </c>
      <c r="BN102" s="208">
        <v>0</v>
      </c>
      <c r="BO102" s="208">
        <v>399276.95346374996</v>
      </c>
      <c r="BP102" s="208">
        <v>931646.22474874998</v>
      </c>
      <c r="BQ102" s="208">
        <v>0</v>
      </c>
      <c r="BR102" s="208">
        <v>34337</v>
      </c>
      <c r="BS102" s="208">
        <v>80119</v>
      </c>
      <c r="BT102" s="208">
        <v>0</v>
      </c>
      <c r="BU102" s="208">
        <v>388130</v>
      </c>
      <c r="BV102" s="208">
        <v>905637</v>
      </c>
      <c r="BW102" s="208">
        <v>0</v>
      </c>
      <c r="BX102" s="208">
        <v>45484</v>
      </c>
      <c r="BY102" s="208">
        <v>106128</v>
      </c>
      <c r="BZ102" s="208">
        <v>0</v>
      </c>
      <c r="CA102" s="208">
        <v>0</v>
      </c>
      <c r="CB102" s="208">
        <v>0</v>
      </c>
      <c r="CC102" s="208">
        <v>0</v>
      </c>
      <c r="CD102" s="208">
        <v>0</v>
      </c>
      <c r="CE102" s="208">
        <v>0</v>
      </c>
      <c r="CF102" s="208">
        <v>0</v>
      </c>
      <c r="CG102" s="208">
        <v>0</v>
      </c>
      <c r="CH102" s="208">
        <v>0</v>
      </c>
      <c r="CI102" s="208">
        <v>0</v>
      </c>
      <c r="CJ102" s="208">
        <v>0</v>
      </c>
      <c r="CK102" s="208">
        <v>0</v>
      </c>
      <c r="CL102" s="208">
        <v>0</v>
      </c>
      <c r="CM102" s="208">
        <v>0</v>
      </c>
      <c r="CN102" s="208">
        <v>0</v>
      </c>
      <c r="CO102" s="208">
        <v>0</v>
      </c>
      <c r="CP102" s="208">
        <v>0</v>
      </c>
      <c r="CQ102" s="208">
        <v>0</v>
      </c>
      <c r="CR102" s="208">
        <v>0</v>
      </c>
      <c r="CS102" s="208">
        <v>0</v>
      </c>
      <c r="CT102" s="208">
        <v>0</v>
      </c>
      <c r="CU102" s="208">
        <v>0</v>
      </c>
      <c r="CV102" s="208">
        <v>0</v>
      </c>
      <c r="CW102" s="208">
        <v>0</v>
      </c>
      <c r="CX102" s="208">
        <v>0</v>
      </c>
      <c r="CY102" s="208">
        <v>0</v>
      </c>
      <c r="CZ102" s="208">
        <v>0</v>
      </c>
      <c r="DA102" s="208">
        <v>0</v>
      </c>
      <c r="DB102" s="208">
        <v>0</v>
      </c>
      <c r="DC102" s="208">
        <v>0</v>
      </c>
      <c r="DD102" s="208">
        <v>0</v>
      </c>
      <c r="DE102" s="208">
        <v>0</v>
      </c>
      <c r="DF102" s="208">
        <v>0</v>
      </c>
      <c r="DG102" s="208">
        <v>0</v>
      </c>
      <c r="DH102" s="208">
        <v>0</v>
      </c>
      <c r="DI102" s="208">
        <v>0</v>
      </c>
      <c r="DJ102" s="208">
        <v>0</v>
      </c>
      <c r="DK102" s="208">
        <v>0</v>
      </c>
      <c r="DL102" s="208">
        <v>0</v>
      </c>
      <c r="DM102" s="208">
        <v>0</v>
      </c>
      <c r="DN102" s="208">
        <v>0</v>
      </c>
      <c r="DO102" s="208">
        <v>0</v>
      </c>
      <c r="DP102" s="208">
        <v>0</v>
      </c>
      <c r="DQ102" s="208">
        <v>0</v>
      </c>
      <c r="DR102" s="208">
        <v>0</v>
      </c>
      <c r="DS102" s="208">
        <v>0</v>
      </c>
      <c r="DT102" s="208">
        <v>0</v>
      </c>
      <c r="DU102" s="208">
        <v>0</v>
      </c>
      <c r="DV102" s="208">
        <v>0</v>
      </c>
      <c r="DW102" s="208">
        <v>4766.7722312499991</v>
      </c>
      <c r="DX102" s="208">
        <v>11122.468539583331</v>
      </c>
      <c r="DY102" s="208">
        <v>0</v>
      </c>
      <c r="DZ102" s="208">
        <v>5451</v>
      </c>
      <c r="EA102" s="208">
        <v>12719</v>
      </c>
      <c r="EB102" s="208">
        <v>0</v>
      </c>
      <c r="EC102" s="208">
        <v>-684</v>
      </c>
      <c r="ED102" s="208">
        <v>-1597</v>
      </c>
      <c r="EE102" s="208">
        <v>0</v>
      </c>
      <c r="EF102" s="208">
        <v>38051.579375000001</v>
      </c>
      <c r="EG102" s="208">
        <v>88787.018541666665</v>
      </c>
      <c r="EH102" s="208">
        <v>0</v>
      </c>
      <c r="EI102" s="208">
        <v>0</v>
      </c>
      <c r="EJ102" s="208">
        <v>0</v>
      </c>
      <c r="EK102" s="208">
        <v>0</v>
      </c>
      <c r="EL102" s="208">
        <v>38053</v>
      </c>
      <c r="EM102" s="208">
        <v>88789</v>
      </c>
      <c r="EN102" s="208">
        <v>0</v>
      </c>
      <c r="EO102" s="208">
        <v>-1</v>
      </c>
      <c r="EP102" s="208">
        <v>-2</v>
      </c>
      <c r="EQ102" s="208">
        <v>0</v>
      </c>
      <c r="ER102" s="208">
        <v>3737.1237500000002</v>
      </c>
      <c r="ES102" s="208">
        <v>8719.9554166666658</v>
      </c>
      <c r="ET102" s="208">
        <v>0</v>
      </c>
      <c r="EU102" s="208">
        <v>3989</v>
      </c>
      <c r="EV102" s="208">
        <v>9309</v>
      </c>
      <c r="EW102" s="208">
        <v>0</v>
      </c>
      <c r="EX102" s="208">
        <v>-252</v>
      </c>
      <c r="EY102" s="208">
        <v>-589</v>
      </c>
      <c r="EZ102" s="208">
        <v>0</v>
      </c>
      <c r="FA102" s="208">
        <v>0</v>
      </c>
      <c r="FB102" s="208">
        <v>0</v>
      </c>
      <c r="FC102" s="208">
        <v>0</v>
      </c>
      <c r="FD102" s="208">
        <v>0</v>
      </c>
      <c r="FE102" s="208">
        <v>0</v>
      </c>
      <c r="FF102" s="208">
        <v>0</v>
      </c>
      <c r="FG102" s="208">
        <v>0</v>
      </c>
      <c r="FH102" s="208">
        <v>0</v>
      </c>
      <c r="FI102" s="208">
        <v>0</v>
      </c>
      <c r="FJ102" s="208">
        <v>203223.32249999995</v>
      </c>
      <c r="FK102" s="208">
        <v>474187.75249999994</v>
      </c>
      <c r="FL102" s="208">
        <v>0</v>
      </c>
      <c r="FM102" s="208">
        <v>171340</v>
      </c>
      <c r="FN102" s="208">
        <v>399793</v>
      </c>
      <c r="FO102" s="208">
        <v>0</v>
      </c>
      <c r="FP102" s="208">
        <v>31883</v>
      </c>
      <c r="FQ102" s="208">
        <v>74395</v>
      </c>
      <c r="FR102" s="208">
        <v>0</v>
      </c>
      <c r="FS102" s="208">
        <v>0</v>
      </c>
      <c r="FT102" s="208">
        <v>0</v>
      </c>
      <c r="FU102" s="208">
        <v>0</v>
      </c>
      <c r="FV102" s="208">
        <v>0</v>
      </c>
      <c r="FW102" s="208">
        <v>0</v>
      </c>
      <c r="FX102" s="208">
        <v>0</v>
      </c>
      <c r="FY102" s="208">
        <v>0</v>
      </c>
      <c r="FZ102" s="208">
        <v>0</v>
      </c>
      <c r="GA102" s="208">
        <v>0</v>
      </c>
      <c r="GB102" s="208">
        <v>683393</v>
      </c>
      <c r="GC102" s="208">
        <v>1594582</v>
      </c>
      <c r="GD102" s="208">
        <v>0</v>
      </c>
      <c r="GE102" s="664">
        <v>0</v>
      </c>
      <c r="GF102" s="664">
        <v>0.3</v>
      </c>
      <c r="GG102" s="664">
        <v>0.7</v>
      </c>
      <c r="GH102" s="664">
        <v>0</v>
      </c>
      <c r="GI102" s="187" t="s">
        <v>1054</v>
      </c>
    </row>
    <row r="103" spans="1:191" s="187" customFormat="1" x14ac:dyDescent="0.2">
      <c r="B103" s="429" t="s">
        <v>285</v>
      </c>
      <c r="C103" s="429" t="s">
        <v>284</v>
      </c>
      <c r="D103" s="208">
        <v>-53007</v>
      </c>
      <c r="E103" s="208">
        <v>0</v>
      </c>
      <c r="F103" s="208">
        <v>-53007</v>
      </c>
      <c r="G103" s="208">
        <v>76205</v>
      </c>
      <c r="H103" s="208">
        <v>0</v>
      </c>
      <c r="I103" s="208">
        <v>76205</v>
      </c>
      <c r="J103" s="208">
        <v>-129212</v>
      </c>
      <c r="K103" s="208">
        <v>0</v>
      </c>
      <c r="L103" s="208">
        <v>-129212</v>
      </c>
      <c r="M103" s="208">
        <v>134049</v>
      </c>
      <c r="N103" s="208">
        <v>134049</v>
      </c>
      <c r="O103" s="208">
        <v>0</v>
      </c>
      <c r="P103" s="208">
        <v>0</v>
      </c>
      <c r="Q103" s="208">
        <v>0</v>
      </c>
      <c r="R103" s="208">
        <v>0</v>
      </c>
      <c r="S103" s="208">
        <v>0</v>
      </c>
      <c r="T103" s="208">
        <v>0</v>
      </c>
      <c r="U103" s="208">
        <v>0</v>
      </c>
      <c r="V103" s="208">
        <v>0</v>
      </c>
      <c r="W103" s="208">
        <v>0</v>
      </c>
      <c r="X103" s="208">
        <v>0</v>
      </c>
      <c r="Y103" s="208">
        <v>0</v>
      </c>
      <c r="Z103" s="208">
        <v>0</v>
      </c>
      <c r="AA103" s="208">
        <v>0</v>
      </c>
      <c r="AB103" s="208">
        <v>0</v>
      </c>
      <c r="AC103" s="208">
        <v>0</v>
      </c>
      <c r="AD103" s="208">
        <v>0</v>
      </c>
      <c r="AE103" s="208">
        <v>0</v>
      </c>
      <c r="AF103" s="208">
        <v>0</v>
      </c>
      <c r="AG103" s="208">
        <v>0</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v>0</v>
      </c>
      <c r="AX103" s="208">
        <v>0</v>
      </c>
      <c r="AY103" s="208">
        <v>0</v>
      </c>
      <c r="AZ103" s="208">
        <v>0</v>
      </c>
      <c r="BA103" s="208">
        <v>0</v>
      </c>
      <c r="BB103" s="208">
        <v>0</v>
      </c>
      <c r="BC103" s="208">
        <v>0</v>
      </c>
      <c r="BD103" s="208">
        <v>0</v>
      </c>
      <c r="BE103" s="208">
        <v>0</v>
      </c>
      <c r="BF103" s="208">
        <v>0</v>
      </c>
      <c r="BG103" s="208">
        <v>0</v>
      </c>
      <c r="BH103" s="208">
        <v>0</v>
      </c>
      <c r="BI103" s="208">
        <v>0</v>
      </c>
      <c r="BJ103" s="208">
        <v>0</v>
      </c>
      <c r="BK103" s="208">
        <v>0</v>
      </c>
      <c r="BL103" s="208">
        <v>0</v>
      </c>
      <c r="BM103" s="208">
        <v>0</v>
      </c>
      <c r="BN103" s="208">
        <v>0</v>
      </c>
      <c r="BO103" s="208">
        <v>1389441.5714114583</v>
      </c>
      <c r="BP103" s="208">
        <v>1361652.7399832292</v>
      </c>
      <c r="BQ103" s="208">
        <v>27788.831428229172</v>
      </c>
      <c r="BR103" s="208">
        <v>86434</v>
      </c>
      <c r="BS103" s="208">
        <v>84706</v>
      </c>
      <c r="BT103" s="208">
        <v>1729</v>
      </c>
      <c r="BU103" s="208">
        <v>1382070</v>
      </c>
      <c r="BV103" s="208">
        <v>1354428</v>
      </c>
      <c r="BW103" s="208">
        <v>27641</v>
      </c>
      <c r="BX103" s="208">
        <v>93806</v>
      </c>
      <c r="BY103" s="208">
        <v>91931</v>
      </c>
      <c r="BZ103" s="208">
        <v>1877</v>
      </c>
      <c r="CA103" s="208">
        <v>7307.2052083333338</v>
      </c>
      <c r="CB103" s="208">
        <v>7161.0611041666671</v>
      </c>
      <c r="CC103" s="208">
        <v>146.14410416666669</v>
      </c>
      <c r="CD103" s="208">
        <v>0</v>
      </c>
      <c r="CE103" s="208">
        <v>0</v>
      </c>
      <c r="CF103" s="208">
        <v>0</v>
      </c>
      <c r="CG103" s="208">
        <v>7307</v>
      </c>
      <c r="CH103" s="208">
        <v>7161</v>
      </c>
      <c r="CI103" s="208">
        <v>146</v>
      </c>
      <c r="CJ103" s="208">
        <v>0</v>
      </c>
      <c r="CK103" s="208">
        <v>0</v>
      </c>
      <c r="CL103" s="208">
        <v>0</v>
      </c>
      <c r="CM103" s="208">
        <v>0</v>
      </c>
      <c r="CN103" s="208">
        <v>0</v>
      </c>
      <c r="CO103" s="208">
        <v>0</v>
      </c>
      <c r="CP103" s="208">
        <v>0</v>
      </c>
      <c r="CQ103" s="208">
        <v>0</v>
      </c>
      <c r="CR103" s="208">
        <v>0</v>
      </c>
      <c r="CS103" s="208">
        <v>0</v>
      </c>
      <c r="CT103" s="208">
        <v>0</v>
      </c>
      <c r="CU103" s="208">
        <v>0</v>
      </c>
      <c r="CV103" s="208">
        <v>0</v>
      </c>
      <c r="CW103" s="208">
        <v>0</v>
      </c>
      <c r="CX103" s="208">
        <v>0</v>
      </c>
      <c r="CY103" s="208">
        <v>0</v>
      </c>
      <c r="CZ103" s="208">
        <v>0</v>
      </c>
      <c r="DA103" s="208">
        <v>0</v>
      </c>
      <c r="DB103" s="208">
        <v>0</v>
      </c>
      <c r="DC103" s="208">
        <v>0</v>
      </c>
      <c r="DD103" s="208">
        <v>0</v>
      </c>
      <c r="DE103" s="208">
        <v>2912.2437500000001</v>
      </c>
      <c r="DF103" s="208">
        <v>2853.9988750000002</v>
      </c>
      <c r="DG103" s="208">
        <v>58.244875</v>
      </c>
      <c r="DH103" s="208">
        <v>0</v>
      </c>
      <c r="DI103" s="208">
        <v>0</v>
      </c>
      <c r="DJ103" s="208">
        <v>0</v>
      </c>
      <c r="DK103" s="208">
        <v>2912</v>
      </c>
      <c r="DL103" s="208">
        <v>2854</v>
      </c>
      <c r="DM103" s="208">
        <v>58</v>
      </c>
      <c r="DN103" s="208">
        <v>0</v>
      </c>
      <c r="DO103" s="208">
        <v>0</v>
      </c>
      <c r="DP103" s="208">
        <v>0</v>
      </c>
      <c r="DQ103" s="208">
        <v>0</v>
      </c>
      <c r="DR103" s="208">
        <v>0</v>
      </c>
      <c r="DS103" s="208">
        <v>0</v>
      </c>
      <c r="DT103" s="208">
        <v>0</v>
      </c>
      <c r="DU103" s="208">
        <v>0</v>
      </c>
      <c r="DV103" s="208">
        <v>0</v>
      </c>
      <c r="DW103" s="208">
        <v>10523.766666666666</v>
      </c>
      <c r="DX103" s="208">
        <v>10313.291333333333</v>
      </c>
      <c r="DY103" s="208">
        <v>210.47533333333334</v>
      </c>
      <c r="DZ103" s="208">
        <v>11487</v>
      </c>
      <c r="EA103" s="208">
        <v>11257</v>
      </c>
      <c r="EB103" s="208">
        <v>230</v>
      </c>
      <c r="EC103" s="208">
        <v>-963</v>
      </c>
      <c r="ED103" s="208">
        <v>-944</v>
      </c>
      <c r="EE103" s="208">
        <v>-20</v>
      </c>
      <c r="EF103" s="208">
        <v>31899.65625</v>
      </c>
      <c r="EG103" s="208">
        <v>31261.663124999999</v>
      </c>
      <c r="EH103" s="208">
        <v>637.99312499999996</v>
      </c>
      <c r="EI103" s="208">
        <v>-656.71249999999998</v>
      </c>
      <c r="EJ103" s="208">
        <v>-643.57824999999991</v>
      </c>
      <c r="EK103" s="208">
        <v>-13.13425</v>
      </c>
      <c r="EL103" s="208">
        <v>34778</v>
      </c>
      <c r="EM103" s="208">
        <v>34084</v>
      </c>
      <c r="EN103" s="208">
        <v>696</v>
      </c>
      <c r="EO103" s="208">
        <v>-3535</v>
      </c>
      <c r="EP103" s="208">
        <v>-3466</v>
      </c>
      <c r="EQ103" s="208">
        <v>-71</v>
      </c>
      <c r="ER103" s="208">
        <v>24921.318750000002</v>
      </c>
      <c r="ES103" s="208">
        <v>24422.892374999999</v>
      </c>
      <c r="ET103" s="208">
        <v>498.42637500000001</v>
      </c>
      <c r="EU103" s="208">
        <v>21992</v>
      </c>
      <c r="EV103" s="208">
        <v>21553</v>
      </c>
      <c r="EW103" s="208">
        <v>440</v>
      </c>
      <c r="EX103" s="208">
        <v>2929</v>
      </c>
      <c r="EY103" s="208">
        <v>2870</v>
      </c>
      <c r="EZ103" s="208">
        <v>58</v>
      </c>
      <c r="FA103" s="208">
        <v>0</v>
      </c>
      <c r="FB103" s="208">
        <v>0</v>
      </c>
      <c r="FC103" s="208">
        <v>0</v>
      </c>
      <c r="FD103" s="208">
        <v>0</v>
      </c>
      <c r="FE103" s="208">
        <v>0</v>
      </c>
      <c r="FF103" s="208">
        <v>0</v>
      </c>
      <c r="FG103" s="208">
        <v>0</v>
      </c>
      <c r="FH103" s="208">
        <v>0</v>
      </c>
      <c r="FI103" s="208">
        <v>0</v>
      </c>
      <c r="FJ103" s="208">
        <v>291199.37916666665</v>
      </c>
      <c r="FK103" s="208">
        <v>285375.39158333332</v>
      </c>
      <c r="FL103" s="208">
        <v>5823.9875833333335</v>
      </c>
      <c r="FM103" s="208">
        <v>289948</v>
      </c>
      <c r="FN103" s="208">
        <v>284149</v>
      </c>
      <c r="FO103" s="208">
        <v>5799</v>
      </c>
      <c r="FP103" s="208">
        <v>1251</v>
      </c>
      <c r="FQ103" s="208">
        <v>1226</v>
      </c>
      <c r="FR103" s="208">
        <v>25</v>
      </c>
      <c r="FS103" s="208">
        <v>0</v>
      </c>
      <c r="FT103" s="208">
        <v>0</v>
      </c>
      <c r="FU103" s="208">
        <v>0</v>
      </c>
      <c r="FV103" s="208">
        <v>0</v>
      </c>
      <c r="FW103" s="208">
        <v>0</v>
      </c>
      <c r="FX103" s="208">
        <v>0</v>
      </c>
      <c r="FY103" s="208">
        <v>0</v>
      </c>
      <c r="FZ103" s="208">
        <v>0</v>
      </c>
      <c r="GA103" s="208">
        <v>0</v>
      </c>
      <c r="GB103" s="208">
        <v>1843982</v>
      </c>
      <c r="GC103" s="208">
        <v>1807103</v>
      </c>
      <c r="GD103" s="208">
        <v>36879</v>
      </c>
      <c r="GE103" s="664">
        <v>0</v>
      </c>
      <c r="GF103" s="664">
        <v>0.5</v>
      </c>
      <c r="GG103" s="664">
        <v>0.49</v>
      </c>
      <c r="GH103" s="664">
        <v>0.01</v>
      </c>
      <c r="GI103" s="187" t="s">
        <v>1054</v>
      </c>
    </row>
    <row r="104" spans="1:191" s="187" customFormat="1" x14ac:dyDescent="0.2">
      <c r="B104" s="429" t="s">
        <v>287</v>
      </c>
      <c r="C104" s="429" t="s">
        <v>286</v>
      </c>
      <c r="D104" s="208">
        <v>-1952689</v>
      </c>
      <c r="E104" s="208">
        <v>0</v>
      </c>
      <c r="F104" s="208">
        <v>-1952689</v>
      </c>
      <c r="G104" s="208">
        <v>-3108114</v>
      </c>
      <c r="H104" s="208">
        <v>0</v>
      </c>
      <c r="I104" s="208">
        <v>-3108114</v>
      </c>
      <c r="J104" s="208">
        <v>1155425</v>
      </c>
      <c r="K104" s="208">
        <v>0</v>
      </c>
      <c r="L104" s="208">
        <v>1155425</v>
      </c>
      <c r="M104" s="208">
        <v>216303</v>
      </c>
      <c r="N104" s="208">
        <v>216303</v>
      </c>
      <c r="O104" s="208">
        <v>0</v>
      </c>
      <c r="P104" s="208">
        <v>0</v>
      </c>
      <c r="Q104" s="208">
        <v>0</v>
      </c>
      <c r="R104" s="208">
        <v>0</v>
      </c>
      <c r="S104" s="208">
        <v>0</v>
      </c>
      <c r="T104" s="208">
        <v>0</v>
      </c>
      <c r="U104" s="208">
        <v>0</v>
      </c>
      <c r="V104" s="208">
        <v>0</v>
      </c>
      <c r="W104" s="208">
        <v>0</v>
      </c>
      <c r="X104" s="208">
        <v>0</v>
      </c>
      <c r="Y104" s="208">
        <v>0</v>
      </c>
      <c r="Z104" s="208">
        <v>0</v>
      </c>
      <c r="AA104" s="208">
        <v>0</v>
      </c>
      <c r="AB104" s="208">
        <v>0</v>
      </c>
      <c r="AC104" s="208">
        <v>0</v>
      </c>
      <c r="AD104" s="208">
        <v>0</v>
      </c>
      <c r="AE104" s="208">
        <v>0</v>
      </c>
      <c r="AF104" s="208">
        <v>0</v>
      </c>
      <c r="AG104" s="208">
        <v>0</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v>0</v>
      </c>
      <c r="AX104" s="208">
        <v>0</v>
      </c>
      <c r="AY104" s="208">
        <v>0</v>
      </c>
      <c r="AZ104" s="208">
        <v>0</v>
      </c>
      <c r="BA104" s="208">
        <v>0</v>
      </c>
      <c r="BB104" s="208">
        <v>0</v>
      </c>
      <c r="BC104" s="208">
        <v>0</v>
      </c>
      <c r="BD104" s="208">
        <v>0</v>
      </c>
      <c r="BE104" s="208">
        <v>0</v>
      </c>
      <c r="BF104" s="208">
        <v>0</v>
      </c>
      <c r="BG104" s="208">
        <v>0</v>
      </c>
      <c r="BH104" s="208">
        <v>0</v>
      </c>
      <c r="BI104" s="208">
        <v>0</v>
      </c>
      <c r="BJ104" s="208">
        <v>0</v>
      </c>
      <c r="BK104" s="208">
        <v>0</v>
      </c>
      <c r="BL104" s="208">
        <v>0</v>
      </c>
      <c r="BM104" s="208">
        <v>0</v>
      </c>
      <c r="BN104" s="208">
        <v>0</v>
      </c>
      <c r="BO104" s="208">
        <v>1137124.4282908335</v>
      </c>
      <c r="BP104" s="208">
        <v>1677258.5317289792</v>
      </c>
      <c r="BQ104" s="208">
        <v>28428.110707270833</v>
      </c>
      <c r="BR104" s="208">
        <v>128427</v>
      </c>
      <c r="BS104" s="208">
        <v>189430</v>
      </c>
      <c r="BT104" s="208">
        <v>3211</v>
      </c>
      <c r="BU104" s="208">
        <v>1076364</v>
      </c>
      <c r="BV104" s="208">
        <v>1587637</v>
      </c>
      <c r="BW104" s="208">
        <v>26909</v>
      </c>
      <c r="BX104" s="208">
        <v>189187</v>
      </c>
      <c r="BY104" s="208">
        <v>279052</v>
      </c>
      <c r="BZ104" s="208">
        <v>4730</v>
      </c>
      <c r="CA104" s="208">
        <v>35.188333333333304</v>
      </c>
      <c r="CB104" s="208">
        <v>51.902791666666616</v>
      </c>
      <c r="CC104" s="208">
        <v>0.87970833333333331</v>
      </c>
      <c r="CD104" s="208">
        <v>796</v>
      </c>
      <c r="CE104" s="208">
        <v>1173</v>
      </c>
      <c r="CF104" s="208">
        <v>20</v>
      </c>
      <c r="CG104" s="208">
        <v>-761</v>
      </c>
      <c r="CH104" s="208">
        <v>-1121</v>
      </c>
      <c r="CI104" s="208">
        <v>-19</v>
      </c>
      <c r="CJ104" s="208">
        <v>0</v>
      </c>
      <c r="CK104" s="208">
        <v>0</v>
      </c>
      <c r="CL104" s="208">
        <v>0</v>
      </c>
      <c r="CM104" s="208">
        <v>0</v>
      </c>
      <c r="CN104" s="208">
        <v>0</v>
      </c>
      <c r="CO104" s="208">
        <v>0</v>
      </c>
      <c r="CP104" s="208">
        <v>-1275.3725000000002</v>
      </c>
      <c r="CQ104" s="208">
        <v>-1881.1744375000001</v>
      </c>
      <c r="CR104" s="208">
        <v>-31.8843125</v>
      </c>
      <c r="CS104" s="208">
        <v>0</v>
      </c>
      <c r="CT104" s="208">
        <v>0</v>
      </c>
      <c r="CU104" s="208">
        <v>0</v>
      </c>
      <c r="CV104" s="208">
        <v>0</v>
      </c>
      <c r="CW104" s="208">
        <v>0</v>
      </c>
      <c r="CX104" s="208">
        <v>0</v>
      </c>
      <c r="CY104" s="208">
        <v>0</v>
      </c>
      <c r="CZ104" s="208">
        <v>0</v>
      </c>
      <c r="DA104" s="208">
        <v>0</v>
      </c>
      <c r="DB104" s="208">
        <v>0</v>
      </c>
      <c r="DC104" s="208">
        <v>0</v>
      </c>
      <c r="DD104" s="208">
        <v>0</v>
      </c>
      <c r="DE104" s="208">
        <v>0</v>
      </c>
      <c r="DF104" s="208">
        <v>0</v>
      </c>
      <c r="DG104" s="208">
        <v>0</v>
      </c>
      <c r="DH104" s="208">
        <v>0</v>
      </c>
      <c r="DI104" s="208">
        <v>0</v>
      </c>
      <c r="DJ104" s="208">
        <v>0</v>
      </c>
      <c r="DK104" s="208">
        <v>0</v>
      </c>
      <c r="DL104" s="208">
        <v>0</v>
      </c>
      <c r="DM104" s="208">
        <v>0</v>
      </c>
      <c r="DN104" s="208">
        <v>613.75</v>
      </c>
      <c r="DO104" s="208">
        <v>905.28125</v>
      </c>
      <c r="DP104" s="208">
        <v>15.34375</v>
      </c>
      <c r="DQ104" s="208">
        <v>614</v>
      </c>
      <c r="DR104" s="208">
        <v>905</v>
      </c>
      <c r="DS104" s="208">
        <v>15</v>
      </c>
      <c r="DT104" s="208">
        <v>0</v>
      </c>
      <c r="DU104" s="208">
        <v>0</v>
      </c>
      <c r="DV104" s="208">
        <v>0</v>
      </c>
      <c r="DW104" s="208">
        <v>10949.300000000001</v>
      </c>
      <c r="DX104" s="208">
        <v>16150.217499999999</v>
      </c>
      <c r="DY104" s="208">
        <v>273.73250000000002</v>
      </c>
      <c r="DZ104" s="208">
        <v>10583</v>
      </c>
      <c r="EA104" s="208">
        <v>15609</v>
      </c>
      <c r="EB104" s="208">
        <v>265</v>
      </c>
      <c r="EC104" s="208">
        <v>366</v>
      </c>
      <c r="ED104" s="208">
        <v>541</v>
      </c>
      <c r="EE104" s="208">
        <v>9</v>
      </c>
      <c r="EF104" s="208">
        <v>68753.093333333338</v>
      </c>
      <c r="EG104" s="208">
        <v>101410.81266666666</v>
      </c>
      <c r="EH104" s="208">
        <v>1718.8273333333334</v>
      </c>
      <c r="EI104" s="208">
        <v>1310.5608333333334</v>
      </c>
      <c r="EJ104" s="208">
        <v>1933.0772291666667</v>
      </c>
      <c r="EK104" s="208">
        <v>32.764020833333333</v>
      </c>
      <c r="EL104" s="208">
        <v>71048</v>
      </c>
      <c r="EM104" s="208">
        <v>104795</v>
      </c>
      <c r="EN104" s="208">
        <v>1776</v>
      </c>
      <c r="EO104" s="208">
        <v>-984</v>
      </c>
      <c r="EP104" s="208">
        <v>-1451</v>
      </c>
      <c r="EQ104" s="208">
        <v>-24</v>
      </c>
      <c r="ER104" s="208">
        <v>17503.331666666665</v>
      </c>
      <c r="ES104" s="208">
        <v>25817.414208333332</v>
      </c>
      <c r="ET104" s="208">
        <v>437.5832916666667</v>
      </c>
      <c r="EU104" s="208">
        <v>7774</v>
      </c>
      <c r="EV104" s="208">
        <v>11467</v>
      </c>
      <c r="EW104" s="208">
        <v>194</v>
      </c>
      <c r="EX104" s="208">
        <v>9729</v>
      </c>
      <c r="EY104" s="208">
        <v>14350</v>
      </c>
      <c r="EZ104" s="208">
        <v>244</v>
      </c>
      <c r="FA104" s="208">
        <v>0</v>
      </c>
      <c r="FB104" s="208">
        <v>0</v>
      </c>
      <c r="FC104" s="208">
        <v>0</v>
      </c>
      <c r="FD104" s="208">
        <v>0</v>
      </c>
      <c r="FE104" s="208">
        <v>0</v>
      </c>
      <c r="FF104" s="208">
        <v>0</v>
      </c>
      <c r="FG104" s="208">
        <v>0</v>
      </c>
      <c r="FH104" s="208">
        <v>0</v>
      </c>
      <c r="FI104" s="208">
        <v>0</v>
      </c>
      <c r="FJ104" s="208">
        <v>701115.16749999998</v>
      </c>
      <c r="FK104" s="208">
        <v>1034144.8720624999</v>
      </c>
      <c r="FL104" s="208">
        <v>17527.879187499999</v>
      </c>
      <c r="FM104" s="208">
        <v>687170</v>
      </c>
      <c r="FN104" s="208">
        <v>1013576</v>
      </c>
      <c r="FO104" s="208">
        <v>17179</v>
      </c>
      <c r="FP104" s="208">
        <v>13945</v>
      </c>
      <c r="FQ104" s="208">
        <v>20569</v>
      </c>
      <c r="FR104" s="208">
        <v>349</v>
      </c>
      <c r="FS104" s="208">
        <v>0</v>
      </c>
      <c r="FT104" s="208">
        <v>0</v>
      </c>
      <c r="FU104" s="208">
        <v>0</v>
      </c>
      <c r="FV104" s="208">
        <v>0</v>
      </c>
      <c r="FW104" s="208">
        <v>0</v>
      </c>
      <c r="FX104" s="208">
        <v>0</v>
      </c>
      <c r="FY104" s="208">
        <v>0</v>
      </c>
      <c r="FZ104" s="208">
        <v>0</v>
      </c>
      <c r="GA104" s="208">
        <v>0</v>
      </c>
      <c r="GB104" s="208">
        <v>2064556</v>
      </c>
      <c r="GC104" s="208">
        <v>3045221</v>
      </c>
      <c r="GD104" s="208">
        <v>51615</v>
      </c>
      <c r="GE104" s="664">
        <v>0</v>
      </c>
      <c r="GF104" s="664">
        <v>0.4</v>
      </c>
      <c r="GG104" s="664">
        <v>0.59</v>
      </c>
      <c r="GH104" s="664">
        <v>0.01</v>
      </c>
      <c r="GI104" s="187" t="s">
        <v>1054</v>
      </c>
    </row>
    <row r="105" spans="1:191" s="187" customFormat="1" x14ac:dyDescent="0.2">
      <c r="B105" s="429" t="s">
        <v>289</v>
      </c>
      <c r="C105" s="429" t="s">
        <v>288</v>
      </c>
      <c r="D105" s="208">
        <v>-997584</v>
      </c>
      <c r="E105" s="208">
        <v>0</v>
      </c>
      <c r="F105" s="208">
        <v>-997584</v>
      </c>
      <c r="G105" s="208">
        <v>-1080712</v>
      </c>
      <c r="H105" s="208">
        <v>0</v>
      </c>
      <c r="I105" s="208">
        <v>-1080712</v>
      </c>
      <c r="J105" s="208">
        <v>83128</v>
      </c>
      <c r="K105" s="208">
        <v>0</v>
      </c>
      <c r="L105" s="208">
        <v>83128</v>
      </c>
      <c r="M105" s="208">
        <v>137639</v>
      </c>
      <c r="N105" s="208">
        <v>137639</v>
      </c>
      <c r="O105" s="208">
        <v>0</v>
      </c>
      <c r="P105" s="208">
        <v>104481</v>
      </c>
      <c r="Q105" s="208">
        <v>0</v>
      </c>
      <c r="R105" s="208">
        <v>104481</v>
      </c>
      <c r="S105" s="208">
        <v>79953</v>
      </c>
      <c r="T105" s="208">
        <v>0</v>
      </c>
      <c r="U105" s="208">
        <v>77882</v>
      </c>
      <c r="V105" s="208">
        <v>0</v>
      </c>
      <c r="W105" s="208">
        <v>2071</v>
      </c>
      <c r="X105" s="208">
        <v>0</v>
      </c>
      <c r="Y105" s="208">
        <v>0</v>
      </c>
      <c r="Z105" s="208">
        <v>0</v>
      </c>
      <c r="AA105" s="208">
        <v>0</v>
      </c>
      <c r="AB105" s="208">
        <v>0</v>
      </c>
      <c r="AC105" s="208">
        <v>0</v>
      </c>
      <c r="AD105" s="208">
        <v>0</v>
      </c>
      <c r="AE105" s="208">
        <v>0</v>
      </c>
      <c r="AF105" s="208">
        <v>0</v>
      </c>
      <c r="AG105" s="208">
        <v>0</v>
      </c>
      <c r="AH105" s="208">
        <v>331562</v>
      </c>
      <c r="AI105" s="208">
        <v>331562.07083333336</v>
      </c>
      <c r="AJ105" s="208">
        <v>0</v>
      </c>
      <c r="AK105" s="208">
        <v>0</v>
      </c>
      <c r="AL105" s="208">
        <v>856426</v>
      </c>
      <c r="AM105" s="208">
        <v>856426</v>
      </c>
      <c r="AN105" s="208">
        <v>0</v>
      </c>
      <c r="AO105" s="208">
        <v>0</v>
      </c>
      <c r="AP105" s="208">
        <v>-524864</v>
      </c>
      <c r="AQ105" s="208">
        <v>-524864</v>
      </c>
      <c r="AR105" s="208">
        <v>0</v>
      </c>
      <c r="AS105" s="208">
        <v>0</v>
      </c>
      <c r="AT105" s="208">
        <v>0</v>
      </c>
      <c r="AU105" s="208">
        <v>0</v>
      </c>
      <c r="AV105" s="208">
        <v>0</v>
      </c>
      <c r="AW105" s="208">
        <v>0</v>
      </c>
      <c r="AX105" s="208">
        <v>0</v>
      </c>
      <c r="AY105" s="208">
        <v>0</v>
      </c>
      <c r="AZ105" s="208">
        <v>0</v>
      </c>
      <c r="BA105" s="208">
        <v>0</v>
      </c>
      <c r="BB105" s="208">
        <v>0</v>
      </c>
      <c r="BC105" s="208">
        <v>0</v>
      </c>
      <c r="BD105" s="208">
        <v>0</v>
      </c>
      <c r="BE105" s="208">
        <v>0</v>
      </c>
      <c r="BF105" s="208">
        <v>0</v>
      </c>
      <c r="BG105" s="208">
        <v>0</v>
      </c>
      <c r="BH105" s="208">
        <v>0</v>
      </c>
      <c r="BI105" s="208">
        <v>0</v>
      </c>
      <c r="BJ105" s="208">
        <v>0</v>
      </c>
      <c r="BK105" s="208">
        <v>0</v>
      </c>
      <c r="BL105" s="208">
        <v>0</v>
      </c>
      <c r="BM105" s="208">
        <v>0</v>
      </c>
      <c r="BN105" s="208">
        <v>0</v>
      </c>
      <c r="BO105" s="208">
        <v>955814.04651083343</v>
      </c>
      <c r="BP105" s="208">
        <v>209628.79984462497</v>
      </c>
      <c r="BQ105" s="208">
        <v>23292.088871625001</v>
      </c>
      <c r="BR105" s="208">
        <v>82767</v>
      </c>
      <c r="BS105" s="208">
        <v>18536</v>
      </c>
      <c r="BT105" s="208">
        <v>2060</v>
      </c>
      <c r="BU105" s="208">
        <v>938475</v>
      </c>
      <c r="BV105" s="208">
        <v>209343</v>
      </c>
      <c r="BW105" s="208">
        <v>23260</v>
      </c>
      <c r="BX105" s="208">
        <v>100106</v>
      </c>
      <c r="BY105" s="208">
        <v>18822</v>
      </c>
      <c r="BZ105" s="208">
        <v>2092</v>
      </c>
      <c r="CA105" s="208">
        <v>6831.855833333334</v>
      </c>
      <c r="CB105" s="208">
        <v>1537.1675625</v>
      </c>
      <c r="CC105" s="208">
        <v>170.79639583333335</v>
      </c>
      <c r="CD105" s="208">
        <v>3899</v>
      </c>
      <c r="CE105" s="208">
        <v>877</v>
      </c>
      <c r="CF105" s="208">
        <v>97</v>
      </c>
      <c r="CG105" s="208">
        <v>2933</v>
      </c>
      <c r="CH105" s="208">
        <v>660</v>
      </c>
      <c r="CI105" s="208">
        <v>74</v>
      </c>
      <c r="CJ105" s="208">
        <v>0</v>
      </c>
      <c r="CK105" s="208">
        <v>0</v>
      </c>
      <c r="CL105" s="208">
        <v>0</v>
      </c>
      <c r="CM105" s="208">
        <v>0</v>
      </c>
      <c r="CN105" s="208">
        <v>0</v>
      </c>
      <c r="CO105" s="208">
        <v>0</v>
      </c>
      <c r="CP105" s="208">
        <v>0</v>
      </c>
      <c r="CQ105" s="208">
        <v>0</v>
      </c>
      <c r="CR105" s="208">
        <v>0</v>
      </c>
      <c r="CS105" s="208">
        <v>0</v>
      </c>
      <c r="CT105" s="208">
        <v>0</v>
      </c>
      <c r="CU105" s="208">
        <v>0</v>
      </c>
      <c r="CV105" s="208">
        <v>0</v>
      </c>
      <c r="CW105" s="208">
        <v>0</v>
      </c>
      <c r="CX105" s="208">
        <v>0</v>
      </c>
      <c r="CY105" s="208">
        <v>0</v>
      </c>
      <c r="CZ105" s="208">
        <v>0</v>
      </c>
      <c r="DA105" s="208">
        <v>0</v>
      </c>
      <c r="DB105" s="208">
        <v>0</v>
      </c>
      <c r="DC105" s="208">
        <v>0</v>
      </c>
      <c r="DD105" s="208">
        <v>0</v>
      </c>
      <c r="DE105" s="208">
        <v>0</v>
      </c>
      <c r="DF105" s="208">
        <v>0</v>
      </c>
      <c r="DG105" s="208">
        <v>0</v>
      </c>
      <c r="DH105" s="208">
        <v>0</v>
      </c>
      <c r="DI105" s="208">
        <v>0</v>
      </c>
      <c r="DJ105" s="208">
        <v>0</v>
      </c>
      <c r="DK105" s="208">
        <v>0</v>
      </c>
      <c r="DL105" s="208">
        <v>0</v>
      </c>
      <c r="DM105" s="208">
        <v>0</v>
      </c>
      <c r="DN105" s="208">
        <v>0</v>
      </c>
      <c r="DO105" s="208">
        <v>0</v>
      </c>
      <c r="DP105" s="208">
        <v>0</v>
      </c>
      <c r="DQ105" s="208">
        <v>0</v>
      </c>
      <c r="DR105" s="208">
        <v>0</v>
      </c>
      <c r="DS105" s="208">
        <v>0</v>
      </c>
      <c r="DT105" s="208">
        <v>0</v>
      </c>
      <c r="DU105" s="208">
        <v>0</v>
      </c>
      <c r="DV105" s="208">
        <v>0</v>
      </c>
      <c r="DW105" s="208">
        <v>3836.7394666666664</v>
      </c>
      <c r="DX105" s="208">
        <v>863.26637999999991</v>
      </c>
      <c r="DY105" s="208">
        <v>95.918486666666666</v>
      </c>
      <c r="DZ105" s="208">
        <v>6138</v>
      </c>
      <c r="EA105" s="208">
        <v>1381</v>
      </c>
      <c r="EB105" s="208">
        <v>153</v>
      </c>
      <c r="EC105" s="208">
        <v>-2301</v>
      </c>
      <c r="ED105" s="208">
        <v>-518</v>
      </c>
      <c r="EE105" s="208">
        <v>-57</v>
      </c>
      <c r="EF105" s="208">
        <v>33485.790833333333</v>
      </c>
      <c r="EG105" s="208">
        <v>7534.3029374999996</v>
      </c>
      <c r="EH105" s="208">
        <v>837.14477083333338</v>
      </c>
      <c r="EI105" s="208">
        <v>201.31</v>
      </c>
      <c r="EJ105" s="208">
        <v>45.294749999999993</v>
      </c>
      <c r="EK105" s="208">
        <v>5.0327500000000001</v>
      </c>
      <c r="EL105" s="208">
        <v>36006</v>
      </c>
      <c r="EM105" s="208">
        <v>8102</v>
      </c>
      <c r="EN105" s="208">
        <v>900</v>
      </c>
      <c r="EO105" s="208">
        <v>-2319</v>
      </c>
      <c r="EP105" s="208">
        <v>-522</v>
      </c>
      <c r="EQ105" s="208">
        <v>-58</v>
      </c>
      <c r="ER105" s="208">
        <v>5923.0966666666673</v>
      </c>
      <c r="ES105" s="208">
        <v>1332.6967500000001</v>
      </c>
      <c r="ET105" s="208">
        <v>148.07741666666666</v>
      </c>
      <c r="EU105" s="208">
        <v>6956</v>
      </c>
      <c r="EV105" s="208">
        <v>1565</v>
      </c>
      <c r="EW105" s="208">
        <v>174</v>
      </c>
      <c r="EX105" s="208">
        <v>-1033</v>
      </c>
      <c r="EY105" s="208">
        <v>-232</v>
      </c>
      <c r="EZ105" s="208">
        <v>-26</v>
      </c>
      <c r="FA105" s="208">
        <v>0</v>
      </c>
      <c r="FB105" s="208">
        <v>0</v>
      </c>
      <c r="FC105" s="208">
        <v>0</v>
      </c>
      <c r="FD105" s="208">
        <v>0</v>
      </c>
      <c r="FE105" s="208">
        <v>0</v>
      </c>
      <c r="FF105" s="208">
        <v>0</v>
      </c>
      <c r="FG105" s="208">
        <v>0</v>
      </c>
      <c r="FH105" s="208">
        <v>0</v>
      </c>
      <c r="FI105" s="208">
        <v>0</v>
      </c>
      <c r="FJ105" s="208">
        <v>363734.3233333333</v>
      </c>
      <c r="FK105" s="208">
        <v>80889.23493749999</v>
      </c>
      <c r="FL105" s="208">
        <v>8987.6927708333315</v>
      </c>
      <c r="FM105" s="208">
        <v>362215</v>
      </c>
      <c r="FN105" s="208">
        <v>76681</v>
      </c>
      <c r="FO105" s="208">
        <v>8520</v>
      </c>
      <c r="FP105" s="208">
        <v>1519</v>
      </c>
      <c r="FQ105" s="208">
        <v>4208</v>
      </c>
      <c r="FR105" s="208">
        <v>468</v>
      </c>
      <c r="FS105" s="208">
        <v>0</v>
      </c>
      <c r="FT105" s="208">
        <v>0</v>
      </c>
      <c r="FU105" s="208">
        <v>0</v>
      </c>
      <c r="FV105" s="208">
        <v>0</v>
      </c>
      <c r="FW105" s="208">
        <v>0</v>
      </c>
      <c r="FX105" s="208">
        <v>0</v>
      </c>
      <c r="FY105" s="208">
        <v>0</v>
      </c>
      <c r="FZ105" s="208">
        <v>0</v>
      </c>
      <c r="GA105" s="208">
        <v>0</v>
      </c>
      <c r="GB105" s="208">
        <v>1452594</v>
      </c>
      <c r="GC105" s="208">
        <v>320366</v>
      </c>
      <c r="GD105" s="208">
        <v>35597</v>
      </c>
      <c r="GE105" s="664">
        <v>0.5</v>
      </c>
      <c r="GF105" s="664">
        <v>0.4</v>
      </c>
      <c r="GG105" s="664">
        <v>0.09</v>
      </c>
      <c r="GH105" s="664">
        <v>0.01</v>
      </c>
      <c r="GI105" s="187" t="s">
        <v>1054</v>
      </c>
    </row>
    <row r="106" spans="1:191" s="187" customFormat="1" x14ac:dyDescent="0.2">
      <c r="B106" s="429" t="s">
        <v>291</v>
      </c>
      <c r="C106" s="429" t="s">
        <v>290</v>
      </c>
      <c r="D106" s="208">
        <v>155446</v>
      </c>
      <c r="E106" s="208">
        <v>0</v>
      </c>
      <c r="F106" s="208">
        <v>155446</v>
      </c>
      <c r="G106" s="208">
        <v>-115046</v>
      </c>
      <c r="H106" s="208">
        <v>0</v>
      </c>
      <c r="I106" s="208">
        <v>-115046</v>
      </c>
      <c r="J106" s="208">
        <v>270492</v>
      </c>
      <c r="K106" s="208">
        <v>0</v>
      </c>
      <c r="L106" s="208">
        <v>270492</v>
      </c>
      <c r="M106" s="208">
        <v>122761</v>
      </c>
      <c r="N106" s="208">
        <v>122761</v>
      </c>
      <c r="O106" s="208">
        <v>0</v>
      </c>
      <c r="P106" s="208">
        <v>0</v>
      </c>
      <c r="Q106" s="208">
        <v>0</v>
      </c>
      <c r="R106" s="208">
        <v>0</v>
      </c>
      <c r="S106" s="208">
        <v>302408</v>
      </c>
      <c r="T106" s="208">
        <v>0</v>
      </c>
      <c r="U106" s="208">
        <v>215071</v>
      </c>
      <c r="V106" s="208">
        <v>0</v>
      </c>
      <c r="W106" s="208">
        <v>87337</v>
      </c>
      <c r="X106" s="208">
        <v>0</v>
      </c>
      <c r="Y106" s="208">
        <v>0</v>
      </c>
      <c r="Z106" s="208">
        <v>0</v>
      </c>
      <c r="AA106" s="208">
        <v>0</v>
      </c>
      <c r="AB106" s="208">
        <v>0</v>
      </c>
      <c r="AC106" s="208">
        <v>0</v>
      </c>
      <c r="AD106" s="208">
        <v>0</v>
      </c>
      <c r="AE106" s="208">
        <v>0</v>
      </c>
      <c r="AF106" s="208">
        <v>0</v>
      </c>
      <c r="AG106" s="208">
        <v>0</v>
      </c>
      <c r="AH106" s="208">
        <v>0</v>
      </c>
      <c r="AI106" s="208">
        <v>0</v>
      </c>
      <c r="AJ106" s="208">
        <v>0</v>
      </c>
      <c r="AK106" s="208">
        <v>0</v>
      </c>
      <c r="AL106" s="208">
        <v>0</v>
      </c>
      <c r="AM106" s="208">
        <v>0</v>
      </c>
      <c r="AN106" s="208">
        <v>0</v>
      </c>
      <c r="AO106" s="208">
        <v>0</v>
      </c>
      <c r="AP106" s="208">
        <v>0</v>
      </c>
      <c r="AQ106" s="208">
        <v>0</v>
      </c>
      <c r="AR106" s="208">
        <v>0</v>
      </c>
      <c r="AS106" s="208">
        <v>0</v>
      </c>
      <c r="AT106" s="208">
        <v>0</v>
      </c>
      <c r="AU106" s="208">
        <v>0</v>
      </c>
      <c r="AV106" s="208">
        <v>0</v>
      </c>
      <c r="AW106" s="208">
        <v>0</v>
      </c>
      <c r="AX106" s="208">
        <v>0</v>
      </c>
      <c r="AY106" s="208">
        <v>0</v>
      </c>
      <c r="AZ106" s="208">
        <v>0</v>
      </c>
      <c r="BA106" s="208">
        <v>0</v>
      </c>
      <c r="BB106" s="208">
        <v>0</v>
      </c>
      <c r="BC106" s="208">
        <v>0</v>
      </c>
      <c r="BD106" s="208">
        <v>0</v>
      </c>
      <c r="BE106" s="208">
        <v>0</v>
      </c>
      <c r="BF106" s="208">
        <v>0</v>
      </c>
      <c r="BG106" s="208">
        <v>0</v>
      </c>
      <c r="BH106" s="208">
        <v>0</v>
      </c>
      <c r="BI106" s="208">
        <v>0</v>
      </c>
      <c r="BJ106" s="208">
        <v>0</v>
      </c>
      <c r="BK106" s="208">
        <v>0</v>
      </c>
      <c r="BL106" s="208">
        <v>0</v>
      </c>
      <c r="BM106" s="208">
        <v>0</v>
      </c>
      <c r="BN106" s="208">
        <v>0</v>
      </c>
      <c r="BO106" s="208">
        <v>1023098.3628533336</v>
      </c>
      <c r="BP106" s="208">
        <v>230197.13164200002</v>
      </c>
      <c r="BQ106" s="208">
        <v>25577.459071333331</v>
      </c>
      <c r="BR106" s="208">
        <v>51217</v>
      </c>
      <c r="BS106" s="208">
        <v>11524</v>
      </c>
      <c r="BT106" s="208">
        <v>1280</v>
      </c>
      <c r="BU106" s="208">
        <v>970616</v>
      </c>
      <c r="BV106" s="208">
        <v>218389</v>
      </c>
      <c r="BW106" s="208">
        <v>24265</v>
      </c>
      <c r="BX106" s="208">
        <v>103699</v>
      </c>
      <c r="BY106" s="208">
        <v>23332</v>
      </c>
      <c r="BZ106" s="208">
        <v>2592</v>
      </c>
      <c r="CA106" s="208">
        <v>0</v>
      </c>
      <c r="CB106" s="208">
        <v>0</v>
      </c>
      <c r="CC106" s="208">
        <v>0</v>
      </c>
      <c r="CD106" s="208">
        <v>0</v>
      </c>
      <c r="CE106" s="208">
        <v>0</v>
      </c>
      <c r="CF106" s="208">
        <v>0</v>
      </c>
      <c r="CG106" s="208">
        <v>0</v>
      </c>
      <c r="CH106" s="208">
        <v>0</v>
      </c>
      <c r="CI106" s="208">
        <v>0</v>
      </c>
      <c r="CJ106" s="208">
        <v>0</v>
      </c>
      <c r="CK106" s="208">
        <v>0</v>
      </c>
      <c r="CL106" s="208">
        <v>0</v>
      </c>
      <c r="CM106" s="208">
        <v>0</v>
      </c>
      <c r="CN106" s="208">
        <v>0</v>
      </c>
      <c r="CO106" s="208">
        <v>0</v>
      </c>
      <c r="CP106" s="208">
        <v>0</v>
      </c>
      <c r="CQ106" s="208">
        <v>0</v>
      </c>
      <c r="CR106" s="208">
        <v>0</v>
      </c>
      <c r="CS106" s="208">
        <v>0</v>
      </c>
      <c r="CT106" s="208">
        <v>0</v>
      </c>
      <c r="CU106" s="208">
        <v>0</v>
      </c>
      <c r="CV106" s="208">
        <v>0</v>
      </c>
      <c r="CW106" s="208">
        <v>0</v>
      </c>
      <c r="CX106" s="208">
        <v>0</v>
      </c>
      <c r="CY106" s="208">
        <v>0</v>
      </c>
      <c r="CZ106" s="208">
        <v>0</v>
      </c>
      <c r="DA106" s="208">
        <v>0</v>
      </c>
      <c r="DB106" s="208">
        <v>0</v>
      </c>
      <c r="DC106" s="208">
        <v>0</v>
      </c>
      <c r="DD106" s="208">
        <v>0</v>
      </c>
      <c r="DE106" s="208">
        <v>10846.19</v>
      </c>
      <c r="DF106" s="208">
        <v>2440.3927499999995</v>
      </c>
      <c r="DG106" s="208">
        <v>271.15474999999998</v>
      </c>
      <c r="DH106" s="208">
        <v>9832</v>
      </c>
      <c r="DI106" s="208">
        <v>2212</v>
      </c>
      <c r="DJ106" s="208">
        <v>246</v>
      </c>
      <c r="DK106" s="208">
        <v>1014</v>
      </c>
      <c r="DL106" s="208">
        <v>228</v>
      </c>
      <c r="DM106" s="208">
        <v>25</v>
      </c>
      <c r="DN106" s="208">
        <v>0</v>
      </c>
      <c r="DO106" s="208">
        <v>0</v>
      </c>
      <c r="DP106" s="208">
        <v>0</v>
      </c>
      <c r="DQ106" s="208">
        <v>0</v>
      </c>
      <c r="DR106" s="208">
        <v>0</v>
      </c>
      <c r="DS106" s="208">
        <v>0</v>
      </c>
      <c r="DT106" s="208">
        <v>0</v>
      </c>
      <c r="DU106" s="208">
        <v>0</v>
      </c>
      <c r="DV106" s="208">
        <v>0</v>
      </c>
      <c r="DW106" s="208">
        <v>6980.3833333333341</v>
      </c>
      <c r="DX106" s="208">
        <v>1570.5862500000001</v>
      </c>
      <c r="DY106" s="208">
        <v>174.50958333333335</v>
      </c>
      <c r="DZ106" s="208">
        <v>9824</v>
      </c>
      <c r="EA106" s="208">
        <v>2211</v>
      </c>
      <c r="EB106" s="208">
        <v>246</v>
      </c>
      <c r="EC106" s="208">
        <v>-2844</v>
      </c>
      <c r="ED106" s="208">
        <v>-640</v>
      </c>
      <c r="EE106" s="208">
        <v>-71</v>
      </c>
      <c r="EF106" s="208">
        <v>29589.296666666669</v>
      </c>
      <c r="EG106" s="208">
        <v>6657.5917499999996</v>
      </c>
      <c r="EH106" s="208">
        <v>739.73241666666672</v>
      </c>
      <c r="EI106" s="208">
        <v>-21.685833333333335</v>
      </c>
      <c r="EJ106" s="208">
        <v>-4.8793124999999993</v>
      </c>
      <c r="EK106" s="208">
        <v>-0.54214583333333333</v>
      </c>
      <c r="EL106" s="208">
        <v>31715</v>
      </c>
      <c r="EM106" s="208">
        <v>7136</v>
      </c>
      <c r="EN106" s="208">
        <v>793</v>
      </c>
      <c r="EO106" s="208">
        <v>-2147</v>
      </c>
      <c r="EP106" s="208">
        <v>-483</v>
      </c>
      <c r="EQ106" s="208">
        <v>-54</v>
      </c>
      <c r="ER106" s="208">
        <v>6581.4458333333332</v>
      </c>
      <c r="ES106" s="208">
        <v>1480.8253124999999</v>
      </c>
      <c r="ET106" s="208">
        <v>164.53614583333334</v>
      </c>
      <c r="EU106" s="208">
        <v>6138</v>
      </c>
      <c r="EV106" s="208">
        <v>1381</v>
      </c>
      <c r="EW106" s="208">
        <v>153</v>
      </c>
      <c r="EX106" s="208">
        <v>443</v>
      </c>
      <c r="EY106" s="208">
        <v>100</v>
      </c>
      <c r="EZ106" s="208">
        <v>12</v>
      </c>
      <c r="FA106" s="208">
        <v>0</v>
      </c>
      <c r="FB106" s="208">
        <v>0</v>
      </c>
      <c r="FC106" s="208">
        <v>0</v>
      </c>
      <c r="FD106" s="208">
        <v>0</v>
      </c>
      <c r="FE106" s="208">
        <v>0</v>
      </c>
      <c r="FF106" s="208">
        <v>0</v>
      </c>
      <c r="FG106" s="208">
        <v>0</v>
      </c>
      <c r="FH106" s="208">
        <v>0</v>
      </c>
      <c r="FI106" s="208">
        <v>0</v>
      </c>
      <c r="FJ106" s="208">
        <v>217584.66482499999</v>
      </c>
      <c r="FK106" s="208">
        <v>47397.258335624996</v>
      </c>
      <c r="FL106" s="208">
        <v>5266.3620372916666</v>
      </c>
      <c r="FM106" s="208">
        <v>235489</v>
      </c>
      <c r="FN106" s="208">
        <v>51876</v>
      </c>
      <c r="FO106" s="208">
        <v>5764</v>
      </c>
      <c r="FP106" s="208">
        <v>-17904</v>
      </c>
      <c r="FQ106" s="208">
        <v>-4479</v>
      </c>
      <c r="FR106" s="208">
        <v>-498</v>
      </c>
      <c r="FS106" s="208">
        <v>0</v>
      </c>
      <c r="FT106" s="208">
        <v>0</v>
      </c>
      <c r="FU106" s="208">
        <v>0</v>
      </c>
      <c r="FV106" s="208">
        <v>0</v>
      </c>
      <c r="FW106" s="208">
        <v>0</v>
      </c>
      <c r="FX106" s="208">
        <v>0</v>
      </c>
      <c r="FY106" s="208">
        <v>0</v>
      </c>
      <c r="FZ106" s="208">
        <v>0</v>
      </c>
      <c r="GA106" s="208">
        <v>0</v>
      </c>
      <c r="GB106" s="208">
        <v>1345874</v>
      </c>
      <c r="GC106" s="208">
        <v>301263</v>
      </c>
      <c r="GD106" s="208">
        <v>33473</v>
      </c>
      <c r="GE106" s="664">
        <v>0.5</v>
      </c>
      <c r="GF106" s="664">
        <v>0.4</v>
      </c>
      <c r="GG106" s="664">
        <v>0.09</v>
      </c>
      <c r="GH106" s="664">
        <v>0.01</v>
      </c>
      <c r="GI106" s="187" t="s">
        <v>1054</v>
      </c>
    </row>
    <row r="107" spans="1:191" s="187" customFormat="1" x14ac:dyDescent="0.2">
      <c r="B107" s="429" t="s">
        <v>550</v>
      </c>
      <c r="C107" s="429" t="s">
        <v>1533</v>
      </c>
      <c r="D107" s="208">
        <v>-408614</v>
      </c>
      <c r="E107" s="208">
        <v>0</v>
      </c>
      <c r="F107" s="208">
        <v>-408614</v>
      </c>
      <c r="G107" s="208">
        <v>-483092</v>
      </c>
      <c r="H107" s="208">
        <v>0</v>
      </c>
      <c r="I107" s="208">
        <v>-483092</v>
      </c>
      <c r="J107" s="208">
        <v>74478</v>
      </c>
      <c r="K107" s="208">
        <v>0</v>
      </c>
      <c r="L107" s="208">
        <v>74478</v>
      </c>
      <c r="M107" s="208">
        <v>146744</v>
      </c>
      <c r="N107" s="208">
        <v>146744</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H107" s="208">
        <v>0</v>
      </c>
      <c r="BI107" s="208">
        <v>0</v>
      </c>
      <c r="BJ107" s="208">
        <v>0</v>
      </c>
      <c r="BK107" s="208">
        <v>0</v>
      </c>
      <c r="BL107" s="208">
        <v>0</v>
      </c>
      <c r="BM107" s="208">
        <v>0</v>
      </c>
      <c r="BN107" s="208">
        <v>0</v>
      </c>
      <c r="BO107" s="208">
        <v>1095247.9863300002</v>
      </c>
      <c r="BP107" s="208">
        <v>1615490.7798367499</v>
      </c>
      <c r="BQ107" s="208">
        <v>27381.199658250003</v>
      </c>
      <c r="BR107" s="208">
        <v>50240</v>
      </c>
      <c r="BS107" s="208">
        <v>74104</v>
      </c>
      <c r="BT107" s="208">
        <v>1256</v>
      </c>
      <c r="BU107" s="208">
        <v>1116891</v>
      </c>
      <c r="BV107" s="208">
        <v>1647412</v>
      </c>
      <c r="BW107" s="208">
        <v>27922</v>
      </c>
      <c r="BX107" s="208">
        <v>28597</v>
      </c>
      <c r="BY107" s="208">
        <v>42183</v>
      </c>
      <c r="BZ107" s="208">
        <v>715</v>
      </c>
      <c r="CA107" s="208">
        <v>16110.528333333335</v>
      </c>
      <c r="CB107" s="208">
        <v>23763.029291666666</v>
      </c>
      <c r="CC107" s="208">
        <v>402.76320833333335</v>
      </c>
      <c r="CD107" s="208">
        <v>6897</v>
      </c>
      <c r="CE107" s="208">
        <v>10173</v>
      </c>
      <c r="CF107" s="208">
        <v>172</v>
      </c>
      <c r="CG107" s="208">
        <v>9214</v>
      </c>
      <c r="CH107" s="208">
        <v>13590</v>
      </c>
      <c r="CI107" s="208">
        <v>231</v>
      </c>
      <c r="CJ107" s="208">
        <v>0</v>
      </c>
      <c r="CK107" s="208">
        <v>0</v>
      </c>
      <c r="CL107" s="208">
        <v>0</v>
      </c>
      <c r="CM107" s="208">
        <v>0</v>
      </c>
      <c r="CN107" s="208">
        <v>0</v>
      </c>
      <c r="CO107" s="208">
        <v>0</v>
      </c>
      <c r="CP107" s="208">
        <v>566.69583333333333</v>
      </c>
      <c r="CQ107" s="208">
        <v>835.8763541666666</v>
      </c>
      <c r="CR107" s="208">
        <v>14.167395833333332</v>
      </c>
      <c r="CS107" s="208">
        <v>0</v>
      </c>
      <c r="CT107" s="208">
        <v>0</v>
      </c>
      <c r="CU107" s="208">
        <v>0</v>
      </c>
      <c r="CV107" s="208">
        <v>0</v>
      </c>
      <c r="CW107" s="208">
        <v>0</v>
      </c>
      <c r="CX107" s="208">
        <v>0</v>
      </c>
      <c r="CY107" s="208">
        <v>0</v>
      </c>
      <c r="CZ107" s="208">
        <v>0</v>
      </c>
      <c r="DA107" s="208">
        <v>0</v>
      </c>
      <c r="DB107" s="208">
        <v>0</v>
      </c>
      <c r="DC107" s="208">
        <v>0</v>
      </c>
      <c r="DD107" s="208">
        <v>0</v>
      </c>
      <c r="DE107" s="208">
        <v>8247.1633333333339</v>
      </c>
      <c r="DF107" s="208">
        <v>12164.565916666666</v>
      </c>
      <c r="DG107" s="208">
        <v>206.17908333333332</v>
      </c>
      <c r="DH107" s="208">
        <v>8629</v>
      </c>
      <c r="DI107" s="208">
        <v>12729</v>
      </c>
      <c r="DJ107" s="208">
        <v>216</v>
      </c>
      <c r="DK107" s="208">
        <v>-382</v>
      </c>
      <c r="DL107" s="208">
        <v>-564</v>
      </c>
      <c r="DM107" s="208">
        <v>-10</v>
      </c>
      <c r="DN107" s="208">
        <v>102.70083333333335</v>
      </c>
      <c r="DO107" s="208">
        <v>151.48372916666668</v>
      </c>
      <c r="DP107" s="208">
        <v>2.5675208333333335</v>
      </c>
      <c r="DQ107" s="208">
        <v>614</v>
      </c>
      <c r="DR107" s="208">
        <v>905</v>
      </c>
      <c r="DS107" s="208">
        <v>15</v>
      </c>
      <c r="DT107" s="208">
        <v>-511</v>
      </c>
      <c r="DU107" s="208">
        <v>-754</v>
      </c>
      <c r="DV107" s="208">
        <v>-12</v>
      </c>
      <c r="DW107" s="208">
        <v>13076.148333333334</v>
      </c>
      <c r="DX107" s="208">
        <v>19287.318791666665</v>
      </c>
      <c r="DY107" s="208">
        <v>326.90370833333333</v>
      </c>
      <c r="DZ107" s="208">
        <v>14519</v>
      </c>
      <c r="EA107" s="208">
        <v>21415</v>
      </c>
      <c r="EB107" s="208">
        <v>363</v>
      </c>
      <c r="EC107" s="208">
        <v>-1443</v>
      </c>
      <c r="ED107" s="208">
        <v>-2128</v>
      </c>
      <c r="EE107" s="208">
        <v>-36</v>
      </c>
      <c r="EF107" s="208">
        <v>27005</v>
      </c>
      <c r="EG107" s="208">
        <v>39832.375</v>
      </c>
      <c r="EH107" s="208">
        <v>675.125</v>
      </c>
      <c r="EI107" s="208">
        <v>-653.43916666666667</v>
      </c>
      <c r="EJ107" s="208">
        <v>-963.82277083333327</v>
      </c>
      <c r="EK107" s="208">
        <v>-16.335979166666668</v>
      </c>
      <c r="EL107" s="208">
        <v>19844</v>
      </c>
      <c r="EM107" s="208">
        <v>29271</v>
      </c>
      <c r="EN107" s="208">
        <v>496</v>
      </c>
      <c r="EO107" s="208">
        <v>6508</v>
      </c>
      <c r="EP107" s="208">
        <v>9598</v>
      </c>
      <c r="EQ107" s="208">
        <v>163</v>
      </c>
      <c r="ER107" s="208">
        <v>20295.894166666669</v>
      </c>
      <c r="ES107" s="208">
        <v>29936.443895833334</v>
      </c>
      <c r="ET107" s="208">
        <v>507.39735416666667</v>
      </c>
      <c r="EU107" s="208">
        <v>20796</v>
      </c>
      <c r="EV107" s="208">
        <v>30675</v>
      </c>
      <c r="EW107" s="208">
        <v>520</v>
      </c>
      <c r="EX107" s="208">
        <v>-500</v>
      </c>
      <c r="EY107" s="208">
        <v>-739</v>
      </c>
      <c r="EZ107" s="208">
        <v>-13</v>
      </c>
      <c r="FA107" s="208">
        <v>0</v>
      </c>
      <c r="FB107" s="208">
        <v>0</v>
      </c>
      <c r="FC107" s="208">
        <v>0</v>
      </c>
      <c r="FD107" s="208">
        <v>0</v>
      </c>
      <c r="FE107" s="208">
        <v>0</v>
      </c>
      <c r="FF107" s="208">
        <v>0</v>
      </c>
      <c r="FG107" s="208">
        <v>0</v>
      </c>
      <c r="FH107" s="208">
        <v>0</v>
      </c>
      <c r="FI107" s="208">
        <v>0</v>
      </c>
      <c r="FJ107" s="208">
        <v>264516.04666666663</v>
      </c>
      <c r="FK107" s="208">
        <v>390161.1688333333</v>
      </c>
      <c r="FL107" s="208">
        <v>6612.9011666666665</v>
      </c>
      <c r="FM107" s="208">
        <v>254364</v>
      </c>
      <c r="FN107" s="208">
        <v>375187</v>
      </c>
      <c r="FO107" s="208">
        <v>6359</v>
      </c>
      <c r="FP107" s="208">
        <v>10152</v>
      </c>
      <c r="FQ107" s="208">
        <v>14974</v>
      </c>
      <c r="FR107" s="208">
        <v>254</v>
      </c>
      <c r="FS107" s="208">
        <v>0</v>
      </c>
      <c r="FT107" s="208">
        <v>0</v>
      </c>
      <c r="FU107" s="208">
        <v>0</v>
      </c>
      <c r="FV107" s="208">
        <v>0</v>
      </c>
      <c r="FW107" s="208">
        <v>0</v>
      </c>
      <c r="FX107" s="208">
        <v>0</v>
      </c>
      <c r="FY107" s="208">
        <v>0</v>
      </c>
      <c r="FZ107" s="208">
        <v>0</v>
      </c>
      <c r="GA107" s="208">
        <v>0</v>
      </c>
      <c r="GB107" s="208">
        <v>1494756</v>
      </c>
      <c r="GC107" s="208">
        <v>2204762</v>
      </c>
      <c r="GD107" s="208">
        <v>37369</v>
      </c>
      <c r="GE107" s="664">
        <v>0</v>
      </c>
      <c r="GF107" s="664">
        <v>0.4</v>
      </c>
      <c r="GG107" s="664">
        <v>0.59</v>
      </c>
      <c r="GH107" s="664">
        <v>0.01</v>
      </c>
    </row>
    <row r="108" spans="1:191" s="187" customFormat="1" x14ac:dyDescent="0.2">
      <c r="B108" s="429" t="s">
        <v>293</v>
      </c>
      <c r="C108" s="429" t="s">
        <v>292</v>
      </c>
      <c r="D108" s="208">
        <v>724974</v>
      </c>
      <c r="E108" s="208">
        <v>0</v>
      </c>
      <c r="F108" s="208">
        <v>724974</v>
      </c>
      <c r="G108" s="208">
        <v>534537</v>
      </c>
      <c r="H108" s="208">
        <v>0</v>
      </c>
      <c r="I108" s="208">
        <v>534537</v>
      </c>
      <c r="J108" s="208">
        <v>190437</v>
      </c>
      <c r="K108" s="208">
        <v>0</v>
      </c>
      <c r="L108" s="208">
        <v>190437</v>
      </c>
      <c r="M108" s="208">
        <v>89903</v>
      </c>
      <c r="N108" s="208">
        <v>89903</v>
      </c>
      <c r="O108" s="208">
        <v>0</v>
      </c>
      <c r="P108" s="208">
        <v>0</v>
      </c>
      <c r="Q108" s="208">
        <v>0</v>
      </c>
      <c r="R108" s="208">
        <v>0</v>
      </c>
      <c r="S108" s="208">
        <v>172517</v>
      </c>
      <c r="T108" s="208">
        <v>0</v>
      </c>
      <c r="U108" s="208">
        <v>76538</v>
      </c>
      <c r="V108" s="208">
        <v>0</v>
      </c>
      <c r="W108" s="208">
        <v>95979</v>
      </c>
      <c r="X108" s="208">
        <v>0</v>
      </c>
      <c r="Y108" s="208">
        <v>0</v>
      </c>
      <c r="Z108" s="208">
        <v>0</v>
      </c>
      <c r="AA108" s="208">
        <v>0</v>
      </c>
      <c r="AB108" s="208">
        <v>0</v>
      </c>
      <c r="AC108" s="208">
        <v>0</v>
      </c>
      <c r="AD108" s="208">
        <v>0</v>
      </c>
      <c r="AE108" s="208">
        <v>0</v>
      </c>
      <c r="AF108" s="208">
        <v>0</v>
      </c>
      <c r="AG108" s="208">
        <v>0</v>
      </c>
      <c r="AH108" s="208">
        <v>0</v>
      </c>
      <c r="AI108" s="208">
        <v>0</v>
      </c>
      <c r="AJ108" s="208">
        <v>0</v>
      </c>
      <c r="AK108" s="208">
        <v>0</v>
      </c>
      <c r="AL108" s="208">
        <v>0</v>
      </c>
      <c r="AM108" s="208">
        <v>0</v>
      </c>
      <c r="AN108" s="208">
        <v>0</v>
      </c>
      <c r="AO108" s="208">
        <v>0</v>
      </c>
      <c r="AP108" s="208">
        <v>0</v>
      </c>
      <c r="AQ108" s="208">
        <v>0</v>
      </c>
      <c r="AR108" s="208">
        <v>0</v>
      </c>
      <c r="AS108" s="208">
        <v>0</v>
      </c>
      <c r="AT108" s="208">
        <v>0</v>
      </c>
      <c r="AU108" s="208">
        <v>0</v>
      </c>
      <c r="AV108" s="208">
        <v>0</v>
      </c>
      <c r="AW108" s="208">
        <v>0</v>
      </c>
      <c r="AX108" s="208">
        <v>0</v>
      </c>
      <c r="AY108" s="208">
        <v>0</v>
      </c>
      <c r="AZ108" s="208">
        <v>0</v>
      </c>
      <c r="BA108" s="208">
        <v>0</v>
      </c>
      <c r="BB108" s="208">
        <v>0</v>
      </c>
      <c r="BC108" s="208">
        <v>0</v>
      </c>
      <c r="BD108" s="208">
        <v>0</v>
      </c>
      <c r="BE108" s="208">
        <v>0</v>
      </c>
      <c r="BF108" s="208">
        <v>0</v>
      </c>
      <c r="BG108" s="208">
        <v>0</v>
      </c>
      <c r="BH108" s="208">
        <v>0</v>
      </c>
      <c r="BI108" s="208">
        <v>0</v>
      </c>
      <c r="BJ108" s="208">
        <v>0</v>
      </c>
      <c r="BK108" s="208">
        <v>0</v>
      </c>
      <c r="BL108" s="208">
        <v>0</v>
      </c>
      <c r="BM108" s="208">
        <v>0</v>
      </c>
      <c r="BN108" s="208">
        <v>0</v>
      </c>
      <c r="BO108" s="208">
        <v>1253607.7466</v>
      </c>
      <c r="BP108" s="208">
        <v>313401.93664999999</v>
      </c>
      <c r="BQ108" s="208">
        <v>0</v>
      </c>
      <c r="BR108" s="208">
        <v>114294</v>
      </c>
      <c r="BS108" s="208">
        <v>28573</v>
      </c>
      <c r="BT108" s="208">
        <v>0</v>
      </c>
      <c r="BU108" s="208">
        <v>1262222</v>
      </c>
      <c r="BV108" s="208">
        <v>315555</v>
      </c>
      <c r="BW108" s="208">
        <v>0</v>
      </c>
      <c r="BX108" s="208">
        <v>105680</v>
      </c>
      <c r="BY108" s="208">
        <v>26420</v>
      </c>
      <c r="BZ108" s="208">
        <v>0</v>
      </c>
      <c r="CA108" s="208">
        <v>0</v>
      </c>
      <c r="CB108" s="208">
        <v>0</v>
      </c>
      <c r="CC108" s="208">
        <v>0</v>
      </c>
      <c r="CD108" s="208">
        <v>0</v>
      </c>
      <c r="CE108" s="208">
        <v>0</v>
      </c>
      <c r="CF108" s="208">
        <v>0</v>
      </c>
      <c r="CG108" s="208">
        <v>0</v>
      </c>
      <c r="CH108" s="208">
        <v>0</v>
      </c>
      <c r="CI108" s="208">
        <v>0</v>
      </c>
      <c r="CJ108" s="208">
        <v>0</v>
      </c>
      <c r="CK108" s="208">
        <v>0</v>
      </c>
      <c r="CL108" s="208">
        <v>0</v>
      </c>
      <c r="CM108" s="208">
        <v>0</v>
      </c>
      <c r="CN108" s="208">
        <v>0</v>
      </c>
      <c r="CO108" s="208">
        <v>0</v>
      </c>
      <c r="CP108" s="208">
        <v>0</v>
      </c>
      <c r="CQ108" s="208">
        <v>0</v>
      </c>
      <c r="CR108" s="208">
        <v>0</v>
      </c>
      <c r="CS108" s="208">
        <v>0</v>
      </c>
      <c r="CT108" s="208">
        <v>0</v>
      </c>
      <c r="CU108" s="208">
        <v>0</v>
      </c>
      <c r="CV108" s="208">
        <v>0</v>
      </c>
      <c r="CW108" s="208">
        <v>0</v>
      </c>
      <c r="CX108" s="208">
        <v>0</v>
      </c>
      <c r="CY108" s="208">
        <v>0</v>
      </c>
      <c r="CZ108" s="208">
        <v>0</v>
      </c>
      <c r="DA108" s="208">
        <v>0</v>
      </c>
      <c r="DB108" s="208">
        <v>0</v>
      </c>
      <c r="DC108" s="208">
        <v>0</v>
      </c>
      <c r="DD108" s="208">
        <v>0</v>
      </c>
      <c r="DE108" s="208">
        <v>4447.6416666666664</v>
      </c>
      <c r="DF108" s="208">
        <v>1111.9104166666666</v>
      </c>
      <c r="DG108" s="208">
        <v>0</v>
      </c>
      <c r="DH108" s="208">
        <v>4448</v>
      </c>
      <c r="DI108" s="208">
        <v>1112</v>
      </c>
      <c r="DJ108" s="208">
        <v>0</v>
      </c>
      <c r="DK108" s="208">
        <v>0</v>
      </c>
      <c r="DL108" s="208">
        <v>0</v>
      </c>
      <c r="DM108" s="208">
        <v>0</v>
      </c>
      <c r="DN108" s="208">
        <v>2090.0233333333335</v>
      </c>
      <c r="DO108" s="208">
        <v>522.50583333333338</v>
      </c>
      <c r="DP108" s="208">
        <v>0</v>
      </c>
      <c r="DQ108" s="208">
        <v>0</v>
      </c>
      <c r="DR108" s="208">
        <v>0</v>
      </c>
      <c r="DS108" s="208">
        <v>0</v>
      </c>
      <c r="DT108" s="208">
        <v>2090</v>
      </c>
      <c r="DU108" s="208">
        <v>523</v>
      </c>
      <c r="DV108" s="208">
        <v>0</v>
      </c>
      <c r="DW108" s="208">
        <v>10611.328333333333</v>
      </c>
      <c r="DX108" s="208">
        <v>2652.8320833333332</v>
      </c>
      <c r="DY108" s="208">
        <v>0</v>
      </c>
      <c r="DZ108" s="208">
        <v>14571</v>
      </c>
      <c r="EA108" s="208">
        <v>3643</v>
      </c>
      <c r="EB108" s="208">
        <v>0</v>
      </c>
      <c r="EC108" s="208">
        <v>-3960</v>
      </c>
      <c r="ED108" s="208">
        <v>-990</v>
      </c>
      <c r="EE108" s="208">
        <v>0</v>
      </c>
      <c r="EF108" s="208">
        <v>81561.646666666667</v>
      </c>
      <c r="EG108" s="208">
        <v>20390.411666666667</v>
      </c>
      <c r="EH108" s="208">
        <v>0</v>
      </c>
      <c r="EI108" s="208">
        <v>27370.795000000002</v>
      </c>
      <c r="EJ108" s="208">
        <v>6842.6987500000005</v>
      </c>
      <c r="EK108" s="208">
        <v>0</v>
      </c>
      <c r="EL108" s="208">
        <v>90017</v>
      </c>
      <c r="EM108" s="208">
        <v>22504</v>
      </c>
      <c r="EN108" s="208">
        <v>0</v>
      </c>
      <c r="EO108" s="208">
        <v>18915</v>
      </c>
      <c r="EP108" s="208">
        <v>4729</v>
      </c>
      <c r="EQ108" s="208">
        <v>0</v>
      </c>
      <c r="ER108" s="208">
        <v>16666.994999999999</v>
      </c>
      <c r="ES108" s="208">
        <v>4166.7487499999997</v>
      </c>
      <c r="ET108" s="208">
        <v>0</v>
      </c>
      <c r="EU108" s="208">
        <v>15548</v>
      </c>
      <c r="EV108" s="208">
        <v>3887</v>
      </c>
      <c r="EW108" s="208">
        <v>0</v>
      </c>
      <c r="EX108" s="208">
        <v>1119</v>
      </c>
      <c r="EY108" s="208">
        <v>280</v>
      </c>
      <c r="EZ108" s="208">
        <v>0</v>
      </c>
      <c r="FA108" s="208">
        <v>0</v>
      </c>
      <c r="FB108" s="208">
        <v>0</v>
      </c>
      <c r="FC108" s="208">
        <v>0</v>
      </c>
      <c r="FD108" s="208">
        <v>0</v>
      </c>
      <c r="FE108" s="208">
        <v>0</v>
      </c>
      <c r="FF108" s="208">
        <v>0</v>
      </c>
      <c r="FG108" s="208">
        <v>0</v>
      </c>
      <c r="FH108" s="208">
        <v>0</v>
      </c>
      <c r="FI108" s="208">
        <v>0</v>
      </c>
      <c r="FJ108" s="208">
        <v>448194.05125000002</v>
      </c>
      <c r="FK108" s="208">
        <v>111060.13416666667</v>
      </c>
      <c r="FL108" s="208">
        <v>0</v>
      </c>
      <c r="FM108" s="208">
        <v>448001</v>
      </c>
      <c r="FN108" s="208">
        <v>111562</v>
      </c>
      <c r="FO108" s="208">
        <v>0</v>
      </c>
      <c r="FP108" s="208">
        <v>193</v>
      </c>
      <c r="FQ108" s="208">
        <v>-502</v>
      </c>
      <c r="FR108" s="208">
        <v>0</v>
      </c>
      <c r="FS108" s="208">
        <v>0</v>
      </c>
      <c r="FT108" s="208">
        <v>0</v>
      </c>
      <c r="FU108" s="208">
        <v>0</v>
      </c>
      <c r="FV108" s="208">
        <v>0</v>
      </c>
      <c r="FW108" s="208">
        <v>0</v>
      </c>
      <c r="FX108" s="208">
        <v>0</v>
      </c>
      <c r="FY108" s="208">
        <v>0</v>
      </c>
      <c r="FZ108" s="208">
        <v>0</v>
      </c>
      <c r="GA108" s="208">
        <v>0</v>
      </c>
      <c r="GB108" s="208">
        <v>1958845</v>
      </c>
      <c r="GC108" s="208">
        <v>488723</v>
      </c>
      <c r="GD108" s="208">
        <v>0</v>
      </c>
      <c r="GE108" s="664">
        <v>0</v>
      </c>
      <c r="GF108" s="664">
        <v>0.8</v>
      </c>
      <c r="GG108" s="664">
        <v>0.2</v>
      </c>
      <c r="GH108" s="664">
        <v>0</v>
      </c>
      <c r="GI108" s="187" t="s">
        <v>1054</v>
      </c>
    </row>
    <row r="109" spans="1:191" s="187" customFormat="1" x14ac:dyDescent="0.2">
      <c r="B109" s="429" t="s">
        <v>295</v>
      </c>
      <c r="C109" s="429" t="s">
        <v>294</v>
      </c>
      <c r="D109" s="208">
        <v>577965</v>
      </c>
      <c r="E109" s="208">
        <v>0</v>
      </c>
      <c r="F109" s="208">
        <v>577965</v>
      </c>
      <c r="G109" s="208">
        <v>691756</v>
      </c>
      <c r="H109" s="208">
        <v>0</v>
      </c>
      <c r="I109" s="208">
        <v>691756</v>
      </c>
      <c r="J109" s="208">
        <v>-113791</v>
      </c>
      <c r="K109" s="208">
        <v>0</v>
      </c>
      <c r="L109" s="208">
        <v>-113791</v>
      </c>
      <c r="M109" s="208">
        <v>119349</v>
      </c>
      <c r="N109" s="208">
        <v>119349</v>
      </c>
      <c r="O109" s="208">
        <v>0</v>
      </c>
      <c r="P109" s="208">
        <v>0</v>
      </c>
      <c r="Q109" s="208">
        <v>0</v>
      </c>
      <c r="R109" s="208">
        <v>0</v>
      </c>
      <c r="S109" s="208">
        <v>109520</v>
      </c>
      <c r="T109" s="208">
        <v>0</v>
      </c>
      <c r="U109" s="208">
        <v>64022</v>
      </c>
      <c r="V109" s="208">
        <v>0</v>
      </c>
      <c r="W109" s="208">
        <v>45498</v>
      </c>
      <c r="X109" s="208">
        <v>0</v>
      </c>
      <c r="Y109" s="208">
        <v>0</v>
      </c>
      <c r="Z109" s="208">
        <v>0</v>
      </c>
      <c r="AA109" s="208">
        <v>0</v>
      </c>
      <c r="AB109" s="208">
        <v>0</v>
      </c>
      <c r="AC109" s="208">
        <v>0</v>
      </c>
      <c r="AD109" s="208">
        <v>0</v>
      </c>
      <c r="AE109" s="208">
        <v>0</v>
      </c>
      <c r="AF109" s="208">
        <v>0</v>
      </c>
      <c r="AG109" s="208">
        <v>0</v>
      </c>
      <c r="AH109" s="208">
        <v>0</v>
      </c>
      <c r="AI109" s="208">
        <v>0</v>
      </c>
      <c r="AJ109" s="208">
        <v>0</v>
      </c>
      <c r="AK109" s="208">
        <v>0</v>
      </c>
      <c r="AL109" s="208">
        <v>0</v>
      </c>
      <c r="AM109" s="208">
        <v>0</v>
      </c>
      <c r="AN109" s="208">
        <v>0</v>
      </c>
      <c r="AO109" s="208">
        <v>0</v>
      </c>
      <c r="AP109" s="208">
        <v>0</v>
      </c>
      <c r="AQ109" s="208">
        <v>0</v>
      </c>
      <c r="AR109" s="208">
        <v>0</v>
      </c>
      <c r="AS109" s="208">
        <v>0</v>
      </c>
      <c r="AT109" s="208">
        <v>0</v>
      </c>
      <c r="AU109" s="208">
        <v>0</v>
      </c>
      <c r="AV109" s="208">
        <v>0</v>
      </c>
      <c r="AW109" s="208">
        <v>0</v>
      </c>
      <c r="AX109" s="208">
        <v>0</v>
      </c>
      <c r="AY109" s="208">
        <v>0</v>
      </c>
      <c r="AZ109" s="208">
        <v>0</v>
      </c>
      <c r="BA109" s="208">
        <v>0</v>
      </c>
      <c r="BB109" s="208">
        <v>0</v>
      </c>
      <c r="BC109" s="208">
        <v>0</v>
      </c>
      <c r="BD109" s="208">
        <v>0</v>
      </c>
      <c r="BE109" s="208">
        <v>0</v>
      </c>
      <c r="BF109" s="208">
        <v>0</v>
      </c>
      <c r="BG109" s="208">
        <v>0</v>
      </c>
      <c r="BH109" s="208">
        <v>0</v>
      </c>
      <c r="BI109" s="208">
        <v>0</v>
      </c>
      <c r="BJ109" s="208">
        <v>0</v>
      </c>
      <c r="BK109" s="208">
        <v>0</v>
      </c>
      <c r="BL109" s="208">
        <v>0</v>
      </c>
      <c r="BM109" s="208">
        <v>0</v>
      </c>
      <c r="BN109" s="208">
        <v>0</v>
      </c>
      <c r="BO109" s="208">
        <v>1062216.9101875003</v>
      </c>
      <c r="BP109" s="208">
        <v>1062216.9101875003</v>
      </c>
      <c r="BQ109" s="208">
        <v>0</v>
      </c>
      <c r="BR109" s="208">
        <v>43222</v>
      </c>
      <c r="BS109" s="208">
        <v>43222</v>
      </c>
      <c r="BT109" s="208">
        <v>0</v>
      </c>
      <c r="BU109" s="208">
        <v>1073282</v>
      </c>
      <c r="BV109" s="208">
        <v>1073281</v>
      </c>
      <c r="BW109" s="208">
        <v>0</v>
      </c>
      <c r="BX109" s="208">
        <v>32157</v>
      </c>
      <c r="BY109" s="208">
        <v>32158</v>
      </c>
      <c r="BZ109" s="208">
        <v>0</v>
      </c>
      <c r="CA109" s="208">
        <v>0</v>
      </c>
      <c r="CB109" s="208">
        <v>0</v>
      </c>
      <c r="CC109" s="208">
        <v>0</v>
      </c>
      <c r="CD109" s="208">
        <v>2069</v>
      </c>
      <c r="CE109" s="208">
        <v>2069</v>
      </c>
      <c r="CF109" s="208">
        <v>0</v>
      </c>
      <c r="CG109" s="208">
        <v>-2069</v>
      </c>
      <c r="CH109" s="208">
        <v>-2069</v>
      </c>
      <c r="CI109" s="208">
        <v>0</v>
      </c>
      <c r="CJ109" s="208">
        <v>0</v>
      </c>
      <c r="CK109" s="208">
        <v>0</v>
      </c>
      <c r="CL109" s="208">
        <v>0</v>
      </c>
      <c r="CM109" s="208">
        <v>0</v>
      </c>
      <c r="CN109" s="208">
        <v>0</v>
      </c>
      <c r="CO109" s="208">
        <v>0</v>
      </c>
      <c r="CP109" s="208">
        <v>0</v>
      </c>
      <c r="CQ109" s="208">
        <v>0</v>
      </c>
      <c r="CR109" s="208">
        <v>0</v>
      </c>
      <c r="CS109" s="208">
        <v>0</v>
      </c>
      <c r="CT109" s="208">
        <v>0</v>
      </c>
      <c r="CU109" s="208">
        <v>0</v>
      </c>
      <c r="CV109" s="208">
        <v>0</v>
      </c>
      <c r="CW109" s="208">
        <v>0</v>
      </c>
      <c r="CX109" s="208">
        <v>0</v>
      </c>
      <c r="CY109" s="208">
        <v>0</v>
      </c>
      <c r="CZ109" s="208">
        <v>0</v>
      </c>
      <c r="DA109" s="208">
        <v>0</v>
      </c>
      <c r="DB109" s="208">
        <v>0</v>
      </c>
      <c r="DC109" s="208">
        <v>0</v>
      </c>
      <c r="DD109" s="208">
        <v>0</v>
      </c>
      <c r="DE109" s="208">
        <v>20277.277083333334</v>
      </c>
      <c r="DF109" s="208">
        <v>20277.277083333334</v>
      </c>
      <c r="DG109" s="208">
        <v>0</v>
      </c>
      <c r="DH109" s="208">
        <v>21664</v>
      </c>
      <c r="DI109" s="208">
        <v>21663</v>
      </c>
      <c r="DJ109" s="208">
        <v>0</v>
      </c>
      <c r="DK109" s="208">
        <v>-1387</v>
      </c>
      <c r="DL109" s="208">
        <v>-1386</v>
      </c>
      <c r="DM109" s="208">
        <v>0</v>
      </c>
      <c r="DN109" s="208">
        <v>399.44895833333334</v>
      </c>
      <c r="DO109" s="208">
        <v>399.44895833333334</v>
      </c>
      <c r="DP109" s="208">
        <v>0</v>
      </c>
      <c r="DQ109" s="208">
        <v>767</v>
      </c>
      <c r="DR109" s="208">
        <v>767</v>
      </c>
      <c r="DS109" s="208">
        <v>0</v>
      </c>
      <c r="DT109" s="208">
        <v>-368</v>
      </c>
      <c r="DU109" s="208">
        <v>-368</v>
      </c>
      <c r="DV109" s="208">
        <v>0</v>
      </c>
      <c r="DW109" s="208">
        <v>8250.8458333333328</v>
      </c>
      <c r="DX109" s="208">
        <v>8250.8458333333328</v>
      </c>
      <c r="DY109" s="208">
        <v>0</v>
      </c>
      <c r="DZ109" s="208">
        <v>10392</v>
      </c>
      <c r="EA109" s="208">
        <v>10392</v>
      </c>
      <c r="EB109" s="208">
        <v>0</v>
      </c>
      <c r="EC109" s="208">
        <v>-2141</v>
      </c>
      <c r="ED109" s="208">
        <v>-2141</v>
      </c>
      <c r="EE109" s="208">
        <v>0</v>
      </c>
      <c r="EF109" s="208">
        <v>41359.078125</v>
      </c>
      <c r="EG109" s="208">
        <v>41359.078125</v>
      </c>
      <c r="EH109" s="208">
        <v>0</v>
      </c>
      <c r="EI109" s="208">
        <v>-6946.6270833333338</v>
      </c>
      <c r="EJ109" s="208">
        <v>-6946.6270833333338</v>
      </c>
      <c r="EK109" s="208">
        <v>0</v>
      </c>
      <c r="EL109" s="208">
        <v>41864</v>
      </c>
      <c r="EM109" s="208">
        <v>41864</v>
      </c>
      <c r="EN109" s="208">
        <v>0</v>
      </c>
      <c r="EO109" s="208">
        <v>-7452</v>
      </c>
      <c r="EP109" s="208">
        <v>-7452</v>
      </c>
      <c r="EQ109" s="208">
        <v>0</v>
      </c>
      <c r="ER109" s="208">
        <v>16545.677083333332</v>
      </c>
      <c r="ES109" s="208">
        <v>16545.677083333332</v>
      </c>
      <c r="ET109" s="208">
        <v>0</v>
      </c>
      <c r="EU109" s="208">
        <v>19325</v>
      </c>
      <c r="EV109" s="208">
        <v>19324</v>
      </c>
      <c r="EW109" s="208">
        <v>0</v>
      </c>
      <c r="EX109" s="208">
        <v>-2779</v>
      </c>
      <c r="EY109" s="208">
        <v>-2778</v>
      </c>
      <c r="EZ109" s="208">
        <v>0</v>
      </c>
      <c r="FA109" s="208">
        <v>0</v>
      </c>
      <c r="FB109" s="208">
        <v>0</v>
      </c>
      <c r="FC109" s="208">
        <v>0</v>
      </c>
      <c r="FD109" s="208">
        <v>0</v>
      </c>
      <c r="FE109" s="208">
        <v>0</v>
      </c>
      <c r="FF109" s="208">
        <v>0</v>
      </c>
      <c r="FG109" s="208">
        <v>0</v>
      </c>
      <c r="FH109" s="208">
        <v>0</v>
      </c>
      <c r="FI109" s="208">
        <v>0</v>
      </c>
      <c r="FJ109" s="208">
        <v>147398.9</v>
      </c>
      <c r="FK109" s="208">
        <v>144889.06666666665</v>
      </c>
      <c r="FL109" s="208">
        <v>0</v>
      </c>
      <c r="FM109" s="208">
        <v>147741</v>
      </c>
      <c r="FN109" s="208">
        <v>146273</v>
      </c>
      <c r="FO109" s="208">
        <v>0</v>
      </c>
      <c r="FP109" s="208">
        <v>-342</v>
      </c>
      <c r="FQ109" s="208">
        <v>-1384</v>
      </c>
      <c r="FR109" s="208">
        <v>0</v>
      </c>
      <c r="FS109" s="208">
        <v>0</v>
      </c>
      <c r="FT109" s="208">
        <v>0</v>
      </c>
      <c r="FU109" s="208">
        <v>0</v>
      </c>
      <c r="FV109" s="208">
        <v>0</v>
      </c>
      <c r="FW109" s="208">
        <v>0</v>
      </c>
      <c r="FX109" s="208">
        <v>0</v>
      </c>
      <c r="FY109" s="208">
        <v>0</v>
      </c>
      <c r="FZ109" s="208">
        <v>0</v>
      </c>
      <c r="GA109" s="208">
        <v>0</v>
      </c>
      <c r="GB109" s="208">
        <v>1332723</v>
      </c>
      <c r="GC109" s="208">
        <v>1330213</v>
      </c>
      <c r="GD109" s="208">
        <v>0</v>
      </c>
      <c r="GE109" s="664">
        <v>0</v>
      </c>
      <c r="GF109" s="664">
        <v>0.5</v>
      </c>
      <c r="GG109" s="664">
        <v>0.5</v>
      </c>
      <c r="GH109" s="664">
        <v>0</v>
      </c>
      <c r="GI109" s="187" t="s">
        <v>1054</v>
      </c>
    </row>
    <row r="110" spans="1:191" s="187" customFormat="1" x14ac:dyDescent="0.2">
      <c r="B110" s="429" t="s">
        <v>297</v>
      </c>
      <c r="C110" s="429" t="s">
        <v>296</v>
      </c>
      <c r="D110" s="208">
        <v>-348709</v>
      </c>
      <c r="E110" s="208">
        <v>-70010</v>
      </c>
      <c r="F110" s="208">
        <v>-418719</v>
      </c>
      <c r="G110" s="208">
        <v>-456814</v>
      </c>
      <c r="H110" s="208">
        <v>-68738</v>
      </c>
      <c r="I110" s="208">
        <v>-525552</v>
      </c>
      <c r="J110" s="208">
        <v>108105</v>
      </c>
      <c r="K110" s="208">
        <v>-1272</v>
      </c>
      <c r="L110" s="208">
        <v>106833</v>
      </c>
      <c r="M110" s="208">
        <v>113116</v>
      </c>
      <c r="N110" s="208">
        <v>113116</v>
      </c>
      <c r="O110" s="208">
        <v>0</v>
      </c>
      <c r="P110" s="208">
        <v>0</v>
      </c>
      <c r="Q110" s="208">
        <v>0</v>
      </c>
      <c r="R110" s="208">
        <v>0</v>
      </c>
      <c r="S110" s="208">
        <v>45897</v>
      </c>
      <c r="T110" s="208">
        <v>11474</v>
      </c>
      <c r="U110" s="208">
        <v>74413</v>
      </c>
      <c r="V110" s="208">
        <v>15234</v>
      </c>
      <c r="W110" s="208">
        <v>-28516</v>
      </c>
      <c r="X110" s="208">
        <v>-3760</v>
      </c>
      <c r="Y110" s="208">
        <v>10156.000000000002</v>
      </c>
      <c r="Z110" s="208">
        <v>14980.099999999999</v>
      </c>
      <c r="AA110" s="208">
        <v>253.9</v>
      </c>
      <c r="AB110" s="208">
        <v>0</v>
      </c>
      <c r="AC110" s="208">
        <v>0</v>
      </c>
      <c r="AD110" s="208">
        <v>0</v>
      </c>
      <c r="AE110" s="208">
        <v>10156</v>
      </c>
      <c r="AF110" s="208">
        <v>14980</v>
      </c>
      <c r="AG110" s="208">
        <v>254</v>
      </c>
      <c r="AH110" s="208">
        <v>281247</v>
      </c>
      <c r="AI110" s="208">
        <v>281246.84583333333</v>
      </c>
      <c r="AJ110" s="208">
        <v>0</v>
      </c>
      <c r="AK110" s="208">
        <v>0</v>
      </c>
      <c r="AL110" s="208">
        <v>99791</v>
      </c>
      <c r="AM110" s="208">
        <v>99791</v>
      </c>
      <c r="AN110" s="208">
        <v>0</v>
      </c>
      <c r="AO110" s="208">
        <v>0</v>
      </c>
      <c r="AP110" s="208">
        <v>181456</v>
      </c>
      <c r="AQ110" s="208">
        <v>181456</v>
      </c>
      <c r="AR110" s="208">
        <v>0</v>
      </c>
      <c r="AS110" s="208">
        <v>0</v>
      </c>
      <c r="AT110" s="208">
        <v>0</v>
      </c>
      <c r="AU110" s="208">
        <v>0</v>
      </c>
      <c r="AV110" s="208">
        <v>0</v>
      </c>
      <c r="AW110" s="208">
        <v>0</v>
      </c>
      <c r="AX110" s="208">
        <v>0</v>
      </c>
      <c r="AY110" s="208">
        <v>0</v>
      </c>
      <c r="AZ110" s="208">
        <v>0</v>
      </c>
      <c r="BA110" s="208">
        <v>0</v>
      </c>
      <c r="BB110" s="208">
        <v>0</v>
      </c>
      <c r="BC110" s="208">
        <v>0</v>
      </c>
      <c r="BD110" s="208">
        <v>0</v>
      </c>
      <c r="BE110" s="208">
        <v>0</v>
      </c>
      <c r="BF110" s="208">
        <v>0</v>
      </c>
      <c r="BG110" s="208">
        <v>0</v>
      </c>
      <c r="BH110" s="208">
        <v>0</v>
      </c>
      <c r="BI110" s="208">
        <v>0</v>
      </c>
      <c r="BJ110" s="208">
        <v>0</v>
      </c>
      <c r="BK110" s="208">
        <v>0</v>
      </c>
      <c r="BL110" s="208">
        <v>0</v>
      </c>
      <c r="BM110" s="208">
        <v>0</v>
      </c>
      <c r="BN110" s="208">
        <v>0</v>
      </c>
      <c r="BO110" s="208">
        <v>974380.50856250012</v>
      </c>
      <c r="BP110" s="208">
        <v>213678.46415156251</v>
      </c>
      <c r="BQ110" s="208">
        <v>23742.051572395838</v>
      </c>
      <c r="BR110" s="208">
        <v>53016</v>
      </c>
      <c r="BS110" s="208">
        <v>10046</v>
      </c>
      <c r="BT110" s="208">
        <v>1116</v>
      </c>
      <c r="BU110" s="208">
        <v>957873</v>
      </c>
      <c r="BV110" s="208">
        <v>210967</v>
      </c>
      <c r="BW110" s="208">
        <v>23441</v>
      </c>
      <c r="BX110" s="208">
        <v>69524</v>
      </c>
      <c r="BY110" s="208">
        <v>12757</v>
      </c>
      <c r="BZ110" s="208">
        <v>1417</v>
      </c>
      <c r="CA110" s="208">
        <v>1433.7200000000003</v>
      </c>
      <c r="CB110" s="208">
        <v>322.58699999999999</v>
      </c>
      <c r="CC110" s="208">
        <v>35.843000000000004</v>
      </c>
      <c r="CD110" s="208">
        <v>1433</v>
      </c>
      <c r="CE110" s="208">
        <v>323</v>
      </c>
      <c r="CF110" s="208">
        <v>36</v>
      </c>
      <c r="CG110" s="208">
        <v>1</v>
      </c>
      <c r="CH110" s="208">
        <v>0</v>
      </c>
      <c r="CI110" s="208">
        <v>0</v>
      </c>
      <c r="CJ110" s="208">
        <v>-444.76416666666665</v>
      </c>
      <c r="CK110" s="208">
        <v>-100.07193749999999</v>
      </c>
      <c r="CL110" s="208">
        <v>-11.119104166666666</v>
      </c>
      <c r="CM110" s="208">
        <v>0</v>
      </c>
      <c r="CN110" s="208">
        <v>0</v>
      </c>
      <c r="CO110" s="208">
        <v>0</v>
      </c>
      <c r="CP110" s="208">
        <v>613.75</v>
      </c>
      <c r="CQ110" s="208">
        <v>138.09375</v>
      </c>
      <c r="CR110" s="208">
        <v>15.34375</v>
      </c>
      <c r="CS110" s="208">
        <v>0</v>
      </c>
      <c r="CT110" s="208">
        <v>0</v>
      </c>
      <c r="CU110" s="208">
        <v>0</v>
      </c>
      <c r="CV110" s="208">
        <v>0</v>
      </c>
      <c r="CW110" s="208">
        <v>0</v>
      </c>
      <c r="CX110" s="208">
        <v>0</v>
      </c>
      <c r="CY110" s="208">
        <v>0</v>
      </c>
      <c r="CZ110" s="208">
        <v>0</v>
      </c>
      <c r="DA110" s="208">
        <v>0</v>
      </c>
      <c r="DB110" s="208">
        <v>0</v>
      </c>
      <c r="DC110" s="208">
        <v>0</v>
      </c>
      <c r="DD110" s="208">
        <v>0</v>
      </c>
      <c r="DE110" s="208">
        <v>1644.4408333333333</v>
      </c>
      <c r="DF110" s="208">
        <v>369.99918749999995</v>
      </c>
      <c r="DG110" s="208">
        <v>41.111020833333335</v>
      </c>
      <c r="DH110" s="208">
        <v>1645</v>
      </c>
      <c r="DI110" s="208">
        <v>370</v>
      </c>
      <c r="DJ110" s="208">
        <v>41</v>
      </c>
      <c r="DK110" s="208">
        <v>-1</v>
      </c>
      <c r="DL110" s="208">
        <v>0</v>
      </c>
      <c r="DM110" s="208">
        <v>0</v>
      </c>
      <c r="DN110" s="208">
        <v>966.65625</v>
      </c>
      <c r="DO110" s="208">
        <v>0</v>
      </c>
      <c r="DP110" s="208">
        <v>0</v>
      </c>
      <c r="DQ110" s="208">
        <v>614</v>
      </c>
      <c r="DR110" s="208">
        <v>138</v>
      </c>
      <c r="DS110" s="208">
        <v>15</v>
      </c>
      <c r="DT110" s="208">
        <v>353</v>
      </c>
      <c r="DU110" s="208">
        <v>-138</v>
      </c>
      <c r="DV110" s="208">
        <v>-15</v>
      </c>
      <c r="DW110" s="208">
        <v>6712.3791666666675</v>
      </c>
      <c r="DX110" s="208">
        <v>1510.2853124999999</v>
      </c>
      <c r="DY110" s="208">
        <v>167.80947916666665</v>
      </c>
      <c r="DZ110" s="208">
        <v>5301</v>
      </c>
      <c r="EA110" s="208">
        <v>1193</v>
      </c>
      <c r="EB110" s="208">
        <v>133</v>
      </c>
      <c r="EC110" s="208">
        <v>1411</v>
      </c>
      <c r="ED110" s="208">
        <v>317</v>
      </c>
      <c r="EE110" s="208">
        <v>35</v>
      </c>
      <c r="EF110" s="208">
        <v>19588.445000000003</v>
      </c>
      <c r="EG110" s="208">
        <v>4407.4001250000001</v>
      </c>
      <c r="EH110" s="208">
        <v>489.71112500000004</v>
      </c>
      <c r="EI110" s="208">
        <v>-161.62083333333334</v>
      </c>
      <c r="EJ110" s="208">
        <v>-36.364687499999995</v>
      </c>
      <c r="EK110" s="208">
        <v>-4.0405208333333329</v>
      </c>
      <c r="EL110" s="208">
        <v>24959</v>
      </c>
      <c r="EM110" s="208">
        <v>5616</v>
      </c>
      <c r="EN110" s="208">
        <v>624</v>
      </c>
      <c r="EO110" s="208">
        <v>-5532</v>
      </c>
      <c r="EP110" s="208">
        <v>-1245</v>
      </c>
      <c r="EQ110" s="208">
        <v>-138</v>
      </c>
      <c r="ER110" s="208">
        <v>5228.3316666666669</v>
      </c>
      <c r="ES110" s="208">
        <v>1176.3746249999999</v>
      </c>
      <c r="ET110" s="208">
        <v>130.70829166666667</v>
      </c>
      <c r="EU110" s="208">
        <v>4092</v>
      </c>
      <c r="EV110" s="208">
        <v>921</v>
      </c>
      <c r="EW110" s="208">
        <v>102</v>
      </c>
      <c r="EX110" s="208">
        <v>1136</v>
      </c>
      <c r="EY110" s="208">
        <v>255</v>
      </c>
      <c r="EZ110" s="208">
        <v>29</v>
      </c>
      <c r="FA110" s="208">
        <v>0</v>
      </c>
      <c r="FB110" s="208">
        <v>0</v>
      </c>
      <c r="FC110" s="208">
        <v>0</v>
      </c>
      <c r="FD110" s="208">
        <v>0</v>
      </c>
      <c r="FE110" s="208">
        <v>0</v>
      </c>
      <c r="FF110" s="208">
        <v>0</v>
      </c>
      <c r="FG110" s="208">
        <v>0</v>
      </c>
      <c r="FH110" s="208">
        <v>0</v>
      </c>
      <c r="FI110" s="208">
        <v>0</v>
      </c>
      <c r="FJ110" s="208">
        <v>228830.86874999999</v>
      </c>
      <c r="FK110" s="208">
        <v>51804.16197916666</v>
      </c>
      <c r="FL110" s="208">
        <v>5694.4765625</v>
      </c>
      <c r="FM110" s="208">
        <v>233000</v>
      </c>
      <c r="FN110" s="208">
        <v>51876</v>
      </c>
      <c r="FO110" s="208">
        <v>5725</v>
      </c>
      <c r="FP110" s="208">
        <v>-4169</v>
      </c>
      <c r="FQ110" s="208">
        <v>-72</v>
      </c>
      <c r="FR110" s="208">
        <v>-31</v>
      </c>
      <c r="FS110" s="208">
        <v>0</v>
      </c>
      <c r="FT110" s="208">
        <v>0</v>
      </c>
      <c r="FU110" s="208">
        <v>0</v>
      </c>
      <c r="FV110" s="208">
        <v>0</v>
      </c>
      <c r="FW110" s="208">
        <v>0</v>
      </c>
      <c r="FX110" s="208">
        <v>0</v>
      </c>
      <c r="FY110" s="208">
        <v>0</v>
      </c>
      <c r="FZ110" s="208">
        <v>0</v>
      </c>
      <c r="GA110" s="208">
        <v>0</v>
      </c>
      <c r="GB110" s="208">
        <v>1291808</v>
      </c>
      <c r="GC110" s="208">
        <v>283316</v>
      </c>
      <c r="GD110" s="208">
        <v>31418</v>
      </c>
      <c r="GE110" s="664">
        <v>0.5</v>
      </c>
      <c r="GF110" s="664">
        <v>0.4</v>
      </c>
      <c r="GG110" s="664">
        <v>0.09</v>
      </c>
      <c r="GH110" s="664">
        <v>0.01</v>
      </c>
      <c r="GI110" s="187" t="s">
        <v>1054</v>
      </c>
    </row>
    <row r="111" spans="1:191" s="187" customFormat="1" x14ac:dyDescent="0.2">
      <c r="B111" s="429" t="s">
        <v>299</v>
      </c>
      <c r="C111" s="429" t="s">
        <v>298</v>
      </c>
      <c r="D111" s="208">
        <v>-1787236</v>
      </c>
      <c r="E111" s="208">
        <v>-42373</v>
      </c>
      <c r="F111" s="208">
        <v>-1829609</v>
      </c>
      <c r="G111" s="208">
        <v>-2440485</v>
      </c>
      <c r="H111" s="208">
        <v>-18409</v>
      </c>
      <c r="I111" s="208">
        <v>-2458894</v>
      </c>
      <c r="J111" s="208">
        <v>653249</v>
      </c>
      <c r="K111" s="208">
        <v>-23964</v>
      </c>
      <c r="L111" s="208">
        <v>629285</v>
      </c>
      <c r="M111" s="208">
        <v>282158</v>
      </c>
      <c r="N111" s="208">
        <v>282158</v>
      </c>
      <c r="O111" s="208">
        <v>0</v>
      </c>
      <c r="P111" s="208">
        <v>599180</v>
      </c>
      <c r="Q111" s="208">
        <v>483856</v>
      </c>
      <c r="R111" s="208">
        <v>115324</v>
      </c>
      <c r="S111" s="208">
        <v>0</v>
      </c>
      <c r="T111" s="208">
        <v>0</v>
      </c>
      <c r="U111" s="208">
        <v>0</v>
      </c>
      <c r="V111" s="208">
        <v>0</v>
      </c>
      <c r="W111" s="208">
        <v>0</v>
      </c>
      <c r="X111" s="208">
        <v>0</v>
      </c>
      <c r="Y111" s="208">
        <v>0</v>
      </c>
      <c r="Z111" s="208">
        <v>0</v>
      </c>
      <c r="AA111" s="208">
        <v>0</v>
      </c>
      <c r="AB111" s="208">
        <v>0</v>
      </c>
      <c r="AC111" s="208">
        <v>0</v>
      </c>
      <c r="AD111" s="208">
        <v>0</v>
      </c>
      <c r="AE111" s="208">
        <v>0</v>
      </c>
      <c r="AF111" s="208">
        <v>0</v>
      </c>
      <c r="AG111" s="208">
        <v>0</v>
      </c>
      <c r="AH111" s="208">
        <v>0</v>
      </c>
      <c r="AI111" s="208">
        <v>0</v>
      </c>
      <c r="AJ111" s="208">
        <v>0</v>
      </c>
      <c r="AK111" s="208">
        <v>0</v>
      </c>
      <c r="AL111" s="208">
        <v>0</v>
      </c>
      <c r="AM111" s="208">
        <v>0</v>
      </c>
      <c r="AN111" s="208">
        <v>0</v>
      </c>
      <c r="AO111" s="208">
        <v>0</v>
      </c>
      <c r="AP111" s="208">
        <v>0</v>
      </c>
      <c r="AQ111" s="208">
        <v>0</v>
      </c>
      <c r="AR111" s="208">
        <v>0</v>
      </c>
      <c r="AS111" s="208">
        <v>0</v>
      </c>
      <c r="AT111" s="208">
        <v>0</v>
      </c>
      <c r="AU111" s="208">
        <v>0</v>
      </c>
      <c r="AV111" s="208">
        <v>0</v>
      </c>
      <c r="AW111" s="208">
        <v>0</v>
      </c>
      <c r="AX111" s="208">
        <v>0</v>
      </c>
      <c r="AY111" s="208">
        <v>0</v>
      </c>
      <c r="AZ111" s="208">
        <v>0</v>
      </c>
      <c r="BA111" s="208">
        <v>0</v>
      </c>
      <c r="BB111" s="208">
        <v>0</v>
      </c>
      <c r="BC111" s="208">
        <v>0</v>
      </c>
      <c r="BD111" s="208">
        <v>0</v>
      </c>
      <c r="BE111" s="208">
        <v>0</v>
      </c>
      <c r="BF111" s="208">
        <v>0</v>
      </c>
      <c r="BG111" s="208">
        <v>0</v>
      </c>
      <c r="BH111" s="208">
        <v>0</v>
      </c>
      <c r="BI111" s="208">
        <v>0</v>
      </c>
      <c r="BJ111" s="208">
        <v>0</v>
      </c>
      <c r="BK111" s="208">
        <v>0</v>
      </c>
      <c r="BL111" s="208">
        <v>0</v>
      </c>
      <c r="BM111" s="208">
        <v>0</v>
      </c>
      <c r="BN111" s="208">
        <v>0</v>
      </c>
      <c r="BO111" s="208">
        <v>2161035.8864281252</v>
      </c>
      <c r="BP111" s="208">
        <v>0</v>
      </c>
      <c r="BQ111" s="208">
        <v>42303.214353125004</v>
      </c>
      <c r="BR111" s="208">
        <v>176508</v>
      </c>
      <c r="BS111" s="208">
        <v>0</v>
      </c>
      <c r="BT111" s="208">
        <v>3461</v>
      </c>
      <c r="BU111" s="208">
        <v>2135208</v>
      </c>
      <c r="BV111" s="208">
        <v>0</v>
      </c>
      <c r="BW111" s="208">
        <v>41953</v>
      </c>
      <c r="BX111" s="208">
        <v>202336</v>
      </c>
      <c r="BY111" s="208">
        <v>0</v>
      </c>
      <c r="BZ111" s="208">
        <v>3811</v>
      </c>
      <c r="CA111" s="208">
        <v>3621.3807291666667</v>
      </c>
      <c r="CB111" s="208">
        <v>0</v>
      </c>
      <c r="CC111" s="208">
        <v>73.905729166666674</v>
      </c>
      <c r="CD111" s="208">
        <v>3129</v>
      </c>
      <c r="CE111" s="208">
        <v>0</v>
      </c>
      <c r="CF111" s="208">
        <v>64</v>
      </c>
      <c r="CG111" s="208">
        <v>492</v>
      </c>
      <c r="CH111" s="208">
        <v>0</v>
      </c>
      <c r="CI111" s="208">
        <v>10</v>
      </c>
      <c r="CJ111" s="208">
        <v>0</v>
      </c>
      <c r="CK111" s="208">
        <v>0</v>
      </c>
      <c r="CL111" s="208">
        <v>0</v>
      </c>
      <c r="CM111" s="208">
        <v>0</v>
      </c>
      <c r="CN111" s="208">
        <v>0</v>
      </c>
      <c r="CO111" s="208">
        <v>0</v>
      </c>
      <c r="CP111" s="208">
        <v>0</v>
      </c>
      <c r="CQ111" s="208">
        <v>0</v>
      </c>
      <c r="CR111" s="208">
        <v>0</v>
      </c>
      <c r="CS111" s="208">
        <v>0</v>
      </c>
      <c r="CT111" s="208">
        <v>0</v>
      </c>
      <c r="CU111" s="208">
        <v>0</v>
      </c>
      <c r="CV111" s="208">
        <v>0</v>
      </c>
      <c r="CW111" s="208">
        <v>0</v>
      </c>
      <c r="CX111" s="208">
        <v>0</v>
      </c>
      <c r="CY111" s="208">
        <v>0</v>
      </c>
      <c r="CZ111" s="208">
        <v>0</v>
      </c>
      <c r="DA111" s="208">
        <v>0</v>
      </c>
      <c r="DB111" s="208">
        <v>0</v>
      </c>
      <c r="DC111" s="208">
        <v>0</v>
      </c>
      <c r="DD111" s="208">
        <v>0</v>
      </c>
      <c r="DE111" s="208">
        <v>3305.105125</v>
      </c>
      <c r="DF111" s="208">
        <v>0</v>
      </c>
      <c r="DG111" s="208">
        <v>67.451125000000005</v>
      </c>
      <c r="DH111" s="208">
        <v>3306</v>
      </c>
      <c r="DI111" s="208">
        <v>0</v>
      </c>
      <c r="DJ111" s="208">
        <v>67</v>
      </c>
      <c r="DK111" s="208">
        <v>-1</v>
      </c>
      <c r="DL111" s="208">
        <v>0</v>
      </c>
      <c r="DM111" s="208">
        <v>0</v>
      </c>
      <c r="DN111" s="208">
        <v>0</v>
      </c>
      <c r="DO111" s="208">
        <v>0</v>
      </c>
      <c r="DP111" s="208">
        <v>0</v>
      </c>
      <c r="DQ111" s="208">
        <v>0</v>
      </c>
      <c r="DR111" s="208">
        <v>0</v>
      </c>
      <c r="DS111" s="208">
        <v>0</v>
      </c>
      <c r="DT111" s="208">
        <v>0</v>
      </c>
      <c r="DU111" s="208">
        <v>0</v>
      </c>
      <c r="DV111" s="208">
        <v>0</v>
      </c>
      <c r="DW111" s="208">
        <v>19615.10220833333</v>
      </c>
      <c r="DX111" s="208">
        <v>0</v>
      </c>
      <c r="DY111" s="208">
        <v>400.30820833333337</v>
      </c>
      <c r="DZ111" s="208">
        <v>24543</v>
      </c>
      <c r="EA111" s="208">
        <v>0</v>
      </c>
      <c r="EB111" s="208">
        <v>501</v>
      </c>
      <c r="EC111" s="208">
        <v>-4928</v>
      </c>
      <c r="ED111" s="208">
        <v>0</v>
      </c>
      <c r="EE111" s="208">
        <v>-101</v>
      </c>
      <c r="EF111" s="208">
        <v>95075.848833333323</v>
      </c>
      <c r="EG111" s="208">
        <v>0</v>
      </c>
      <c r="EH111" s="208">
        <v>1787.1990833333332</v>
      </c>
      <c r="EI111" s="208">
        <v>-4509.1803333333337</v>
      </c>
      <c r="EJ111" s="208">
        <v>0</v>
      </c>
      <c r="EK111" s="208">
        <v>-54.050916666666666</v>
      </c>
      <c r="EL111" s="208">
        <v>95622</v>
      </c>
      <c r="EM111" s="208">
        <v>0</v>
      </c>
      <c r="EN111" s="208">
        <v>1836</v>
      </c>
      <c r="EO111" s="208">
        <v>-5055</v>
      </c>
      <c r="EP111" s="208">
        <v>0</v>
      </c>
      <c r="EQ111" s="208">
        <v>-103</v>
      </c>
      <c r="ER111" s="208">
        <v>31684.199312500001</v>
      </c>
      <c r="ES111" s="208">
        <v>0</v>
      </c>
      <c r="ET111" s="208">
        <v>646.61631250000005</v>
      </c>
      <c r="EU111" s="208">
        <v>33614</v>
      </c>
      <c r="EV111" s="208">
        <v>0</v>
      </c>
      <c r="EW111" s="208">
        <v>686</v>
      </c>
      <c r="EX111" s="208">
        <v>-1930</v>
      </c>
      <c r="EY111" s="208">
        <v>0</v>
      </c>
      <c r="EZ111" s="208">
        <v>-39</v>
      </c>
      <c r="FA111" s="208">
        <v>0</v>
      </c>
      <c r="FB111" s="208">
        <v>0</v>
      </c>
      <c r="FC111" s="208">
        <v>0</v>
      </c>
      <c r="FD111" s="208">
        <v>0</v>
      </c>
      <c r="FE111" s="208">
        <v>0</v>
      </c>
      <c r="FF111" s="208">
        <v>0</v>
      </c>
      <c r="FG111" s="208">
        <v>0</v>
      </c>
      <c r="FH111" s="208">
        <v>0</v>
      </c>
      <c r="FI111" s="208">
        <v>0</v>
      </c>
      <c r="FJ111" s="208">
        <v>1007553.0629999998</v>
      </c>
      <c r="FK111" s="208">
        <v>0</v>
      </c>
      <c r="FL111" s="208">
        <v>20282.078666666665</v>
      </c>
      <c r="FM111" s="208">
        <v>1006774</v>
      </c>
      <c r="FN111" s="208">
        <v>0</v>
      </c>
      <c r="FO111" s="208">
        <v>20320</v>
      </c>
      <c r="FP111" s="208">
        <v>779</v>
      </c>
      <c r="FQ111" s="208">
        <v>0</v>
      </c>
      <c r="FR111" s="208">
        <v>-38</v>
      </c>
      <c r="FS111" s="208">
        <v>0</v>
      </c>
      <c r="FT111" s="208">
        <v>0</v>
      </c>
      <c r="FU111" s="208">
        <v>0</v>
      </c>
      <c r="FV111" s="208">
        <v>0</v>
      </c>
      <c r="FW111" s="208">
        <v>0</v>
      </c>
      <c r="FX111" s="208">
        <v>0</v>
      </c>
      <c r="FY111" s="208">
        <v>0</v>
      </c>
      <c r="FZ111" s="208">
        <v>0</v>
      </c>
      <c r="GA111" s="208">
        <v>0</v>
      </c>
      <c r="GB111" s="208">
        <v>3493889</v>
      </c>
      <c r="GC111" s="208">
        <v>0</v>
      </c>
      <c r="GD111" s="208">
        <v>68967</v>
      </c>
      <c r="GE111" s="664">
        <v>0.5</v>
      </c>
      <c r="GF111" s="664">
        <v>0.49</v>
      </c>
      <c r="GG111" s="664">
        <v>0</v>
      </c>
      <c r="GH111" s="664">
        <v>0.01</v>
      </c>
      <c r="GI111" s="187" t="s">
        <v>1056</v>
      </c>
    </row>
    <row r="112" spans="1:191" s="187" customFormat="1" x14ac:dyDescent="0.2">
      <c r="B112" s="429" t="s">
        <v>301</v>
      </c>
      <c r="C112" s="429" t="s">
        <v>300</v>
      </c>
      <c r="D112" s="208">
        <v>545105</v>
      </c>
      <c r="E112" s="208">
        <v>0</v>
      </c>
      <c r="F112" s="208">
        <v>545105</v>
      </c>
      <c r="G112" s="208">
        <v>504759.83</v>
      </c>
      <c r="H112" s="208">
        <v>0</v>
      </c>
      <c r="I112" s="208">
        <v>504759.83</v>
      </c>
      <c r="J112" s="208">
        <v>40345.169999999984</v>
      </c>
      <c r="K112" s="208">
        <v>0</v>
      </c>
      <c r="L112" s="208">
        <v>40345.169999999984</v>
      </c>
      <c r="M112" s="208">
        <v>100325</v>
      </c>
      <c r="N112" s="208">
        <v>100325</v>
      </c>
      <c r="O112" s="208">
        <v>0</v>
      </c>
      <c r="P112" s="208">
        <v>0</v>
      </c>
      <c r="Q112" s="208">
        <v>0</v>
      </c>
      <c r="R112" s="208">
        <v>0</v>
      </c>
      <c r="S112" s="208">
        <v>134786</v>
      </c>
      <c r="T112" s="208">
        <v>0</v>
      </c>
      <c r="U112" s="208">
        <v>90390</v>
      </c>
      <c r="V112" s="208">
        <v>0</v>
      </c>
      <c r="W112" s="208">
        <v>44396</v>
      </c>
      <c r="X112" s="208">
        <v>0</v>
      </c>
      <c r="Y112" s="208">
        <v>0</v>
      </c>
      <c r="Z112" s="208">
        <v>0</v>
      </c>
      <c r="AA112" s="208">
        <v>0</v>
      </c>
      <c r="AB112" s="208">
        <v>0</v>
      </c>
      <c r="AC112" s="208">
        <v>0</v>
      </c>
      <c r="AD112" s="208">
        <v>0</v>
      </c>
      <c r="AE112" s="208">
        <v>0</v>
      </c>
      <c r="AF112" s="208">
        <v>0</v>
      </c>
      <c r="AG112" s="208">
        <v>0</v>
      </c>
      <c r="AH112" s="208">
        <v>0</v>
      </c>
      <c r="AI112" s="208">
        <v>0</v>
      </c>
      <c r="AJ112" s="208">
        <v>0</v>
      </c>
      <c r="AK112" s="208">
        <v>0</v>
      </c>
      <c r="AL112" s="208">
        <v>0</v>
      </c>
      <c r="AM112" s="208">
        <v>0</v>
      </c>
      <c r="AN112" s="208">
        <v>0</v>
      </c>
      <c r="AO112" s="208">
        <v>0</v>
      </c>
      <c r="AP112" s="208">
        <v>0</v>
      </c>
      <c r="AQ112" s="208">
        <v>0</v>
      </c>
      <c r="AR112" s="208">
        <v>0</v>
      </c>
      <c r="AS112" s="208">
        <v>0</v>
      </c>
      <c r="AT112" s="208">
        <v>0</v>
      </c>
      <c r="AU112" s="208">
        <v>0</v>
      </c>
      <c r="AV112" s="208">
        <v>0</v>
      </c>
      <c r="AW112" s="208">
        <v>0</v>
      </c>
      <c r="AX112" s="208">
        <v>0</v>
      </c>
      <c r="AY112" s="208">
        <v>0</v>
      </c>
      <c r="AZ112" s="208">
        <v>0</v>
      </c>
      <c r="BA112" s="208">
        <v>0</v>
      </c>
      <c r="BB112" s="208">
        <v>0</v>
      </c>
      <c r="BC112" s="208">
        <v>0</v>
      </c>
      <c r="BD112" s="208">
        <v>0</v>
      </c>
      <c r="BE112" s="208">
        <v>0</v>
      </c>
      <c r="BF112" s="208">
        <v>0</v>
      </c>
      <c r="BG112" s="208">
        <v>0</v>
      </c>
      <c r="BH112" s="208">
        <v>0</v>
      </c>
      <c r="BI112" s="208">
        <v>0</v>
      </c>
      <c r="BJ112" s="208">
        <v>0</v>
      </c>
      <c r="BK112" s="208">
        <v>0</v>
      </c>
      <c r="BL112" s="208">
        <v>0</v>
      </c>
      <c r="BM112" s="208">
        <v>0</v>
      </c>
      <c r="BN112" s="208">
        <v>0</v>
      </c>
      <c r="BO112" s="208">
        <v>755026.63002854993</v>
      </c>
      <c r="BP112" s="208">
        <v>169880.99175642375</v>
      </c>
      <c r="BQ112" s="208">
        <v>18875.66575071375</v>
      </c>
      <c r="BR112" s="208">
        <v>51950</v>
      </c>
      <c r="BS112" s="208">
        <v>11499</v>
      </c>
      <c r="BT112" s="208">
        <v>1278</v>
      </c>
      <c r="BU112" s="208">
        <v>721478</v>
      </c>
      <c r="BV112" s="208">
        <v>162332</v>
      </c>
      <c r="BW112" s="208">
        <v>18037</v>
      </c>
      <c r="BX112" s="208">
        <v>85499</v>
      </c>
      <c r="BY112" s="208">
        <v>19048</v>
      </c>
      <c r="BZ112" s="208">
        <v>2117</v>
      </c>
      <c r="CA112" s="208">
        <v>0</v>
      </c>
      <c r="CB112" s="208">
        <v>0</v>
      </c>
      <c r="CC112" s="208">
        <v>0</v>
      </c>
      <c r="CD112" s="208">
        <v>0</v>
      </c>
      <c r="CE112" s="208">
        <v>0</v>
      </c>
      <c r="CF112" s="208">
        <v>0</v>
      </c>
      <c r="CG112" s="208">
        <v>0</v>
      </c>
      <c r="CH112" s="208">
        <v>0</v>
      </c>
      <c r="CI112" s="208">
        <v>0</v>
      </c>
      <c r="CJ112" s="208">
        <v>0</v>
      </c>
      <c r="CK112" s="208">
        <v>0</v>
      </c>
      <c r="CL112" s="208">
        <v>0</v>
      </c>
      <c r="CM112" s="208">
        <v>0</v>
      </c>
      <c r="CN112" s="208">
        <v>0</v>
      </c>
      <c r="CO112" s="208">
        <v>0</v>
      </c>
      <c r="CP112" s="208">
        <v>0</v>
      </c>
      <c r="CQ112" s="208">
        <v>0</v>
      </c>
      <c r="CR112" s="208">
        <v>0</v>
      </c>
      <c r="CS112" s="208">
        <v>0</v>
      </c>
      <c r="CT112" s="208">
        <v>0</v>
      </c>
      <c r="CU112" s="208">
        <v>0</v>
      </c>
      <c r="CV112" s="208">
        <v>0</v>
      </c>
      <c r="CW112" s="208">
        <v>0</v>
      </c>
      <c r="CX112" s="208">
        <v>0</v>
      </c>
      <c r="CY112" s="208">
        <v>0</v>
      </c>
      <c r="CZ112" s="208">
        <v>0</v>
      </c>
      <c r="DA112" s="208">
        <v>0</v>
      </c>
      <c r="DB112" s="208">
        <v>-36.395375000000001</v>
      </c>
      <c r="DC112" s="208">
        <v>-8.1889593749999996</v>
      </c>
      <c r="DD112" s="208">
        <v>-0.90988437500000008</v>
      </c>
      <c r="DE112" s="208">
        <v>0</v>
      </c>
      <c r="DF112" s="208">
        <v>0</v>
      </c>
      <c r="DG112" s="208">
        <v>0</v>
      </c>
      <c r="DH112" s="208">
        <v>0</v>
      </c>
      <c r="DI112" s="208">
        <v>0</v>
      </c>
      <c r="DJ112" s="208">
        <v>0</v>
      </c>
      <c r="DK112" s="208">
        <v>0</v>
      </c>
      <c r="DL112" s="208">
        <v>0</v>
      </c>
      <c r="DM112" s="208">
        <v>0</v>
      </c>
      <c r="DN112" s="208">
        <v>0</v>
      </c>
      <c r="DO112" s="208">
        <v>0</v>
      </c>
      <c r="DP112" s="208">
        <v>0</v>
      </c>
      <c r="DQ112" s="208">
        <v>0</v>
      </c>
      <c r="DR112" s="208">
        <v>0</v>
      </c>
      <c r="DS112" s="208">
        <v>0</v>
      </c>
      <c r="DT112" s="208">
        <v>0</v>
      </c>
      <c r="DU112" s="208">
        <v>0</v>
      </c>
      <c r="DV112" s="208">
        <v>0</v>
      </c>
      <c r="DW112" s="208">
        <v>6778.218175</v>
      </c>
      <c r="DX112" s="208">
        <v>1525.0990893749997</v>
      </c>
      <c r="DY112" s="208">
        <v>169.45545437499999</v>
      </c>
      <c r="DZ112" s="208">
        <v>7207</v>
      </c>
      <c r="EA112" s="208">
        <v>1621</v>
      </c>
      <c r="EB112" s="208">
        <v>180</v>
      </c>
      <c r="EC112" s="208">
        <v>-429</v>
      </c>
      <c r="ED112" s="208">
        <v>-96</v>
      </c>
      <c r="EE112" s="208">
        <v>-11</v>
      </c>
      <c r="EF112" s="208">
        <v>38688.35318333334</v>
      </c>
      <c r="EG112" s="208">
        <v>8704.8794662500004</v>
      </c>
      <c r="EH112" s="208">
        <v>967.20882958333345</v>
      </c>
      <c r="EI112" s="208">
        <v>-1249.5950000000003</v>
      </c>
      <c r="EJ112" s="208">
        <v>-281.15887500000002</v>
      </c>
      <c r="EK112" s="208">
        <v>-31.239875000000001</v>
      </c>
      <c r="EL112" s="208">
        <v>40917</v>
      </c>
      <c r="EM112" s="208">
        <v>9206</v>
      </c>
      <c r="EN112" s="208">
        <v>1023</v>
      </c>
      <c r="EO112" s="208">
        <v>-3478</v>
      </c>
      <c r="EP112" s="208">
        <v>-782</v>
      </c>
      <c r="EQ112" s="208">
        <v>-87</v>
      </c>
      <c r="ER112" s="208">
        <v>13142.826133333334</v>
      </c>
      <c r="ES112" s="208">
        <v>2957.1358799999998</v>
      </c>
      <c r="ET112" s="208">
        <v>328.57065333333333</v>
      </c>
      <c r="EU112" s="208">
        <v>14457</v>
      </c>
      <c r="EV112" s="208">
        <v>3253</v>
      </c>
      <c r="EW112" s="208">
        <v>361</v>
      </c>
      <c r="EX112" s="208">
        <v>-1314</v>
      </c>
      <c r="EY112" s="208">
        <v>-296</v>
      </c>
      <c r="EZ112" s="208">
        <v>-32</v>
      </c>
      <c r="FA112" s="208">
        <v>0</v>
      </c>
      <c r="FB112" s="208">
        <v>0</v>
      </c>
      <c r="FC112" s="208">
        <v>0</v>
      </c>
      <c r="FD112" s="208">
        <v>0</v>
      </c>
      <c r="FE112" s="208">
        <v>0</v>
      </c>
      <c r="FF112" s="208">
        <v>0</v>
      </c>
      <c r="FG112" s="208">
        <v>0</v>
      </c>
      <c r="FH112" s="208">
        <v>0</v>
      </c>
      <c r="FI112" s="208">
        <v>0</v>
      </c>
      <c r="FJ112" s="208">
        <v>212182.09164166666</v>
      </c>
      <c r="FK112" s="208">
        <v>47045.980306874997</v>
      </c>
      <c r="FL112" s="208">
        <v>5227.3311452083335</v>
      </c>
      <c r="FM112" s="208">
        <v>213283</v>
      </c>
      <c r="FN112" s="208">
        <v>47522</v>
      </c>
      <c r="FO112" s="208">
        <v>5280</v>
      </c>
      <c r="FP112" s="208">
        <v>-1101</v>
      </c>
      <c r="FQ112" s="208">
        <v>-476</v>
      </c>
      <c r="FR112" s="208">
        <v>-53</v>
      </c>
      <c r="FS112" s="208">
        <v>0</v>
      </c>
      <c r="FT112" s="208">
        <v>0</v>
      </c>
      <c r="FU112" s="208">
        <v>0</v>
      </c>
      <c r="FV112" s="208">
        <v>0</v>
      </c>
      <c r="FW112" s="208">
        <v>0</v>
      </c>
      <c r="FX112" s="208">
        <v>0</v>
      </c>
      <c r="FY112" s="208">
        <v>0</v>
      </c>
      <c r="FZ112" s="208">
        <v>0</v>
      </c>
      <c r="GA112" s="208">
        <v>0</v>
      </c>
      <c r="GB112" s="208">
        <v>1076482</v>
      </c>
      <c r="GC112" s="208">
        <v>241324</v>
      </c>
      <c r="GD112" s="208">
        <v>26814</v>
      </c>
      <c r="GE112" s="664">
        <v>0.5</v>
      </c>
      <c r="GF112" s="664">
        <v>0.4</v>
      </c>
      <c r="GG112" s="664">
        <v>0.09</v>
      </c>
      <c r="GH112" s="664">
        <v>0.01</v>
      </c>
      <c r="GI112" s="187" t="s">
        <v>1054</v>
      </c>
    </row>
    <row r="113" spans="2:191" s="187" customFormat="1" x14ac:dyDescent="0.2">
      <c r="B113" s="429" t="s">
        <v>303</v>
      </c>
      <c r="C113" s="429" t="s">
        <v>302</v>
      </c>
      <c r="D113" s="208">
        <v>-1634235</v>
      </c>
      <c r="E113" s="208">
        <v>0</v>
      </c>
      <c r="F113" s="208">
        <v>-1634235</v>
      </c>
      <c r="G113" s="208">
        <v>-1614103</v>
      </c>
      <c r="H113" s="208">
        <v>0</v>
      </c>
      <c r="I113" s="208">
        <v>-1614103</v>
      </c>
      <c r="J113" s="208">
        <v>-20132</v>
      </c>
      <c r="K113" s="208">
        <v>0</v>
      </c>
      <c r="L113" s="208">
        <v>-20132</v>
      </c>
      <c r="M113" s="208">
        <v>172566</v>
      </c>
      <c r="N113" s="208">
        <v>172566</v>
      </c>
      <c r="O113" s="208">
        <v>0</v>
      </c>
      <c r="P113" s="208">
        <v>0</v>
      </c>
      <c r="Q113" s="208">
        <v>0</v>
      </c>
      <c r="R113" s="208">
        <v>0</v>
      </c>
      <c r="S113" s="208">
        <v>0</v>
      </c>
      <c r="T113" s="208">
        <v>0</v>
      </c>
      <c r="U113" s="208">
        <v>0</v>
      </c>
      <c r="V113" s="208">
        <v>0</v>
      </c>
      <c r="W113" s="208">
        <v>0</v>
      </c>
      <c r="X113" s="208">
        <v>0</v>
      </c>
      <c r="Y113" s="208">
        <v>0</v>
      </c>
      <c r="Z113" s="208">
        <v>0</v>
      </c>
      <c r="AA113" s="208">
        <v>0</v>
      </c>
      <c r="AB113" s="208">
        <v>0</v>
      </c>
      <c r="AC113" s="208">
        <v>0</v>
      </c>
      <c r="AD113" s="208">
        <v>0</v>
      </c>
      <c r="AE113" s="208">
        <v>0</v>
      </c>
      <c r="AF113" s="208">
        <v>0</v>
      </c>
      <c r="AG113" s="208">
        <v>0</v>
      </c>
      <c r="AH113" s="208">
        <v>0</v>
      </c>
      <c r="AI113" s="208">
        <v>0</v>
      </c>
      <c r="AJ113" s="208">
        <v>0</v>
      </c>
      <c r="AK113" s="208">
        <v>0</v>
      </c>
      <c r="AL113" s="208">
        <v>0</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H113" s="208">
        <v>0</v>
      </c>
      <c r="BI113" s="208">
        <v>0</v>
      </c>
      <c r="BJ113" s="208">
        <v>0</v>
      </c>
      <c r="BK113" s="208">
        <v>0</v>
      </c>
      <c r="BL113" s="208">
        <v>0</v>
      </c>
      <c r="BM113" s="208">
        <v>0</v>
      </c>
      <c r="BN113" s="208">
        <v>0</v>
      </c>
      <c r="BO113" s="208">
        <v>1090176.2402916667</v>
      </c>
      <c r="BP113" s="208">
        <v>1090176.2402916667</v>
      </c>
      <c r="BQ113" s="208">
        <v>0</v>
      </c>
      <c r="BR113" s="208">
        <v>115100</v>
      </c>
      <c r="BS113" s="208">
        <v>115100</v>
      </c>
      <c r="BT113" s="208">
        <v>0</v>
      </c>
      <c r="BU113" s="208">
        <v>1072780</v>
      </c>
      <c r="BV113" s="208">
        <v>1072780</v>
      </c>
      <c r="BW113" s="208">
        <v>0</v>
      </c>
      <c r="BX113" s="208">
        <v>132496</v>
      </c>
      <c r="BY113" s="208">
        <v>132496</v>
      </c>
      <c r="BZ113" s="208">
        <v>0</v>
      </c>
      <c r="CA113" s="208">
        <v>0</v>
      </c>
      <c r="CB113" s="208">
        <v>0</v>
      </c>
      <c r="CC113" s="208">
        <v>0</v>
      </c>
      <c r="CD113" s="208">
        <v>0</v>
      </c>
      <c r="CE113" s="208">
        <v>0</v>
      </c>
      <c r="CF113" s="208">
        <v>0</v>
      </c>
      <c r="CG113" s="208">
        <v>0</v>
      </c>
      <c r="CH113" s="208">
        <v>0</v>
      </c>
      <c r="CI113" s="208">
        <v>0</v>
      </c>
      <c r="CJ113" s="208">
        <v>0</v>
      </c>
      <c r="CK113" s="208">
        <v>0</v>
      </c>
      <c r="CL113" s="208">
        <v>0</v>
      </c>
      <c r="CM113" s="208">
        <v>0</v>
      </c>
      <c r="CN113" s="208">
        <v>0</v>
      </c>
      <c r="CO113" s="208">
        <v>0</v>
      </c>
      <c r="CP113" s="208">
        <v>0</v>
      </c>
      <c r="CQ113" s="208">
        <v>0</v>
      </c>
      <c r="CR113" s="208">
        <v>0</v>
      </c>
      <c r="CS113" s="208">
        <v>0</v>
      </c>
      <c r="CT113" s="208">
        <v>0</v>
      </c>
      <c r="CU113" s="208">
        <v>0</v>
      </c>
      <c r="CV113" s="208">
        <v>0</v>
      </c>
      <c r="CW113" s="208">
        <v>0</v>
      </c>
      <c r="CX113" s="208">
        <v>0</v>
      </c>
      <c r="CY113" s="208">
        <v>0</v>
      </c>
      <c r="CZ113" s="208">
        <v>0</v>
      </c>
      <c r="DA113" s="208">
        <v>0</v>
      </c>
      <c r="DB113" s="208">
        <v>0</v>
      </c>
      <c r="DC113" s="208">
        <v>0</v>
      </c>
      <c r="DD113" s="208">
        <v>0</v>
      </c>
      <c r="DE113" s="208">
        <v>0</v>
      </c>
      <c r="DF113" s="208">
        <v>0</v>
      </c>
      <c r="DG113" s="208">
        <v>0</v>
      </c>
      <c r="DH113" s="208">
        <v>0</v>
      </c>
      <c r="DI113" s="208">
        <v>0</v>
      </c>
      <c r="DJ113" s="208">
        <v>0</v>
      </c>
      <c r="DK113" s="208">
        <v>0</v>
      </c>
      <c r="DL113" s="208">
        <v>0</v>
      </c>
      <c r="DM113" s="208">
        <v>0</v>
      </c>
      <c r="DN113" s="208">
        <v>0</v>
      </c>
      <c r="DO113" s="208">
        <v>0</v>
      </c>
      <c r="DP113" s="208">
        <v>0</v>
      </c>
      <c r="DQ113" s="208">
        <v>0</v>
      </c>
      <c r="DR113" s="208">
        <v>0</v>
      </c>
      <c r="DS113" s="208">
        <v>0</v>
      </c>
      <c r="DT113" s="208">
        <v>0</v>
      </c>
      <c r="DU113" s="208">
        <v>0</v>
      </c>
      <c r="DV113" s="208">
        <v>0</v>
      </c>
      <c r="DW113" s="208">
        <v>771.2791666666667</v>
      </c>
      <c r="DX113" s="208">
        <v>771.2791666666667</v>
      </c>
      <c r="DY113" s="208">
        <v>0</v>
      </c>
      <c r="DZ113" s="208">
        <v>3600</v>
      </c>
      <c r="EA113" s="208">
        <v>3600</v>
      </c>
      <c r="EB113" s="208">
        <v>0</v>
      </c>
      <c r="EC113" s="208">
        <v>-2829</v>
      </c>
      <c r="ED113" s="208">
        <v>-2829</v>
      </c>
      <c r="EE113" s="208">
        <v>0</v>
      </c>
      <c r="EF113" s="208">
        <v>23042.220833333333</v>
      </c>
      <c r="EG113" s="208">
        <v>23042.220833333333</v>
      </c>
      <c r="EH113" s="208">
        <v>0</v>
      </c>
      <c r="EI113" s="208">
        <v>-519.64166666666665</v>
      </c>
      <c r="EJ113" s="208">
        <v>-519.64166666666665</v>
      </c>
      <c r="EK113" s="208">
        <v>0</v>
      </c>
      <c r="EL113" s="208">
        <v>50012</v>
      </c>
      <c r="EM113" s="208">
        <v>50012</v>
      </c>
      <c r="EN113" s="208">
        <v>0</v>
      </c>
      <c r="EO113" s="208">
        <v>-27489</v>
      </c>
      <c r="EP113" s="208">
        <v>-27489</v>
      </c>
      <c r="EQ113" s="208">
        <v>0</v>
      </c>
      <c r="ER113" s="208">
        <v>18251.390625</v>
      </c>
      <c r="ES113" s="208">
        <v>18251.390625</v>
      </c>
      <c r="ET113" s="208">
        <v>0</v>
      </c>
      <c r="EU113" s="208">
        <v>19947</v>
      </c>
      <c r="EV113" s="208">
        <v>19947</v>
      </c>
      <c r="EW113" s="208">
        <v>0</v>
      </c>
      <c r="EX113" s="208">
        <v>-1696</v>
      </c>
      <c r="EY113" s="208">
        <v>-1696</v>
      </c>
      <c r="EZ113" s="208">
        <v>0</v>
      </c>
      <c r="FA113" s="208">
        <v>0</v>
      </c>
      <c r="FB113" s="208">
        <v>0</v>
      </c>
      <c r="FC113" s="208">
        <v>0</v>
      </c>
      <c r="FD113" s="208">
        <v>0</v>
      </c>
      <c r="FE113" s="208">
        <v>0</v>
      </c>
      <c r="FF113" s="208">
        <v>0</v>
      </c>
      <c r="FG113" s="208">
        <v>0</v>
      </c>
      <c r="FH113" s="208">
        <v>0</v>
      </c>
      <c r="FI113" s="208">
        <v>0</v>
      </c>
      <c r="FJ113" s="208">
        <v>599870.64270833333</v>
      </c>
      <c r="FK113" s="208">
        <v>599870.64270833333</v>
      </c>
      <c r="FL113" s="208">
        <v>0</v>
      </c>
      <c r="FM113" s="208">
        <v>609197</v>
      </c>
      <c r="FN113" s="208">
        <v>609197</v>
      </c>
      <c r="FO113" s="208">
        <v>0</v>
      </c>
      <c r="FP113" s="208">
        <v>-9326</v>
      </c>
      <c r="FQ113" s="208">
        <v>-9326</v>
      </c>
      <c r="FR113" s="208">
        <v>0</v>
      </c>
      <c r="FS113" s="208">
        <v>0</v>
      </c>
      <c r="FT113" s="208">
        <v>0</v>
      </c>
      <c r="FU113" s="208">
        <v>0</v>
      </c>
      <c r="FV113" s="208">
        <v>0</v>
      </c>
      <c r="FW113" s="208">
        <v>0</v>
      </c>
      <c r="FX113" s="208">
        <v>0</v>
      </c>
      <c r="FY113" s="208">
        <v>0</v>
      </c>
      <c r="FZ113" s="208">
        <v>0</v>
      </c>
      <c r="GA113" s="208">
        <v>0</v>
      </c>
      <c r="GB113" s="208">
        <v>1846691</v>
      </c>
      <c r="GC113" s="208">
        <v>1846691</v>
      </c>
      <c r="GD113" s="208">
        <v>0</v>
      </c>
      <c r="GE113" s="664">
        <v>0</v>
      </c>
      <c r="GF113" s="664">
        <v>0.5</v>
      </c>
      <c r="GG113" s="664">
        <v>0.5</v>
      </c>
      <c r="GH113" s="664">
        <v>0</v>
      </c>
      <c r="GI113" s="187" t="s">
        <v>1054</v>
      </c>
    </row>
    <row r="114" spans="2:191" s="187" customFormat="1" x14ac:dyDescent="0.2">
      <c r="B114" s="429" t="s">
        <v>305</v>
      </c>
      <c r="C114" s="429" t="s">
        <v>304</v>
      </c>
      <c r="D114" s="208">
        <v>-111285</v>
      </c>
      <c r="E114" s="208">
        <v>-33779</v>
      </c>
      <c r="F114" s="208">
        <v>-145064</v>
      </c>
      <c r="G114" s="208">
        <v>-126439</v>
      </c>
      <c r="H114" s="208">
        <v>-33347</v>
      </c>
      <c r="I114" s="208">
        <v>-159786</v>
      </c>
      <c r="J114" s="208">
        <v>15154</v>
      </c>
      <c r="K114" s="208">
        <v>-432</v>
      </c>
      <c r="L114" s="208">
        <v>14722</v>
      </c>
      <c r="M114" s="208">
        <v>78594</v>
      </c>
      <c r="N114" s="208">
        <v>78594</v>
      </c>
      <c r="O114" s="208">
        <v>0</v>
      </c>
      <c r="P114" s="208">
        <v>0</v>
      </c>
      <c r="Q114" s="208">
        <v>0</v>
      </c>
      <c r="R114" s="208">
        <v>0</v>
      </c>
      <c r="S114" s="208">
        <v>0</v>
      </c>
      <c r="T114" s="208">
        <v>0</v>
      </c>
      <c r="U114" s="208">
        <v>0</v>
      </c>
      <c r="V114" s="208">
        <v>0</v>
      </c>
      <c r="W114" s="208">
        <v>0</v>
      </c>
      <c r="X114" s="208">
        <v>0</v>
      </c>
      <c r="Y114" s="208">
        <v>0</v>
      </c>
      <c r="Z114" s="208">
        <v>0</v>
      </c>
      <c r="AA114" s="208">
        <v>0</v>
      </c>
      <c r="AB114" s="208">
        <v>0</v>
      </c>
      <c r="AC114" s="208">
        <v>0</v>
      </c>
      <c r="AD114" s="208">
        <v>0</v>
      </c>
      <c r="AE114" s="208">
        <v>0</v>
      </c>
      <c r="AF114" s="208">
        <v>0</v>
      </c>
      <c r="AG114" s="208">
        <v>0</v>
      </c>
      <c r="AH114" s="208">
        <v>413426</v>
      </c>
      <c r="AI114" s="208">
        <v>413426.09166666667</v>
      </c>
      <c r="AJ114" s="208">
        <v>0</v>
      </c>
      <c r="AK114" s="208">
        <v>0</v>
      </c>
      <c r="AL114" s="208">
        <v>317871</v>
      </c>
      <c r="AM114" s="208">
        <v>317871</v>
      </c>
      <c r="AN114" s="208">
        <v>0</v>
      </c>
      <c r="AO114" s="208">
        <v>0</v>
      </c>
      <c r="AP114" s="208">
        <v>95555</v>
      </c>
      <c r="AQ114" s="208">
        <v>95555</v>
      </c>
      <c r="AR114" s="208">
        <v>0</v>
      </c>
      <c r="AS114" s="208">
        <v>0</v>
      </c>
      <c r="AT114" s="208">
        <v>0</v>
      </c>
      <c r="AU114" s="208">
        <v>0</v>
      </c>
      <c r="AV114" s="208">
        <v>0</v>
      </c>
      <c r="AW114" s="208">
        <v>0</v>
      </c>
      <c r="AX114" s="208">
        <v>0</v>
      </c>
      <c r="AY114" s="208">
        <v>0</v>
      </c>
      <c r="AZ114" s="208">
        <v>0</v>
      </c>
      <c r="BA114" s="208">
        <v>0</v>
      </c>
      <c r="BB114" s="208">
        <v>0</v>
      </c>
      <c r="BC114" s="208">
        <v>0</v>
      </c>
      <c r="BD114" s="208">
        <v>0</v>
      </c>
      <c r="BE114" s="208">
        <v>0</v>
      </c>
      <c r="BF114" s="208">
        <v>0</v>
      </c>
      <c r="BG114" s="208">
        <v>0</v>
      </c>
      <c r="BH114" s="208">
        <v>0</v>
      </c>
      <c r="BI114" s="208">
        <v>0</v>
      </c>
      <c r="BJ114" s="208">
        <v>0</v>
      </c>
      <c r="BK114" s="208">
        <v>0</v>
      </c>
      <c r="BL114" s="208">
        <v>0</v>
      </c>
      <c r="BM114" s="208">
        <v>0</v>
      </c>
      <c r="BN114" s="208">
        <v>0</v>
      </c>
      <c r="BO114" s="208">
        <v>628727.49346000026</v>
      </c>
      <c r="BP114" s="208">
        <v>138181.58241224999</v>
      </c>
      <c r="BQ114" s="208">
        <v>15353.509156916669</v>
      </c>
      <c r="BR114" s="208">
        <v>37903</v>
      </c>
      <c r="BS114" s="208">
        <v>7030</v>
      </c>
      <c r="BT114" s="208">
        <v>781</v>
      </c>
      <c r="BU114" s="208">
        <v>557918</v>
      </c>
      <c r="BV114" s="208">
        <v>122380</v>
      </c>
      <c r="BW114" s="208">
        <v>13598</v>
      </c>
      <c r="BX114" s="208">
        <v>108712</v>
      </c>
      <c r="BY114" s="208">
        <v>22832</v>
      </c>
      <c r="BZ114" s="208">
        <v>2537</v>
      </c>
      <c r="CA114" s="208">
        <v>0</v>
      </c>
      <c r="CB114" s="208">
        <v>0</v>
      </c>
      <c r="CC114" s="208">
        <v>0</v>
      </c>
      <c r="CD114" s="208">
        <v>0</v>
      </c>
      <c r="CE114" s="208">
        <v>0</v>
      </c>
      <c r="CF114" s="208">
        <v>0</v>
      </c>
      <c r="CG114" s="208">
        <v>0</v>
      </c>
      <c r="CH114" s="208">
        <v>0</v>
      </c>
      <c r="CI114" s="208">
        <v>0</v>
      </c>
      <c r="CJ114" s="208">
        <v>0</v>
      </c>
      <c r="CK114" s="208">
        <v>0</v>
      </c>
      <c r="CL114" s="208">
        <v>0</v>
      </c>
      <c r="CM114" s="208">
        <v>0</v>
      </c>
      <c r="CN114" s="208">
        <v>0</v>
      </c>
      <c r="CO114" s="208">
        <v>0</v>
      </c>
      <c r="CP114" s="208">
        <v>0</v>
      </c>
      <c r="CQ114" s="208">
        <v>0</v>
      </c>
      <c r="CR114" s="208">
        <v>0</v>
      </c>
      <c r="CS114" s="208">
        <v>0</v>
      </c>
      <c r="CT114" s="208">
        <v>0</v>
      </c>
      <c r="CU114" s="208">
        <v>0</v>
      </c>
      <c r="CV114" s="208">
        <v>0</v>
      </c>
      <c r="CW114" s="208">
        <v>0</v>
      </c>
      <c r="CX114" s="208">
        <v>0</v>
      </c>
      <c r="CY114" s="208">
        <v>0</v>
      </c>
      <c r="CZ114" s="208">
        <v>0</v>
      </c>
      <c r="DA114" s="208">
        <v>0</v>
      </c>
      <c r="DB114" s="208">
        <v>0</v>
      </c>
      <c r="DC114" s="208">
        <v>0</v>
      </c>
      <c r="DD114" s="208">
        <v>0</v>
      </c>
      <c r="DE114" s="208">
        <v>0</v>
      </c>
      <c r="DF114" s="208">
        <v>0</v>
      </c>
      <c r="DG114" s="208">
        <v>0</v>
      </c>
      <c r="DH114" s="208">
        <v>0</v>
      </c>
      <c r="DI114" s="208">
        <v>0</v>
      </c>
      <c r="DJ114" s="208">
        <v>0</v>
      </c>
      <c r="DK114" s="208">
        <v>0</v>
      </c>
      <c r="DL114" s="208">
        <v>0</v>
      </c>
      <c r="DM114" s="208">
        <v>0</v>
      </c>
      <c r="DN114" s="208">
        <v>0</v>
      </c>
      <c r="DO114" s="208">
        <v>0</v>
      </c>
      <c r="DP114" s="208">
        <v>0</v>
      </c>
      <c r="DQ114" s="208">
        <v>0</v>
      </c>
      <c r="DR114" s="208">
        <v>0</v>
      </c>
      <c r="DS114" s="208">
        <v>0</v>
      </c>
      <c r="DT114" s="208">
        <v>0</v>
      </c>
      <c r="DU114" s="208">
        <v>0</v>
      </c>
      <c r="DV114" s="208">
        <v>0</v>
      </c>
      <c r="DW114" s="208">
        <v>1117.8433333333332</v>
      </c>
      <c r="DX114" s="208">
        <v>251.51474999999999</v>
      </c>
      <c r="DY114" s="208">
        <v>27.946083333333334</v>
      </c>
      <c r="DZ114" s="208">
        <v>758</v>
      </c>
      <c r="EA114" s="208">
        <v>171</v>
      </c>
      <c r="EB114" s="208">
        <v>19</v>
      </c>
      <c r="EC114" s="208">
        <v>360</v>
      </c>
      <c r="ED114" s="208">
        <v>81</v>
      </c>
      <c r="EE114" s="208">
        <v>9</v>
      </c>
      <c r="EF114" s="208">
        <v>22140.212916666667</v>
      </c>
      <c r="EG114" s="208">
        <v>4821.5893125000002</v>
      </c>
      <c r="EH114" s="208">
        <v>535.73214583333333</v>
      </c>
      <c r="EI114" s="208">
        <v>-572.42416666666668</v>
      </c>
      <c r="EJ114" s="208">
        <v>-128.79543749999999</v>
      </c>
      <c r="EK114" s="208">
        <v>-14.310604166666668</v>
      </c>
      <c r="EL114" s="208">
        <v>23497</v>
      </c>
      <c r="EM114" s="208">
        <v>5287</v>
      </c>
      <c r="EN114" s="208">
        <v>587</v>
      </c>
      <c r="EO114" s="208">
        <v>-1929</v>
      </c>
      <c r="EP114" s="208">
        <v>-594</v>
      </c>
      <c r="EQ114" s="208">
        <v>-66</v>
      </c>
      <c r="ER114" s="208">
        <v>7887.0966666666682</v>
      </c>
      <c r="ES114" s="208">
        <v>1774.5967500000002</v>
      </c>
      <c r="ET114" s="208">
        <v>197.17741666666669</v>
      </c>
      <c r="EU114" s="208">
        <v>12275</v>
      </c>
      <c r="EV114" s="208">
        <v>2762</v>
      </c>
      <c r="EW114" s="208">
        <v>307</v>
      </c>
      <c r="EX114" s="208">
        <v>-4388</v>
      </c>
      <c r="EY114" s="208">
        <v>-987</v>
      </c>
      <c r="EZ114" s="208">
        <v>-110</v>
      </c>
      <c r="FA114" s="208">
        <v>0</v>
      </c>
      <c r="FB114" s="208">
        <v>0</v>
      </c>
      <c r="FC114" s="208">
        <v>0</v>
      </c>
      <c r="FD114" s="208">
        <v>0</v>
      </c>
      <c r="FE114" s="208">
        <v>0</v>
      </c>
      <c r="FF114" s="208">
        <v>0</v>
      </c>
      <c r="FG114" s="208">
        <v>0</v>
      </c>
      <c r="FH114" s="208">
        <v>0</v>
      </c>
      <c r="FI114" s="208">
        <v>0</v>
      </c>
      <c r="FJ114" s="208">
        <v>131754.32416666666</v>
      </c>
      <c r="FK114" s="208">
        <v>29644.722937499995</v>
      </c>
      <c r="FL114" s="208">
        <v>3293.8581041666662</v>
      </c>
      <c r="FM114" s="208">
        <v>147314</v>
      </c>
      <c r="FN114" s="208">
        <v>31507</v>
      </c>
      <c r="FO114" s="208">
        <v>3501</v>
      </c>
      <c r="FP114" s="208">
        <v>-15560</v>
      </c>
      <c r="FQ114" s="208">
        <v>-1862</v>
      </c>
      <c r="FR114" s="208">
        <v>-207</v>
      </c>
      <c r="FS114" s="208">
        <v>0</v>
      </c>
      <c r="FT114" s="208">
        <v>0</v>
      </c>
      <c r="FU114" s="208">
        <v>0</v>
      </c>
      <c r="FV114" s="208">
        <v>0</v>
      </c>
      <c r="FW114" s="208">
        <v>0</v>
      </c>
      <c r="FX114" s="208">
        <v>0</v>
      </c>
      <c r="FY114" s="208">
        <v>0</v>
      </c>
      <c r="FZ114" s="208">
        <v>0</v>
      </c>
      <c r="GA114" s="208">
        <v>0</v>
      </c>
      <c r="GB114" s="208">
        <v>828957</v>
      </c>
      <c r="GC114" s="208">
        <v>181577</v>
      </c>
      <c r="GD114" s="208">
        <v>20176</v>
      </c>
      <c r="GE114" s="664">
        <v>0.5</v>
      </c>
      <c r="GF114" s="664">
        <v>0.4</v>
      </c>
      <c r="GG114" s="664">
        <v>0.09</v>
      </c>
      <c r="GH114" s="664">
        <v>0.01</v>
      </c>
      <c r="GI114" s="187" t="s">
        <v>1054</v>
      </c>
    </row>
    <row r="115" spans="2:191" s="187" customFormat="1" x14ac:dyDescent="0.2">
      <c r="B115" s="429" t="s">
        <v>307</v>
      </c>
      <c r="C115" s="429" t="s">
        <v>306</v>
      </c>
      <c r="D115" s="208">
        <v>-145643</v>
      </c>
      <c r="E115" s="208">
        <v>0</v>
      </c>
      <c r="F115" s="208">
        <v>-145643</v>
      </c>
      <c r="G115" s="208">
        <v>74258</v>
      </c>
      <c r="H115" s="208">
        <v>0</v>
      </c>
      <c r="I115" s="208">
        <v>74258</v>
      </c>
      <c r="J115" s="208">
        <v>-219901</v>
      </c>
      <c r="K115" s="208">
        <v>0</v>
      </c>
      <c r="L115" s="208">
        <v>-219901</v>
      </c>
      <c r="M115" s="208">
        <v>94668</v>
      </c>
      <c r="N115" s="208">
        <v>94668</v>
      </c>
      <c r="O115" s="208">
        <v>0</v>
      </c>
      <c r="P115" s="208">
        <v>0</v>
      </c>
      <c r="Q115" s="208">
        <v>0</v>
      </c>
      <c r="R115" s="208">
        <v>0</v>
      </c>
      <c r="S115" s="208">
        <v>0</v>
      </c>
      <c r="T115" s="208">
        <v>0</v>
      </c>
      <c r="U115" s="208">
        <v>0</v>
      </c>
      <c r="V115" s="208">
        <v>0</v>
      </c>
      <c r="W115" s="208">
        <v>0</v>
      </c>
      <c r="X115" s="208">
        <v>0</v>
      </c>
      <c r="Y115" s="208">
        <v>0</v>
      </c>
      <c r="Z115" s="208">
        <v>0</v>
      </c>
      <c r="AA115" s="208">
        <v>0</v>
      </c>
      <c r="AB115" s="208">
        <v>0</v>
      </c>
      <c r="AC115" s="208">
        <v>0</v>
      </c>
      <c r="AD115" s="208">
        <v>0</v>
      </c>
      <c r="AE115" s="208">
        <v>0</v>
      </c>
      <c r="AF115" s="208">
        <v>0</v>
      </c>
      <c r="AG115" s="208">
        <v>0</v>
      </c>
      <c r="AH115" s="208">
        <v>0</v>
      </c>
      <c r="AI115" s="208">
        <v>0</v>
      </c>
      <c r="AJ115" s="208">
        <v>0</v>
      </c>
      <c r="AK115" s="208">
        <v>0</v>
      </c>
      <c r="AL115" s="208">
        <v>0</v>
      </c>
      <c r="AM115" s="208">
        <v>0</v>
      </c>
      <c r="AN115" s="208">
        <v>0</v>
      </c>
      <c r="AO115" s="208">
        <v>0</v>
      </c>
      <c r="AP115" s="208">
        <v>0</v>
      </c>
      <c r="AQ115" s="208">
        <v>0</v>
      </c>
      <c r="AR115" s="208">
        <v>0</v>
      </c>
      <c r="AS115" s="208">
        <v>0</v>
      </c>
      <c r="AT115" s="208">
        <v>0</v>
      </c>
      <c r="AU115" s="208">
        <v>0</v>
      </c>
      <c r="AV115" s="208">
        <v>0</v>
      </c>
      <c r="AW115" s="208">
        <v>0</v>
      </c>
      <c r="AX115" s="208">
        <v>0</v>
      </c>
      <c r="AY115" s="208">
        <v>0</v>
      </c>
      <c r="AZ115" s="208">
        <v>0</v>
      </c>
      <c r="BA115" s="208">
        <v>0</v>
      </c>
      <c r="BB115" s="208">
        <v>0</v>
      </c>
      <c r="BC115" s="208">
        <v>0</v>
      </c>
      <c r="BD115" s="208">
        <v>0</v>
      </c>
      <c r="BE115" s="208">
        <v>0</v>
      </c>
      <c r="BF115" s="208">
        <v>0</v>
      </c>
      <c r="BG115" s="208">
        <v>0</v>
      </c>
      <c r="BH115" s="208">
        <v>0</v>
      </c>
      <c r="BI115" s="208">
        <v>0</v>
      </c>
      <c r="BJ115" s="208">
        <v>0</v>
      </c>
      <c r="BK115" s="208">
        <v>0</v>
      </c>
      <c r="BL115" s="208">
        <v>0</v>
      </c>
      <c r="BM115" s="208">
        <v>0</v>
      </c>
      <c r="BN115" s="208">
        <v>0</v>
      </c>
      <c r="BO115" s="208">
        <v>824147.34371166665</v>
      </c>
      <c r="BP115" s="208">
        <v>1215617.3319747082</v>
      </c>
      <c r="BQ115" s="208">
        <v>20603.683592791665</v>
      </c>
      <c r="BR115" s="208">
        <v>35118</v>
      </c>
      <c r="BS115" s="208">
        <v>51799</v>
      </c>
      <c r="BT115" s="208">
        <v>878</v>
      </c>
      <c r="BU115" s="208">
        <v>762166</v>
      </c>
      <c r="BV115" s="208">
        <v>1124196</v>
      </c>
      <c r="BW115" s="208">
        <v>19054</v>
      </c>
      <c r="BX115" s="208">
        <v>97099</v>
      </c>
      <c r="BY115" s="208">
        <v>143220</v>
      </c>
      <c r="BZ115" s="208">
        <v>2428</v>
      </c>
      <c r="CA115" s="208">
        <v>0</v>
      </c>
      <c r="CB115" s="208">
        <v>0</v>
      </c>
      <c r="CC115" s="208">
        <v>0</v>
      </c>
      <c r="CD115" s="208">
        <v>0</v>
      </c>
      <c r="CE115" s="208">
        <v>0</v>
      </c>
      <c r="CF115" s="208">
        <v>0</v>
      </c>
      <c r="CG115" s="208">
        <v>0</v>
      </c>
      <c r="CH115" s="208">
        <v>0</v>
      </c>
      <c r="CI115" s="208">
        <v>0</v>
      </c>
      <c r="CJ115" s="208">
        <v>0</v>
      </c>
      <c r="CK115" s="208">
        <v>0</v>
      </c>
      <c r="CL115" s="208">
        <v>0</v>
      </c>
      <c r="CM115" s="208">
        <v>0</v>
      </c>
      <c r="CN115" s="208">
        <v>0</v>
      </c>
      <c r="CO115" s="208">
        <v>0</v>
      </c>
      <c r="CP115" s="208">
        <v>-4091.6666666666665</v>
      </c>
      <c r="CQ115" s="208">
        <v>-6035.208333333333</v>
      </c>
      <c r="CR115" s="208">
        <v>-102.29166666666666</v>
      </c>
      <c r="CS115" s="208">
        <v>0</v>
      </c>
      <c r="CT115" s="208">
        <v>0</v>
      </c>
      <c r="CU115" s="208">
        <v>0</v>
      </c>
      <c r="CV115" s="208">
        <v>0</v>
      </c>
      <c r="CW115" s="208">
        <v>0</v>
      </c>
      <c r="CX115" s="208">
        <v>0</v>
      </c>
      <c r="CY115" s="208">
        <v>0</v>
      </c>
      <c r="CZ115" s="208">
        <v>0</v>
      </c>
      <c r="DA115" s="208">
        <v>0</v>
      </c>
      <c r="DB115" s="208">
        <v>0</v>
      </c>
      <c r="DC115" s="208">
        <v>0</v>
      </c>
      <c r="DD115" s="208">
        <v>0</v>
      </c>
      <c r="DE115" s="208">
        <v>2454.5908333333332</v>
      </c>
      <c r="DF115" s="208">
        <v>3620.5214791666663</v>
      </c>
      <c r="DG115" s="208">
        <v>61.364770833333331</v>
      </c>
      <c r="DH115" s="208">
        <v>3553</v>
      </c>
      <c r="DI115" s="208">
        <v>5240</v>
      </c>
      <c r="DJ115" s="208">
        <v>89</v>
      </c>
      <c r="DK115" s="208">
        <v>-1098</v>
      </c>
      <c r="DL115" s="208">
        <v>-1619</v>
      </c>
      <c r="DM115" s="208">
        <v>-28</v>
      </c>
      <c r="DN115" s="208">
        <v>613.75</v>
      </c>
      <c r="DO115" s="208">
        <v>905.28125</v>
      </c>
      <c r="DP115" s="208">
        <v>15.34375</v>
      </c>
      <c r="DQ115" s="208">
        <v>614</v>
      </c>
      <c r="DR115" s="208">
        <v>905</v>
      </c>
      <c r="DS115" s="208">
        <v>15</v>
      </c>
      <c r="DT115" s="208">
        <v>0</v>
      </c>
      <c r="DU115" s="208">
        <v>0</v>
      </c>
      <c r="DV115" s="208">
        <v>0</v>
      </c>
      <c r="DW115" s="208">
        <v>10135.876666666667</v>
      </c>
      <c r="DX115" s="208">
        <v>14950.418083333332</v>
      </c>
      <c r="DY115" s="208">
        <v>253.39691666666664</v>
      </c>
      <c r="DZ115" s="208">
        <v>6874</v>
      </c>
      <c r="EA115" s="208">
        <v>10139</v>
      </c>
      <c r="EB115" s="208">
        <v>172</v>
      </c>
      <c r="EC115" s="208">
        <v>3262</v>
      </c>
      <c r="ED115" s="208">
        <v>4811</v>
      </c>
      <c r="EE115" s="208">
        <v>81</v>
      </c>
      <c r="EF115" s="208">
        <v>23602.370000000003</v>
      </c>
      <c r="EG115" s="208">
        <v>34813.495750000002</v>
      </c>
      <c r="EH115" s="208">
        <v>590.05925000000002</v>
      </c>
      <c r="EI115" s="208">
        <v>0</v>
      </c>
      <c r="EJ115" s="208">
        <v>0</v>
      </c>
      <c r="EK115" s="208">
        <v>0</v>
      </c>
      <c r="EL115" s="208">
        <v>32694</v>
      </c>
      <c r="EM115" s="208">
        <v>48223</v>
      </c>
      <c r="EN115" s="208">
        <v>817</v>
      </c>
      <c r="EO115" s="208">
        <v>-9092</v>
      </c>
      <c r="EP115" s="208">
        <v>-13410</v>
      </c>
      <c r="EQ115" s="208">
        <v>-227</v>
      </c>
      <c r="ER115" s="208">
        <v>13709.947500000002</v>
      </c>
      <c r="ES115" s="208">
        <v>20222.1725625</v>
      </c>
      <c r="ET115" s="208">
        <v>342.74868750000002</v>
      </c>
      <c r="EU115" s="208">
        <v>19036</v>
      </c>
      <c r="EV115" s="208">
        <v>28078</v>
      </c>
      <c r="EW115" s="208">
        <v>476</v>
      </c>
      <c r="EX115" s="208">
        <v>-5326</v>
      </c>
      <c r="EY115" s="208">
        <v>-7856</v>
      </c>
      <c r="EZ115" s="208">
        <v>-133</v>
      </c>
      <c r="FA115" s="208">
        <v>0</v>
      </c>
      <c r="FB115" s="208">
        <v>0</v>
      </c>
      <c r="FC115" s="208">
        <v>0</v>
      </c>
      <c r="FD115" s="208">
        <v>0</v>
      </c>
      <c r="FE115" s="208">
        <v>0</v>
      </c>
      <c r="FF115" s="208">
        <v>0</v>
      </c>
      <c r="FG115" s="208">
        <v>0</v>
      </c>
      <c r="FH115" s="208">
        <v>0</v>
      </c>
      <c r="FI115" s="208">
        <v>0</v>
      </c>
      <c r="FJ115" s="208">
        <v>231130.93666666668</v>
      </c>
      <c r="FK115" s="208">
        <v>340918.13158333331</v>
      </c>
      <c r="FL115" s="208">
        <v>5778.273416666666</v>
      </c>
      <c r="FM115" s="208">
        <v>224164</v>
      </c>
      <c r="FN115" s="208">
        <v>330642</v>
      </c>
      <c r="FO115" s="208">
        <v>5604</v>
      </c>
      <c r="FP115" s="208">
        <v>6967</v>
      </c>
      <c r="FQ115" s="208">
        <v>10276</v>
      </c>
      <c r="FR115" s="208">
        <v>174</v>
      </c>
      <c r="FS115" s="208">
        <v>0</v>
      </c>
      <c r="FT115" s="208">
        <v>0</v>
      </c>
      <c r="FU115" s="208">
        <v>0</v>
      </c>
      <c r="FV115" s="208">
        <v>0</v>
      </c>
      <c r="FW115" s="208">
        <v>0</v>
      </c>
      <c r="FX115" s="208">
        <v>0</v>
      </c>
      <c r="FY115" s="208">
        <v>0</v>
      </c>
      <c r="FZ115" s="208">
        <v>0</v>
      </c>
      <c r="GA115" s="208">
        <v>0</v>
      </c>
      <c r="GB115" s="208">
        <v>1136821</v>
      </c>
      <c r="GC115" s="208">
        <v>1676810</v>
      </c>
      <c r="GD115" s="208">
        <v>28420</v>
      </c>
      <c r="GE115" s="664">
        <v>0</v>
      </c>
      <c r="GF115" s="664">
        <v>0.4</v>
      </c>
      <c r="GG115" s="664">
        <v>0.59</v>
      </c>
      <c r="GH115" s="664">
        <v>0.01</v>
      </c>
      <c r="GI115" s="187" t="s">
        <v>1054</v>
      </c>
    </row>
    <row r="116" spans="2:191" s="187" customFormat="1" x14ac:dyDescent="0.2">
      <c r="B116" s="429" t="s">
        <v>309</v>
      </c>
      <c r="C116" s="429" t="s">
        <v>308</v>
      </c>
      <c r="D116" s="208">
        <v>-977907</v>
      </c>
      <c r="E116" s="208">
        <v>-46762</v>
      </c>
      <c r="F116" s="208">
        <v>-1024669</v>
      </c>
      <c r="G116" s="208">
        <v>-960015</v>
      </c>
      <c r="H116" s="208">
        <v>-5673</v>
      </c>
      <c r="I116" s="208">
        <v>-965688</v>
      </c>
      <c r="J116" s="208">
        <v>-17892</v>
      </c>
      <c r="K116" s="208">
        <v>-41089</v>
      </c>
      <c r="L116" s="208">
        <v>-58981</v>
      </c>
      <c r="M116" s="208">
        <v>178566</v>
      </c>
      <c r="N116" s="208">
        <v>178566</v>
      </c>
      <c r="O116" s="208">
        <v>0</v>
      </c>
      <c r="P116" s="208">
        <v>338381</v>
      </c>
      <c r="Q116" s="208">
        <v>648656</v>
      </c>
      <c r="R116" s="208">
        <v>-310275</v>
      </c>
      <c r="S116" s="208">
        <v>58034</v>
      </c>
      <c r="T116" s="208">
        <v>0</v>
      </c>
      <c r="U116" s="208">
        <v>68280</v>
      </c>
      <c r="V116" s="208">
        <v>0</v>
      </c>
      <c r="W116" s="208">
        <v>-10246</v>
      </c>
      <c r="X116" s="208">
        <v>0</v>
      </c>
      <c r="Y116" s="208">
        <v>0</v>
      </c>
      <c r="Z116" s="208">
        <v>0</v>
      </c>
      <c r="AA116" s="208">
        <v>0</v>
      </c>
      <c r="AB116" s="208">
        <v>0</v>
      </c>
      <c r="AC116" s="208">
        <v>0</v>
      </c>
      <c r="AD116" s="208">
        <v>0</v>
      </c>
      <c r="AE116" s="208">
        <v>0</v>
      </c>
      <c r="AF116" s="208">
        <v>0</v>
      </c>
      <c r="AG116" s="208">
        <v>0</v>
      </c>
      <c r="AH116" s="208">
        <v>573437</v>
      </c>
      <c r="AI116" s="208">
        <v>573436.85416666663</v>
      </c>
      <c r="AJ116" s="208">
        <v>0</v>
      </c>
      <c r="AK116" s="208">
        <v>0</v>
      </c>
      <c r="AL116" s="208">
        <v>334073</v>
      </c>
      <c r="AM116" s="208">
        <v>334073</v>
      </c>
      <c r="AN116" s="208">
        <v>0</v>
      </c>
      <c r="AO116" s="208">
        <v>0</v>
      </c>
      <c r="AP116" s="208">
        <v>239364</v>
      </c>
      <c r="AQ116" s="208">
        <v>239364</v>
      </c>
      <c r="AR116" s="208">
        <v>0</v>
      </c>
      <c r="AS116" s="208">
        <v>0</v>
      </c>
      <c r="AT116" s="208">
        <v>0</v>
      </c>
      <c r="AU116" s="208">
        <v>0</v>
      </c>
      <c r="AV116" s="208">
        <v>0</v>
      </c>
      <c r="AW116" s="208">
        <v>0</v>
      </c>
      <c r="AX116" s="208">
        <v>0</v>
      </c>
      <c r="AY116" s="208">
        <v>0</v>
      </c>
      <c r="AZ116" s="208">
        <v>0</v>
      </c>
      <c r="BA116" s="208">
        <v>0</v>
      </c>
      <c r="BB116" s="208">
        <v>0</v>
      </c>
      <c r="BC116" s="208">
        <v>0</v>
      </c>
      <c r="BD116" s="208">
        <v>0</v>
      </c>
      <c r="BE116" s="208">
        <v>0</v>
      </c>
      <c r="BF116" s="208">
        <v>0</v>
      </c>
      <c r="BG116" s="208">
        <v>0</v>
      </c>
      <c r="BH116" s="208">
        <v>0</v>
      </c>
      <c r="BI116" s="208">
        <v>0</v>
      </c>
      <c r="BJ116" s="208">
        <v>0</v>
      </c>
      <c r="BK116" s="208">
        <v>0</v>
      </c>
      <c r="BL116" s="208">
        <v>0</v>
      </c>
      <c r="BM116" s="208">
        <v>0</v>
      </c>
      <c r="BN116" s="208">
        <v>0</v>
      </c>
      <c r="BO116" s="208">
        <v>1088772.6394591669</v>
      </c>
      <c r="BP116" s="208">
        <v>272036.85308354168</v>
      </c>
      <c r="BQ116" s="208">
        <v>0</v>
      </c>
      <c r="BR116" s="208">
        <v>66539</v>
      </c>
      <c r="BS116" s="208">
        <v>15475</v>
      </c>
      <c r="BT116" s="208">
        <v>0</v>
      </c>
      <c r="BU116" s="208">
        <v>1015845</v>
      </c>
      <c r="BV116" s="208">
        <v>253796</v>
      </c>
      <c r="BW116" s="208">
        <v>0</v>
      </c>
      <c r="BX116" s="208">
        <v>139467</v>
      </c>
      <c r="BY116" s="208">
        <v>33716</v>
      </c>
      <c r="BZ116" s="208">
        <v>0</v>
      </c>
      <c r="CA116" s="208">
        <v>8084.3150000000014</v>
      </c>
      <c r="CB116" s="208">
        <v>2021.0787500000004</v>
      </c>
      <c r="CC116" s="208">
        <v>0</v>
      </c>
      <c r="CD116" s="208">
        <v>3304</v>
      </c>
      <c r="CE116" s="208">
        <v>826</v>
      </c>
      <c r="CF116" s="208">
        <v>0</v>
      </c>
      <c r="CG116" s="208">
        <v>4780</v>
      </c>
      <c r="CH116" s="208">
        <v>1195</v>
      </c>
      <c r="CI116" s="208">
        <v>0</v>
      </c>
      <c r="CJ116" s="208">
        <v>0</v>
      </c>
      <c r="CK116" s="208">
        <v>0</v>
      </c>
      <c r="CL116" s="208">
        <v>0</v>
      </c>
      <c r="CM116" s="208">
        <v>0</v>
      </c>
      <c r="CN116" s="208">
        <v>0</v>
      </c>
      <c r="CO116" s="208">
        <v>0</v>
      </c>
      <c r="CP116" s="208">
        <v>110.47500000000001</v>
      </c>
      <c r="CQ116" s="208">
        <v>27.618750000000002</v>
      </c>
      <c r="CR116" s="208">
        <v>0</v>
      </c>
      <c r="CS116" s="208">
        <v>0</v>
      </c>
      <c r="CT116" s="208">
        <v>0</v>
      </c>
      <c r="CU116" s="208">
        <v>0</v>
      </c>
      <c r="CV116" s="208">
        <v>0</v>
      </c>
      <c r="CW116" s="208">
        <v>0</v>
      </c>
      <c r="CX116" s="208">
        <v>0</v>
      </c>
      <c r="CY116" s="208">
        <v>0</v>
      </c>
      <c r="CZ116" s="208">
        <v>0</v>
      </c>
      <c r="DA116" s="208">
        <v>0</v>
      </c>
      <c r="DB116" s="208">
        <v>0</v>
      </c>
      <c r="DC116" s="208">
        <v>0</v>
      </c>
      <c r="DD116" s="208">
        <v>0</v>
      </c>
      <c r="DE116" s="208">
        <v>275.36916666666667</v>
      </c>
      <c r="DF116" s="208">
        <v>68.842291666666668</v>
      </c>
      <c r="DG116" s="208">
        <v>0</v>
      </c>
      <c r="DH116" s="208">
        <v>275</v>
      </c>
      <c r="DI116" s="208">
        <v>69</v>
      </c>
      <c r="DJ116" s="208">
        <v>0</v>
      </c>
      <c r="DK116" s="208">
        <v>0</v>
      </c>
      <c r="DL116" s="208">
        <v>0</v>
      </c>
      <c r="DM116" s="208">
        <v>0</v>
      </c>
      <c r="DN116" s="208">
        <v>-99.018333333333331</v>
      </c>
      <c r="DO116" s="208">
        <v>-24.754583333333333</v>
      </c>
      <c r="DP116" s="208">
        <v>0</v>
      </c>
      <c r="DQ116" s="208">
        <v>614</v>
      </c>
      <c r="DR116" s="208">
        <v>153</v>
      </c>
      <c r="DS116" s="208">
        <v>0</v>
      </c>
      <c r="DT116" s="208">
        <v>-713</v>
      </c>
      <c r="DU116" s="208">
        <v>-178</v>
      </c>
      <c r="DV116" s="208">
        <v>0</v>
      </c>
      <c r="DW116" s="208">
        <v>5873.5875000000005</v>
      </c>
      <c r="DX116" s="208">
        <v>1468.3968750000001</v>
      </c>
      <c r="DY116" s="208">
        <v>0</v>
      </c>
      <c r="DZ116" s="208">
        <v>11718</v>
      </c>
      <c r="EA116" s="208">
        <v>2930</v>
      </c>
      <c r="EB116" s="208">
        <v>0</v>
      </c>
      <c r="EC116" s="208">
        <v>-5844</v>
      </c>
      <c r="ED116" s="208">
        <v>-1462</v>
      </c>
      <c r="EE116" s="208">
        <v>0</v>
      </c>
      <c r="EF116" s="208">
        <v>60371.723333333328</v>
      </c>
      <c r="EG116" s="208">
        <v>15092.930833333332</v>
      </c>
      <c r="EH116" s="208">
        <v>0</v>
      </c>
      <c r="EI116" s="208">
        <v>0</v>
      </c>
      <c r="EJ116" s="208">
        <v>0</v>
      </c>
      <c r="EK116" s="208">
        <v>0</v>
      </c>
      <c r="EL116" s="208">
        <v>63830</v>
      </c>
      <c r="EM116" s="208">
        <v>15958</v>
      </c>
      <c r="EN116" s="208">
        <v>0</v>
      </c>
      <c r="EO116" s="208">
        <v>-3458</v>
      </c>
      <c r="EP116" s="208">
        <v>-865</v>
      </c>
      <c r="EQ116" s="208">
        <v>0</v>
      </c>
      <c r="ER116" s="208">
        <v>16335.979166666666</v>
      </c>
      <c r="ES116" s="208">
        <v>4083.9947916666665</v>
      </c>
      <c r="ET116" s="208">
        <v>0</v>
      </c>
      <c r="EU116" s="208">
        <v>21000</v>
      </c>
      <c r="EV116" s="208">
        <v>5250</v>
      </c>
      <c r="EW116" s="208">
        <v>0</v>
      </c>
      <c r="EX116" s="208">
        <v>-4664</v>
      </c>
      <c r="EY116" s="208">
        <v>-1166</v>
      </c>
      <c r="EZ116" s="208">
        <v>0</v>
      </c>
      <c r="FA116" s="208">
        <v>0</v>
      </c>
      <c r="FB116" s="208">
        <v>0</v>
      </c>
      <c r="FC116" s="208">
        <v>0</v>
      </c>
      <c r="FD116" s="208">
        <v>0</v>
      </c>
      <c r="FE116" s="208">
        <v>0</v>
      </c>
      <c r="FF116" s="208">
        <v>0</v>
      </c>
      <c r="FG116" s="208">
        <v>0</v>
      </c>
      <c r="FH116" s="208">
        <v>0</v>
      </c>
      <c r="FI116" s="208">
        <v>0</v>
      </c>
      <c r="FJ116" s="208">
        <v>348197.68041666667</v>
      </c>
      <c r="FK116" s="208">
        <v>84778.292499999996</v>
      </c>
      <c r="FL116" s="208">
        <v>0</v>
      </c>
      <c r="FM116" s="208">
        <v>284566</v>
      </c>
      <c r="FN116" s="208">
        <v>65120</v>
      </c>
      <c r="FO116" s="208">
        <v>0</v>
      </c>
      <c r="FP116" s="208">
        <v>63632</v>
      </c>
      <c r="FQ116" s="208">
        <v>19658</v>
      </c>
      <c r="FR116" s="208">
        <v>0</v>
      </c>
      <c r="FS116" s="208">
        <v>0</v>
      </c>
      <c r="FT116" s="208">
        <v>0</v>
      </c>
      <c r="FU116" s="208">
        <v>0</v>
      </c>
      <c r="FV116" s="208">
        <v>0</v>
      </c>
      <c r="FW116" s="208">
        <v>0</v>
      </c>
      <c r="FX116" s="208">
        <v>0</v>
      </c>
      <c r="FY116" s="208">
        <v>0</v>
      </c>
      <c r="FZ116" s="208">
        <v>0</v>
      </c>
      <c r="GA116" s="208">
        <v>0</v>
      </c>
      <c r="GB116" s="208">
        <v>1594462</v>
      </c>
      <c r="GC116" s="208">
        <v>395028</v>
      </c>
      <c r="GD116" s="208">
        <v>0</v>
      </c>
      <c r="GE116" s="664">
        <v>0.5</v>
      </c>
      <c r="GF116" s="664">
        <v>0.4</v>
      </c>
      <c r="GG116" s="664">
        <v>0.1</v>
      </c>
      <c r="GH116" s="664">
        <v>0</v>
      </c>
      <c r="GI116" s="187" t="s">
        <v>1054</v>
      </c>
    </row>
    <row r="117" spans="2:191" s="187" customFormat="1" x14ac:dyDescent="0.2">
      <c r="B117" s="429" t="s">
        <v>311</v>
      </c>
      <c r="C117" s="429" t="s">
        <v>310</v>
      </c>
      <c r="D117" s="208">
        <v>2693179</v>
      </c>
      <c r="E117" s="208">
        <v>0</v>
      </c>
      <c r="F117" s="208">
        <v>2693179</v>
      </c>
      <c r="G117" s="208">
        <v>2078350</v>
      </c>
      <c r="H117" s="208">
        <v>0</v>
      </c>
      <c r="I117" s="208">
        <v>2078350</v>
      </c>
      <c r="J117" s="208">
        <v>614829</v>
      </c>
      <c r="K117" s="208">
        <v>0</v>
      </c>
      <c r="L117" s="208">
        <v>614829</v>
      </c>
      <c r="M117" s="208">
        <v>291335</v>
      </c>
      <c r="N117" s="208">
        <v>291335</v>
      </c>
      <c r="O117" s="208">
        <v>0</v>
      </c>
      <c r="P117" s="208">
        <v>0</v>
      </c>
      <c r="Q117" s="208">
        <v>0</v>
      </c>
      <c r="R117" s="208">
        <v>0</v>
      </c>
      <c r="S117" s="208">
        <v>0</v>
      </c>
      <c r="T117" s="208">
        <v>0</v>
      </c>
      <c r="U117" s="208">
        <v>0</v>
      </c>
      <c r="V117" s="208">
        <v>0</v>
      </c>
      <c r="W117" s="208">
        <v>0</v>
      </c>
      <c r="X117" s="208">
        <v>0</v>
      </c>
      <c r="Y117" s="208">
        <v>0</v>
      </c>
      <c r="Z117" s="208">
        <v>0</v>
      </c>
      <c r="AA117" s="208">
        <v>0</v>
      </c>
      <c r="AB117" s="208">
        <v>0</v>
      </c>
      <c r="AC117" s="208">
        <v>0</v>
      </c>
      <c r="AD117" s="208">
        <v>0</v>
      </c>
      <c r="AE117" s="208">
        <v>0</v>
      </c>
      <c r="AF117" s="208">
        <v>0</v>
      </c>
      <c r="AG117" s="208">
        <v>0</v>
      </c>
      <c r="AH117" s="208">
        <v>0</v>
      </c>
      <c r="AI117" s="208">
        <v>0</v>
      </c>
      <c r="AJ117" s="208">
        <v>0</v>
      </c>
      <c r="AK117" s="208">
        <v>0</v>
      </c>
      <c r="AL117" s="208">
        <v>0</v>
      </c>
      <c r="AM117" s="208">
        <v>0</v>
      </c>
      <c r="AN117" s="208">
        <v>0</v>
      </c>
      <c r="AO117" s="208">
        <v>0</v>
      </c>
      <c r="AP117" s="208">
        <v>0</v>
      </c>
      <c r="AQ117" s="208">
        <v>0</v>
      </c>
      <c r="AR117" s="208">
        <v>0</v>
      </c>
      <c r="AS117" s="208">
        <v>0</v>
      </c>
      <c r="AT117" s="208">
        <v>0</v>
      </c>
      <c r="AU117" s="208">
        <v>0</v>
      </c>
      <c r="AV117" s="208">
        <v>0</v>
      </c>
      <c r="AW117" s="208">
        <v>0</v>
      </c>
      <c r="AX117" s="208">
        <v>0</v>
      </c>
      <c r="AY117" s="208">
        <v>0</v>
      </c>
      <c r="AZ117" s="208">
        <v>0</v>
      </c>
      <c r="BA117" s="208">
        <v>0</v>
      </c>
      <c r="BB117" s="208">
        <v>0</v>
      </c>
      <c r="BC117" s="208">
        <v>0</v>
      </c>
      <c r="BD117" s="208">
        <v>0</v>
      </c>
      <c r="BE117" s="208">
        <v>0</v>
      </c>
      <c r="BF117" s="208">
        <v>0</v>
      </c>
      <c r="BG117" s="208">
        <v>0</v>
      </c>
      <c r="BH117" s="208">
        <v>0</v>
      </c>
      <c r="BI117" s="208">
        <v>0</v>
      </c>
      <c r="BJ117" s="208">
        <v>0</v>
      </c>
      <c r="BK117" s="208">
        <v>0</v>
      </c>
      <c r="BL117" s="208">
        <v>0</v>
      </c>
      <c r="BM117" s="208">
        <v>0</v>
      </c>
      <c r="BN117" s="208">
        <v>0</v>
      </c>
      <c r="BO117" s="208">
        <v>2510465.7181093334</v>
      </c>
      <c r="BP117" s="208">
        <v>1412136.9664365</v>
      </c>
      <c r="BQ117" s="208">
        <v>0</v>
      </c>
      <c r="BR117" s="208">
        <v>152409</v>
      </c>
      <c r="BS117" s="208">
        <v>85730</v>
      </c>
      <c r="BT117" s="208">
        <v>0</v>
      </c>
      <c r="BU117" s="208">
        <v>2461220</v>
      </c>
      <c r="BV117" s="208">
        <v>1384437</v>
      </c>
      <c r="BW117" s="208">
        <v>0</v>
      </c>
      <c r="BX117" s="208">
        <v>201655</v>
      </c>
      <c r="BY117" s="208">
        <v>113430</v>
      </c>
      <c r="BZ117" s="208">
        <v>0</v>
      </c>
      <c r="CA117" s="208">
        <v>0</v>
      </c>
      <c r="CB117" s="208">
        <v>0</v>
      </c>
      <c r="CC117" s="208">
        <v>0</v>
      </c>
      <c r="CD117" s="208">
        <v>0</v>
      </c>
      <c r="CE117" s="208">
        <v>0</v>
      </c>
      <c r="CF117" s="208">
        <v>0</v>
      </c>
      <c r="CG117" s="208">
        <v>0</v>
      </c>
      <c r="CH117" s="208">
        <v>0</v>
      </c>
      <c r="CI117" s="208">
        <v>0</v>
      </c>
      <c r="CJ117" s="208">
        <v>5590.1986666666671</v>
      </c>
      <c r="CK117" s="208">
        <v>3144.48675</v>
      </c>
      <c r="CL117" s="208">
        <v>0</v>
      </c>
      <c r="CM117" s="208">
        <v>19945.729333333333</v>
      </c>
      <c r="CN117" s="208">
        <v>11219.472749999999</v>
      </c>
      <c r="CO117" s="208">
        <v>0</v>
      </c>
      <c r="CP117" s="208">
        <v>2555.8186666666666</v>
      </c>
      <c r="CQ117" s="208">
        <v>1437.6479999999999</v>
      </c>
      <c r="CR117" s="208">
        <v>0</v>
      </c>
      <c r="CS117" s="208">
        <v>0</v>
      </c>
      <c r="CT117" s="208">
        <v>0</v>
      </c>
      <c r="CU117" s="208">
        <v>0</v>
      </c>
      <c r="CV117" s="208">
        <v>0</v>
      </c>
      <c r="CW117" s="208">
        <v>0</v>
      </c>
      <c r="CX117" s="208">
        <v>0</v>
      </c>
      <c r="CY117" s="208">
        <v>0</v>
      </c>
      <c r="CZ117" s="208">
        <v>0</v>
      </c>
      <c r="DA117" s="208">
        <v>0</v>
      </c>
      <c r="DB117" s="208">
        <v>0</v>
      </c>
      <c r="DC117" s="208">
        <v>0</v>
      </c>
      <c r="DD117" s="208">
        <v>0</v>
      </c>
      <c r="DE117" s="208">
        <v>0</v>
      </c>
      <c r="DF117" s="208">
        <v>0</v>
      </c>
      <c r="DG117" s="208">
        <v>0</v>
      </c>
      <c r="DH117" s="208">
        <v>0</v>
      </c>
      <c r="DI117" s="208">
        <v>0</v>
      </c>
      <c r="DJ117" s="208">
        <v>0</v>
      </c>
      <c r="DK117" s="208">
        <v>0</v>
      </c>
      <c r="DL117" s="208">
        <v>0</v>
      </c>
      <c r="DM117" s="208">
        <v>0</v>
      </c>
      <c r="DN117" s="208">
        <v>0</v>
      </c>
      <c r="DO117" s="208">
        <v>0</v>
      </c>
      <c r="DP117" s="208">
        <v>0</v>
      </c>
      <c r="DQ117" s="208">
        <v>0</v>
      </c>
      <c r="DR117" s="208">
        <v>0</v>
      </c>
      <c r="DS117" s="208">
        <v>0</v>
      </c>
      <c r="DT117" s="208">
        <v>0</v>
      </c>
      <c r="DU117" s="208">
        <v>0</v>
      </c>
      <c r="DV117" s="208">
        <v>0</v>
      </c>
      <c r="DW117" s="208">
        <v>70605.145333333334</v>
      </c>
      <c r="DX117" s="208">
        <v>39715.394249999998</v>
      </c>
      <c r="DY117" s="208">
        <v>0</v>
      </c>
      <c r="DZ117" s="208">
        <v>43764</v>
      </c>
      <c r="EA117" s="208">
        <v>24618</v>
      </c>
      <c r="EB117" s="208">
        <v>0</v>
      </c>
      <c r="EC117" s="208">
        <v>26841</v>
      </c>
      <c r="ED117" s="208">
        <v>15097</v>
      </c>
      <c r="EE117" s="208">
        <v>0</v>
      </c>
      <c r="EF117" s="208">
        <v>292829.12666666671</v>
      </c>
      <c r="EG117" s="208">
        <v>164716.38375000001</v>
      </c>
      <c r="EH117" s="208">
        <v>0</v>
      </c>
      <c r="EI117" s="208">
        <v>-11507.730666666666</v>
      </c>
      <c r="EJ117" s="208">
        <v>-6473.0985000000001</v>
      </c>
      <c r="EK117" s="208">
        <v>0</v>
      </c>
      <c r="EL117" s="208">
        <v>292636</v>
      </c>
      <c r="EM117" s="208">
        <v>164608</v>
      </c>
      <c r="EN117" s="208">
        <v>0</v>
      </c>
      <c r="EO117" s="208">
        <v>-11315</v>
      </c>
      <c r="EP117" s="208">
        <v>-6365</v>
      </c>
      <c r="EQ117" s="208">
        <v>0</v>
      </c>
      <c r="ER117" s="208">
        <v>41613.886666666665</v>
      </c>
      <c r="ES117" s="208">
        <v>23407.811249999999</v>
      </c>
      <c r="ET117" s="208">
        <v>0</v>
      </c>
      <c r="EU117" s="208">
        <v>52373</v>
      </c>
      <c r="EV117" s="208">
        <v>29460</v>
      </c>
      <c r="EW117" s="208">
        <v>0</v>
      </c>
      <c r="EX117" s="208">
        <v>-10759</v>
      </c>
      <c r="EY117" s="208">
        <v>-6052</v>
      </c>
      <c r="EZ117" s="208">
        <v>0</v>
      </c>
      <c r="FA117" s="208">
        <v>0</v>
      </c>
      <c r="FB117" s="208">
        <v>0</v>
      </c>
      <c r="FC117" s="208">
        <v>0</v>
      </c>
      <c r="FD117" s="208">
        <v>0</v>
      </c>
      <c r="FE117" s="208">
        <v>0</v>
      </c>
      <c r="FF117" s="208">
        <v>0</v>
      </c>
      <c r="FG117" s="208">
        <v>0</v>
      </c>
      <c r="FH117" s="208">
        <v>0</v>
      </c>
      <c r="FI117" s="208">
        <v>0</v>
      </c>
      <c r="FJ117" s="208">
        <v>1330024.1533333333</v>
      </c>
      <c r="FK117" s="208">
        <v>748138.58624999993</v>
      </c>
      <c r="FL117" s="208">
        <v>0</v>
      </c>
      <c r="FM117" s="208">
        <v>1166238</v>
      </c>
      <c r="FN117" s="208">
        <v>656009</v>
      </c>
      <c r="FO117" s="208">
        <v>0</v>
      </c>
      <c r="FP117" s="208">
        <v>163786</v>
      </c>
      <c r="FQ117" s="208">
        <v>92130</v>
      </c>
      <c r="FR117" s="208">
        <v>0</v>
      </c>
      <c r="FS117" s="208">
        <v>0</v>
      </c>
      <c r="FT117" s="208">
        <v>0</v>
      </c>
      <c r="FU117" s="208">
        <v>0</v>
      </c>
      <c r="FV117" s="208">
        <v>0</v>
      </c>
      <c r="FW117" s="208">
        <v>0</v>
      </c>
      <c r="FX117" s="208">
        <v>0</v>
      </c>
      <c r="FY117" s="208">
        <v>0</v>
      </c>
      <c r="FZ117" s="208">
        <v>0</v>
      </c>
      <c r="GA117" s="208">
        <v>0</v>
      </c>
      <c r="GB117" s="208">
        <v>4414531</v>
      </c>
      <c r="GC117" s="208">
        <v>2483173</v>
      </c>
      <c r="GD117" s="208">
        <v>0</v>
      </c>
      <c r="GE117" s="664">
        <v>0</v>
      </c>
      <c r="GF117" s="664">
        <v>0.64</v>
      </c>
      <c r="GG117" s="664">
        <v>0.36</v>
      </c>
      <c r="GH117" s="664">
        <v>0</v>
      </c>
      <c r="GI117" s="187" t="s">
        <v>1057</v>
      </c>
    </row>
    <row r="118" spans="2:191" s="187" customFormat="1" x14ac:dyDescent="0.2">
      <c r="B118" s="429" t="s">
        <v>313</v>
      </c>
      <c r="C118" s="429" t="s">
        <v>312</v>
      </c>
      <c r="D118" s="208">
        <v>1521379</v>
      </c>
      <c r="E118" s="208">
        <v>0</v>
      </c>
      <c r="F118" s="208">
        <v>1521379</v>
      </c>
      <c r="G118" s="208">
        <v>1063161</v>
      </c>
      <c r="H118" s="208">
        <v>0</v>
      </c>
      <c r="I118" s="208">
        <v>1063161</v>
      </c>
      <c r="J118" s="208">
        <v>458218</v>
      </c>
      <c r="K118" s="208">
        <v>0</v>
      </c>
      <c r="L118" s="208">
        <v>458218</v>
      </c>
      <c r="M118" s="208">
        <v>231056</v>
      </c>
      <c r="N118" s="208">
        <v>231056</v>
      </c>
      <c r="O118" s="208">
        <v>0</v>
      </c>
      <c r="P118" s="208">
        <v>0</v>
      </c>
      <c r="Q118" s="208">
        <v>0</v>
      </c>
      <c r="R118" s="208">
        <v>0</v>
      </c>
      <c r="S118" s="208">
        <v>0</v>
      </c>
      <c r="T118" s="208">
        <v>0</v>
      </c>
      <c r="U118" s="208">
        <v>0</v>
      </c>
      <c r="V118" s="208">
        <v>0</v>
      </c>
      <c r="W118" s="208">
        <v>0</v>
      </c>
      <c r="X118" s="208">
        <v>0</v>
      </c>
      <c r="Y118" s="208">
        <v>0</v>
      </c>
      <c r="Z118" s="208">
        <v>0</v>
      </c>
      <c r="AA118" s="208">
        <v>0</v>
      </c>
      <c r="AB118" s="208">
        <v>0</v>
      </c>
      <c r="AC118" s="208">
        <v>0</v>
      </c>
      <c r="AD118" s="208">
        <v>0</v>
      </c>
      <c r="AE118" s="208">
        <v>0</v>
      </c>
      <c r="AF118" s="208">
        <v>0</v>
      </c>
      <c r="AG118" s="208">
        <v>0</v>
      </c>
      <c r="AH118" s="208">
        <v>0</v>
      </c>
      <c r="AI118" s="208">
        <v>0</v>
      </c>
      <c r="AJ118" s="208">
        <v>0</v>
      </c>
      <c r="AK118" s="208">
        <v>0</v>
      </c>
      <c r="AL118" s="208">
        <v>0</v>
      </c>
      <c r="AM118" s="208">
        <v>0</v>
      </c>
      <c r="AN118" s="208">
        <v>0</v>
      </c>
      <c r="AO118" s="208">
        <v>0</v>
      </c>
      <c r="AP118" s="208">
        <v>0</v>
      </c>
      <c r="AQ118" s="208">
        <v>0</v>
      </c>
      <c r="AR118" s="208">
        <v>0</v>
      </c>
      <c r="AS118" s="208">
        <v>0</v>
      </c>
      <c r="AT118" s="208">
        <v>0</v>
      </c>
      <c r="AU118" s="208">
        <v>0</v>
      </c>
      <c r="AV118" s="208">
        <v>0</v>
      </c>
      <c r="AW118" s="208">
        <v>0</v>
      </c>
      <c r="AX118" s="208">
        <v>0</v>
      </c>
      <c r="AY118" s="208">
        <v>0</v>
      </c>
      <c r="AZ118" s="208">
        <v>0</v>
      </c>
      <c r="BA118" s="208">
        <v>0</v>
      </c>
      <c r="BB118" s="208">
        <v>0</v>
      </c>
      <c r="BC118" s="208">
        <v>0</v>
      </c>
      <c r="BD118" s="208">
        <v>0</v>
      </c>
      <c r="BE118" s="208">
        <v>0</v>
      </c>
      <c r="BF118" s="208">
        <v>0</v>
      </c>
      <c r="BG118" s="208">
        <v>0</v>
      </c>
      <c r="BH118" s="208">
        <v>0</v>
      </c>
      <c r="BI118" s="208">
        <v>0</v>
      </c>
      <c r="BJ118" s="208">
        <v>0</v>
      </c>
      <c r="BK118" s="208">
        <v>0</v>
      </c>
      <c r="BL118" s="208">
        <v>0</v>
      </c>
      <c r="BM118" s="208">
        <v>0</v>
      </c>
      <c r="BN118" s="208">
        <v>0</v>
      </c>
      <c r="BO118" s="208">
        <v>731122.21693500003</v>
      </c>
      <c r="BP118" s="208">
        <v>1705951.8395150001</v>
      </c>
      <c r="BQ118" s="208">
        <v>0</v>
      </c>
      <c r="BR118" s="208">
        <v>89680</v>
      </c>
      <c r="BS118" s="208">
        <v>209254</v>
      </c>
      <c r="BT118" s="208">
        <v>0</v>
      </c>
      <c r="BU118" s="208">
        <v>684957</v>
      </c>
      <c r="BV118" s="208">
        <v>1598232</v>
      </c>
      <c r="BW118" s="208">
        <v>0</v>
      </c>
      <c r="BX118" s="208">
        <v>135845</v>
      </c>
      <c r="BY118" s="208">
        <v>316974</v>
      </c>
      <c r="BZ118" s="208">
        <v>0</v>
      </c>
      <c r="CA118" s="208">
        <v>0</v>
      </c>
      <c r="CB118" s="208">
        <v>0</v>
      </c>
      <c r="CC118" s="208">
        <v>0</v>
      </c>
      <c r="CD118" s="208">
        <v>0</v>
      </c>
      <c r="CE118" s="208">
        <v>0</v>
      </c>
      <c r="CF118" s="208">
        <v>0</v>
      </c>
      <c r="CG118" s="208">
        <v>0</v>
      </c>
      <c r="CH118" s="208">
        <v>0</v>
      </c>
      <c r="CI118" s="208">
        <v>0</v>
      </c>
      <c r="CJ118" s="208">
        <v>0</v>
      </c>
      <c r="CK118" s="208">
        <v>0</v>
      </c>
      <c r="CL118" s="208">
        <v>0</v>
      </c>
      <c r="CM118" s="208">
        <v>0</v>
      </c>
      <c r="CN118" s="208">
        <v>0</v>
      </c>
      <c r="CO118" s="208">
        <v>0</v>
      </c>
      <c r="CP118" s="208">
        <v>-460.3125</v>
      </c>
      <c r="CQ118" s="208">
        <v>-1074.0625</v>
      </c>
      <c r="CR118" s="208">
        <v>0</v>
      </c>
      <c r="CS118" s="208">
        <v>0</v>
      </c>
      <c r="CT118" s="208">
        <v>0</v>
      </c>
      <c r="CU118" s="208">
        <v>0</v>
      </c>
      <c r="CV118" s="208">
        <v>0</v>
      </c>
      <c r="CW118" s="208">
        <v>0</v>
      </c>
      <c r="CX118" s="208">
        <v>0</v>
      </c>
      <c r="CY118" s="208">
        <v>0</v>
      </c>
      <c r="CZ118" s="208">
        <v>0</v>
      </c>
      <c r="DA118" s="208">
        <v>0</v>
      </c>
      <c r="DB118" s="208">
        <v>0</v>
      </c>
      <c r="DC118" s="208">
        <v>0</v>
      </c>
      <c r="DD118" s="208">
        <v>0</v>
      </c>
      <c r="DE118" s="208">
        <v>4003.4912499999996</v>
      </c>
      <c r="DF118" s="208">
        <v>9341.4795833333319</v>
      </c>
      <c r="DG118" s="208">
        <v>0</v>
      </c>
      <c r="DH118" s="208">
        <v>4321</v>
      </c>
      <c r="DI118" s="208">
        <v>10083</v>
      </c>
      <c r="DJ118" s="208">
        <v>0</v>
      </c>
      <c r="DK118" s="208">
        <v>-318</v>
      </c>
      <c r="DL118" s="208">
        <v>-742</v>
      </c>
      <c r="DM118" s="208">
        <v>0</v>
      </c>
      <c r="DN118" s="208">
        <v>460.3125</v>
      </c>
      <c r="DO118" s="208">
        <v>1074.0625</v>
      </c>
      <c r="DP118" s="208">
        <v>0</v>
      </c>
      <c r="DQ118" s="208">
        <v>460</v>
      </c>
      <c r="DR118" s="208">
        <v>1074</v>
      </c>
      <c r="DS118" s="208">
        <v>0</v>
      </c>
      <c r="DT118" s="208">
        <v>0</v>
      </c>
      <c r="DU118" s="208">
        <v>0</v>
      </c>
      <c r="DV118" s="208">
        <v>0</v>
      </c>
      <c r="DW118" s="208">
        <v>8189.8799999999992</v>
      </c>
      <c r="DX118" s="208">
        <v>19109.719999999998</v>
      </c>
      <c r="DY118" s="208">
        <v>0</v>
      </c>
      <c r="DZ118" s="208">
        <v>9016</v>
      </c>
      <c r="EA118" s="208">
        <v>21039</v>
      </c>
      <c r="EB118" s="208">
        <v>0</v>
      </c>
      <c r="EC118" s="208">
        <v>-826</v>
      </c>
      <c r="ED118" s="208">
        <v>-1929</v>
      </c>
      <c r="EE118" s="208">
        <v>0</v>
      </c>
      <c r="EF118" s="208">
        <v>74549.757500000007</v>
      </c>
      <c r="EG118" s="208">
        <v>173949.43416666667</v>
      </c>
      <c r="EH118" s="208">
        <v>0</v>
      </c>
      <c r="EI118" s="208">
        <v>-14382.924375000001</v>
      </c>
      <c r="EJ118" s="208">
        <v>-33560.156875000001</v>
      </c>
      <c r="EK118" s="208">
        <v>0</v>
      </c>
      <c r="EL118" s="208">
        <v>95745</v>
      </c>
      <c r="EM118" s="208">
        <v>223405</v>
      </c>
      <c r="EN118" s="208">
        <v>0</v>
      </c>
      <c r="EO118" s="208">
        <v>-35578</v>
      </c>
      <c r="EP118" s="208">
        <v>-83016</v>
      </c>
      <c r="EQ118" s="208">
        <v>0</v>
      </c>
      <c r="ER118" s="208">
        <v>14764.369999999999</v>
      </c>
      <c r="ES118" s="208">
        <v>34450.196666666663</v>
      </c>
      <c r="ET118" s="208">
        <v>0</v>
      </c>
      <c r="EU118" s="208">
        <v>19333</v>
      </c>
      <c r="EV118" s="208">
        <v>45111</v>
      </c>
      <c r="EW118" s="208">
        <v>0</v>
      </c>
      <c r="EX118" s="208">
        <v>-4569</v>
      </c>
      <c r="EY118" s="208">
        <v>-10661</v>
      </c>
      <c r="EZ118" s="208">
        <v>0</v>
      </c>
      <c r="FA118" s="208">
        <v>0</v>
      </c>
      <c r="FB118" s="208">
        <v>0</v>
      </c>
      <c r="FC118" s="208">
        <v>0</v>
      </c>
      <c r="FD118" s="208">
        <v>0</v>
      </c>
      <c r="FE118" s="208">
        <v>0</v>
      </c>
      <c r="FF118" s="208">
        <v>0</v>
      </c>
      <c r="FG118" s="208">
        <v>0</v>
      </c>
      <c r="FH118" s="208">
        <v>0</v>
      </c>
      <c r="FI118" s="208">
        <v>0</v>
      </c>
      <c r="FJ118" s="208">
        <v>656071.3637499999</v>
      </c>
      <c r="FK118" s="208">
        <v>1530833.1820833331</v>
      </c>
      <c r="FL118" s="208">
        <v>0</v>
      </c>
      <c r="FM118" s="208">
        <v>599477</v>
      </c>
      <c r="FN118" s="208">
        <v>1398781</v>
      </c>
      <c r="FO118" s="208">
        <v>0</v>
      </c>
      <c r="FP118" s="208">
        <v>56594</v>
      </c>
      <c r="FQ118" s="208">
        <v>132052</v>
      </c>
      <c r="FR118" s="208">
        <v>0</v>
      </c>
      <c r="FS118" s="208">
        <v>0</v>
      </c>
      <c r="FT118" s="208">
        <v>0</v>
      </c>
      <c r="FU118" s="208">
        <v>0</v>
      </c>
      <c r="FV118" s="208">
        <v>0</v>
      </c>
      <c r="FW118" s="208">
        <v>0</v>
      </c>
      <c r="FX118" s="208">
        <v>0</v>
      </c>
      <c r="FY118" s="208">
        <v>0</v>
      </c>
      <c r="FZ118" s="208">
        <v>0</v>
      </c>
      <c r="GA118" s="208">
        <v>0</v>
      </c>
      <c r="GB118" s="208">
        <v>1563997</v>
      </c>
      <c r="GC118" s="208">
        <v>3649329</v>
      </c>
      <c r="GD118" s="208">
        <v>0</v>
      </c>
      <c r="GE118" s="664">
        <v>0</v>
      </c>
      <c r="GF118" s="664">
        <v>0.3</v>
      </c>
      <c r="GG118" s="664">
        <v>0.7</v>
      </c>
      <c r="GH118" s="664">
        <v>0</v>
      </c>
      <c r="GI118" s="187" t="s">
        <v>1054</v>
      </c>
    </row>
    <row r="119" spans="2:191" s="187" customFormat="1" x14ac:dyDescent="0.2">
      <c r="B119" s="429" t="s">
        <v>315</v>
      </c>
      <c r="C119" s="429" t="s">
        <v>314</v>
      </c>
      <c r="D119" s="208">
        <v>17361030</v>
      </c>
      <c r="E119" s="208">
        <v>0</v>
      </c>
      <c r="F119" s="208">
        <v>17361030</v>
      </c>
      <c r="G119" s="208">
        <v>17512410</v>
      </c>
      <c r="H119" s="208">
        <v>0</v>
      </c>
      <c r="I119" s="208">
        <v>17512410</v>
      </c>
      <c r="J119" s="208">
        <v>-151380</v>
      </c>
      <c r="K119" s="208">
        <v>0</v>
      </c>
      <c r="L119" s="208">
        <v>-151380</v>
      </c>
      <c r="M119" s="208">
        <v>546851</v>
      </c>
      <c r="N119" s="208">
        <v>546851</v>
      </c>
      <c r="O119" s="208">
        <v>0</v>
      </c>
      <c r="P119" s="208">
        <v>0</v>
      </c>
      <c r="Q119" s="208">
        <v>0</v>
      </c>
      <c r="R119" s="208">
        <v>0</v>
      </c>
      <c r="S119" s="208">
        <v>0</v>
      </c>
      <c r="T119" s="208">
        <v>0</v>
      </c>
      <c r="U119" s="208">
        <v>0</v>
      </c>
      <c r="V119" s="208">
        <v>0</v>
      </c>
      <c r="W119" s="208">
        <v>0</v>
      </c>
      <c r="X119" s="208">
        <v>0</v>
      </c>
      <c r="Y119" s="208">
        <v>0</v>
      </c>
      <c r="Z119" s="208">
        <v>0</v>
      </c>
      <c r="AA119" s="208">
        <v>0</v>
      </c>
      <c r="AB119" s="208">
        <v>0</v>
      </c>
      <c r="AC119" s="208">
        <v>0</v>
      </c>
      <c r="AD119" s="208">
        <v>0</v>
      </c>
      <c r="AE119" s="208">
        <v>0</v>
      </c>
      <c r="AF119" s="208">
        <v>0</v>
      </c>
      <c r="AG119" s="208">
        <v>0</v>
      </c>
      <c r="AH119" s="208">
        <v>0</v>
      </c>
      <c r="AI119" s="208">
        <v>0</v>
      </c>
      <c r="AJ119" s="208">
        <v>0</v>
      </c>
      <c r="AK119" s="208">
        <v>0</v>
      </c>
      <c r="AL119" s="208">
        <v>0</v>
      </c>
      <c r="AM119" s="208">
        <v>0</v>
      </c>
      <c r="AN119" s="208">
        <v>0</v>
      </c>
      <c r="AO119" s="208">
        <v>0</v>
      </c>
      <c r="AP119" s="208">
        <v>0</v>
      </c>
      <c r="AQ119" s="208">
        <v>0</v>
      </c>
      <c r="AR119" s="208">
        <v>0</v>
      </c>
      <c r="AS119" s="208">
        <v>0</v>
      </c>
      <c r="AT119" s="208">
        <v>0</v>
      </c>
      <c r="AU119" s="208">
        <v>0</v>
      </c>
      <c r="AV119" s="208">
        <v>0</v>
      </c>
      <c r="AW119" s="208">
        <v>0</v>
      </c>
      <c r="AX119" s="208">
        <v>0</v>
      </c>
      <c r="AY119" s="208">
        <v>0</v>
      </c>
      <c r="AZ119" s="208">
        <v>0</v>
      </c>
      <c r="BA119" s="208">
        <v>0</v>
      </c>
      <c r="BB119" s="208">
        <v>0</v>
      </c>
      <c r="BC119" s="208">
        <v>0</v>
      </c>
      <c r="BD119" s="208">
        <v>0</v>
      </c>
      <c r="BE119" s="208">
        <v>0</v>
      </c>
      <c r="BF119" s="208">
        <v>0</v>
      </c>
      <c r="BG119" s="208">
        <v>0</v>
      </c>
      <c r="BH119" s="208">
        <v>0</v>
      </c>
      <c r="BI119" s="208">
        <v>0</v>
      </c>
      <c r="BJ119" s="208">
        <v>0</v>
      </c>
      <c r="BK119" s="208">
        <v>0</v>
      </c>
      <c r="BL119" s="208">
        <v>0</v>
      </c>
      <c r="BM119" s="208">
        <v>0</v>
      </c>
      <c r="BN119" s="208">
        <v>0</v>
      </c>
      <c r="BO119" s="208">
        <v>4199887.9766666666</v>
      </c>
      <c r="BP119" s="208">
        <v>2362436.9868749999</v>
      </c>
      <c r="BQ119" s="208">
        <v>0</v>
      </c>
      <c r="BR119" s="208">
        <v>396115</v>
      </c>
      <c r="BS119" s="208">
        <v>222815</v>
      </c>
      <c r="BT119" s="208">
        <v>0</v>
      </c>
      <c r="BU119" s="208">
        <v>3962534</v>
      </c>
      <c r="BV119" s="208">
        <v>2228925</v>
      </c>
      <c r="BW119" s="208">
        <v>0</v>
      </c>
      <c r="BX119" s="208">
        <v>633469</v>
      </c>
      <c r="BY119" s="208">
        <v>356327</v>
      </c>
      <c r="BZ119" s="208">
        <v>0</v>
      </c>
      <c r="CA119" s="208">
        <v>0</v>
      </c>
      <c r="CB119" s="208">
        <v>0</v>
      </c>
      <c r="CC119" s="208">
        <v>0</v>
      </c>
      <c r="CD119" s="208">
        <v>0</v>
      </c>
      <c r="CE119" s="208">
        <v>0</v>
      </c>
      <c r="CF119" s="208">
        <v>0</v>
      </c>
      <c r="CG119" s="208">
        <v>0</v>
      </c>
      <c r="CH119" s="208">
        <v>0</v>
      </c>
      <c r="CI119" s="208">
        <v>0</v>
      </c>
      <c r="CJ119" s="208">
        <v>0</v>
      </c>
      <c r="CK119" s="208">
        <v>0</v>
      </c>
      <c r="CL119" s="208">
        <v>0</v>
      </c>
      <c r="CM119" s="208">
        <v>0</v>
      </c>
      <c r="CN119" s="208">
        <v>0</v>
      </c>
      <c r="CO119" s="208">
        <v>0</v>
      </c>
      <c r="CP119" s="208">
        <v>0</v>
      </c>
      <c r="CQ119" s="208">
        <v>0</v>
      </c>
      <c r="CR119" s="208">
        <v>0</v>
      </c>
      <c r="CS119" s="208">
        <v>0</v>
      </c>
      <c r="CT119" s="208">
        <v>0</v>
      </c>
      <c r="CU119" s="208">
        <v>0</v>
      </c>
      <c r="CV119" s="208">
        <v>0</v>
      </c>
      <c r="CW119" s="208">
        <v>0</v>
      </c>
      <c r="CX119" s="208">
        <v>0</v>
      </c>
      <c r="CY119" s="208">
        <v>0</v>
      </c>
      <c r="CZ119" s="208">
        <v>0</v>
      </c>
      <c r="DA119" s="208">
        <v>0</v>
      </c>
      <c r="DB119" s="208">
        <v>0</v>
      </c>
      <c r="DC119" s="208">
        <v>0</v>
      </c>
      <c r="DD119" s="208">
        <v>0</v>
      </c>
      <c r="DE119" s="208">
        <v>0</v>
      </c>
      <c r="DF119" s="208">
        <v>0</v>
      </c>
      <c r="DG119" s="208">
        <v>0</v>
      </c>
      <c r="DH119" s="208">
        <v>0</v>
      </c>
      <c r="DI119" s="208">
        <v>0</v>
      </c>
      <c r="DJ119" s="208">
        <v>0</v>
      </c>
      <c r="DK119" s="208">
        <v>0</v>
      </c>
      <c r="DL119" s="208">
        <v>0</v>
      </c>
      <c r="DM119" s="208">
        <v>0</v>
      </c>
      <c r="DN119" s="208">
        <v>28.150666666666666</v>
      </c>
      <c r="DO119" s="208">
        <v>15.83475</v>
      </c>
      <c r="DP119" s="208">
        <v>0</v>
      </c>
      <c r="DQ119" s="208">
        <v>0</v>
      </c>
      <c r="DR119" s="208">
        <v>0</v>
      </c>
      <c r="DS119" s="208">
        <v>0</v>
      </c>
      <c r="DT119" s="208">
        <v>28</v>
      </c>
      <c r="DU119" s="208">
        <v>16</v>
      </c>
      <c r="DV119" s="208">
        <v>0</v>
      </c>
      <c r="DW119" s="208">
        <v>358571.408</v>
      </c>
      <c r="DX119" s="208">
        <v>201696.41700000002</v>
      </c>
      <c r="DY119" s="208">
        <v>0</v>
      </c>
      <c r="DZ119" s="208">
        <v>748881</v>
      </c>
      <c r="EA119" s="208">
        <v>421246</v>
      </c>
      <c r="EB119" s="208">
        <v>0</v>
      </c>
      <c r="EC119" s="208">
        <v>-390310</v>
      </c>
      <c r="ED119" s="208">
        <v>-219550</v>
      </c>
      <c r="EE119" s="208">
        <v>0</v>
      </c>
      <c r="EF119" s="208">
        <v>1184307.7120000001</v>
      </c>
      <c r="EG119" s="208">
        <v>666173.08799999999</v>
      </c>
      <c r="EH119" s="208">
        <v>0</v>
      </c>
      <c r="EI119" s="208">
        <v>0</v>
      </c>
      <c r="EJ119" s="208">
        <v>0</v>
      </c>
      <c r="EK119" s="208">
        <v>0</v>
      </c>
      <c r="EL119" s="208">
        <v>1309333</v>
      </c>
      <c r="EM119" s="208">
        <v>736500</v>
      </c>
      <c r="EN119" s="208">
        <v>0</v>
      </c>
      <c r="EO119" s="208">
        <v>-125025</v>
      </c>
      <c r="EP119" s="208">
        <v>-70327</v>
      </c>
      <c r="EQ119" s="208">
        <v>0</v>
      </c>
      <c r="ER119" s="208">
        <v>37270.17333333334</v>
      </c>
      <c r="ES119" s="208">
        <v>20964.4725</v>
      </c>
      <c r="ET119" s="208">
        <v>0</v>
      </c>
      <c r="EU119" s="208">
        <v>65467</v>
      </c>
      <c r="EV119" s="208">
        <v>36825</v>
      </c>
      <c r="EW119" s="208">
        <v>0</v>
      </c>
      <c r="EX119" s="208">
        <v>-28197</v>
      </c>
      <c r="EY119" s="208">
        <v>-15861</v>
      </c>
      <c r="EZ119" s="208">
        <v>0</v>
      </c>
      <c r="FA119" s="208">
        <v>0</v>
      </c>
      <c r="FB119" s="208">
        <v>0</v>
      </c>
      <c r="FC119" s="208">
        <v>0</v>
      </c>
      <c r="FD119" s="208">
        <v>0</v>
      </c>
      <c r="FE119" s="208">
        <v>0</v>
      </c>
      <c r="FF119" s="208">
        <v>0</v>
      </c>
      <c r="FG119" s="208">
        <v>0</v>
      </c>
      <c r="FH119" s="208">
        <v>0</v>
      </c>
      <c r="FI119" s="208">
        <v>0</v>
      </c>
      <c r="FJ119" s="208">
        <v>1974844.08</v>
      </c>
      <c r="FK119" s="208">
        <v>1110849.7949999999</v>
      </c>
      <c r="FL119" s="208">
        <v>0</v>
      </c>
      <c r="FM119" s="208">
        <v>1817509</v>
      </c>
      <c r="FN119" s="208">
        <v>1022349</v>
      </c>
      <c r="FO119" s="208">
        <v>0</v>
      </c>
      <c r="FP119" s="208">
        <v>157335</v>
      </c>
      <c r="FQ119" s="208">
        <v>88501</v>
      </c>
      <c r="FR119" s="208">
        <v>0</v>
      </c>
      <c r="FS119" s="208">
        <v>0</v>
      </c>
      <c r="FT119" s="208">
        <v>0</v>
      </c>
      <c r="FU119" s="208">
        <v>0</v>
      </c>
      <c r="FV119" s="208">
        <v>0</v>
      </c>
      <c r="FW119" s="208">
        <v>0</v>
      </c>
      <c r="FX119" s="208">
        <v>0</v>
      </c>
      <c r="FY119" s="208">
        <v>0</v>
      </c>
      <c r="FZ119" s="208">
        <v>0</v>
      </c>
      <c r="GA119" s="208">
        <v>0</v>
      </c>
      <c r="GB119" s="208">
        <v>8151024</v>
      </c>
      <c r="GC119" s="208">
        <v>4584951</v>
      </c>
      <c r="GD119" s="208">
        <v>0</v>
      </c>
      <c r="GE119" s="664">
        <v>0</v>
      </c>
      <c r="GF119" s="664">
        <v>0.64</v>
      </c>
      <c r="GG119" s="664">
        <v>0.36</v>
      </c>
      <c r="GH119" s="664">
        <v>0</v>
      </c>
      <c r="GI119" s="187" t="s">
        <v>1057</v>
      </c>
    </row>
    <row r="120" spans="2:191" s="187" customFormat="1" x14ac:dyDescent="0.2">
      <c r="B120" s="429" t="s">
        <v>317</v>
      </c>
      <c r="C120" s="429" t="s">
        <v>316</v>
      </c>
      <c r="D120" s="208">
        <v>-3050520</v>
      </c>
      <c r="E120" s="208">
        <v>0</v>
      </c>
      <c r="F120" s="208">
        <v>-3050520</v>
      </c>
      <c r="G120" s="208">
        <v>-4653023</v>
      </c>
      <c r="H120" s="208">
        <v>-11609</v>
      </c>
      <c r="I120" s="208">
        <v>-4664632</v>
      </c>
      <c r="J120" s="208">
        <v>1602503</v>
      </c>
      <c r="K120" s="208">
        <v>11609</v>
      </c>
      <c r="L120" s="208">
        <v>1614112</v>
      </c>
      <c r="M120" s="208">
        <v>156251</v>
      </c>
      <c r="N120" s="208">
        <v>156251</v>
      </c>
      <c r="O120" s="208">
        <v>0</v>
      </c>
      <c r="P120" s="208">
        <v>0</v>
      </c>
      <c r="Q120" s="208">
        <v>0</v>
      </c>
      <c r="R120" s="208">
        <v>0</v>
      </c>
      <c r="S120" s="208">
        <v>0</v>
      </c>
      <c r="T120" s="208">
        <v>0</v>
      </c>
      <c r="U120" s="208">
        <v>0</v>
      </c>
      <c r="V120" s="208">
        <v>0</v>
      </c>
      <c r="W120" s="208">
        <v>0</v>
      </c>
      <c r="X120" s="208">
        <v>0</v>
      </c>
      <c r="Y120" s="208">
        <v>0</v>
      </c>
      <c r="Z120" s="208">
        <v>0</v>
      </c>
      <c r="AA120" s="208">
        <v>0</v>
      </c>
      <c r="AB120" s="208">
        <v>0</v>
      </c>
      <c r="AC120" s="208">
        <v>0</v>
      </c>
      <c r="AD120" s="208">
        <v>0</v>
      </c>
      <c r="AE120" s="208">
        <v>0</v>
      </c>
      <c r="AF120" s="208">
        <v>0</v>
      </c>
      <c r="AG120" s="208">
        <v>0</v>
      </c>
      <c r="AH120" s="208">
        <v>0</v>
      </c>
      <c r="AI120" s="208">
        <v>0</v>
      </c>
      <c r="AJ120" s="208">
        <v>0</v>
      </c>
      <c r="AK120" s="208">
        <v>0</v>
      </c>
      <c r="AL120" s="208">
        <v>0</v>
      </c>
      <c r="AM120" s="208">
        <v>0</v>
      </c>
      <c r="AN120" s="208">
        <v>0</v>
      </c>
      <c r="AO120" s="208">
        <v>0</v>
      </c>
      <c r="AP120" s="208">
        <v>0</v>
      </c>
      <c r="AQ120" s="208">
        <v>0</v>
      </c>
      <c r="AR120" s="208">
        <v>0</v>
      </c>
      <c r="AS120" s="208">
        <v>0</v>
      </c>
      <c r="AT120" s="208">
        <v>0</v>
      </c>
      <c r="AU120" s="208">
        <v>0</v>
      </c>
      <c r="AV120" s="208">
        <v>0</v>
      </c>
      <c r="AW120" s="208">
        <v>0</v>
      </c>
      <c r="AX120" s="208">
        <v>0</v>
      </c>
      <c r="AY120" s="208">
        <v>0</v>
      </c>
      <c r="AZ120" s="208">
        <v>0</v>
      </c>
      <c r="BA120" s="208">
        <v>0</v>
      </c>
      <c r="BB120" s="208">
        <v>0</v>
      </c>
      <c r="BC120" s="208">
        <v>0</v>
      </c>
      <c r="BD120" s="208">
        <v>0</v>
      </c>
      <c r="BE120" s="208">
        <v>0</v>
      </c>
      <c r="BF120" s="208">
        <v>0</v>
      </c>
      <c r="BG120" s="208">
        <v>0</v>
      </c>
      <c r="BH120" s="208">
        <v>0</v>
      </c>
      <c r="BI120" s="208">
        <v>0</v>
      </c>
      <c r="BJ120" s="208">
        <v>0</v>
      </c>
      <c r="BK120" s="208">
        <v>0</v>
      </c>
      <c r="BL120" s="208">
        <v>0</v>
      </c>
      <c r="BM120" s="208">
        <v>0</v>
      </c>
      <c r="BN120" s="208">
        <v>0</v>
      </c>
      <c r="BO120" s="208">
        <v>2110543.006120313</v>
      </c>
      <c r="BP120" s="208">
        <v>0</v>
      </c>
      <c r="BQ120" s="208">
        <v>21318.616223437501</v>
      </c>
      <c r="BR120" s="208">
        <v>220621</v>
      </c>
      <c r="BS120" s="208">
        <v>0</v>
      </c>
      <c r="BT120" s="208">
        <v>2179</v>
      </c>
      <c r="BU120" s="208">
        <v>2103418</v>
      </c>
      <c r="BV120" s="208">
        <v>0</v>
      </c>
      <c r="BW120" s="208">
        <v>21247</v>
      </c>
      <c r="BX120" s="208">
        <v>227746</v>
      </c>
      <c r="BY120" s="208">
        <v>0</v>
      </c>
      <c r="BZ120" s="208">
        <v>2251</v>
      </c>
      <c r="CA120" s="208">
        <v>28611.4599375</v>
      </c>
      <c r="CB120" s="208">
        <v>0</v>
      </c>
      <c r="CC120" s="208">
        <v>289.00464583333337</v>
      </c>
      <c r="CD120" s="208">
        <v>8976</v>
      </c>
      <c r="CE120" s="208">
        <v>0</v>
      </c>
      <c r="CF120" s="208">
        <v>91</v>
      </c>
      <c r="CG120" s="208">
        <v>19635</v>
      </c>
      <c r="CH120" s="208">
        <v>0</v>
      </c>
      <c r="CI120" s="208">
        <v>198</v>
      </c>
      <c r="CJ120" s="208">
        <v>0</v>
      </c>
      <c r="CK120" s="208">
        <v>0</v>
      </c>
      <c r="CL120" s="208">
        <v>0</v>
      </c>
      <c r="CM120" s="208">
        <v>0</v>
      </c>
      <c r="CN120" s="208">
        <v>0</v>
      </c>
      <c r="CO120" s="208">
        <v>0</v>
      </c>
      <c r="CP120" s="208">
        <v>0</v>
      </c>
      <c r="CQ120" s="208">
        <v>0</v>
      </c>
      <c r="CR120" s="208">
        <v>0</v>
      </c>
      <c r="CS120" s="208">
        <v>0</v>
      </c>
      <c r="CT120" s="208">
        <v>0</v>
      </c>
      <c r="CU120" s="208">
        <v>0</v>
      </c>
      <c r="CV120" s="208">
        <v>0</v>
      </c>
      <c r="CW120" s="208">
        <v>0</v>
      </c>
      <c r="CX120" s="208">
        <v>0</v>
      </c>
      <c r="CY120" s="208">
        <v>0</v>
      </c>
      <c r="CZ120" s="208">
        <v>0</v>
      </c>
      <c r="DA120" s="208">
        <v>0</v>
      </c>
      <c r="DB120" s="208">
        <v>0</v>
      </c>
      <c r="DC120" s="208">
        <v>0</v>
      </c>
      <c r="DD120" s="208">
        <v>0</v>
      </c>
      <c r="DE120" s="208">
        <v>0</v>
      </c>
      <c r="DF120" s="208">
        <v>0</v>
      </c>
      <c r="DG120" s="208">
        <v>0</v>
      </c>
      <c r="DH120" s="208">
        <v>0</v>
      </c>
      <c r="DI120" s="208">
        <v>0</v>
      </c>
      <c r="DJ120" s="208">
        <v>0</v>
      </c>
      <c r="DK120" s="208">
        <v>0</v>
      </c>
      <c r="DL120" s="208">
        <v>0</v>
      </c>
      <c r="DM120" s="208">
        <v>0</v>
      </c>
      <c r="DN120" s="208">
        <v>0</v>
      </c>
      <c r="DO120" s="208">
        <v>0</v>
      </c>
      <c r="DP120" s="208">
        <v>0</v>
      </c>
      <c r="DQ120" s="208">
        <v>0</v>
      </c>
      <c r="DR120" s="208">
        <v>0</v>
      </c>
      <c r="DS120" s="208">
        <v>0</v>
      </c>
      <c r="DT120" s="208">
        <v>0</v>
      </c>
      <c r="DU120" s="208">
        <v>0</v>
      </c>
      <c r="DV120" s="208">
        <v>0</v>
      </c>
      <c r="DW120" s="208">
        <v>14213.069062499999</v>
      </c>
      <c r="DX120" s="208">
        <v>0</v>
      </c>
      <c r="DY120" s="208">
        <v>143.56635416666666</v>
      </c>
      <c r="DZ120" s="208">
        <v>9945</v>
      </c>
      <c r="EA120" s="208">
        <v>0</v>
      </c>
      <c r="EB120" s="208">
        <v>100</v>
      </c>
      <c r="EC120" s="208">
        <v>4268</v>
      </c>
      <c r="ED120" s="208">
        <v>0</v>
      </c>
      <c r="EE120" s="208">
        <v>44</v>
      </c>
      <c r="EF120" s="208">
        <v>76814.37225</v>
      </c>
      <c r="EG120" s="208">
        <v>0</v>
      </c>
      <c r="EH120" s="208">
        <v>775.90274999999997</v>
      </c>
      <c r="EI120" s="208">
        <v>0</v>
      </c>
      <c r="EJ120" s="208">
        <v>0</v>
      </c>
      <c r="EK120" s="208">
        <v>0</v>
      </c>
      <c r="EL120" s="208">
        <v>81718</v>
      </c>
      <c r="EM120" s="208">
        <v>0</v>
      </c>
      <c r="EN120" s="208">
        <v>825</v>
      </c>
      <c r="EO120" s="208">
        <v>-4904</v>
      </c>
      <c r="EP120" s="208">
        <v>0</v>
      </c>
      <c r="EQ120" s="208">
        <v>-49</v>
      </c>
      <c r="ER120" s="208">
        <v>12177.567187499999</v>
      </c>
      <c r="ES120" s="208">
        <v>0</v>
      </c>
      <c r="ET120" s="208">
        <v>123.00572916666667</v>
      </c>
      <c r="EU120" s="208">
        <v>12152</v>
      </c>
      <c r="EV120" s="208">
        <v>0</v>
      </c>
      <c r="EW120" s="208">
        <v>123</v>
      </c>
      <c r="EX120" s="208">
        <v>26</v>
      </c>
      <c r="EY120" s="208">
        <v>0</v>
      </c>
      <c r="EZ120" s="208">
        <v>0</v>
      </c>
      <c r="FA120" s="208">
        <v>0</v>
      </c>
      <c r="FB120" s="208">
        <v>0</v>
      </c>
      <c r="FC120" s="208">
        <v>0</v>
      </c>
      <c r="FD120" s="208">
        <v>0</v>
      </c>
      <c r="FE120" s="208">
        <v>0</v>
      </c>
      <c r="FF120" s="208">
        <v>0</v>
      </c>
      <c r="FG120" s="208">
        <v>0</v>
      </c>
      <c r="FH120" s="208">
        <v>0</v>
      </c>
      <c r="FI120" s="208">
        <v>0</v>
      </c>
      <c r="FJ120" s="208">
        <v>1188280.1369999999</v>
      </c>
      <c r="FK120" s="208">
        <v>0</v>
      </c>
      <c r="FL120" s="208">
        <v>12002.829666666667</v>
      </c>
      <c r="FM120" s="208">
        <v>1133371</v>
      </c>
      <c r="FN120" s="208">
        <v>0</v>
      </c>
      <c r="FO120" s="208">
        <v>11448</v>
      </c>
      <c r="FP120" s="208">
        <v>54909</v>
      </c>
      <c r="FQ120" s="208">
        <v>0</v>
      </c>
      <c r="FR120" s="208">
        <v>555</v>
      </c>
      <c r="FS120" s="208">
        <v>335729.02416666667</v>
      </c>
      <c r="FT120" s="208">
        <v>0</v>
      </c>
      <c r="FU120" s="208">
        <v>247.95500000000001</v>
      </c>
      <c r="FV120" s="208">
        <v>250148.61</v>
      </c>
      <c r="FW120" s="208">
        <v>0</v>
      </c>
      <c r="FX120" s="208">
        <v>306.39</v>
      </c>
      <c r="FY120" s="208">
        <v>85580</v>
      </c>
      <c r="FZ120" s="208">
        <v>0</v>
      </c>
      <c r="GA120" s="208">
        <v>-58</v>
      </c>
      <c r="GB120" s="208">
        <v>3986989</v>
      </c>
      <c r="GC120" s="208">
        <v>0</v>
      </c>
      <c r="GD120" s="208">
        <v>37081</v>
      </c>
      <c r="GE120" s="664">
        <v>0</v>
      </c>
      <c r="GF120" s="664">
        <v>0.99</v>
      </c>
      <c r="GG120" s="664">
        <v>0</v>
      </c>
      <c r="GH120" s="664">
        <v>0.01</v>
      </c>
      <c r="GI120" s="187" t="s">
        <v>742</v>
      </c>
    </row>
    <row r="121" spans="2:191" s="187" customFormat="1" x14ac:dyDescent="0.2">
      <c r="B121" s="429" t="s">
        <v>319</v>
      </c>
      <c r="C121" s="429" t="s">
        <v>318</v>
      </c>
      <c r="D121" s="208">
        <v>363009</v>
      </c>
      <c r="E121" s="208">
        <v>0</v>
      </c>
      <c r="F121" s="208">
        <v>363009</v>
      </c>
      <c r="G121" s="208">
        <v>307739</v>
      </c>
      <c r="H121" s="208">
        <v>0</v>
      </c>
      <c r="I121" s="208">
        <v>307739</v>
      </c>
      <c r="J121" s="208">
        <v>55270</v>
      </c>
      <c r="K121" s="208">
        <v>0</v>
      </c>
      <c r="L121" s="208">
        <v>55270</v>
      </c>
      <c r="M121" s="208">
        <v>155090</v>
      </c>
      <c r="N121" s="208">
        <v>155090</v>
      </c>
      <c r="O121" s="208">
        <v>0</v>
      </c>
      <c r="P121" s="208">
        <v>0</v>
      </c>
      <c r="Q121" s="208">
        <v>0</v>
      </c>
      <c r="R121" s="208">
        <v>0</v>
      </c>
      <c r="S121" s="208">
        <v>69576</v>
      </c>
      <c r="T121" s="208">
        <v>0</v>
      </c>
      <c r="U121" s="208">
        <v>45624</v>
      </c>
      <c r="V121" s="208">
        <v>0</v>
      </c>
      <c r="W121" s="208">
        <v>23952</v>
      </c>
      <c r="X121" s="208">
        <v>0</v>
      </c>
      <c r="Y121" s="208">
        <v>0</v>
      </c>
      <c r="Z121" s="208">
        <v>0</v>
      </c>
      <c r="AA121" s="208">
        <v>0</v>
      </c>
      <c r="AB121" s="208">
        <v>0</v>
      </c>
      <c r="AC121" s="208">
        <v>0</v>
      </c>
      <c r="AD121" s="208">
        <v>0</v>
      </c>
      <c r="AE121" s="208">
        <v>0</v>
      </c>
      <c r="AF121" s="208">
        <v>0</v>
      </c>
      <c r="AG121" s="208">
        <v>0</v>
      </c>
      <c r="AH121" s="208">
        <v>0</v>
      </c>
      <c r="AI121" s="208">
        <v>0</v>
      </c>
      <c r="AJ121" s="208">
        <v>0</v>
      </c>
      <c r="AK121" s="208">
        <v>0</v>
      </c>
      <c r="AL121" s="208">
        <v>0</v>
      </c>
      <c r="AM121" s="208">
        <v>0</v>
      </c>
      <c r="AN121" s="208">
        <v>0</v>
      </c>
      <c r="AO121" s="208">
        <v>0</v>
      </c>
      <c r="AP121" s="208">
        <v>0</v>
      </c>
      <c r="AQ121" s="208">
        <v>0</v>
      </c>
      <c r="AR121" s="208">
        <v>0</v>
      </c>
      <c r="AS121" s="208">
        <v>0</v>
      </c>
      <c r="AT121" s="208">
        <v>0</v>
      </c>
      <c r="AU121" s="208">
        <v>0</v>
      </c>
      <c r="AV121" s="208">
        <v>0</v>
      </c>
      <c r="AW121" s="208">
        <v>0</v>
      </c>
      <c r="AX121" s="208">
        <v>0</v>
      </c>
      <c r="AY121" s="208">
        <v>0</v>
      </c>
      <c r="AZ121" s="208">
        <v>0</v>
      </c>
      <c r="BA121" s="208">
        <v>0</v>
      </c>
      <c r="BB121" s="208">
        <v>0</v>
      </c>
      <c r="BC121" s="208">
        <v>0</v>
      </c>
      <c r="BD121" s="208">
        <v>0</v>
      </c>
      <c r="BE121" s="208">
        <v>0</v>
      </c>
      <c r="BF121" s="208">
        <v>0</v>
      </c>
      <c r="BG121" s="208">
        <v>0</v>
      </c>
      <c r="BH121" s="208">
        <v>0</v>
      </c>
      <c r="BI121" s="208">
        <v>0</v>
      </c>
      <c r="BJ121" s="208">
        <v>0</v>
      </c>
      <c r="BK121" s="208">
        <v>0</v>
      </c>
      <c r="BL121" s="208">
        <v>0</v>
      </c>
      <c r="BM121" s="208">
        <v>0</v>
      </c>
      <c r="BN121" s="208">
        <v>0</v>
      </c>
      <c r="BO121" s="208">
        <v>1316916.8561566668</v>
      </c>
      <c r="BP121" s="208">
        <v>296306.29263525002</v>
      </c>
      <c r="BQ121" s="208">
        <v>32922.921403916669</v>
      </c>
      <c r="BR121" s="208">
        <v>66304</v>
      </c>
      <c r="BS121" s="208">
        <v>14918</v>
      </c>
      <c r="BT121" s="208">
        <v>1658</v>
      </c>
      <c r="BU121" s="208">
        <v>1204821</v>
      </c>
      <c r="BV121" s="208">
        <v>271084</v>
      </c>
      <c r="BW121" s="208">
        <v>30120</v>
      </c>
      <c r="BX121" s="208">
        <v>178400</v>
      </c>
      <c r="BY121" s="208">
        <v>40140</v>
      </c>
      <c r="BZ121" s="208">
        <v>4461</v>
      </c>
      <c r="CA121" s="208">
        <v>15149.805</v>
      </c>
      <c r="CB121" s="208">
        <v>3408.7061250000002</v>
      </c>
      <c r="CC121" s="208">
        <v>378.74512499999997</v>
      </c>
      <c r="CD121" s="208">
        <v>8051</v>
      </c>
      <c r="CE121" s="208">
        <v>1812</v>
      </c>
      <c r="CF121" s="208">
        <v>201</v>
      </c>
      <c r="CG121" s="208">
        <v>7099</v>
      </c>
      <c r="CH121" s="208">
        <v>1597</v>
      </c>
      <c r="CI121" s="208">
        <v>178</v>
      </c>
      <c r="CJ121" s="208">
        <v>0</v>
      </c>
      <c r="CK121" s="208">
        <v>0</v>
      </c>
      <c r="CL121" s="208">
        <v>0</v>
      </c>
      <c r="CM121" s="208">
        <v>0</v>
      </c>
      <c r="CN121" s="208">
        <v>0</v>
      </c>
      <c r="CO121" s="208">
        <v>0</v>
      </c>
      <c r="CP121" s="208">
        <v>0</v>
      </c>
      <c r="CQ121" s="208">
        <v>0</v>
      </c>
      <c r="CR121" s="208">
        <v>0</v>
      </c>
      <c r="CS121" s="208">
        <v>0</v>
      </c>
      <c r="CT121" s="208">
        <v>0</v>
      </c>
      <c r="CU121" s="208">
        <v>0</v>
      </c>
      <c r="CV121" s="208">
        <v>0</v>
      </c>
      <c r="CW121" s="208">
        <v>0</v>
      </c>
      <c r="CX121" s="208">
        <v>0</v>
      </c>
      <c r="CY121" s="208">
        <v>0</v>
      </c>
      <c r="CZ121" s="208">
        <v>0</v>
      </c>
      <c r="DA121" s="208">
        <v>0</v>
      </c>
      <c r="DB121" s="208">
        <v>0</v>
      </c>
      <c r="DC121" s="208">
        <v>0</v>
      </c>
      <c r="DD121" s="208">
        <v>0</v>
      </c>
      <c r="DE121" s="208">
        <v>23503.351666666669</v>
      </c>
      <c r="DF121" s="208">
        <v>5288.2541249999995</v>
      </c>
      <c r="DG121" s="208">
        <v>587.58379166666668</v>
      </c>
      <c r="DH121" s="208">
        <v>24009</v>
      </c>
      <c r="DI121" s="208">
        <v>5402</v>
      </c>
      <c r="DJ121" s="208">
        <v>600</v>
      </c>
      <c r="DK121" s="208">
        <v>-506</v>
      </c>
      <c r="DL121" s="208">
        <v>-114</v>
      </c>
      <c r="DM121" s="208">
        <v>-12</v>
      </c>
      <c r="DN121" s="208">
        <v>0</v>
      </c>
      <c r="DO121" s="208">
        <v>0</v>
      </c>
      <c r="DP121" s="208">
        <v>0</v>
      </c>
      <c r="DQ121" s="208">
        <v>0</v>
      </c>
      <c r="DR121" s="208">
        <v>0</v>
      </c>
      <c r="DS121" s="208">
        <v>0</v>
      </c>
      <c r="DT121" s="208">
        <v>0</v>
      </c>
      <c r="DU121" s="208">
        <v>0</v>
      </c>
      <c r="DV121" s="208">
        <v>0</v>
      </c>
      <c r="DW121" s="208">
        <v>12840.877500000001</v>
      </c>
      <c r="DX121" s="208">
        <v>2889.1974375</v>
      </c>
      <c r="DY121" s="208">
        <v>321.02193749999998</v>
      </c>
      <c r="DZ121" s="208">
        <v>13266</v>
      </c>
      <c r="EA121" s="208">
        <v>2985</v>
      </c>
      <c r="EB121" s="208">
        <v>332</v>
      </c>
      <c r="EC121" s="208">
        <v>-425</v>
      </c>
      <c r="ED121" s="208">
        <v>-96</v>
      </c>
      <c r="EE121" s="208">
        <v>-11</v>
      </c>
      <c r="EF121" s="208">
        <v>33238.654166666667</v>
      </c>
      <c r="EG121" s="208">
        <v>7478.6971874999999</v>
      </c>
      <c r="EH121" s="208">
        <v>830.96635416666675</v>
      </c>
      <c r="EI121" s="208">
        <v>-10310.590833333335</v>
      </c>
      <c r="EJ121" s="208">
        <v>-2319.8829375</v>
      </c>
      <c r="EK121" s="208">
        <v>-257.76477083333333</v>
      </c>
      <c r="EL121" s="208">
        <v>47463</v>
      </c>
      <c r="EM121" s="208">
        <v>10679</v>
      </c>
      <c r="EN121" s="208">
        <v>1187</v>
      </c>
      <c r="EO121" s="208">
        <v>-24535</v>
      </c>
      <c r="EP121" s="208">
        <v>-5520</v>
      </c>
      <c r="EQ121" s="208">
        <v>-614</v>
      </c>
      <c r="ER121" s="208">
        <v>29973.094999999998</v>
      </c>
      <c r="ES121" s="208">
        <v>6743.9463749999995</v>
      </c>
      <c r="ET121" s="208">
        <v>749.32737499999996</v>
      </c>
      <c r="EU121" s="208">
        <v>33869</v>
      </c>
      <c r="EV121" s="208">
        <v>7621</v>
      </c>
      <c r="EW121" s="208">
        <v>847</v>
      </c>
      <c r="EX121" s="208">
        <v>-3896</v>
      </c>
      <c r="EY121" s="208">
        <v>-877</v>
      </c>
      <c r="EZ121" s="208">
        <v>-98</v>
      </c>
      <c r="FA121" s="208">
        <v>0</v>
      </c>
      <c r="FB121" s="208">
        <v>0</v>
      </c>
      <c r="FC121" s="208">
        <v>0</v>
      </c>
      <c r="FD121" s="208">
        <v>0</v>
      </c>
      <c r="FE121" s="208">
        <v>0</v>
      </c>
      <c r="FF121" s="208">
        <v>0</v>
      </c>
      <c r="FG121" s="208">
        <v>0</v>
      </c>
      <c r="FH121" s="208">
        <v>0</v>
      </c>
      <c r="FI121" s="208">
        <v>0</v>
      </c>
      <c r="FJ121" s="208">
        <v>251262.95333333334</v>
      </c>
      <c r="FK121" s="208">
        <v>56175.413249999991</v>
      </c>
      <c r="FL121" s="208">
        <v>6241.712583333333</v>
      </c>
      <c r="FM121" s="208">
        <v>257720</v>
      </c>
      <c r="FN121" s="208">
        <v>57752</v>
      </c>
      <c r="FO121" s="208">
        <v>6417</v>
      </c>
      <c r="FP121" s="208">
        <v>-6457</v>
      </c>
      <c r="FQ121" s="208">
        <v>-1577</v>
      </c>
      <c r="FR121" s="208">
        <v>-175</v>
      </c>
      <c r="FS121" s="208">
        <v>0</v>
      </c>
      <c r="FT121" s="208">
        <v>0</v>
      </c>
      <c r="FU121" s="208">
        <v>0</v>
      </c>
      <c r="FV121" s="208">
        <v>0</v>
      </c>
      <c r="FW121" s="208">
        <v>0</v>
      </c>
      <c r="FX121" s="208">
        <v>0</v>
      </c>
      <c r="FY121" s="208">
        <v>0</v>
      </c>
      <c r="FZ121" s="208">
        <v>0</v>
      </c>
      <c r="GA121" s="208">
        <v>0</v>
      </c>
      <c r="GB121" s="208">
        <v>1738879</v>
      </c>
      <c r="GC121" s="208">
        <v>390888</v>
      </c>
      <c r="GD121" s="208">
        <v>43433</v>
      </c>
      <c r="GE121" s="664">
        <v>0.5</v>
      </c>
      <c r="GF121" s="664">
        <v>0.4</v>
      </c>
      <c r="GG121" s="664">
        <v>0.09</v>
      </c>
      <c r="GH121" s="664">
        <v>0.01</v>
      </c>
      <c r="GI121" s="187" t="s">
        <v>1054</v>
      </c>
    </row>
    <row r="122" spans="2:191" s="187" customFormat="1" x14ac:dyDescent="0.2">
      <c r="B122" s="429" t="s">
        <v>321</v>
      </c>
      <c r="C122" s="429" t="s">
        <v>320</v>
      </c>
      <c r="D122" s="208">
        <v>9519945</v>
      </c>
      <c r="E122" s="208">
        <v>0</v>
      </c>
      <c r="F122" s="208">
        <v>9519945</v>
      </c>
      <c r="G122" s="208">
        <v>9111266</v>
      </c>
      <c r="H122" s="208">
        <v>0</v>
      </c>
      <c r="I122" s="208">
        <v>9111266</v>
      </c>
      <c r="J122" s="208">
        <v>408679</v>
      </c>
      <c r="K122" s="208">
        <v>0</v>
      </c>
      <c r="L122" s="208">
        <v>408679</v>
      </c>
      <c r="M122" s="208">
        <v>582048</v>
      </c>
      <c r="N122" s="208">
        <v>582048</v>
      </c>
      <c r="O122" s="208">
        <v>0</v>
      </c>
      <c r="P122" s="208">
        <v>0</v>
      </c>
      <c r="Q122" s="208">
        <v>0</v>
      </c>
      <c r="R122" s="208">
        <v>0</v>
      </c>
      <c r="S122" s="208">
        <v>0</v>
      </c>
      <c r="T122" s="208">
        <v>0</v>
      </c>
      <c r="U122" s="208">
        <v>0</v>
      </c>
      <c r="V122" s="208">
        <v>0</v>
      </c>
      <c r="W122" s="208">
        <v>0</v>
      </c>
      <c r="X122" s="208">
        <v>0</v>
      </c>
      <c r="Y122" s="208">
        <v>0</v>
      </c>
      <c r="Z122" s="208">
        <v>0</v>
      </c>
      <c r="AA122" s="208">
        <v>0</v>
      </c>
      <c r="AB122" s="208">
        <v>0</v>
      </c>
      <c r="AC122" s="208">
        <v>0</v>
      </c>
      <c r="AD122" s="208">
        <v>0</v>
      </c>
      <c r="AE122" s="208">
        <v>0</v>
      </c>
      <c r="AF122" s="208">
        <v>0</v>
      </c>
      <c r="AG122" s="208">
        <v>0</v>
      </c>
      <c r="AH122" s="208">
        <v>0</v>
      </c>
      <c r="AI122" s="208">
        <v>0</v>
      </c>
      <c r="AJ122" s="208">
        <v>0</v>
      </c>
      <c r="AK122" s="208">
        <v>0</v>
      </c>
      <c r="AL122" s="208">
        <v>0</v>
      </c>
      <c r="AM122" s="208">
        <v>0</v>
      </c>
      <c r="AN122" s="208">
        <v>0</v>
      </c>
      <c r="AO122" s="208">
        <v>0</v>
      </c>
      <c r="AP122" s="208">
        <v>0</v>
      </c>
      <c r="AQ122" s="208">
        <v>0</v>
      </c>
      <c r="AR122" s="208">
        <v>0</v>
      </c>
      <c r="AS122" s="208">
        <v>0</v>
      </c>
      <c r="AT122" s="208">
        <v>0</v>
      </c>
      <c r="AU122" s="208">
        <v>0</v>
      </c>
      <c r="AV122" s="208">
        <v>0</v>
      </c>
      <c r="AW122" s="208">
        <v>0</v>
      </c>
      <c r="AX122" s="208">
        <v>0</v>
      </c>
      <c r="AY122" s="208">
        <v>0</v>
      </c>
      <c r="AZ122" s="208">
        <v>0</v>
      </c>
      <c r="BA122" s="208">
        <v>0</v>
      </c>
      <c r="BB122" s="208">
        <v>0</v>
      </c>
      <c r="BC122" s="208">
        <v>0</v>
      </c>
      <c r="BD122" s="208">
        <v>0</v>
      </c>
      <c r="BE122" s="208">
        <v>0</v>
      </c>
      <c r="BF122" s="208">
        <v>0</v>
      </c>
      <c r="BG122" s="208">
        <v>0</v>
      </c>
      <c r="BH122" s="208">
        <v>0</v>
      </c>
      <c r="BI122" s="208">
        <v>0</v>
      </c>
      <c r="BJ122" s="208">
        <v>0</v>
      </c>
      <c r="BK122" s="208">
        <v>0</v>
      </c>
      <c r="BL122" s="208">
        <v>0</v>
      </c>
      <c r="BM122" s="208">
        <v>0</v>
      </c>
      <c r="BN122" s="208">
        <v>0</v>
      </c>
      <c r="BO122" s="208">
        <v>2546206.3963280004</v>
      </c>
      <c r="BP122" s="208">
        <v>1432241.0979344996</v>
      </c>
      <c r="BQ122" s="208">
        <v>0</v>
      </c>
      <c r="BR122" s="208">
        <v>323743</v>
      </c>
      <c r="BS122" s="208">
        <v>182105</v>
      </c>
      <c r="BT122" s="208">
        <v>0</v>
      </c>
      <c r="BU122" s="208">
        <v>2309498</v>
      </c>
      <c r="BV122" s="208">
        <v>1299093</v>
      </c>
      <c r="BW122" s="208">
        <v>0</v>
      </c>
      <c r="BX122" s="208">
        <v>560451</v>
      </c>
      <c r="BY122" s="208">
        <v>315253</v>
      </c>
      <c r="BZ122" s="208">
        <v>0</v>
      </c>
      <c r="CA122" s="208">
        <v>5186.924</v>
      </c>
      <c r="CB122" s="208">
        <v>2917.6447499999999</v>
      </c>
      <c r="CC122" s="208">
        <v>0</v>
      </c>
      <c r="CD122" s="208">
        <v>0</v>
      </c>
      <c r="CE122" s="208">
        <v>0</v>
      </c>
      <c r="CF122" s="208">
        <v>0</v>
      </c>
      <c r="CG122" s="208">
        <v>5187</v>
      </c>
      <c r="CH122" s="208">
        <v>2918</v>
      </c>
      <c r="CI122" s="208">
        <v>0</v>
      </c>
      <c r="CJ122" s="208">
        <v>0</v>
      </c>
      <c r="CK122" s="208">
        <v>0</v>
      </c>
      <c r="CL122" s="208">
        <v>0</v>
      </c>
      <c r="CM122" s="208">
        <v>-28074.725333333332</v>
      </c>
      <c r="CN122" s="208">
        <v>-15792.032999999999</v>
      </c>
      <c r="CO122" s="208">
        <v>0</v>
      </c>
      <c r="CP122" s="208">
        <v>0</v>
      </c>
      <c r="CQ122" s="208">
        <v>0</v>
      </c>
      <c r="CR122" s="208">
        <v>0</v>
      </c>
      <c r="CS122" s="208">
        <v>0</v>
      </c>
      <c r="CT122" s="208">
        <v>0</v>
      </c>
      <c r="CU122" s="208">
        <v>0</v>
      </c>
      <c r="CV122" s="208">
        <v>0</v>
      </c>
      <c r="CW122" s="208">
        <v>0</v>
      </c>
      <c r="CX122" s="208">
        <v>0</v>
      </c>
      <c r="CY122" s="208">
        <v>0</v>
      </c>
      <c r="CZ122" s="208">
        <v>0</v>
      </c>
      <c r="DA122" s="208">
        <v>0</v>
      </c>
      <c r="DB122" s="208">
        <v>0</v>
      </c>
      <c r="DC122" s="208">
        <v>0</v>
      </c>
      <c r="DD122" s="208">
        <v>0</v>
      </c>
      <c r="DE122" s="208">
        <v>0</v>
      </c>
      <c r="DF122" s="208">
        <v>0</v>
      </c>
      <c r="DG122" s="208">
        <v>0</v>
      </c>
      <c r="DH122" s="208">
        <v>0</v>
      </c>
      <c r="DI122" s="208">
        <v>0</v>
      </c>
      <c r="DJ122" s="208">
        <v>0</v>
      </c>
      <c r="DK122" s="208">
        <v>0</v>
      </c>
      <c r="DL122" s="208">
        <v>0</v>
      </c>
      <c r="DM122" s="208">
        <v>0</v>
      </c>
      <c r="DN122" s="208">
        <v>0</v>
      </c>
      <c r="DO122" s="208">
        <v>0</v>
      </c>
      <c r="DP122" s="208">
        <v>0</v>
      </c>
      <c r="DQ122" s="208">
        <v>0</v>
      </c>
      <c r="DR122" s="208">
        <v>0</v>
      </c>
      <c r="DS122" s="208">
        <v>0</v>
      </c>
      <c r="DT122" s="208">
        <v>0</v>
      </c>
      <c r="DU122" s="208">
        <v>0</v>
      </c>
      <c r="DV122" s="208">
        <v>0</v>
      </c>
      <c r="DW122" s="208">
        <v>72454.578666666668</v>
      </c>
      <c r="DX122" s="208">
        <v>40755.700499999999</v>
      </c>
      <c r="DY122" s="208">
        <v>0</v>
      </c>
      <c r="DZ122" s="208">
        <v>33449</v>
      </c>
      <c r="EA122" s="208">
        <v>18815</v>
      </c>
      <c r="EB122" s="208">
        <v>0</v>
      </c>
      <c r="EC122" s="208">
        <v>39006</v>
      </c>
      <c r="ED122" s="208">
        <v>21941</v>
      </c>
      <c r="EE122" s="208">
        <v>0</v>
      </c>
      <c r="EF122" s="208">
        <v>697534.89466666675</v>
      </c>
      <c r="EG122" s="208">
        <v>392363.37825000001</v>
      </c>
      <c r="EH122" s="208">
        <v>0</v>
      </c>
      <c r="EI122" s="208">
        <v>128033.16</v>
      </c>
      <c r="EJ122" s="208">
        <v>72018.652499999997</v>
      </c>
      <c r="EK122" s="208">
        <v>0</v>
      </c>
      <c r="EL122" s="208">
        <v>758758</v>
      </c>
      <c r="EM122" s="208">
        <v>426802</v>
      </c>
      <c r="EN122" s="208">
        <v>0</v>
      </c>
      <c r="EO122" s="208">
        <v>66810</v>
      </c>
      <c r="EP122" s="208">
        <v>37580</v>
      </c>
      <c r="EQ122" s="208">
        <v>0</v>
      </c>
      <c r="ER122" s="208">
        <v>16205.618666666665</v>
      </c>
      <c r="ES122" s="208">
        <v>9115.6605</v>
      </c>
      <c r="ET122" s="208">
        <v>0</v>
      </c>
      <c r="EU122" s="208">
        <v>16996</v>
      </c>
      <c r="EV122" s="208">
        <v>9560</v>
      </c>
      <c r="EW122" s="208">
        <v>0</v>
      </c>
      <c r="EX122" s="208">
        <v>-790</v>
      </c>
      <c r="EY122" s="208">
        <v>-444</v>
      </c>
      <c r="EZ122" s="208">
        <v>0</v>
      </c>
      <c r="FA122" s="208">
        <v>0</v>
      </c>
      <c r="FB122" s="208">
        <v>0</v>
      </c>
      <c r="FC122" s="208">
        <v>0</v>
      </c>
      <c r="FD122" s="208">
        <v>0</v>
      </c>
      <c r="FE122" s="208">
        <v>0</v>
      </c>
      <c r="FF122" s="208">
        <v>0</v>
      </c>
      <c r="FG122" s="208">
        <v>0</v>
      </c>
      <c r="FH122" s="208">
        <v>0</v>
      </c>
      <c r="FI122" s="208">
        <v>0</v>
      </c>
      <c r="FJ122" s="208">
        <v>3462184.3226666669</v>
      </c>
      <c r="FK122" s="208">
        <v>1947478.6814999999</v>
      </c>
      <c r="FL122" s="208">
        <v>0</v>
      </c>
      <c r="FM122" s="208">
        <v>3413839</v>
      </c>
      <c r="FN122" s="208">
        <v>1920284</v>
      </c>
      <c r="FO122" s="208">
        <v>0</v>
      </c>
      <c r="FP122" s="208">
        <v>48345</v>
      </c>
      <c r="FQ122" s="208">
        <v>27195</v>
      </c>
      <c r="FR122" s="208">
        <v>0</v>
      </c>
      <c r="FS122" s="208">
        <v>0</v>
      </c>
      <c r="FT122" s="208">
        <v>0</v>
      </c>
      <c r="FU122" s="208">
        <v>0</v>
      </c>
      <c r="FV122" s="208">
        <v>0</v>
      </c>
      <c r="FW122" s="208">
        <v>0</v>
      </c>
      <c r="FX122" s="208">
        <v>0</v>
      </c>
      <c r="FY122" s="208">
        <v>0</v>
      </c>
      <c r="FZ122" s="208">
        <v>0</v>
      </c>
      <c r="GA122" s="208">
        <v>0</v>
      </c>
      <c r="GB122" s="208">
        <v>7223474</v>
      </c>
      <c r="GC122" s="208">
        <v>4063205</v>
      </c>
      <c r="GD122" s="208">
        <v>0</v>
      </c>
      <c r="GE122" s="664">
        <v>0</v>
      </c>
      <c r="GF122" s="664">
        <v>0.64</v>
      </c>
      <c r="GG122" s="664">
        <v>0.36</v>
      </c>
      <c r="GH122" s="664">
        <v>0</v>
      </c>
      <c r="GI122" s="187" t="s">
        <v>1057</v>
      </c>
    </row>
    <row r="123" spans="2:191" s="187" customFormat="1" x14ac:dyDescent="0.2">
      <c r="B123" s="429" t="s">
        <v>323</v>
      </c>
      <c r="C123" s="429" t="s">
        <v>322</v>
      </c>
      <c r="D123" s="208">
        <v>1172310</v>
      </c>
      <c r="E123" s="208">
        <v>0</v>
      </c>
      <c r="F123" s="208">
        <v>1172310</v>
      </c>
      <c r="G123" s="208">
        <v>1303370</v>
      </c>
      <c r="H123" s="208">
        <v>0</v>
      </c>
      <c r="I123" s="208">
        <v>1303370</v>
      </c>
      <c r="J123" s="208">
        <v>-131060</v>
      </c>
      <c r="K123" s="208">
        <v>0</v>
      </c>
      <c r="L123" s="208">
        <v>-131060</v>
      </c>
      <c r="M123" s="208">
        <v>127235</v>
      </c>
      <c r="N123" s="208">
        <v>127235</v>
      </c>
      <c r="O123" s="208">
        <v>0</v>
      </c>
      <c r="P123" s="208">
        <v>0</v>
      </c>
      <c r="Q123" s="208">
        <v>0</v>
      </c>
      <c r="R123" s="208">
        <v>0</v>
      </c>
      <c r="S123" s="208">
        <v>36706</v>
      </c>
      <c r="T123" s="208">
        <v>0</v>
      </c>
      <c r="U123" s="208">
        <v>11306</v>
      </c>
      <c r="V123" s="208">
        <v>0</v>
      </c>
      <c r="W123" s="208">
        <v>25400</v>
      </c>
      <c r="X123" s="208">
        <v>0</v>
      </c>
      <c r="Y123" s="208">
        <v>0</v>
      </c>
      <c r="Z123" s="208">
        <v>0</v>
      </c>
      <c r="AA123" s="208">
        <v>0</v>
      </c>
      <c r="AB123" s="208">
        <v>0</v>
      </c>
      <c r="AC123" s="208">
        <v>0</v>
      </c>
      <c r="AD123" s="208">
        <v>0</v>
      </c>
      <c r="AE123" s="208">
        <v>0</v>
      </c>
      <c r="AF123" s="208">
        <v>0</v>
      </c>
      <c r="AG123" s="208">
        <v>0</v>
      </c>
      <c r="AH123" s="208">
        <v>0</v>
      </c>
      <c r="AI123" s="208">
        <v>0</v>
      </c>
      <c r="AJ123" s="208">
        <v>0</v>
      </c>
      <c r="AK123" s="208">
        <v>0</v>
      </c>
      <c r="AL123" s="208">
        <v>0</v>
      </c>
      <c r="AM123" s="208">
        <v>0</v>
      </c>
      <c r="AN123" s="208">
        <v>0</v>
      </c>
      <c r="AO123" s="208">
        <v>0</v>
      </c>
      <c r="AP123" s="208">
        <v>0</v>
      </c>
      <c r="AQ123" s="208">
        <v>0</v>
      </c>
      <c r="AR123" s="208">
        <v>0</v>
      </c>
      <c r="AS123" s="208">
        <v>0</v>
      </c>
      <c r="AT123" s="208">
        <v>0</v>
      </c>
      <c r="AU123" s="208">
        <v>0</v>
      </c>
      <c r="AV123" s="208">
        <v>0</v>
      </c>
      <c r="AW123" s="208">
        <v>0</v>
      </c>
      <c r="AX123" s="208">
        <v>0</v>
      </c>
      <c r="AY123" s="208">
        <v>0</v>
      </c>
      <c r="AZ123" s="208">
        <v>0</v>
      </c>
      <c r="BA123" s="208">
        <v>0</v>
      </c>
      <c r="BB123" s="208">
        <v>0</v>
      </c>
      <c r="BC123" s="208">
        <v>0</v>
      </c>
      <c r="BD123" s="208">
        <v>0</v>
      </c>
      <c r="BE123" s="208">
        <v>0</v>
      </c>
      <c r="BF123" s="208">
        <v>0</v>
      </c>
      <c r="BG123" s="208">
        <v>0</v>
      </c>
      <c r="BH123" s="208">
        <v>0</v>
      </c>
      <c r="BI123" s="208">
        <v>0</v>
      </c>
      <c r="BJ123" s="208">
        <v>0</v>
      </c>
      <c r="BK123" s="208">
        <v>0</v>
      </c>
      <c r="BL123" s="208">
        <v>0</v>
      </c>
      <c r="BM123" s="208">
        <v>0</v>
      </c>
      <c r="BN123" s="208">
        <v>0</v>
      </c>
      <c r="BO123" s="208">
        <v>878878.07770166663</v>
      </c>
      <c r="BP123" s="208">
        <v>197747.56748287499</v>
      </c>
      <c r="BQ123" s="208">
        <v>21971.951942541662</v>
      </c>
      <c r="BR123" s="208">
        <v>75455</v>
      </c>
      <c r="BS123" s="208">
        <v>16977</v>
      </c>
      <c r="BT123" s="208">
        <v>1886</v>
      </c>
      <c r="BU123" s="208">
        <v>810638</v>
      </c>
      <c r="BV123" s="208">
        <v>182393</v>
      </c>
      <c r="BW123" s="208">
        <v>20266</v>
      </c>
      <c r="BX123" s="208">
        <v>143695</v>
      </c>
      <c r="BY123" s="208">
        <v>32332</v>
      </c>
      <c r="BZ123" s="208">
        <v>3592</v>
      </c>
      <c r="CA123" s="208">
        <v>3595.3474999999999</v>
      </c>
      <c r="CB123" s="208">
        <v>808.95318750000001</v>
      </c>
      <c r="CC123" s="208">
        <v>89.883687500000008</v>
      </c>
      <c r="CD123" s="208">
        <v>1200</v>
      </c>
      <c r="CE123" s="208">
        <v>270</v>
      </c>
      <c r="CF123" s="208">
        <v>30</v>
      </c>
      <c r="CG123" s="208">
        <v>2395</v>
      </c>
      <c r="CH123" s="208">
        <v>539</v>
      </c>
      <c r="CI123" s="208">
        <v>60</v>
      </c>
      <c r="CJ123" s="208">
        <v>0</v>
      </c>
      <c r="CK123" s="208">
        <v>0</v>
      </c>
      <c r="CL123" s="208">
        <v>0</v>
      </c>
      <c r="CM123" s="208">
        <v>0</v>
      </c>
      <c r="CN123" s="208">
        <v>0</v>
      </c>
      <c r="CO123" s="208">
        <v>0</v>
      </c>
      <c r="CP123" s="208">
        <v>-2045.4241666666667</v>
      </c>
      <c r="CQ123" s="208">
        <v>-460.22043749999995</v>
      </c>
      <c r="CR123" s="208">
        <v>-51.135604166666667</v>
      </c>
      <c r="CS123" s="208">
        <v>0</v>
      </c>
      <c r="CT123" s="208">
        <v>0</v>
      </c>
      <c r="CU123" s="208">
        <v>0</v>
      </c>
      <c r="CV123" s="208">
        <v>0</v>
      </c>
      <c r="CW123" s="208">
        <v>0</v>
      </c>
      <c r="CX123" s="208">
        <v>0</v>
      </c>
      <c r="CY123" s="208">
        <v>0</v>
      </c>
      <c r="CZ123" s="208">
        <v>0</v>
      </c>
      <c r="DA123" s="208">
        <v>0</v>
      </c>
      <c r="DB123" s="208">
        <v>0</v>
      </c>
      <c r="DC123" s="208">
        <v>0</v>
      </c>
      <c r="DD123" s="208">
        <v>0</v>
      </c>
      <c r="DE123" s="208">
        <v>8059.355833333334</v>
      </c>
      <c r="DF123" s="208">
        <v>1813.3550625</v>
      </c>
      <c r="DG123" s="208">
        <v>201.48389583333335</v>
      </c>
      <c r="DH123" s="208">
        <v>0</v>
      </c>
      <c r="DI123" s="208">
        <v>0</v>
      </c>
      <c r="DJ123" s="208">
        <v>0</v>
      </c>
      <c r="DK123" s="208">
        <v>8059</v>
      </c>
      <c r="DL123" s="208">
        <v>1813</v>
      </c>
      <c r="DM123" s="208">
        <v>201</v>
      </c>
      <c r="DN123" s="208">
        <v>0</v>
      </c>
      <c r="DO123" s="208">
        <v>0</v>
      </c>
      <c r="DP123" s="208">
        <v>0</v>
      </c>
      <c r="DQ123" s="208">
        <v>0</v>
      </c>
      <c r="DR123" s="208">
        <v>0</v>
      </c>
      <c r="DS123" s="208">
        <v>0</v>
      </c>
      <c r="DT123" s="208">
        <v>0</v>
      </c>
      <c r="DU123" s="208">
        <v>0</v>
      </c>
      <c r="DV123" s="208">
        <v>0</v>
      </c>
      <c r="DW123" s="208">
        <v>19808.1675</v>
      </c>
      <c r="DX123" s="208">
        <v>4456.8376874999994</v>
      </c>
      <c r="DY123" s="208">
        <v>495.20418749999999</v>
      </c>
      <c r="DZ123" s="208">
        <v>18254</v>
      </c>
      <c r="EA123" s="208">
        <v>4107</v>
      </c>
      <c r="EB123" s="208">
        <v>456</v>
      </c>
      <c r="EC123" s="208">
        <v>1554</v>
      </c>
      <c r="ED123" s="208">
        <v>350</v>
      </c>
      <c r="EE123" s="208">
        <v>39</v>
      </c>
      <c r="EF123" s="208">
        <v>69084.927500000005</v>
      </c>
      <c r="EG123" s="208">
        <v>15544.1086875</v>
      </c>
      <c r="EH123" s="208">
        <v>1727.1231875000001</v>
      </c>
      <c r="EI123" s="208">
        <v>-806.05833333333339</v>
      </c>
      <c r="EJ123" s="208">
        <v>-181.363125</v>
      </c>
      <c r="EK123" s="208">
        <v>-20.151458333333334</v>
      </c>
      <c r="EL123" s="208">
        <v>73594</v>
      </c>
      <c r="EM123" s="208">
        <v>16559</v>
      </c>
      <c r="EN123" s="208">
        <v>1840</v>
      </c>
      <c r="EO123" s="208">
        <v>-5315</v>
      </c>
      <c r="EP123" s="208">
        <v>-1196</v>
      </c>
      <c r="EQ123" s="208">
        <v>-133</v>
      </c>
      <c r="ER123" s="208">
        <v>16380.987499999999</v>
      </c>
      <c r="ES123" s="208">
        <v>3685.7221874999996</v>
      </c>
      <c r="ET123" s="208">
        <v>409.52468749999997</v>
      </c>
      <c r="EU123" s="208">
        <v>13289</v>
      </c>
      <c r="EV123" s="208">
        <v>2990</v>
      </c>
      <c r="EW123" s="208">
        <v>332</v>
      </c>
      <c r="EX123" s="208">
        <v>3092</v>
      </c>
      <c r="EY123" s="208">
        <v>696</v>
      </c>
      <c r="EZ123" s="208">
        <v>78</v>
      </c>
      <c r="FA123" s="208">
        <v>0</v>
      </c>
      <c r="FB123" s="208">
        <v>0</v>
      </c>
      <c r="FC123" s="208">
        <v>0</v>
      </c>
      <c r="FD123" s="208">
        <v>0</v>
      </c>
      <c r="FE123" s="208">
        <v>0</v>
      </c>
      <c r="FF123" s="208">
        <v>0</v>
      </c>
      <c r="FG123" s="208">
        <v>0</v>
      </c>
      <c r="FH123" s="208">
        <v>0</v>
      </c>
      <c r="FI123" s="208">
        <v>0</v>
      </c>
      <c r="FJ123" s="208">
        <v>428635.14833333326</v>
      </c>
      <c r="FK123" s="208">
        <v>96253.643062499992</v>
      </c>
      <c r="FL123" s="208">
        <v>10694.849229166666</v>
      </c>
      <c r="FM123" s="208">
        <v>369412</v>
      </c>
      <c r="FN123" s="208">
        <v>83059</v>
      </c>
      <c r="FO123" s="208">
        <v>9229</v>
      </c>
      <c r="FP123" s="208">
        <v>59223</v>
      </c>
      <c r="FQ123" s="208">
        <v>13195</v>
      </c>
      <c r="FR123" s="208">
        <v>1466</v>
      </c>
      <c r="FS123" s="208">
        <v>0</v>
      </c>
      <c r="FT123" s="208">
        <v>0</v>
      </c>
      <c r="FU123" s="208">
        <v>0</v>
      </c>
      <c r="FV123" s="208">
        <v>0</v>
      </c>
      <c r="FW123" s="208">
        <v>0</v>
      </c>
      <c r="FX123" s="208">
        <v>0</v>
      </c>
      <c r="FY123" s="208">
        <v>0</v>
      </c>
      <c r="FZ123" s="208">
        <v>0</v>
      </c>
      <c r="GA123" s="208">
        <v>0</v>
      </c>
      <c r="GB123" s="208">
        <v>1497045</v>
      </c>
      <c r="GC123" s="208">
        <v>336647</v>
      </c>
      <c r="GD123" s="208">
        <v>37405</v>
      </c>
      <c r="GE123" s="664">
        <v>0.5</v>
      </c>
      <c r="GF123" s="664">
        <v>0.4</v>
      </c>
      <c r="GG123" s="664">
        <v>0.09</v>
      </c>
      <c r="GH123" s="664">
        <v>0.01</v>
      </c>
      <c r="GI123" s="187" t="s">
        <v>1054</v>
      </c>
    </row>
    <row r="124" spans="2:191" s="187" customFormat="1" x14ac:dyDescent="0.2">
      <c r="B124" s="429" t="s">
        <v>325</v>
      </c>
      <c r="C124" s="429" t="s">
        <v>324</v>
      </c>
      <c r="D124" s="208">
        <v>4221030</v>
      </c>
      <c r="E124" s="208">
        <v>0</v>
      </c>
      <c r="F124" s="208">
        <v>4221030</v>
      </c>
      <c r="G124" s="208">
        <v>3836065</v>
      </c>
      <c r="H124" s="208">
        <v>0</v>
      </c>
      <c r="I124" s="208">
        <v>3836065</v>
      </c>
      <c r="J124" s="208">
        <v>384965</v>
      </c>
      <c r="K124" s="208">
        <v>0</v>
      </c>
      <c r="L124" s="208">
        <v>384965</v>
      </c>
      <c r="M124" s="208">
        <v>308003</v>
      </c>
      <c r="N124" s="208">
        <v>308003</v>
      </c>
      <c r="O124" s="208">
        <v>0</v>
      </c>
      <c r="P124" s="208">
        <v>0</v>
      </c>
      <c r="Q124" s="208">
        <v>0</v>
      </c>
      <c r="R124" s="208">
        <v>0</v>
      </c>
      <c r="S124" s="208">
        <v>0</v>
      </c>
      <c r="T124" s="208">
        <v>0</v>
      </c>
      <c r="U124" s="208">
        <v>0</v>
      </c>
      <c r="V124" s="208">
        <v>0</v>
      </c>
      <c r="W124" s="208">
        <v>0</v>
      </c>
      <c r="X124" s="208">
        <v>0</v>
      </c>
      <c r="Y124" s="208">
        <v>0</v>
      </c>
      <c r="Z124" s="208">
        <v>0</v>
      </c>
      <c r="AA124" s="208">
        <v>0</v>
      </c>
      <c r="AB124" s="208">
        <v>0</v>
      </c>
      <c r="AC124" s="208">
        <v>0</v>
      </c>
      <c r="AD124" s="208">
        <v>0</v>
      </c>
      <c r="AE124" s="208">
        <v>0</v>
      </c>
      <c r="AF124" s="208">
        <v>0</v>
      </c>
      <c r="AG124" s="208">
        <v>0</v>
      </c>
      <c r="AH124" s="208">
        <v>0</v>
      </c>
      <c r="AI124" s="208">
        <v>0</v>
      </c>
      <c r="AJ124" s="208">
        <v>0</v>
      </c>
      <c r="AK124" s="208">
        <v>0</v>
      </c>
      <c r="AL124" s="208">
        <v>0</v>
      </c>
      <c r="AM124" s="208">
        <v>0</v>
      </c>
      <c r="AN124" s="208">
        <v>0</v>
      </c>
      <c r="AO124" s="208">
        <v>0</v>
      </c>
      <c r="AP124" s="208">
        <v>0</v>
      </c>
      <c r="AQ124" s="208">
        <v>0</v>
      </c>
      <c r="AR124" s="208">
        <v>0</v>
      </c>
      <c r="AS124" s="208">
        <v>0</v>
      </c>
      <c r="AT124" s="208">
        <v>0</v>
      </c>
      <c r="AU124" s="208">
        <v>0</v>
      </c>
      <c r="AV124" s="208">
        <v>0</v>
      </c>
      <c r="AW124" s="208">
        <v>0</v>
      </c>
      <c r="AX124" s="208">
        <v>0</v>
      </c>
      <c r="AY124" s="208">
        <v>0</v>
      </c>
      <c r="AZ124" s="208">
        <v>0</v>
      </c>
      <c r="BA124" s="208">
        <v>0</v>
      </c>
      <c r="BB124" s="208">
        <v>0</v>
      </c>
      <c r="BC124" s="208">
        <v>0</v>
      </c>
      <c r="BD124" s="208">
        <v>0</v>
      </c>
      <c r="BE124" s="208">
        <v>0</v>
      </c>
      <c r="BF124" s="208">
        <v>0</v>
      </c>
      <c r="BG124" s="208">
        <v>0</v>
      </c>
      <c r="BH124" s="208">
        <v>0</v>
      </c>
      <c r="BI124" s="208">
        <v>0</v>
      </c>
      <c r="BJ124" s="208">
        <v>0</v>
      </c>
      <c r="BK124" s="208">
        <v>0</v>
      </c>
      <c r="BL124" s="208">
        <v>0</v>
      </c>
      <c r="BM124" s="208">
        <v>0</v>
      </c>
      <c r="BN124" s="208">
        <v>0</v>
      </c>
      <c r="BO124" s="208">
        <v>4112826.6473928266</v>
      </c>
      <c r="BP124" s="208">
        <v>2313464.9891584646</v>
      </c>
      <c r="BQ124" s="208">
        <v>0</v>
      </c>
      <c r="BR124" s="208">
        <v>245843</v>
      </c>
      <c r="BS124" s="208">
        <v>138287</v>
      </c>
      <c r="BT124" s="208">
        <v>0</v>
      </c>
      <c r="BU124" s="208">
        <v>3935670</v>
      </c>
      <c r="BV124" s="208">
        <v>2213815</v>
      </c>
      <c r="BW124" s="208">
        <v>0</v>
      </c>
      <c r="BX124" s="208">
        <v>423000</v>
      </c>
      <c r="BY124" s="208">
        <v>237937</v>
      </c>
      <c r="BZ124" s="208">
        <v>0</v>
      </c>
      <c r="CA124" s="208">
        <v>11792.615413333333</v>
      </c>
      <c r="CB124" s="208">
        <v>6633.3461699999989</v>
      </c>
      <c r="CC124" s="208">
        <v>0</v>
      </c>
      <c r="CD124" s="208">
        <v>0</v>
      </c>
      <c r="CE124" s="208">
        <v>0</v>
      </c>
      <c r="CF124" s="208">
        <v>0</v>
      </c>
      <c r="CG124" s="208">
        <v>11793</v>
      </c>
      <c r="CH124" s="208">
        <v>6633</v>
      </c>
      <c r="CI124" s="208">
        <v>0</v>
      </c>
      <c r="CJ124" s="208">
        <v>8824.9066666666658</v>
      </c>
      <c r="CK124" s="208">
        <v>4964.0099999999993</v>
      </c>
      <c r="CL124" s="208">
        <v>0</v>
      </c>
      <c r="CM124" s="208">
        <v>0</v>
      </c>
      <c r="CN124" s="208">
        <v>0</v>
      </c>
      <c r="CO124" s="208">
        <v>0</v>
      </c>
      <c r="CP124" s="208">
        <v>-6051.0840000000007</v>
      </c>
      <c r="CQ124" s="208">
        <v>-3403.7347500000001</v>
      </c>
      <c r="CR124" s="208">
        <v>0</v>
      </c>
      <c r="CS124" s="208">
        <v>0</v>
      </c>
      <c r="CT124" s="208">
        <v>0</v>
      </c>
      <c r="CU124" s="208">
        <v>0</v>
      </c>
      <c r="CV124" s="208">
        <v>0</v>
      </c>
      <c r="CW124" s="208">
        <v>0</v>
      </c>
      <c r="CX124" s="208">
        <v>0</v>
      </c>
      <c r="CY124" s="208">
        <v>0</v>
      </c>
      <c r="CZ124" s="208">
        <v>0</v>
      </c>
      <c r="DA124" s="208">
        <v>0</v>
      </c>
      <c r="DB124" s="208">
        <v>0</v>
      </c>
      <c r="DC124" s="208">
        <v>0</v>
      </c>
      <c r="DD124" s="208">
        <v>0</v>
      </c>
      <c r="DE124" s="208">
        <v>0</v>
      </c>
      <c r="DF124" s="208">
        <v>0</v>
      </c>
      <c r="DG124" s="208">
        <v>0</v>
      </c>
      <c r="DH124" s="208">
        <v>0</v>
      </c>
      <c r="DI124" s="208">
        <v>0</v>
      </c>
      <c r="DJ124" s="208">
        <v>0</v>
      </c>
      <c r="DK124" s="208">
        <v>0</v>
      </c>
      <c r="DL124" s="208">
        <v>0</v>
      </c>
      <c r="DM124" s="208">
        <v>0</v>
      </c>
      <c r="DN124" s="208">
        <v>0</v>
      </c>
      <c r="DO124" s="208">
        <v>0</v>
      </c>
      <c r="DP124" s="208">
        <v>0</v>
      </c>
      <c r="DQ124" s="208">
        <v>0</v>
      </c>
      <c r="DR124" s="208">
        <v>0</v>
      </c>
      <c r="DS124" s="208">
        <v>0</v>
      </c>
      <c r="DT124" s="208">
        <v>0</v>
      </c>
      <c r="DU124" s="208">
        <v>0</v>
      </c>
      <c r="DV124" s="208">
        <v>0</v>
      </c>
      <c r="DW124" s="208">
        <v>40632.541333333327</v>
      </c>
      <c r="DX124" s="208">
        <v>22855.804499999995</v>
      </c>
      <c r="DY124" s="208">
        <v>0</v>
      </c>
      <c r="DZ124" s="208">
        <v>36138</v>
      </c>
      <c r="EA124" s="208">
        <v>20327</v>
      </c>
      <c r="EB124" s="208">
        <v>0</v>
      </c>
      <c r="EC124" s="208">
        <v>4495</v>
      </c>
      <c r="ED124" s="208">
        <v>2529</v>
      </c>
      <c r="EE124" s="208">
        <v>0</v>
      </c>
      <c r="EF124" s="208">
        <v>371586.83600000001</v>
      </c>
      <c r="EG124" s="208">
        <v>209017.59525000001</v>
      </c>
      <c r="EH124" s="208">
        <v>0</v>
      </c>
      <c r="EI124" s="208">
        <v>-8050.4359999999997</v>
      </c>
      <c r="EJ124" s="208">
        <v>-4528.3702499999999</v>
      </c>
      <c r="EK124" s="208">
        <v>0</v>
      </c>
      <c r="EL124" s="208">
        <v>20766</v>
      </c>
      <c r="EM124" s="208">
        <v>11681</v>
      </c>
      <c r="EN124" s="208">
        <v>0</v>
      </c>
      <c r="EO124" s="208">
        <v>342770</v>
      </c>
      <c r="EP124" s="208">
        <v>192808</v>
      </c>
      <c r="EQ124" s="208">
        <v>0</v>
      </c>
      <c r="ER124" s="208">
        <v>17676</v>
      </c>
      <c r="ES124" s="208">
        <v>9942.75</v>
      </c>
      <c r="ET124" s="208">
        <v>0</v>
      </c>
      <c r="EU124" s="208">
        <v>26605</v>
      </c>
      <c r="EV124" s="208">
        <v>14965</v>
      </c>
      <c r="EW124" s="208">
        <v>0</v>
      </c>
      <c r="EX124" s="208">
        <v>-8929</v>
      </c>
      <c r="EY124" s="208">
        <v>-5022</v>
      </c>
      <c r="EZ124" s="208">
        <v>0</v>
      </c>
      <c r="FA124" s="208">
        <v>0</v>
      </c>
      <c r="FB124" s="208">
        <v>0</v>
      </c>
      <c r="FC124" s="208">
        <v>0</v>
      </c>
      <c r="FD124" s="208">
        <v>0</v>
      </c>
      <c r="FE124" s="208">
        <v>0</v>
      </c>
      <c r="FF124" s="208">
        <v>0</v>
      </c>
      <c r="FG124" s="208">
        <v>0</v>
      </c>
      <c r="FH124" s="208">
        <v>0</v>
      </c>
      <c r="FI124" s="208">
        <v>0</v>
      </c>
      <c r="FJ124" s="208">
        <v>1105802.544</v>
      </c>
      <c r="FK124" s="208">
        <v>622013.93099999987</v>
      </c>
      <c r="FL124" s="208">
        <v>0</v>
      </c>
      <c r="FM124" s="208">
        <v>1067364</v>
      </c>
      <c r="FN124" s="208">
        <v>600392</v>
      </c>
      <c r="FO124" s="208">
        <v>0</v>
      </c>
      <c r="FP124" s="208">
        <v>38439</v>
      </c>
      <c r="FQ124" s="208">
        <v>21622</v>
      </c>
      <c r="FR124" s="208">
        <v>0</v>
      </c>
      <c r="FS124" s="208">
        <v>0</v>
      </c>
      <c r="FT124" s="208">
        <v>0</v>
      </c>
      <c r="FU124" s="208">
        <v>0</v>
      </c>
      <c r="FV124" s="208">
        <v>0</v>
      </c>
      <c r="FW124" s="208">
        <v>0</v>
      </c>
      <c r="FX124" s="208">
        <v>0</v>
      </c>
      <c r="FY124" s="208">
        <v>0</v>
      </c>
      <c r="FZ124" s="208">
        <v>0</v>
      </c>
      <c r="GA124" s="208">
        <v>0</v>
      </c>
      <c r="GB124" s="208">
        <v>5900886</v>
      </c>
      <c r="GC124" s="208">
        <v>3319248</v>
      </c>
      <c r="GD124" s="208">
        <v>0</v>
      </c>
      <c r="GE124" s="664">
        <v>0</v>
      </c>
      <c r="GF124" s="664">
        <v>0.64</v>
      </c>
      <c r="GG124" s="664">
        <v>0.36</v>
      </c>
      <c r="GH124" s="664">
        <v>0</v>
      </c>
      <c r="GI124" s="187" t="s">
        <v>1055</v>
      </c>
    </row>
    <row r="125" spans="2:191" s="187" customFormat="1" x14ac:dyDescent="0.2">
      <c r="B125" s="429" t="s">
        <v>327</v>
      </c>
      <c r="C125" s="429" t="s">
        <v>326</v>
      </c>
      <c r="D125" s="208">
        <v>-643017</v>
      </c>
      <c r="E125" s="208">
        <v>5899</v>
      </c>
      <c r="F125" s="208">
        <v>-637118</v>
      </c>
      <c r="G125" s="208">
        <v>-566951</v>
      </c>
      <c r="H125" s="208">
        <v>1993</v>
      </c>
      <c r="I125" s="208">
        <v>-564958</v>
      </c>
      <c r="J125" s="208">
        <v>-76066</v>
      </c>
      <c r="K125" s="208">
        <v>3906</v>
      </c>
      <c r="L125" s="208">
        <v>-72160</v>
      </c>
      <c r="M125" s="208">
        <v>116795</v>
      </c>
      <c r="N125" s="208">
        <v>116795</v>
      </c>
      <c r="O125" s="208">
        <v>0</v>
      </c>
      <c r="P125" s="208">
        <v>875098</v>
      </c>
      <c r="Q125" s="208">
        <v>775284</v>
      </c>
      <c r="R125" s="208">
        <v>99814</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c r="AJ125" s="208">
        <v>0</v>
      </c>
      <c r="AK125" s="208">
        <v>0</v>
      </c>
      <c r="AL125" s="208">
        <v>0</v>
      </c>
      <c r="AM125" s="208">
        <v>0</v>
      </c>
      <c r="AN125" s="208">
        <v>0</v>
      </c>
      <c r="AO125" s="208">
        <v>0</v>
      </c>
      <c r="AP125" s="208">
        <v>0</v>
      </c>
      <c r="AQ125" s="208">
        <v>0</v>
      </c>
      <c r="AR125" s="208">
        <v>0</v>
      </c>
      <c r="AS125" s="208">
        <v>0</v>
      </c>
      <c r="AT125" s="208">
        <v>0</v>
      </c>
      <c r="AU125" s="208">
        <v>0</v>
      </c>
      <c r="AV125" s="208">
        <v>0</v>
      </c>
      <c r="AW125" s="208">
        <v>0</v>
      </c>
      <c r="AX125" s="208">
        <v>0</v>
      </c>
      <c r="AY125" s="208">
        <v>0</v>
      </c>
      <c r="AZ125" s="208">
        <v>0</v>
      </c>
      <c r="BA125" s="208">
        <v>0</v>
      </c>
      <c r="BB125" s="208">
        <v>0</v>
      </c>
      <c r="BC125" s="208">
        <v>0</v>
      </c>
      <c r="BD125" s="208">
        <v>0</v>
      </c>
      <c r="BE125" s="208">
        <v>0</v>
      </c>
      <c r="BF125" s="208">
        <v>0</v>
      </c>
      <c r="BG125" s="208">
        <v>0</v>
      </c>
      <c r="BH125" s="208">
        <v>0</v>
      </c>
      <c r="BI125" s="208">
        <v>0</v>
      </c>
      <c r="BJ125" s="208">
        <v>0</v>
      </c>
      <c r="BK125" s="208">
        <v>0</v>
      </c>
      <c r="BL125" s="208">
        <v>0</v>
      </c>
      <c r="BM125" s="208">
        <v>0</v>
      </c>
      <c r="BN125" s="208">
        <v>0</v>
      </c>
      <c r="BO125" s="208">
        <v>630176.24767541676</v>
      </c>
      <c r="BP125" s="208">
        <v>123925.496778375</v>
      </c>
      <c r="BQ125" s="208">
        <v>13769.499642041666</v>
      </c>
      <c r="BR125" s="208">
        <v>85882</v>
      </c>
      <c r="BS125" s="208">
        <v>16099</v>
      </c>
      <c r="BT125" s="208">
        <v>1789</v>
      </c>
      <c r="BU125" s="208">
        <v>584454</v>
      </c>
      <c r="BV125" s="208">
        <v>115943</v>
      </c>
      <c r="BW125" s="208">
        <v>12883</v>
      </c>
      <c r="BX125" s="208">
        <v>131604</v>
      </c>
      <c r="BY125" s="208">
        <v>24081</v>
      </c>
      <c r="BZ125" s="208">
        <v>2675</v>
      </c>
      <c r="CA125" s="208">
        <v>0</v>
      </c>
      <c r="CB125" s="208">
        <v>0</v>
      </c>
      <c r="CC125" s="208">
        <v>0</v>
      </c>
      <c r="CD125" s="208">
        <v>0</v>
      </c>
      <c r="CE125" s="208">
        <v>0</v>
      </c>
      <c r="CF125" s="208">
        <v>0</v>
      </c>
      <c r="CG125" s="208">
        <v>0</v>
      </c>
      <c r="CH125" s="208">
        <v>0</v>
      </c>
      <c r="CI125" s="208">
        <v>0</v>
      </c>
      <c r="CJ125" s="208">
        <v>0</v>
      </c>
      <c r="CK125" s="208">
        <v>0</v>
      </c>
      <c r="CL125" s="208">
        <v>0</v>
      </c>
      <c r="CM125" s="208">
        <v>0</v>
      </c>
      <c r="CN125" s="208">
        <v>0</v>
      </c>
      <c r="CO125" s="208">
        <v>0</v>
      </c>
      <c r="CP125" s="208">
        <v>-613.75</v>
      </c>
      <c r="CQ125" s="208">
        <v>-138.09375</v>
      </c>
      <c r="CR125" s="208">
        <v>-15.34375</v>
      </c>
      <c r="CS125" s="208">
        <v>0</v>
      </c>
      <c r="CT125" s="208">
        <v>0</v>
      </c>
      <c r="CU125" s="208">
        <v>0</v>
      </c>
      <c r="CV125" s="208">
        <v>0</v>
      </c>
      <c r="CW125" s="208">
        <v>0</v>
      </c>
      <c r="CX125" s="208">
        <v>0</v>
      </c>
      <c r="CY125" s="208">
        <v>0</v>
      </c>
      <c r="CZ125" s="208">
        <v>0</v>
      </c>
      <c r="DA125" s="208">
        <v>0</v>
      </c>
      <c r="DB125" s="208">
        <v>0</v>
      </c>
      <c r="DC125" s="208">
        <v>0</v>
      </c>
      <c r="DD125" s="208">
        <v>0</v>
      </c>
      <c r="DE125" s="208">
        <v>0</v>
      </c>
      <c r="DF125" s="208">
        <v>0</v>
      </c>
      <c r="DG125" s="208">
        <v>0</v>
      </c>
      <c r="DH125" s="208">
        <v>0</v>
      </c>
      <c r="DI125" s="208">
        <v>0</v>
      </c>
      <c r="DJ125" s="208">
        <v>0</v>
      </c>
      <c r="DK125" s="208">
        <v>0</v>
      </c>
      <c r="DL125" s="208">
        <v>0</v>
      </c>
      <c r="DM125" s="208">
        <v>0</v>
      </c>
      <c r="DN125" s="208">
        <v>0</v>
      </c>
      <c r="DO125" s="208">
        <v>0</v>
      </c>
      <c r="DP125" s="208">
        <v>0</v>
      </c>
      <c r="DQ125" s="208">
        <v>0</v>
      </c>
      <c r="DR125" s="208">
        <v>0</v>
      </c>
      <c r="DS125" s="208">
        <v>0</v>
      </c>
      <c r="DT125" s="208">
        <v>0</v>
      </c>
      <c r="DU125" s="208">
        <v>0</v>
      </c>
      <c r="DV125" s="208">
        <v>0</v>
      </c>
      <c r="DW125" s="208">
        <v>3867.4433333333336</v>
      </c>
      <c r="DX125" s="208">
        <v>556.241625</v>
      </c>
      <c r="DY125" s="208">
        <v>61.804625000000001</v>
      </c>
      <c r="DZ125" s="208">
        <v>0</v>
      </c>
      <c r="EA125" s="208">
        <v>0</v>
      </c>
      <c r="EB125" s="208">
        <v>0</v>
      </c>
      <c r="EC125" s="208">
        <v>3867</v>
      </c>
      <c r="ED125" s="208">
        <v>556</v>
      </c>
      <c r="EE125" s="208">
        <v>62</v>
      </c>
      <c r="EF125" s="208">
        <v>21071.469583333332</v>
      </c>
      <c r="EG125" s="208">
        <v>3697.3220624999994</v>
      </c>
      <c r="EH125" s="208">
        <v>410.81356249999999</v>
      </c>
      <c r="EI125" s="208">
        <v>-170.21333333333337</v>
      </c>
      <c r="EJ125" s="208">
        <v>-38.298000000000002</v>
      </c>
      <c r="EK125" s="208">
        <v>-4.2553333333333336</v>
      </c>
      <c r="EL125" s="208">
        <v>31037</v>
      </c>
      <c r="EM125" s="208">
        <v>5520</v>
      </c>
      <c r="EN125" s="208">
        <v>613</v>
      </c>
      <c r="EO125" s="208">
        <v>-10136</v>
      </c>
      <c r="EP125" s="208">
        <v>-1861</v>
      </c>
      <c r="EQ125" s="208">
        <v>-206</v>
      </c>
      <c r="ER125" s="208">
        <v>5477.1050000000005</v>
      </c>
      <c r="ES125" s="208">
        <v>1232.3486250000001</v>
      </c>
      <c r="ET125" s="208">
        <v>136.92762500000001</v>
      </c>
      <c r="EU125" s="208">
        <v>4092</v>
      </c>
      <c r="EV125" s="208">
        <v>921</v>
      </c>
      <c r="EW125" s="208">
        <v>102</v>
      </c>
      <c r="EX125" s="208">
        <v>1385</v>
      </c>
      <c r="EY125" s="208">
        <v>311</v>
      </c>
      <c r="EZ125" s="208">
        <v>35</v>
      </c>
      <c r="FA125" s="208">
        <v>0</v>
      </c>
      <c r="FB125" s="208">
        <v>0</v>
      </c>
      <c r="FC125" s="208">
        <v>0</v>
      </c>
      <c r="FD125" s="208">
        <v>0</v>
      </c>
      <c r="FE125" s="208">
        <v>0</v>
      </c>
      <c r="FF125" s="208">
        <v>0</v>
      </c>
      <c r="FG125" s="208">
        <v>0</v>
      </c>
      <c r="FH125" s="208">
        <v>0</v>
      </c>
      <c r="FI125" s="208">
        <v>0</v>
      </c>
      <c r="FJ125" s="208">
        <v>438283.04666666669</v>
      </c>
      <c r="FK125" s="208">
        <v>94101.461437499995</v>
      </c>
      <c r="FL125" s="208">
        <v>10455.7179375</v>
      </c>
      <c r="FM125" s="208">
        <v>447888</v>
      </c>
      <c r="FN125" s="208">
        <v>96777</v>
      </c>
      <c r="FO125" s="208">
        <v>10753</v>
      </c>
      <c r="FP125" s="208">
        <v>-9605</v>
      </c>
      <c r="FQ125" s="208">
        <v>-2676</v>
      </c>
      <c r="FR125" s="208">
        <v>-297</v>
      </c>
      <c r="FS125" s="208">
        <v>0</v>
      </c>
      <c r="FT125" s="208">
        <v>0</v>
      </c>
      <c r="FU125" s="208">
        <v>0</v>
      </c>
      <c r="FV125" s="208">
        <v>0</v>
      </c>
      <c r="FW125" s="208">
        <v>0</v>
      </c>
      <c r="FX125" s="208">
        <v>0</v>
      </c>
      <c r="FY125" s="208">
        <v>0</v>
      </c>
      <c r="FZ125" s="208">
        <v>0</v>
      </c>
      <c r="GA125" s="208">
        <v>0</v>
      </c>
      <c r="GB125" s="208">
        <v>1183972</v>
      </c>
      <c r="GC125" s="208">
        <v>239434</v>
      </c>
      <c r="GD125" s="208">
        <v>26605</v>
      </c>
      <c r="GE125" s="664">
        <v>0.5</v>
      </c>
      <c r="GF125" s="664">
        <v>0.4</v>
      </c>
      <c r="GG125" s="664">
        <v>0.09</v>
      </c>
      <c r="GH125" s="664">
        <v>0.01</v>
      </c>
      <c r="GI125" s="187" t="s">
        <v>1054</v>
      </c>
    </row>
    <row r="126" spans="2:191" s="187" customFormat="1" x14ac:dyDescent="0.2">
      <c r="B126" s="429" t="s">
        <v>329</v>
      </c>
      <c r="C126" s="429" t="s">
        <v>328</v>
      </c>
      <c r="D126" s="208">
        <v>387790</v>
      </c>
      <c r="E126" s="208">
        <v>0</v>
      </c>
      <c r="F126" s="208">
        <v>387790</v>
      </c>
      <c r="G126" s="208">
        <v>144698</v>
      </c>
      <c r="H126" s="208">
        <v>0</v>
      </c>
      <c r="I126" s="208">
        <v>144698</v>
      </c>
      <c r="J126" s="208">
        <v>243092</v>
      </c>
      <c r="K126" s="208">
        <v>0</v>
      </c>
      <c r="L126" s="208">
        <v>243092</v>
      </c>
      <c r="M126" s="208">
        <v>286834</v>
      </c>
      <c r="N126" s="208">
        <v>286834</v>
      </c>
      <c r="O126" s="208">
        <v>0</v>
      </c>
      <c r="P126" s="208">
        <v>0</v>
      </c>
      <c r="Q126" s="208">
        <v>0</v>
      </c>
      <c r="R126" s="208">
        <v>0</v>
      </c>
      <c r="S126" s="208">
        <v>0</v>
      </c>
      <c r="T126" s="208">
        <v>237148</v>
      </c>
      <c r="U126" s="208">
        <v>0</v>
      </c>
      <c r="V126" s="208">
        <v>0</v>
      </c>
      <c r="W126" s="208">
        <v>0</v>
      </c>
      <c r="X126" s="208">
        <v>237148</v>
      </c>
      <c r="Y126" s="208">
        <v>0</v>
      </c>
      <c r="Z126" s="208">
        <v>0</v>
      </c>
      <c r="AA126" s="208">
        <v>0</v>
      </c>
      <c r="AB126" s="208">
        <v>0</v>
      </c>
      <c r="AC126" s="208">
        <v>0</v>
      </c>
      <c r="AD126" s="208">
        <v>0</v>
      </c>
      <c r="AE126" s="208">
        <v>0</v>
      </c>
      <c r="AF126" s="208">
        <v>0</v>
      </c>
      <c r="AG126" s="208">
        <v>0</v>
      </c>
      <c r="AH126" s="208">
        <v>0</v>
      </c>
      <c r="AI126" s="208">
        <v>0</v>
      </c>
      <c r="AJ126" s="208">
        <v>0</v>
      </c>
      <c r="AK126" s="208">
        <v>0</v>
      </c>
      <c r="AL126" s="208">
        <v>0</v>
      </c>
      <c r="AM126" s="208">
        <v>0</v>
      </c>
      <c r="AN126" s="208">
        <v>0</v>
      </c>
      <c r="AO126" s="208">
        <v>0</v>
      </c>
      <c r="AP126" s="208">
        <v>0</v>
      </c>
      <c r="AQ126" s="208">
        <v>0</v>
      </c>
      <c r="AR126" s="208">
        <v>0</v>
      </c>
      <c r="AS126" s="208">
        <v>0</v>
      </c>
      <c r="AT126" s="208">
        <v>0</v>
      </c>
      <c r="AU126" s="208">
        <v>0</v>
      </c>
      <c r="AV126" s="208">
        <v>0</v>
      </c>
      <c r="AW126" s="208">
        <v>0</v>
      </c>
      <c r="AX126" s="208">
        <v>0</v>
      </c>
      <c r="AY126" s="208">
        <v>0</v>
      </c>
      <c r="AZ126" s="208">
        <v>0</v>
      </c>
      <c r="BA126" s="208">
        <v>0</v>
      </c>
      <c r="BB126" s="208">
        <v>0</v>
      </c>
      <c r="BC126" s="208">
        <v>0</v>
      </c>
      <c r="BD126" s="208">
        <v>0</v>
      </c>
      <c r="BE126" s="208">
        <v>0</v>
      </c>
      <c r="BF126" s="208">
        <v>0</v>
      </c>
      <c r="BG126" s="208">
        <v>0</v>
      </c>
      <c r="BH126" s="208">
        <v>0</v>
      </c>
      <c r="BI126" s="208">
        <v>0</v>
      </c>
      <c r="BJ126" s="208">
        <v>0</v>
      </c>
      <c r="BK126" s="208">
        <v>0</v>
      </c>
      <c r="BL126" s="208">
        <v>0</v>
      </c>
      <c r="BM126" s="208">
        <v>0</v>
      </c>
      <c r="BN126" s="208">
        <v>0</v>
      </c>
      <c r="BO126" s="208">
        <v>4932014.9743650006</v>
      </c>
      <c r="BP126" s="208">
        <v>493201.49743649998</v>
      </c>
      <c r="BQ126" s="208">
        <v>54800.166381833333</v>
      </c>
      <c r="BR126" s="208">
        <v>331074</v>
      </c>
      <c r="BS126" s="208">
        <v>33107</v>
      </c>
      <c r="BT126" s="208">
        <v>3679</v>
      </c>
      <c r="BU126" s="208">
        <v>4766385</v>
      </c>
      <c r="BV126" s="208">
        <v>476638</v>
      </c>
      <c r="BW126" s="208">
        <v>52960</v>
      </c>
      <c r="BX126" s="208">
        <v>496704</v>
      </c>
      <c r="BY126" s="208">
        <v>49670</v>
      </c>
      <c r="BZ126" s="208">
        <v>5519</v>
      </c>
      <c r="CA126" s="208">
        <v>12412.786875</v>
      </c>
      <c r="CB126" s="208">
        <v>1241.2786874999999</v>
      </c>
      <c r="CC126" s="208">
        <v>137.91985416666668</v>
      </c>
      <c r="CD126" s="208">
        <v>0</v>
      </c>
      <c r="CE126" s="208">
        <v>0</v>
      </c>
      <c r="CF126" s="208">
        <v>0</v>
      </c>
      <c r="CG126" s="208">
        <v>12413</v>
      </c>
      <c r="CH126" s="208">
        <v>1241</v>
      </c>
      <c r="CI126" s="208">
        <v>138</v>
      </c>
      <c r="CJ126" s="208">
        <v>-23826.695625</v>
      </c>
      <c r="CK126" s="208">
        <v>-2382.6695624999998</v>
      </c>
      <c r="CL126" s="208">
        <v>-264.7410625</v>
      </c>
      <c r="CM126" s="208">
        <v>1238.2406250000001</v>
      </c>
      <c r="CN126" s="208">
        <v>123.8240625</v>
      </c>
      <c r="CO126" s="208">
        <v>13.758229166666668</v>
      </c>
      <c r="CP126" s="208">
        <v>57.078749999999999</v>
      </c>
      <c r="CQ126" s="208">
        <v>5.7078749999999996</v>
      </c>
      <c r="CR126" s="208">
        <v>0.63420833333333337</v>
      </c>
      <c r="CS126" s="208">
        <v>0</v>
      </c>
      <c r="CT126" s="208">
        <v>0</v>
      </c>
      <c r="CU126" s="208">
        <v>0</v>
      </c>
      <c r="CV126" s="208">
        <v>0</v>
      </c>
      <c r="CW126" s="208">
        <v>0</v>
      </c>
      <c r="CX126" s="208">
        <v>0</v>
      </c>
      <c r="CY126" s="208">
        <v>0</v>
      </c>
      <c r="CZ126" s="208">
        <v>0</v>
      </c>
      <c r="DA126" s="208">
        <v>0</v>
      </c>
      <c r="DB126" s="208">
        <v>0</v>
      </c>
      <c r="DC126" s="208">
        <v>0</v>
      </c>
      <c r="DD126" s="208">
        <v>0</v>
      </c>
      <c r="DE126" s="208">
        <v>49424.673750000002</v>
      </c>
      <c r="DF126" s="208">
        <v>4942.4673749999993</v>
      </c>
      <c r="DG126" s="208">
        <v>549.16304166666669</v>
      </c>
      <c r="DH126" s="208">
        <v>44824</v>
      </c>
      <c r="DI126" s="208">
        <v>4482</v>
      </c>
      <c r="DJ126" s="208">
        <v>498</v>
      </c>
      <c r="DK126" s="208">
        <v>4601</v>
      </c>
      <c r="DL126" s="208">
        <v>460</v>
      </c>
      <c r="DM126" s="208">
        <v>51</v>
      </c>
      <c r="DN126" s="208">
        <v>0</v>
      </c>
      <c r="DO126" s="208">
        <v>0</v>
      </c>
      <c r="DP126" s="208">
        <v>0</v>
      </c>
      <c r="DQ126" s="208">
        <v>0</v>
      </c>
      <c r="DR126" s="208">
        <v>0</v>
      </c>
      <c r="DS126" s="208">
        <v>0</v>
      </c>
      <c r="DT126" s="208">
        <v>0</v>
      </c>
      <c r="DU126" s="208">
        <v>0</v>
      </c>
      <c r="DV126" s="208">
        <v>0</v>
      </c>
      <c r="DW126" s="208">
        <v>38917.580625000002</v>
      </c>
      <c r="DX126" s="208">
        <v>3891.7580624999996</v>
      </c>
      <c r="DY126" s="208">
        <v>432.41756249999997</v>
      </c>
      <c r="DZ126" s="208">
        <v>20092</v>
      </c>
      <c r="EA126" s="208">
        <v>2009</v>
      </c>
      <c r="EB126" s="208">
        <v>223</v>
      </c>
      <c r="EC126" s="208">
        <v>18826</v>
      </c>
      <c r="ED126" s="208">
        <v>1883</v>
      </c>
      <c r="EE126" s="208">
        <v>209</v>
      </c>
      <c r="EF126" s="208">
        <v>163502.079375</v>
      </c>
      <c r="EG126" s="208">
        <v>16350.207937499999</v>
      </c>
      <c r="EH126" s="208">
        <v>1816.6897708333333</v>
      </c>
      <c r="EI126" s="208">
        <v>-6113.8706250000005</v>
      </c>
      <c r="EJ126" s="208">
        <v>-611.38706250000007</v>
      </c>
      <c r="EK126" s="208">
        <v>-67.931895833333343</v>
      </c>
      <c r="EL126" s="208">
        <v>176175</v>
      </c>
      <c r="EM126" s="208">
        <v>17618</v>
      </c>
      <c r="EN126" s="208">
        <v>1958</v>
      </c>
      <c r="EO126" s="208">
        <v>-18787</v>
      </c>
      <c r="EP126" s="208">
        <v>-1879</v>
      </c>
      <c r="EQ126" s="208">
        <v>-209</v>
      </c>
      <c r="ER126" s="208">
        <v>82395.016875000001</v>
      </c>
      <c r="ES126" s="208">
        <v>8239.5016875000001</v>
      </c>
      <c r="ET126" s="208">
        <v>915.50018750000015</v>
      </c>
      <c r="EU126" s="208">
        <v>92063</v>
      </c>
      <c r="EV126" s="208">
        <v>9206</v>
      </c>
      <c r="EW126" s="208">
        <v>1023</v>
      </c>
      <c r="EX126" s="208">
        <v>-9668</v>
      </c>
      <c r="EY126" s="208">
        <v>-966</v>
      </c>
      <c r="EZ126" s="208">
        <v>-107</v>
      </c>
      <c r="FA126" s="208">
        <v>0</v>
      </c>
      <c r="FB126" s="208">
        <v>0</v>
      </c>
      <c r="FC126" s="208">
        <v>0</v>
      </c>
      <c r="FD126" s="208">
        <v>0</v>
      </c>
      <c r="FE126" s="208">
        <v>0</v>
      </c>
      <c r="FF126" s="208">
        <v>0</v>
      </c>
      <c r="FG126" s="208">
        <v>0</v>
      </c>
      <c r="FH126" s="208">
        <v>0</v>
      </c>
      <c r="FI126" s="208">
        <v>0</v>
      </c>
      <c r="FJ126" s="208">
        <v>1259701.306875</v>
      </c>
      <c r="FK126" s="208">
        <v>131404.77235416666</v>
      </c>
      <c r="FL126" s="208">
        <v>13996.6811875</v>
      </c>
      <c r="FM126" s="208">
        <v>1270607</v>
      </c>
      <c r="FN126" s="208">
        <v>127061</v>
      </c>
      <c r="FO126" s="208">
        <v>14118</v>
      </c>
      <c r="FP126" s="208">
        <v>-10906</v>
      </c>
      <c r="FQ126" s="208">
        <v>4344</v>
      </c>
      <c r="FR126" s="208">
        <v>-121</v>
      </c>
      <c r="FS126" s="208">
        <v>0</v>
      </c>
      <c r="FT126" s="208">
        <v>0</v>
      </c>
      <c r="FU126" s="208">
        <v>0</v>
      </c>
      <c r="FV126" s="208">
        <v>0</v>
      </c>
      <c r="FW126" s="208">
        <v>0</v>
      </c>
      <c r="FX126" s="208">
        <v>0</v>
      </c>
      <c r="FY126" s="208">
        <v>0</v>
      </c>
      <c r="FZ126" s="208">
        <v>0</v>
      </c>
      <c r="GA126" s="208">
        <v>0</v>
      </c>
      <c r="GB126" s="208">
        <v>6840797</v>
      </c>
      <c r="GC126" s="208">
        <v>689514</v>
      </c>
      <c r="GD126" s="208">
        <v>76010</v>
      </c>
      <c r="GE126" s="664">
        <v>0</v>
      </c>
      <c r="GF126" s="664">
        <v>0.9</v>
      </c>
      <c r="GG126" s="664">
        <v>0.09</v>
      </c>
      <c r="GH126" s="664">
        <v>0.01</v>
      </c>
      <c r="GI126" s="187" t="s">
        <v>1054</v>
      </c>
    </row>
    <row r="127" spans="2:191" s="187" customFormat="1" x14ac:dyDescent="0.2">
      <c r="B127" s="429" t="s">
        <v>331</v>
      </c>
      <c r="C127" s="429" t="s">
        <v>330</v>
      </c>
      <c r="D127" s="208">
        <v>1330831</v>
      </c>
      <c r="E127" s="208">
        <v>0</v>
      </c>
      <c r="F127" s="208">
        <v>1330831</v>
      </c>
      <c r="G127" s="208">
        <v>1465000</v>
      </c>
      <c r="H127" s="208">
        <v>0</v>
      </c>
      <c r="I127" s="208">
        <v>1465000</v>
      </c>
      <c r="J127" s="208">
        <v>-134169</v>
      </c>
      <c r="K127" s="208">
        <v>0</v>
      </c>
      <c r="L127" s="208">
        <v>-134169</v>
      </c>
      <c r="M127" s="208">
        <v>244486</v>
      </c>
      <c r="N127" s="208">
        <v>244486</v>
      </c>
      <c r="O127" s="208">
        <v>0</v>
      </c>
      <c r="P127" s="208">
        <v>0</v>
      </c>
      <c r="Q127" s="208">
        <v>0</v>
      </c>
      <c r="R127" s="208">
        <v>0</v>
      </c>
      <c r="S127" s="208">
        <v>0</v>
      </c>
      <c r="T127" s="208">
        <v>0</v>
      </c>
      <c r="U127" s="208">
        <v>0</v>
      </c>
      <c r="V127" s="208">
        <v>0</v>
      </c>
      <c r="W127" s="208">
        <v>0</v>
      </c>
      <c r="X127" s="208">
        <v>0</v>
      </c>
      <c r="Y127" s="208">
        <v>0</v>
      </c>
      <c r="Z127" s="208">
        <v>0</v>
      </c>
      <c r="AA127" s="208">
        <v>0</v>
      </c>
      <c r="AB127" s="208">
        <v>0</v>
      </c>
      <c r="AC127" s="208">
        <v>0</v>
      </c>
      <c r="AD127" s="208">
        <v>0</v>
      </c>
      <c r="AE127" s="208">
        <v>0</v>
      </c>
      <c r="AF127" s="208">
        <v>0</v>
      </c>
      <c r="AG127" s="208">
        <v>0</v>
      </c>
      <c r="AH127" s="208">
        <v>0</v>
      </c>
      <c r="AI127" s="208">
        <v>0</v>
      </c>
      <c r="AJ127" s="208">
        <v>0</v>
      </c>
      <c r="AK127" s="208">
        <v>0</v>
      </c>
      <c r="AL127" s="208">
        <v>0</v>
      </c>
      <c r="AM127" s="208">
        <v>0</v>
      </c>
      <c r="AN127" s="208">
        <v>0</v>
      </c>
      <c r="AO127" s="208">
        <v>0</v>
      </c>
      <c r="AP127" s="208">
        <v>0</v>
      </c>
      <c r="AQ127" s="208">
        <v>0</v>
      </c>
      <c r="AR127" s="208">
        <v>0</v>
      </c>
      <c r="AS127" s="208">
        <v>0</v>
      </c>
      <c r="AT127" s="208">
        <v>0</v>
      </c>
      <c r="AU127" s="208">
        <v>0</v>
      </c>
      <c r="AV127" s="208">
        <v>0</v>
      </c>
      <c r="AW127" s="208">
        <v>0</v>
      </c>
      <c r="AX127" s="208">
        <v>0</v>
      </c>
      <c r="AY127" s="208">
        <v>0</v>
      </c>
      <c r="AZ127" s="208">
        <v>0</v>
      </c>
      <c r="BA127" s="208">
        <v>0</v>
      </c>
      <c r="BB127" s="208">
        <v>0</v>
      </c>
      <c r="BC127" s="208">
        <v>0</v>
      </c>
      <c r="BD127" s="208">
        <v>0</v>
      </c>
      <c r="BE127" s="208">
        <v>0</v>
      </c>
      <c r="BF127" s="208">
        <v>0</v>
      </c>
      <c r="BG127" s="208">
        <v>0</v>
      </c>
      <c r="BH127" s="208">
        <v>0</v>
      </c>
      <c r="BI127" s="208">
        <v>0</v>
      </c>
      <c r="BJ127" s="208">
        <v>0</v>
      </c>
      <c r="BK127" s="208">
        <v>0</v>
      </c>
      <c r="BL127" s="208">
        <v>0</v>
      </c>
      <c r="BM127" s="208">
        <v>0</v>
      </c>
      <c r="BN127" s="208">
        <v>0</v>
      </c>
      <c r="BO127" s="208">
        <v>2979480.335496</v>
      </c>
      <c r="BP127" s="208">
        <v>1675957.6887164998</v>
      </c>
      <c r="BQ127" s="208">
        <v>0</v>
      </c>
      <c r="BR127" s="208">
        <v>168612</v>
      </c>
      <c r="BS127" s="208">
        <v>94844</v>
      </c>
      <c r="BT127" s="208">
        <v>0</v>
      </c>
      <c r="BU127" s="208">
        <v>2648520</v>
      </c>
      <c r="BV127" s="208">
        <v>1489792</v>
      </c>
      <c r="BW127" s="208">
        <v>0</v>
      </c>
      <c r="BX127" s="208">
        <v>499572</v>
      </c>
      <c r="BY127" s="208">
        <v>281010</v>
      </c>
      <c r="BZ127" s="208">
        <v>0</v>
      </c>
      <c r="CA127" s="208">
        <v>12875.329333333333</v>
      </c>
      <c r="CB127" s="208">
        <v>7242.3727500000005</v>
      </c>
      <c r="CC127" s="208">
        <v>0</v>
      </c>
      <c r="CD127" s="208">
        <v>0</v>
      </c>
      <c r="CE127" s="208">
        <v>0</v>
      </c>
      <c r="CF127" s="208">
        <v>0</v>
      </c>
      <c r="CG127" s="208">
        <v>12875</v>
      </c>
      <c r="CH127" s="208">
        <v>7242</v>
      </c>
      <c r="CI127" s="208">
        <v>0</v>
      </c>
      <c r="CJ127" s="208">
        <v>0</v>
      </c>
      <c r="CK127" s="208">
        <v>0</v>
      </c>
      <c r="CL127" s="208">
        <v>0</v>
      </c>
      <c r="CM127" s="208">
        <v>0</v>
      </c>
      <c r="CN127" s="208">
        <v>0</v>
      </c>
      <c r="CO127" s="208">
        <v>0</v>
      </c>
      <c r="CP127" s="208">
        <v>-1381.3466666666666</v>
      </c>
      <c r="CQ127" s="208">
        <v>-777.00749999999994</v>
      </c>
      <c r="CR127" s="208">
        <v>0</v>
      </c>
      <c r="CS127" s="208">
        <v>0</v>
      </c>
      <c r="CT127" s="208">
        <v>0</v>
      </c>
      <c r="CU127" s="208">
        <v>0</v>
      </c>
      <c r="CV127" s="208">
        <v>0</v>
      </c>
      <c r="CW127" s="208">
        <v>0</v>
      </c>
      <c r="CX127" s="208">
        <v>0</v>
      </c>
      <c r="CY127" s="208">
        <v>0</v>
      </c>
      <c r="CZ127" s="208">
        <v>0</v>
      </c>
      <c r="DA127" s="208">
        <v>0</v>
      </c>
      <c r="DB127" s="208">
        <v>0</v>
      </c>
      <c r="DC127" s="208">
        <v>0</v>
      </c>
      <c r="DD127" s="208">
        <v>0</v>
      </c>
      <c r="DE127" s="208">
        <v>0</v>
      </c>
      <c r="DF127" s="208">
        <v>0</v>
      </c>
      <c r="DG127" s="208">
        <v>0</v>
      </c>
      <c r="DH127" s="208">
        <v>0</v>
      </c>
      <c r="DI127" s="208">
        <v>0</v>
      </c>
      <c r="DJ127" s="208">
        <v>0</v>
      </c>
      <c r="DK127" s="208">
        <v>0</v>
      </c>
      <c r="DL127" s="208">
        <v>0</v>
      </c>
      <c r="DM127" s="208">
        <v>0</v>
      </c>
      <c r="DN127" s="208">
        <v>0</v>
      </c>
      <c r="DO127" s="208">
        <v>0</v>
      </c>
      <c r="DP127" s="208">
        <v>0</v>
      </c>
      <c r="DQ127" s="208">
        <v>0</v>
      </c>
      <c r="DR127" s="208">
        <v>0</v>
      </c>
      <c r="DS127" s="208">
        <v>0</v>
      </c>
      <c r="DT127" s="208">
        <v>0</v>
      </c>
      <c r="DU127" s="208">
        <v>0</v>
      </c>
      <c r="DV127" s="208">
        <v>0</v>
      </c>
      <c r="DW127" s="208">
        <v>49198.200000000004</v>
      </c>
      <c r="DX127" s="208">
        <v>27673.987499999999</v>
      </c>
      <c r="DY127" s="208">
        <v>0</v>
      </c>
      <c r="DZ127" s="208">
        <v>65467</v>
      </c>
      <c r="EA127" s="208">
        <v>36825</v>
      </c>
      <c r="EB127" s="208">
        <v>0</v>
      </c>
      <c r="EC127" s="208">
        <v>-16269</v>
      </c>
      <c r="ED127" s="208">
        <v>-9151</v>
      </c>
      <c r="EE127" s="208">
        <v>0</v>
      </c>
      <c r="EF127" s="208">
        <v>213649.15733333334</v>
      </c>
      <c r="EG127" s="208">
        <v>120177.651</v>
      </c>
      <c r="EH127" s="208">
        <v>0</v>
      </c>
      <c r="EI127" s="208">
        <v>-5154.8453333333337</v>
      </c>
      <c r="EJ127" s="208">
        <v>-2899.6005</v>
      </c>
      <c r="EK127" s="208">
        <v>0</v>
      </c>
      <c r="EL127" s="208">
        <v>235680</v>
      </c>
      <c r="EM127" s="208">
        <v>132570</v>
      </c>
      <c r="EN127" s="208">
        <v>0</v>
      </c>
      <c r="EO127" s="208">
        <v>-27186</v>
      </c>
      <c r="EP127" s="208">
        <v>-15292</v>
      </c>
      <c r="EQ127" s="208">
        <v>0</v>
      </c>
      <c r="ER127" s="208">
        <v>-355.48400000000038</v>
      </c>
      <c r="ES127" s="208">
        <v>-199.95975000000089</v>
      </c>
      <c r="ET127" s="208">
        <v>0</v>
      </c>
      <c r="EU127" s="208">
        <v>19640</v>
      </c>
      <c r="EV127" s="208">
        <v>11048</v>
      </c>
      <c r="EW127" s="208">
        <v>0</v>
      </c>
      <c r="EX127" s="208">
        <v>-19995</v>
      </c>
      <c r="EY127" s="208">
        <v>-11248</v>
      </c>
      <c r="EZ127" s="208">
        <v>0</v>
      </c>
      <c r="FA127" s="208">
        <v>0</v>
      </c>
      <c r="FB127" s="208">
        <v>0</v>
      </c>
      <c r="FC127" s="208">
        <v>0</v>
      </c>
      <c r="FD127" s="208">
        <v>0</v>
      </c>
      <c r="FE127" s="208">
        <v>0</v>
      </c>
      <c r="FF127" s="208">
        <v>0</v>
      </c>
      <c r="FG127" s="208">
        <v>0</v>
      </c>
      <c r="FH127" s="208">
        <v>0</v>
      </c>
      <c r="FI127" s="208">
        <v>0</v>
      </c>
      <c r="FJ127" s="208">
        <v>769083.47999999986</v>
      </c>
      <c r="FK127" s="208">
        <v>432609.4574999999</v>
      </c>
      <c r="FL127" s="208">
        <v>0</v>
      </c>
      <c r="FM127" s="208">
        <v>789217</v>
      </c>
      <c r="FN127" s="208">
        <v>443935</v>
      </c>
      <c r="FO127" s="208">
        <v>0</v>
      </c>
      <c r="FP127" s="208">
        <v>-20134</v>
      </c>
      <c r="FQ127" s="208">
        <v>-11326</v>
      </c>
      <c r="FR127" s="208">
        <v>0</v>
      </c>
      <c r="FS127" s="208">
        <v>0</v>
      </c>
      <c r="FT127" s="208">
        <v>0</v>
      </c>
      <c r="FU127" s="208">
        <v>0</v>
      </c>
      <c r="FV127" s="208">
        <v>0</v>
      </c>
      <c r="FW127" s="208">
        <v>0</v>
      </c>
      <c r="FX127" s="208">
        <v>0</v>
      </c>
      <c r="FY127" s="208">
        <v>0</v>
      </c>
      <c r="FZ127" s="208">
        <v>0</v>
      </c>
      <c r="GA127" s="208">
        <v>0</v>
      </c>
      <c r="GB127" s="208">
        <v>4186006</v>
      </c>
      <c r="GC127" s="208">
        <v>2354628</v>
      </c>
      <c r="GD127" s="208">
        <v>0</v>
      </c>
      <c r="GE127" s="664">
        <v>0</v>
      </c>
      <c r="GF127" s="664">
        <v>0.64</v>
      </c>
      <c r="GG127" s="664">
        <v>0.36</v>
      </c>
      <c r="GH127" s="664">
        <v>0</v>
      </c>
      <c r="GI127" s="187" t="s">
        <v>1055</v>
      </c>
    </row>
    <row r="128" spans="2:191" s="187" customFormat="1" x14ac:dyDescent="0.2">
      <c r="B128" s="429" t="s">
        <v>333</v>
      </c>
      <c r="C128" s="429" t="s">
        <v>332</v>
      </c>
      <c r="D128" s="208">
        <v>183423</v>
      </c>
      <c r="E128" s="208">
        <v>0</v>
      </c>
      <c r="F128" s="208">
        <v>183423</v>
      </c>
      <c r="G128" s="208">
        <v>243148</v>
      </c>
      <c r="H128" s="208">
        <v>0</v>
      </c>
      <c r="I128" s="208">
        <v>243148</v>
      </c>
      <c r="J128" s="208">
        <v>-59725</v>
      </c>
      <c r="K128" s="208">
        <v>0</v>
      </c>
      <c r="L128" s="208">
        <v>-59725</v>
      </c>
      <c r="M128" s="208">
        <v>99862</v>
      </c>
      <c r="N128" s="208">
        <v>99862</v>
      </c>
      <c r="O128" s="208">
        <v>0</v>
      </c>
      <c r="P128" s="208">
        <v>0</v>
      </c>
      <c r="Q128" s="208">
        <v>0</v>
      </c>
      <c r="R128" s="208">
        <v>0</v>
      </c>
      <c r="S128" s="208">
        <v>0</v>
      </c>
      <c r="T128" s="208">
        <v>0</v>
      </c>
      <c r="U128" s="208">
        <v>0</v>
      </c>
      <c r="V128" s="208">
        <v>0</v>
      </c>
      <c r="W128" s="208">
        <v>0</v>
      </c>
      <c r="X128" s="208">
        <v>0</v>
      </c>
      <c r="Y128" s="208">
        <v>0</v>
      </c>
      <c r="Z128" s="208">
        <v>0</v>
      </c>
      <c r="AA128" s="208">
        <v>0</v>
      </c>
      <c r="AB128" s="208">
        <v>0</v>
      </c>
      <c r="AC128" s="208">
        <v>0</v>
      </c>
      <c r="AD128" s="208">
        <v>0</v>
      </c>
      <c r="AE128" s="208">
        <v>0</v>
      </c>
      <c r="AF128" s="208">
        <v>0</v>
      </c>
      <c r="AG128" s="208">
        <v>0</v>
      </c>
      <c r="AH128" s="208">
        <v>0</v>
      </c>
      <c r="AI128" s="208">
        <v>0</v>
      </c>
      <c r="AJ128" s="208">
        <v>0</v>
      </c>
      <c r="AK128" s="208">
        <v>0</v>
      </c>
      <c r="AL128" s="208">
        <v>0</v>
      </c>
      <c r="AM128" s="208">
        <v>0</v>
      </c>
      <c r="AN128" s="208">
        <v>0</v>
      </c>
      <c r="AO128" s="208">
        <v>0</v>
      </c>
      <c r="AP128" s="208">
        <v>0</v>
      </c>
      <c r="AQ128" s="208">
        <v>0</v>
      </c>
      <c r="AR128" s="208">
        <v>0</v>
      </c>
      <c r="AS128" s="208">
        <v>0</v>
      </c>
      <c r="AT128" s="208">
        <v>0</v>
      </c>
      <c r="AU128" s="208">
        <v>0</v>
      </c>
      <c r="AV128" s="208">
        <v>0</v>
      </c>
      <c r="AW128" s="208">
        <v>0</v>
      </c>
      <c r="AX128" s="208">
        <v>0</v>
      </c>
      <c r="AY128" s="208">
        <v>0</v>
      </c>
      <c r="AZ128" s="208">
        <v>0</v>
      </c>
      <c r="BA128" s="208">
        <v>0</v>
      </c>
      <c r="BB128" s="208">
        <v>0</v>
      </c>
      <c r="BC128" s="208">
        <v>0</v>
      </c>
      <c r="BD128" s="208">
        <v>0</v>
      </c>
      <c r="BE128" s="208">
        <v>0</v>
      </c>
      <c r="BF128" s="208">
        <v>0</v>
      </c>
      <c r="BG128" s="208">
        <v>0</v>
      </c>
      <c r="BH128" s="208">
        <v>0</v>
      </c>
      <c r="BI128" s="208">
        <v>0</v>
      </c>
      <c r="BJ128" s="208">
        <v>0</v>
      </c>
      <c r="BK128" s="208">
        <v>0</v>
      </c>
      <c r="BL128" s="208">
        <v>0</v>
      </c>
      <c r="BM128" s="208">
        <v>0</v>
      </c>
      <c r="BN128" s="208">
        <v>0</v>
      </c>
      <c r="BO128" s="208">
        <v>698124.46864500002</v>
      </c>
      <c r="BP128" s="208">
        <v>157078.00544512502</v>
      </c>
      <c r="BQ128" s="208">
        <v>17453.111716125004</v>
      </c>
      <c r="BR128" s="208">
        <v>58952</v>
      </c>
      <c r="BS128" s="208">
        <v>13264</v>
      </c>
      <c r="BT128" s="208">
        <v>1474</v>
      </c>
      <c r="BU128" s="208">
        <v>647314</v>
      </c>
      <c r="BV128" s="208">
        <v>145646</v>
      </c>
      <c r="BW128" s="208">
        <v>16183</v>
      </c>
      <c r="BX128" s="208">
        <v>109762</v>
      </c>
      <c r="BY128" s="208">
        <v>24696</v>
      </c>
      <c r="BZ128" s="208">
        <v>2744</v>
      </c>
      <c r="CA128" s="208">
        <v>0</v>
      </c>
      <c r="CB128" s="208">
        <v>0</v>
      </c>
      <c r="CC128" s="208">
        <v>0</v>
      </c>
      <c r="CD128" s="208">
        <v>0</v>
      </c>
      <c r="CE128" s="208">
        <v>0</v>
      </c>
      <c r="CF128" s="208">
        <v>0</v>
      </c>
      <c r="CG128" s="208">
        <v>0</v>
      </c>
      <c r="CH128" s="208">
        <v>0</v>
      </c>
      <c r="CI128" s="208">
        <v>0</v>
      </c>
      <c r="CJ128" s="208">
        <v>0</v>
      </c>
      <c r="CK128" s="208">
        <v>0</v>
      </c>
      <c r="CL128" s="208">
        <v>0</v>
      </c>
      <c r="CM128" s="208">
        <v>0</v>
      </c>
      <c r="CN128" s="208">
        <v>0</v>
      </c>
      <c r="CO128" s="208">
        <v>0</v>
      </c>
      <c r="CP128" s="208">
        <v>-613.75</v>
      </c>
      <c r="CQ128" s="208">
        <v>-138.09375</v>
      </c>
      <c r="CR128" s="208">
        <v>-15.34375</v>
      </c>
      <c r="CS128" s="208">
        <v>0</v>
      </c>
      <c r="CT128" s="208">
        <v>0</v>
      </c>
      <c r="CU128" s="208">
        <v>0</v>
      </c>
      <c r="CV128" s="208">
        <v>0</v>
      </c>
      <c r="CW128" s="208">
        <v>0</v>
      </c>
      <c r="CX128" s="208">
        <v>0</v>
      </c>
      <c r="CY128" s="208">
        <v>0</v>
      </c>
      <c r="CZ128" s="208">
        <v>0</v>
      </c>
      <c r="DA128" s="208">
        <v>0</v>
      </c>
      <c r="DB128" s="208">
        <v>0</v>
      </c>
      <c r="DC128" s="208">
        <v>0</v>
      </c>
      <c r="DD128" s="208">
        <v>0</v>
      </c>
      <c r="DE128" s="208">
        <v>835.92750000000001</v>
      </c>
      <c r="DF128" s="208">
        <v>188.0836875</v>
      </c>
      <c r="DG128" s="208">
        <v>20.898187499999999</v>
      </c>
      <c r="DH128" s="208">
        <v>836</v>
      </c>
      <c r="DI128" s="208">
        <v>188</v>
      </c>
      <c r="DJ128" s="208">
        <v>21</v>
      </c>
      <c r="DK128" s="208">
        <v>0</v>
      </c>
      <c r="DL128" s="208">
        <v>0</v>
      </c>
      <c r="DM128" s="208">
        <v>0</v>
      </c>
      <c r="DN128" s="208">
        <v>0</v>
      </c>
      <c r="DO128" s="208">
        <v>0</v>
      </c>
      <c r="DP128" s="208">
        <v>0</v>
      </c>
      <c r="DQ128" s="208">
        <v>0</v>
      </c>
      <c r="DR128" s="208">
        <v>0</v>
      </c>
      <c r="DS128" s="208">
        <v>0</v>
      </c>
      <c r="DT128" s="208">
        <v>0</v>
      </c>
      <c r="DU128" s="208">
        <v>0</v>
      </c>
      <c r="DV128" s="208">
        <v>0</v>
      </c>
      <c r="DW128" s="208">
        <v>6431.2816666666658</v>
      </c>
      <c r="DX128" s="208">
        <v>1447.0383749999999</v>
      </c>
      <c r="DY128" s="208">
        <v>160.78204166666666</v>
      </c>
      <c r="DZ128" s="208">
        <v>9756</v>
      </c>
      <c r="EA128" s="208">
        <v>2195</v>
      </c>
      <c r="EB128" s="208">
        <v>244</v>
      </c>
      <c r="EC128" s="208">
        <v>-3325</v>
      </c>
      <c r="ED128" s="208">
        <v>-748</v>
      </c>
      <c r="EE128" s="208">
        <v>-83</v>
      </c>
      <c r="EF128" s="208">
        <v>30742.328333333335</v>
      </c>
      <c r="EG128" s="208">
        <v>6917.0238749999999</v>
      </c>
      <c r="EH128" s="208">
        <v>768.55820833333337</v>
      </c>
      <c r="EI128" s="208">
        <v>32984.561666666668</v>
      </c>
      <c r="EJ128" s="208">
        <v>7421.5263749999995</v>
      </c>
      <c r="EK128" s="208">
        <v>824.61404166666659</v>
      </c>
      <c r="EL128" s="208">
        <v>40098</v>
      </c>
      <c r="EM128" s="208">
        <v>9022</v>
      </c>
      <c r="EN128" s="208">
        <v>1002</v>
      </c>
      <c r="EO128" s="208">
        <v>23629</v>
      </c>
      <c r="EP128" s="208">
        <v>5317</v>
      </c>
      <c r="EQ128" s="208">
        <v>591</v>
      </c>
      <c r="ER128" s="208">
        <v>9017.2150000000001</v>
      </c>
      <c r="ES128" s="208">
        <v>2028.8733749999999</v>
      </c>
      <c r="ET128" s="208">
        <v>225.430375</v>
      </c>
      <c r="EU128" s="208">
        <v>7365</v>
      </c>
      <c r="EV128" s="208">
        <v>1657</v>
      </c>
      <c r="EW128" s="208">
        <v>184</v>
      </c>
      <c r="EX128" s="208">
        <v>1652</v>
      </c>
      <c r="EY128" s="208">
        <v>372</v>
      </c>
      <c r="EZ128" s="208">
        <v>41</v>
      </c>
      <c r="FA128" s="208">
        <v>0</v>
      </c>
      <c r="FB128" s="208">
        <v>0</v>
      </c>
      <c r="FC128" s="208">
        <v>0</v>
      </c>
      <c r="FD128" s="208">
        <v>0</v>
      </c>
      <c r="FE128" s="208">
        <v>0</v>
      </c>
      <c r="FF128" s="208">
        <v>0</v>
      </c>
      <c r="FG128" s="208">
        <v>0</v>
      </c>
      <c r="FH128" s="208">
        <v>0</v>
      </c>
      <c r="FI128" s="208">
        <v>0</v>
      </c>
      <c r="FJ128" s="208">
        <v>277164.23166666669</v>
      </c>
      <c r="FK128" s="208">
        <v>62361.952124999989</v>
      </c>
      <c r="FL128" s="208">
        <v>6929.1057916666659</v>
      </c>
      <c r="FM128" s="208">
        <v>281724</v>
      </c>
      <c r="FN128" s="208">
        <v>63388</v>
      </c>
      <c r="FO128" s="208">
        <v>7043</v>
      </c>
      <c r="FP128" s="208">
        <v>-4560</v>
      </c>
      <c r="FQ128" s="208">
        <v>-1026</v>
      </c>
      <c r="FR128" s="208">
        <v>-114</v>
      </c>
      <c r="FS128" s="208">
        <v>0</v>
      </c>
      <c r="FT128" s="208">
        <v>0</v>
      </c>
      <c r="FU128" s="208">
        <v>0</v>
      </c>
      <c r="FV128" s="208">
        <v>0</v>
      </c>
      <c r="FW128" s="208">
        <v>0</v>
      </c>
      <c r="FX128" s="208">
        <v>0</v>
      </c>
      <c r="FY128" s="208">
        <v>0</v>
      </c>
      <c r="FZ128" s="208">
        <v>0</v>
      </c>
      <c r="GA128" s="208">
        <v>0</v>
      </c>
      <c r="GB128" s="208">
        <v>1113637</v>
      </c>
      <c r="GC128" s="208">
        <v>250569</v>
      </c>
      <c r="GD128" s="208">
        <v>27842</v>
      </c>
      <c r="GE128" s="664">
        <v>0.5</v>
      </c>
      <c r="GF128" s="664">
        <v>0.4</v>
      </c>
      <c r="GG128" s="664">
        <v>0.09</v>
      </c>
      <c r="GH128" s="664">
        <v>0.01</v>
      </c>
      <c r="GI128" s="187" t="s">
        <v>1054</v>
      </c>
    </row>
    <row r="129" spans="1:191" s="187" customFormat="1" x14ac:dyDescent="0.2">
      <c r="B129" s="429" t="s">
        <v>335</v>
      </c>
      <c r="C129" s="429" t="s">
        <v>334</v>
      </c>
      <c r="D129" s="208">
        <v>-1168817</v>
      </c>
      <c r="E129" s="208">
        <v>1345</v>
      </c>
      <c r="F129" s="208">
        <v>-1167472</v>
      </c>
      <c r="G129" s="208">
        <v>-1402910</v>
      </c>
      <c r="H129" s="208">
        <v>1345</v>
      </c>
      <c r="I129" s="208">
        <v>-1401565</v>
      </c>
      <c r="J129" s="208">
        <v>234093</v>
      </c>
      <c r="K129" s="208">
        <v>0</v>
      </c>
      <c r="L129" s="208">
        <v>234093</v>
      </c>
      <c r="M129" s="208">
        <v>114740</v>
      </c>
      <c r="N129" s="208">
        <v>114740</v>
      </c>
      <c r="O129" s="208">
        <v>0</v>
      </c>
      <c r="P129" s="208">
        <v>78512</v>
      </c>
      <c r="Q129" s="208">
        <v>58834</v>
      </c>
      <c r="R129" s="208">
        <v>19678</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0</v>
      </c>
      <c r="AH129" s="208">
        <v>58195</v>
      </c>
      <c r="AI129" s="208">
        <v>58194.752083333333</v>
      </c>
      <c r="AJ129" s="208">
        <v>0</v>
      </c>
      <c r="AK129" s="208">
        <v>0</v>
      </c>
      <c r="AL129" s="208">
        <v>70719</v>
      </c>
      <c r="AM129" s="208">
        <v>70719</v>
      </c>
      <c r="AN129" s="208">
        <v>0</v>
      </c>
      <c r="AO129" s="208">
        <v>0</v>
      </c>
      <c r="AP129" s="208">
        <v>-12524</v>
      </c>
      <c r="AQ129" s="208">
        <v>-12524</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0</v>
      </c>
      <c r="BM129" s="208">
        <v>0</v>
      </c>
      <c r="BN129" s="208">
        <v>0</v>
      </c>
      <c r="BO129" s="208">
        <v>998672.79804716678</v>
      </c>
      <c r="BP129" s="208">
        <v>0</v>
      </c>
      <c r="BQ129" s="208">
        <v>20381.07751116667</v>
      </c>
      <c r="BR129" s="208">
        <v>50429</v>
      </c>
      <c r="BS129" s="208">
        <v>0</v>
      </c>
      <c r="BT129" s="208">
        <v>1022</v>
      </c>
      <c r="BU129" s="208">
        <v>939523</v>
      </c>
      <c r="BV129" s="208">
        <v>0</v>
      </c>
      <c r="BW129" s="208">
        <v>19174</v>
      </c>
      <c r="BX129" s="208">
        <v>109579</v>
      </c>
      <c r="BY129" s="208">
        <v>0</v>
      </c>
      <c r="BZ129" s="208">
        <v>2229</v>
      </c>
      <c r="CA129" s="208">
        <v>2168.3173750000001</v>
      </c>
      <c r="CB129" s="208">
        <v>0</v>
      </c>
      <c r="CC129" s="208">
        <v>44.251374999999996</v>
      </c>
      <c r="CD129" s="208">
        <v>2262</v>
      </c>
      <c r="CE129" s="208">
        <v>0</v>
      </c>
      <c r="CF129" s="208">
        <v>46</v>
      </c>
      <c r="CG129" s="208">
        <v>-94</v>
      </c>
      <c r="CH129" s="208">
        <v>0</v>
      </c>
      <c r="CI129" s="208">
        <v>-2</v>
      </c>
      <c r="CJ129" s="208">
        <v>0</v>
      </c>
      <c r="CK129" s="208">
        <v>0</v>
      </c>
      <c r="CL129" s="208">
        <v>0</v>
      </c>
      <c r="CM129" s="208">
        <v>0</v>
      </c>
      <c r="CN129" s="208">
        <v>0</v>
      </c>
      <c r="CO129" s="208">
        <v>0</v>
      </c>
      <c r="CP129" s="208">
        <v>-65.661020833333325</v>
      </c>
      <c r="CQ129" s="208">
        <v>0</v>
      </c>
      <c r="CR129" s="208">
        <v>-1.3400208333333334</v>
      </c>
      <c r="CS129" s="208">
        <v>0</v>
      </c>
      <c r="CT129" s="208">
        <v>0</v>
      </c>
      <c r="CU129" s="208">
        <v>0</v>
      </c>
      <c r="CV129" s="208">
        <v>0</v>
      </c>
      <c r="CW129" s="208">
        <v>0</v>
      </c>
      <c r="CX129" s="208">
        <v>0</v>
      </c>
      <c r="CY129" s="208">
        <v>0</v>
      </c>
      <c r="CZ129" s="208">
        <v>0</v>
      </c>
      <c r="DA129" s="208">
        <v>0</v>
      </c>
      <c r="DB129" s="208">
        <v>0</v>
      </c>
      <c r="DC129" s="208">
        <v>0</v>
      </c>
      <c r="DD129" s="208">
        <v>0</v>
      </c>
      <c r="DE129" s="208">
        <v>0</v>
      </c>
      <c r="DF129" s="208">
        <v>0</v>
      </c>
      <c r="DG129" s="208">
        <v>0</v>
      </c>
      <c r="DH129" s="208">
        <v>0</v>
      </c>
      <c r="DI129" s="208">
        <v>0</v>
      </c>
      <c r="DJ129" s="208">
        <v>0</v>
      </c>
      <c r="DK129" s="208">
        <v>0</v>
      </c>
      <c r="DL129" s="208">
        <v>0</v>
      </c>
      <c r="DM129" s="208">
        <v>0</v>
      </c>
      <c r="DN129" s="208">
        <v>93.228624999999994</v>
      </c>
      <c r="DO129" s="208">
        <v>0</v>
      </c>
      <c r="DP129" s="208">
        <v>1.902625</v>
      </c>
      <c r="DQ129" s="208">
        <v>0</v>
      </c>
      <c r="DR129" s="208">
        <v>0</v>
      </c>
      <c r="DS129" s="208">
        <v>0</v>
      </c>
      <c r="DT129" s="208">
        <v>93</v>
      </c>
      <c r="DU129" s="208">
        <v>0</v>
      </c>
      <c r="DV129" s="208">
        <v>2</v>
      </c>
      <c r="DW129" s="208">
        <v>14706.063749999999</v>
      </c>
      <c r="DX129" s="208">
        <v>0</v>
      </c>
      <c r="DY129" s="208">
        <v>300.12375000000003</v>
      </c>
      <c r="DZ129" s="208">
        <v>15261</v>
      </c>
      <c r="EA129" s="208">
        <v>0</v>
      </c>
      <c r="EB129" s="208">
        <v>311</v>
      </c>
      <c r="EC129" s="208">
        <v>-555</v>
      </c>
      <c r="ED129" s="208">
        <v>0</v>
      </c>
      <c r="EE129" s="208">
        <v>-11</v>
      </c>
      <c r="EF129" s="208">
        <v>27359.5940625</v>
      </c>
      <c r="EG129" s="208">
        <v>0</v>
      </c>
      <c r="EH129" s="208">
        <v>558.35906250000005</v>
      </c>
      <c r="EI129" s="208">
        <v>0</v>
      </c>
      <c r="EJ129" s="208">
        <v>0</v>
      </c>
      <c r="EK129" s="208">
        <v>0</v>
      </c>
      <c r="EL129" s="208">
        <v>30575</v>
      </c>
      <c r="EM129" s="208">
        <v>0</v>
      </c>
      <c r="EN129" s="208">
        <v>624</v>
      </c>
      <c r="EO129" s="208">
        <v>-3215</v>
      </c>
      <c r="EP129" s="208">
        <v>0</v>
      </c>
      <c r="EQ129" s="208">
        <v>-66</v>
      </c>
      <c r="ER129" s="208">
        <v>11809.961625</v>
      </c>
      <c r="ES129" s="208">
        <v>0</v>
      </c>
      <c r="ET129" s="208">
        <v>241.01962500000002</v>
      </c>
      <c r="EU129" s="208">
        <v>12275</v>
      </c>
      <c r="EV129" s="208">
        <v>0</v>
      </c>
      <c r="EW129" s="208">
        <v>251</v>
      </c>
      <c r="EX129" s="208">
        <v>-465</v>
      </c>
      <c r="EY129" s="208">
        <v>0</v>
      </c>
      <c r="EZ129" s="208">
        <v>-10</v>
      </c>
      <c r="FA129" s="208">
        <v>0</v>
      </c>
      <c r="FB129" s="208">
        <v>0</v>
      </c>
      <c r="FC129" s="208">
        <v>0</v>
      </c>
      <c r="FD129" s="208">
        <v>0</v>
      </c>
      <c r="FE129" s="208">
        <v>0</v>
      </c>
      <c r="FF129" s="208">
        <v>0</v>
      </c>
      <c r="FG129" s="208">
        <v>0</v>
      </c>
      <c r="FH129" s="208">
        <v>0</v>
      </c>
      <c r="FI129" s="208">
        <v>0</v>
      </c>
      <c r="FJ129" s="208">
        <v>337692.10795833328</v>
      </c>
      <c r="FK129" s="208">
        <v>0</v>
      </c>
      <c r="FL129" s="208">
        <v>6854.9566249999998</v>
      </c>
      <c r="FM129" s="208">
        <v>343920</v>
      </c>
      <c r="FN129" s="208">
        <v>0</v>
      </c>
      <c r="FO129" s="208">
        <v>6958</v>
      </c>
      <c r="FP129" s="208">
        <v>-6228</v>
      </c>
      <c r="FQ129" s="208">
        <v>0</v>
      </c>
      <c r="FR129" s="208">
        <v>-103</v>
      </c>
      <c r="FS129" s="208">
        <v>0</v>
      </c>
      <c r="FT129" s="208">
        <v>0</v>
      </c>
      <c r="FU129" s="208">
        <v>0</v>
      </c>
      <c r="FV129" s="208">
        <v>0</v>
      </c>
      <c r="FW129" s="208">
        <v>0</v>
      </c>
      <c r="FX129" s="208">
        <v>0</v>
      </c>
      <c r="FY129" s="208">
        <v>0</v>
      </c>
      <c r="FZ129" s="208">
        <v>0</v>
      </c>
      <c r="GA129" s="208">
        <v>0</v>
      </c>
      <c r="GB129" s="208">
        <v>1442865</v>
      </c>
      <c r="GC129" s="208">
        <v>0</v>
      </c>
      <c r="GD129" s="208">
        <v>29402</v>
      </c>
      <c r="GE129" s="664">
        <v>0.5</v>
      </c>
      <c r="GF129" s="664">
        <v>0.49</v>
      </c>
      <c r="GG129" s="664">
        <v>0</v>
      </c>
      <c r="GH129" s="664">
        <v>0.01</v>
      </c>
      <c r="GI129" s="187" t="s">
        <v>742</v>
      </c>
    </row>
    <row r="130" spans="1:191" s="187" customFormat="1" x14ac:dyDescent="0.2">
      <c r="B130" s="429" t="s">
        <v>337</v>
      </c>
      <c r="C130" s="429" t="s">
        <v>336</v>
      </c>
      <c r="D130" s="208">
        <v>3224</v>
      </c>
      <c r="E130" s="208">
        <v>0</v>
      </c>
      <c r="F130" s="208">
        <v>3224</v>
      </c>
      <c r="G130" s="208">
        <v>-198948</v>
      </c>
      <c r="H130" s="208">
        <v>0</v>
      </c>
      <c r="I130" s="208">
        <v>-198948</v>
      </c>
      <c r="J130" s="208">
        <v>202172</v>
      </c>
      <c r="K130" s="208">
        <v>0</v>
      </c>
      <c r="L130" s="208">
        <v>202172</v>
      </c>
      <c r="M130" s="208">
        <v>131620</v>
      </c>
      <c r="N130" s="208">
        <v>131620</v>
      </c>
      <c r="O130" s="208">
        <v>0</v>
      </c>
      <c r="P130" s="208">
        <v>0</v>
      </c>
      <c r="Q130" s="208">
        <v>0</v>
      </c>
      <c r="R130" s="208">
        <v>0</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0</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0</v>
      </c>
      <c r="BM130" s="208">
        <v>0</v>
      </c>
      <c r="BN130" s="208">
        <v>0</v>
      </c>
      <c r="BO130" s="208">
        <v>908118.39857333351</v>
      </c>
      <c r="BP130" s="208">
        <v>204326.63967900001</v>
      </c>
      <c r="BQ130" s="208">
        <v>22702.959964333339</v>
      </c>
      <c r="BR130" s="208">
        <v>51094</v>
      </c>
      <c r="BS130" s="208">
        <v>11496</v>
      </c>
      <c r="BT130" s="208">
        <v>1277</v>
      </c>
      <c r="BU130" s="208">
        <v>902422</v>
      </c>
      <c r="BV130" s="208">
        <v>203045</v>
      </c>
      <c r="BW130" s="208">
        <v>22561</v>
      </c>
      <c r="BX130" s="208">
        <v>56790</v>
      </c>
      <c r="BY130" s="208">
        <v>12778</v>
      </c>
      <c r="BZ130" s="208">
        <v>1419</v>
      </c>
      <c r="CA130" s="208">
        <v>9443.5666666666675</v>
      </c>
      <c r="CB130" s="208">
        <v>2124.8024999999998</v>
      </c>
      <c r="CC130" s="208">
        <v>236.08916666666667</v>
      </c>
      <c r="CD130" s="208">
        <v>0</v>
      </c>
      <c r="CE130" s="208">
        <v>0</v>
      </c>
      <c r="CF130" s="208">
        <v>0</v>
      </c>
      <c r="CG130" s="208">
        <v>9444</v>
      </c>
      <c r="CH130" s="208">
        <v>2125</v>
      </c>
      <c r="CI130" s="208">
        <v>236</v>
      </c>
      <c r="CJ130" s="208">
        <v>0</v>
      </c>
      <c r="CK130" s="208">
        <v>0</v>
      </c>
      <c r="CL130" s="208">
        <v>0</v>
      </c>
      <c r="CM130" s="208">
        <v>0</v>
      </c>
      <c r="CN130" s="208">
        <v>0</v>
      </c>
      <c r="CO130" s="208">
        <v>0</v>
      </c>
      <c r="CP130" s="208">
        <v>-196.4</v>
      </c>
      <c r="CQ130" s="208">
        <v>-44.19</v>
      </c>
      <c r="CR130" s="208">
        <v>-4.91</v>
      </c>
      <c r="CS130" s="208">
        <v>0</v>
      </c>
      <c r="CT130" s="208">
        <v>0</v>
      </c>
      <c r="CU130" s="208">
        <v>0</v>
      </c>
      <c r="CV130" s="208">
        <v>0</v>
      </c>
      <c r="CW130" s="208">
        <v>0</v>
      </c>
      <c r="CX130" s="208">
        <v>0</v>
      </c>
      <c r="CY130" s="208">
        <v>0</v>
      </c>
      <c r="CZ130" s="208">
        <v>0</v>
      </c>
      <c r="DA130" s="208">
        <v>0</v>
      </c>
      <c r="DB130" s="208">
        <v>0</v>
      </c>
      <c r="DC130" s="208">
        <v>0</v>
      </c>
      <c r="DD130" s="208">
        <v>0</v>
      </c>
      <c r="DE130" s="208">
        <v>0</v>
      </c>
      <c r="DF130" s="208">
        <v>0</v>
      </c>
      <c r="DG130" s="208">
        <v>0</v>
      </c>
      <c r="DH130" s="208">
        <v>0</v>
      </c>
      <c r="DI130" s="208">
        <v>0</v>
      </c>
      <c r="DJ130" s="208">
        <v>0</v>
      </c>
      <c r="DK130" s="208">
        <v>0</v>
      </c>
      <c r="DL130" s="208">
        <v>0</v>
      </c>
      <c r="DM130" s="208">
        <v>0</v>
      </c>
      <c r="DN130" s="208">
        <v>227.08750000000001</v>
      </c>
      <c r="DO130" s="208">
        <v>51.094687499999999</v>
      </c>
      <c r="DP130" s="208">
        <v>5.6771875000000005</v>
      </c>
      <c r="DQ130" s="208">
        <v>0</v>
      </c>
      <c r="DR130" s="208">
        <v>0</v>
      </c>
      <c r="DS130" s="208">
        <v>0</v>
      </c>
      <c r="DT130" s="208">
        <v>227</v>
      </c>
      <c r="DU130" s="208">
        <v>51</v>
      </c>
      <c r="DV130" s="208">
        <v>6</v>
      </c>
      <c r="DW130" s="208">
        <v>15369.5275</v>
      </c>
      <c r="DX130" s="208">
        <v>3458.1436874999999</v>
      </c>
      <c r="DY130" s="208">
        <v>384.23818749999998</v>
      </c>
      <c r="DZ130" s="208">
        <v>94108</v>
      </c>
      <c r="EA130" s="208">
        <v>21174</v>
      </c>
      <c r="EB130" s="208">
        <v>2353</v>
      </c>
      <c r="EC130" s="208">
        <v>-78738</v>
      </c>
      <c r="ED130" s="208">
        <v>-17716</v>
      </c>
      <c r="EE130" s="208">
        <v>-1969</v>
      </c>
      <c r="EF130" s="208">
        <v>45281.656666666669</v>
      </c>
      <c r="EG130" s="208">
        <v>10188.372749999999</v>
      </c>
      <c r="EH130" s="208">
        <v>1132.0414166666667</v>
      </c>
      <c r="EI130" s="208">
        <v>-136.66166666666666</v>
      </c>
      <c r="EJ130" s="208">
        <v>-30.748874999999998</v>
      </c>
      <c r="EK130" s="208">
        <v>-3.4165416666666664</v>
      </c>
      <c r="EL130" s="208">
        <v>45633</v>
      </c>
      <c r="EM130" s="208">
        <v>10267</v>
      </c>
      <c r="EN130" s="208">
        <v>1141</v>
      </c>
      <c r="EO130" s="208">
        <v>-488</v>
      </c>
      <c r="EP130" s="208">
        <v>-109</v>
      </c>
      <c r="EQ130" s="208">
        <v>-12</v>
      </c>
      <c r="ER130" s="208">
        <v>16282.7875</v>
      </c>
      <c r="ES130" s="208">
        <v>3663.6271874999998</v>
      </c>
      <c r="ET130" s="208">
        <v>407.06968750000004</v>
      </c>
      <c r="EU130" s="208">
        <v>13877</v>
      </c>
      <c r="EV130" s="208">
        <v>3122</v>
      </c>
      <c r="EW130" s="208">
        <v>347</v>
      </c>
      <c r="EX130" s="208">
        <v>2406</v>
      </c>
      <c r="EY130" s="208">
        <v>542</v>
      </c>
      <c r="EZ130" s="208">
        <v>60</v>
      </c>
      <c r="FA130" s="208">
        <v>0</v>
      </c>
      <c r="FB130" s="208">
        <v>0</v>
      </c>
      <c r="FC130" s="208">
        <v>0</v>
      </c>
      <c r="FD130" s="208">
        <v>0</v>
      </c>
      <c r="FE130" s="208">
        <v>0</v>
      </c>
      <c r="FF130" s="208">
        <v>0</v>
      </c>
      <c r="FG130" s="208">
        <v>0</v>
      </c>
      <c r="FH130" s="208">
        <v>0</v>
      </c>
      <c r="FI130" s="208">
        <v>0</v>
      </c>
      <c r="FJ130" s="208">
        <v>190601.03333333333</v>
      </c>
      <c r="FK130" s="208">
        <v>42885.232499999991</v>
      </c>
      <c r="FL130" s="208">
        <v>4765.0258333333331</v>
      </c>
      <c r="FM130" s="208">
        <v>191881</v>
      </c>
      <c r="FN130" s="208">
        <v>43173</v>
      </c>
      <c r="FO130" s="208">
        <v>4797</v>
      </c>
      <c r="FP130" s="208">
        <v>-1280</v>
      </c>
      <c r="FQ130" s="208">
        <v>-288</v>
      </c>
      <c r="FR130" s="208">
        <v>-32</v>
      </c>
      <c r="FS130" s="208">
        <v>0</v>
      </c>
      <c r="FT130" s="208">
        <v>0</v>
      </c>
      <c r="FU130" s="208">
        <v>0</v>
      </c>
      <c r="FV130" s="208">
        <v>0</v>
      </c>
      <c r="FW130" s="208">
        <v>0</v>
      </c>
      <c r="FX130" s="208">
        <v>0</v>
      </c>
      <c r="FY130" s="208">
        <v>0</v>
      </c>
      <c r="FZ130" s="208">
        <v>0</v>
      </c>
      <c r="GA130" s="208">
        <v>0</v>
      </c>
      <c r="GB130" s="208">
        <v>1236086</v>
      </c>
      <c r="GC130" s="208">
        <v>278119</v>
      </c>
      <c r="GD130" s="208">
        <v>30902</v>
      </c>
      <c r="GE130" s="664">
        <v>0.5</v>
      </c>
      <c r="GF130" s="664">
        <v>0.4</v>
      </c>
      <c r="GG130" s="664">
        <v>0.09</v>
      </c>
      <c r="GH130" s="664">
        <v>0.01</v>
      </c>
      <c r="GI130" s="187" t="s">
        <v>1054</v>
      </c>
    </row>
    <row r="131" spans="1:191" s="187" customFormat="1" x14ac:dyDescent="0.2">
      <c r="B131" s="429" t="s">
        <v>339</v>
      </c>
      <c r="C131" s="429" t="s">
        <v>338</v>
      </c>
      <c r="D131" s="208">
        <v>-867703</v>
      </c>
      <c r="E131" s="208">
        <v>0</v>
      </c>
      <c r="F131" s="208">
        <v>-867703</v>
      </c>
      <c r="G131" s="208">
        <v>-865285</v>
      </c>
      <c r="H131" s="208">
        <v>0</v>
      </c>
      <c r="I131" s="208">
        <v>-865285</v>
      </c>
      <c r="J131" s="208">
        <v>-2418</v>
      </c>
      <c r="K131" s="208">
        <v>0</v>
      </c>
      <c r="L131" s="208">
        <v>-2418</v>
      </c>
      <c r="M131" s="208">
        <v>137914</v>
      </c>
      <c r="N131" s="208">
        <v>137914</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0</v>
      </c>
      <c r="BM131" s="208">
        <v>0</v>
      </c>
      <c r="BN131" s="208">
        <v>0</v>
      </c>
      <c r="BO131" s="208">
        <v>954935.85904999997</v>
      </c>
      <c r="BP131" s="208">
        <v>214860.56828625</v>
      </c>
      <c r="BQ131" s="208">
        <v>23873.396476250004</v>
      </c>
      <c r="BR131" s="208">
        <v>69232</v>
      </c>
      <c r="BS131" s="208">
        <v>15577</v>
      </c>
      <c r="BT131" s="208">
        <v>1731</v>
      </c>
      <c r="BU131" s="208">
        <v>932688</v>
      </c>
      <c r="BV131" s="208">
        <v>209855</v>
      </c>
      <c r="BW131" s="208">
        <v>23317</v>
      </c>
      <c r="BX131" s="208">
        <v>91480</v>
      </c>
      <c r="BY131" s="208">
        <v>20583</v>
      </c>
      <c r="BZ131" s="208">
        <v>2287</v>
      </c>
      <c r="CA131" s="208">
        <v>1413.6708333333336</v>
      </c>
      <c r="CB131" s="208">
        <v>318.07593750000001</v>
      </c>
      <c r="CC131" s="208">
        <v>35.341770833333335</v>
      </c>
      <c r="CD131" s="208">
        <v>0</v>
      </c>
      <c r="CE131" s="208">
        <v>0</v>
      </c>
      <c r="CF131" s="208">
        <v>0</v>
      </c>
      <c r="CG131" s="208">
        <v>1414</v>
      </c>
      <c r="CH131" s="208">
        <v>318</v>
      </c>
      <c r="CI131" s="208">
        <v>35</v>
      </c>
      <c r="CJ131" s="208">
        <v>0</v>
      </c>
      <c r="CK131" s="208">
        <v>0</v>
      </c>
      <c r="CL131" s="208">
        <v>0</v>
      </c>
      <c r="CM131" s="208">
        <v>0</v>
      </c>
      <c r="CN131" s="208">
        <v>0</v>
      </c>
      <c r="CO131" s="208">
        <v>0</v>
      </c>
      <c r="CP131" s="208">
        <v>0</v>
      </c>
      <c r="CQ131" s="208">
        <v>0</v>
      </c>
      <c r="CR131" s="208">
        <v>0</v>
      </c>
      <c r="CS131" s="208">
        <v>0</v>
      </c>
      <c r="CT131" s="208">
        <v>0</v>
      </c>
      <c r="CU131" s="208">
        <v>0</v>
      </c>
      <c r="CV131" s="208">
        <v>0</v>
      </c>
      <c r="CW131" s="208">
        <v>0</v>
      </c>
      <c r="CX131" s="208">
        <v>0</v>
      </c>
      <c r="CY131" s="208">
        <v>0</v>
      </c>
      <c r="CZ131" s="208">
        <v>0</v>
      </c>
      <c r="DA131" s="208">
        <v>0</v>
      </c>
      <c r="DB131" s="208">
        <v>0</v>
      </c>
      <c r="DC131" s="208">
        <v>0</v>
      </c>
      <c r="DD131" s="208">
        <v>0</v>
      </c>
      <c r="DE131" s="208">
        <v>927.99</v>
      </c>
      <c r="DF131" s="208">
        <v>208.79774999999998</v>
      </c>
      <c r="DG131" s="208">
        <v>23.199749999999998</v>
      </c>
      <c r="DH131" s="208">
        <v>928</v>
      </c>
      <c r="DI131" s="208">
        <v>209</v>
      </c>
      <c r="DJ131" s="208">
        <v>23</v>
      </c>
      <c r="DK131" s="208">
        <v>0</v>
      </c>
      <c r="DL131" s="208">
        <v>0</v>
      </c>
      <c r="DM131" s="208">
        <v>0</v>
      </c>
      <c r="DN131" s="208">
        <v>0</v>
      </c>
      <c r="DO131" s="208">
        <v>0</v>
      </c>
      <c r="DP131" s="208">
        <v>0</v>
      </c>
      <c r="DQ131" s="208">
        <v>0</v>
      </c>
      <c r="DR131" s="208">
        <v>0</v>
      </c>
      <c r="DS131" s="208">
        <v>0</v>
      </c>
      <c r="DT131" s="208">
        <v>0</v>
      </c>
      <c r="DU131" s="208">
        <v>0</v>
      </c>
      <c r="DV131" s="208">
        <v>0</v>
      </c>
      <c r="DW131" s="208">
        <v>1538.4666666666667</v>
      </c>
      <c r="DX131" s="208">
        <v>346.15499999999997</v>
      </c>
      <c r="DY131" s="208">
        <v>38.461666666666666</v>
      </c>
      <c r="DZ131" s="208">
        <v>845</v>
      </c>
      <c r="EA131" s="208">
        <v>190</v>
      </c>
      <c r="EB131" s="208">
        <v>21</v>
      </c>
      <c r="EC131" s="208">
        <v>693</v>
      </c>
      <c r="ED131" s="208">
        <v>156</v>
      </c>
      <c r="EE131" s="208">
        <v>17</v>
      </c>
      <c r="EF131" s="208">
        <v>31733.33</v>
      </c>
      <c r="EG131" s="208">
        <v>7139.9992499999998</v>
      </c>
      <c r="EH131" s="208">
        <v>793.33325000000002</v>
      </c>
      <c r="EI131" s="208">
        <v>-1136.2558333333334</v>
      </c>
      <c r="EJ131" s="208">
        <v>-255.65756249999998</v>
      </c>
      <c r="EK131" s="208">
        <v>-28.406395833333331</v>
      </c>
      <c r="EL131" s="208">
        <v>34740</v>
      </c>
      <c r="EM131" s="208">
        <v>7816</v>
      </c>
      <c r="EN131" s="208">
        <v>868</v>
      </c>
      <c r="EO131" s="208">
        <v>-4143</v>
      </c>
      <c r="EP131" s="208">
        <v>-932</v>
      </c>
      <c r="EQ131" s="208">
        <v>-103</v>
      </c>
      <c r="ER131" s="208">
        <v>5587.1708333333336</v>
      </c>
      <c r="ES131" s="208">
        <v>1257.1134374999999</v>
      </c>
      <c r="ET131" s="208">
        <v>139.67927083333333</v>
      </c>
      <c r="EU131" s="208">
        <v>6546</v>
      </c>
      <c r="EV131" s="208">
        <v>1473</v>
      </c>
      <c r="EW131" s="208">
        <v>164</v>
      </c>
      <c r="EX131" s="208">
        <v>-959</v>
      </c>
      <c r="EY131" s="208">
        <v>-216</v>
      </c>
      <c r="EZ131" s="208">
        <v>-24</v>
      </c>
      <c r="FA131" s="208">
        <v>0</v>
      </c>
      <c r="FB131" s="208">
        <v>0</v>
      </c>
      <c r="FC131" s="208">
        <v>0</v>
      </c>
      <c r="FD131" s="208">
        <v>0</v>
      </c>
      <c r="FE131" s="208">
        <v>0</v>
      </c>
      <c r="FF131" s="208">
        <v>0</v>
      </c>
      <c r="FG131" s="208">
        <v>0</v>
      </c>
      <c r="FH131" s="208">
        <v>0</v>
      </c>
      <c r="FI131" s="208">
        <v>0</v>
      </c>
      <c r="FJ131" s="208">
        <v>318696.99583333329</v>
      </c>
      <c r="FK131" s="208">
        <v>71706.824062499989</v>
      </c>
      <c r="FL131" s="208">
        <v>7967.4248958333328</v>
      </c>
      <c r="FM131" s="208">
        <v>320217</v>
      </c>
      <c r="FN131" s="208">
        <v>72049</v>
      </c>
      <c r="FO131" s="208">
        <v>8005</v>
      </c>
      <c r="FP131" s="208">
        <v>-1520</v>
      </c>
      <c r="FQ131" s="208">
        <v>-342</v>
      </c>
      <c r="FR131" s="208">
        <v>-38</v>
      </c>
      <c r="FS131" s="208">
        <v>0</v>
      </c>
      <c r="FT131" s="208">
        <v>0</v>
      </c>
      <c r="FU131" s="208">
        <v>0</v>
      </c>
      <c r="FV131" s="208">
        <v>0</v>
      </c>
      <c r="FW131" s="208">
        <v>0</v>
      </c>
      <c r="FX131" s="208">
        <v>0</v>
      </c>
      <c r="FY131" s="208">
        <v>0</v>
      </c>
      <c r="FZ131" s="208">
        <v>0</v>
      </c>
      <c r="GA131" s="208">
        <v>0</v>
      </c>
      <c r="GB131" s="208">
        <v>1382929</v>
      </c>
      <c r="GC131" s="208">
        <v>311159</v>
      </c>
      <c r="GD131" s="208">
        <v>34572</v>
      </c>
      <c r="GE131" s="664">
        <v>0.5</v>
      </c>
      <c r="GF131" s="664">
        <v>0.4</v>
      </c>
      <c r="GG131" s="664">
        <v>0.09</v>
      </c>
      <c r="GH131" s="664">
        <v>0.01</v>
      </c>
      <c r="GI131" s="187" t="s">
        <v>1054</v>
      </c>
    </row>
    <row r="132" spans="1:191" s="187" customFormat="1" x14ac:dyDescent="0.2">
      <c r="A132" s="188"/>
      <c r="B132" s="429" t="s">
        <v>341</v>
      </c>
      <c r="C132" s="429" t="s">
        <v>340</v>
      </c>
      <c r="D132" s="208">
        <v>1575672</v>
      </c>
      <c r="E132" s="208">
        <v>0</v>
      </c>
      <c r="F132" s="208">
        <v>1575672</v>
      </c>
      <c r="G132" s="208">
        <v>988735</v>
      </c>
      <c r="H132" s="208">
        <v>0</v>
      </c>
      <c r="I132" s="208">
        <v>988735</v>
      </c>
      <c r="J132" s="208">
        <v>586937</v>
      </c>
      <c r="K132" s="208">
        <v>0</v>
      </c>
      <c r="L132" s="208">
        <v>586937</v>
      </c>
      <c r="M132" s="208">
        <v>272140</v>
      </c>
      <c r="N132" s="208">
        <v>272140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0</v>
      </c>
      <c r="BM132" s="208">
        <v>0</v>
      </c>
      <c r="BN132" s="208">
        <v>0</v>
      </c>
      <c r="BO132" s="208">
        <v>3253329.7799119996</v>
      </c>
      <c r="BP132" s="208">
        <v>1829998.0012005002</v>
      </c>
      <c r="BQ132" s="208">
        <v>0</v>
      </c>
      <c r="BR132" s="208">
        <v>184948</v>
      </c>
      <c r="BS132" s="208">
        <v>104033</v>
      </c>
      <c r="BT132" s="208">
        <v>0</v>
      </c>
      <c r="BU132" s="208">
        <v>2969426</v>
      </c>
      <c r="BV132" s="208">
        <v>1670302</v>
      </c>
      <c r="BW132" s="208">
        <v>0</v>
      </c>
      <c r="BX132" s="208">
        <v>468852</v>
      </c>
      <c r="BY132" s="208">
        <v>263729</v>
      </c>
      <c r="BZ132" s="208">
        <v>0</v>
      </c>
      <c r="CA132" s="208">
        <v>0</v>
      </c>
      <c r="CB132" s="208">
        <v>0</v>
      </c>
      <c r="CC132" s="208">
        <v>0</v>
      </c>
      <c r="CD132" s="208">
        <v>0</v>
      </c>
      <c r="CE132" s="208">
        <v>0</v>
      </c>
      <c r="CF132" s="208">
        <v>0</v>
      </c>
      <c r="CG132" s="208">
        <v>0</v>
      </c>
      <c r="CH132" s="208">
        <v>0</v>
      </c>
      <c r="CI132" s="208">
        <v>0</v>
      </c>
      <c r="CJ132" s="208">
        <v>0</v>
      </c>
      <c r="CK132" s="208">
        <v>0</v>
      </c>
      <c r="CL132" s="208">
        <v>0</v>
      </c>
      <c r="CM132" s="208">
        <v>-15760.35368</v>
      </c>
      <c r="CN132" s="208">
        <v>-8865.1989450000001</v>
      </c>
      <c r="CO132" s="208">
        <v>0</v>
      </c>
      <c r="CP132" s="208">
        <v>0</v>
      </c>
      <c r="CQ132" s="208">
        <v>0</v>
      </c>
      <c r="CR132" s="208">
        <v>0</v>
      </c>
      <c r="CS132" s="208">
        <v>0</v>
      </c>
      <c r="CT132" s="208">
        <v>0</v>
      </c>
      <c r="CU132" s="208">
        <v>0</v>
      </c>
      <c r="CV132" s="208">
        <v>0</v>
      </c>
      <c r="CW132" s="208">
        <v>0</v>
      </c>
      <c r="CX132" s="208">
        <v>0</v>
      </c>
      <c r="CY132" s="208">
        <v>0</v>
      </c>
      <c r="CZ132" s="208">
        <v>0</v>
      </c>
      <c r="DA132" s="208">
        <v>0</v>
      </c>
      <c r="DB132" s="208">
        <v>0</v>
      </c>
      <c r="DC132" s="208">
        <v>0</v>
      </c>
      <c r="DD132" s="208">
        <v>0</v>
      </c>
      <c r="DE132" s="208">
        <v>0</v>
      </c>
      <c r="DF132" s="208">
        <v>0</v>
      </c>
      <c r="DG132" s="208">
        <v>0</v>
      </c>
      <c r="DH132" s="208">
        <v>0</v>
      </c>
      <c r="DI132" s="208">
        <v>0</v>
      </c>
      <c r="DJ132" s="208">
        <v>0</v>
      </c>
      <c r="DK132" s="208">
        <v>0</v>
      </c>
      <c r="DL132" s="208">
        <v>0</v>
      </c>
      <c r="DM132" s="208">
        <v>0</v>
      </c>
      <c r="DN132" s="208">
        <v>0</v>
      </c>
      <c r="DO132" s="208">
        <v>0</v>
      </c>
      <c r="DP132" s="208">
        <v>0</v>
      </c>
      <c r="DQ132" s="208">
        <v>0</v>
      </c>
      <c r="DR132" s="208">
        <v>0</v>
      </c>
      <c r="DS132" s="208">
        <v>0</v>
      </c>
      <c r="DT132" s="208">
        <v>0</v>
      </c>
      <c r="DU132" s="208">
        <v>0</v>
      </c>
      <c r="DV132" s="208">
        <v>0</v>
      </c>
      <c r="DW132" s="208">
        <v>76134.459999999992</v>
      </c>
      <c r="DX132" s="208">
        <v>42825.633749999994</v>
      </c>
      <c r="DY132" s="208">
        <v>0</v>
      </c>
      <c r="DZ132" s="208">
        <v>64184</v>
      </c>
      <c r="EA132" s="208">
        <v>36103</v>
      </c>
      <c r="EB132" s="208">
        <v>0</v>
      </c>
      <c r="EC132" s="208">
        <v>11950</v>
      </c>
      <c r="ED132" s="208">
        <v>6723</v>
      </c>
      <c r="EE132" s="208">
        <v>0</v>
      </c>
      <c r="EF132" s="208">
        <v>308437.03466666664</v>
      </c>
      <c r="EG132" s="208">
        <v>173495.83199999999</v>
      </c>
      <c r="EH132" s="208">
        <v>0</v>
      </c>
      <c r="EI132" s="208">
        <v>-12614.117333333334</v>
      </c>
      <c r="EJ132" s="208">
        <v>-7095.4409999999998</v>
      </c>
      <c r="EK132" s="208">
        <v>0</v>
      </c>
      <c r="EL132" s="208">
        <v>314609</v>
      </c>
      <c r="EM132" s="208">
        <v>176968</v>
      </c>
      <c r="EN132" s="208">
        <v>0</v>
      </c>
      <c r="EO132" s="208">
        <v>-18786</v>
      </c>
      <c r="EP132" s="208">
        <v>-10568</v>
      </c>
      <c r="EQ132" s="208">
        <v>0</v>
      </c>
      <c r="ER132" s="208">
        <v>13862.566666666666</v>
      </c>
      <c r="ES132" s="208">
        <v>7797.6937499999995</v>
      </c>
      <c r="ET132" s="208">
        <v>0</v>
      </c>
      <c r="EU132" s="208">
        <v>16728</v>
      </c>
      <c r="EV132" s="208">
        <v>9409</v>
      </c>
      <c r="EW132" s="208">
        <v>0</v>
      </c>
      <c r="EX132" s="208">
        <v>-2865</v>
      </c>
      <c r="EY132" s="208">
        <v>-1611</v>
      </c>
      <c r="EZ132" s="208">
        <v>0</v>
      </c>
      <c r="FA132" s="208">
        <v>0</v>
      </c>
      <c r="FB132" s="208">
        <v>0</v>
      </c>
      <c r="FC132" s="208">
        <v>0</v>
      </c>
      <c r="FD132" s="208">
        <v>0</v>
      </c>
      <c r="FE132" s="208">
        <v>0</v>
      </c>
      <c r="FF132" s="208">
        <v>0</v>
      </c>
      <c r="FG132" s="208">
        <v>0</v>
      </c>
      <c r="FH132" s="208">
        <v>0</v>
      </c>
      <c r="FI132" s="208">
        <v>0</v>
      </c>
      <c r="FJ132" s="208">
        <v>1157181.96</v>
      </c>
      <c r="FK132" s="208">
        <v>650914.85249999992</v>
      </c>
      <c r="FL132" s="208">
        <v>0</v>
      </c>
      <c r="FM132" s="208">
        <v>1183033</v>
      </c>
      <c r="FN132" s="208">
        <v>665456</v>
      </c>
      <c r="FO132" s="208">
        <v>0</v>
      </c>
      <c r="FP132" s="208">
        <v>-25851</v>
      </c>
      <c r="FQ132" s="208">
        <v>-14541</v>
      </c>
      <c r="FR132" s="208">
        <v>0</v>
      </c>
      <c r="FS132" s="208">
        <v>0</v>
      </c>
      <c r="FT132" s="208">
        <v>0</v>
      </c>
      <c r="FU132" s="208">
        <v>0</v>
      </c>
      <c r="FV132" s="208">
        <v>0</v>
      </c>
      <c r="FW132" s="208">
        <v>0</v>
      </c>
      <c r="FX132" s="208">
        <v>0</v>
      </c>
      <c r="FY132" s="208">
        <v>0</v>
      </c>
      <c r="FZ132" s="208">
        <v>0</v>
      </c>
      <c r="GA132" s="208">
        <v>0</v>
      </c>
      <c r="GB132" s="208">
        <v>4965520</v>
      </c>
      <c r="GC132" s="208">
        <v>2793106</v>
      </c>
      <c r="GD132" s="208">
        <v>0</v>
      </c>
      <c r="GE132" s="664">
        <v>0</v>
      </c>
      <c r="GF132" s="664">
        <v>0.64</v>
      </c>
      <c r="GG132" s="664">
        <v>0.36</v>
      </c>
      <c r="GH132" s="664">
        <v>0</v>
      </c>
      <c r="GI132" s="187" t="s">
        <v>1055</v>
      </c>
    </row>
    <row r="133" spans="1:191" s="187" customFormat="1" x14ac:dyDescent="0.2">
      <c r="B133" s="429" t="s">
        <v>343</v>
      </c>
      <c r="C133" s="429" t="s">
        <v>342</v>
      </c>
      <c r="D133" s="208">
        <v>821473</v>
      </c>
      <c r="E133" s="208">
        <v>-13099</v>
      </c>
      <c r="F133" s="208">
        <v>808374</v>
      </c>
      <c r="G133" s="208">
        <v>0</v>
      </c>
      <c r="H133" s="208">
        <v>0</v>
      </c>
      <c r="I133" s="208">
        <v>0</v>
      </c>
      <c r="J133" s="208">
        <v>821473</v>
      </c>
      <c r="K133" s="208">
        <v>-13099</v>
      </c>
      <c r="L133" s="208">
        <v>808374</v>
      </c>
      <c r="M133" s="208">
        <v>300791</v>
      </c>
      <c r="N133" s="208">
        <v>300791</v>
      </c>
      <c r="O133" s="208">
        <v>0</v>
      </c>
      <c r="P133" s="208">
        <v>77445</v>
      </c>
      <c r="Q133" s="208">
        <v>137465</v>
      </c>
      <c r="R133" s="208">
        <v>-60020</v>
      </c>
      <c r="S133" s="208">
        <v>177704</v>
      </c>
      <c r="T133" s="208">
        <v>0</v>
      </c>
      <c r="U133" s="208">
        <v>256239</v>
      </c>
      <c r="V133" s="208">
        <v>0</v>
      </c>
      <c r="W133" s="208">
        <v>-78535</v>
      </c>
      <c r="X133" s="208">
        <v>0</v>
      </c>
      <c r="Y133" s="208">
        <v>0</v>
      </c>
      <c r="Z133" s="208">
        <v>0</v>
      </c>
      <c r="AA133" s="208">
        <v>0</v>
      </c>
      <c r="AB133" s="208">
        <v>0</v>
      </c>
      <c r="AC133" s="208">
        <v>0</v>
      </c>
      <c r="AD133" s="208">
        <v>0</v>
      </c>
      <c r="AE133" s="208">
        <v>0</v>
      </c>
      <c r="AF133" s="208">
        <v>0</v>
      </c>
      <c r="AG133" s="208">
        <v>0</v>
      </c>
      <c r="AH133" s="208">
        <v>350269</v>
      </c>
      <c r="AI133" s="208">
        <v>350269.17083333334</v>
      </c>
      <c r="AJ133" s="208">
        <v>0</v>
      </c>
      <c r="AK133" s="208">
        <v>0</v>
      </c>
      <c r="AL133" s="208">
        <v>350000</v>
      </c>
      <c r="AM133" s="208">
        <v>350000</v>
      </c>
      <c r="AN133" s="208">
        <v>0</v>
      </c>
      <c r="AO133" s="208">
        <v>0</v>
      </c>
      <c r="AP133" s="208">
        <v>269</v>
      </c>
      <c r="AQ133" s="208">
        <v>269</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0</v>
      </c>
      <c r="BM133" s="208">
        <v>0</v>
      </c>
      <c r="BN133" s="208">
        <v>0</v>
      </c>
      <c r="BO133" s="208">
        <v>2872802.0428324994</v>
      </c>
      <c r="BP133" s="208">
        <v>0</v>
      </c>
      <c r="BQ133" s="208">
        <v>57528.428667499997</v>
      </c>
      <c r="BR133" s="208">
        <v>159155</v>
      </c>
      <c r="BS133" s="208">
        <v>0</v>
      </c>
      <c r="BT133" s="208">
        <v>3145</v>
      </c>
      <c r="BU133" s="208">
        <v>2704247</v>
      </c>
      <c r="BV133" s="208">
        <v>0</v>
      </c>
      <c r="BW133" s="208">
        <v>54052</v>
      </c>
      <c r="BX133" s="208">
        <v>327710</v>
      </c>
      <c r="BY133" s="208">
        <v>0</v>
      </c>
      <c r="BZ133" s="208">
        <v>6621</v>
      </c>
      <c r="CA133" s="208">
        <v>0</v>
      </c>
      <c r="CB133" s="208">
        <v>0</v>
      </c>
      <c r="CC133" s="208">
        <v>0</v>
      </c>
      <c r="CD133" s="208">
        <v>0</v>
      </c>
      <c r="CE133" s="208">
        <v>0</v>
      </c>
      <c r="CF133" s="208">
        <v>0</v>
      </c>
      <c r="CG133" s="208">
        <v>0</v>
      </c>
      <c r="CH133" s="208">
        <v>0</v>
      </c>
      <c r="CI133" s="208">
        <v>0</v>
      </c>
      <c r="CJ133" s="208">
        <v>0</v>
      </c>
      <c r="CK133" s="208">
        <v>0</v>
      </c>
      <c r="CL133" s="208">
        <v>0</v>
      </c>
      <c r="CM133" s="208">
        <v>-608.49220833333334</v>
      </c>
      <c r="CN133" s="208">
        <v>0</v>
      </c>
      <c r="CO133" s="208">
        <v>-12.418208333333334</v>
      </c>
      <c r="CP133" s="208">
        <v>-3.0073750000000001</v>
      </c>
      <c r="CQ133" s="208">
        <v>0</v>
      </c>
      <c r="CR133" s="208">
        <v>-6.1375000000000006E-2</v>
      </c>
      <c r="CS133" s="208">
        <v>0</v>
      </c>
      <c r="CT133" s="208">
        <v>0</v>
      </c>
      <c r="CU133" s="208">
        <v>0</v>
      </c>
      <c r="CV133" s="208">
        <v>0</v>
      </c>
      <c r="CW133" s="208">
        <v>0</v>
      </c>
      <c r="CX133" s="208">
        <v>0</v>
      </c>
      <c r="CY133" s="208">
        <v>0</v>
      </c>
      <c r="CZ133" s="208">
        <v>0</v>
      </c>
      <c r="DA133" s="208">
        <v>0</v>
      </c>
      <c r="DB133" s="208">
        <v>0</v>
      </c>
      <c r="DC133" s="208">
        <v>0</v>
      </c>
      <c r="DD133" s="208">
        <v>0</v>
      </c>
      <c r="DE133" s="208">
        <v>40434.156874999993</v>
      </c>
      <c r="DF133" s="208">
        <v>0</v>
      </c>
      <c r="DG133" s="208">
        <v>825.18687499999999</v>
      </c>
      <c r="DH133" s="208">
        <v>42690</v>
      </c>
      <c r="DI133" s="208">
        <v>0</v>
      </c>
      <c r="DJ133" s="208">
        <v>871</v>
      </c>
      <c r="DK133" s="208">
        <v>-2256</v>
      </c>
      <c r="DL133" s="208">
        <v>0</v>
      </c>
      <c r="DM133" s="208">
        <v>-46</v>
      </c>
      <c r="DN133" s="208">
        <v>751.84375</v>
      </c>
      <c r="DO133" s="208">
        <v>0</v>
      </c>
      <c r="DP133" s="208">
        <v>15.34375</v>
      </c>
      <c r="DQ133" s="208">
        <v>752</v>
      </c>
      <c r="DR133" s="208">
        <v>0</v>
      </c>
      <c r="DS133" s="208">
        <v>15</v>
      </c>
      <c r="DT133" s="208">
        <v>0</v>
      </c>
      <c r="DU133" s="208">
        <v>0</v>
      </c>
      <c r="DV133" s="208">
        <v>0</v>
      </c>
      <c r="DW133" s="208">
        <v>67962.665166666658</v>
      </c>
      <c r="DX133" s="208">
        <v>0</v>
      </c>
      <c r="DY133" s="208">
        <v>1386.9931666666666</v>
      </c>
      <c r="DZ133" s="208">
        <v>62653</v>
      </c>
      <c r="EA133" s="208">
        <v>0</v>
      </c>
      <c r="EB133" s="208">
        <v>1279</v>
      </c>
      <c r="EC133" s="208">
        <v>5310</v>
      </c>
      <c r="ED133" s="208">
        <v>0</v>
      </c>
      <c r="EE133" s="208">
        <v>108</v>
      </c>
      <c r="EF133" s="208">
        <v>58317.011083333331</v>
      </c>
      <c r="EG133" s="208">
        <v>0</v>
      </c>
      <c r="EH133" s="208">
        <v>1190.1430833333334</v>
      </c>
      <c r="EI133" s="208">
        <v>38355.559520833332</v>
      </c>
      <c r="EJ133" s="208">
        <v>0</v>
      </c>
      <c r="EK133" s="208">
        <v>782.7665208333334</v>
      </c>
      <c r="EL133" s="208">
        <v>95233</v>
      </c>
      <c r="EM133" s="208">
        <v>0</v>
      </c>
      <c r="EN133" s="208">
        <v>1944</v>
      </c>
      <c r="EO133" s="208">
        <v>1440</v>
      </c>
      <c r="EP133" s="208">
        <v>0</v>
      </c>
      <c r="EQ133" s="208">
        <v>29</v>
      </c>
      <c r="ER133" s="208">
        <v>29022.171208333333</v>
      </c>
      <c r="ES133" s="208">
        <v>0</v>
      </c>
      <c r="ET133" s="208">
        <v>592.28920833333336</v>
      </c>
      <c r="EU133" s="208">
        <v>52629</v>
      </c>
      <c r="EV133" s="208">
        <v>0</v>
      </c>
      <c r="EW133" s="208">
        <v>1074</v>
      </c>
      <c r="EX133" s="208">
        <v>-23607</v>
      </c>
      <c r="EY133" s="208">
        <v>0</v>
      </c>
      <c r="EZ133" s="208">
        <v>-482</v>
      </c>
      <c r="FA133" s="208">
        <v>0</v>
      </c>
      <c r="FB133" s="208">
        <v>0</v>
      </c>
      <c r="FC133" s="208">
        <v>0</v>
      </c>
      <c r="FD133" s="208">
        <v>0</v>
      </c>
      <c r="FE133" s="208">
        <v>0</v>
      </c>
      <c r="FF133" s="208">
        <v>0</v>
      </c>
      <c r="FG133" s="208">
        <v>0</v>
      </c>
      <c r="FH133" s="208">
        <v>0</v>
      </c>
      <c r="FI133" s="208">
        <v>0</v>
      </c>
      <c r="FJ133" s="208">
        <v>516301.57860416663</v>
      </c>
      <c r="FK133" s="208">
        <v>0</v>
      </c>
      <c r="FL133" s="208">
        <v>10417.437020833333</v>
      </c>
      <c r="FM133" s="208">
        <v>534321</v>
      </c>
      <c r="FN133" s="208">
        <v>0</v>
      </c>
      <c r="FO133" s="208">
        <v>10557</v>
      </c>
      <c r="FP133" s="208">
        <v>-18019</v>
      </c>
      <c r="FQ133" s="208">
        <v>0</v>
      </c>
      <c r="FR133" s="208">
        <v>-140</v>
      </c>
      <c r="FS133" s="208">
        <v>0</v>
      </c>
      <c r="FT133" s="208">
        <v>0</v>
      </c>
      <c r="FU133" s="208">
        <v>0</v>
      </c>
      <c r="FV133" s="208">
        <v>0</v>
      </c>
      <c r="FW133" s="208">
        <v>0</v>
      </c>
      <c r="FX133" s="208">
        <v>0</v>
      </c>
      <c r="FY133" s="208">
        <v>0</v>
      </c>
      <c r="FZ133" s="208">
        <v>0</v>
      </c>
      <c r="GA133" s="208">
        <v>0</v>
      </c>
      <c r="GB133" s="208">
        <v>3782492</v>
      </c>
      <c r="GC133" s="208">
        <v>0</v>
      </c>
      <c r="GD133" s="208">
        <v>75870</v>
      </c>
      <c r="GE133" s="664">
        <v>0.5</v>
      </c>
      <c r="GF133" s="664">
        <v>0.49</v>
      </c>
      <c r="GG133" s="664">
        <v>0</v>
      </c>
      <c r="GH133" s="664">
        <v>0.01</v>
      </c>
      <c r="GI133" s="187" t="s">
        <v>742</v>
      </c>
    </row>
    <row r="134" spans="1:191" s="187" customFormat="1" x14ac:dyDescent="0.2">
      <c r="B134" s="429" t="s">
        <v>345</v>
      </c>
      <c r="C134" s="429" t="s">
        <v>344</v>
      </c>
      <c r="D134" s="208">
        <v>-318615</v>
      </c>
      <c r="E134" s="208">
        <v>0</v>
      </c>
      <c r="F134" s="208">
        <v>-318615</v>
      </c>
      <c r="G134" s="208">
        <v>-178363</v>
      </c>
      <c r="H134" s="208">
        <v>0</v>
      </c>
      <c r="I134" s="208">
        <v>-178363</v>
      </c>
      <c r="J134" s="208">
        <v>-140252</v>
      </c>
      <c r="K134" s="208">
        <v>0</v>
      </c>
      <c r="L134" s="208">
        <v>-140252</v>
      </c>
      <c r="M134" s="208">
        <v>151694</v>
      </c>
      <c r="N134" s="208">
        <v>151694</v>
      </c>
      <c r="O134" s="208">
        <v>0</v>
      </c>
      <c r="P134" s="208">
        <v>0</v>
      </c>
      <c r="Q134" s="208">
        <v>0</v>
      </c>
      <c r="R134" s="208">
        <v>0</v>
      </c>
      <c r="S134" s="208">
        <v>0</v>
      </c>
      <c r="T134" s="208">
        <v>0</v>
      </c>
      <c r="U134" s="208">
        <v>0</v>
      </c>
      <c r="V134" s="208">
        <v>0</v>
      </c>
      <c r="W134" s="208">
        <v>0</v>
      </c>
      <c r="X134" s="208">
        <v>0</v>
      </c>
      <c r="Y134" s="208">
        <v>0</v>
      </c>
      <c r="Z134" s="208">
        <v>0</v>
      </c>
      <c r="AA134" s="208">
        <v>0</v>
      </c>
      <c r="AB134" s="208">
        <v>0</v>
      </c>
      <c r="AC134" s="208">
        <v>0</v>
      </c>
      <c r="AD134" s="208">
        <v>0</v>
      </c>
      <c r="AE134" s="208">
        <v>0</v>
      </c>
      <c r="AF134" s="208">
        <v>0</v>
      </c>
      <c r="AG134" s="208">
        <v>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0</v>
      </c>
      <c r="BM134" s="208">
        <v>0</v>
      </c>
      <c r="BN134" s="208">
        <v>0</v>
      </c>
      <c r="BO134" s="208">
        <v>945278.06949249993</v>
      </c>
      <c r="BP134" s="208">
        <v>236319.51737312498</v>
      </c>
      <c r="BQ134" s="208">
        <v>0</v>
      </c>
      <c r="BR134" s="208">
        <v>99731</v>
      </c>
      <c r="BS134" s="208">
        <v>24933</v>
      </c>
      <c r="BT134" s="208">
        <v>0</v>
      </c>
      <c r="BU134" s="208">
        <v>899036</v>
      </c>
      <c r="BV134" s="208">
        <v>224759</v>
      </c>
      <c r="BW134" s="208">
        <v>0</v>
      </c>
      <c r="BX134" s="208">
        <v>145973</v>
      </c>
      <c r="BY134" s="208">
        <v>36494</v>
      </c>
      <c r="BZ134" s="208">
        <v>0</v>
      </c>
      <c r="CA134" s="208">
        <v>0</v>
      </c>
      <c r="CB134" s="208">
        <v>0</v>
      </c>
      <c r="CC134" s="208">
        <v>0</v>
      </c>
      <c r="CD134" s="208">
        <v>0</v>
      </c>
      <c r="CE134" s="208">
        <v>0</v>
      </c>
      <c r="CF134" s="208">
        <v>0</v>
      </c>
      <c r="CG134" s="208">
        <v>0</v>
      </c>
      <c r="CH134" s="208">
        <v>0</v>
      </c>
      <c r="CI134" s="208">
        <v>0</v>
      </c>
      <c r="CJ134" s="208">
        <v>0</v>
      </c>
      <c r="CK134" s="208">
        <v>0</v>
      </c>
      <c r="CL134" s="208">
        <v>0</v>
      </c>
      <c r="CM134" s="208">
        <v>0</v>
      </c>
      <c r="CN134" s="208">
        <v>0</v>
      </c>
      <c r="CO134" s="208">
        <v>0</v>
      </c>
      <c r="CP134" s="208">
        <v>-529.87083333333328</v>
      </c>
      <c r="CQ134" s="208">
        <v>-132.46770833333332</v>
      </c>
      <c r="CR134" s="208">
        <v>0</v>
      </c>
      <c r="CS134" s="208">
        <v>0</v>
      </c>
      <c r="CT134" s="208">
        <v>0</v>
      </c>
      <c r="CU134" s="208">
        <v>0</v>
      </c>
      <c r="CV134" s="208">
        <v>0</v>
      </c>
      <c r="CW134" s="208">
        <v>0</v>
      </c>
      <c r="CX134" s="208">
        <v>0</v>
      </c>
      <c r="CY134" s="208">
        <v>0</v>
      </c>
      <c r="CZ134" s="208">
        <v>0</v>
      </c>
      <c r="DA134" s="208">
        <v>0</v>
      </c>
      <c r="DB134" s="208">
        <v>0</v>
      </c>
      <c r="DC134" s="208">
        <v>0</v>
      </c>
      <c r="DD134" s="208">
        <v>0</v>
      </c>
      <c r="DE134" s="208">
        <v>0</v>
      </c>
      <c r="DF134" s="208">
        <v>0</v>
      </c>
      <c r="DG134" s="208">
        <v>0</v>
      </c>
      <c r="DH134" s="208">
        <v>0</v>
      </c>
      <c r="DI134" s="208">
        <v>0</v>
      </c>
      <c r="DJ134" s="208">
        <v>0</v>
      </c>
      <c r="DK134" s="208">
        <v>0</v>
      </c>
      <c r="DL134" s="208">
        <v>0</v>
      </c>
      <c r="DM134" s="208">
        <v>0</v>
      </c>
      <c r="DN134" s="208">
        <v>0</v>
      </c>
      <c r="DO134" s="208">
        <v>0</v>
      </c>
      <c r="DP134" s="208">
        <v>0</v>
      </c>
      <c r="DQ134" s="208">
        <v>0</v>
      </c>
      <c r="DR134" s="208">
        <v>0</v>
      </c>
      <c r="DS134" s="208">
        <v>0</v>
      </c>
      <c r="DT134" s="208">
        <v>0</v>
      </c>
      <c r="DU134" s="208">
        <v>0</v>
      </c>
      <c r="DV134" s="208">
        <v>0</v>
      </c>
      <c r="DW134" s="208">
        <v>443.1274999999996</v>
      </c>
      <c r="DX134" s="208">
        <v>110.7818749999999</v>
      </c>
      <c r="DY134" s="208">
        <v>0</v>
      </c>
      <c r="DZ134" s="208">
        <v>5757</v>
      </c>
      <c r="EA134" s="208">
        <v>1439</v>
      </c>
      <c r="EB134" s="208">
        <v>0</v>
      </c>
      <c r="EC134" s="208">
        <v>-5314</v>
      </c>
      <c r="ED134" s="208">
        <v>-1328</v>
      </c>
      <c r="EE134" s="208">
        <v>0</v>
      </c>
      <c r="EF134" s="208">
        <v>43147.034166666672</v>
      </c>
      <c r="EG134" s="208">
        <v>10786.758541666668</v>
      </c>
      <c r="EH134" s="208">
        <v>0</v>
      </c>
      <c r="EI134" s="208">
        <v>-971.36166666666668</v>
      </c>
      <c r="EJ134" s="208">
        <v>-242.84041666666667</v>
      </c>
      <c r="EK134" s="208">
        <v>0</v>
      </c>
      <c r="EL134" s="208">
        <v>43781</v>
      </c>
      <c r="EM134" s="208">
        <v>10945</v>
      </c>
      <c r="EN134" s="208">
        <v>0</v>
      </c>
      <c r="EO134" s="208">
        <v>-1605</v>
      </c>
      <c r="EP134" s="208">
        <v>-401</v>
      </c>
      <c r="EQ134" s="208">
        <v>0</v>
      </c>
      <c r="ER134" s="208">
        <v>9590.0483333333323</v>
      </c>
      <c r="ES134" s="208">
        <v>2397.5120833333331</v>
      </c>
      <c r="ET134" s="208">
        <v>0</v>
      </c>
      <c r="EU134" s="208">
        <v>9820</v>
      </c>
      <c r="EV134" s="208">
        <v>2455</v>
      </c>
      <c r="EW134" s="208">
        <v>0</v>
      </c>
      <c r="EX134" s="208">
        <v>-230</v>
      </c>
      <c r="EY134" s="208">
        <v>-57</v>
      </c>
      <c r="EZ134" s="208">
        <v>0</v>
      </c>
      <c r="FA134" s="208">
        <v>0</v>
      </c>
      <c r="FB134" s="208">
        <v>0</v>
      </c>
      <c r="FC134" s="208">
        <v>0</v>
      </c>
      <c r="FD134" s="208">
        <v>0</v>
      </c>
      <c r="FE134" s="208">
        <v>0</v>
      </c>
      <c r="FF134" s="208">
        <v>0</v>
      </c>
      <c r="FG134" s="208">
        <v>0</v>
      </c>
      <c r="FH134" s="208">
        <v>0</v>
      </c>
      <c r="FI134" s="208">
        <v>0</v>
      </c>
      <c r="FJ134" s="208">
        <v>409454.5675</v>
      </c>
      <c r="FK134" s="208">
        <v>102363.641875</v>
      </c>
      <c r="FL134" s="208">
        <v>0</v>
      </c>
      <c r="FM134" s="208">
        <v>414137</v>
      </c>
      <c r="FN134" s="208">
        <v>103534</v>
      </c>
      <c r="FO134" s="208">
        <v>0</v>
      </c>
      <c r="FP134" s="208">
        <v>-4682</v>
      </c>
      <c r="FQ134" s="208">
        <v>-1170</v>
      </c>
      <c r="FR134" s="208">
        <v>0</v>
      </c>
      <c r="FS134" s="208">
        <v>0</v>
      </c>
      <c r="FT134" s="208">
        <v>0</v>
      </c>
      <c r="FU134" s="208">
        <v>0</v>
      </c>
      <c r="FV134" s="208">
        <v>0</v>
      </c>
      <c r="FW134" s="208">
        <v>0</v>
      </c>
      <c r="FX134" s="208">
        <v>0</v>
      </c>
      <c r="FY134" s="208">
        <v>0</v>
      </c>
      <c r="FZ134" s="208">
        <v>0</v>
      </c>
      <c r="GA134" s="208">
        <v>0</v>
      </c>
      <c r="GB134" s="208">
        <v>1506143</v>
      </c>
      <c r="GC134" s="208">
        <v>376538</v>
      </c>
      <c r="GD134" s="208">
        <v>0</v>
      </c>
      <c r="GE134" s="664">
        <v>0.5</v>
      </c>
      <c r="GF134" s="664">
        <v>0.4</v>
      </c>
      <c r="GG134" s="664">
        <v>0.1</v>
      </c>
      <c r="GH134" s="664">
        <v>0</v>
      </c>
      <c r="GI134" s="187" t="s">
        <v>1054</v>
      </c>
    </row>
    <row r="135" spans="1:191" s="187" customFormat="1" x14ac:dyDescent="0.2">
      <c r="B135" s="429" t="s">
        <v>347</v>
      </c>
      <c r="C135" s="429" t="s">
        <v>346</v>
      </c>
      <c r="D135" s="208">
        <v>1186010</v>
      </c>
      <c r="E135" s="208">
        <v>0</v>
      </c>
      <c r="F135" s="208">
        <v>1186010</v>
      </c>
      <c r="G135" s="208">
        <v>1281778</v>
      </c>
      <c r="H135" s="208">
        <v>0</v>
      </c>
      <c r="I135" s="208">
        <v>1281778</v>
      </c>
      <c r="J135" s="208">
        <v>-95768</v>
      </c>
      <c r="K135" s="208">
        <v>0</v>
      </c>
      <c r="L135" s="208">
        <v>-95768</v>
      </c>
      <c r="M135" s="208">
        <v>136210</v>
      </c>
      <c r="N135" s="208">
        <v>136210</v>
      </c>
      <c r="O135" s="208">
        <v>0</v>
      </c>
      <c r="P135" s="208">
        <v>0</v>
      </c>
      <c r="Q135" s="208">
        <v>0</v>
      </c>
      <c r="R135" s="208">
        <v>0</v>
      </c>
      <c r="S135" s="208">
        <v>0</v>
      </c>
      <c r="T135" s="208">
        <v>0</v>
      </c>
      <c r="U135" s="208">
        <v>0</v>
      </c>
      <c r="V135" s="208">
        <v>0</v>
      </c>
      <c r="W135" s="208">
        <v>0</v>
      </c>
      <c r="X135" s="208">
        <v>0</v>
      </c>
      <c r="Y135" s="208">
        <v>0</v>
      </c>
      <c r="Z135" s="208">
        <v>0</v>
      </c>
      <c r="AA135" s="208">
        <v>0</v>
      </c>
      <c r="AB135" s="208">
        <v>0</v>
      </c>
      <c r="AC135" s="208">
        <v>0</v>
      </c>
      <c r="AD135" s="208">
        <v>0</v>
      </c>
      <c r="AE135" s="208">
        <v>0</v>
      </c>
      <c r="AF135" s="208">
        <v>0</v>
      </c>
      <c r="AG135" s="208">
        <v>0</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8">
        <v>0</v>
      </c>
      <c r="AZ135" s="208">
        <v>0</v>
      </c>
      <c r="BA135" s="208">
        <v>0</v>
      </c>
      <c r="BB135" s="208">
        <v>0</v>
      </c>
      <c r="BC135" s="208">
        <v>0</v>
      </c>
      <c r="BD135" s="208">
        <v>0</v>
      </c>
      <c r="BE135" s="208">
        <v>0</v>
      </c>
      <c r="BF135" s="208">
        <v>0</v>
      </c>
      <c r="BG135" s="208">
        <v>0</v>
      </c>
      <c r="BH135" s="208">
        <v>0</v>
      </c>
      <c r="BI135" s="208">
        <v>0</v>
      </c>
      <c r="BJ135" s="208">
        <v>0</v>
      </c>
      <c r="BK135" s="208">
        <v>0</v>
      </c>
      <c r="BL135" s="208">
        <v>0</v>
      </c>
      <c r="BM135" s="208">
        <v>0</v>
      </c>
      <c r="BN135" s="208">
        <v>0</v>
      </c>
      <c r="BO135" s="208">
        <v>1411499.7187927084</v>
      </c>
      <c r="BP135" s="208">
        <v>1383269.7244168539</v>
      </c>
      <c r="BQ135" s="208">
        <v>28229.99437585417</v>
      </c>
      <c r="BR135" s="208">
        <v>77407</v>
      </c>
      <c r="BS135" s="208">
        <v>75858</v>
      </c>
      <c r="BT135" s="208">
        <v>1548</v>
      </c>
      <c r="BU135" s="208">
        <v>1371785</v>
      </c>
      <c r="BV135" s="208">
        <v>1344349</v>
      </c>
      <c r="BW135" s="208">
        <v>27436</v>
      </c>
      <c r="BX135" s="208">
        <v>117122</v>
      </c>
      <c r="BY135" s="208">
        <v>114779</v>
      </c>
      <c r="BZ135" s="208">
        <v>2342</v>
      </c>
      <c r="CA135" s="208">
        <v>0</v>
      </c>
      <c r="CB135" s="208">
        <v>0</v>
      </c>
      <c r="CC135" s="208">
        <v>0</v>
      </c>
      <c r="CD135" s="208">
        <v>0</v>
      </c>
      <c r="CE135" s="208">
        <v>0</v>
      </c>
      <c r="CF135" s="208">
        <v>0</v>
      </c>
      <c r="CG135" s="208">
        <v>0</v>
      </c>
      <c r="CH135" s="208">
        <v>0</v>
      </c>
      <c r="CI135" s="208">
        <v>0</v>
      </c>
      <c r="CJ135" s="208">
        <v>0</v>
      </c>
      <c r="CK135" s="208">
        <v>0</v>
      </c>
      <c r="CL135" s="208">
        <v>0</v>
      </c>
      <c r="CM135" s="208">
        <v>0</v>
      </c>
      <c r="CN135" s="208">
        <v>0</v>
      </c>
      <c r="CO135" s="208">
        <v>0</v>
      </c>
      <c r="CP135" s="208">
        <v>418.88437499999998</v>
      </c>
      <c r="CQ135" s="208">
        <v>410.5066875</v>
      </c>
      <c r="CR135" s="208">
        <v>8.3776875000000004</v>
      </c>
      <c r="CS135" s="208">
        <v>0</v>
      </c>
      <c r="CT135" s="208">
        <v>0</v>
      </c>
      <c r="CU135" s="208">
        <v>0</v>
      </c>
      <c r="CV135" s="208">
        <v>0</v>
      </c>
      <c r="CW135" s="208">
        <v>0</v>
      </c>
      <c r="CX135" s="208">
        <v>0</v>
      </c>
      <c r="CY135" s="208">
        <v>0</v>
      </c>
      <c r="CZ135" s="208">
        <v>0</v>
      </c>
      <c r="DA135" s="208">
        <v>0</v>
      </c>
      <c r="DB135" s="208">
        <v>0</v>
      </c>
      <c r="DC135" s="208">
        <v>0</v>
      </c>
      <c r="DD135" s="208">
        <v>0</v>
      </c>
      <c r="DE135" s="208">
        <v>4898.2364583333338</v>
      </c>
      <c r="DF135" s="208">
        <v>4800.2717291666668</v>
      </c>
      <c r="DG135" s="208">
        <v>97.964729166666672</v>
      </c>
      <c r="DH135" s="208">
        <v>4591</v>
      </c>
      <c r="DI135" s="208">
        <v>4499</v>
      </c>
      <c r="DJ135" s="208">
        <v>92</v>
      </c>
      <c r="DK135" s="208">
        <v>307</v>
      </c>
      <c r="DL135" s="208">
        <v>301</v>
      </c>
      <c r="DM135" s="208">
        <v>6</v>
      </c>
      <c r="DN135" s="208">
        <v>-8.1833333333333336</v>
      </c>
      <c r="DO135" s="208">
        <v>-8.0196666666666676</v>
      </c>
      <c r="DP135" s="208">
        <v>-0.16366666666666668</v>
      </c>
      <c r="DQ135" s="208">
        <v>767</v>
      </c>
      <c r="DR135" s="208">
        <v>752</v>
      </c>
      <c r="DS135" s="208">
        <v>15</v>
      </c>
      <c r="DT135" s="208">
        <v>-775</v>
      </c>
      <c r="DU135" s="208">
        <v>-760</v>
      </c>
      <c r="DV135" s="208">
        <v>-15</v>
      </c>
      <c r="DW135" s="208">
        <v>23354.210416666665</v>
      </c>
      <c r="DX135" s="208">
        <v>22887.126208333335</v>
      </c>
      <c r="DY135" s="208">
        <v>467.08420833333332</v>
      </c>
      <c r="DZ135" s="208">
        <v>22683</v>
      </c>
      <c r="EA135" s="208">
        <v>22230</v>
      </c>
      <c r="EB135" s="208">
        <v>454</v>
      </c>
      <c r="EC135" s="208">
        <v>671</v>
      </c>
      <c r="ED135" s="208">
        <v>657</v>
      </c>
      <c r="EE135" s="208">
        <v>13</v>
      </c>
      <c r="EF135" s="208">
        <v>77795.369791666672</v>
      </c>
      <c r="EG135" s="208">
        <v>76239.46239583334</v>
      </c>
      <c r="EH135" s="208">
        <v>1555.9073958333336</v>
      </c>
      <c r="EI135" s="208">
        <v>-2309.234375</v>
      </c>
      <c r="EJ135" s="208">
        <v>-2263.0496874999999</v>
      </c>
      <c r="EK135" s="208">
        <v>-46.184687500000003</v>
      </c>
      <c r="EL135" s="208">
        <v>89151</v>
      </c>
      <c r="EM135" s="208">
        <v>87368</v>
      </c>
      <c r="EN135" s="208">
        <v>1783</v>
      </c>
      <c r="EO135" s="208">
        <v>-13665</v>
      </c>
      <c r="EP135" s="208">
        <v>-13392</v>
      </c>
      <c r="EQ135" s="208">
        <v>-273</v>
      </c>
      <c r="ER135" s="208">
        <v>32473.512500000001</v>
      </c>
      <c r="ES135" s="208">
        <v>31824.042249999999</v>
      </c>
      <c r="ET135" s="208">
        <v>649.47024999999996</v>
      </c>
      <c r="EU135" s="208">
        <v>30062</v>
      </c>
      <c r="EV135" s="208">
        <v>29461</v>
      </c>
      <c r="EW135" s="208">
        <v>601</v>
      </c>
      <c r="EX135" s="208">
        <v>2412</v>
      </c>
      <c r="EY135" s="208">
        <v>2363</v>
      </c>
      <c r="EZ135" s="208">
        <v>48</v>
      </c>
      <c r="FA135" s="208">
        <v>0</v>
      </c>
      <c r="FB135" s="208">
        <v>0</v>
      </c>
      <c r="FC135" s="208">
        <v>0</v>
      </c>
      <c r="FD135" s="208">
        <v>0</v>
      </c>
      <c r="FE135" s="208">
        <v>0</v>
      </c>
      <c r="FF135" s="208">
        <v>0</v>
      </c>
      <c r="FG135" s="208">
        <v>0</v>
      </c>
      <c r="FH135" s="208">
        <v>0</v>
      </c>
      <c r="FI135" s="208">
        <v>0</v>
      </c>
      <c r="FJ135" s="208">
        <v>294559.92499999999</v>
      </c>
      <c r="FK135" s="208">
        <v>288668.72649999999</v>
      </c>
      <c r="FL135" s="208">
        <v>5891.1984999999995</v>
      </c>
      <c r="FM135" s="208">
        <v>298120</v>
      </c>
      <c r="FN135" s="208">
        <v>292158</v>
      </c>
      <c r="FO135" s="208">
        <v>5962</v>
      </c>
      <c r="FP135" s="208">
        <v>-3560</v>
      </c>
      <c r="FQ135" s="208">
        <v>-3489</v>
      </c>
      <c r="FR135" s="208">
        <v>-71</v>
      </c>
      <c r="FS135" s="208">
        <v>0</v>
      </c>
      <c r="FT135" s="208">
        <v>0</v>
      </c>
      <c r="FU135" s="208">
        <v>0</v>
      </c>
      <c r="FV135" s="208">
        <v>0</v>
      </c>
      <c r="FW135" s="208">
        <v>0</v>
      </c>
      <c r="FX135" s="208">
        <v>0</v>
      </c>
      <c r="FY135" s="208">
        <v>0</v>
      </c>
      <c r="FZ135" s="208">
        <v>0</v>
      </c>
      <c r="GA135" s="208">
        <v>0</v>
      </c>
      <c r="GB135" s="208">
        <v>1920090</v>
      </c>
      <c r="GC135" s="208">
        <v>1881687</v>
      </c>
      <c r="GD135" s="208">
        <v>38401</v>
      </c>
      <c r="GE135" s="664">
        <v>0</v>
      </c>
      <c r="GF135" s="664">
        <v>0.5</v>
      </c>
      <c r="GG135" s="664">
        <v>0.49</v>
      </c>
      <c r="GH135" s="664">
        <v>0.01</v>
      </c>
      <c r="GI135" s="187" t="s">
        <v>1054</v>
      </c>
    </row>
    <row r="136" spans="1:191" s="187" customFormat="1" x14ac:dyDescent="0.2">
      <c r="B136" s="429" t="s">
        <v>349</v>
      </c>
      <c r="C136" s="429" t="s">
        <v>348</v>
      </c>
      <c r="D136" s="208">
        <v>-18682822</v>
      </c>
      <c r="E136" s="208">
        <v>0</v>
      </c>
      <c r="F136" s="208">
        <v>-18682822</v>
      </c>
      <c r="G136" s="208">
        <v>-19503964</v>
      </c>
      <c r="H136" s="208">
        <v>0</v>
      </c>
      <c r="I136" s="208">
        <v>-19503964</v>
      </c>
      <c r="J136" s="208">
        <v>821142</v>
      </c>
      <c r="K136" s="208">
        <v>0</v>
      </c>
      <c r="L136" s="208">
        <v>821142</v>
      </c>
      <c r="M136" s="208">
        <v>574046</v>
      </c>
      <c r="N136" s="208">
        <v>574046</v>
      </c>
      <c r="O136" s="208">
        <v>0</v>
      </c>
      <c r="P136" s="208">
        <v>0</v>
      </c>
      <c r="Q136" s="208">
        <v>0</v>
      </c>
      <c r="R136" s="208">
        <v>0</v>
      </c>
      <c r="S136" s="208">
        <v>0</v>
      </c>
      <c r="T136" s="208">
        <v>0</v>
      </c>
      <c r="U136" s="208">
        <v>0</v>
      </c>
      <c r="V136" s="208">
        <v>0</v>
      </c>
      <c r="W136" s="208">
        <v>0</v>
      </c>
      <c r="X136" s="208">
        <v>0</v>
      </c>
      <c r="Y136" s="208">
        <v>0</v>
      </c>
      <c r="Z136" s="208">
        <v>0</v>
      </c>
      <c r="AA136" s="208">
        <v>0</v>
      </c>
      <c r="AB136" s="208">
        <v>0</v>
      </c>
      <c r="AC136" s="208">
        <v>0</v>
      </c>
      <c r="AD136" s="208">
        <v>0</v>
      </c>
      <c r="AE136" s="208">
        <v>0</v>
      </c>
      <c r="AF136" s="208">
        <v>0</v>
      </c>
      <c r="AG136" s="208">
        <v>0</v>
      </c>
      <c r="AH136" s="208">
        <v>0</v>
      </c>
      <c r="AI136" s="208">
        <v>0</v>
      </c>
      <c r="AJ136" s="208">
        <v>0</v>
      </c>
      <c r="AK136" s="208">
        <v>0</v>
      </c>
      <c r="AL136" s="208">
        <v>0</v>
      </c>
      <c r="AM136" s="208">
        <v>0</v>
      </c>
      <c r="AN136" s="208">
        <v>0</v>
      </c>
      <c r="AO136" s="208">
        <v>0</v>
      </c>
      <c r="AP136" s="208">
        <v>0</v>
      </c>
      <c r="AQ136" s="208">
        <v>0</v>
      </c>
      <c r="AR136" s="208">
        <v>0</v>
      </c>
      <c r="AS136" s="208">
        <v>0</v>
      </c>
      <c r="AT136" s="208">
        <v>0</v>
      </c>
      <c r="AU136" s="208">
        <v>0</v>
      </c>
      <c r="AV136" s="208">
        <v>0</v>
      </c>
      <c r="AW136" s="208">
        <v>0</v>
      </c>
      <c r="AX136" s="208">
        <v>0</v>
      </c>
      <c r="AY136" s="208">
        <v>0</v>
      </c>
      <c r="AZ136" s="208">
        <v>0</v>
      </c>
      <c r="BA136" s="208">
        <v>0</v>
      </c>
      <c r="BB136" s="208">
        <v>0</v>
      </c>
      <c r="BC136" s="208">
        <v>0</v>
      </c>
      <c r="BD136" s="208">
        <v>0</v>
      </c>
      <c r="BE136" s="208">
        <v>0</v>
      </c>
      <c r="BF136" s="208">
        <v>0</v>
      </c>
      <c r="BG136" s="208">
        <v>0</v>
      </c>
      <c r="BH136" s="208">
        <v>0</v>
      </c>
      <c r="BI136" s="208">
        <v>0</v>
      </c>
      <c r="BJ136" s="208">
        <v>0</v>
      </c>
      <c r="BK136" s="208">
        <v>0</v>
      </c>
      <c r="BL136" s="208">
        <v>0</v>
      </c>
      <c r="BM136" s="208">
        <v>0</v>
      </c>
      <c r="BN136" s="208">
        <v>0</v>
      </c>
      <c r="BO136" s="208">
        <v>3352338.1623120005</v>
      </c>
      <c r="BP136" s="208">
        <v>1885690.2163004999</v>
      </c>
      <c r="BQ136" s="208">
        <v>0</v>
      </c>
      <c r="BR136" s="208">
        <v>201500</v>
      </c>
      <c r="BS136" s="208">
        <v>113344</v>
      </c>
      <c r="BT136" s="208">
        <v>0</v>
      </c>
      <c r="BU136" s="208">
        <v>3024560</v>
      </c>
      <c r="BV136" s="208">
        <v>1701315</v>
      </c>
      <c r="BW136" s="208">
        <v>0</v>
      </c>
      <c r="BX136" s="208">
        <v>529278</v>
      </c>
      <c r="BY136" s="208">
        <v>297719</v>
      </c>
      <c r="BZ136" s="208">
        <v>0</v>
      </c>
      <c r="CA136" s="208">
        <v>0</v>
      </c>
      <c r="CB136" s="208">
        <v>0</v>
      </c>
      <c r="CC136" s="208">
        <v>0</v>
      </c>
      <c r="CD136" s="208">
        <v>0</v>
      </c>
      <c r="CE136" s="208">
        <v>0</v>
      </c>
      <c r="CF136" s="208">
        <v>0</v>
      </c>
      <c r="CG136" s="208">
        <v>0</v>
      </c>
      <c r="CH136" s="208">
        <v>0</v>
      </c>
      <c r="CI136" s="208">
        <v>0</v>
      </c>
      <c r="CJ136" s="208">
        <v>0</v>
      </c>
      <c r="CK136" s="208">
        <v>0</v>
      </c>
      <c r="CL136" s="208">
        <v>0</v>
      </c>
      <c r="CM136" s="208">
        <v>-2055.6533333333336</v>
      </c>
      <c r="CN136" s="208">
        <v>-1156.3050000000001</v>
      </c>
      <c r="CO136" s="208">
        <v>0</v>
      </c>
      <c r="CP136" s="208">
        <v>0</v>
      </c>
      <c r="CQ136" s="208">
        <v>0</v>
      </c>
      <c r="CR136" s="208">
        <v>0</v>
      </c>
      <c r="CS136" s="208">
        <v>0</v>
      </c>
      <c r="CT136" s="208">
        <v>0</v>
      </c>
      <c r="CU136" s="208">
        <v>0</v>
      </c>
      <c r="CV136" s="208">
        <v>0</v>
      </c>
      <c r="CW136" s="208">
        <v>0</v>
      </c>
      <c r="CX136" s="208">
        <v>0</v>
      </c>
      <c r="CY136" s="208">
        <v>0</v>
      </c>
      <c r="CZ136" s="208">
        <v>0</v>
      </c>
      <c r="DA136" s="208">
        <v>0</v>
      </c>
      <c r="DB136" s="208">
        <v>0</v>
      </c>
      <c r="DC136" s="208">
        <v>0</v>
      </c>
      <c r="DD136" s="208">
        <v>0</v>
      </c>
      <c r="DE136" s="208">
        <v>0</v>
      </c>
      <c r="DF136" s="208">
        <v>0</v>
      </c>
      <c r="DG136" s="208">
        <v>0</v>
      </c>
      <c r="DH136" s="208">
        <v>0</v>
      </c>
      <c r="DI136" s="208">
        <v>0</v>
      </c>
      <c r="DJ136" s="208">
        <v>0</v>
      </c>
      <c r="DK136" s="208">
        <v>0</v>
      </c>
      <c r="DL136" s="208">
        <v>0</v>
      </c>
      <c r="DM136" s="208">
        <v>0</v>
      </c>
      <c r="DN136" s="208">
        <v>0</v>
      </c>
      <c r="DO136" s="208">
        <v>0</v>
      </c>
      <c r="DP136" s="208">
        <v>0</v>
      </c>
      <c r="DQ136" s="208">
        <v>0</v>
      </c>
      <c r="DR136" s="208">
        <v>0</v>
      </c>
      <c r="DS136" s="208">
        <v>0</v>
      </c>
      <c r="DT136" s="208">
        <v>0</v>
      </c>
      <c r="DU136" s="208">
        <v>0</v>
      </c>
      <c r="DV136" s="208">
        <v>0</v>
      </c>
      <c r="DW136" s="208">
        <v>20253.422666666665</v>
      </c>
      <c r="DX136" s="208">
        <v>11392.55025</v>
      </c>
      <c r="DY136" s="208">
        <v>0</v>
      </c>
      <c r="DZ136" s="208">
        <v>24223</v>
      </c>
      <c r="EA136" s="208">
        <v>13625</v>
      </c>
      <c r="EB136" s="208">
        <v>0</v>
      </c>
      <c r="EC136" s="208">
        <v>-3970</v>
      </c>
      <c r="ED136" s="208">
        <v>-2232</v>
      </c>
      <c r="EE136" s="208">
        <v>0</v>
      </c>
      <c r="EF136" s="208">
        <v>264846.70933333336</v>
      </c>
      <c r="EG136" s="208">
        <v>148976.274</v>
      </c>
      <c r="EH136" s="208">
        <v>0</v>
      </c>
      <c r="EI136" s="208">
        <v>-8811.1586666666681</v>
      </c>
      <c r="EJ136" s="208">
        <v>-4956.27675</v>
      </c>
      <c r="EK136" s="208">
        <v>0</v>
      </c>
      <c r="EL136" s="208">
        <v>269723</v>
      </c>
      <c r="EM136" s="208">
        <v>151719</v>
      </c>
      <c r="EN136" s="208">
        <v>0</v>
      </c>
      <c r="EO136" s="208">
        <v>-13687</v>
      </c>
      <c r="EP136" s="208">
        <v>-7699</v>
      </c>
      <c r="EQ136" s="208">
        <v>0</v>
      </c>
      <c r="ER136" s="208">
        <v>19779.444</v>
      </c>
      <c r="ES136" s="208">
        <v>11125.937250000001</v>
      </c>
      <c r="ET136" s="208">
        <v>0</v>
      </c>
      <c r="EU136" s="208">
        <v>28150</v>
      </c>
      <c r="EV136" s="208">
        <v>15835</v>
      </c>
      <c r="EW136" s="208">
        <v>0</v>
      </c>
      <c r="EX136" s="208">
        <v>-8371</v>
      </c>
      <c r="EY136" s="208">
        <v>-4709</v>
      </c>
      <c r="EZ136" s="208">
        <v>0</v>
      </c>
      <c r="FA136" s="208">
        <v>0</v>
      </c>
      <c r="FB136" s="208">
        <v>0</v>
      </c>
      <c r="FC136" s="208">
        <v>0</v>
      </c>
      <c r="FD136" s="208">
        <v>0</v>
      </c>
      <c r="FE136" s="208">
        <v>0</v>
      </c>
      <c r="FF136" s="208">
        <v>0</v>
      </c>
      <c r="FG136" s="208">
        <v>0</v>
      </c>
      <c r="FH136" s="208">
        <v>0</v>
      </c>
      <c r="FI136" s="208">
        <v>0</v>
      </c>
      <c r="FJ136" s="208">
        <v>5369886.2506666668</v>
      </c>
      <c r="FK136" s="208">
        <v>3020561.0159999998</v>
      </c>
      <c r="FL136" s="208">
        <v>0</v>
      </c>
      <c r="FM136" s="208">
        <v>5356857</v>
      </c>
      <c r="FN136" s="208">
        <v>3013232</v>
      </c>
      <c r="FO136" s="208">
        <v>0</v>
      </c>
      <c r="FP136" s="208">
        <v>13029</v>
      </c>
      <c r="FQ136" s="208">
        <v>7329</v>
      </c>
      <c r="FR136" s="208">
        <v>0</v>
      </c>
      <c r="FS136" s="208">
        <v>0</v>
      </c>
      <c r="FT136" s="208">
        <v>0</v>
      </c>
      <c r="FU136" s="208">
        <v>0</v>
      </c>
      <c r="FV136" s="208">
        <v>0</v>
      </c>
      <c r="FW136" s="208">
        <v>0</v>
      </c>
      <c r="FX136" s="208">
        <v>0</v>
      </c>
      <c r="FY136" s="208">
        <v>0</v>
      </c>
      <c r="FZ136" s="208">
        <v>0</v>
      </c>
      <c r="GA136" s="208">
        <v>0</v>
      </c>
      <c r="GB136" s="208">
        <v>9217736</v>
      </c>
      <c r="GC136" s="208">
        <v>5184978</v>
      </c>
      <c r="GD136" s="208">
        <v>0</v>
      </c>
      <c r="GE136" s="664">
        <v>0</v>
      </c>
      <c r="GF136" s="664">
        <v>0.64</v>
      </c>
      <c r="GG136" s="664">
        <v>0.36</v>
      </c>
      <c r="GH136" s="664">
        <v>0</v>
      </c>
      <c r="GI136" s="187" t="s">
        <v>1055</v>
      </c>
    </row>
    <row r="137" spans="1:191" s="187" customFormat="1" x14ac:dyDescent="0.2">
      <c r="A137" s="188"/>
      <c r="B137" s="429" t="s">
        <v>351</v>
      </c>
      <c r="C137" s="429" t="s">
        <v>350</v>
      </c>
      <c r="D137" s="208">
        <v>450778</v>
      </c>
      <c r="E137" s="208">
        <v>-13601</v>
      </c>
      <c r="F137" s="208">
        <v>437177</v>
      </c>
      <c r="G137" s="208">
        <v>747059</v>
      </c>
      <c r="H137" s="208">
        <v>-18121</v>
      </c>
      <c r="I137" s="208">
        <v>728938</v>
      </c>
      <c r="J137" s="208">
        <v>-296281</v>
      </c>
      <c r="K137" s="208">
        <v>4520</v>
      </c>
      <c r="L137" s="208">
        <v>-291761</v>
      </c>
      <c r="M137" s="208">
        <v>126266</v>
      </c>
      <c r="N137" s="208">
        <v>126266</v>
      </c>
      <c r="O137" s="208">
        <v>0</v>
      </c>
      <c r="P137" s="208">
        <v>80136</v>
      </c>
      <c r="Q137" s="208">
        <v>156352</v>
      </c>
      <c r="R137" s="208">
        <v>-76216</v>
      </c>
      <c r="S137" s="208">
        <v>78899</v>
      </c>
      <c r="T137" s="208">
        <v>0</v>
      </c>
      <c r="U137" s="208">
        <v>104147</v>
      </c>
      <c r="V137" s="208">
        <v>0</v>
      </c>
      <c r="W137" s="208">
        <v>-25248</v>
      </c>
      <c r="X137" s="208">
        <v>0</v>
      </c>
      <c r="Y137" s="208">
        <v>0</v>
      </c>
      <c r="Z137" s="208">
        <v>0</v>
      </c>
      <c r="AA137" s="208">
        <v>0</v>
      </c>
      <c r="AB137" s="208">
        <v>0</v>
      </c>
      <c r="AC137" s="208">
        <v>0</v>
      </c>
      <c r="AD137" s="208">
        <v>0</v>
      </c>
      <c r="AE137" s="208">
        <v>0</v>
      </c>
      <c r="AF137" s="208">
        <v>0</v>
      </c>
      <c r="AG137" s="208">
        <v>0</v>
      </c>
      <c r="AH137" s="208">
        <v>224049</v>
      </c>
      <c r="AI137" s="208">
        <v>224049.4375</v>
      </c>
      <c r="AJ137" s="208">
        <v>0</v>
      </c>
      <c r="AK137" s="208">
        <v>0</v>
      </c>
      <c r="AL137" s="208">
        <v>144170</v>
      </c>
      <c r="AM137" s="208">
        <v>144170</v>
      </c>
      <c r="AN137" s="208">
        <v>0</v>
      </c>
      <c r="AO137" s="208">
        <v>0</v>
      </c>
      <c r="AP137" s="208">
        <v>79879</v>
      </c>
      <c r="AQ137" s="208">
        <v>79879</v>
      </c>
      <c r="AR137" s="208">
        <v>0</v>
      </c>
      <c r="AS137" s="208">
        <v>0</v>
      </c>
      <c r="AT137" s="208">
        <v>0</v>
      </c>
      <c r="AU137" s="208">
        <v>0</v>
      </c>
      <c r="AV137" s="208">
        <v>0</v>
      </c>
      <c r="AW137" s="208">
        <v>0</v>
      </c>
      <c r="AX137" s="208">
        <v>0</v>
      </c>
      <c r="AY137" s="208">
        <v>0</v>
      </c>
      <c r="AZ137" s="208">
        <v>0</v>
      </c>
      <c r="BA137" s="208">
        <v>0</v>
      </c>
      <c r="BB137" s="208">
        <v>0</v>
      </c>
      <c r="BC137" s="208">
        <v>0</v>
      </c>
      <c r="BD137" s="208">
        <v>0</v>
      </c>
      <c r="BE137" s="208">
        <v>0</v>
      </c>
      <c r="BF137" s="208">
        <v>0</v>
      </c>
      <c r="BG137" s="208">
        <v>0</v>
      </c>
      <c r="BH137" s="208">
        <v>0</v>
      </c>
      <c r="BI137" s="208">
        <v>0</v>
      </c>
      <c r="BJ137" s="208">
        <v>0</v>
      </c>
      <c r="BK137" s="208">
        <v>0</v>
      </c>
      <c r="BL137" s="208">
        <v>0</v>
      </c>
      <c r="BM137" s="208">
        <v>0</v>
      </c>
      <c r="BN137" s="208">
        <v>0</v>
      </c>
      <c r="BO137" s="208">
        <v>1015978.9626900002</v>
      </c>
      <c r="BP137" s="208">
        <v>228595.26660525004</v>
      </c>
      <c r="BQ137" s="208">
        <v>25399.474067250001</v>
      </c>
      <c r="BR137" s="208">
        <v>65610</v>
      </c>
      <c r="BS137" s="208">
        <v>14376</v>
      </c>
      <c r="BT137" s="208">
        <v>1597</v>
      </c>
      <c r="BU137" s="208">
        <v>1011698</v>
      </c>
      <c r="BV137" s="208">
        <v>227632</v>
      </c>
      <c r="BW137" s="208">
        <v>25292</v>
      </c>
      <c r="BX137" s="208">
        <v>69891</v>
      </c>
      <c r="BY137" s="208">
        <v>15339</v>
      </c>
      <c r="BZ137" s="208">
        <v>1704</v>
      </c>
      <c r="CA137" s="208">
        <v>-347.79166666666674</v>
      </c>
      <c r="CB137" s="208">
        <v>-78.25312500000004</v>
      </c>
      <c r="CC137" s="208">
        <v>-8.6947916666666742</v>
      </c>
      <c r="CD137" s="208">
        <v>2583</v>
      </c>
      <c r="CE137" s="208">
        <v>581</v>
      </c>
      <c r="CF137" s="208">
        <v>65</v>
      </c>
      <c r="CG137" s="208">
        <v>-2931</v>
      </c>
      <c r="CH137" s="208">
        <v>-659</v>
      </c>
      <c r="CI137" s="208">
        <v>-74</v>
      </c>
      <c r="CJ137" s="208">
        <v>0</v>
      </c>
      <c r="CK137" s="208">
        <v>0</v>
      </c>
      <c r="CL137" s="208">
        <v>0</v>
      </c>
      <c r="CM137" s="208">
        <v>0</v>
      </c>
      <c r="CN137" s="208">
        <v>0</v>
      </c>
      <c r="CO137" s="208">
        <v>0</v>
      </c>
      <c r="CP137" s="208">
        <v>-280.27916666666664</v>
      </c>
      <c r="CQ137" s="208">
        <v>-63.062812499999993</v>
      </c>
      <c r="CR137" s="208">
        <v>-7.0069791666666665</v>
      </c>
      <c r="CS137" s="208">
        <v>0</v>
      </c>
      <c r="CT137" s="208">
        <v>0</v>
      </c>
      <c r="CU137" s="208">
        <v>0</v>
      </c>
      <c r="CV137" s="208">
        <v>0</v>
      </c>
      <c r="CW137" s="208">
        <v>0</v>
      </c>
      <c r="CX137" s="208">
        <v>0</v>
      </c>
      <c r="CY137" s="208">
        <v>0</v>
      </c>
      <c r="CZ137" s="208">
        <v>0</v>
      </c>
      <c r="DA137" s="208">
        <v>0</v>
      </c>
      <c r="DB137" s="208">
        <v>0</v>
      </c>
      <c r="DC137" s="208">
        <v>0</v>
      </c>
      <c r="DD137" s="208">
        <v>0</v>
      </c>
      <c r="DE137" s="208">
        <v>2040.105</v>
      </c>
      <c r="DF137" s="208">
        <v>459.02362499999998</v>
      </c>
      <c r="DG137" s="208">
        <v>51.002625000000002</v>
      </c>
      <c r="DH137" s="208">
        <v>2896</v>
      </c>
      <c r="DI137" s="208">
        <v>651</v>
      </c>
      <c r="DJ137" s="208">
        <v>72</v>
      </c>
      <c r="DK137" s="208">
        <v>-856</v>
      </c>
      <c r="DL137" s="208">
        <v>-192</v>
      </c>
      <c r="DM137" s="208">
        <v>-21</v>
      </c>
      <c r="DN137" s="208">
        <v>479.13416666666666</v>
      </c>
      <c r="DO137" s="208">
        <v>107.80518749999999</v>
      </c>
      <c r="DP137" s="208">
        <v>11.978354166666666</v>
      </c>
      <c r="DQ137" s="208">
        <v>614</v>
      </c>
      <c r="DR137" s="208">
        <v>138</v>
      </c>
      <c r="DS137" s="208">
        <v>15</v>
      </c>
      <c r="DT137" s="208">
        <v>-135</v>
      </c>
      <c r="DU137" s="208">
        <v>-30</v>
      </c>
      <c r="DV137" s="208">
        <v>-3</v>
      </c>
      <c r="DW137" s="208">
        <v>14753.731666666667</v>
      </c>
      <c r="DX137" s="208">
        <v>3319.5896250000001</v>
      </c>
      <c r="DY137" s="208">
        <v>368.84329166666669</v>
      </c>
      <c r="DZ137" s="208">
        <v>17014</v>
      </c>
      <c r="EA137" s="208">
        <v>3828</v>
      </c>
      <c r="EB137" s="208">
        <v>425</v>
      </c>
      <c r="EC137" s="208">
        <v>-2260</v>
      </c>
      <c r="ED137" s="208">
        <v>-508</v>
      </c>
      <c r="EE137" s="208">
        <v>-56</v>
      </c>
      <c r="EF137" s="208">
        <v>50566.862500000003</v>
      </c>
      <c r="EG137" s="208">
        <v>11377.544062499999</v>
      </c>
      <c r="EH137" s="208">
        <v>1264.1715624999999</v>
      </c>
      <c r="EI137" s="208">
        <v>-7276.62</v>
      </c>
      <c r="EJ137" s="208">
        <v>-1637.2394999999999</v>
      </c>
      <c r="EK137" s="208">
        <v>-181.91550000000001</v>
      </c>
      <c r="EL137" s="208">
        <v>55449</v>
      </c>
      <c r="EM137" s="208">
        <v>12476</v>
      </c>
      <c r="EN137" s="208">
        <v>1386</v>
      </c>
      <c r="EO137" s="208">
        <v>-12159</v>
      </c>
      <c r="EP137" s="208">
        <v>-2736</v>
      </c>
      <c r="EQ137" s="208">
        <v>-304</v>
      </c>
      <c r="ER137" s="208">
        <v>19745.564999999999</v>
      </c>
      <c r="ES137" s="208">
        <v>4442.752125</v>
      </c>
      <c r="ET137" s="208">
        <v>493.63912499999998</v>
      </c>
      <c r="EU137" s="208">
        <v>15958</v>
      </c>
      <c r="EV137" s="208">
        <v>3590</v>
      </c>
      <c r="EW137" s="208">
        <v>399</v>
      </c>
      <c r="EX137" s="208">
        <v>3788</v>
      </c>
      <c r="EY137" s="208">
        <v>853</v>
      </c>
      <c r="EZ137" s="208">
        <v>95</v>
      </c>
      <c r="FA137" s="208">
        <v>0</v>
      </c>
      <c r="FB137" s="208">
        <v>0</v>
      </c>
      <c r="FC137" s="208">
        <v>0</v>
      </c>
      <c r="FD137" s="208">
        <v>0</v>
      </c>
      <c r="FE137" s="208">
        <v>0</v>
      </c>
      <c r="FF137" s="208">
        <v>0</v>
      </c>
      <c r="FG137" s="208">
        <v>0</v>
      </c>
      <c r="FH137" s="208">
        <v>0</v>
      </c>
      <c r="FI137" s="208">
        <v>0</v>
      </c>
      <c r="FJ137" s="208">
        <v>298653.74458333332</v>
      </c>
      <c r="FK137" s="208">
        <v>66377.068312499992</v>
      </c>
      <c r="FL137" s="208">
        <v>7375.2298124999998</v>
      </c>
      <c r="FM137" s="208">
        <v>308477</v>
      </c>
      <c r="FN137" s="208">
        <v>67321</v>
      </c>
      <c r="FO137" s="208">
        <v>7480</v>
      </c>
      <c r="FP137" s="208">
        <v>-9823</v>
      </c>
      <c r="FQ137" s="208">
        <v>-944</v>
      </c>
      <c r="FR137" s="208">
        <v>-105</v>
      </c>
      <c r="FS137" s="208">
        <v>0</v>
      </c>
      <c r="FT137" s="208">
        <v>0</v>
      </c>
      <c r="FU137" s="208">
        <v>0</v>
      </c>
      <c r="FV137" s="208">
        <v>0</v>
      </c>
      <c r="FW137" s="208">
        <v>0</v>
      </c>
      <c r="FX137" s="208">
        <v>0</v>
      </c>
      <c r="FY137" s="208">
        <v>0</v>
      </c>
      <c r="FZ137" s="208">
        <v>0</v>
      </c>
      <c r="GA137" s="208">
        <v>0</v>
      </c>
      <c r="GB137" s="208">
        <v>1459924</v>
      </c>
      <c r="GC137" s="208">
        <v>327278</v>
      </c>
      <c r="GD137" s="208">
        <v>36363</v>
      </c>
      <c r="GE137" s="664">
        <v>0.5</v>
      </c>
      <c r="GF137" s="664">
        <v>0.4</v>
      </c>
      <c r="GG137" s="664">
        <v>0.09</v>
      </c>
      <c r="GH137" s="664">
        <v>0.01</v>
      </c>
      <c r="GI137" s="187" t="s">
        <v>1054</v>
      </c>
    </row>
    <row r="138" spans="1:191" s="187" customFormat="1" x14ac:dyDescent="0.2">
      <c r="B138" s="429" t="s">
        <v>353</v>
      </c>
      <c r="C138" s="429" t="s">
        <v>352</v>
      </c>
      <c r="D138" s="208">
        <v>839149</v>
      </c>
      <c r="E138" s="208">
        <v>0</v>
      </c>
      <c r="F138" s="208">
        <v>839149</v>
      </c>
      <c r="G138" s="208">
        <v>495847</v>
      </c>
      <c r="H138" s="208">
        <v>0</v>
      </c>
      <c r="I138" s="208">
        <v>495847</v>
      </c>
      <c r="J138" s="208">
        <v>343302</v>
      </c>
      <c r="K138" s="208">
        <v>0</v>
      </c>
      <c r="L138" s="208">
        <v>343302</v>
      </c>
      <c r="M138" s="208">
        <v>180268</v>
      </c>
      <c r="N138" s="208">
        <v>180268</v>
      </c>
      <c r="O138" s="208">
        <v>0</v>
      </c>
      <c r="P138" s="208">
        <v>0</v>
      </c>
      <c r="Q138" s="208">
        <v>0</v>
      </c>
      <c r="R138" s="208">
        <v>0</v>
      </c>
      <c r="S138" s="208">
        <v>0</v>
      </c>
      <c r="T138" s="208">
        <v>0</v>
      </c>
      <c r="U138" s="208">
        <v>0</v>
      </c>
      <c r="V138" s="208">
        <v>0</v>
      </c>
      <c r="W138" s="208">
        <v>0</v>
      </c>
      <c r="X138" s="208">
        <v>0</v>
      </c>
      <c r="Y138" s="208">
        <v>0</v>
      </c>
      <c r="Z138" s="208">
        <v>0</v>
      </c>
      <c r="AA138" s="208">
        <v>0</v>
      </c>
      <c r="AB138" s="208">
        <v>0</v>
      </c>
      <c r="AC138" s="208">
        <v>0</v>
      </c>
      <c r="AD138" s="208">
        <v>0</v>
      </c>
      <c r="AE138" s="208">
        <v>0</v>
      </c>
      <c r="AF138" s="208">
        <v>0</v>
      </c>
      <c r="AG138" s="208">
        <v>0</v>
      </c>
      <c r="AH138" s="208">
        <v>0</v>
      </c>
      <c r="AI138" s="208">
        <v>0</v>
      </c>
      <c r="AJ138" s="208">
        <v>0</v>
      </c>
      <c r="AK138" s="208">
        <v>0</v>
      </c>
      <c r="AL138" s="208">
        <v>0</v>
      </c>
      <c r="AM138" s="208">
        <v>0</v>
      </c>
      <c r="AN138" s="208">
        <v>0</v>
      </c>
      <c r="AO138" s="208">
        <v>0</v>
      </c>
      <c r="AP138" s="208">
        <v>0</v>
      </c>
      <c r="AQ138" s="208">
        <v>0</v>
      </c>
      <c r="AR138" s="208">
        <v>0</v>
      </c>
      <c r="AS138" s="208">
        <v>0</v>
      </c>
      <c r="AT138" s="208">
        <v>0</v>
      </c>
      <c r="AU138" s="208">
        <v>0</v>
      </c>
      <c r="AV138" s="208">
        <v>0</v>
      </c>
      <c r="AW138" s="208">
        <v>0</v>
      </c>
      <c r="AX138" s="208">
        <v>0</v>
      </c>
      <c r="AY138" s="208">
        <v>0</v>
      </c>
      <c r="AZ138" s="208">
        <v>0</v>
      </c>
      <c r="BA138" s="208">
        <v>0</v>
      </c>
      <c r="BB138" s="208">
        <v>0</v>
      </c>
      <c r="BC138" s="208">
        <v>0</v>
      </c>
      <c r="BD138" s="208">
        <v>0</v>
      </c>
      <c r="BE138" s="208">
        <v>0</v>
      </c>
      <c r="BF138" s="208">
        <v>0</v>
      </c>
      <c r="BG138" s="208">
        <v>0</v>
      </c>
      <c r="BH138" s="208">
        <v>0</v>
      </c>
      <c r="BI138" s="208">
        <v>0</v>
      </c>
      <c r="BJ138" s="208">
        <v>0</v>
      </c>
      <c r="BK138" s="208">
        <v>0</v>
      </c>
      <c r="BL138" s="208">
        <v>0</v>
      </c>
      <c r="BM138" s="208">
        <v>0</v>
      </c>
      <c r="BN138" s="208">
        <v>0</v>
      </c>
      <c r="BO138" s="208">
        <v>1460697.3378783332</v>
      </c>
      <c r="BP138" s="208">
        <v>365174.33446958329</v>
      </c>
      <c r="BQ138" s="208">
        <v>0</v>
      </c>
      <c r="BR138" s="208">
        <v>120573</v>
      </c>
      <c r="BS138" s="208">
        <v>30143</v>
      </c>
      <c r="BT138" s="208">
        <v>0</v>
      </c>
      <c r="BU138" s="208">
        <v>1389328</v>
      </c>
      <c r="BV138" s="208">
        <v>347332</v>
      </c>
      <c r="BW138" s="208">
        <v>0</v>
      </c>
      <c r="BX138" s="208">
        <v>191942</v>
      </c>
      <c r="BY138" s="208">
        <v>47985</v>
      </c>
      <c r="BZ138" s="208">
        <v>0</v>
      </c>
      <c r="CA138" s="208">
        <v>0</v>
      </c>
      <c r="CB138" s="208">
        <v>0</v>
      </c>
      <c r="CC138" s="208">
        <v>0</v>
      </c>
      <c r="CD138" s="208">
        <v>1433</v>
      </c>
      <c r="CE138" s="208">
        <v>358</v>
      </c>
      <c r="CF138" s="208">
        <v>0</v>
      </c>
      <c r="CG138" s="208">
        <v>-1433</v>
      </c>
      <c r="CH138" s="208">
        <v>-358</v>
      </c>
      <c r="CI138" s="208">
        <v>0</v>
      </c>
      <c r="CJ138" s="208">
        <v>-118.65833333333333</v>
      </c>
      <c r="CK138" s="208">
        <v>-29.664583333333333</v>
      </c>
      <c r="CL138" s="208">
        <v>0</v>
      </c>
      <c r="CM138" s="208">
        <v>0</v>
      </c>
      <c r="CN138" s="208">
        <v>0</v>
      </c>
      <c r="CO138" s="208">
        <v>0</v>
      </c>
      <c r="CP138" s="208">
        <v>0</v>
      </c>
      <c r="CQ138" s="208">
        <v>0</v>
      </c>
      <c r="CR138" s="208">
        <v>0</v>
      </c>
      <c r="CS138" s="208">
        <v>0</v>
      </c>
      <c r="CT138" s="208">
        <v>0</v>
      </c>
      <c r="CU138" s="208">
        <v>0</v>
      </c>
      <c r="CV138" s="208">
        <v>0</v>
      </c>
      <c r="CW138" s="208">
        <v>0</v>
      </c>
      <c r="CX138" s="208">
        <v>0</v>
      </c>
      <c r="CY138" s="208">
        <v>0</v>
      </c>
      <c r="CZ138" s="208">
        <v>0</v>
      </c>
      <c r="DA138" s="208">
        <v>0</v>
      </c>
      <c r="DB138" s="208">
        <v>0</v>
      </c>
      <c r="DC138" s="208">
        <v>0</v>
      </c>
      <c r="DD138" s="208">
        <v>0</v>
      </c>
      <c r="DE138" s="208">
        <v>3791.7474999999999</v>
      </c>
      <c r="DF138" s="208">
        <v>947.93687499999999</v>
      </c>
      <c r="DG138" s="208">
        <v>0</v>
      </c>
      <c r="DH138" s="208">
        <v>3792</v>
      </c>
      <c r="DI138" s="208">
        <v>948</v>
      </c>
      <c r="DJ138" s="208">
        <v>0</v>
      </c>
      <c r="DK138" s="208">
        <v>0</v>
      </c>
      <c r="DL138" s="208">
        <v>0</v>
      </c>
      <c r="DM138" s="208">
        <v>0</v>
      </c>
      <c r="DN138" s="208">
        <v>227.08750000000001</v>
      </c>
      <c r="DO138" s="208">
        <v>56.771875000000001</v>
      </c>
      <c r="DP138" s="208">
        <v>0</v>
      </c>
      <c r="DQ138" s="208">
        <v>0</v>
      </c>
      <c r="DR138" s="208">
        <v>0</v>
      </c>
      <c r="DS138" s="208">
        <v>0</v>
      </c>
      <c r="DT138" s="208">
        <v>227</v>
      </c>
      <c r="DU138" s="208">
        <v>57</v>
      </c>
      <c r="DV138" s="208">
        <v>0</v>
      </c>
      <c r="DW138" s="208">
        <v>14393.255833333335</v>
      </c>
      <c r="DX138" s="208">
        <v>3598.3139583333336</v>
      </c>
      <c r="DY138" s="208">
        <v>0</v>
      </c>
      <c r="DZ138" s="208">
        <v>34940</v>
      </c>
      <c r="EA138" s="208">
        <v>8735</v>
      </c>
      <c r="EB138" s="208">
        <v>0</v>
      </c>
      <c r="EC138" s="208">
        <v>-20547</v>
      </c>
      <c r="ED138" s="208">
        <v>-5137</v>
      </c>
      <c r="EE138" s="208">
        <v>0</v>
      </c>
      <c r="EF138" s="208">
        <v>85468.779166666674</v>
      </c>
      <c r="EG138" s="208">
        <v>21367.194791666669</v>
      </c>
      <c r="EH138" s="208">
        <v>0</v>
      </c>
      <c r="EI138" s="208">
        <v>-418.16833333333335</v>
      </c>
      <c r="EJ138" s="208">
        <v>-104.54208333333334</v>
      </c>
      <c r="EK138" s="208">
        <v>0</v>
      </c>
      <c r="EL138" s="208">
        <v>91511</v>
      </c>
      <c r="EM138" s="208">
        <v>22878</v>
      </c>
      <c r="EN138" s="208">
        <v>0</v>
      </c>
      <c r="EO138" s="208">
        <v>-6460</v>
      </c>
      <c r="EP138" s="208">
        <v>-1615</v>
      </c>
      <c r="EQ138" s="208">
        <v>0</v>
      </c>
      <c r="ER138" s="208">
        <v>19424.778333333332</v>
      </c>
      <c r="ES138" s="208">
        <v>4856.194583333333</v>
      </c>
      <c r="ET138" s="208">
        <v>0</v>
      </c>
      <c r="EU138" s="208">
        <v>21478</v>
      </c>
      <c r="EV138" s="208">
        <v>5370</v>
      </c>
      <c r="EW138" s="208">
        <v>0</v>
      </c>
      <c r="EX138" s="208">
        <v>-2053</v>
      </c>
      <c r="EY138" s="208">
        <v>-514</v>
      </c>
      <c r="EZ138" s="208">
        <v>0</v>
      </c>
      <c r="FA138" s="208">
        <v>0</v>
      </c>
      <c r="FB138" s="208">
        <v>0</v>
      </c>
      <c r="FC138" s="208">
        <v>0</v>
      </c>
      <c r="FD138" s="208">
        <v>0</v>
      </c>
      <c r="FE138" s="208">
        <v>0</v>
      </c>
      <c r="FF138" s="208">
        <v>0</v>
      </c>
      <c r="FG138" s="208">
        <v>0</v>
      </c>
      <c r="FH138" s="208">
        <v>0</v>
      </c>
      <c r="FI138" s="208">
        <v>0</v>
      </c>
      <c r="FJ138" s="208">
        <v>381829.0025</v>
      </c>
      <c r="FK138" s="208">
        <v>95457.250625000001</v>
      </c>
      <c r="FL138" s="208">
        <v>0</v>
      </c>
      <c r="FM138" s="208">
        <v>391192</v>
      </c>
      <c r="FN138" s="208">
        <v>97798</v>
      </c>
      <c r="FO138" s="208">
        <v>0</v>
      </c>
      <c r="FP138" s="208">
        <v>-9363</v>
      </c>
      <c r="FQ138" s="208">
        <v>-2341</v>
      </c>
      <c r="FR138" s="208">
        <v>0</v>
      </c>
      <c r="FS138" s="208">
        <v>0</v>
      </c>
      <c r="FT138" s="208">
        <v>0</v>
      </c>
      <c r="FU138" s="208">
        <v>0</v>
      </c>
      <c r="FV138" s="208">
        <v>0</v>
      </c>
      <c r="FW138" s="208">
        <v>0</v>
      </c>
      <c r="FX138" s="208">
        <v>0</v>
      </c>
      <c r="FY138" s="208">
        <v>0</v>
      </c>
      <c r="FZ138" s="208">
        <v>0</v>
      </c>
      <c r="GA138" s="208">
        <v>0</v>
      </c>
      <c r="GB138" s="208">
        <v>2085868</v>
      </c>
      <c r="GC138" s="208">
        <v>521465</v>
      </c>
      <c r="GD138" s="208">
        <v>0</v>
      </c>
      <c r="GE138" s="664">
        <v>0.5</v>
      </c>
      <c r="GF138" s="664">
        <v>0.4</v>
      </c>
      <c r="GG138" s="664">
        <v>0.1</v>
      </c>
      <c r="GH138" s="664">
        <v>0</v>
      </c>
      <c r="GI138" s="187" t="s">
        <v>1054</v>
      </c>
    </row>
    <row r="139" spans="1:191" s="187" customFormat="1" x14ac:dyDescent="0.2">
      <c r="B139" s="429" t="s">
        <v>355</v>
      </c>
      <c r="C139" s="429" t="s">
        <v>354</v>
      </c>
      <c r="D139" s="208">
        <v>4851730</v>
      </c>
      <c r="E139" s="208">
        <v>0</v>
      </c>
      <c r="F139" s="208">
        <v>4851730</v>
      </c>
      <c r="G139" s="208">
        <v>7707671</v>
      </c>
      <c r="H139" s="208">
        <v>0</v>
      </c>
      <c r="I139" s="208">
        <v>7707671</v>
      </c>
      <c r="J139" s="208">
        <v>-2855941</v>
      </c>
      <c r="K139" s="208">
        <v>0</v>
      </c>
      <c r="L139" s="208">
        <v>-2855941</v>
      </c>
      <c r="M139" s="208">
        <v>418053</v>
      </c>
      <c r="N139" s="208">
        <v>418053</v>
      </c>
      <c r="O139" s="208">
        <v>0</v>
      </c>
      <c r="P139" s="208">
        <v>0</v>
      </c>
      <c r="Q139" s="208">
        <v>0</v>
      </c>
      <c r="R139" s="208">
        <v>0</v>
      </c>
      <c r="S139" s="208">
        <v>0</v>
      </c>
      <c r="T139" s="208">
        <v>0</v>
      </c>
      <c r="U139" s="208">
        <v>0</v>
      </c>
      <c r="V139" s="208">
        <v>0</v>
      </c>
      <c r="W139" s="208">
        <v>0</v>
      </c>
      <c r="X139" s="208">
        <v>0</v>
      </c>
      <c r="Y139" s="208">
        <v>0</v>
      </c>
      <c r="Z139" s="208">
        <v>0</v>
      </c>
      <c r="AA139" s="208">
        <v>0</v>
      </c>
      <c r="AB139" s="208">
        <v>0</v>
      </c>
      <c r="AC139" s="208">
        <v>0</v>
      </c>
      <c r="AD139" s="208">
        <v>0</v>
      </c>
      <c r="AE139" s="208">
        <v>0</v>
      </c>
      <c r="AF139" s="208">
        <v>0</v>
      </c>
      <c r="AG139" s="208">
        <v>0</v>
      </c>
      <c r="AH139" s="208">
        <v>0</v>
      </c>
      <c r="AI139" s="208">
        <v>0</v>
      </c>
      <c r="AJ139" s="208">
        <v>0</v>
      </c>
      <c r="AK139" s="208">
        <v>0</v>
      </c>
      <c r="AL139" s="208">
        <v>0</v>
      </c>
      <c r="AM139" s="208">
        <v>0</v>
      </c>
      <c r="AN139" s="208">
        <v>0</v>
      </c>
      <c r="AO139" s="208">
        <v>0</v>
      </c>
      <c r="AP139" s="208">
        <v>0</v>
      </c>
      <c r="AQ139" s="208">
        <v>0</v>
      </c>
      <c r="AR139" s="208">
        <v>0</v>
      </c>
      <c r="AS139" s="208">
        <v>0</v>
      </c>
      <c r="AT139" s="208">
        <v>0</v>
      </c>
      <c r="AU139" s="208">
        <v>0</v>
      </c>
      <c r="AV139" s="208">
        <v>0</v>
      </c>
      <c r="AW139" s="208">
        <v>0</v>
      </c>
      <c r="AX139" s="208">
        <v>0</v>
      </c>
      <c r="AY139" s="208">
        <v>0</v>
      </c>
      <c r="AZ139" s="208">
        <v>0</v>
      </c>
      <c r="BA139" s="208">
        <v>0</v>
      </c>
      <c r="BB139" s="208">
        <v>0</v>
      </c>
      <c r="BC139" s="208">
        <v>0</v>
      </c>
      <c r="BD139" s="208">
        <v>0</v>
      </c>
      <c r="BE139" s="208">
        <v>0</v>
      </c>
      <c r="BF139" s="208">
        <v>0</v>
      </c>
      <c r="BG139" s="208">
        <v>0</v>
      </c>
      <c r="BH139" s="208">
        <v>0</v>
      </c>
      <c r="BI139" s="208">
        <v>0</v>
      </c>
      <c r="BJ139" s="208">
        <v>0</v>
      </c>
      <c r="BK139" s="208">
        <v>0</v>
      </c>
      <c r="BL139" s="208">
        <v>0</v>
      </c>
      <c r="BM139" s="208">
        <v>0</v>
      </c>
      <c r="BN139" s="208">
        <v>0</v>
      </c>
      <c r="BO139" s="208">
        <v>2716679.2486933339</v>
      </c>
      <c r="BP139" s="208">
        <v>1528132.07739</v>
      </c>
      <c r="BQ139" s="208">
        <v>0</v>
      </c>
      <c r="BR139" s="208">
        <v>272574</v>
      </c>
      <c r="BS139" s="208">
        <v>153323</v>
      </c>
      <c r="BT139" s="208">
        <v>0</v>
      </c>
      <c r="BU139" s="208">
        <v>2506376</v>
      </c>
      <c r="BV139" s="208">
        <v>1409837</v>
      </c>
      <c r="BW139" s="208">
        <v>0</v>
      </c>
      <c r="BX139" s="208">
        <v>482877</v>
      </c>
      <c r="BY139" s="208">
        <v>271618</v>
      </c>
      <c r="BZ139" s="208">
        <v>0</v>
      </c>
      <c r="CA139" s="208">
        <v>3419.3240000000005</v>
      </c>
      <c r="CB139" s="208">
        <v>1923.3697500000001</v>
      </c>
      <c r="CC139" s="208">
        <v>0</v>
      </c>
      <c r="CD139" s="208">
        <v>0</v>
      </c>
      <c r="CE139" s="208">
        <v>0</v>
      </c>
      <c r="CF139" s="208">
        <v>0</v>
      </c>
      <c r="CG139" s="208">
        <v>3419</v>
      </c>
      <c r="CH139" s="208">
        <v>1923</v>
      </c>
      <c r="CI139" s="208">
        <v>0</v>
      </c>
      <c r="CJ139" s="208">
        <v>0</v>
      </c>
      <c r="CK139" s="208">
        <v>0</v>
      </c>
      <c r="CL139" s="208">
        <v>0</v>
      </c>
      <c r="CM139" s="208">
        <v>-805.24</v>
      </c>
      <c r="CN139" s="208">
        <v>-452.94749999999999</v>
      </c>
      <c r="CO139" s="208">
        <v>0</v>
      </c>
      <c r="CP139" s="208">
        <v>-3494.6106666666665</v>
      </c>
      <c r="CQ139" s="208">
        <v>-1965.7184999999999</v>
      </c>
      <c r="CR139" s="208">
        <v>0</v>
      </c>
      <c r="CS139" s="208">
        <v>0</v>
      </c>
      <c r="CT139" s="208">
        <v>0</v>
      </c>
      <c r="CU139" s="208">
        <v>0</v>
      </c>
      <c r="CV139" s="208">
        <v>0</v>
      </c>
      <c r="CW139" s="208">
        <v>0</v>
      </c>
      <c r="CX139" s="208">
        <v>0</v>
      </c>
      <c r="CY139" s="208">
        <v>0</v>
      </c>
      <c r="CZ139" s="208">
        <v>0</v>
      </c>
      <c r="DA139" s="208">
        <v>0</v>
      </c>
      <c r="DB139" s="208">
        <v>0</v>
      </c>
      <c r="DC139" s="208">
        <v>0</v>
      </c>
      <c r="DD139" s="208">
        <v>0</v>
      </c>
      <c r="DE139" s="208">
        <v>0</v>
      </c>
      <c r="DF139" s="208">
        <v>0</v>
      </c>
      <c r="DG139" s="208">
        <v>0</v>
      </c>
      <c r="DH139" s="208">
        <v>0</v>
      </c>
      <c r="DI139" s="208">
        <v>0</v>
      </c>
      <c r="DJ139" s="208">
        <v>0</v>
      </c>
      <c r="DK139" s="208">
        <v>0</v>
      </c>
      <c r="DL139" s="208">
        <v>0</v>
      </c>
      <c r="DM139" s="208">
        <v>0</v>
      </c>
      <c r="DN139" s="208">
        <v>0</v>
      </c>
      <c r="DO139" s="208">
        <v>0</v>
      </c>
      <c r="DP139" s="208">
        <v>0</v>
      </c>
      <c r="DQ139" s="208">
        <v>0</v>
      </c>
      <c r="DR139" s="208">
        <v>0</v>
      </c>
      <c r="DS139" s="208">
        <v>0</v>
      </c>
      <c r="DT139" s="208">
        <v>0</v>
      </c>
      <c r="DU139" s="208">
        <v>0</v>
      </c>
      <c r="DV139" s="208">
        <v>0</v>
      </c>
      <c r="DW139" s="208">
        <v>13427.213333333333</v>
      </c>
      <c r="DX139" s="208">
        <v>7552.8074999999999</v>
      </c>
      <c r="DY139" s="208">
        <v>0</v>
      </c>
      <c r="DZ139" s="208">
        <v>14166</v>
      </c>
      <c r="EA139" s="208">
        <v>7968</v>
      </c>
      <c r="EB139" s="208">
        <v>0</v>
      </c>
      <c r="EC139" s="208">
        <v>-739</v>
      </c>
      <c r="ED139" s="208">
        <v>-415</v>
      </c>
      <c r="EE139" s="208">
        <v>0</v>
      </c>
      <c r="EF139" s="208">
        <v>403492.6706666667</v>
      </c>
      <c r="EG139" s="208">
        <v>226964.62725000002</v>
      </c>
      <c r="EH139" s="208">
        <v>0</v>
      </c>
      <c r="EI139" s="208">
        <v>-26128.401333333335</v>
      </c>
      <c r="EJ139" s="208">
        <v>-14697.22575</v>
      </c>
      <c r="EK139" s="208">
        <v>0</v>
      </c>
      <c r="EL139" s="208">
        <v>454044</v>
      </c>
      <c r="EM139" s="208">
        <v>255399</v>
      </c>
      <c r="EN139" s="208">
        <v>0</v>
      </c>
      <c r="EO139" s="208">
        <v>-76680</v>
      </c>
      <c r="EP139" s="208">
        <v>-43132</v>
      </c>
      <c r="EQ139" s="208">
        <v>0</v>
      </c>
      <c r="ER139" s="208">
        <v>30656.076000000001</v>
      </c>
      <c r="ES139" s="208">
        <v>17244.042750000001</v>
      </c>
      <c r="ET139" s="208">
        <v>0</v>
      </c>
      <c r="EU139" s="208">
        <v>22913</v>
      </c>
      <c r="EV139" s="208">
        <v>12889</v>
      </c>
      <c r="EW139" s="208">
        <v>0</v>
      </c>
      <c r="EX139" s="208">
        <v>7743</v>
      </c>
      <c r="EY139" s="208">
        <v>4355</v>
      </c>
      <c r="EZ139" s="208">
        <v>0</v>
      </c>
      <c r="FA139" s="208">
        <v>0</v>
      </c>
      <c r="FB139" s="208">
        <v>0</v>
      </c>
      <c r="FC139" s="208">
        <v>0</v>
      </c>
      <c r="FD139" s="208">
        <v>0</v>
      </c>
      <c r="FE139" s="208">
        <v>0</v>
      </c>
      <c r="FF139" s="208">
        <v>0</v>
      </c>
      <c r="FG139" s="208">
        <v>0</v>
      </c>
      <c r="FH139" s="208">
        <v>0</v>
      </c>
      <c r="FI139" s="208">
        <v>0</v>
      </c>
      <c r="FJ139" s="208">
        <v>2873639.8679999998</v>
      </c>
      <c r="FK139" s="208">
        <v>1616422.4257499997</v>
      </c>
      <c r="FL139" s="208">
        <v>0</v>
      </c>
      <c r="FM139" s="208">
        <v>3167872</v>
      </c>
      <c r="FN139" s="208">
        <v>1781928</v>
      </c>
      <c r="FO139" s="208">
        <v>0</v>
      </c>
      <c r="FP139" s="208">
        <v>-294232</v>
      </c>
      <c r="FQ139" s="208">
        <v>-165506</v>
      </c>
      <c r="FR139" s="208">
        <v>0</v>
      </c>
      <c r="FS139" s="208">
        <v>0</v>
      </c>
      <c r="FT139" s="208">
        <v>0</v>
      </c>
      <c r="FU139" s="208">
        <v>0</v>
      </c>
      <c r="FV139" s="208">
        <v>0</v>
      </c>
      <c r="FW139" s="208">
        <v>0</v>
      </c>
      <c r="FX139" s="208">
        <v>0</v>
      </c>
      <c r="FY139" s="208">
        <v>0</v>
      </c>
      <c r="FZ139" s="208">
        <v>0</v>
      </c>
      <c r="GA139" s="208">
        <v>0</v>
      </c>
      <c r="GB139" s="208">
        <v>6283460</v>
      </c>
      <c r="GC139" s="208">
        <v>3534446</v>
      </c>
      <c r="GD139" s="208">
        <v>0</v>
      </c>
      <c r="GE139" s="664">
        <v>0</v>
      </c>
      <c r="GF139" s="664">
        <v>0.64</v>
      </c>
      <c r="GG139" s="664">
        <v>0.36</v>
      </c>
      <c r="GH139" s="664">
        <v>0</v>
      </c>
      <c r="GI139" s="187" t="s">
        <v>1055</v>
      </c>
    </row>
    <row r="140" spans="1:191" s="187" customFormat="1" x14ac:dyDescent="0.2">
      <c r="B140" s="429" t="s">
        <v>357</v>
      </c>
      <c r="C140" s="429" t="s">
        <v>356</v>
      </c>
      <c r="D140" s="208">
        <v>-1024434</v>
      </c>
      <c r="E140" s="208">
        <v>28168</v>
      </c>
      <c r="F140" s="208">
        <v>-996266</v>
      </c>
      <c r="G140" s="208">
        <v>-866344</v>
      </c>
      <c r="H140" s="208">
        <v>20753</v>
      </c>
      <c r="I140" s="208">
        <v>-845591</v>
      </c>
      <c r="J140" s="208">
        <v>-158090</v>
      </c>
      <c r="K140" s="208">
        <v>7415</v>
      </c>
      <c r="L140" s="208">
        <v>-150675</v>
      </c>
      <c r="M140" s="208">
        <v>215821</v>
      </c>
      <c r="N140" s="208">
        <v>215821</v>
      </c>
      <c r="O140" s="208">
        <v>0</v>
      </c>
      <c r="P140" s="208">
        <v>1132448</v>
      </c>
      <c r="Q140" s="208">
        <v>779155</v>
      </c>
      <c r="R140" s="208">
        <v>353293</v>
      </c>
      <c r="S140" s="208">
        <v>879563</v>
      </c>
      <c r="T140" s="208">
        <v>0</v>
      </c>
      <c r="U140" s="208">
        <v>880663</v>
      </c>
      <c r="V140" s="208">
        <v>0</v>
      </c>
      <c r="W140" s="208">
        <v>-1100</v>
      </c>
      <c r="X140" s="208">
        <v>0</v>
      </c>
      <c r="Y140" s="208">
        <v>0</v>
      </c>
      <c r="Z140" s="208">
        <v>0</v>
      </c>
      <c r="AA140" s="208">
        <v>0</v>
      </c>
      <c r="AB140" s="208">
        <v>0</v>
      </c>
      <c r="AC140" s="208">
        <v>0</v>
      </c>
      <c r="AD140" s="208">
        <v>0</v>
      </c>
      <c r="AE140" s="208">
        <v>0</v>
      </c>
      <c r="AF140" s="208">
        <v>0</v>
      </c>
      <c r="AG140" s="208">
        <v>0</v>
      </c>
      <c r="AH140" s="208">
        <v>324034</v>
      </c>
      <c r="AI140" s="208">
        <v>324034.42708333331</v>
      </c>
      <c r="AJ140" s="208">
        <v>0</v>
      </c>
      <c r="AK140" s="208">
        <v>0</v>
      </c>
      <c r="AL140" s="208">
        <v>363473</v>
      </c>
      <c r="AM140" s="208">
        <v>363473</v>
      </c>
      <c r="AN140" s="208">
        <v>0</v>
      </c>
      <c r="AO140" s="208">
        <v>0</v>
      </c>
      <c r="AP140" s="208">
        <v>-39439</v>
      </c>
      <c r="AQ140" s="208">
        <v>-39439</v>
      </c>
      <c r="AR140" s="208">
        <v>0</v>
      </c>
      <c r="AS140" s="208">
        <v>0</v>
      </c>
      <c r="AT140" s="208">
        <v>0</v>
      </c>
      <c r="AU140" s="208">
        <v>0</v>
      </c>
      <c r="AV140" s="208">
        <v>0</v>
      </c>
      <c r="AW140" s="208">
        <v>0</v>
      </c>
      <c r="AX140" s="208">
        <v>0</v>
      </c>
      <c r="AY140" s="208">
        <v>0</v>
      </c>
      <c r="AZ140" s="208">
        <v>0</v>
      </c>
      <c r="BA140" s="208">
        <v>0</v>
      </c>
      <c r="BB140" s="208">
        <v>0</v>
      </c>
      <c r="BC140" s="208">
        <v>0</v>
      </c>
      <c r="BD140" s="208">
        <v>0</v>
      </c>
      <c r="BE140" s="208">
        <v>0</v>
      </c>
      <c r="BF140" s="208">
        <v>0</v>
      </c>
      <c r="BG140" s="208">
        <v>0</v>
      </c>
      <c r="BH140" s="208">
        <v>0</v>
      </c>
      <c r="BI140" s="208">
        <v>0</v>
      </c>
      <c r="BJ140" s="208">
        <v>0</v>
      </c>
      <c r="BK140" s="208">
        <v>0</v>
      </c>
      <c r="BL140" s="208">
        <v>0</v>
      </c>
      <c r="BM140" s="208">
        <v>0</v>
      </c>
      <c r="BN140" s="208">
        <v>0</v>
      </c>
      <c r="BO140" s="208">
        <v>1482220.9626104168</v>
      </c>
      <c r="BP140" s="208">
        <v>332779.44375375001</v>
      </c>
      <c r="BQ140" s="208">
        <v>36975.493750416659</v>
      </c>
      <c r="BR140" s="208">
        <v>141085</v>
      </c>
      <c r="BS140" s="208">
        <v>31179</v>
      </c>
      <c r="BT140" s="208">
        <v>3464</v>
      </c>
      <c r="BU140" s="208">
        <v>1512961</v>
      </c>
      <c r="BV140" s="208">
        <v>339941</v>
      </c>
      <c r="BW140" s="208">
        <v>37771</v>
      </c>
      <c r="BX140" s="208">
        <v>110345</v>
      </c>
      <c r="BY140" s="208">
        <v>24017</v>
      </c>
      <c r="BZ140" s="208">
        <v>2668</v>
      </c>
      <c r="CA140" s="208">
        <v>17881.810833333337</v>
      </c>
      <c r="CB140" s="208">
        <v>4023.4074375</v>
      </c>
      <c r="CC140" s="208">
        <v>447.04527083333335</v>
      </c>
      <c r="CD140" s="208">
        <v>8737</v>
      </c>
      <c r="CE140" s="208">
        <v>1966</v>
      </c>
      <c r="CF140" s="208">
        <v>218</v>
      </c>
      <c r="CG140" s="208">
        <v>9145</v>
      </c>
      <c r="CH140" s="208">
        <v>2057</v>
      </c>
      <c r="CI140" s="208">
        <v>229</v>
      </c>
      <c r="CJ140" s="208">
        <v>0</v>
      </c>
      <c r="CK140" s="208">
        <v>0</v>
      </c>
      <c r="CL140" s="208">
        <v>0</v>
      </c>
      <c r="CM140" s="208">
        <v>0</v>
      </c>
      <c r="CN140" s="208">
        <v>0</v>
      </c>
      <c r="CO140" s="208">
        <v>0</v>
      </c>
      <c r="CP140" s="208">
        <v>0</v>
      </c>
      <c r="CQ140" s="208">
        <v>0</v>
      </c>
      <c r="CR140" s="208">
        <v>0</v>
      </c>
      <c r="CS140" s="208">
        <v>0</v>
      </c>
      <c r="CT140" s="208">
        <v>0</v>
      </c>
      <c r="CU140" s="208">
        <v>0</v>
      </c>
      <c r="CV140" s="208">
        <v>0</v>
      </c>
      <c r="CW140" s="208">
        <v>0</v>
      </c>
      <c r="CX140" s="208">
        <v>0</v>
      </c>
      <c r="CY140" s="208">
        <v>0</v>
      </c>
      <c r="CZ140" s="208">
        <v>0</v>
      </c>
      <c r="DA140" s="208">
        <v>0</v>
      </c>
      <c r="DB140" s="208">
        <v>0</v>
      </c>
      <c r="DC140" s="208">
        <v>0</v>
      </c>
      <c r="DD140" s="208">
        <v>0</v>
      </c>
      <c r="DE140" s="208">
        <v>12662.480833333333</v>
      </c>
      <c r="DF140" s="208">
        <v>2849.0581874999998</v>
      </c>
      <c r="DG140" s="208">
        <v>316.56202083333329</v>
      </c>
      <c r="DH140" s="208">
        <v>13112</v>
      </c>
      <c r="DI140" s="208">
        <v>2950</v>
      </c>
      <c r="DJ140" s="208">
        <v>328</v>
      </c>
      <c r="DK140" s="208">
        <v>-450</v>
      </c>
      <c r="DL140" s="208">
        <v>-101</v>
      </c>
      <c r="DM140" s="208">
        <v>-11</v>
      </c>
      <c r="DN140" s="208">
        <v>0</v>
      </c>
      <c r="DO140" s="208">
        <v>0</v>
      </c>
      <c r="DP140" s="208">
        <v>0</v>
      </c>
      <c r="DQ140" s="208">
        <v>0</v>
      </c>
      <c r="DR140" s="208">
        <v>0</v>
      </c>
      <c r="DS140" s="208">
        <v>0</v>
      </c>
      <c r="DT140" s="208">
        <v>0</v>
      </c>
      <c r="DU140" s="208">
        <v>0</v>
      </c>
      <c r="DV140" s="208">
        <v>0</v>
      </c>
      <c r="DW140" s="208">
        <v>11291.772500000001</v>
      </c>
      <c r="DX140" s="208">
        <v>2540.6488125000001</v>
      </c>
      <c r="DY140" s="208">
        <v>282.29431249999999</v>
      </c>
      <c r="DZ140" s="208">
        <v>12871</v>
      </c>
      <c r="EA140" s="208">
        <v>2896</v>
      </c>
      <c r="EB140" s="208">
        <v>322</v>
      </c>
      <c r="EC140" s="208">
        <v>-1579</v>
      </c>
      <c r="ED140" s="208">
        <v>-355</v>
      </c>
      <c r="EE140" s="208">
        <v>-40</v>
      </c>
      <c r="EF140" s="208">
        <v>67013.316666666666</v>
      </c>
      <c r="EG140" s="208">
        <v>15077.996249999998</v>
      </c>
      <c r="EH140" s="208">
        <v>1675.3329166666665</v>
      </c>
      <c r="EI140" s="208">
        <v>-2226.2758333333336</v>
      </c>
      <c r="EJ140" s="208">
        <v>-500.91206250000005</v>
      </c>
      <c r="EK140" s="208">
        <v>-55.656895833333337</v>
      </c>
      <c r="EL140" s="208">
        <v>68564</v>
      </c>
      <c r="EM140" s="208">
        <v>15427</v>
      </c>
      <c r="EN140" s="208">
        <v>1714</v>
      </c>
      <c r="EO140" s="208">
        <v>-3777</v>
      </c>
      <c r="EP140" s="208">
        <v>-850</v>
      </c>
      <c r="EQ140" s="208">
        <v>-94</v>
      </c>
      <c r="ER140" s="208">
        <v>31031.200000000001</v>
      </c>
      <c r="ES140" s="208">
        <v>6982.0199999999995</v>
      </c>
      <c r="ET140" s="208">
        <v>775.78</v>
      </c>
      <c r="EU140" s="208">
        <v>31253</v>
      </c>
      <c r="EV140" s="208">
        <v>7032</v>
      </c>
      <c r="EW140" s="208">
        <v>781</v>
      </c>
      <c r="EX140" s="208">
        <v>-222</v>
      </c>
      <c r="EY140" s="208">
        <v>-50</v>
      </c>
      <c r="EZ140" s="208">
        <v>-5</v>
      </c>
      <c r="FA140" s="208">
        <v>0</v>
      </c>
      <c r="FB140" s="208">
        <v>0</v>
      </c>
      <c r="FC140" s="208">
        <v>0</v>
      </c>
      <c r="FD140" s="208">
        <v>0</v>
      </c>
      <c r="FE140" s="208">
        <v>0</v>
      </c>
      <c r="FF140" s="208">
        <v>0</v>
      </c>
      <c r="FG140" s="208">
        <v>0</v>
      </c>
      <c r="FH140" s="208">
        <v>0</v>
      </c>
      <c r="FI140" s="208">
        <v>0</v>
      </c>
      <c r="FJ140" s="208">
        <v>608886.6529166667</v>
      </c>
      <c r="FK140" s="208">
        <v>126625.06518749999</v>
      </c>
      <c r="FL140" s="208">
        <v>14069.451687499999</v>
      </c>
      <c r="FM140" s="208">
        <v>575832</v>
      </c>
      <c r="FN140" s="208">
        <v>119130</v>
      </c>
      <c r="FO140" s="208">
        <v>13237</v>
      </c>
      <c r="FP140" s="208">
        <v>33055</v>
      </c>
      <c r="FQ140" s="208">
        <v>7495</v>
      </c>
      <c r="FR140" s="208">
        <v>832</v>
      </c>
      <c r="FS140" s="208">
        <v>0</v>
      </c>
      <c r="FT140" s="208">
        <v>0</v>
      </c>
      <c r="FU140" s="208">
        <v>0</v>
      </c>
      <c r="FV140" s="208">
        <v>0</v>
      </c>
      <c r="FW140" s="208">
        <v>0</v>
      </c>
      <c r="FX140" s="208">
        <v>0</v>
      </c>
      <c r="FY140" s="208">
        <v>0</v>
      </c>
      <c r="FZ140" s="208">
        <v>0</v>
      </c>
      <c r="GA140" s="208">
        <v>0</v>
      </c>
      <c r="GB140" s="208">
        <v>2369847</v>
      </c>
      <c r="GC140" s="208">
        <v>521555</v>
      </c>
      <c r="GD140" s="208">
        <v>57949</v>
      </c>
      <c r="GE140" s="664">
        <v>0.5</v>
      </c>
      <c r="GF140" s="664">
        <v>0.4</v>
      </c>
      <c r="GG140" s="664">
        <v>0.09</v>
      </c>
      <c r="GH140" s="664">
        <v>0.01</v>
      </c>
      <c r="GI140" s="187" t="s">
        <v>1054</v>
      </c>
    </row>
    <row r="141" spans="1:191" s="187" customFormat="1" x14ac:dyDescent="0.2">
      <c r="B141" s="429" t="s">
        <v>359</v>
      </c>
      <c r="C141" s="429" t="s">
        <v>358</v>
      </c>
      <c r="D141" s="208">
        <v>-678278</v>
      </c>
      <c r="E141" s="208">
        <v>0</v>
      </c>
      <c r="F141" s="208">
        <v>-678278</v>
      </c>
      <c r="G141" s="208">
        <v>-1759984</v>
      </c>
      <c r="H141" s="208">
        <v>0</v>
      </c>
      <c r="I141" s="208">
        <v>-1759984</v>
      </c>
      <c r="J141" s="208">
        <v>1081706</v>
      </c>
      <c r="K141" s="208">
        <v>0</v>
      </c>
      <c r="L141" s="208">
        <v>1081706</v>
      </c>
      <c r="M141" s="208">
        <v>124871</v>
      </c>
      <c r="N141" s="208">
        <v>124871</v>
      </c>
      <c r="O141" s="208">
        <v>0</v>
      </c>
      <c r="P141" s="208">
        <v>0</v>
      </c>
      <c r="Q141" s="208">
        <v>0</v>
      </c>
      <c r="R141" s="208">
        <v>0</v>
      </c>
      <c r="S141" s="208">
        <v>0</v>
      </c>
      <c r="T141" s="208">
        <v>0</v>
      </c>
      <c r="U141" s="208">
        <v>0</v>
      </c>
      <c r="V141" s="208">
        <v>0</v>
      </c>
      <c r="W141" s="208">
        <v>0</v>
      </c>
      <c r="X141" s="208">
        <v>0</v>
      </c>
      <c r="Y141" s="208">
        <v>0</v>
      </c>
      <c r="Z141" s="208">
        <v>0</v>
      </c>
      <c r="AA141" s="208">
        <v>0</v>
      </c>
      <c r="AB141" s="208">
        <v>0</v>
      </c>
      <c r="AC141" s="208">
        <v>0</v>
      </c>
      <c r="AD141" s="208">
        <v>0</v>
      </c>
      <c r="AE141" s="208">
        <v>0</v>
      </c>
      <c r="AF141" s="208">
        <v>0</v>
      </c>
      <c r="AG141" s="208">
        <v>0</v>
      </c>
      <c r="AH141" s="208">
        <v>0</v>
      </c>
      <c r="AI141" s="208">
        <v>0</v>
      </c>
      <c r="AJ141" s="208">
        <v>0</v>
      </c>
      <c r="AK141" s="208">
        <v>0</v>
      </c>
      <c r="AL141" s="208">
        <v>0</v>
      </c>
      <c r="AM141" s="208">
        <v>0</v>
      </c>
      <c r="AN141" s="208">
        <v>0</v>
      </c>
      <c r="AO141" s="208">
        <v>0</v>
      </c>
      <c r="AP141" s="208">
        <v>0</v>
      </c>
      <c r="AQ141" s="208">
        <v>0</v>
      </c>
      <c r="AR141" s="208">
        <v>0</v>
      </c>
      <c r="AS141" s="208">
        <v>0</v>
      </c>
      <c r="AT141" s="208">
        <v>0</v>
      </c>
      <c r="AU141" s="208">
        <v>0</v>
      </c>
      <c r="AV141" s="208">
        <v>0</v>
      </c>
      <c r="AW141" s="208">
        <v>0</v>
      </c>
      <c r="AX141" s="208">
        <v>0</v>
      </c>
      <c r="AY141" s="208">
        <v>0</v>
      </c>
      <c r="AZ141" s="208">
        <v>0</v>
      </c>
      <c r="BA141" s="208">
        <v>0</v>
      </c>
      <c r="BB141" s="208">
        <v>0</v>
      </c>
      <c r="BC141" s="208">
        <v>0</v>
      </c>
      <c r="BD141" s="208">
        <v>0</v>
      </c>
      <c r="BE141" s="208">
        <v>0</v>
      </c>
      <c r="BF141" s="208">
        <v>0</v>
      </c>
      <c r="BG141" s="208">
        <v>0</v>
      </c>
      <c r="BH141" s="208">
        <v>0</v>
      </c>
      <c r="BI141" s="208">
        <v>0</v>
      </c>
      <c r="BJ141" s="208">
        <v>0</v>
      </c>
      <c r="BK141" s="208">
        <v>0</v>
      </c>
      <c r="BL141" s="208">
        <v>0</v>
      </c>
      <c r="BM141" s="208">
        <v>0</v>
      </c>
      <c r="BN141" s="208">
        <v>0</v>
      </c>
      <c r="BO141" s="208">
        <v>1088041.1533875002</v>
      </c>
      <c r="BP141" s="208">
        <v>244809.25951218753</v>
      </c>
      <c r="BQ141" s="208">
        <v>27201.028834687502</v>
      </c>
      <c r="BR141" s="208">
        <v>39297</v>
      </c>
      <c r="BS141" s="208">
        <v>8842</v>
      </c>
      <c r="BT141" s="208">
        <v>982</v>
      </c>
      <c r="BU141" s="208">
        <v>922777</v>
      </c>
      <c r="BV141" s="208">
        <v>207625</v>
      </c>
      <c r="BW141" s="208">
        <v>23069</v>
      </c>
      <c r="BX141" s="208">
        <v>204561</v>
      </c>
      <c r="BY141" s="208">
        <v>46026</v>
      </c>
      <c r="BZ141" s="208">
        <v>5114</v>
      </c>
      <c r="CA141" s="208">
        <v>296.64583333333337</v>
      </c>
      <c r="CB141" s="208">
        <v>66.745312500000011</v>
      </c>
      <c r="CC141" s="208">
        <v>7.416145833333335</v>
      </c>
      <c r="CD141" s="208">
        <v>477</v>
      </c>
      <c r="CE141" s="208">
        <v>107</v>
      </c>
      <c r="CF141" s="208">
        <v>12</v>
      </c>
      <c r="CG141" s="208">
        <v>-180</v>
      </c>
      <c r="CH141" s="208">
        <v>-40</v>
      </c>
      <c r="CI141" s="208">
        <v>-5</v>
      </c>
      <c r="CJ141" s="208">
        <v>0</v>
      </c>
      <c r="CK141" s="208">
        <v>0</v>
      </c>
      <c r="CL141" s="208">
        <v>0</v>
      </c>
      <c r="CM141" s="208">
        <v>0</v>
      </c>
      <c r="CN141" s="208">
        <v>0</v>
      </c>
      <c r="CO141" s="208">
        <v>0</v>
      </c>
      <c r="CP141" s="208">
        <v>-968.90666666666675</v>
      </c>
      <c r="CQ141" s="208">
        <v>-218.00400000000002</v>
      </c>
      <c r="CR141" s="208">
        <v>-24.222666666666669</v>
      </c>
      <c r="CS141" s="208">
        <v>0</v>
      </c>
      <c r="CT141" s="208">
        <v>0</v>
      </c>
      <c r="CU141" s="208">
        <v>0</v>
      </c>
      <c r="CV141" s="208">
        <v>0</v>
      </c>
      <c r="CW141" s="208">
        <v>0</v>
      </c>
      <c r="CX141" s="208">
        <v>0</v>
      </c>
      <c r="CY141" s="208">
        <v>0</v>
      </c>
      <c r="CZ141" s="208">
        <v>0</v>
      </c>
      <c r="DA141" s="208">
        <v>0</v>
      </c>
      <c r="DB141" s="208">
        <v>0</v>
      </c>
      <c r="DC141" s="208">
        <v>0</v>
      </c>
      <c r="DD141" s="208">
        <v>0</v>
      </c>
      <c r="DE141" s="208">
        <v>0</v>
      </c>
      <c r="DF141" s="208">
        <v>0</v>
      </c>
      <c r="DG141" s="208">
        <v>0</v>
      </c>
      <c r="DH141" s="208">
        <v>0</v>
      </c>
      <c r="DI141" s="208">
        <v>0</v>
      </c>
      <c r="DJ141" s="208">
        <v>0</v>
      </c>
      <c r="DK141" s="208">
        <v>0</v>
      </c>
      <c r="DL141" s="208">
        <v>0</v>
      </c>
      <c r="DM141" s="208">
        <v>0</v>
      </c>
      <c r="DN141" s="208">
        <v>0</v>
      </c>
      <c r="DO141" s="208">
        <v>0</v>
      </c>
      <c r="DP141" s="208">
        <v>0</v>
      </c>
      <c r="DQ141" s="208">
        <v>0</v>
      </c>
      <c r="DR141" s="208">
        <v>0</v>
      </c>
      <c r="DS141" s="208">
        <v>0</v>
      </c>
      <c r="DT141" s="208">
        <v>0</v>
      </c>
      <c r="DU141" s="208">
        <v>0</v>
      </c>
      <c r="DV141" s="208">
        <v>0</v>
      </c>
      <c r="DW141" s="208">
        <v>2943.5450000000001</v>
      </c>
      <c r="DX141" s="208">
        <v>662.29762500000004</v>
      </c>
      <c r="DY141" s="208">
        <v>73.588625000000008</v>
      </c>
      <c r="DZ141" s="208">
        <v>3616</v>
      </c>
      <c r="EA141" s="208">
        <v>814</v>
      </c>
      <c r="EB141" s="208">
        <v>90</v>
      </c>
      <c r="EC141" s="208">
        <v>-672</v>
      </c>
      <c r="ED141" s="208">
        <v>-152</v>
      </c>
      <c r="EE141" s="208">
        <v>-16</v>
      </c>
      <c r="EF141" s="208">
        <v>14293.419166666668</v>
      </c>
      <c r="EG141" s="208">
        <v>3216.0193125000001</v>
      </c>
      <c r="EH141" s="208">
        <v>357.33547916666669</v>
      </c>
      <c r="EI141" s="208">
        <v>-112.93</v>
      </c>
      <c r="EJ141" s="208">
        <v>-25.409249999999997</v>
      </c>
      <c r="EK141" s="208">
        <v>-2.8232499999999998</v>
      </c>
      <c r="EL141" s="208">
        <v>14731</v>
      </c>
      <c r="EM141" s="208">
        <v>3314</v>
      </c>
      <c r="EN141" s="208">
        <v>368</v>
      </c>
      <c r="EO141" s="208">
        <v>-551</v>
      </c>
      <c r="EP141" s="208">
        <v>-123</v>
      </c>
      <c r="EQ141" s="208">
        <v>-13</v>
      </c>
      <c r="ER141" s="208">
        <v>13031.140000000001</v>
      </c>
      <c r="ES141" s="208">
        <v>2932.0065</v>
      </c>
      <c r="ET141" s="208">
        <v>325.77850000000001</v>
      </c>
      <c r="EU141" s="208">
        <v>13784</v>
      </c>
      <c r="EV141" s="208">
        <v>3102</v>
      </c>
      <c r="EW141" s="208">
        <v>345</v>
      </c>
      <c r="EX141" s="208">
        <v>-753</v>
      </c>
      <c r="EY141" s="208">
        <v>-170</v>
      </c>
      <c r="EZ141" s="208">
        <v>-19</v>
      </c>
      <c r="FA141" s="208">
        <v>0</v>
      </c>
      <c r="FB141" s="208">
        <v>0</v>
      </c>
      <c r="FC141" s="208">
        <v>0</v>
      </c>
      <c r="FD141" s="208">
        <v>0</v>
      </c>
      <c r="FE141" s="208">
        <v>0</v>
      </c>
      <c r="FF141" s="208">
        <v>0</v>
      </c>
      <c r="FG141" s="208">
        <v>0</v>
      </c>
      <c r="FH141" s="208">
        <v>0</v>
      </c>
      <c r="FI141" s="208">
        <v>0</v>
      </c>
      <c r="FJ141" s="208">
        <v>166370.26999999999</v>
      </c>
      <c r="FK141" s="208">
        <v>37433.310749999997</v>
      </c>
      <c r="FL141" s="208">
        <v>4159.2567499999996</v>
      </c>
      <c r="FM141" s="208">
        <v>150725</v>
      </c>
      <c r="FN141" s="208">
        <v>33913</v>
      </c>
      <c r="FO141" s="208">
        <v>3768</v>
      </c>
      <c r="FP141" s="208">
        <v>15645</v>
      </c>
      <c r="FQ141" s="208">
        <v>3520</v>
      </c>
      <c r="FR141" s="208">
        <v>391</v>
      </c>
      <c r="FS141" s="208">
        <v>0</v>
      </c>
      <c r="FT141" s="208">
        <v>0</v>
      </c>
      <c r="FU141" s="208">
        <v>0</v>
      </c>
      <c r="FV141" s="208">
        <v>0</v>
      </c>
      <c r="FW141" s="208">
        <v>0</v>
      </c>
      <c r="FX141" s="208">
        <v>0</v>
      </c>
      <c r="FY141" s="208">
        <v>0</v>
      </c>
      <c r="FZ141" s="208">
        <v>0</v>
      </c>
      <c r="GA141" s="208">
        <v>0</v>
      </c>
      <c r="GB141" s="208">
        <v>1323191</v>
      </c>
      <c r="GC141" s="208">
        <v>297718</v>
      </c>
      <c r="GD141" s="208">
        <v>33079</v>
      </c>
      <c r="GE141" s="664">
        <v>0.5</v>
      </c>
      <c r="GF141" s="664">
        <v>0.4</v>
      </c>
      <c r="GG141" s="664">
        <v>0.09</v>
      </c>
      <c r="GH141" s="664">
        <v>0.01</v>
      </c>
      <c r="GI141" s="187" t="s">
        <v>1054</v>
      </c>
    </row>
    <row r="142" spans="1:191" s="187" customFormat="1" x14ac:dyDescent="0.2">
      <c r="A142" s="188"/>
      <c r="B142" s="429" t="s">
        <v>361</v>
      </c>
      <c r="C142" s="429" t="s">
        <v>360</v>
      </c>
      <c r="D142" s="208">
        <v>-1231552</v>
      </c>
      <c r="E142" s="208">
        <v>-481</v>
      </c>
      <c r="F142" s="208">
        <v>-1232033</v>
      </c>
      <c r="G142" s="208">
        <v>-1349120</v>
      </c>
      <c r="H142" s="208">
        <v>0</v>
      </c>
      <c r="I142" s="208">
        <v>-1349120</v>
      </c>
      <c r="J142" s="208">
        <v>117568</v>
      </c>
      <c r="K142" s="208">
        <v>-481</v>
      </c>
      <c r="L142" s="208">
        <v>117087</v>
      </c>
      <c r="M142" s="208">
        <v>186210</v>
      </c>
      <c r="N142" s="208">
        <v>186210</v>
      </c>
      <c r="O142" s="208">
        <v>0</v>
      </c>
      <c r="P142" s="208">
        <v>567870</v>
      </c>
      <c r="Q142" s="208">
        <v>614445</v>
      </c>
      <c r="R142" s="208">
        <v>-46575</v>
      </c>
      <c r="S142" s="208">
        <v>3109</v>
      </c>
      <c r="T142" s="208">
        <v>108</v>
      </c>
      <c r="U142" s="208">
        <v>2737</v>
      </c>
      <c r="V142" s="208">
        <v>0</v>
      </c>
      <c r="W142" s="208">
        <v>372</v>
      </c>
      <c r="X142" s="208">
        <v>108</v>
      </c>
      <c r="Y142" s="208">
        <v>0</v>
      </c>
      <c r="Z142" s="208">
        <v>0</v>
      </c>
      <c r="AA142" s="208">
        <v>0</v>
      </c>
      <c r="AB142" s="208">
        <v>0</v>
      </c>
      <c r="AC142" s="208">
        <v>0</v>
      </c>
      <c r="AD142" s="208">
        <v>0</v>
      </c>
      <c r="AE142" s="208">
        <v>0</v>
      </c>
      <c r="AF142" s="208">
        <v>0</v>
      </c>
      <c r="AG142" s="208">
        <v>0</v>
      </c>
      <c r="AH142" s="208">
        <v>0</v>
      </c>
      <c r="AI142" s="208">
        <v>0</v>
      </c>
      <c r="AJ142" s="208">
        <v>0</v>
      </c>
      <c r="AK142" s="208">
        <v>0</v>
      </c>
      <c r="AL142" s="208">
        <v>0</v>
      </c>
      <c r="AM142" s="208">
        <v>0</v>
      </c>
      <c r="AN142" s="208">
        <v>0</v>
      </c>
      <c r="AO142" s="208">
        <v>0</v>
      </c>
      <c r="AP142" s="208">
        <v>0</v>
      </c>
      <c r="AQ142" s="208">
        <v>0</v>
      </c>
      <c r="AR142" s="208">
        <v>0</v>
      </c>
      <c r="AS142" s="208">
        <v>0</v>
      </c>
      <c r="AT142" s="208">
        <v>0</v>
      </c>
      <c r="AU142" s="208">
        <v>0</v>
      </c>
      <c r="AV142" s="208">
        <v>0</v>
      </c>
      <c r="AW142" s="208">
        <v>0</v>
      </c>
      <c r="AX142" s="208">
        <v>0</v>
      </c>
      <c r="AY142" s="208">
        <v>0</v>
      </c>
      <c r="AZ142" s="208">
        <v>0</v>
      </c>
      <c r="BA142" s="208">
        <v>0</v>
      </c>
      <c r="BB142" s="208">
        <v>0</v>
      </c>
      <c r="BC142" s="208">
        <v>0</v>
      </c>
      <c r="BD142" s="208">
        <v>0</v>
      </c>
      <c r="BE142" s="208">
        <v>0</v>
      </c>
      <c r="BF142" s="208">
        <v>0</v>
      </c>
      <c r="BG142" s="208">
        <v>0</v>
      </c>
      <c r="BH142" s="208">
        <v>0</v>
      </c>
      <c r="BI142" s="208">
        <v>0</v>
      </c>
      <c r="BJ142" s="208">
        <v>0</v>
      </c>
      <c r="BK142" s="208">
        <v>0</v>
      </c>
      <c r="BL142" s="208">
        <v>0</v>
      </c>
      <c r="BM142" s="208">
        <v>0</v>
      </c>
      <c r="BN142" s="208">
        <v>0</v>
      </c>
      <c r="BO142" s="208">
        <v>2364119.2494383329</v>
      </c>
      <c r="BP142" s="208">
        <v>589192.73892833327</v>
      </c>
      <c r="BQ142" s="208">
        <v>0</v>
      </c>
      <c r="BR142" s="208">
        <v>193559</v>
      </c>
      <c r="BS142" s="208">
        <v>47900</v>
      </c>
      <c r="BT142" s="208">
        <v>0</v>
      </c>
      <c r="BU142" s="208">
        <v>2294168</v>
      </c>
      <c r="BV142" s="208">
        <v>572687</v>
      </c>
      <c r="BW142" s="208">
        <v>0</v>
      </c>
      <c r="BX142" s="208">
        <v>263510</v>
      </c>
      <c r="BY142" s="208">
        <v>64406</v>
      </c>
      <c r="BZ142" s="208">
        <v>0</v>
      </c>
      <c r="CA142" s="208">
        <v>105506.08</v>
      </c>
      <c r="CB142" s="208">
        <v>25508.063750000001</v>
      </c>
      <c r="CC142" s="208">
        <v>0</v>
      </c>
      <c r="CD142" s="208">
        <v>24913</v>
      </c>
      <c r="CE142" s="208">
        <v>6228</v>
      </c>
      <c r="CF142" s="208">
        <v>0</v>
      </c>
      <c r="CG142" s="208">
        <v>80593</v>
      </c>
      <c r="CH142" s="208">
        <v>19280</v>
      </c>
      <c r="CI142" s="208">
        <v>0</v>
      </c>
      <c r="CJ142" s="208">
        <v>-40257.908333333333</v>
      </c>
      <c r="CK142" s="208">
        <v>0</v>
      </c>
      <c r="CL142" s="208">
        <v>0</v>
      </c>
      <c r="CM142" s="208">
        <v>0</v>
      </c>
      <c r="CN142" s="208">
        <v>0</v>
      </c>
      <c r="CO142" s="208">
        <v>0</v>
      </c>
      <c r="CP142" s="208">
        <v>0</v>
      </c>
      <c r="CQ142" s="208">
        <v>0</v>
      </c>
      <c r="CR142" s="208">
        <v>0</v>
      </c>
      <c r="CS142" s="208">
        <v>0</v>
      </c>
      <c r="CT142" s="208">
        <v>0</v>
      </c>
      <c r="CU142" s="208">
        <v>0</v>
      </c>
      <c r="CV142" s="208">
        <v>0</v>
      </c>
      <c r="CW142" s="208">
        <v>0</v>
      </c>
      <c r="CX142" s="208">
        <v>0</v>
      </c>
      <c r="CY142" s="208">
        <v>0</v>
      </c>
      <c r="CZ142" s="208">
        <v>0</v>
      </c>
      <c r="DA142" s="208">
        <v>0</v>
      </c>
      <c r="DB142" s="208">
        <v>0</v>
      </c>
      <c r="DC142" s="208">
        <v>0</v>
      </c>
      <c r="DD142" s="208">
        <v>0</v>
      </c>
      <c r="DE142" s="208">
        <v>0</v>
      </c>
      <c r="DF142" s="208">
        <v>0</v>
      </c>
      <c r="DG142" s="208">
        <v>0</v>
      </c>
      <c r="DH142" s="208">
        <v>0</v>
      </c>
      <c r="DI142" s="208">
        <v>0</v>
      </c>
      <c r="DJ142" s="208">
        <v>0</v>
      </c>
      <c r="DK142" s="208">
        <v>0</v>
      </c>
      <c r="DL142" s="208">
        <v>0</v>
      </c>
      <c r="DM142" s="208">
        <v>0</v>
      </c>
      <c r="DN142" s="208">
        <v>1227.5</v>
      </c>
      <c r="DO142" s="208">
        <v>306.875</v>
      </c>
      <c r="DP142" s="208">
        <v>0</v>
      </c>
      <c r="DQ142" s="208">
        <v>1227</v>
      </c>
      <c r="DR142" s="208">
        <v>307</v>
      </c>
      <c r="DS142" s="208">
        <v>0</v>
      </c>
      <c r="DT142" s="208">
        <v>1</v>
      </c>
      <c r="DU142" s="208">
        <v>0</v>
      </c>
      <c r="DV142" s="208">
        <v>0</v>
      </c>
      <c r="DW142" s="208">
        <v>3721.78</v>
      </c>
      <c r="DX142" s="208">
        <v>930.44500000000005</v>
      </c>
      <c r="DY142" s="208">
        <v>0</v>
      </c>
      <c r="DZ142" s="208">
        <v>2946</v>
      </c>
      <c r="EA142" s="208">
        <v>737</v>
      </c>
      <c r="EB142" s="208">
        <v>0</v>
      </c>
      <c r="EC142" s="208">
        <v>776</v>
      </c>
      <c r="ED142" s="208">
        <v>193</v>
      </c>
      <c r="EE142" s="208">
        <v>0</v>
      </c>
      <c r="EF142" s="208">
        <v>83314.721250000002</v>
      </c>
      <c r="EG142" s="208">
        <v>20582.924583333333</v>
      </c>
      <c r="EH142" s="208">
        <v>0</v>
      </c>
      <c r="EI142" s="208">
        <v>-1767.8045833333331</v>
      </c>
      <c r="EJ142" s="208">
        <v>-635.02666666666664</v>
      </c>
      <c r="EK142" s="208">
        <v>0</v>
      </c>
      <c r="EL142" s="208">
        <v>83118</v>
      </c>
      <c r="EM142" s="208">
        <v>20780</v>
      </c>
      <c r="EN142" s="208">
        <v>0</v>
      </c>
      <c r="EO142" s="208">
        <v>-1571</v>
      </c>
      <c r="EP142" s="208">
        <v>-832</v>
      </c>
      <c r="EQ142" s="208">
        <v>0</v>
      </c>
      <c r="ER142" s="208">
        <v>14576.971666666666</v>
      </c>
      <c r="ES142" s="208">
        <v>3644.2429166666666</v>
      </c>
      <c r="ET142" s="208">
        <v>0</v>
      </c>
      <c r="EU142" s="208">
        <v>27806</v>
      </c>
      <c r="EV142" s="208">
        <v>6951</v>
      </c>
      <c r="EW142" s="208">
        <v>0</v>
      </c>
      <c r="EX142" s="208">
        <v>-13229</v>
      </c>
      <c r="EY142" s="208">
        <v>-3307</v>
      </c>
      <c r="EZ142" s="208">
        <v>0</v>
      </c>
      <c r="FA142" s="208">
        <v>0</v>
      </c>
      <c r="FB142" s="208">
        <v>0</v>
      </c>
      <c r="FC142" s="208">
        <v>0</v>
      </c>
      <c r="FD142" s="208">
        <v>0</v>
      </c>
      <c r="FE142" s="208">
        <v>0</v>
      </c>
      <c r="FF142" s="208">
        <v>0</v>
      </c>
      <c r="FG142" s="208">
        <v>0</v>
      </c>
      <c r="FH142" s="208">
        <v>0</v>
      </c>
      <c r="FI142" s="208">
        <v>0</v>
      </c>
      <c r="FJ142" s="208">
        <v>986910.60875000001</v>
      </c>
      <c r="FK142" s="208">
        <v>243458.89333333334</v>
      </c>
      <c r="FL142" s="208">
        <v>0</v>
      </c>
      <c r="FM142" s="208">
        <v>1008962</v>
      </c>
      <c r="FN142" s="208">
        <v>248705</v>
      </c>
      <c r="FO142" s="208">
        <v>0</v>
      </c>
      <c r="FP142" s="208">
        <v>-22051</v>
      </c>
      <c r="FQ142" s="208">
        <v>-5246</v>
      </c>
      <c r="FR142" s="208">
        <v>0</v>
      </c>
      <c r="FS142" s="208">
        <v>201666.99791666667</v>
      </c>
      <c r="FT142" s="208">
        <v>0</v>
      </c>
      <c r="FU142" s="208">
        <v>0</v>
      </c>
      <c r="FV142" s="208">
        <v>73720</v>
      </c>
      <c r="FW142" s="208">
        <v>0</v>
      </c>
      <c r="FX142" s="208">
        <v>0</v>
      </c>
      <c r="FY142" s="208">
        <v>127947</v>
      </c>
      <c r="FZ142" s="208">
        <v>0</v>
      </c>
      <c r="GA142" s="208">
        <v>0</v>
      </c>
      <c r="GB142" s="208">
        <v>3912578</v>
      </c>
      <c r="GC142" s="208">
        <v>930889</v>
      </c>
      <c r="GD142" s="208">
        <v>0</v>
      </c>
      <c r="GE142" s="664">
        <v>0</v>
      </c>
      <c r="GF142" s="664">
        <v>0.8</v>
      </c>
      <c r="GG142" s="664">
        <v>0.2</v>
      </c>
      <c r="GH142" s="664">
        <v>0</v>
      </c>
      <c r="GI142" s="187" t="s">
        <v>1054</v>
      </c>
    </row>
    <row r="143" spans="1:191" s="187" customFormat="1" x14ac:dyDescent="0.2">
      <c r="B143" s="429" t="s">
        <v>363</v>
      </c>
      <c r="C143" s="429" t="s">
        <v>362</v>
      </c>
      <c r="D143" s="208">
        <v>1605668</v>
      </c>
      <c r="E143" s="208">
        <v>0</v>
      </c>
      <c r="F143" s="208">
        <v>1605668</v>
      </c>
      <c r="G143" s="208">
        <v>1738533</v>
      </c>
      <c r="H143" s="208">
        <v>0</v>
      </c>
      <c r="I143" s="208">
        <v>1738533</v>
      </c>
      <c r="J143" s="208">
        <v>-132865</v>
      </c>
      <c r="K143" s="208">
        <v>0</v>
      </c>
      <c r="L143" s="208">
        <v>-132865</v>
      </c>
      <c r="M143" s="208">
        <v>263701</v>
      </c>
      <c r="N143" s="208">
        <v>263701</v>
      </c>
      <c r="O143" s="208">
        <v>0</v>
      </c>
      <c r="P143" s="208">
        <v>0</v>
      </c>
      <c r="Q143" s="208">
        <v>0</v>
      </c>
      <c r="R143" s="208">
        <v>0</v>
      </c>
      <c r="S143" s="208">
        <v>277491</v>
      </c>
      <c r="T143" s="208">
        <v>0</v>
      </c>
      <c r="U143" s="208">
        <v>267452</v>
      </c>
      <c r="V143" s="208">
        <v>0</v>
      </c>
      <c r="W143" s="208">
        <v>10039</v>
      </c>
      <c r="X143" s="208">
        <v>0</v>
      </c>
      <c r="Y143" s="208">
        <v>0</v>
      </c>
      <c r="Z143" s="208">
        <v>0</v>
      </c>
      <c r="AA143" s="208">
        <v>0</v>
      </c>
      <c r="AB143" s="208">
        <v>0</v>
      </c>
      <c r="AC143" s="208">
        <v>0</v>
      </c>
      <c r="AD143" s="208">
        <v>0</v>
      </c>
      <c r="AE143" s="208">
        <v>0</v>
      </c>
      <c r="AF143" s="208">
        <v>0</v>
      </c>
      <c r="AG143" s="208">
        <v>0</v>
      </c>
      <c r="AH143" s="208">
        <v>0</v>
      </c>
      <c r="AI143" s="208">
        <v>0</v>
      </c>
      <c r="AJ143" s="208">
        <v>0</v>
      </c>
      <c r="AK143" s="208">
        <v>0</v>
      </c>
      <c r="AL143" s="208">
        <v>0</v>
      </c>
      <c r="AM143" s="208">
        <v>0</v>
      </c>
      <c r="AN143" s="208">
        <v>0</v>
      </c>
      <c r="AO143" s="208">
        <v>0</v>
      </c>
      <c r="AP143" s="208">
        <v>0</v>
      </c>
      <c r="AQ143" s="208">
        <v>0</v>
      </c>
      <c r="AR143" s="208">
        <v>0</v>
      </c>
      <c r="AS143" s="208">
        <v>0</v>
      </c>
      <c r="AT143" s="208">
        <v>0</v>
      </c>
      <c r="AU143" s="208">
        <v>0</v>
      </c>
      <c r="AV143" s="208">
        <v>0</v>
      </c>
      <c r="AW143" s="208">
        <v>0</v>
      </c>
      <c r="AX143" s="208">
        <v>0</v>
      </c>
      <c r="AY143" s="208">
        <v>0</v>
      </c>
      <c r="AZ143" s="208">
        <v>0</v>
      </c>
      <c r="BA143" s="208">
        <v>0</v>
      </c>
      <c r="BB143" s="208">
        <v>0</v>
      </c>
      <c r="BC143" s="208">
        <v>0</v>
      </c>
      <c r="BD143" s="208">
        <v>0</v>
      </c>
      <c r="BE143" s="208">
        <v>0</v>
      </c>
      <c r="BF143" s="208">
        <v>0</v>
      </c>
      <c r="BG143" s="208">
        <v>0</v>
      </c>
      <c r="BH143" s="208">
        <v>0</v>
      </c>
      <c r="BI143" s="208">
        <v>0</v>
      </c>
      <c r="BJ143" s="208">
        <v>0</v>
      </c>
      <c r="BK143" s="208">
        <v>0</v>
      </c>
      <c r="BL143" s="208">
        <v>0</v>
      </c>
      <c r="BM143" s="208">
        <v>0</v>
      </c>
      <c r="BN143" s="208">
        <v>0</v>
      </c>
      <c r="BO143" s="208">
        <v>5393401.107035418</v>
      </c>
      <c r="BP143" s="208">
        <v>0</v>
      </c>
      <c r="BQ143" s="208">
        <v>0</v>
      </c>
      <c r="BR143" s="208">
        <v>219558</v>
      </c>
      <c r="BS143" s="208">
        <v>0</v>
      </c>
      <c r="BT143" s="208">
        <v>0</v>
      </c>
      <c r="BU143" s="208">
        <v>4994673</v>
      </c>
      <c r="BV143" s="208">
        <v>0</v>
      </c>
      <c r="BW143" s="208">
        <v>0</v>
      </c>
      <c r="BX143" s="208">
        <v>618286</v>
      </c>
      <c r="BY143" s="208">
        <v>0</v>
      </c>
      <c r="BZ143" s="208">
        <v>0</v>
      </c>
      <c r="CA143" s="208">
        <v>35152.53125</v>
      </c>
      <c r="CB143" s="208">
        <v>0</v>
      </c>
      <c r="CC143" s="208">
        <v>0</v>
      </c>
      <c r="CD143" s="208">
        <v>36365</v>
      </c>
      <c r="CE143" s="208">
        <v>0</v>
      </c>
      <c r="CF143" s="208">
        <v>0</v>
      </c>
      <c r="CG143" s="208">
        <v>-1212</v>
      </c>
      <c r="CH143" s="208">
        <v>0</v>
      </c>
      <c r="CI143" s="208">
        <v>0</v>
      </c>
      <c r="CJ143" s="208">
        <v>0</v>
      </c>
      <c r="CK143" s="208">
        <v>0</v>
      </c>
      <c r="CL143" s="208">
        <v>0</v>
      </c>
      <c r="CM143" s="208">
        <v>0</v>
      </c>
      <c r="CN143" s="208">
        <v>0</v>
      </c>
      <c r="CO143" s="208">
        <v>0</v>
      </c>
      <c r="CP143" s="208">
        <v>-385.63958333333335</v>
      </c>
      <c r="CQ143" s="208">
        <v>0</v>
      </c>
      <c r="CR143" s="208">
        <v>0</v>
      </c>
      <c r="CS143" s="208">
        <v>0</v>
      </c>
      <c r="CT143" s="208">
        <v>0</v>
      </c>
      <c r="CU143" s="208">
        <v>0</v>
      </c>
      <c r="CV143" s="208">
        <v>0</v>
      </c>
      <c r="CW143" s="208">
        <v>0</v>
      </c>
      <c r="CX143" s="208">
        <v>0</v>
      </c>
      <c r="CY143" s="208">
        <v>0</v>
      </c>
      <c r="CZ143" s="208">
        <v>0</v>
      </c>
      <c r="DA143" s="208">
        <v>0</v>
      </c>
      <c r="DB143" s="208">
        <v>0</v>
      </c>
      <c r="DC143" s="208">
        <v>0</v>
      </c>
      <c r="DD143" s="208">
        <v>0</v>
      </c>
      <c r="DE143" s="208">
        <v>798.89791666666667</v>
      </c>
      <c r="DF143" s="208">
        <v>0</v>
      </c>
      <c r="DG143" s="208">
        <v>0</v>
      </c>
      <c r="DH143" s="208">
        <v>0</v>
      </c>
      <c r="DI143" s="208">
        <v>0</v>
      </c>
      <c r="DJ143" s="208">
        <v>0</v>
      </c>
      <c r="DK143" s="208">
        <v>799</v>
      </c>
      <c r="DL143" s="208">
        <v>0</v>
      </c>
      <c r="DM143" s="208">
        <v>0</v>
      </c>
      <c r="DN143" s="208">
        <v>1534.375</v>
      </c>
      <c r="DO143" s="208">
        <v>0</v>
      </c>
      <c r="DP143" s="208">
        <v>0</v>
      </c>
      <c r="DQ143" s="208">
        <v>1534</v>
      </c>
      <c r="DR143" s="208">
        <v>0</v>
      </c>
      <c r="DS143" s="208">
        <v>0</v>
      </c>
      <c r="DT143" s="208">
        <v>0</v>
      </c>
      <c r="DU143" s="208">
        <v>0</v>
      </c>
      <c r="DV143" s="208">
        <v>0</v>
      </c>
      <c r="DW143" s="208">
        <v>34672.783333333333</v>
      </c>
      <c r="DX143" s="208">
        <v>0</v>
      </c>
      <c r="DY143" s="208">
        <v>0</v>
      </c>
      <c r="DZ143" s="208">
        <v>30884</v>
      </c>
      <c r="EA143" s="208">
        <v>0</v>
      </c>
      <c r="EB143" s="208">
        <v>0</v>
      </c>
      <c r="EC143" s="208">
        <v>3789</v>
      </c>
      <c r="ED143" s="208">
        <v>0</v>
      </c>
      <c r="EE143" s="208">
        <v>0</v>
      </c>
      <c r="EF143" s="208">
        <v>222587.68958333333</v>
      </c>
      <c r="EG143" s="208">
        <v>0</v>
      </c>
      <c r="EH143" s="208">
        <v>0</v>
      </c>
      <c r="EI143" s="208">
        <v>-9266.6020833333332</v>
      </c>
      <c r="EJ143" s="208">
        <v>0</v>
      </c>
      <c r="EK143" s="208">
        <v>0</v>
      </c>
      <c r="EL143" s="208">
        <v>250201</v>
      </c>
      <c r="EM143" s="208">
        <v>0</v>
      </c>
      <c r="EN143" s="208">
        <v>0</v>
      </c>
      <c r="EO143" s="208">
        <v>-36880</v>
      </c>
      <c r="EP143" s="208">
        <v>0</v>
      </c>
      <c r="EQ143" s="208">
        <v>0</v>
      </c>
      <c r="ER143" s="208">
        <v>80673.34583333334</v>
      </c>
      <c r="ES143" s="208">
        <v>0</v>
      </c>
      <c r="ET143" s="208">
        <v>0</v>
      </c>
      <c r="EU143" s="208">
        <v>85925</v>
      </c>
      <c r="EV143" s="208">
        <v>0</v>
      </c>
      <c r="EW143" s="208">
        <v>0</v>
      </c>
      <c r="EX143" s="208">
        <v>-5252</v>
      </c>
      <c r="EY143" s="208">
        <v>0</v>
      </c>
      <c r="EZ143" s="208">
        <v>0</v>
      </c>
      <c r="FA143" s="208">
        <v>0</v>
      </c>
      <c r="FB143" s="208">
        <v>0</v>
      </c>
      <c r="FC143" s="208">
        <v>0</v>
      </c>
      <c r="FD143" s="208">
        <v>0</v>
      </c>
      <c r="FE143" s="208">
        <v>0</v>
      </c>
      <c r="FF143" s="208">
        <v>0</v>
      </c>
      <c r="FG143" s="208">
        <v>0</v>
      </c>
      <c r="FH143" s="208">
        <v>0</v>
      </c>
      <c r="FI143" s="208">
        <v>0</v>
      </c>
      <c r="FJ143" s="208">
        <v>891887.8833333333</v>
      </c>
      <c r="FK143" s="208">
        <v>0</v>
      </c>
      <c r="FL143" s="208">
        <v>0</v>
      </c>
      <c r="FM143" s="208">
        <v>888060</v>
      </c>
      <c r="FN143" s="208">
        <v>0</v>
      </c>
      <c r="FO143" s="208">
        <v>0</v>
      </c>
      <c r="FP143" s="208">
        <v>3828</v>
      </c>
      <c r="FQ143" s="208">
        <v>0</v>
      </c>
      <c r="FR143" s="208">
        <v>0</v>
      </c>
      <c r="FS143" s="208">
        <v>0</v>
      </c>
      <c r="FT143" s="208">
        <v>0</v>
      </c>
      <c r="FU143" s="208">
        <v>0</v>
      </c>
      <c r="FV143" s="208">
        <v>0</v>
      </c>
      <c r="FW143" s="208">
        <v>0</v>
      </c>
      <c r="FX143" s="208">
        <v>0</v>
      </c>
      <c r="FY143" s="208">
        <v>0</v>
      </c>
      <c r="FZ143" s="208">
        <v>0</v>
      </c>
      <c r="GA143" s="208">
        <v>0</v>
      </c>
      <c r="GB143" s="208">
        <v>6870614</v>
      </c>
      <c r="GC143" s="208">
        <v>0</v>
      </c>
      <c r="GD143" s="208">
        <v>0</v>
      </c>
      <c r="GE143" s="664">
        <v>0</v>
      </c>
      <c r="GF143" s="664">
        <v>1</v>
      </c>
      <c r="GG143" s="664">
        <v>0</v>
      </c>
      <c r="GH143" s="664">
        <v>0</v>
      </c>
      <c r="GI143" s="187" t="s">
        <v>742</v>
      </c>
    </row>
    <row r="144" spans="1:191" s="187" customFormat="1" x14ac:dyDescent="0.2">
      <c r="B144" s="429" t="s">
        <v>365</v>
      </c>
      <c r="C144" s="429" t="s">
        <v>364</v>
      </c>
      <c r="D144" s="208">
        <v>14310</v>
      </c>
      <c r="E144" s="208">
        <v>0</v>
      </c>
      <c r="F144" s="208">
        <v>14310</v>
      </c>
      <c r="G144" s="208">
        <v>10000</v>
      </c>
      <c r="H144" s="208">
        <v>0</v>
      </c>
      <c r="I144" s="208">
        <v>10000</v>
      </c>
      <c r="J144" s="208">
        <v>4310</v>
      </c>
      <c r="K144" s="208">
        <v>0</v>
      </c>
      <c r="L144" s="208">
        <v>4310</v>
      </c>
      <c r="M144" s="208">
        <v>24069</v>
      </c>
      <c r="N144" s="208">
        <v>24069</v>
      </c>
      <c r="O144" s="208">
        <v>0</v>
      </c>
      <c r="P144" s="208">
        <v>0</v>
      </c>
      <c r="Q144" s="208">
        <v>0</v>
      </c>
      <c r="R144" s="208">
        <v>0</v>
      </c>
      <c r="S144" s="208">
        <v>0</v>
      </c>
      <c r="T144" s="208">
        <v>0</v>
      </c>
      <c r="U144" s="208">
        <v>0</v>
      </c>
      <c r="V144" s="208">
        <v>0</v>
      </c>
      <c r="W144" s="208">
        <v>0</v>
      </c>
      <c r="X144" s="208">
        <v>0</v>
      </c>
      <c r="Y144" s="208">
        <v>0</v>
      </c>
      <c r="Z144" s="208">
        <v>0</v>
      </c>
      <c r="AA144" s="208">
        <v>0</v>
      </c>
      <c r="AB144" s="208">
        <v>0</v>
      </c>
      <c r="AC144" s="208">
        <v>0</v>
      </c>
      <c r="AD144" s="208">
        <v>0</v>
      </c>
      <c r="AE144" s="208">
        <v>0</v>
      </c>
      <c r="AF144" s="208">
        <v>0</v>
      </c>
      <c r="AG144" s="208">
        <v>0</v>
      </c>
      <c r="AH144" s="208">
        <v>0</v>
      </c>
      <c r="AI144" s="208">
        <v>0</v>
      </c>
      <c r="AJ144" s="208">
        <v>0</v>
      </c>
      <c r="AK144" s="208">
        <v>0</v>
      </c>
      <c r="AL144" s="208">
        <v>0</v>
      </c>
      <c r="AM144" s="208">
        <v>0</v>
      </c>
      <c r="AN144" s="208">
        <v>0</v>
      </c>
      <c r="AO144" s="208">
        <v>0</v>
      </c>
      <c r="AP144" s="208">
        <v>0</v>
      </c>
      <c r="AQ144" s="208">
        <v>0</v>
      </c>
      <c r="AR144" s="208">
        <v>0</v>
      </c>
      <c r="AS144" s="208">
        <v>0</v>
      </c>
      <c r="AT144" s="208">
        <v>0</v>
      </c>
      <c r="AU144" s="208">
        <v>0</v>
      </c>
      <c r="AV144" s="208">
        <v>0</v>
      </c>
      <c r="AW144" s="208">
        <v>0</v>
      </c>
      <c r="AX144" s="208">
        <v>0</v>
      </c>
      <c r="AY144" s="208">
        <v>0</v>
      </c>
      <c r="AZ144" s="208">
        <v>0</v>
      </c>
      <c r="BA144" s="208">
        <v>0</v>
      </c>
      <c r="BB144" s="208">
        <v>0</v>
      </c>
      <c r="BC144" s="208">
        <v>0</v>
      </c>
      <c r="BD144" s="208">
        <v>0</v>
      </c>
      <c r="BE144" s="208">
        <v>0</v>
      </c>
      <c r="BF144" s="208">
        <v>0</v>
      </c>
      <c r="BG144" s="208">
        <v>0</v>
      </c>
      <c r="BH144" s="208">
        <v>0</v>
      </c>
      <c r="BI144" s="208">
        <v>0</v>
      </c>
      <c r="BJ144" s="208">
        <v>0</v>
      </c>
      <c r="BK144" s="208">
        <v>0</v>
      </c>
      <c r="BL144" s="208">
        <v>0</v>
      </c>
      <c r="BM144" s="208">
        <v>0</v>
      </c>
      <c r="BN144" s="208">
        <v>0</v>
      </c>
      <c r="BO144" s="208">
        <v>185142.38268750001</v>
      </c>
      <c r="BP144" s="208">
        <v>0</v>
      </c>
      <c r="BQ144" s="208">
        <v>0</v>
      </c>
      <c r="BR144" s="208">
        <v>4673</v>
      </c>
      <c r="BS144" s="208">
        <v>0</v>
      </c>
      <c r="BT144" s="208">
        <v>0</v>
      </c>
      <c r="BU144" s="208">
        <v>170256</v>
      </c>
      <c r="BV144" s="208">
        <v>0</v>
      </c>
      <c r="BW144" s="208">
        <v>0</v>
      </c>
      <c r="BX144" s="208">
        <v>19559</v>
      </c>
      <c r="BY144" s="208">
        <v>0</v>
      </c>
      <c r="BZ144" s="208">
        <v>0</v>
      </c>
      <c r="CA144" s="208">
        <v>0</v>
      </c>
      <c r="CB144" s="208">
        <v>0</v>
      </c>
      <c r="CC144" s="208">
        <v>0</v>
      </c>
      <c r="CD144" s="208">
        <v>0</v>
      </c>
      <c r="CE144" s="208">
        <v>0</v>
      </c>
      <c r="CF144" s="208">
        <v>0</v>
      </c>
      <c r="CG144" s="208">
        <v>0</v>
      </c>
      <c r="CH144" s="208">
        <v>0</v>
      </c>
      <c r="CI144" s="208">
        <v>0</v>
      </c>
      <c r="CJ144" s="208">
        <v>0</v>
      </c>
      <c r="CK144" s="208">
        <v>0</v>
      </c>
      <c r="CL144" s="208">
        <v>0</v>
      </c>
      <c r="CM144" s="208">
        <v>0</v>
      </c>
      <c r="CN144" s="208">
        <v>0</v>
      </c>
      <c r="CO144" s="208">
        <v>0</v>
      </c>
      <c r="CP144" s="208">
        <v>978.93124999999998</v>
      </c>
      <c r="CQ144" s="208">
        <v>0</v>
      </c>
      <c r="CR144" s="208">
        <v>0</v>
      </c>
      <c r="CS144" s="208">
        <v>0</v>
      </c>
      <c r="CT144" s="208">
        <v>0</v>
      </c>
      <c r="CU144" s="208">
        <v>0</v>
      </c>
      <c r="CV144" s="208">
        <v>0</v>
      </c>
      <c r="CW144" s="208">
        <v>0</v>
      </c>
      <c r="CX144" s="208">
        <v>0</v>
      </c>
      <c r="CY144" s="208">
        <v>0</v>
      </c>
      <c r="CZ144" s="208">
        <v>0</v>
      </c>
      <c r="DA144" s="208">
        <v>0</v>
      </c>
      <c r="DB144" s="208">
        <v>0</v>
      </c>
      <c r="DC144" s="208">
        <v>0</v>
      </c>
      <c r="DD144" s="208">
        <v>0</v>
      </c>
      <c r="DE144" s="208">
        <v>0</v>
      </c>
      <c r="DF144" s="208">
        <v>0</v>
      </c>
      <c r="DG144" s="208">
        <v>0</v>
      </c>
      <c r="DH144" s="208">
        <v>957</v>
      </c>
      <c r="DI144" s="208">
        <v>0</v>
      </c>
      <c r="DJ144" s="208">
        <v>0</v>
      </c>
      <c r="DK144" s="208">
        <v>-957</v>
      </c>
      <c r="DL144" s="208">
        <v>0</v>
      </c>
      <c r="DM144" s="208">
        <v>0</v>
      </c>
      <c r="DN144" s="208">
        <v>0</v>
      </c>
      <c r="DO144" s="208">
        <v>0</v>
      </c>
      <c r="DP144" s="208">
        <v>0</v>
      </c>
      <c r="DQ144" s="208">
        <v>0</v>
      </c>
      <c r="DR144" s="208">
        <v>0</v>
      </c>
      <c r="DS144" s="208">
        <v>0</v>
      </c>
      <c r="DT144" s="208">
        <v>0</v>
      </c>
      <c r="DU144" s="208">
        <v>0</v>
      </c>
      <c r="DV144" s="208">
        <v>0</v>
      </c>
      <c r="DW144" s="208">
        <v>0</v>
      </c>
      <c r="DX144" s="208">
        <v>0</v>
      </c>
      <c r="DY144" s="208">
        <v>0</v>
      </c>
      <c r="DZ144" s="208">
        <v>0</v>
      </c>
      <c r="EA144" s="208">
        <v>0</v>
      </c>
      <c r="EB144" s="208">
        <v>0</v>
      </c>
      <c r="EC144" s="208">
        <v>0</v>
      </c>
      <c r="ED144" s="208">
        <v>0</v>
      </c>
      <c r="EE144" s="208">
        <v>0</v>
      </c>
      <c r="EF144" s="208">
        <v>1757.3708333333334</v>
      </c>
      <c r="EG144" s="208">
        <v>0</v>
      </c>
      <c r="EH144" s="208">
        <v>0</v>
      </c>
      <c r="EI144" s="208">
        <v>3801.1583333333333</v>
      </c>
      <c r="EJ144" s="208">
        <v>0</v>
      </c>
      <c r="EK144" s="208">
        <v>0</v>
      </c>
      <c r="EL144" s="208">
        <v>0</v>
      </c>
      <c r="EM144" s="208">
        <v>0</v>
      </c>
      <c r="EN144" s="208">
        <v>0</v>
      </c>
      <c r="EO144" s="208">
        <v>5559</v>
      </c>
      <c r="EP144" s="208">
        <v>0</v>
      </c>
      <c r="EQ144" s="208">
        <v>0</v>
      </c>
      <c r="ER144" s="208">
        <v>2268.8291666666669</v>
      </c>
      <c r="ES144" s="208">
        <v>0</v>
      </c>
      <c r="ET144" s="208">
        <v>0</v>
      </c>
      <c r="EU144" s="208">
        <v>2557</v>
      </c>
      <c r="EV144" s="208">
        <v>0</v>
      </c>
      <c r="EW144" s="208">
        <v>0</v>
      </c>
      <c r="EX144" s="208">
        <v>-288</v>
      </c>
      <c r="EY144" s="208">
        <v>0</v>
      </c>
      <c r="EZ144" s="208">
        <v>0</v>
      </c>
      <c r="FA144" s="208">
        <v>0</v>
      </c>
      <c r="FB144" s="208">
        <v>0</v>
      </c>
      <c r="FC144" s="208">
        <v>0</v>
      </c>
      <c r="FD144" s="208">
        <v>0</v>
      </c>
      <c r="FE144" s="208">
        <v>0</v>
      </c>
      <c r="FF144" s="208">
        <v>0</v>
      </c>
      <c r="FG144" s="208">
        <v>0</v>
      </c>
      <c r="FH144" s="208">
        <v>0</v>
      </c>
      <c r="FI144" s="208">
        <v>0</v>
      </c>
      <c r="FJ144" s="208">
        <v>17121.774999999998</v>
      </c>
      <c r="FK144" s="208">
        <v>0</v>
      </c>
      <c r="FL144" s="208">
        <v>0</v>
      </c>
      <c r="FM144" s="208">
        <v>17006</v>
      </c>
      <c r="FN144" s="208">
        <v>0</v>
      </c>
      <c r="FO144" s="208">
        <v>0</v>
      </c>
      <c r="FP144" s="208">
        <v>116</v>
      </c>
      <c r="FQ144" s="208">
        <v>0</v>
      </c>
      <c r="FR144" s="208">
        <v>0</v>
      </c>
      <c r="FS144" s="208">
        <v>0</v>
      </c>
      <c r="FT144" s="208">
        <v>0</v>
      </c>
      <c r="FU144" s="208">
        <v>0</v>
      </c>
      <c r="FV144" s="208">
        <v>0</v>
      </c>
      <c r="FW144" s="208">
        <v>0</v>
      </c>
      <c r="FX144" s="208">
        <v>0</v>
      </c>
      <c r="FY144" s="208">
        <v>0</v>
      </c>
      <c r="FZ144" s="208">
        <v>0</v>
      </c>
      <c r="GA144" s="208">
        <v>0</v>
      </c>
      <c r="GB144" s="208">
        <v>215743</v>
      </c>
      <c r="GC144" s="208">
        <v>0</v>
      </c>
      <c r="GD144" s="208">
        <v>0</v>
      </c>
      <c r="GE144" s="664">
        <v>0.5</v>
      </c>
      <c r="GF144" s="664">
        <v>0.5</v>
      </c>
      <c r="GG144" s="664">
        <v>0</v>
      </c>
      <c r="GH144" s="664">
        <v>0</v>
      </c>
      <c r="GI144" s="187" t="s">
        <v>742</v>
      </c>
    </row>
    <row r="145" spans="1:191" s="187" customFormat="1" x14ac:dyDescent="0.2">
      <c r="B145" s="429" t="s">
        <v>367</v>
      </c>
      <c r="C145" s="429" t="s">
        <v>366</v>
      </c>
      <c r="D145" s="208">
        <v>18380908</v>
      </c>
      <c r="E145" s="208">
        <v>0</v>
      </c>
      <c r="F145" s="208">
        <v>18380908</v>
      </c>
      <c r="G145" s="208">
        <v>17843087</v>
      </c>
      <c r="H145" s="208">
        <v>0</v>
      </c>
      <c r="I145" s="208">
        <v>17843087</v>
      </c>
      <c r="J145" s="208">
        <v>537821</v>
      </c>
      <c r="K145" s="208">
        <v>0</v>
      </c>
      <c r="L145" s="208">
        <v>537821</v>
      </c>
      <c r="M145" s="208">
        <v>706880</v>
      </c>
      <c r="N145" s="208">
        <v>706880</v>
      </c>
      <c r="O145" s="208">
        <v>0</v>
      </c>
      <c r="P145" s="208">
        <v>0</v>
      </c>
      <c r="Q145" s="208">
        <v>0</v>
      </c>
      <c r="R145" s="208">
        <v>0</v>
      </c>
      <c r="S145" s="208">
        <v>76437</v>
      </c>
      <c r="T145" s="208">
        <v>0</v>
      </c>
      <c r="U145" s="208">
        <v>74926</v>
      </c>
      <c r="V145" s="208">
        <v>0</v>
      </c>
      <c r="W145" s="208">
        <v>1511</v>
      </c>
      <c r="X145" s="208">
        <v>0</v>
      </c>
      <c r="Y145" s="208">
        <v>0</v>
      </c>
      <c r="Z145" s="208">
        <v>0</v>
      </c>
      <c r="AA145" s="208">
        <v>0</v>
      </c>
      <c r="AB145" s="208">
        <v>0</v>
      </c>
      <c r="AC145" s="208">
        <v>0</v>
      </c>
      <c r="AD145" s="208">
        <v>0</v>
      </c>
      <c r="AE145" s="208">
        <v>0</v>
      </c>
      <c r="AF145" s="208">
        <v>0</v>
      </c>
      <c r="AG145" s="208">
        <v>0</v>
      </c>
      <c r="AH145" s="208">
        <v>0</v>
      </c>
      <c r="AI145" s="208">
        <v>0</v>
      </c>
      <c r="AJ145" s="208">
        <v>0</v>
      </c>
      <c r="AK145" s="208">
        <v>0</v>
      </c>
      <c r="AL145" s="208">
        <v>0</v>
      </c>
      <c r="AM145" s="208">
        <v>0</v>
      </c>
      <c r="AN145" s="208">
        <v>0</v>
      </c>
      <c r="AO145" s="208">
        <v>0</v>
      </c>
      <c r="AP145" s="208">
        <v>0</v>
      </c>
      <c r="AQ145" s="208">
        <v>0</v>
      </c>
      <c r="AR145" s="208">
        <v>0</v>
      </c>
      <c r="AS145" s="208">
        <v>0</v>
      </c>
      <c r="AT145" s="208">
        <v>0</v>
      </c>
      <c r="AU145" s="208">
        <v>0</v>
      </c>
      <c r="AV145" s="208">
        <v>0</v>
      </c>
      <c r="AW145" s="208">
        <v>0</v>
      </c>
      <c r="AX145" s="208">
        <v>0</v>
      </c>
      <c r="AY145" s="208">
        <v>0</v>
      </c>
      <c r="AZ145" s="208">
        <v>0</v>
      </c>
      <c r="BA145" s="208">
        <v>0</v>
      </c>
      <c r="BB145" s="208">
        <v>0</v>
      </c>
      <c r="BC145" s="208">
        <v>0</v>
      </c>
      <c r="BD145" s="208">
        <v>0</v>
      </c>
      <c r="BE145" s="208">
        <v>0</v>
      </c>
      <c r="BF145" s="208">
        <v>0</v>
      </c>
      <c r="BG145" s="208">
        <v>0</v>
      </c>
      <c r="BH145" s="208">
        <v>0</v>
      </c>
      <c r="BI145" s="208">
        <v>0</v>
      </c>
      <c r="BJ145" s="208">
        <v>0</v>
      </c>
      <c r="BK145" s="208">
        <v>0</v>
      </c>
      <c r="BL145" s="208">
        <v>0</v>
      </c>
      <c r="BM145" s="208">
        <v>0</v>
      </c>
      <c r="BN145" s="208">
        <v>0</v>
      </c>
      <c r="BO145" s="208">
        <v>2933208.7534346674</v>
      </c>
      <c r="BP145" s="208">
        <v>1649929.9238069998</v>
      </c>
      <c r="BQ145" s="208">
        <v>0</v>
      </c>
      <c r="BR145" s="208">
        <v>315046</v>
      </c>
      <c r="BS145" s="208">
        <v>177213</v>
      </c>
      <c r="BT145" s="208">
        <v>0</v>
      </c>
      <c r="BU145" s="208">
        <v>3112132</v>
      </c>
      <c r="BV145" s="208">
        <v>1750574</v>
      </c>
      <c r="BW145" s="208">
        <v>0</v>
      </c>
      <c r="BX145" s="208">
        <v>136123</v>
      </c>
      <c r="BY145" s="208">
        <v>76569</v>
      </c>
      <c r="BZ145" s="208">
        <v>0</v>
      </c>
      <c r="CA145" s="208">
        <v>11655.685333333333</v>
      </c>
      <c r="CB145" s="208">
        <v>6556.3230000000003</v>
      </c>
      <c r="CC145" s="208">
        <v>0</v>
      </c>
      <c r="CD145" s="208">
        <v>0</v>
      </c>
      <c r="CE145" s="208">
        <v>0</v>
      </c>
      <c r="CF145" s="208">
        <v>0</v>
      </c>
      <c r="CG145" s="208">
        <v>11656</v>
      </c>
      <c r="CH145" s="208">
        <v>6556</v>
      </c>
      <c r="CI145" s="208">
        <v>0</v>
      </c>
      <c r="CJ145" s="208">
        <v>2944.0359999999996</v>
      </c>
      <c r="CK145" s="208">
        <v>1656.0202499999998</v>
      </c>
      <c r="CL145" s="208">
        <v>0</v>
      </c>
      <c r="CM145" s="208">
        <v>-2271.0386666666668</v>
      </c>
      <c r="CN145" s="208">
        <v>-1277.4592499999999</v>
      </c>
      <c r="CO145" s="208">
        <v>0</v>
      </c>
      <c r="CP145" s="208">
        <v>14890.393333333333</v>
      </c>
      <c r="CQ145" s="208">
        <v>8375.8462499999987</v>
      </c>
      <c r="CR145" s="208">
        <v>0</v>
      </c>
      <c r="CS145" s="208">
        <v>0</v>
      </c>
      <c r="CT145" s="208">
        <v>0</v>
      </c>
      <c r="CU145" s="208">
        <v>0</v>
      </c>
      <c r="CV145" s="208">
        <v>0</v>
      </c>
      <c r="CW145" s="208">
        <v>0</v>
      </c>
      <c r="CX145" s="208">
        <v>0</v>
      </c>
      <c r="CY145" s="208">
        <v>0</v>
      </c>
      <c r="CZ145" s="208">
        <v>0</v>
      </c>
      <c r="DA145" s="208">
        <v>0</v>
      </c>
      <c r="DB145" s="208">
        <v>0</v>
      </c>
      <c r="DC145" s="208">
        <v>0</v>
      </c>
      <c r="DD145" s="208">
        <v>0</v>
      </c>
      <c r="DE145" s="208">
        <v>0</v>
      </c>
      <c r="DF145" s="208">
        <v>0</v>
      </c>
      <c r="DG145" s="208">
        <v>0</v>
      </c>
      <c r="DH145" s="208">
        <v>0</v>
      </c>
      <c r="DI145" s="208">
        <v>0</v>
      </c>
      <c r="DJ145" s="208">
        <v>0</v>
      </c>
      <c r="DK145" s="208">
        <v>0</v>
      </c>
      <c r="DL145" s="208">
        <v>0</v>
      </c>
      <c r="DM145" s="208">
        <v>0</v>
      </c>
      <c r="DN145" s="208">
        <v>0</v>
      </c>
      <c r="DO145" s="208">
        <v>0</v>
      </c>
      <c r="DP145" s="208">
        <v>0</v>
      </c>
      <c r="DQ145" s="208">
        <v>0</v>
      </c>
      <c r="DR145" s="208">
        <v>0</v>
      </c>
      <c r="DS145" s="208">
        <v>0</v>
      </c>
      <c r="DT145" s="208">
        <v>0</v>
      </c>
      <c r="DU145" s="208">
        <v>0</v>
      </c>
      <c r="DV145" s="208">
        <v>0</v>
      </c>
      <c r="DW145" s="208">
        <v>155375.31333333332</v>
      </c>
      <c r="DX145" s="208">
        <v>87398.61374999999</v>
      </c>
      <c r="DY145" s="208">
        <v>0</v>
      </c>
      <c r="DZ145" s="208">
        <v>210066</v>
      </c>
      <c r="EA145" s="208">
        <v>118162</v>
      </c>
      <c r="EB145" s="208">
        <v>0</v>
      </c>
      <c r="EC145" s="208">
        <v>-54691</v>
      </c>
      <c r="ED145" s="208">
        <v>-30763</v>
      </c>
      <c r="EE145" s="208">
        <v>0</v>
      </c>
      <c r="EF145" s="208">
        <v>1585556.84</v>
      </c>
      <c r="EG145" s="208">
        <v>891875.72249999992</v>
      </c>
      <c r="EH145" s="208">
        <v>0</v>
      </c>
      <c r="EI145" s="208">
        <v>0</v>
      </c>
      <c r="EJ145" s="208">
        <v>0</v>
      </c>
      <c r="EK145" s="208">
        <v>0</v>
      </c>
      <c r="EL145" s="208">
        <v>1593458</v>
      </c>
      <c r="EM145" s="208">
        <v>896321</v>
      </c>
      <c r="EN145" s="208">
        <v>0</v>
      </c>
      <c r="EO145" s="208">
        <v>-7901</v>
      </c>
      <c r="EP145" s="208">
        <v>-4445</v>
      </c>
      <c r="EQ145" s="208">
        <v>0</v>
      </c>
      <c r="ER145" s="208">
        <v>75717.437333333335</v>
      </c>
      <c r="ES145" s="208">
        <v>42591.058499999999</v>
      </c>
      <c r="ET145" s="208">
        <v>0</v>
      </c>
      <c r="EU145" s="208">
        <v>87789</v>
      </c>
      <c r="EV145" s="208">
        <v>49381</v>
      </c>
      <c r="EW145" s="208">
        <v>0</v>
      </c>
      <c r="EX145" s="208">
        <v>-12072</v>
      </c>
      <c r="EY145" s="208">
        <v>-6790</v>
      </c>
      <c r="EZ145" s="208">
        <v>0</v>
      </c>
      <c r="FA145" s="208">
        <v>0</v>
      </c>
      <c r="FB145" s="208">
        <v>0</v>
      </c>
      <c r="FC145" s="208">
        <v>0</v>
      </c>
      <c r="FD145" s="208">
        <v>0</v>
      </c>
      <c r="FE145" s="208">
        <v>0</v>
      </c>
      <c r="FF145" s="208">
        <v>0</v>
      </c>
      <c r="FG145" s="208">
        <v>0</v>
      </c>
      <c r="FH145" s="208">
        <v>0</v>
      </c>
      <c r="FI145" s="208">
        <v>0</v>
      </c>
      <c r="FJ145" s="208">
        <v>4296642.7359166667</v>
      </c>
      <c r="FK145" s="208">
        <v>2415876.2182499999</v>
      </c>
      <c r="FL145" s="208">
        <v>0</v>
      </c>
      <c r="FM145" s="208">
        <v>4147276</v>
      </c>
      <c r="FN145" s="208">
        <v>2331877</v>
      </c>
      <c r="FO145" s="208">
        <v>0</v>
      </c>
      <c r="FP145" s="208">
        <v>149367</v>
      </c>
      <c r="FQ145" s="208">
        <v>83999</v>
      </c>
      <c r="FR145" s="208">
        <v>0</v>
      </c>
      <c r="FS145" s="208">
        <v>0</v>
      </c>
      <c r="FT145" s="208">
        <v>0</v>
      </c>
      <c r="FU145" s="208">
        <v>0</v>
      </c>
      <c r="FV145" s="208">
        <v>0</v>
      </c>
      <c r="FW145" s="208">
        <v>0</v>
      </c>
      <c r="FX145" s="208">
        <v>0</v>
      </c>
      <c r="FY145" s="208">
        <v>0</v>
      </c>
      <c r="FZ145" s="208">
        <v>0</v>
      </c>
      <c r="GA145" s="208">
        <v>0</v>
      </c>
      <c r="GB145" s="208">
        <v>9388766</v>
      </c>
      <c r="GC145" s="208">
        <v>5280196</v>
      </c>
      <c r="GD145" s="208">
        <v>0</v>
      </c>
      <c r="GE145" s="664">
        <v>0</v>
      </c>
      <c r="GF145" s="664">
        <v>0.64</v>
      </c>
      <c r="GG145" s="664">
        <v>0.36</v>
      </c>
      <c r="GH145" s="664">
        <v>0</v>
      </c>
      <c r="GI145" s="187" t="s">
        <v>1057</v>
      </c>
    </row>
    <row r="146" spans="1:191" s="187" customFormat="1" x14ac:dyDescent="0.2">
      <c r="B146" s="429" t="s">
        <v>369</v>
      </c>
      <c r="C146" s="429" t="s">
        <v>368</v>
      </c>
      <c r="D146" s="208">
        <v>6799908</v>
      </c>
      <c r="E146" s="208">
        <v>0</v>
      </c>
      <c r="F146" s="208">
        <v>6799908</v>
      </c>
      <c r="G146" s="208">
        <v>5975857</v>
      </c>
      <c r="H146" s="208">
        <v>0</v>
      </c>
      <c r="I146" s="208">
        <v>5975857</v>
      </c>
      <c r="J146" s="208">
        <v>824051</v>
      </c>
      <c r="K146" s="208">
        <v>0</v>
      </c>
      <c r="L146" s="208">
        <v>824051</v>
      </c>
      <c r="M146" s="208">
        <v>654901</v>
      </c>
      <c r="N146" s="208">
        <v>654901</v>
      </c>
      <c r="O146" s="208">
        <v>0</v>
      </c>
      <c r="P146" s="208">
        <v>0</v>
      </c>
      <c r="Q146" s="208">
        <v>0</v>
      </c>
      <c r="R146" s="208">
        <v>0</v>
      </c>
      <c r="S146" s="208">
        <v>0</v>
      </c>
      <c r="T146" s="208">
        <v>0</v>
      </c>
      <c r="U146" s="208">
        <v>0</v>
      </c>
      <c r="V146" s="208">
        <v>0</v>
      </c>
      <c r="W146" s="208">
        <v>0</v>
      </c>
      <c r="X146" s="208">
        <v>0</v>
      </c>
      <c r="Y146" s="208">
        <v>0</v>
      </c>
      <c r="Z146" s="208">
        <v>0</v>
      </c>
      <c r="AA146" s="208">
        <v>0</v>
      </c>
      <c r="AB146" s="208">
        <v>0</v>
      </c>
      <c r="AC146" s="208">
        <v>0</v>
      </c>
      <c r="AD146" s="208">
        <v>0</v>
      </c>
      <c r="AE146" s="208">
        <v>0</v>
      </c>
      <c r="AF146" s="208">
        <v>0</v>
      </c>
      <c r="AG146" s="208">
        <v>0</v>
      </c>
      <c r="AH146" s="208">
        <v>0</v>
      </c>
      <c r="AI146" s="208">
        <v>0</v>
      </c>
      <c r="AJ146" s="208">
        <v>0</v>
      </c>
      <c r="AK146" s="208">
        <v>0</v>
      </c>
      <c r="AL146" s="208">
        <v>0</v>
      </c>
      <c r="AM146" s="208">
        <v>0</v>
      </c>
      <c r="AN146" s="208">
        <v>0</v>
      </c>
      <c r="AO146" s="208">
        <v>0</v>
      </c>
      <c r="AP146" s="208">
        <v>0</v>
      </c>
      <c r="AQ146" s="208">
        <v>0</v>
      </c>
      <c r="AR146" s="208">
        <v>0</v>
      </c>
      <c r="AS146" s="208">
        <v>0</v>
      </c>
      <c r="AT146" s="208">
        <v>0</v>
      </c>
      <c r="AU146" s="208">
        <v>0</v>
      </c>
      <c r="AV146" s="208">
        <v>0</v>
      </c>
      <c r="AW146" s="208">
        <v>0</v>
      </c>
      <c r="AX146" s="208">
        <v>0</v>
      </c>
      <c r="AY146" s="208">
        <v>0</v>
      </c>
      <c r="AZ146" s="208">
        <v>0</v>
      </c>
      <c r="BA146" s="208">
        <v>0</v>
      </c>
      <c r="BB146" s="208">
        <v>0</v>
      </c>
      <c r="BC146" s="208">
        <v>0</v>
      </c>
      <c r="BD146" s="208">
        <v>0</v>
      </c>
      <c r="BE146" s="208">
        <v>0</v>
      </c>
      <c r="BF146" s="208">
        <v>0</v>
      </c>
      <c r="BG146" s="208">
        <v>0</v>
      </c>
      <c r="BH146" s="208">
        <v>0</v>
      </c>
      <c r="BI146" s="208">
        <v>0</v>
      </c>
      <c r="BJ146" s="208">
        <v>0</v>
      </c>
      <c r="BK146" s="208">
        <v>0</v>
      </c>
      <c r="BL146" s="208">
        <v>0</v>
      </c>
      <c r="BM146" s="208">
        <v>0</v>
      </c>
      <c r="BN146" s="208">
        <v>0</v>
      </c>
      <c r="BO146" s="208">
        <v>1946483.8198453337</v>
      </c>
      <c r="BP146" s="208">
        <v>1094897.148663</v>
      </c>
      <c r="BQ146" s="208">
        <v>0</v>
      </c>
      <c r="BR146" s="208">
        <v>0</v>
      </c>
      <c r="BS146" s="208">
        <v>0</v>
      </c>
      <c r="BT146" s="208">
        <v>0</v>
      </c>
      <c r="BU146" s="208">
        <v>1665468</v>
      </c>
      <c r="BV146" s="208">
        <v>936825</v>
      </c>
      <c r="BW146" s="208">
        <v>0</v>
      </c>
      <c r="BX146" s="208">
        <v>281016</v>
      </c>
      <c r="BY146" s="208">
        <v>158072</v>
      </c>
      <c r="BZ146" s="208">
        <v>0</v>
      </c>
      <c r="CA146" s="208">
        <v>1857.944</v>
      </c>
      <c r="CB146" s="208">
        <v>1045.0934999999999</v>
      </c>
      <c r="CC146" s="208">
        <v>0</v>
      </c>
      <c r="CD146" s="208">
        <v>2988</v>
      </c>
      <c r="CE146" s="208">
        <v>1680</v>
      </c>
      <c r="CF146" s="208">
        <v>0</v>
      </c>
      <c r="CG146" s="208">
        <v>-1130</v>
      </c>
      <c r="CH146" s="208">
        <v>-635</v>
      </c>
      <c r="CI146" s="208">
        <v>0</v>
      </c>
      <c r="CJ146" s="208">
        <v>0</v>
      </c>
      <c r="CK146" s="208">
        <v>0</v>
      </c>
      <c r="CL146" s="208">
        <v>0</v>
      </c>
      <c r="CM146" s="208">
        <v>-1094.6026666666667</v>
      </c>
      <c r="CN146" s="208">
        <v>-615.71399999999994</v>
      </c>
      <c r="CO146" s="208">
        <v>0</v>
      </c>
      <c r="CP146" s="208">
        <v>-251.39200000000002</v>
      </c>
      <c r="CQ146" s="208">
        <v>-141.40799999999999</v>
      </c>
      <c r="CR146" s="208">
        <v>0</v>
      </c>
      <c r="CS146" s="208">
        <v>0</v>
      </c>
      <c r="CT146" s="208">
        <v>0</v>
      </c>
      <c r="CU146" s="208">
        <v>0</v>
      </c>
      <c r="CV146" s="208">
        <v>0</v>
      </c>
      <c r="CW146" s="208">
        <v>0</v>
      </c>
      <c r="CX146" s="208">
        <v>0</v>
      </c>
      <c r="CY146" s="208">
        <v>0</v>
      </c>
      <c r="CZ146" s="208">
        <v>0</v>
      </c>
      <c r="DA146" s="208">
        <v>0</v>
      </c>
      <c r="DB146" s="208">
        <v>82.488</v>
      </c>
      <c r="DC146" s="208">
        <v>46.399499999999996</v>
      </c>
      <c r="DD146" s="208">
        <v>0</v>
      </c>
      <c r="DE146" s="208">
        <v>0</v>
      </c>
      <c r="DF146" s="208">
        <v>0</v>
      </c>
      <c r="DG146" s="208">
        <v>0</v>
      </c>
      <c r="DH146" s="208">
        <v>0</v>
      </c>
      <c r="DI146" s="208">
        <v>0</v>
      </c>
      <c r="DJ146" s="208">
        <v>0</v>
      </c>
      <c r="DK146" s="208">
        <v>0</v>
      </c>
      <c r="DL146" s="208">
        <v>0</v>
      </c>
      <c r="DM146" s="208">
        <v>0</v>
      </c>
      <c r="DN146" s="208">
        <v>0</v>
      </c>
      <c r="DO146" s="208">
        <v>0</v>
      </c>
      <c r="DP146" s="208">
        <v>0</v>
      </c>
      <c r="DQ146" s="208">
        <v>0</v>
      </c>
      <c r="DR146" s="208">
        <v>0</v>
      </c>
      <c r="DS146" s="208">
        <v>0</v>
      </c>
      <c r="DT146" s="208">
        <v>0</v>
      </c>
      <c r="DU146" s="208">
        <v>0</v>
      </c>
      <c r="DV146" s="208">
        <v>0</v>
      </c>
      <c r="DW146" s="208">
        <v>38354.955999999998</v>
      </c>
      <c r="DX146" s="208">
        <v>21574.662749999996</v>
      </c>
      <c r="DY146" s="208">
        <v>0</v>
      </c>
      <c r="DZ146" s="208">
        <v>47205</v>
      </c>
      <c r="EA146" s="208">
        <v>26553</v>
      </c>
      <c r="EB146" s="208">
        <v>0</v>
      </c>
      <c r="EC146" s="208">
        <v>-8850</v>
      </c>
      <c r="ED146" s="208">
        <v>-4978</v>
      </c>
      <c r="EE146" s="208">
        <v>0</v>
      </c>
      <c r="EF146" s="208">
        <v>840162.5386666666</v>
      </c>
      <c r="EG146" s="208">
        <v>472591.42799999996</v>
      </c>
      <c r="EH146" s="208">
        <v>0</v>
      </c>
      <c r="EI146" s="208">
        <v>-38161.829333333335</v>
      </c>
      <c r="EJ146" s="208">
        <v>-21466.028999999999</v>
      </c>
      <c r="EK146" s="208">
        <v>0</v>
      </c>
      <c r="EL146" s="208">
        <v>895584</v>
      </c>
      <c r="EM146" s="208">
        <v>503766</v>
      </c>
      <c r="EN146" s="208">
        <v>0</v>
      </c>
      <c r="EO146" s="208">
        <v>-93583</v>
      </c>
      <c r="EP146" s="208">
        <v>-52641</v>
      </c>
      <c r="EQ146" s="208">
        <v>0</v>
      </c>
      <c r="ER146" s="208">
        <v>18761.437333333335</v>
      </c>
      <c r="ES146" s="208">
        <v>10553.308499999999</v>
      </c>
      <c r="ET146" s="208">
        <v>0</v>
      </c>
      <c r="EU146" s="208">
        <v>15712</v>
      </c>
      <c r="EV146" s="208">
        <v>8838</v>
      </c>
      <c r="EW146" s="208">
        <v>0</v>
      </c>
      <c r="EX146" s="208">
        <v>3049</v>
      </c>
      <c r="EY146" s="208">
        <v>1715</v>
      </c>
      <c r="EZ146" s="208">
        <v>0</v>
      </c>
      <c r="FA146" s="208">
        <v>0</v>
      </c>
      <c r="FB146" s="208">
        <v>0</v>
      </c>
      <c r="FC146" s="208">
        <v>0</v>
      </c>
      <c r="FD146" s="208">
        <v>0</v>
      </c>
      <c r="FE146" s="208">
        <v>0</v>
      </c>
      <c r="FF146" s="208">
        <v>0</v>
      </c>
      <c r="FG146" s="208">
        <v>0</v>
      </c>
      <c r="FH146" s="208">
        <v>0</v>
      </c>
      <c r="FI146" s="208">
        <v>0</v>
      </c>
      <c r="FJ146" s="208">
        <v>4919209.6213333327</v>
      </c>
      <c r="FK146" s="208">
        <v>2767055.4119999995</v>
      </c>
      <c r="FL146" s="208">
        <v>0</v>
      </c>
      <c r="FM146" s="208">
        <v>4856443</v>
      </c>
      <c r="FN146" s="208">
        <v>2731749</v>
      </c>
      <c r="FO146" s="208">
        <v>0</v>
      </c>
      <c r="FP146" s="208">
        <v>62767</v>
      </c>
      <c r="FQ146" s="208">
        <v>35306</v>
      </c>
      <c r="FR146" s="208">
        <v>0</v>
      </c>
      <c r="FS146" s="208">
        <v>0</v>
      </c>
      <c r="FT146" s="208">
        <v>0</v>
      </c>
      <c r="FU146" s="208">
        <v>0</v>
      </c>
      <c r="FV146" s="208">
        <v>0</v>
      </c>
      <c r="FW146" s="208">
        <v>0</v>
      </c>
      <c r="FX146" s="208">
        <v>0</v>
      </c>
      <c r="FY146" s="208">
        <v>0</v>
      </c>
      <c r="FZ146" s="208">
        <v>0</v>
      </c>
      <c r="GA146" s="208">
        <v>0</v>
      </c>
      <c r="GB146" s="208">
        <v>7725405</v>
      </c>
      <c r="GC146" s="208">
        <v>4345539</v>
      </c>
      <c r="GD146" s="208">
        <v>0</v>
      </c>
      <c r="GE146" s="664">
        <v>0</v>
      </c>
      <c r="GF146" s="664">
        <v>0.64</v>
      </c>
      <c r="GG146" s="664">
        <v>0.36</v>
      </c>
      <c r="GH146" s="664">
        <v>0</v>
      </c>
      <c r="GI146" s="187" t="s">
        <v>1057</v>
      </c>
    </row>
    <row r="147" spans="1:191" s="187" customFormat="1" x14ac:dyDescent="0.2">
      <c r="B147" s="429" t="s">
        <v>371</v>
      </c>
      <c r="C147" s="429" t="s">
        <v>370</v>
      </c>
      <c r="D147" s="208">
        <v>-239679</v>
      </c>
      <c r="E147" s="208">
        <v>0</v>
      </c>
      <c r="F147" s="208">
        <v>-239679</v>
      </c>
      <c r="G147" s="208">
        <v>-276121</v>
      </c>
      <c r="H147" s="208">
        <v>0</v>
      </c>
      <c r="I147" s="208">
        <v>-276121</v>
      </c>
      <c r="J147" s="208">
        <v>36442</v>
      </c>
      <c r="K147" s="208">
        <v>0</v>
      </c>
      <c r="L147" s="208">
        <v>36442</v>
      </c>
      <c r="M147" s="208">
        <v>109312</v>
      </c>
      <c r="N147" s="208">
        <v>109312</v>
      </c>
      <c r="O147" s="208">
        <v>0</v>
      </c>
      <c r="P147" s="208">
        <v>0</v>
      </c>
      <c r="Q147" s="208">
        <v>0</v>
      </c>
      <c r="R147" s="208">
        <v>0</v>
      </c>
      <c r="S147" s="208">
        <v>347536</v>
      </c>
      <c r="T147" s="208">
        <v>0</v>
      </c>
      <c r="U147" s="208">
        <v>352000</v>
      </c>
      <c r="V147" s="208">
        <v>0</v>
      </c>
      <c r="W147" s="208">
        <v>-4464</v>
      </c>
      <c r="X147" s="208">
        <v>0</v>
      </c>
      <c r="Y147" s="208">
        <v>0</v>
      </c>
      <c r="Z147" s="208">
        <v>0</v>
      </c>
      <c r="AA147" s="208">
        <v>0</v>
      </c>
      <c r="AB147" s="208">
        <v>0</v>
      </c>
      <c r="AC147" s="208">
        <v>0</v>
      </c>
      <c r="AD147" s="208">
        <v>0</v>
      </c>
      <c r="AE147" s="208">
        <v>0</v>
      </c>
      <c r="AF147" s="208">
        <v>0</v>
      </c>
      <c r="AG147" s="208">
        <v>0</v>
      </c>
      <c r="AH147" s="208">
        <v>0</v>
      </c>
      <c r="AI147" s="208">
        <v>0</v>
      </c>
      <c r="AJ147" s="208">
        <v>0</v>
      </c>
      <c r="AK147" s="208">
        <v>0</v>
      </c>
      <c r="AL147" s="208">
        <v>0</v>
      </c>
      <c r="AM147" s="208">
        <v>0</v>
      </c>
      <c r="AN147" s="208">
        <v>0</v>
      </c>
      <c r="AO147" s="208">
        <v>0</v>
      </c>
      <c r="AP147" s="208">
        <v>0</v>
      </c>
      <c r="AQ147" s="208">
        <v>0</v>
      </c>
      <c r="AR147" s="208">
        <v>0</v>
      </c>
      <c r="AS147" s="208">
        <v>0</v>
      </c>
      <c r="AT147" s="208">
        <v>0</v>
      </c>
      <c r="AU147" s="208">
        <v>0</v>
      </c>
      <c r="AV147" s="208">
        <v>0</v>
      </c>
      <c r="AW147" s="208">
        <v>0</v>
      </c>
      <c r="AX147" s="208">
        <v>0</v>
      </c>
      <c r="AY147" s="208">
        <v>0</v>
      </c>
      <c r="AZ147" s="208">
        <v>0</v>
      </c>
      <c r="BA147" s="208">
        <v>0</v>
      </c>
      <c r="BB147" s="208">
        <v>0</v>
      </c>
      <c r="BC147" s="208">
        <v>0</v>
      </c>
      <c r="BD147" s="208">
        <v>0</v>
      </c>
      <c r="BE147" s="208">
        <v>0</v>
      </c>
      <c r="BF147" s="208">
        <v>0</v>
      </c>
      <c r="BG147" s="208">
        <v>0</v>
      </c>
      <c r="BH147" s="208">
        <v>0</v>
      </c>
      <c r="BI147" s="208">
        <v>0</v>
      </c>
      <c r="BJ147" s="208">
        <v>0</v>
      </c>
      <c r="BK147" s="208">
        <v>0</v>
      </c>
      <c r="BL147" s="208">
        <v>0</v>
      </c>
      <c r="BM147" s="208">
        <v>0</v>
      </c>
      <c r="BN147" s="208">
        <v>0</v>
      </c>
      <c r="BO147" s="208">
        <v>808661.63783750008</v>
      </c>
      <c r="BP147" s="208">
        <v>202165.40945937502</v>
      </c>
      <c r="BQ147" s="208">
        <v>0</v>
      </c>
      <c r="BR147" s="208">
        <v>56125</v>
      </c>
      <c r="BS147" s="208">
        <v>14031</v>
      </c>
      <c r="BT147" s="208">
        <v>0</v>
      </c>
      <c r="BU147" s="208">
        <v>840377</v>
      </c>
      <c r="BV147" s="208">
        <v>210094</v>
      </c>
      <c r="BW147" s="208">
        <v>0</v>
      </c>
      <c r="BX147" s="208">
        <v>24410</v>
      </c>
      <c r="BY147" s="208">
        <v>6102</v>
      </c>
      <c r="BZ147" s="208">
        <v>0</v>
      </c>
      <c r="CA147" s="208">
        <v>5191.0975000000008</v>
      </c>
      <c r="CB147" s="208">
        <v>1297.7743750000002</v>
      </c>
      <c r="CC147" s="208">
        <v>0</v>
      </c>
      <c r="CD147" s="208">
        <v>2826</v>
      </c>
      <c r="CE147" s="208">
        <v>706</v>
      </c>
      <c r="CF147" s="208">
        <v>0</v>
      </c>
      <c r="CG147" s="208">
        <v>2365</v>
      </c>
      <c r="CH147" s="208">
        <v>592</v>
      </c>
      <c r="CI147" s="208">
        <v>0</v>
      </c>
      <c r="CJ147" s="208">
        <v>0</v>
      </c>
      <c r="CK147" s="208">
        <v>0</v>
      </c>
      <c r="CL147" s="208">
        <v>0</v>
      </c>
      <c r="CM147" s="208">
        <v>0</v>
      </c>
      <c r="CN147" s="208">
        <v>0</v>
      </c>
      <c r="CO147" s="208">
        <v>0</v>
      </c>
      <c r="CP147" s="208">
        <v>0</v>
      </c>
      <c r="CQ147" s="208">
        <v>0</v>
      </c>
      <c r="CR147" s="208">
        <v>0</v>
      </c>
      <c r="CS147" s="208">
        <v>0</v>
      </c>
      <c r="CT147" s="208">
        <v>0</v>
      </c>
      <c r="CU147" s="208">
        <v>0</v>
      </c>
      <c r="CV147" s="208">
        <v>0</v>
      </c>
      <c r="CW147" s="208">
        <v>0</v>
      </c>
      <c r="CX147" s="208">
        <v>0</v>
      </c>
      <c r="CY147" s="208">
        <v>0</v>
      </c>
      <c r="CZ147" s="208">
        <v>0</v>
      </c>
      <c r="DA147" s="208">
        <v>0</v>
      </c>
      <c r="DB147" s="208">
        <v>0</v>
      </c>
      <c r="DC147" s="208">
        <v>0</v>
      </c>
      <c r="DD147" s="208">
        <v>0</v>
      </c>
      <c r="DE147" s="208">
        <v>1403.0325000000003</v>
      </c>
      <c r="DF147" s="208">
        <v>350.75812500000006</v>
      </c>
      <c r="DG147" s="208">
        <v>0</v>
      </c>
      <c r="DH147" s="208">
        <v>2256</v>
      </c>
      <c r="DI147" s="208">
        <v>564</v>
      </c>
      <c r="DJ147" s="208">
        <v>0</v>
      </c>
      <c r="DK147" s="208">
        <v>-853</v>
      </c>
      <c r="DL147" s="208">
        <v>-213</v>
      </c>
      <c r="DM147" s="208">
        <v>0</v>
      </c>
      <c r="DN147" s="208">
        <v>0</v>
      </c>
      <c r="DO147" s="208">
        <v>0</v>
      </c>
      <c r="DP147" s="208">
        <v>0</v>
      </c>
      <c r="DQ147" s="208">
        <v>0</v>
      </c>
      <c r="DR147" s="208">
        <v>0</v>
      </c>
      <c r="DS147" s="208">
        <v>0</v>
      </c>
      <c r="DT147" s="208">
        <v>0</v>
      </c>
      <c r="DU147" s="208">
        <v>0</v>
      </c>
      <c r="DV147" s="208">
        <v>0</v>
      </c>
      <c r="DW147" s="208">
        <v>159.16583333333335</v>
      </c>
      <c r="DX147" s="208">
        <v>39.791458333333338</v>
      </c>
      <c r="DY147" s="208">
        <v>0</v>
      </c>
      <c r="DZ147" s="208">
        <v>409</v>
      </c>
      <c r="EA147" s="208">
        <v>102</v>
      </c>
      <c r="EB147" s="208">
        <v>0</v>
      </c>
      <c r="EC147" s="208">
        <v>-250</v>
      </c>
      <c r="ED147" s="208">
        <v>-62</v>
      </c>
      <c r="EE147" s="208">
        <v>0</v>
      </c>
      <c r="EF147" s="208">
        <v>14835.155833333332</v>
      </c>
      <c r="EG147" s="208">
        <v>3708.7889583333331</v>
      </c>
      <c r="EH147" s="208">
        <v>0</v>
      </c>
      <c r="EI147" s="208">
        <v>-74.05916666666667</v>
      </c>
      <c r="EJ147" s="208">
        <v>-18.514791666666667</v>
      </c>
      <c r="EK147" s="208">
        <v>0</v>
      </c>
      <c r="EL147" s="208">
        <v>16366</v>
      </c>
      <c r="EM147" s="208">
        <v>4092</v>
      </c>
      <c r="EN147" s="208">
        <v>0</v>
      </c>
      <c r="EO147" s="208">
        <v>-1605</v>
      </c>
      <c r="EP147" s="208">
        <v>-402</v>
      </c>
      <c r="EQ147" s="208">
        <v>0</v>
      </c>
      <c r="ER147" s="208">
        <v>9401.8316666666669</v>
      </c>
      <c r="ES147" s="208">
        <v>2350.4579166666667</v>
      </c>
      <c r="ET147" s="208">
        <v>0</v>
      </c>
      <c r="EU147" s="208">
        <v>10229</v>
      </c>
      <c r="EV147" s="208">
        <v>2557</v>
      </c>
      <c r="EW147" s="208">
        <v>0</v>
      </c>
      <c r="EX147" s="208">
        <v>-827</v>
      </c>
      <c r="EY147" s="208">
        <v>-207</v>
      </c>
      <c r="EZ147" s="208">
        <v>0</v>
      </c>
      <c r="FA147" s="208">
        <v>0</v>
      </c>
      <c r="FB147" s="208">
        <v>0</v>
      </c>
      <c r="FC147" s="208">
        <v>0</v>
      </c>
      <c r="FD147" s="208">
        <v>0</v>
      </c>
      <c r="FE147" s="208">
        <v>0</v>
      </c>
      <c r="FF147" s="208">
        <v>0</v>
      </c>
      <c r="FG147" s="208">
        <v>0</v>
      </c>
      <c r="FH147" s="208">
        <v>0</v>
      </c>
      <c r="FI147" s="208">
        <v>0</v>
      </c>
      <c r="FJ147" s="208">
        <v>301879.97583333333</v>
      </c>
      <c r="FK147" s="208">
        <v>73478.902291666658</v>
      </c>
      <c r="FL147" s="208">
        <v>0</v>
      </c>
      <c r="FM147" s="208">
        <v>294779</v>
      </c>
      <c r="FN147" s="208">
        <v>71678</v>
      </c>
      <c r="FO147" s="208">
        <v>0</v>
      </c>
      <c r="FP147" s="208">
        <v>7101</v>
      </c>
      <c r="FQ147" s="208">
        <v>1801</v>
      </c>
      <c r="FR147" s="208">
        <v>0</v>
      </c>
      <c r="FS147" s="208">
        <v>0</v>
      </c>
      <c r="FT147" s="208">
        <v>0</v>
      </c>
      <c r="FU147" s="208">
        <v>0</v>
      </c>
      <c r="FV147" s="208">
        <v>0</v>
      </c>
      <c r="FW147" s="208">
        <v>0</v>
      </c>
      <c r="FX147" s="208">
        <v>0</v>
      </c>
      <c r="FY147" s="208">
        <v>0</v>
      </c>
      <c r="FZ147" s="208">
        <v>0</v>
      </c>
      <c r="GA147" s="208">
        <v>0</v>
      </c>
      <c r="GB147" s="208">
        <v>1197583</v>
      </c>
      <c r="GC147" s="208">
        <v>297404</v>
      </c>
      <c r="GD147" s="208">
        <v>0</v>
      </c>
      <c r="GE147" s="664">
        <v>0.5</v>
      </c>
      <c r="GF147" s="664">
        <v>0.4</v>
      </c>
      <c r="GG147" s="664">
        <v>0.1</v>
      </c>
      <c r="GH147" s="664">
        <v>0</v>
      </c>
      <c r="GI147" s="187" t="s">
        <v>1054</v>
      </c>
    </row>
    <row r="148" spans="1:191" s="187" customFormat="1" x14ac:dyDescent="0.2">
      <c r="A148" s="187" t="s">
        <v>1817</v>
      </c>
      <c r="B148" s="429" t="s">
        <v>373</v>
      </c>
      <c r="C148" s="429" t="s">
        <v>372</v>
      </c>
      <c r="D148" s="208">
        <v>-114411</v>
      </c>
      <c r="E148" s="208">
        <v>0</v>
      </c>
      <c r="F148" s="208">
        <v>-114411</v>
      </c>
      <c r="G148" s="208">
        <v>-158432</v>
      </c>
      <c r="H148" s="208">
        <v>0</v>
      </c>
      <c r="I148" s="208">
        <v>-158432</v>
      </c>
      <c r="J148" s="208">
        <v>44021</v>
      </c>
      <c r="K148" s="208">
        <v>0</v>
      </c>
      <c r="L148" s="208">
        <v>44021</v>
      </c>
      <c r="M148" s="208">
        <v>219879</v>
      </c>
      <c r="N148" s="208">
        <v>219879</v>
      </c>
      <c r="O148" s="208">
        <v>0</v>
      </c>
      <c r="P148" s="208">
        <v>0</v>
      </c>
      <c r="Q148" s="208">
        <v>0</v>
      </c>
      <c r="R148" s="208">
        <v>0</v>
      </c>
      <c r="S148" s="208">
        <v>3162615</v>
      </c>
      <c r="T148" s="208">
        <v>0</v>
      </c>
      <c r="U148" s="208">
        <v>2141504</v>
      </c>
      <c r="V148" s="208">
        <v>0</v>
      </c>
      <c r="W148" s="208">
        <v>1021111</v>
      </c>
      <c r="X148" s="208">
        <v>0</v>
      </c>
      <c r="Y148" s="208">
        <v>0</v>
      </c>
      <c r="Z148" s="208">
        <v>0</v>
      </c>
      <c r="AA148" s="208">
        <v>0</v>
      </c>
      <c r="AB148" s="208">
        <v>0</v>
      </c>
      <c r="AC148" s="208">
        <v>0</v>
      </c>
      <c r="AD148" s="208">
        <v>0</v>
      </c>
      <c r="AE148" s="208">
        <v>0</v>
      </c>
      <c r="AF148" s="208">
        <v>0</v>
      </c>
      <c r="AG148" s="208">
        <v>0</v>
      </c>
      <c r="AH148" s="208">
        <v>78133</v>
      </c>
      <c r="AI148" s="208">
        <v>78133.443750000006</v>
      </c>
      <c r="AJ148" s="208">
        <v>0</v>
      </c>
      <c r="AK148" s="208">
        <v>0</v>
      </c>
      <c r="AL148" s="208">
        <v>86831</v>
      </c>
      <c r="AM148" s="208">
        <v>86831</v>
      </c>
      <c r="AN148" s="208">
        <v>0</v>
      </c>
      <c r="AO148" s="208">
        <v>0</v>
      </c>
      <c r="AP148" s="208">
        <v>-8698</v>
      </c>
      <c r="AQ148" s="208">
        <v>-8698</v>
      </c>
      <c r="AR148" s="208">
        <v>0</v>
      </c>
      <c r="AS148" s="208">
        <v>0</v>
      </c>
      <c r="AT148" s="208">
        <v>0</v>
      </c>
      <c r="AU148" s="208">
        <v>0</v>
      </c>
      <c r="AV148" s="208">
        <v>0</v>
      </c>
      <c r="AW148" s="208">
        <v>0</v>
      </c>
      <c r="AX148" s="208">
        <v>0</v>
      </c>
      <c r="AY148" s="208">
        <v>0</v>
      </c>
      <c r="AZ148" s="208">
        <v>0</v>
      </c>
      <c r="BA148" s="208">
        <v>0</v>
      </c>
      <c r="BB148" s="208">
        <v>0</v>
      </c>
      <c r="BC148" s="208">
        <v>0</v>
      </c>
      <c r="BD148" s="208">
        <v>0</v>
      </c>
      <c r="BE148" s="208">
        <v>0</v>
      </c>
      <c r="BF148" s="208">
        <v>0</v>
      </c>
      <c r="BG148" s="208">
        <v>0</v>
      </c>
      <c r="BH148" s="208">
        <v>0</v>
      </c>
      <c r="BI148" s="208">
        <v>0</v>
      </c>
      <c r="BJ148" s="208">
        <v>0</v>
      </c>
      <c r="BK148" s="208">
        <v>0</v>
      </c>
      <c r="BL148" s="208">
        <v>0</v>
      </c>
      <c r="BM148" s="208">
        <v>0</v>
      </c>
      <c r="BN148" s="208">
        <v>0</v>
      </c>
      <c r="BO148" s="208">
        <v>1615577.1984554171</v>
      </c>
      <c r="BP148" s="208">
        <v>402330.53851958341</v>
      </c>
      <c r="BQ148" s="208">
        <v>0</v>
      </c>
      <c r="BR148" s="208">
        <v>96567</v>
      </c>
      <c r="BS148" s="208">
        <v>24142</v>
      </c>
      <c r="BT148" s="208">
        <v>0</v>
      </c>
      <c r="BU148" s="208">
        <v>1516031</v>
      </c>
      <c r="BV148" s="208">
        <v>377775</v>
      </c>
      <c r="BW148" s="208">
        <v>0</v>
      </c>
      <c r="BX148" s="208">
        <v>196113</v>
      </c>
      <c r="BY148" s="208">
        <v>48698</v>
      </c>
      <c r="BZ148" s="208">
        <v>0</v>
      </c>
      <c r="CA148" s="208">
        <v>17634.674166666671</v>
      </c>
      <c r="CB148" s="208">
        <v>4408.6685416666678</v>
      </c>
      <c r="CC148" s="208">
        <v>0</v>
      </c>
      <c r="CD148" s="208">
        <v>294</v>
      </c>
      <c r="CE148" s="208">
        <v>74</v>
      </c>
      <c r="CF148" s="208">
        <v>0</v>
      </c>
      <c r="CG148" s="208">
        <v>17341</v>
      </c>
      <c r="CH148" s="208">
        <v>4335</v>
      </c>
      <c r="CI148" s="208">
        <v>0</v>
      </c>
      <c r="CJ148" s="208">
        <v>0</v>
      </c>
      <c r="CK148" s="208">
        <v>0</v>
      </c>
      <c r="CL148" s="208">
        <v>0</v>
      </c>
      <c r="CM148" s="208">
        <v>0</v>
      </c>
      <c r="CN148" s="208">
        <v>0</v>
      </c>
      <c r="CO148" s="208">
        <v>0</v>
      </c>
      <c r="CP148" s="208">
        <v>0</v>
      </c>
      <c r="CQ148" s="208">
        <v>0</v>
      </c>
      <c r="CR148" s="208">
        <v>0</v>
      </c>
      <c r="CS148" s="208">
        <v>0</v>
      </c>
      <c r="CT148" s="208">
        <v>0</v>
      </c>
      <c r="CU148" s="208">
        <v>0</v>
      </c>
      <c r="CV148" s="208">
        <v>0</v>
      </c>
      <c r="CW148" s="208">
        <v>0</v>
      </c>
      <c r="CX148" s="208">
        <v>0</v>
      </c>
      <c r="CY148" s="208">
        <v>0</v>
      </c>
      <c r="CZ148" s="208">
        <v>0</v>
      </c>
      <c r="DA148" s="208">
        <v>0</v>
      </c>
      <c r="DB148" s="208">
        <v>-8.1833333333333336</v>
      </c>
      <c r="DC148" s="208">
        <v>-2.0458333333333334</v>
      </c>
      <c r="DD148" s="208">
        <v>0</v>
      </c>
      <c r="DE148" s="208">
        <v>26606.880833333336</v>
      </c>
      <c r="DF148" s="208">
        <v>6651.7202083333341</v>
      </c>
      <c r="DG148" s="208">
        <v>0</v>
      </c>
      <c r="DH148" s="208">
        <v>28965</v>
      </c>
      <c r="DI148" s="208">
        <v>7241</v>
      </c>
      <c r="DJ148" s="208">
        <v>0</v>
      </c>
      <c r="DK148" s="208">
        <v>-2358</v>
      </c>
      <c r="DL148" s="208">
        <v>-589</v>
      </c>
      <c r="DM148" s="208">
        <v>0</v>
      </c>
      <c r="DN148" s="208">
        <v>613.75</v>
      </c>
      <c r="DO148" s="208">
        <v>153.4375</v>
      </c>
      <c r="DP148" s="208">
        <v>0</v>
      </c>
      <c r="DQ148" s="208">
        <v>614</v>
      </c>
      <c r="DR148" s="208">
        <v>153</v>
      </c>
      <c r="DS148" s="208">
        <v>0</v>
      </c>
      <c r="DT148" s="208">
        <v>0</v>
      </c>
      <c r="DU148" s="208">
        <v>0</v>
      </c>
      <c r="DV148" s="208">
        <v>0</v>
      </c>
      <c r="DW148" s="208">
        <v>27928.898333333334</v>
      </c>
      <c r="DX148" s="208">
        <v>6982.2245833333336</v>
      </c>
      <c r="DY148" s="208">
        <v>0</v>
      </c>
      <c r="DZ148" s="208">
        <v>23524</v>
      </c>
      <c r="EA148" s="208">
        <v>5881</v>
      </c>
      <c r="EB148" s="208">
        <v>0</v>
      </c>
      <c r="EC148" s="208">
        <v>4405</v>
      </c>
      <c r="ED148" s="208">
        <v>1101</v>
      </c>
      <c r="EE148" s="208">
        <v>0</v>
      </c>
      <c r="EF148" s="208">
        <v>81843.971666666679</v>
      </c>
      <c r="EG148" s="208">
        <v>20460.99291666667</v>
      </c>
      <c r="EH148" s="208">
        <v>0</v>
      </c>
      <c r="EI148" s="208">
        <v>-1653.4425000000001</v>
      </c>
      <c r="EJ148" s="208">
        <v>-413.36062500000003</v>
      </c>
      <c r="EK148" s="208">
        <v>0</v>
      </c>
      <c r="EL148" s="208">
        <v>82066</v>
      </c>
      <c r="EM148" s="208">
        <v>20517</v>
      </c>
      <c r="EN148" s="208">
        <v>0</v>
      </c>
      <c r="EO148" s="208">
        <v>-1875</v>
      </c>
      <c r="EP148" s="208">
        <v>-469</v>
      </c>
      <c r="EQ148" s="208">
        <v>0</v>
      </c>
      <c r="ER148" s="208">
        <v>20929.284166666668</v>
      </c>
      <c r="ES148" s="208">
        <v>5232.321041666667</v>
      </c>
      <c r="ET148" s="208">
        <v>0</v>
      </c>
      <c r="EU148" s="208">
        <v>17460</v>
      </c>
      <c r="EV148" s="208">
        <v>4365</v>
      </c>
      <c r="EW148" s="208">
        <v>0</v>
      </c>
      <c r="EX148" s="208">
        <v>3469</v>
      </c>
      <c r="EY148" s="208">
        <v>867</v>
      </c>
      <c r="EZ148" s="208">
        <v>0</v>
      </c>
      <c r="FA148" s="208">
        <v>0</v>
      </c>
      <c r="FB148" s="208">
        <v>0</v>
      </c>
      <c r="FC148" s="208">
        <v>0</v>
      </c>
      <c r="FD148" s="208">
        <v>0</v>
      </c>
      <c r="FE148" s="208">
        <v>0</v>
      </c>
      <c r="FF148" s="208">
        <v>0</v>
      </c>
      <c r="FG148" s="208">
        <v>0</v>
      </c>
      <c r="FH148" s="208">
        <v>0</v>
      </c>
      <c r="FI148" s="208">
        <v>0</v>
      </c>
      <c r="FJ148" s="208">
        <v>467450.64208333328</v>
      </c>
      <c r="FK148" s="208">
        <v>98743.51208333332</v>
      </c>
      <c r="FL148" s="208">
        <v>0</v>
      </c>
      <c r="FM148" s="208">
        <v>445970</v>
      </c>
      <c r="FN148" s="208">
        <v>98726</v>
      </c>
      <c r="FO148" s="208">
        <v>0</v>
      </c>
      <c r="FP148" s="208">
        <v>21481</v>
      </c>
      <c r="FQ148" s="208">
        <v>18</v>
      </c>
      <c r="FR148" s="208">
        <v>0</v>
      </c>
      <c r="FS148" s="208">
        <v>0</v>
      </c>
      <c r="FT148" s="208">
        <v>0</v>
      </c>
      <c r="FU148" s="208">
        <v>0</v>
      </c>
      <c r="FV148" s="208">
        <v>0</v>
      </c>
      <c r="FW148" s="208">
        <v>0</v>
      </c>
      <c r="FX148" s="208">
        <v>0</v>
      </c>
      <c r="FY148" s="208">
        <v>0</v>
      </c>
      <c r="FZ148" s="208">
        <v>0</v>
      </c>
      <c r="GA148" s="208">
        <v>0</v>
      </c>
      <c r="GB148" s="208">
        <v>2353492</v>
      </c>
      <c r="GC148" s="208">
        <v>568691</v>
      </c>
      <c r="GD148" s="208">
        <v>0</v>
      </c>
      <c r="GE148" s="664">
        <v>0.5</v>
      </c>
      <c r="GF148" s="664">
        <v>0.4</v>
      </c>
      <c r="GG148" s="664">
        <v>0.1</v>
      </c>
      <c r="GH148" s="664">
        <v>0</v>
      </c>
      <c r="GI148" s="187" t="s">
        <v>1054</v>
      </c>
    </row>
    <row r="149" spans="1:191" s="187" customFormat="1" x14ac:dyDescent="0.2">
      <c r="B149" s="429" t="s">
        <v>375</v>
      </c>
      <c r="C149" s="429" t="s">
        <v>374</v>
      </c>
      <c r="D149" s="208">
        <v>-2877122</v>
      </c>
      <c r="E149" s="208">
        <v>-1772</v>
      </c>
      <c r="F149" s="208">
        <v>-2878894</v>
      </c>
      <c r="G149" s="208">
        <v>2052459</v>
      </c>
      <c r="H149" s="208">
        <v>3942</v>
      </c>
      <c r="I149" s="208">
        <v>2056401</v>
      </c>
      <c r="J149" s="208">
        <v>-4929581</v>
      </c>
      <c r="K149" s="208">
        <v>-5714</v>
      </c>
      <c r="L149" s="208">
        <v>-4935295</v>
      </c>
      <c r="M149" s="208">
        <v>356351</v>
      </c>
      <c r="N149" s="208">
        <v>356351</v>
      </c>
      <c r="O149" s="208">
        <v>0</v>
      </c>
      <c r="P149" s="208">
        <v>2857973</v>
      </c>
      <c r="Q149" s="208">
        <v>3026396</v>
      </c>
      <c r="R149" s="208">
        <v>-168423</v>
      </c>
      <c r="S149" s="208">
        <v>50509</v>
      </c>
      <c r="T149" s="208">
        <v>0</v>
      </c>
      <c r="U149" s="208">
        <v>1109381</v>
      </c>
      <c r="V149" s="208">
        <v>0</v>
      </c>
      <c r="W149" s="208">
        <v>-1058872</v>
      </c>
      <c r="X149" s="208">
        <v>0</v>
      </c>
      <c r="Y149" s="208">
        <v>0</v>
      </c>
      <c r="Z149" s="208">
        <v>0</v>
      </c>
      <c r="AA149" s="208">
        <v>0</v>
      </c>
      <c r="AB149" s="208">
        <v>0</v>
      </c>
      <c r="AC149" s="208">
        <v>0</v>
      </c>
      <c r="AD149" s="208">
        <v>0</v>
      </c>
      <c r="AE149" s="208">
        <v>0</v>
      </c>
      <c r="AF149" s="208">
        <v>0</v>
      </c>
      <c r="AG149" s="208">
        <v>0</v>
      </c>
      <c r="AH149" s="208">
        <v>311593</v>
      </c>
      <c r="AI149" s="208">
        <v>311592.69166666665</v>
      </c>
      <c r="AJ149" s="208">
        <v>0</v>
      </c>
      <c r="AK149" s="208">
        <v>0</v>
      </c>
      <c r="AL149" s="208">
        <v>142186</v>
      </c>
      <c r="AM149" s="208">
        <v>142186</v>
      </c>
      <c r="AN149" s="208">
        <v>0</v>
      </c>
      <c r="AO149" s="208">
        <v>0</v>
      </c>
      <c r="AP149" s="208">
        <v>169407</v>
      </c>
      <c r="AQ149" s="208">
        <v>169407</v>
      </c>
      <c r="AR149" s="208">
        <v>0</v>
      </c>
      <c r="AS149" s="208">
        <v>0</v>
      </c>
      <c r="AT149" s="208">
        <v>0</v>
      </c>
      <c r="AU149" s="208">
        <v>0</v>
      </c>
      <c r="AV149" s="208">
        <v>0</v>
      </c>
      <c r="AW149" s="208">
        <v>0</v>
      </c>
      <c r="AX149" s="208">
        <v>0</v>
      </c>
      <c r="AY149" s="208">
        <v>0</v>
      </c>
      <c r="AZ149" s="208">
        <v>0</v>
      </c>
      <c r="BA149" s="208">
        <v>0</v>
      </c>
      <c r="BB149" s="208">
        <v>0</v>
      </c>
      <c r="BC149" s="208">
        <v>0</v>
      </c>
      <c r="BD149" s="208">
        <v>0</v>
      </c>
      <c r="BE149" s="208">
        <v>0</v>
      </c>
      <c r="BF149" s="208">
        <v>0</v>
      </c>
      <c r="BG149" s="208">
        <v>0</v>
      </c>
      <c r="BH149" s="208">
        <v>0</v>
      </c>
      <c r="BI149" s="208">
        <v>0</v>
      </c>
      <c r="BJ149" s="208">
        <v>0</v>
      </c>
      <c r="BK149" s="208">
        <v>0</v>
      </c>
      <c r="BL149" s="208">
        <v>0</v>
      </c>
      <c r="BM149" s="208">
        <v>0</v>
      </c>
      <c r="BN149" s="208">
        <v>0</v>
      </c>
      <c r="BO149" s="208">
        <v>3184761.0206116876</v>
      </c>
      <c r="BP149" s="208">
        <v>0</v>
      </c>
      <c r="BQ149" s="208">
        <v>64889.822262270834</v>
      </c>
      <c r="BR149" s="208">
        <v>210074</v>
      </c>
      <c r="BS149" s="208">
        <v>0</v>
      </c>
      <c r="BT149" s="208">
        <v>4224</v>
      </c>
      <c r="BU149" s="208">
        <v>2999142</v>
      </c>
      <c r="BV149" s="208">
        <v>0</v>
      </c>
      <c r="BW149" s="208">
        <v>61207</v>
      </c>
      <c r="BX149" s="208">
        <v>395693</v>
      </c>
      <c r="BY149" s="208">
        <v>0</v>
      </c>
      <c r="BZ149" s="208">
        <v>7907</v>
      </c>
      <c r="CA149" s="208">
        <v>0</v>
      </c>
      <c r="CB149" s="208">
        <v>0</v>
      </c>
      <c r="CC149" s="208">
        <v>0</v>
      </c>
      <c r="CD149" s="208">
        <v>0</v>
      </c>
      <c r="CE149" s="208">
        <v>0</v>
      </c>
      <c r="CF149" s="208">
        <v>0</v>
      </c>
      <c r="CG149" s="208">
        <v>0</v>
      </c>
      <c r="CH149" s="208">
        <v>0</v>
      </c>
      <c r="CI149" s="208">
        <v>0</v>
      </c>
      <c r="CJ149" s="208">
        <v>0</v>
      </c>
      <c r="CK149" s="208">
        <v>0</v>
      </c>
      <c r="CL149" s="208">
        <v>0</v>
      </c>
      <c r="CM149" s="208">
        <v>0</v>
      </c>
      <c r="CN149" s="208">
        <v>0</v>
      </c>
      <c r="CO149" s="208">
        <v>0</v>
      </c>
      <c r="CP149" s="208">
        <v>3712.1032083333334</v>
      </c>
      <c r="CQ149" s="208">
        <v>0</v>
      </c>
      <c r="CR149" s="208">
        <v>75.757208333333338</v>
      </c>
      <c r="CS149" s="208">
        <v>0</v>
      </c>
      <c r="CT149" s="208">
        <v>0</v>
      </c>
      <c r="CU149" s="208">
        <v>0</v>
      </c>
      <c r="CV149" s="208">
        <v>0</v>
      </c>
      <c r="CW149" s="208">
        <v>0</v>
      </c>
      <c r="CX149" s="208">
        <v>0</v>
      </c>
      <c r="CY149" s="208">
        <v>0</v>
      </c>
      <c r="CZ149" s="208">
        <v>0</v>
      </c>
      <c r="DA149" s="208">
        <v>0</v>
      </c>
      <c r="DB149" s="208">
        <v>7773.0619166666665</v>
      </c>
      <c r="DC149" s="208">
        <v>0</v>
      </c>
      <c r="DD149" s="208">
        <v>158.63391666666666</v>
      </c>
      <c r="DE149" s="208">
        <v>0</v>
      </c>
      <c r="DF149" s="208">
        <v>0</v>
      </c>
      <c r="DG149" s="208">
        <v>0</v>
      </c>
      <c r="DH149" s="208">
        <v>0</v>
      </c>
      <c r="DI149" s="208">
        <v>0</v>
      </c>
      <c r="DJ149" s="208">
        <v>0</v>
      </c>
      <c r="DK149" s="208">
        <v>0</v>
      </c>
      <c r="DL149" s="208">
        <v>0</v>
      </c>
      <c r="DM149" s="208">
        <v>0</v>
      </c>
      <c r="DN149" s="208">
        <v>751.84375</v>
      </c>
      <c r="DO149" s="208">
        <v>0</v>
      </c>
      <c r="DP149" s="208">
        <v>15.34375</v>
      </c>
      <c r="DQ149" s="208">
        <v>752</v>
      </c>
      <c r="DR149" s="208">
        <v>0</v>
      </c>
      <c r="DS149" s="208">
        <v>15</v>
      </c>
      <c r="DT149" s="208">
        <v>0</v>
      </c>
      <c r="DU149" s="208">
        <v>0</v>
      </c>
      <c r="DV149" s="208">
        <v>0</v>
      </c>
      <c r="DW149" s="208">
        <v>9085.7811041666664</v>
      </c>
      <c r="DX149" s="208">
        <v>0</v>
      </c>
      <c r="DY149" s="208">
        <v>185.42410416666669</v>
      </c>
      <c r="DZ149" s="208">
        <v>9987</v>
      </c>
      <c r="EA149" s="208">
        <v>0</v>
      </c>
      <c r="EB149" s="208">
        <v>204</v>
      </c>
      <c r="EC149" s="208">
        <v>-901</v>
      </c>
      <c r="ED149" s="208">
        <v>0</v>
      </c>
      <c r="EE149" s="208">
        <v>-19</v>
      </c>
      <c r="EF149" s="208">
        <v>74491.676291666663</v>
      </c>
      <c r="EG149" s="208">
        <v>0</v>
      </c>
      <c r="EH149" s="208">
        <v>1520.2382916666666</v>
      </c>
      <c r="EI149" s="208">
        <v>-9777.4773541666655</v>
      </c>
      <c r="EJ149" s="208">
        <v>0</v>
      </c>
      <c r="EK149" s="208">
        <v>-199.54035416666667</v>
      </c>
      <c r="EL149" s="208">
        <v>74683</v>
      </c>
      <c r="EM149" s="208">
        <v>0</v>
      </c>
      <c r="EN149" s="208">
        <v>1524</v>
      </c>
      <c r="EO149" s="208">
        <v>-9969</v>
      </c>
      <c r="EP149" s="208">
        <v>0</v>
      </c>
      <c r="EQ149" s="208">
        <v>-203</v>
      </c>
      <c r="ER149" s="208">
        <v>31378.449520833339</v>
      </c>
      <c r="ES149" s="208">
        <v>0</v>
      </c>
      <c r="ET149" s="208">
        <v>640.37652083333342</v>
      </c>
      <c r="EU149" s="208">
        <v>37091</v>
      </c>
      <c r="EV149" s="208">
        <v>0</v>
      </c>
      <c r="EW149" s="208">
        <v>757</v>
      </c>
      <c r="EX149" s="208">
        <v>-5713</v>
      </c>
      <c r="EY149" s="208">
        <v>0</v>
      </c>
      <c r="EZ149" s="208">
        <v>-117</v>
      </c>
      <c r="FA149" s="208">
        <v>0</v>
      </c>
      <c r="FB149" s="208">
        <v>0</v>
      </c>
      <c r="FC149" s="208">
        <v>0</v>
      </c>
      <c r="FD149" s="208">
        <v>0</v>
      </c>
      <c r="FE149" s="208">
        <v>0</v>
      </c>
      <c r="FF149" s="208">
        <v>0</v>
      </c>
      <c r="FG149" s="208">
        <v>0</v>
      </c>
      <c r="FH149" s="208">
        <v>0</v>
      </c>
      <c r="FI149" s="208">
        <v>0</v>
      </c>
      <c r="FJ149" s="208">
        <v>881508.63418749999</v>
      </c>
      <c r="FK149" s="208">
        <v>0</v>
      </c>
      <c r="FL149" s="208">
        <v>16629.712687499999</v>
      </c>
      <c r="FM149" s="208">
        <v>1061187</v>
      </c>
      <c r="FN149" s="208">
        <v>0</v>
      </c>
      <c r="FO149" s="208">
        <v>19656</v>
      </c>
      <c r="FP149" s="208">
        <v>-179678</v>
      </c>
      <c r="FQ149" s="208">
        <v>0</v>
      </c>
      <c r="FR149" s="208">
        <v>-3026</v>
      </c>
      <c r="FS149" s="208">
        <v>0</v>
      </c>
      <c r="FT149" s="208">
        <v>0</v>
      </c>
      <c r="FU149" s="208">
        <v>0</v>
      </c>
      <c r="FV149" s="208">
        <v>0</v>
      </c>
      <c r="FW149" s="208">
        <v>0</v>
      </c>
      <c r="FX149" s="208">
        <v>0</v>
      </c>
      <c r="FY149" s="208">
        <v>0</v>
      </c>
      <c r="FZ149" s="208">
        <v>0</v>
      </c>
      <c r="GA149" s="208">
        <v>0</v>
      </c>
      <c r="GB149" s="208">
        <v>4393760</v>
      </c>
      <c r="GC149" s="208">
        <v>0</v>
      </c>
      <c r="GD149" s="208">
        <v>88139</v>
      </c>
      <c r="GE149" s="664">
        <v>0.5</v>
      </c>
      <c r="GF149" s="664">
        <v>0.49</v>
      </c>
      <c r="GG149" s="664">
        <v>0</v>
      </c>
      <c r="GH149" s="664">
        <v>0.01</v>
      </c>
      <c r="GI149" s="187" t="s">
        <v>742</v>
      </c>
    </row>
    <row r="150" spans="1:191" s="187" customFormat="1" x14ac:dyDescent="0.2">
      <c r="B150" s="429" t="s">
        <v>377</v>
      </c>
      <c r="C150" s="429" t="s">
        <v>376</v>
      </c>
      <c r="D150" s="208">
        <v>-322563</v>
      </c>
      <c r="E150" s="208">
        <v>0</v>
      </c>
      <c r="F150" s="208">
        <v>-322563</v>
      </c>
      <c r="G150" s="208">
        <v>149687</v>
      </c>
      <c r="H150" s="208">
        <v>0</v>
      </c>
      <c r="I150" s="208">
        <v>149687</v>
      </c>
      <c r="J150" s="208">
        <v>-472250</v>
      </c>
      <c r="K150" s="208">
        <v>0</v>
      </c>
      <c r="L150" s="208">
        <v>-472250</v>
      </c>
      <c r="M150" s="208">
        <v>242238</v>
      </c>
      <c r="N150" s="208">
        <v>242238</v>
      </c>
      <c r="O150" s="208">
        <v>0</v>
      </c>
      <c r="P150" s="208">
        <v>0</v>
      </c>
      <c r="Q150" s="208">
        <v>0</v>
      </c>
      <c r="R150" s="208">
        <v>0</v>
      </c>
      <c r="S150" s="208">
        <v>0</v>
      </c>
      <c r="T150" s="208">
        <v>0</v>
      </c>
      <c r="U150" s="208">
        <v>0</v>
      </c>
      <c r="V150" s="208">
        <v>0</v>
      </c>
      <c r="W150" s="208">
        <v>0</v>
      </c>
      <c r="X150" s="208">
        <v>0</v>
      </c>
      <c r="Y150" s="208">
        <v>0</v>
      </c>
      <c r="Z150" s="208">
        <v>0</v>
      </c>
      <c r="AA150" s="208">
        <v>0</v>
      </c>
      <c r="AB150" s="208">
        <v>0</v>
      </c>
      <c r="AC150" s="208">
        <v>0</v>
      </c>
      <c r="AD150" s="208">
        <v>0</v>
      </c>
      <c r="AE150" s="208">
        <v>0</v>
      </c>
      <c r="AF150" s="208">
        <v>0</v>
      </c>
      <c r="AG150" s="208">
        <v>0</v>
      </c>
      <c r="AH150" s="208">
        <v>0</v>
      </c>
      <c r="AI150" s="208">
        <v>0</v>
      </c>
      <c r="AJ150" s="208">
        <v>0</v>
      </c>
      <c r="AK150" s="208">
        <v>0</v>
      </c>
      <c r="AL150" s="208">
        <v>0</v>
      </c>
      <c r="AM150" s="208">
        <v>0</v>
      </c>
      <c r="AN150" s="208">
        <v>0</v>
      </c>
      <c r="AO150" s="208">
        <v>0</v>
      </c>
      <c r="AP150" s="208">
        <v>0</v>
      </c>
      <c r="AQ150" s="208">
        <v>0</v>
      </c>
      <c r="AR150" s="208">
        <v>0</v>
      </c>
      <c r="AS150" s="208">
        <v>0</v>
      </c>
      <c r="AT150" s="208">
        <v>0</v>
      </c>
      <c r="AU150" s="208">
        <v>0</v>
      </c>
      <c r="AV150" s="208">
        <v>0</v>
      </c>
      <c r="AW150" s="208">
        <v>0</v>
      </c>
      <c r="AX150" s="208">
        <v>0</v>
      </c>
      <c r="AY150" s="208">
        <v>0</v>
      </c>
      <c r="AZ150" s="208">
        <v>0</v>
      </c>
      <c r="BA150" s="208">
        <v>0</v>
      </c>
      <c r="BB150" s="208">
        <v>0</v>
      </c>
      <c r="BC150" s="208">
        <v>0</v>
      </c>
      <c r="BD150" s="208">
        <v>0</v>
      </c>
      <c r="BE150" s="208">
        <v>0</v>
      </c>
      <c r="BF150" s="208">
        <v>0</v>
      </c>
      <c r="BG150" s="208">
        <v>0</v>
      </c>
      <c r="BH150" s="208">
        <v>0</v>
      </c>
      <c r="BI150" s="208">
        <v>0</v>
      </c>
      <c r="BJ150" s="208">
        <v>0</v>
      </c>
      <c r="BK150" s="208">
        <v>0</v>
      </c>
      <c r="BL150" s="208">
        <v>0</v>
      </c>
      <c r="BM150" s="208">
        <v>0</v>
      </c>
      <c r="BN150" s="208">
        <v>0</v>
      </c>
      <c r="BO150" s="208">
        <v>1943718.5346866669</v>
      </c>
      <c r="BP150" s="208">
        <v>1093341.6757612501</v>
      </c>
      <c r="BQ150" s="208">
        <v>0</v>
      </c>
      <c r="BR150" s="208">
        <v>154086</v>
      </c>
      <c r="BS150" s="208">
        <v>86673</v>
      </c>
      <c r="BT150" s="208">
        <v>0</v>
      </c>
      <c r="BU150" s="208">
        <v>1888071</v>
      </c>
      <c r="BV150" s="208">
        <v>1062040</v>
      </c>
      <c r="BW150" s="208">
        <v>0</v>
      </c>
      <c r="BX150" s="208">
        <v>209734</v>
      </c>
      <c r="BY150" s="208">
        <v>117975</v>
      </c>
      <c r="BZ150" s="208">
        <v>0</v>
      </c>
      <c r="CA150" s="208">
        <v>10902.818666666666</v>
      </c>
      <c r="CB150" s="208">
        <v>6132.8354999999992</v>
      </c>
      <c r="CC150" s="208">
        <v>0</v>
      </c>
      <c r="CD150" s="208">
        <v>3928</v>
      </c>
      <c r="CE150" s="208">
        <v>2210</v>
      </c>
      <c r="CF150" s="208">
        <v>0</v>
      </c>
      <c r="CG150" s="208">
        <v>6975</v>
      </c>
      <c r="CH150" s="208">
        <v>3923</v>
      </c>
      <c r="CI150" s="208">
        <v>0</v>
      </c>
      <c r="CJ150" s="208">
        <v>-3066.4586666666664</v>
      </c>
      <c r="CK150" s="208">
        <v>-1724.8829999999998</v>
      </c>
      <c r="CL150" s="208">
        <v>0</v>
      </c>
      <c r="CM150" s="208">
        <v>0</v>
      </c>
      <c r="CN150" s="208">
        <v>0</v>
      </c>
      <c r="CO150" s="208">
        <v>0</v>
      </c>
      <c r="CP150" s="208">
        <v>-161.048</v>
      </c>
      <c r="CQ150" s="208">
        <v>-90.589499999999987</v>
      </c>
      <c r="CR150" s="208">
        <v>0</v>
      </c>
      <c r="CS150" s="208">
        <v>0</v>
      </c>
      <c r="CT150" s="208">
        <v>0</v>
      </c>
      <c r="CU150" s="208">
        <v>0</v>
      </c>
      <c r="CV150" s="208">
        <v>0</v>
      </c>
      <c r="CW150" s="208">
        <v>0</v>
      </c>
      <c r="CX150" s="208">
        <v>0</v>
      </c>
      <c r="CY150" s="208">
        <v>0</v>
      </c>
      <c r="CZ150" s="208">
        <v>0</v>
      </c>
      <c r="DA150" s="208">
        <v>0</v>
      </c>
      <c r="DB150" s="208">
        <v>0</v>
      </c>
      <c r="DC150" s="208">
        <v>0</v>
      </c>
      <c r="DD150" s="208">
        <v>0</v>
      </c>
      <c r="DE150" s="208">
        <v>0</v>
      </c>
      <c r="DF150" s="208">
        <v>0</v>
      </c>
      <c r="DG150" s="208">
        <v>0</v>
      </c>
      <c r="DH150" s="208">
        <v>0</v>
      </c>
      <c r="DI150" s="208">
        <v>0</v>
      </c>
      <c r="DJ150" s="208">
        <v>0</v>
      </c>
      <c r="DK150" s="208">
        <v>0</v>
      </c>
      <c r="DL150" s="208">
        <v>0</v>
      </c>
      <c r="DM150" s="208">
        <v>0</v>
      </c>
      <c r="DN150" s="208">
        <v>0</v>
      </c>
      <c r="DO150" s="208">
        <v>0</v>
      </c>
      <c r="DP150" s="208">
        <v>0</v>
      </c>
      <c r="DQ150" s="208">
        <v>0</v>
      </c>
      <c r="DR150" s="208">
        <v>0</v>
      </c>
      <c r="DS150" s="208">
        <v>0</v>
      </c>
      <c r="DT150" s="208">
        <v>0</v>
      </c>
      <c r="DU150" s="208">
        <v>0</v>
      </c>
      <c r="DV150" s="208">
        <v>0</v>
      </c>
      <c r="DW150" s="208">
        <v>10835.387999999999</v>
      </c>
      <c r="DX150" s="208">
        <v>6094.9057499999999</v>
      </c>
      <c r="DY150" s="208">
        <v>0</v>
      </c>
      <c r="DZ150" s="208">
        <v>16602</v>
      </c>
      <c r="EA150" s="208">
        <v>9338</v>
      </c>
      <c r="EB150" s="208">
        <v>0</v>
      </c>
      <c r="EC150" s="208">
        <v>-5767</v>
      </c>
      <c r="ED150" s="208">
        <v>-3243</v>
      </c>
      <c r="EE150" s="208">
        <v>0</v>
      </c>
      <c r="EF150" s="208">
        <v>102539.13066666666</v>
      </c>
      <c r="EG150" s="208">
        <v>57678.260999999999</v>
      </c>
      <c r="EH150" s="208">
        <v>0</v>
      </c>
      <c r="EI150" s="208">
        <v>-8019.6666666666661</v>
      </c>
      <c r="EJ150" s="208">
        <v>-4511.0625</v>
      </c>
      <c r="EK150" s="208">
        <v>0</v>
      </c>
      <c r="EL150" s="208">
        <v>133552</v>
      </c>
      <c r="EM150" s="208">
        <v>75123</v>
      </c>
      <c r="EN150" s="208">
        <v>0</v>
      </c>
      <c r="EO150" s="208">
        <v>-39033</v>
      </c>
      <c r="EP150" s="208">
        <v>-21956</v>
      </c>
      <c r="EQ150" s="208">
        <v>0</v>
      </c>
      <c r="ER150" s="208">
        <v>24832.161333333337</v>
      </c>
      <c r="ES150" s="208">
        <v>13968.090750000001</v>
      </c>
      <c r="ET150" s="208">
        <v>0</v>
      </c>
      <c r="EU150" s="208">
        <v>31424</v>
      </c>
      <c r="EV150" s="208">
        <v>17676</v>
      </c>
      <c r="EW150" s="208">
        <v>0</v>
      </c>
      <c r="EX150" s="208">
        <v>-6592</v>
      </c>
      <c r="EY150" s="208">
        <v>-3708</v>
      </c>
      <c r="EZ150" s="208">
        <v>0</v>
      </c>
      <c r="FA150" s="208">
        <v>0</v>
      </c>
      <c r="FB150" s="208">
        <v>0</v>
      </c>
      <c r="FC150" s="208">
        <v>0</v>
      </c>
      <c r="FD150" s="208">
        <v>0</v>
      </c>
      <c r="FE150" s="208">
        <v>0</v>
      </c>
      <c r="FF150" s="208">
        <v>0</v>
      </c>
      <c r="FG150" s="208">
        <v>0</v>
      </c>
      <c r="FH150" s="208">
        <v>0</v>
      </c>
      <c r="FI150" s="208">
        <v>0</v>
      </c>
      <c r="FJ150" s="208">
        <v>1243740.872</v>
      </c>
      <c r="FK150" s="208">
        <v>699604.24049999996</v>
      </c>
      <c r="FL150" s="208">
        <v>0</v>
      </c>
      <c r="FM150" s="208">
        <v>1265709</v>
      </c>
      <c r="FN150" s="208">
        <v>711961</v>
      </c>
      <c r="FO150" s="208">
        <v>0</v>
      </c>
      <c r="FP150" s="208">
        <v>-21968</v>
      </c>
      <c r="FQ150" s="208">
        <v>-12357</v>
      </c>
      <c r="FR150" s="208">
        <v>0</v>
      </c>
      <c r="FS150" s="208">
        <v>0</v>
      </c>
      <c r="FT150" s="208">
        <v>0</v>
      </c>
      <c r="FU150" s="208">
        <v>0</v>
      </c>
      <c r="FV150" s="208">
        <v>0</v>
      </c>
      <c r="FW150" s="208">
        <v>0</v>
      </c>
      <c r="FX150" s="208">
        <v>0</v>
      </c>
      <c r="FY150" s="208">
        <v>0</v>
      </c>
      <c r="FZ150" s="208">
        <v>0</v>
      </c>
      <c r="GA150" s="208">
        <v>0</v>
      </c>
      <c r="GB150" s="208">
        <v>3479408</v>
      </c>
      <c r="GC150" s="208">
        <v>1957166</v>
      </c>
      <c r="GD150" s="208">
        <v>0</v>
      </c>
      <c r="GE150" s="664">
        <v>0</v>
      </c>
      <c r="GF150" s="664">
        <v>0.64</v>
      </c>
      <c r="GG150" s="664">
        <v>0.36</v>
      </c>
      <c r="GH150" s="664">
        <v>0</v>
      </c>
      <c r="GI150" s="187" t="s">
        <v>1055</v>
      </c>
    </row>
    <row r="151" spans="1:191" s="187" customFormat="1" x14ac:dyDescent="0.2">
      <c r="B151" s="429" t="s">
        <v>379</v>
      </c>
      <c r="C151" s="429" t="s">
        <v>378</v>
      </c>
      <c r="D151" s="208">
        <v>-1447118</v>
      </c>
      <c r="E151" s="208">
        <v>0</v>
      </c>
      <c r="F151" s="208">
        <v>-1447118</v>
      </c>
      <c r="G151" s="208">
        <v>-1491813</v>
      </c>
      <c r="H151" s="208">
        <v>0</v>
      </c>
      <c r="I151" s="208">
        <v>-1491813</v>
      </c>
      <c r="J151" s="208">
        <v>44695</v>
      </c>
      <c r="K151" s="208">
        <v>0</v>
      </c>
      <c r="L151" s="208">
        <v>44695</v>
      </c>
      <c r="M151" s="208">
        <v>598520</v>
      </c>
      <c r="N151" s="208">
        <v>598520</v>
      </c>
      <c r="O151" s="208">
        <v>0</v>
      </c>
      <c r="P151" s="208">
        <v>72366</v>
      </c>
      <c r="Q151" s="208">
        <v>84200</v>
      </c>
      <c r="R151" s="208">
        <v>-11834</v>
      </c>
      <c r="S151" s="208">
        <v>0</v>
      </c>
      <c r="T151" s="208">
        <v>0</v>
      </c>
      <c r="U151" s="208">
        <v>0</v>
      </c>
      <c r="V151" s="208">
        <v>0</v>
      </c>
      <c r="W151" s="208">
        <v>0</v>
      </c>
      <c r="X151" s="208">
        <v>0</v>
      </c>
      <c r="Y151" s="208">
        <v>0</v>
      </c>
      <c r="Z151" s="208">
        <v>0</v>
      </c>
      <c r="AA151" s="208">
        <v>0</v>
      </c>
      <c r="AB151" s="208">
        <v>0</v>
      </c>
      <c r="AC151" s="208">
        <v>0</v>
      </c>
      <c r="AD151" s="208">
        <v>0</v>
      </c>
      <c r="AE151" s="208">
        <v>0</v>
      </c>
      <c r="AF151" s="208">
        <v>0</v>
      </c>
      <c r="AG151" s="208">
        <v>0</v>
      </c>
      <c r="AH151" s="208">
        <v>0</v>
      </c>
      <c r="AI151" s="208">
        <v>0</v>
      </c>
      <c r="AJ151" s="208">
        <v>0</v>
      </c>
      <c r="AK151" s="208">
        <v>0</v>
      </c>
      <c r="AL151" s="208">
        <v>0</v>
      </c>
      <c r="AM151" s="208">
        <v>0</v>
      </c>
      <c r="AN151" s="208">
        <v>0</v>
      </c>
      <c r="AO151" s="208">
        <v>0</v>
      </c>
      <c r="AP151" s="208">
        <v>0</v>
      </c>
      <c r="AQ151" s="208">
        <v>0</v>
      </c>
      <c r="AR151" s="208">
        <v>0</v>
      </c>
      <c r="AS151" s="208">
        <v>0</v>
      </c>
      <c r="AT151" s="208">
        <v>0</v>
      </c>
      <c r="AU151" s="208">
        <v>0</v>
      </c>
      <c r="AV151" s="208">
        <v>0</v>
      </c>
      <c r="AW151" s="208">
        <v>0</v>
      </c>
      <c r="AX151" s="208">
        <v>0</v>
      </c>
      <c r="AY151" s="208">
        <v>0</v>
      </c>
      <c r="AZ151" s="208">
        <v>0</v>
      </c>
      <c r="BA151" s="208">
        <v>0</v>
      </c>
      <c r="BB151" s="208">
        <v>0</v>
      </c>
      <c r="BC151" s="208">
        <v>0</v>
      </c>
      <c r="BD151" s="208">
        <v>0</v>
      </c>
      <c r="BE151" s="208">
        <v>0</v>
      </c>
      <c r="BF151" s="208">
        <v>0</v>
      </c>
      <c r="BG151" s="208">
        <v>0</v>
      </c>
      <c r="BH151" s="208">
        <v>0</v>
      </c>
      <c r="BI151" s="208">
        <v>0</v>
      </c>
      <c r="BJ151" s="208">
        <v>0</v>
      </c>
      <c r="BK151" s="208">
        <v>0</v>
      </c>
      <c r="BL151" s="208">
        <v>0</v>
      </c>
      <c r="BM151" s="208">
        <v>0</v>
      </c>
      <c r="BN151" s="208">
        <v>0</v>
      </c>
      <c r="BO151" s="208">
        <v>13079106.216985876</v>
      </c>
      <c r="BP151" s="208">
        <v>0</v>
      </c>
      <c r="BQ151" s="208">
        <v>132112.18400995835</v>
      </c>
      <c r="BR151" s="208">
        <v>511663</v>
      </c>
      <c r="BS151" s="208">
        <v>0</v>
      </c>
      <c r="BT151" s="208">
        <v>5168</v>
      </c>
      <c r="BU151" s="208">
        <v>12289647</v>
      </c>
      <c r="BV151" s="208">
        <v>0</v>
      </c>
      <c r="BW151" s="208">
        <v>124138</v>
      </c>
      <c r="BX151" s="208">
        <v>1301122</v>
      </c>
      <c r="BY151" s="208">
        <v>0</v>
      </c>
      <c r="BZ151" s="208">
        <v>13142</v>
      </c>
      <c r="CA151" s="208">
        <v>68963.006062500004</v>
      </c>
      <c r="CB151" s="208">
        <v>0</v>
      </c>
      <c r="CC151" s="208">
        <v>696.59602083333334</v>
      </c>
      <c r="CD151" s="208">
        <v>64734</v>
      </c>
      <c r="CE151" s="208">
        <v>0</v>
      </c>
      <c r="CF151" s="208">
        <v>654</v>
      </c>
      <c r="CG151" s="208">
        <v>4229</v>
      </c>
      <c r="CH151" s="208">
        <v>0</v>
      </c>
      <c r="CI151" s="208">
        <v>43</v>
      </c>
      <c r="CJ151" s="208">
        <v>0</v>
      </c>
      <c r="CK151" s="208">
        <v>0</v>
      </c>
      <c r="CL151" s="208">
        <v>0</v>
      </c>
      <c r="CM151" s="208">
        <v>0</v>
      </c>
      <c r="CN151" s="208">
        <v>0</v>
      </c>
      <c r="CO151" s="208">
        <v>0</v>
      </c>
      <c r="CP151" s="208">
        <v>-5418.8908125000007</v>
      </c>
      <c r="CQ151" s="208">
        <v>0</v>
      </c>
      <c r="CR151" s="208">
        <v>-54.736270833333336</v>
      </c>
      <c r="CS151" s="208">
        <v>0</v>
      </c>
      <c r="CT151" s="208">
        <v>0</v>
      </c>
      <c r="CU151" s="208">
        <v>0</v>
      </c>
      <c r="CV151" s="208">
        <v>0</v>
      </c>
      <c r="CW151" s="208">
        <v>0</v>
      </c>
      <c r="CX151" s="208">
        <v>0</v>
      </c>
      <c r="CY151" s="208">
        <v>0</v>
      </c>
      <c r="CZ151" s="208">
        <v>0</v>
      </c>
      <c r="DA151" s="208">
        <v>0</v>
      </c>
      <c r="DB151" s="208">
        <v>0</v>
      </c>
      <c r="DC151" s="208">
        <v>0</v>
      </c>
      <c r="DD151" s="208">
        <v>0</v>
      </c>
      <c r="DE151" s="208">
        <v>0</v>
      </c>
      <c r="DF151" s="208">
        <v>0</v>
      </c>
      <c r="DG151" s="208">
        <v>0</v>
      </c>
      <c r="DH151" s="208">
        <v>0</v>
      </c>
      <c r="DI151" s="208">
        <v>0</v>
      </c>
      <c r="DJ151" s="208">
        <v>0</v>
      </c>
      <c r="DK151" s="208">
        <v>0</v>
      </c>
      <c r="DL151" s="208">
        <v>0</v>
      </c>
      <c r="DM151" s="208">
        <v>0</v>
      </c>
      <c r="DN151" s="208">
        <v>1519.03125</v>
      </c>
      <c r="DO151" s="208">
        <v>0</v>
      </c>
      <c r="DP151" s="208">
        <v>15.34375</v>
      </c>
      <c r="DQ151" s="208">
        <v>1519</v>
      </c>
      <c r="DR151" s="208">
        <v>0</v>
      </c>
      <c r="DS151" s="208">
        <v>15</v>
      </c>
      <c r="DT151" s="208">
        <v>0</v>
      </c>
      <c r="DU151" s="208">
        <v>0</v>
      </c>
      <c r="DV151" s="208">
        <v>0</v>
      </c>
      <c r="DW151" s="208">
        <v>59551.088437500002</v>
      </c>
      <c r="DX151" s="208">
        <v>0</v>
      </c>
      <c r="DY151" s="208">
        <v>601.52614583333343</v>
      </c>
      <c r="DZ151" s="208">
        <v>83717</v>
      </c>
      <c r="EA151" s="208">
        <v>0</v>
      </c>
      <c r="EB151" s="208">
        <v>846</v>
      </c>
      <c r="EC151" s="208">
        <v>-24166</v>
      </c>
      <c r="ED151" s="208">
        <v>0</v>
      </c>
      <c r="EE151" s="208">
        <v>-244</v>
      </c>
      <c r="EF151" s="208">
        <v>163620.93206250001</v>
      </c>
      <c r="EG151" s="208">
        <v>0</v>
      </c>
      <c r="EH151" s="208">
        <v>1652.7366875000002</v>
      </c>
      <c r="EI151" s="208">
        <v>-2891.2228125000001</v>
      </c>
      <c r="EJ151" s="208">
        <v>0</v>
      </c>
      <c r="EK151" s="208">
        <v>-29.204270833333336</v>
      </c>
      <c r="EL151" s="208">
        <v>234128</v>
      </c>
      <c r="EM151" s="208">
        <v>0</v>
      </c>
      <c r="EN151" s="208">
        <v>2365</v>
      </c>
      <c r="EO151" s="208">
        <v>-73398</v>
      </c>
      <c r="EP151" s="208">
        <v>0</v>
      </c>
      <c r="EQ151" s="208">
        <v>-741</v>
      </c>
      <c r="ER151" s="208">
        <v>124258.781625</v>
      </c>
      <c r="ES151" s="208">
        <v>0</v>
      </c>
      <c r="ET151" s="208">
        <v>1255.1392083333333</v>
      </c>
      <c r="EU151" s="208">
        <v>100344</v>
      </c>
      <c r="EV151" s="208">
        <v>0</v>
      </c>
      <c r="EW151" s="208">
        <v>1014</v>
      </c>
      <c r="EX151" s="208">
        <v>23915</v>
      </c>
      <c r="EY151" s="208">
        <v>0</v>
      </c>
      <c r="EZ151" s="208">
        <v>241</v>
      </c>
      <c r="FA151" s="208">
        <v>0</v>
      </c>
      <c r="FB151" s="208">
        <v>0</v>
      </c>
      <c r="FC151" s="208">
        <v>0</v>
      </c>
      <c r="FD151" s="208">
        <v>0</v>
      </c>
      <c r="FE151" s="208">
        <v>0</v>
      </c>
      <c r="FF151" s="208">
        <v>0</v>
      </c>
      <c r="FG151" s="208">
        <v>0</v>
      </c>
      <c r="FH151" s="208">
        <v>0</v>
      </c>
      <c r="FI151" s="208">
        <v>0</v>
      </c>
      <c r="FJ151" s="208">
        <v>2484515.9288124996</v>
      </c>
      <c r="FK151" s="208">
        <v>0</v>
      </c>
      <c r="FL151" s="208">
        <v>25079.369104166664</v>
      </c>
      <c r="FM151" s="208">
        <v>2285531</v>
      </c>
      <c r="FN151" s="208">
        <v>0</v>
      </c>
      <c r="FO151" s="208">
        <v>23067</v>
      </c>
      <c r="FP151" s="208">
        <v>198985</v>
      </c>
      <c r="FQ151" s="208">
        <v>0</v>
      </c>
      <c r="FR151" s="208">
        <v>2012</v>
      </c>
      <c r="FS151" s="208">
        <v>115386.02291666667</v>
      </c>
      <c r="FT151" s="208">
        <v>0</v>
      </c>
      <c r="FU151" s="208">
        <v>0</v>
      </c>
      <c r="FV151" s="208">
        <v>55000</v>
      </c>
      <c r="FW151" s="208">
        <v>0</v>
      </c>
      <c r="FX151" s="208">
        <v>0</v>
      </c>
      <c r="FY151" s="208">
        <v>60386</v>
      </c>
      <c r="FZ151" s="208">
        <v>0</v>
      </c>
      <c r="GA151" s="208">
        <v>0</v>
      </c>
      <c r="GB151" s="208">
        <v>16600274</v>
      </c>
      <c r="GC151" s="208">
        <v>0</v>
      </c>
      <c r="GD151" s="208">
        <v>166497</v>
      </c>
      <c r="GE151" s="664">
        <v>0</v>
      </c>
      <c r="GF151" s="664">
        <v>0.99</v>
      </c>
      <c r="GG151" s="664">
        <v>0</v>
      </c>
      <c r="GH151" s="664">
        <v>0.01</v>
      </c>
      <c r="GI151" s="187" t="s">
        <v>1056</v>
      </c>
    </row>
    <row r="152" spans="1:191" s="187" customFormat="1" x14ac:dyDescent="0.2">
      <c r="B152" s="429" t="s">
        <v>381</v>
      </c>
      <c r="C152" s="429" t="s">
        <v>380</v>
      </c>
      <c r="D152" s="208">
        <v>832758</v>
      </c>
      <c r="E152" s="208">
        <v>0</v>
      </c>
      <c r="F152" s="208">
        <v>832758</v>
      </c>
      <c r="G152" s="208">
        <v>1127370</v>
      </c>
      <c r="H152" s="208">
        <v>0</v>
      </c>
      <c r="I152" s="208">
        <v>1127370</v>
      </c>
      <c r="J152" s="208">
        <v>-294612</v>
      </c>
      <c r="K152" s="208">
        <v>0</v>
      </c>
      <c r="L152" s="208">
        <v>-294612</v>
      </c>
      <c r="M152" s="208">
        <v>141368</v>
      </c>
      <c r="N152" s="208">
        <v>141368</v>
      </c>
      <c r="O152" s="208">
        <v>0</v>
      </c>
      <c r="P152" s="208">
        <v>0</v>
      </c>
      <c r="Q152" s="208">
        <v>0</v>
      </c>
      <c r="R152" s="208">
        <v>0</v>
      </c>
      <c r="S152" s="208">
        <v>0</v>
      </c>
      <c r="T152" s="208">
        <v>0</v>
      </c>
      <c r="U152" s="208">
        <v>0</v>
      </c>
      <c r="V152" s="208">
        <v>0</v>
      </c>
      <c r="W152" s="208">
        <v>0</v>
      </c>
      <c r="X152" s="208">
        <v>0</v>
      </c>
      <c r="Y152" s="208">
        <v>0</v>
      </c>
      <c r="Z152" s="208">
        <v>0</v>
      </c>
      <c r="AA152" s="208">
        <v>0</v>
      </c>
      <c r="AB152" s="208">
        <v>0</v>
      </c>
      <c r="AC152" s="208">
        <v>0</v>
      </c>
      <c r="AD152" s="208">
        <v>0</v>
      </c>
      <c r="AE152" s="208">
        <v>0</v>
      </c>
      <c r="AF152" s="208">
        <v>0</v>
      </c>
      <c r="AG152" s="208">
        <v>0</v>
      </c>
      <c r="AH152" s="208">
        <v>0</v>
      </c>
      <c r="AI152" s="208">
        <v>0</v>
      </c>
      <c r="AJ152" s="208">
        <v>0</v>
      </c>
      <c r="AK152" s="208">
        <v>0</v>
      </c>
      <c r="AL152" s="208">
        <v>0</v>
      </c>
      <c r="AM152" s="208">
        <v>0</v>
      </c>
      <c r="AN152" s="208">
        <v>0</v>
      </c>
      <c r="AO152" s="208">
        <v>0</v>
      </c>
      <c r="AP152" s="208">
        <v>0</v>
      </c>
      <c r="AQ152" s="208">
        <v>0</v>
      </c>
      <c r="AR152" s="208">
        <v>0</v>
      </c>
      <c r="AS152" s="208">
        <v>0</v>
      </c>
      <c r="AT152" s="208">
        <v>0</v>
      </c>
      <c r="AU152" s="208">
        <v>0</v>
      </c>
      <c r="AV152" s="208">
        <v>0</v>
      </c>
      <c r="AW152" s="208">
        <v>0</v>
      </c>
      <c r="AX152" s="208">
        <v>0</v>
      </c>
      <c r="AY152" s="208">
        <v>0</v>
      </c>
      <c r="AZ152" s="208">
        <v>0</v>
      </c>
      <c r="BA152" s="208">
        <v>0</v>
      </c>
      <c r="BB152" s="208">
        <v>0</v>
      </c>
      <c r="BC152" s="208">
        <v>0</v>
      </c>
      <c r="BD152" s="208">
        <v>0</v>
      </c>
      <c r="BE152" s="208">
        <v>0</v>
      </c>
      <c r="BF152" s="208">
        <v>0</v>
      </c>
      <c r="BG152" s="208">
        <v>0</v>
      </c>
      <c r="BH152" s="208">
        <v>0</v>
      </c>
      <c r="BI152" s="208">
        <v>0</v>
      </c>
      <c r="BJ152" s="208">
        <v>0</v>
      </c>
      <c r="BK152" s="208">
        <v>0</v>
      </c>
      <c r="BL152" s="208">
        <v>0</v>
      </c>
      <c r="BM152" s="208">
        <v>0</v>
      </c>
      <c r="BN152" s="208">
        <v>0</v>
      </c>
      <c r="BO152" s="208">
        <v>2276060.2370467503</v>
      </c>
      <c r="BP152" s="208">
        <v>0</v>
      </c>
      <c r="BQ152" s="208">
        <v>22990.507444916671</v>
      </c>
      <c r="BR152" s="208">
        <v>169590</v>
      </c>
      <c r="BS152" s="208">
        <v>0</v>
      </c>
      <c r="BT152" s="208">
        <v>1713</v>
      </c>
      <c r="BU152" s="208">
        <v>2157823</v>
      </c>
      <c r="BV152" s="208">
        <v>0</v>
      </c>
      <c r="BW152" s="208">
        <v>21796</v>
      </c>
      <c r="BX152" s="208">
        <v>287827</v>
      </c>
      <c r="BY152" s="208">
        <v>0</v>
      </c>
      <c r="BZ152" s="208">
        <v>2908</v>
      </c>
      <c r="CA152" s="208">
        <v>5854.3464375000003</v>
      </c>
      <c r="CB152" s="208">
        <v>0</v>
      </c>
      <c r="CC152" s="208">
        <v>59.134812500000002</v>
      </c>
      <c r="CD152" s="208">
        <v>9187</v>
      </c>
      <c r="CE152" s="208">
        <v>0</v>
      </c>
      <c r="CF152" s="208">
        <v>93</v>
      </c>
      <c r="CG152" s="208">
        <v>-3333</v>
      </c>
      <c r="CH152" s="208">
        <v>0</v>
      </c>
      <c r="CI152" s="208">
        <v>-34</v>
      </c>
      <c r="CJ152" s="208">
        <v>0</v>
      </c>
      <c r="CK152" s="208">
        <v>0</v>
      </c>
      <c r="CL152" s="208">
        <v>0</v>
      </c>
      <c r="CM152" s="208">
        <v>-145.827</v>
      </c>
      <c r="CN152" s="208">
        <v>0</v>
      </c>
      <c r="CO152" s="208">
        <v>-1.4730000000000001</v>
      </c>
      <c r="CP152" s="208">
        <v>0</v>
      </c>
      <c r="CQ152" s="208">
        <v>0</v>
      </c>
      <c r="CR152" s="208">
        <v>0</v>
      </c>
      <c r="CS152" s="208">
        <v>0</v>
      </c>
      <c r="CT152" s="208">
        <v>0</v>
      </c>
      <c r="CU152" s="208">
        <v>0</v>
      </c>
      <c r="CV152" s="208">
        <v>0</v>
      </c>
      <c r="CW152" s="208">
        <v>0</v>
      </c>
      <c r="CX152" s="208">
        <v>0</v>
      </c>
      <c r="CY152" s="208">
        <v>0</v>
      </c>
      <c r="CZ152" s="208">
        <v>0</v>
      </c>
      <c r="DA152" s="208">
        <v>0</v>
      </c>
      <c r="DB152" s="208">
        <v>0</v>
      </c>
      <c r="DC152" s="208">
        <v>0</v>
      </c>
      <c r="DD152" s="208">
        <v>0</v>
      </c>
      <c r="DE152" s="208">
        <v>0</v>
      </c>
      <c r="DF152" s="208">
        <v>0</v>
      </c>
      <c r="DG152" s="208">
        <v>0</v>
      </c>
      <c r="DH152" s="208">
        <v>0</v>
      </c>
      <c r="DI152" s="208">
        <v>0</v>
      </c>
      <c r="DJ152" s="208">
        <v>0</v>
      </c>
      <c r="DK152" s="208">
        <v>0</v>
      </c>
      <c r="DL152" s="208">
        <v>0</v>
      </c>
      <c r="DM152" s="208">
        <v>0</v>
      </c>
      <c r="DN152" s="208">
        <v>0</v>
      </c>
      <c r="DO152" s="208">
        <v>0</v>
      </c>
      <c r="DP152" s="208">
        <v>0</v>
      </c>
      <c r="DQ152" s="208">
        <v>0</v>
      </c>
      <c r="DR152" s="208">
        <v>0</v>
      </c>
      <c r="DS152" s="208">
        <v>0</v>
      </c>
      <c r="DT152" s="208">
        <v>0</v>
      </c>
      <c r="DU152" s="208">
        <v>0</v>
      </c>
      <c r="DV152" s="208">
        <v>0</v>
      </c>
      <c r="DW152" s="208">
        <v>6430.5656249999993</v>
      </c>
      <c r="DX152" s="208">
        <v>0</v>
      </c>
      <c r="DY152" s="208">
        <v>64.955208333333346</v>
      </c>
      <c r="DZ152" s="208">
        <v>9107</v>
      </c>
      <c r="EA152" s="208">
        <v>0</v>
      </c>
      <c r="EB152" s="208">
        <v>92</v>
      </c>
      <c r="EC152" s="208">
        <v>-2676</v>
      </c>
      <c r="ED152" s="208">
        <v>0</v>
      </c>
      <c r="EE152" s="208">
        <v>-27</v>
      </c>
      <c r="EF152" s="208">
        <v>92475.584437499987</v>
      </c>
      <c r="EG152" s="208">
        <v>0</v>
      </c>
      <c r="EH152" s="208">
        <v>934.09681249999994</v>
      </c>
      <c r="EI152" s="208">
        <v>-2600.5814999999998</v>
      </c>
      <c r="EJ152" s="208">
        <v>0</v>
      </c>
      <c r="EK152" s="208">
        <v>-26.2685</v>
      </c>
      <c r="EL152" s="208">
        <v>97218</v>
      </c>
      <c r="EM152" s="208">
        <v>0</v>
      </c>
      <c r="EN152" s="208">
        <v>982</v>
      </c>
      <c r="EO152" s="208">
        <v>-7343</v>
      </c>
      <c r="EP152" s="208">
        <v>0</v>
      </c>
      <c r="EQ152" s="208">
        <v>-74</v>
      </c>
      <c r="ER152" s="208">
        <v>11139.5625</v>
      </c>
      <c r="ES152" s="208">
        <v>0</v>
      </c>
      <c r="ET152" s="208">
        <v>112.52083333333333</v>
      </c>
      <c r="EU152" s="208">
        <v>17607</v>
      </c>
      <c r="EV152" s="208">
        <v>0</v>
      </c>
      <c r="EW152" s="208">
        <v>178</v>
      </c>
      <c r="EX152" s="208">
        <v>-6467</v>
      </c>
      <c r="EY152" s="208">
        <v>0</v>
      </c>
      <c r="EZ152" s="208">
        <v>-65</v>
      </c>
      <c r="FA152" s="208">
        <v>0</v>
      </c>
      <c r="FB152" s="208">
        <v>0</v>
      </c>
      <c r="FC152" s="208">
        <v>0</v>
      </c>
      <c r="FD152" s="208">
        <v>0</v>
      </c>
      <c r="FE152" s="208">
        <v>0</v>
      </c>
      <c r="FF152" s="208">
        <v>0</v>
      </c>
      <c r="FG152" s="208">
        <v>0</v>
      </c>
      <c r="FH152" s="208">
        <v>0</v>
      </c>
      <c r="FI152" s="208">
        <v>0</v>
      </c>
      <c r="FJ152" s="208">
        <v>1031441.3133749999</v>
      </c>
      <c r="FK152" s="208">
        <v>0</v>
      </c>
      <c r="FL152" s="208">
        <v>10418.599125000001</v>
      </c>
      <c r="FM152" s="208">
        <v>1013513</v>
      </c>
      <c r="FN152" s="208">
        <v>0</v>
      </c>
      <c r="FO152" s="208">
        <v>10237</v>
      </c>
      <c r="FP152" s="208">
        <v>17928</v>
      </c>
      <c r="FQ152" s="208">
        <v>0</v>
      </c>
      <c r="FR152" s="208">
        <v>182</v>
      </c>
      <c r="FS152" s="208">
        <v>0</v>
      </c>
      <c r="FT152" s="208">
        <v>0</v>
      </c>
      <c r="FU152" s="208">
        <v>0</v>
      </c>
      <c r="FV152" s="208">
        <v>0</v>
      </c>
      <c r="FW152" s="208">
        <v>0</v>
      </c>
      <c r="FX152" s="208">
        <v>0</v>
      </c>
      <c r="FY152" s="208">
        <v>0</v>
      </c>
      <c r="FZ152" s="208">
        <v>0</v>
      </c>
      <c r="GA152" s="208">
        <v>0</v>
      </c>
      <c r="GB152" s="208">
        <v>3590245</v>
      </c>
      <c r="GC152" s="208">
        <v>0</v>
      </c>
      <c r="GD152" s="208">
        <v>36267</v>
      </c>
      <c r="GE152" s="664">
        <v>0</v>
      </c>
      <c r="GF152" s="664">
        <v>0.99</v>
      </c>
      <c r="GG152" s="664">
        <v>0</v>
      </c>
      <c r="GH152" s="664">
        <v>0.01</v>
      </c>
      <c r="GI152" s="187" t="s">
        <v>1056</v>
      </c>
    </row>
    <row r="153" spans="1:191" s="187" customFormat="1" x14ac:dyDescent="0.2">
      <c r="B153" s="429" t="s">
        <v>383</v>
      </c>
      <c r="C153" s="429" t="s">
        <v>382</v>
      </c>
      <c r="D153" s="208">
        <v>11907862</v>
      </c>
      <c r="E153" s="208">
        <v>-132767</v>
      </c>
      <c r="F153" s="208">
        <v>11775095</v>
      </c>
      <c r="G153" s="208">
        <v>11733125</v>
      </c>
      <c r="H153" s="208">
        <v>-131975</v>
      </c>
      <c r="I153" s="208">
        <v>11601150</v>
      </c>
      <c r="J153" s="208">
        <v>174737</v>
      </c>
      <c r="K153" s="208">
        <v>-792</v>
      </c>
      <c r="L153" s="208">
        <v>173945</v>
      </c>
      <c r="M153" s="208">
        <v>507173</v>
      </c>
      <c r="N153" s="208">
        <v>507173</v>
      </c>
      <c r="O153" s="208">
        <v>0</v>
      </c>
      <c r="P153" s="208">
        <v>0</v>
      </c>
      <c r="Q153" s="208">
        <v>1090118</v>
      </c>
      <c r="R153" s="208">
        <v>-1090118</v>
      </c>
      <c r="S153" s="208">
        <v>0</v>
      </c>
      <c r="T153" s="208">
        <v>0</v>
      </c>
      <c r="U153" s="208">
        <v>0</v>
      </c>
      <c r="V153" s="208">
        <v>0</v>
      </c>
      <c r="W153" s="208">
        <v>0</v>
      </c>
      <c r="X153" s="208">
        <v>0</v>
      </c>
      <c r="Y153" s="208">
        <v>0</v>
      </c>
      <c r="Z153" s="208">
        <v>0</v>
      </c>
      <c r="AA153" s="208">
        <v>0</v>
      </c>
      <c r="AB153" s="208">
        <v>0</v>
      </c>
      <c r="AC153" s="208">
        <v>0</v>
      </c>
      <c r="AD153" s="208">
        <v>0</v>
      </c>
      <c r="AE153" s="208">
        <v>0</v>
      </c>
      <c r="AF153" s="208">
        <v>0</v>
      </c>
      <c r="AG153" s="208">
        <v>0</v>
      </c>
      <c r="AH153" s="208">
        <v>0</v>
      </c>
      <c r="AI153" s="208">
        <v>0</v>
      </c>
      <c r="AJ153" s="208">
        <v>0</v>
      </c>
      <c r="AK153" s="208">
        <v>0</v>
      </c>
      <c r="AL153" s="208">
        <v>0</v>
      </c>
      <c r="AM153" s="208">
        <v>0</v>
      </c>
      <c r="AN153" s="208">
        <v>0</v>
      </c>
      <c r="AO153" s="208">
        <v>0</v>
      </c>
      <c r="AP153" s="208">
        <v>0</v>
      </c>
      <c r="AQ153" s="208">
        <v>0</v>
      </c>
      <c r="AR153" s="208">
        <v>0</v>
      </c>
      <c r="AS153" s="208">
        <v>0</v>
      </c>
      <c r="AT153" s="208">
        <v>0</v>
      </c>
      <c r="AU153" s="208">
        <v>0</v>
      </c>
      <c r="AV153" s="208">
        <v>0</v>
      </c>
      <c r="AW153" s="208">
        <v>0</v>
      </c>
      <c r="AX153" s="208">
        <v>0</v>
      </c>
      <c r="AY153" s="208">
        <v>0</v>
      </c>
      <c r="AZ153" s="208">
        <v>0</v>
      </c>
      <c r="BA153" s="208">
        <v>0</v>
      </c>
      <c r="BB153" s="208">
        <v>0</v>
      </c>
      <c r="BC153" s="208">
        <v>0</v>
      </c>
      <c r="BD153" s="208">
        <v>0</v>
      </c>
      <c r="BE153" s="208">
        <v>0</v>
      </c>
      <c r="BF153" s="208">
        <v>0</v>
      </c>
      <c r="BG153" s="208">
        <v>0</v>
      </c>
      <c r="BH153" s="208">
        <v>0</v>
      </c>
      <c r="BI153" s="208">
        <v>0</v>
      </c>
      <c r="BJ153" s="208">
        <v>0</v>
      </c>
      <c r="BK153" s="208">
        <v>0</v>
      </c>
      <c r="BL153" s="208">
        <v>0</v>
      </c>
      <c r="BM153" s="208">
        <v>0</v>
      </c>
      <c r="BN153" s="208">
        <v>0</v>
      </c>
      <c r="BO153" s="208">
        <v>3819118.8560493332</v>
      </c>
      <c r="BP153" s="208">
        <v>2148254.3565277499</v>
      </c>
      <c r="BQ153" s="208">
        <v>0</v>
      </c>
      <c r="BR153" s="208">
        <v>290507</v>
      </c>
      <c r="BS153" s="208">
        <v>163410</v>
      </c>
      <c r="BT153" s="208">
        <v>0</v>
      </c>
      <c r="BU153" s="208">
        <v>3816545</v>
      </c>
      <c r="BV153" s="208">
        <v>2146807</v>
      </c>
      <c r="BW153" s="208">
        <v>0</v>
      </c>
      <c r="BX153" s="208">
        <v>293081</v>
      </c>
      <c r="BY153" s="208">
        <v>164857</v>
      </c>
      <c r="BZ153" s="208">
        <v>0</v>
      </c>
      <c r="CA153" s="208">
        <v>0</v>
      </c>
      <c r="CB153" s="208">
        <v>0</v>
      </c>
      <c r="CC153" s="208">
        <v>0</v>
      </c>
      <c r="CD153" s="208">
        <v>0</v>
      </c>
      <c r="CE153" s="208">
        <v>0</v>
      </c>
      <c r="CF153" s="208">
        <v>0</v>
      </c>
      <c r="CG153" s="208">
        <v>0</v>
      </c>
      <c r="CH153" s="208">
        <v>0</v>
      </c>
      <c r="CI153" s="208">
        <v>0</v>
      </c>
      <c r="CJ153" s="208">
        <v>0</v>
      </c>
      <c r="CK153" s="208">
        <v>0</v>
      </c>
      <c r="CL153" s="208">
        <v>0</v>
      </c>
      <c r="CM153" s="208">
        <v>0</v>
      </c>
      <c r="CN153" s="208">
        <v>0</v>
      </c>
      <c r="CO153" s="208">
        <v>0</v>
      </c>
      <c r="CP153" s="208">
        <v>314.89466666666669</v>
      </c>
      <c r="CQ153" s="208">
        <v>177.12825000000001</v>
      </c>
      <c r="CR153" s="208">
        <v>0</v>
      </c>
      <c r="CS153" s="208">
        <v>0</v>
      </c>
      <c r="CT153" s="208">
        <v>0</v>
      </c>
      <c r="CU153" s="208">
        <v>0</v>
      </c>
      <c r="CV153" s="208">
        <v>0</v>
      </c>
      <c r="CW153" s="208">
        <v>0</v>
      </c>
      <c r="CX153" s="208">
        <v>0</v>
      </c>
      <c r="CY153" s="208">
        <v>0</v>
      </c>
      <c r="CZ153" s="208">
        <v>0</v>
      </c>
      <c r="DA153" s="208">
        <v>0</v>
      </c>
      <c r="DB153" s="208">
        <v>0</v>
      </c>
      <c r="DC153" s="208">
        <v>0</v>
      </c>
      <c r="DD153" s="208">
        <v>0</v>
      </c>
      <c r="DE153" s="208">
        <v>0</v>
      </c>
      <c r="DF153" s="208">
        <v>0</v>
      </c>
      <c r="DG153" s="208">
        <v>0</v>
      </c>
      <c r="DH153" s="208">
        <v>0</v>
      </c>
      <c r="DI153" s="208">
        <v>0</v>
      </c>
      <c r="DJ153" s="208">
        <v>0</v>
      </c>
      <c r="DK153" s="208">
        <v>0</v>
      </c>
      <c r="DL153" s="208">
        <v>0</v>
      </c>
      <c r="DM153" s="208">
        <v>0</v>
      </c>
      <c r="DN153" s="208">
        <v>0</v>
      </c>
      <c r="DO153" s="208">
        <v>0</v>
      </c>
      <c r="DP153" s="208">
        <v>0</v>
      </c>
      <c r="DQ153" s="208">
        <v>0</v>
      </c>
      <c r="DR153" s="208">
        <v>0</v>
      </c>
      <c r="DS153" s="208">
        <v>0</v>
      </c>
      <c r="DT153" s="208">
        <v>0</v>
      </c>
      <c r="DU153" s="208">
        <v>0</v>
      </c>
      <c r="DV153" s="208">
        <v>0</v>
      </c>
      <c r="DW153" s="208">
        <v>230530.39199999999</v>
      </c>
      <c r="DX153" s="208">
        <v>129673.3455</v>
      </c>
      <c r="DY153" s="208">
        <v>0</v>
      </c>
      <c r="DZ153" s="208">
        <v>258001</v>
      </c>
      <c r="EA153" s="208">
        <v>145126</v>
      </c>
      <c r="EB153" s="208">
        <v>0</v>
      </c>
      <c r="EC153" s="208">
        <v>-27471</v>
      </c>
      <c r="ED153" s="208">
        <v>-15453</v>
      </c>
      <c r="EE153" s="208">
        <v>0</v>
      </c>
      <c r="EF153" s="208">
        <v>874926.64800000004</v>
      </c>
      <c r="EG153" s="208">
        <v>492146.23949999997</v>
      </c>
      <c r="EH153" s="208">
        <v>0</v>
      </c>
      <c r="EI153" s="208">
        <v>175879.39149999997</v>
      </c>
      <c r="EJ153" s="208">
        <v>98942.514749999988</v>
      </c>
      <c r="EK153" s="208">
        <v>0</v>
      </c>
      <c r="EL153" s="208">
        <v>930906</v>
      </c>
      <c r="EM153" s="208">
        <v>523635</v>
      </c>
      <c r="EN153" s="208">
        <v>0</v>
      </c>
      <c r="EO153" s="208">
        <v>119900</v>
      </c>
      <c r="EP153" s="208">
        <v>67454</v>
      </c>
      <c r="EQ153" s="208">
        <v>0</v>
      </c>
      <c r="ER153" s="208">
        <v>62508.882666666665</v>
      </c>
      <c r="ES153" s="208">
        <v>35161.246499999994</v>
      </c>
      <c r="ET153" s="208">
        <v>0</v>
      </c>
      <c r="EU153" s="208">
        <v>38384</v>
      </c>
      <c r="EV153" s="208">
        <v>21591</v>
      </c>
      <c r="EW153" s="208">
        <v>0</v>
      </c>
      <c r="EX153" s="208">
        <v>24125</v>
      </c>
      <c r="EY153" s="208">
        <v>13570</v>
      </c>
      <c r="EZ153" s="208">
        <v>0</v>
      </c>
      <c r="FA153" s="208">
        <v>0</v>
      </c>
      <c r="FB153" s="208">
        <v>0</v>
      </c>
      <c r="FC153" s="208">
        <v>0</v>
      </c>
      <c r="FD153" s="208">
        <v>0</v>
      </c>
      <c r="FE153" s="208">
        <v>0</v>
      </c>
      <c r="FF153" s="208">
        <v>0</v>
      </c>
      <c r="FG153" s="208">
        <v>0</v>
      </c>
      <c r="FH153" s="208">
        <v>0</v>
      </c>
      <c r="FI153" s="208">
        <v>0</v>
      </c>
      <c r="FJ153" s="208">
        <v>2545910.4879999999</v>
      </c>
      <c r="FK153" s="208">
        <v>1432074.6494999998</v>
      </c>
      <c r="FL153" s="208">
        <v>0</v>
      </c>
      <c r="FM153" s="208">
        <v>2419013</v>
      </c>
      <c r="FN153" s="208">
        <v>1346642</v>
      </c>
      <c r="FO153" s="208">
        <v>0</v>
      </c>
      <c r="FP153" s="208">
        <v>126897</v>
      </c>
      <c r="FQ153" s="208">
        <v>85433</v>
      </c>
      <c r="FR153" s="208">
        <v>0</v>
      </c>
      <c r="FS153" s="208">
        <v>0</v>
      </c>
      <c r="FT153" s="208">
        <v>0</v>
      </c>
      <c r="FU153" s="208">
        <v>0</v>
      </c>
      <c r="FV153" s="208">
        <v>0</v>
      </c>
      <c r="FW153" s="208">
        <v>0</v>
      </c>
      <c r="FX153" s="208">
        <v>0</v>
      </c>
      <c r="FY153" s="208">
        <v>0</v>
      </c>
      <c r="FZ153" s="208">
        <v>0</v>
      </c>
      <c r="GA153" s="208">
        <v>0</v>
      </c>
      <c r="GB153" s="208">
        <v>7999696</v>
      </c>
      <c r="GC153" s="208">
        <v>4499839</v>
      </c>
      <c r="GD153" s="208">
        <v>0</v>
      </c>
      <c r="GE153" s="664">
        <v>0</v>
      </c>
      <c r="GF153" s="664">
        <v>0.64</v>
      </c>
      <c r="GG153" s="664">
        <v>0.36</v>
      </c>
      <c r="GH153" s="664">
        <v>0</v>
      </c>
      <c r="GI153" s="187" t="s">
        <v>1057</v>
      </c>
    </row>
    <row r="154" spans="1:191" s="187" customFormat="1" x14ac:dyDescent="0.2">
      <c r="B154" s="429" t="s">
        <v>385</v>
      </c>
      <c r="C154" s="429" t="s">
        <v>384</v>
      </c>
      <c r="D154" s="208">
        <v>-379175</v>
      </c>
      <c r="E154" s="208">
        <v>0</v>
      </c>
      <c r="F154" s="208">
        <v>-379175</v>
      </c>
      <c r="G154" s="208">
        <v>-519798</v>
      </c>
      <c r="H154" s="208">
        <v>0</v>
      </c>
      <c r="I154" s="208">
        <v>-519798</v>
      </c>
      <c r="J154" s="208">
        <v>140623</v>
      </c>
      <c r="K154" s="208">
        <v>0</v>
      </c>
      <c r="L154" s="208">
        <v>140623</v>
      </c>
      <c r="M154" s="208">
        <v>214675</v>
      </c>
      <c r="N154" s="208">
        <v>214675</v>
      </c>
      <c r="O154" s="208">
        <v>0</v>
      </c>
      <c r="P154" s="208">
        <v>0</v>
      </c>
      <c r="Q154" s="208">
        <v>0</v>
      </c>
      <c r="R154" s="208">
        <v>0</v>
      </c>
      <c r="S154" s="208">
        <v>986922</v>
      </c>
      <c r="T154" s="208">
        <v>9632</v>
      </c>
      <c r="U154" s="208">
        <v>927710</v>
      </c>
      <c r="V154" s="208">
        <v>10220</v>
      </c>
      <c r="W154" s="208">
        <v>59212</v>
      </c>
      <c r="X154" s="208">
        <v>-588</v>
      </c>
      <c r="Y154" s="208">
        <v>0</v>
      </c>
      <c r="Z154" s="208">
        <v>0</v>
      </c>
      <c r="AA154" s="208">
        <v>0</v>
      </c>
      <c r="AB154" s="208">
        <v>0</v>
      </c>
      <c r="AC154" s="208">
        <v>0</v>
      </c>
      <c r="AD154" s="208">
        <v>0</v>
      </c>
      <c r="AE154" s="208">
        <v>0</v>
      </c>
      <c r="AF154" s="208">
        <v>0</v>
      </c>
      <c r="AG154" s="208">
        <v>0</v>
      </c>
      <c r="AH154" s="208">
        <v>0</v>
      </c>
      <c r="AI154" s="208">
        <v>0</v>
      </c>
      <c r="AJ154" s="208">
        <v>0</v>
      </c>
      <c r="AK154" s="208">
        <v>0</v>
      </c>
      <c r="AL154" s="208">
        <v>0</v>
      </c>
      <c r="AM154" s="208">
        <v>0</v>
      </c>
      <c r="AN154" s="208">
        <v>0</v>
      </c>
      <c r="AO154" s="208">
        <v>0</v>
      </c>
      <c r="AP154" s="208">
        <v>0</v>
      </c>
      <c r="AQ154" s="208">
        <v>0</v>
      </c>
      <c r="AR154" s="208">
        <v>0</v>
      </c>
      <c r="AS154" s="208">
        <v>0</v>
      </c>
      <c r="AT154" s="208">
        <v>0</v>
      </c>
      <c r="AU154" s="208">
        <v>0</v>
      </c>
      <c r="AV154" s="208">
        <v>0</v>
      </c>
      <c r="AW154" s="208">
        <v>0</v>
      </c>
      <c r="AX154" s="208">
        <v>0</v>
      </c>
      <c r="AY154" s="208">
        <v>0</v>
      </c>
      <c r="AZ154" s="208">
        <v>0</v>
      </c>
      <c r="BA154" s="208">
        <v>0</v>
      </c>
      <c r="BB154" s="208">
        <v>0</v>
      </c>
      <c r="BC154" s="208">
        <v>0</v>
      </c>
      <c r="BD154" s="208">
        <v>0</v>
      </c>
      <c r="BE154" s="208">
        <v>0</v>
      </c>
      <c r="BF154" s="208">
        <v>0</v>
      </c>
      <c r="BG154" s="208">
        <v>0</v>
      </c>
      <c r="BH154" s="208">
        <v>0</v>
      </c>
      <c r="BI154" s="208">
        <v>0</v>
      </c>
      <c r="BJ154" s="208">
        <v>0</v>
      </c>
      <c r="BK154" s="208">
        <v>0</v>
      </c>
      <c r="BL154" s="208">
        <v>0</v>
      </c>
      <c r="BM154" s="208">
        <v>0</v>
      </c>
      <c r="BN154" s="208">
        <v>0</v>
      </c>
      <c r="BO154" s="208">
        <v>1277342.5098400002</v>
      </c>
      <c r="BP154" s="208">
        <v>287402.06471400004</v>
      </c>
      <c r="BQ154" s="208">
        <v>31933.562746</v>
      </c>
      <c r="BR154" s="208">
        <v>83354</v>
      </c>
      <c r="BS154" s="208">
        <v>18755</v>
      </c>
      <c r="BT154" s="208">
        <v>2084</v>
      </c>
      <c r="BU154" s="208">
        <v>1285229</v>
      </c>
      <c r="BV154" s="208">
        <v>289176</v>
      </c>
      <c r="BW154" s="208">
        <v>32131</v>
      </c>
      <c r="BX154" s="208">
        <v>75468</v>
      </c>
      <c r="BY154" s="208">
        <v>16981</v>
      </c>
      <c r="BZ154" s="208">
        <v>1887</v>
      </c>
      <c r="CA154" s="208">
        <v>24347.053333333333</v>
      </c>
      <c r="CB154" s="208">
        <v>5478.0869999999995</v>
      </c>
      <c r="CC154" s="208">
        <v>608.67633333333333</v>
      </c>
      <c r="CD154" s="208">
        <v>17952</v>
      </c>
      <c r="CE154" s="208">
        <v>4039</v>
      </c>
      <c r="CF154" s="208">
        <v>449</v>
      </c>
      <c r="CG154" s="208">
        <v>6395</v>
      </c>
      <c r="CH154" s="208">
        <v>1439</v>
      </c>
      <c r="CI154" s="208">
        <v>160</v>
      </c>
      <c r="CJ154" s="208">
        <v>0</v>
      </c>
      <c r="CK154" s="208">
        <v>0</v>
      </c>
      <c r="CL154" s="208">
        <v>0</v>
      </c>
      <c r="CM154" s="208">
        <v>0</v>
      </c>
      <c r="CN154" s="208">
        <v>0</v>
      </c>
      <c r="CO154" s="208">
        <v>0</v>
      </c>
      <c r="CP154" s="208">
        <v>1550.7416666666668</v>
      </c>
      <c r="CQ154" s="208">
        <v>348.91687499999995</v>
      </c>
      <c r="CR154" s="208">
        <v>38.768541666666664</v>
      </c>
      <c r="CS154" s="208">
        <v>1766.7816666666668</v>
      </c>
      <c r="CT154" s="208">
        <v>397.52587499999998</v>
      </c>
      <c r="CU154" s="208">
        <v>44.169541666666667</v>
      </c>
      <c r="CV154" s="208">
        <v>0</v>
      </c>
      <c r="CW154" s="208">
        <v>0</v>
      </c>
      <c r="CX154" s="208">
        <v>0</v>
      </c>
      <c r="CY154" s="208">
        <v>1767</v>
      </c>
      <c r="CZ154" s="208">
        <v>398</v>
      </c>
      <c r="DA154" s="208">
        <v>44</v>
      </c>
      <c r="DB154" s="208">
        <v>0</v>
      </c>
      <c r="DC154" s="208">
        <v>0</v>
      </c>
      <c r="DD154" s="208">
        <v>0</v>
      </c>
      <c r="DE154" s="208">
        <v>10397.334166666667</v>
      </c>
      <c r="DF154" s="208">
        <v>2339.4001874999999</v>
      </c>
      <c r="DG154" s="208">
        <v>259.93335416666667</v>
      </c>
      <c r="DH154" s="208">
        <v>12369</v>
      </c>
      <c r="DI154" s="208">
        <v>2783</v>
      </c>
      <c r="DJ154" s="208">
        <v>309</v>
      </c>
      <c r="DK154" s="208">
        <v>-1972</v>
      </c>
      <c r="DL154" s="208">
        <v>-444</v>
      </c>
      <c r="DM154" s="208">
        <v>-49</v>
      </c>
      <c r="DN154" s="208">
        <v>0</v>
      </c>
      <c r="DO154" s="208">
        <v>0</v>
      </c>
      <c r="DP154" s="208">
        <v>0</v>
      </c>
      <c r="DQ154" s="208">
        <v>0</v>
      </c>
      <c r="DR154" s="208">
        <v>0</v>
      </c>
      <c r="DS154" s="208">
        <v>0</v>
      </c>
      <c r="DT154" s="208">
        <v>0</v>
      </c>
      <c r="DU154" s="208">
        <v>0</v>
      </c>
      <c r="DV154" s="208">
        <v>0</v>
      </c>
      <c r="DW154" s="208">
        <v>8993.8924999999999</v>
      </c>
      <c r="DX154" s="208">
        <v>2023.6258124999995</v>
      </c>
      <c r="DY154" s="208">
        <v>224.84731250000002</v>
      </c>
      <c r="DZ154" s="208">
        <v>11860</v>
      </c>
      <c r="EA154" s="208">
        <v>2668</v>
      </c>
      <c r="EB154" s="208">
        <v>296</v>
      </c>
      <c r="EC154" s="208">
        <v>-2866</v>
      </c>
      <c r="ED154" s="208">
        <v>-644</v>
      </c>
      <c r="EE154" s="208">
        <v>-71</v>
      </c>
      <c r="EF154" s="208">
        <v>44052.929166666669</v>
      </c>
      <c r="EG154" s="208">
        <v>9911.9090625000008</v>
      </c>
      <c r="EH154" s="208">
        <v>1101.3232291666668</v>
      </c>
      <c r="EI154" s="208">
        <v>0</v>
      </c>
      <c r="EJ154" s="208">
        <v>0</v>
      </c>
      <c r="EK154" s="208">
        <v>0</v>
      </c>
      <c r="EL154" s="208">
        <v>49099</v>
      </c>
      <c r="EM154" s="208">
        <v>11048</v>
      </c>
      <c r="EN154" s="208">
        <v>1228</v>
      </c>
      <c r="EO154" s="208">
        <v>-5046</v>
      </c>
      <c r="EP154" s="208">
        <v>-1136</v>
      </c>
      <c r="EQ154" s="208">
        <v>-127</v>
      </c>
      <c r="ER154" s="208">
        <v>28695.267499999998</v>
      </c>
      <c r="ES154" s="208">
        <v>6456.4351874999993</v>
      </c>
      <c r="ET154" s="208">
        <v>717.38168749999988</v>
      </c>
      <c r="EU154" s="208">
        <v>22096</v>
      </c>
      <c r="EV154" s="208">
        <v>4971</v>
      </c>
      <c r="EW154" s="208">
        <v>552</v>
      </c>
      <c r="EX154" s="208">
        <v>6599</v>
      </c>
      <c r="EY154" s="208">
        <v>1485</v>
      </c>
      <c r="EZ154" s="208">
        <v>165</v>
      </c>
      <c r="FA154" s="208">
        <v>0</v>
      </c>
      <c r="FB154" s="208">
        <v>0</v>
      </c>
      <c r="FC154" s="208">
        <v>0</v>
      </c>
      <c r="FD154" s="208">
        <v>0</v>
      </c>
      <c r="FE154" s="208">
        <v>0</v>
      </c>
      <c r="FF154" s="208">
        <v>0</v>
      </c>
      <c r="FG154" s="208">
        <v>0</v>
      </c>
      <c r="FH154" s="208">
        <v>0</v>
      </c>
      <c r="FI154" s="208">
        <v>0</v>
      </c>
      <c r="FJ154" s="208">
        <v>581421.04166666663</v>
      </c>
      <c r="FK154" s="208">
        <v>125951.65114583333</v>
      </c>
      <c r="FL154" s="208">
        <v>13970.101979166668</v>
      </c>
      <c r="FM154" s="208">
        <v>583764</v>
      </c>
      <c r="FN154" s="208">
        <v>126798</v>
      </c>
      <c r="FO154" s="208">
        <v>14063</v>
      </c>
      <c r="FP154" s="208">
        <v>-2343</v>
      </c>
      <c r="FQ154" s="208">
        <v>-846</v>
      </c>
      <c r="FR154" s="208">
        <v>-93</v>
      </c>
      <c r="FS154" s="208">
        <v>0</v>
      </c>
      <c r="FT154" s="208">
        <v>0</v>
      </c>
      <c r="FU154" s="208">
        <v>0</v>
      </c>
      <c r="FV154" s="208">
        <v>0</v>
      </c>
      <c r="FW154" s="208">
        <v>0</v>
      </c>
      <c r="FX154" s="208">
        <v>0</v>
      </c>
      <c r="FY154" s="208">
        <v>0</v>
      </c>
      <c r="FZ154" s="208">
        <v>0</v>
      </c>
      <c r="GA154" s="208">
        <v>0</v>
      </c>
      <c r="GB154" s="208">
        <v>2061922</v>
      </c>
      <c r="GC154" s="208">
        <v>459065</v>
      </c>
      <c r="GD154" s="208">
        <v>50983</v>
      </c>
      <c r="GE154" s="664">
        <v>0.5</v>
      </c>
      <c r="GF154" s="664">
        <v>0.4</v>
      </c>
      <c r="GG154" s="664">
        <v>0.09</v>
      </c>
      <c r="GH154" s="664">
        <v>0.01</v>
      </c>
      <c r="GI154" s="187" t="s">
        <v>1054</v>
      </c>
    </row>
    <row r="155" spans="1:191" s="187" customFormat="1" x14ac:dyDescent="0.2">
      <c r="B155" s="429" t="s">
        <v>387</v>
      </c>
      <c r="C155" s="429" t="s">
        <v>386</v>
      </c>
      <c r="D155" s="208">
        <v>-9663896</v>
      </c>
      <c r="E155" s="208">
        <v>-83145</v>
      </c>
      <c r="F155" s="208">
        <v>-9747041</v>
      </c>
      <c r="G155" s="208">
        <v>-12653808</v>
      </c>
      <c r="H155" s="208">
        <v>-83145</v>
      </c>
      <c r="I155" s="208">
        <v>-12736953</v>
      </c>
      <c r="J155" s="208">
        <v>2989912</v>
      </c>
      <c r="K155" s="208">
        <v>0</v>
      </c>
      <c r="L155" s="208">
        <v>2989912</v>
      </c>
      <c r="M155" s="208">
        <v>1205212</v>
      </c>
      <c r="N155" s="208">
        <v>1205212</v>
      </c>
      <c r="O155" s="208">
        <v>0</v>
      </c>
      <c r="P155" s="208">
        <v>1121248</v>
      </c>
      <c r="Q155" s="208">
        <v>1229896</v>
      </c>
      <c r="R155" s="208">
        <v>-108648</v>
      </c>
      <c r="S155" s="208">
        <v>226148</v>
      </c>
      <c r="T155" s="208">
        <v>0</v>
      </c>
      <c r="U155" s="208">
        <v>224968</v>
      </c>
      <c r="V155" s="208">
        <v>0</v>
      </c>
      <c r="W155" s="208">
        <v>1180</v>
      </c>
      <c r="X155" s="208">
        <v>0</v>
      </c>
      <c r="Y155" s="208">
        <v>0</v>
      </c>
      <c r="Z155" s="208">
        <v>0</v>
      </c>
      <c r="AA155" s="208">
        <v>0</v>
      </c>
      <c r="AB155" s="208">
        <v>0</v>
      </c>
      <c r="AC155" s="208">
        <v>0</v>
      </c>
      <c r="AD155" s="208">
        <v>0</v>
      </c>
      <c r="AE155" s="208">
        <v>0</v>
      </c>
      <c r="AF155" s="208">
        <v>0</v>
      </c>
      <c r="AG155" s="208">
        <v>0</v>
      </c>
      <c r="AH155" s="208">
        <v>0</v>
      </c>
      <c r="AI155" s="208">
        <v>0</v>
      </c>
      <c r="AJ155" s="208">
        <v>0</v>
      </c>
      <c r="AK155" s="208">
        <v>0</v>
      </c>
      <c r="AL155" s="208">
        <v>0</v>
      </c>
      <c r="AM155" s="208">
        <v>0</v>
      </c>
      <c r="AN155" s="208">
        <v>0</v>
      </c>
      <c r="AO155" s="208">
        <v>0</v>
      </c>
      <c r="AP155" s="208">
        <v>0</v>
      </c>
      <c r="AQ155" s="208">
        <v>0</v>
      </c>
      <c r="AR155" s="208">
        <v>0</v>
      </c>
      <c r="AS155" s="208">
        <v>0</v>
      </c>
      <c r="AT155" s="208">
        <v>0</v>
      </c>
      <c r="AU155" s="208">
        <v>0</v>
      </c>
      <c r="AV155" s="208">
        <v>0</v>
      </c>
      <c r="AW155" s="208">
        <v>0</v>
      </c>
      <c r="AX155" s="208">
        <v>0</v>
      </c>
      <c r="AY155" s="208">
        <v>0</v>
      </c>
      <c r="AZ155" s="208">
        <v>0</v>
      </c>
      <c r="BA155" s="208">
        <v>0</v>
      </c>
      <c r="BB155" s="208">
        <v>0</v>
      </c>
      <c r="BC155" s="208">
        <v>0</v>
      </c>
      <c r="BD155" s="208">
        <v>0</v>
      </c>
      <c r="BE155" s="208">
        <v>0</v>
      </c>
      <c r="BF155" s="208">
        <v>0</v>
      </c>
      <c r="BG155" s="208">
        <v>0</v>
      </c>
      <c r="BH155" s="208">
        <v>0</v>
      </c>
      <c r="BI155" s="208">
        <v>0</v>
      </c>
      <c r="BJ155" s="208">
        <v>0</v>
      </c>
      <c r="BK155" s="208">
        <v>0</v>
      </c>
      <c r="BL155" s="208">
        <v>0</v>
      </c>
      <c r="BM155" s="208">
        <v>0</v>
      </c>
      <c r="BN155" s="208">
        <v>0</v>
      </c>
      <c r="BO155" s="208">
        <v>19683241.083886877</v>
      </c>
      <c r="BP155" s="208">
        <v>0</v>
      </c>
      <c r="BQ155" s="208">
        <v>198820.61700895833</v>
      </c>
      <c r="BR155" s="208">
        <v>1527793</v>
      </c>
      <c r="BS155" s="208">
        <v>0</v>
      </c>
      <c r="BT155" s="208">
        <v>15427</v>
      </c>
      <c r="BU155" s="208">
        <v>19007516</v>
      </c>
      <c r="BV155" s="208">
        <v>0</v>
      </c>
      <c r="BW155" s="208">
        <v>191995</v>
      </c>
      <c r="BX155" s="208">
        <v>2203518</v>
      </c>
      <c r="BY155" s="208">
        <v>0</v>
      </c>
      <c r="BZ155" s="208">
        <v>22253</v>
      </c>
      <c r="CA155" s="208">
        <v>52019.731500000002</v>
      </c>
      <c r="CB155" s="208">
        <v>0</v>
      </c>
      <c r="CC155" s="208">
        <v>525.4518333333333</v>
      </c>
      <c r="CD155" s="208">
        <v>25317</v>
      </c>
      <c r="CE155" s="208">
        <v>0</v>
      </c>
      <c r="CF155" s="208">
        <v>256</v>
      </c>
      <c r="CG155" s="208">
        <v>26703</v>
      </c>
      <c r="CH155" s="208">
        <v>0</v>
      </c>
      <c r="CI155" s="208">
        <v>269</v>
      </c>
      <c r="CJ155" s="208">
        <v>0</v>
      </c>
      <c r="CK155" s="208">
        <v>0</v>
      </c>
      <c r="CL155" s="208">
        <v>0</v>
      </c>
      <c r="CM155" s="208">
        <v>-19488.15825</v>
      </c>
      <c r="CN155" s="208">
        <v>0</v>
      </c>
      <c r="CO155" s="208">
        <v>-196.85008333333334</v>
      </c>
      <c r="CP155" s="208">
        <v>-13943.694187499999</v>
      </c>
      <c r="CQ155" s="208">
        <v>0</v>
      </c>
      <c r="CR155" s="208">
        <v>-140.84539583333333</v>
      </c>
      <c r="CS155" s="208">
        <v>-1388.3945625000001</v>
      </c>
      <c r="CT155" s="208">
        <v>0</v>
      </c>
      <c r="CU155" s="208">
        <v>-14.0241875</v>
      </c>
      <c r="CV155" s="208">
        <v>0</v>
      </c>
      <c r="CW155" s="208">
        <v>0</v>
      </c>
      <c r="CX155" s="208">
        <v>0</v>
      </c>
      <c r="CY155" s="208">
        <v>-1388</v>
      </c>
      <c r="CZ155" s="208">
        <v>0</v>
      </c>
      <c r="DA155" s="208">
        <v>-14</v>
      </c>
      <c r="DB155" s="208">
        <v>-17250.118875</v>
      </c>
      <c r="DC155" s="208">
        <v>0</v>
      </c>
      <c r="DD155" s="208">
        <v>-174.24362500000001</v>
      </c>
      <c r="DE155" s="208">
        <v>8704.0490625000002</v>
      </c>
      <c r="DF155" s="208">
        <v>0</v>
      </c>
      <c r="DG155" s="208">
        <v>87.919687499999995</v>
      </c>
      <c r="DH155" s="208">
        <v>4562</v>
      </c>
      <c r="DI155" s="208">
        <v>0</v>
      </c>
      <c r="DJ155" s="208">
        <v>46</v>
      </c>
      <c r="DK155" s="208">
        <v>4142</v>
      </c>
      <c r="DL155" s="208">
        <v>0</v>
      </c>
      <c r="DM155" s="208">
        <v>42</v>
      </c>
      <c r="DN155" s="208">
        <v>1519.03125</v>
      </c>
      <c r="DO155" s="208">
        <v>0</v>
      </c>
      <c r="DP155" s="208">
        <v>15.34375</v>
      </c>
      <c r="DQ155" s="208">
        <v>1519</v>
      </c>
      <c r="DR155" s="208">
        <v>0</v>
      </c>
      <c r="DS155" s="208">
        <v>15</v>
      </c>
      <c r="DT155" s="208">
        <v>0</v>
      </c>
      <c r="DU155" s="208">
        <v>0</v>
      </c>
      <c r="DV155" s="208">
        <v>0</v>
      </c>
      <c r="DW155" s="208">
        <v>91060.86</v>
      </c>
      <c r="DX155" s="208">
        <v>0</v>
      </c>
      <c r="DY155" s="208">
        <v>919.80666666666673</v>
      </c>
      <c r="DZ155" s="208">
        <v>151904</v>
      </c>
      <c r="EA155" s="208">
        <v>0</v>
      </c>
      <c r="EB155" s="208">
        <v>1534</v>
      </c>
      <c r="EC155" s="208">
        <v>-60843</v>
      </c>
      <c r="ED155" s="208">
        <v>0</v>
      </c>
      <c r="EE155" s="208">
        <v>-614</v>
      </c>
      <c r="EF155" s="208">
        <v>653385.97499999998</v>
      </c>
      <c r="EG155" s="208">
        <v>0</v>
      </c>
      <c r="EH155" s="208">
        <v>6599.8583333333336</v>
      </c>
      <c r="EI155" s="208">
        <v>-37355.003812499999</v>
      </c>
      <c r="EJ155" s="208">
        <v>0</v>
      </c>
      <c r="EK155" s="208">
        <v>-377.32327083333331</v>
      </c>
      <c r="EL155" s="208">
        <v>830064</v>
      </c>
      <c r="EM155" s="208">
        <v>0</v>
      </c>
      <c r="EN155" s="208">
        <v>8384</v>
      </c>
      <c r="EO155" s="208">
        <v>-214033</v>
      </c>
      <c r="EP155" s="208">
        <v>0</v>
      </c>
      <c r="EQ155" s="208">
        <v>-2161</v>
      </c>
      <c r="ER155" s="208">
        <v>212658.29887500001</v>
      </c>
      <c r="ES155" s="208">
        <v>0</v>
      </c>
      <c r="ET155" s="208">
        <v>2148.0636250000002</v>
      </c>
      <c r="EU155" s="208">
        <v>243045</v>
      </c>
      <c r="EV155" s="208">
        <v>0</v>
      </c>
      <c r="EW155" s="208">
        <v>2455</v>
      </c>
      <c r="EX155" s="208">
        <v>-30387</v>
      </c>
      <c r="EY155" s="208">
        <v>0</v>
      </c>
      <c r="EZ155" s="208">
        <v>-307</v>
      </c>
      <c r="FA155" s="208">
        <v>0</v>
      </c>
      <c r="FB155" s="208">
        <v>0</v>
      </c>
      <c r="FC155" s="208">
        <v>0</v>
      </c>
      <c r="FD155" s="208">
        <v>0</v>
      </c>
      <c r="FE155" s="208">
        <v>0</v>
      </c>
      <c r="FF155" s="208">
        <v>0</v>
      </c>
      <c r="FG155" s="208">
        <v>0</v>
      </c>
      <c r="FH155" s="208">
        <v>0</v>
      </c>
      <c r="FI155" s="208">
        <v>0</v>
      </c>
      <c r="FJ155" s="208">
        <v>8182627.9129374996</v>
      </c>
      <c r="FK155" s="208">
        <v>0</v>
      </c>
      <c r="FL155" s="208">
        <v>82340.909979166667</v>
      </c>
      <c r="FM155" s="208">
        <v>8269100</v>
      </c>
      <c r="FN155" s="208">
        <v>0</v>
      </c>
      <c r="FO155" s="208">
        <v>83189</v>
      </c>
      <c r="FP155" s="208">
        <v>-86472</v>
      </c>
      <c r="FQ155" s="208">
        <v>0</v>
      </c>
      <c r="FR155" s="208">
        <v>-848</v>
      </c>
      <c r="FS155" s="208">
        <v>505777.0541666667</v>
      </c>
      <c r="FT155" s="208">
        <v>0</v>
      </c>
      <c r="FU155" s="208">
        <v>0</v>
      </c>
      <c r="FV155" s="208">
        <v>466345</v>
      </c>
      <c r="FW155" s="208">
        <v>0</v>
      </c>
      <c r="FX155" s="208">
        <v>0</v>
      </c>
      <c r="FY155" s="208">
        <v>39432</v>
      </c>
      <c r="FZ155" s="208">
        <v>0</v>
      </c>
      <c r="GA155" s="208">
        <v>0</v>
      </c>
      <c r="GB155" s="208">
        <v>30829362</v>
      </c>
      <c r="GC155" s="208">
        <v>0</v>
      </c>
      <c r="GD155" s="208">
        <v>305982</v>
      </c>
      <c r="GE155" s="664">
        <v>0</v>
      </c>
      <c r="GF155" s="664">
        <v>0.99</v>
      </c>
      <c r="GG155" s="664">
        <v>0</v>
      </c>
      <c r="GH155" s="664">
        <v>0.01</v>
      </c>
      <c r="GI155" s="187" t="s">
        <v>1056</v>
      </c>
    </row>
    <row r="156" spans="1:191" s="187" customFormat="1" x14ac:dyDescent="0.2">
      <c r="B156" s="429" t="s">
        <v>389</v>
      </c>
      <c r="C156" s="429" t="s">
        <v>388</v>
      </c>
      <c r="D156" s="208">
        <v>5804279</v>
      </c>
      <c r="E156" s="208">
        <v>114085</v>
      </c>
      <c r="F156" s="208">
        <v>5918364</v>
      </c>
      <c r="G156" s="208">
        <v>5036769</v>
      </c>
      <c r="H156" s="208">
        <v>113830</v>
      </c>
      <c r="I156" s="208">
        <v>5150599</v>
      </c>
      <c r="J156" s="208">
        <v>767510</v>
      </c>
      <c r="K156" s="208">
        <v>255</v>
      </c>
      <c r="L156" s="208">
        <v>767765</v>
      </c>
      <c r="M156" s="208">
        <v>488823</v>
      </c>
      <c r="N156" s="208">
        <v>488823</v>
      </c>
      <c r="O156" s="208">
        <v>0</v>
      </c>
      <c r="P156" s="208">
        <v>0</v>
      </c>
      <c r="Q156" s="208">
        <v>0</v>
      </c>
      <c r="R156" s="208">
        <v>0</v>
      </c>
      <c r="S156" s="208">
        <v>0</v>
      </c>
      <c r="T156" s="208">
        <v>0</v>
      </c>
      <c r="U156" s="208">
        <v>0</v>
      </c>
      <c r="V156" s="208">
        <v>0</v>
      </c>
      <c r="W156" s="208">
        <v>0</v>
      </c>
      <c r="X156" s="208">
        <v>0</v>
      </c>
      <c r="Y156" s="208">
        <v>0</v>
      </c>
      <c r="Z156" s="208">
        <v>0</v>
      </c>
      <c r="AA156" s="208">
        <v>0</v>
      </c>
      <c r="AB156" s="208">
        <v>0</v>
      </c>
      <c r="AC156" s="208">
        <v>0</v>
      </c>
      <c r="AD156" s="208">
        <v>0</v>
      </c>
      <c r="AE156" s="208">
        <v>0</v>
      </c>
      <c r="AF156" s="208">
        <v>0</v>
      </c>
      <c r="AG156" s="208">
        <v>0</v>
      </c>
      <c r="AH156" s="208">
        <v>9580</v>
      </c>
      <c r="AI156" s="208">
        <v>9579.6145833333339</v>
      </c>
      <c r="AJ156" s="208">
        <v>0</v>
      </c>
      <c r="AK156" s="208">
        <v>0</v>
      </c>
      <c r="AL156" s="208">
        <v>0</v>
      </c>
      <c r="AM156" s="208">
        <v>0</v>
      </c>
      <c r="AN156" s="208">
        <v>0</v>
      </c>
      <c r="AO156" s="208">
        <v>0</v>
      </c>
      <c r="AP156" s="208">
        <v>9580</v>
      </c>
      <c r="AQ156" s="208">
        <v>9580</v>
      </c>
      <c r="AR156" s="208">
        <v>0</v>
      </c>
      <c r="AS156" s="208">
        <v>0</v>
      </c>
      <c r="AT156" s="208">
        <v>0</v>
      </c>
      <c r="AU156" s="208">
        <v>0</v>
      </c>
      <c r="AV156" s="208">
        <v>0</v>
      </c>
      <c r="AW156" s="208">
        <v>0</v>
      </c>
      <c r="AX156" s="208">
        <v>0</v>
      </c>
      <c r="AY156" s="208">
        <v>0</v>
      </c>
      <c r="AZ156" s="208">
        <v>0</v>
      </c>
      <c r="BA156" s="208">
        <v>0</v>
      </c>
      <c r="BB156" s="208">
        <v>0</v>
      </c>
      <c r="BC156" s="208">
        <v>0</v>
      </c>
      <c r="BD156" s="208">
        <v>0</v>
      </c>
      <c r="BE156" s="208">
        <v>0</v>
      </c>
      <c r="BF156" s="208">
        <v>0</v>
      </c>
      <c r="BG156" s="208">
        <v>0</v>
      </c>
      <c r="BH156" s="208">
        <v>0</v>
      </c>
      <c r="BI156" s="208">
        <v>0</v>
      </c>
      <c r="BJ156" s="208">
        <v>0</v>
      </c>
      <c r="BK156" s="208">
        <v>0</v>
      </c>
      <c r="BL156" s="208">
        <v>0</v>
      </c>
      <c r="BM156" s="208">
        <v>0</v>
      </c>
      <c r="BN156" s="208">
        <v>0</v>
      </c>
      <c r="BO156" s="208">
        <v>4946989.4027427696</v>
      </c>
      <c r="BP156" s="208">
        <v>0</v>
      </c>
      <c r="BQ156" s="208">
        <v>93602.900239396666</v>
      </c>
      <c r="BR156" s="208">
        <v>263214</v>
      </c>
      <c r="BS156" s="208">
        <v>0</v>
      </c>
      <c r="BT156" s="208">
        <v>5013</v>
      </c>
      <c r="BU156" s="208">
        <v>4673635</v>
      </c>
      <c r="BV156" s="208">
        <v>0</v>
      </c>
      <c r="BW156" s="208">
        <v>88073</v>
      </c>
      <c r="BX156" s="208">
        <v>536568</v>
      </c>
      <c r="BY156" s="208">
        <v>0</v>
      </c>
      <c r="BZ156" s="208">
        <v>10543</v>
      </c>
      <c r="CA156" s="208">
        <v>20646.973282916664</v>
      </c>
      <c r="CB156" s="208">
        <v>0</v>
      </c>
      <c r="CC156" s="208">
        <v>342.32540458333341</v>
      </c>
      <c r="CD156" s="208">
        <v>25562</v>
      </c>
      <c r="CE156" s="208">
        <v>0</v>
      </c>
      <c r="CF156" s="208">
        <v>522</v>
      </c>
      <c r="CG156" s="208">
        <v>-4915</v>
      </c>
      <c r="CH156" s="208">
        <v>0</v>
      </c>
      <c r="CI156" s="208">
        <v>-180</v>
      </c>
      <c r="CJ156" s="208">
        <v>0</v>
      </c>
      <c r="CK156" s="208">
        <v>0</v>
      </c>
      <c r="CL156" s="208">
        <v>0</v>
      </c>
      <c r="CM156" s="208">
        <v>5423.2995833333334</v>
      </c>
      <c r="CN156" s="208">
        <v>0</v>
      </c>
      <c r="CO156" s="208">
        <v>110.67958333333334</v>
      </c>
      <c r="CP156" s="208">
        <v>-1901.6634583333332</v>
      </c>
      <c r="CQ156" s="208">
        <v>0</v>
      </c>
      <c r="CR156" s="208">
        <v>-38.809458333333332</v>
      </c>
      <c r="CS156" s="208">
        <v>0</v>
      </c>
      <c r="CT156" s="208">
        <v>0</v>
      </c>
      <c r="CU156" s="208">
        <v>0</v>
      </c>
      <c r="CV156" s="208">
        <v>0</v>
      </c>
      <c r="CW156" s="208">
        <v>0</v>
      </c>
      <c r="CX156" s="208">
        <v>0</v>
      </c>
      <c r="CY156" s="208">
        <v>0</v>
      </c>
      <c r="CZ156" s="208">
        <v>0</v>
      </c>
      <c r="DA156" s="208">
        <v>0</v>
      </c>
      <c r="DB156" s="208">
        <v>0</v>
      </c>
      <c r="DC156" s="208">
        <v>0</v>
      </c>
      <c r="DD156" s="208">
        <v>0</v>
      </c>
      <c r="DE156" s="208">
        <v>0</v>
      </c>
      <c r="DF156" s="208">
        <v>0</v>
      </c>
      <c r="DG156" s="208">
        <v>0</v>
      </c>
      <c r="DH156" s="208">
        <v>0</v>
      </c>
      <c r="DI156" s="208">
        <v>0</v>
      </c>
      <c r="DJ156" s="208">
        <v>0</v>
      </c>
      <c r="DK156" s="208">
        <v>0</v>
      </c>
      <c r="DL156" s="208">
        <v>0</v>
      </c>
      <c r="DM156" s="208">
        <v>0</v>
      </c>
      <c r="DN156" s="208">
        <v>751.84375</v>
      </c>
      <c r="DO156" s="208">
        <v>0</v>
      </c>
      <c r="DP156" s="208">
        <v>15.34375</v>
      </c>
      <c r="DQ156" s="208">
        <v>752</v>
      </c>
      <c r="DR156" s="208">
        <v>0</v>
      </c>
      <c r="DS156" s="208">
        <v>15</v>
      </c>
      <c r="DT156" s="208">
        <v>0</v>
      </c>
      <c r="DU156" s="208">
        <v>0</v>
      </c>
      <c r="DV156" s="208">
        <v>0</v>
      </c>
      <c r="DW156" s="208">
        <v>65824.145354166671</v>
      </c>
      <c r="DX156" s="208">
        <v>0</v>
      </c>
      <c r="DY156" s="208">
        <v>1322.6619375</v>
      </c>
      <c r="DZ156" s="208">
        <v>66697</v>
      </c>
      <c r="EA156" s="208">
        <v>0</v>
      </c>
      <c r="EB156" s="208">
        <v>1340</v>
      </c>
      <c r="EC156" s="208">
        <v>-873</v>
      </c>
      <c r="ED156" s="208">
        <v>0</v>
      </c>
      <c r="EE156" s="208">
        <v>-17</v>
      </c>
      <c r="EF156" s="208">
        <v>276044.08708333329</v>
      </c>
      <c r="EG156" s="208">
        <v>0</v>
      </c>
      <c r="EH156" s="208">
        <v>5455.4191666666666</v>
      </c>
      <c r="EI156" s="208">
        <v>-20395.157999999999</v>
      </c>
      <c r="EJ156" s="208">
        <v>0</v>
      </c>
      <c r="EK156" s="208">
        <v>-415.05866666666668</v>
      </c>
      <c r="EL156" s="208">
        <v>341726</v>
      </c>
      <c r="EM156" s="208">
        <v>0</v>
      </c>
      <c r="EN156" s="208">
        <v>5931</v>
      </c>
      <c r="EO156" s="208">
        <v>-86077</v>
      </c>
      <c r="EP156" s="208">
        <v>0</v>
      </c>
      <c r="EQ156" s="208">
        <v>-891</v>
      </c>
      <c r="ER156" s="208">
        <v>32300.209958333329</v>
      </c>
      <c r="ES156" s="208">
        <v>0</v>
      </c>
      <c r="ET156" s="208">
        <v>659.18795833333331</v>
      </c>
      <c r="EU156" s="208">
        <v>38776</v>
      </c>
      <c r="EV156" s="208">
        <v>0</v>
      </c>
      <c r="EW156" s="208">
        <v>791</v>
      </c>
      <c r="EX156" s="208">
        <v>-6476</v>
      </c>
      <c r="EY156" s="208">
        <v>0</v>
      </c>
      <c r="EZ156" s="208">
        <v>-132</v>
      </c>
      <c r="FA156" s="208">
        <v>0</v>
      </c>
      <c r="FB156" s="208">
        <v>0</v>
      </c>
      <c r="FC156" s="208">
        <v>0</v>
      </c>
      <c r="FD156" s="208">
        <v>0</v>
      </c>
      <c r="FE156" s="208">
        <v>0</v>
      </c>
      <c r="FF156" s="208">
        <v>0</v>
      </c>
      <c r="FG156" s="208">
        <v>0</v>
      </c>
      <c r="FH156" s="208">
        <v>0</v>
      </c>
      <c r="FI156" s="208">
        <v>0</v>
      </c>
      <c r="FJ156" s="208">
        <v>1198479.7616458333</v>
      </c>
      <c r="FK156" s="208">
        <v>0</v>
      </c>
      <c r="FL156" s="208">
        <v>24458.770645833334</v>
      </c>
      <c r="FM156" s="208">
        <v>1256388</v>
      </c>
      <c r="FN156" s="208">
        <v>0</v>
      </c>
      <c r="FO156" s="208">
        <v>25641</v>
      </c>
      <c r="FP156" s="208">
        <v>-57908</v>
      </c>
      <c r="FQ156" s="208">
        <v>0</v>
      </c>
      <c r="FR156" s="208">
        <v>-1182</v>
      </c>
      <c r="FS156" s="208">
        <v>0</v>
      </c>
      <c r="FT156" s="208">
        <v>0</v>
      </c>
      <c r="FU156" s="208">
        <v>0</v>
      </c>
      <c r="FV156" s="208">
        <v>0</v>
      </c>
      <c r="FW156" s="208">
        <v>0</v>
      </c>
      <c r="FX156" s="208">
        <v>0</v>
      </c>
      <c r="FY156" s="208">
        <v>0</v>
      </c>
      <c r="FZ156" s="208">
        <v>0</v>
      </c>
      <c r="GA156" s="208">
        <v>0</v>
      </c>
      <c r="GB156" s="208">
        <v>6787376</v>
      </c>
      <c r="GC156" s="208">
        <v>0</v>
      </c>
      <c r="GD156" s="208">
        <v>130526</v>
      </c>
      <c r="GE156" s="664">
        <v>0.5</v>
      </c>
      <c r="GF156" s="664">
        <v>0.49</v>
      </c>
      <c r="GG156" s="664">
        <v>0</v>
      </c>
      <c r="GH156" s="664">
        <v>0.01</v>
      </c>
      <c r="GI156" s="187" t="s">
        <v>742</v>
      </c>
    </row>
    <row r="157" spans="1:191" s="187" customFormat="1" x14ac:dyDescent="0.2">
      <c r="A157" s="187" t="s">
        <v>1811</v>
      </c>
      <c r="B157" s="429" t="s">
        <v>391</v>
      </c>
      <c r="C157" s="429" t="s">
        <v>390</v>
      </c>
      <c r="D157" s="208">
        <v>574286</v>
      </c>
      <c r="E157" s="208">
        <v>-28042</v>
      </c>
      <c r="F157" s="208">
        <v>546244</v>
      </c>
      <c r="G157" s="208">
        <v>571035</v>
      </c>
      <c r="H157" s="208">
        <v>-16255</v>
      </c>
      <c r="I157" s="208">
        <v>554780</v>
      </c>
      <c r="J157" s="208">
        <v>3251</v>
      </c>
      <c r="K157" s="208">
        <v>-11787</v>
      </c>
      <c r="L157" s="208">
        <v>-8536</v>
      </c>
      <c r="M157" s="208">
        <v>134766</v>
      </c>
      <c r="N157" s="208">
        <v>134766</v>
      </c>
      <c r="O157" s="208">
        <v>0</v>
      </c>
      <c r="P157" s="208">
        <v>342254</v>
      </c>
      <c r="Q157" s="208">
        <v>100811</v>
      </c>
      <c r="R157" s="208">
        <v>241443</v>
      </c>
      <c r="S157" s="208">
        <v>0</v>
      </c>
      <c r="T157" s="208">
        <v>0</v>
      </c>
      <c r="U157" s="208">
        <v>0</v>
      </c>
      <c r="V157" s="208">
        <v>0</v>
      </c>
      <c r="W157" s="208">
        <v>0</v>
      </c>
      <c r="X157" s="208">
        <v>0</v>
      </c>
      <c r="Y157" s="208">
        <v>0</v>
      </c>
      <c r="Z157" s="208">
        <v>0</v>
      </c>
      <c r="AA157" s="208">
        <v>0</v>
      </c>
      <c r="AB157" s="208">
        <v>0</v>
      </c>
      <c r="AC157" s="208">
        <v>0</v>
      </c>
      <c r="AD157" s="208">
        <v>0</v>
      </c>
      <c r="AE157" s="208">
        <v>0</v>
      </c>
      <c r="AF157" s="208">
        <v>0</v>
      </c>
      <c r="AG157" s="208">
        <v>0</v>
      </c>
      <c r="AH157" s="208">
        <v>361144</v>
      </c>
      <c r="AI157" s="208">
        <v>361143.79791666666</v>
      </c>
      <c r="AJ157" s="208">
        <v>0</v>
      </c>
      <c r="AK157" s="208">
        <v>0</v>
      </c>
      <c r="AL157" s="208">
        <v>166388</v>
      </c>
      <c r="AM157" s="208">
        <v>166388</v>
      </c>
      <c r="AN157" s="208">
        <v>0</v>
      </c>
      <c r="AO157" s="208">
        <v>0</v>
      </c>
      <c r="AP157" s="208">
        <v>194756</v>
      </c>
      <c r="AQ157" s="208">
        <v>194756</v>
      </c>
      <c r="AR157" s="208">
        <v>0</v>
      </c>
      <c r="AS157" s="208">
        <v>0</v>
      </c>
      <c r="AT157" s="208">
        <v>0</v>
      </c>
      <c r="AU157" s="208">
        <v>0</v>
      </c>
      <c r="AV157" s="208">
        <v>0</v>
      </c>
      <c r="AW157" s="208">
        <v>0</v>
      </c>
      <c r="AX157" s="208">
        <v>0</v>
      </c>
      <c r="AY157" s="208">
        <v>0</v>
      </c>
      <c r="AZ157" s="208">
        <v>0</v>
      </c>
      <c r="BA157" s="208">
        <v>0</v>
      </c>
      <c r="BB157" s="208">
        <v>0</v>
      </c>
      <c r="BC157" s="208">
        <v>0</v>
      </c>
      <c r="BD157" s="208">
        <v>0</v>
      </c>
      <c r="BE157" s="208">
        <v>0</v>
      </c>
      <c r="BF157" s="208">
        <v>0</v>
      </c>
      <c r="BG157" s="208">
        <v>0</v>
      </c>
      <c r="BH157" s="208">
        <v>0</v>
      </c>
      <c r="BI157" s="208">
        <v>0</v>
      </c>
      <c r="BJ157" s="208">
        <v>0</v>
      </c>
      <c r="BK157" s="208">
        <v>0</v>
      </c>
      <c r="BL157" s="208">
        <v>0</v>
      </c>
      <c r="BM157" s="208">
        <v>0</v>
      </c>
      <c r="BN157" s="208">
        <v>0</v>
      </c>
      <c r="BO157" s="208">
        <v>1307509.2810175002</v>
      </c>
      <c r="BP157" s="208">
        <v>232414.29879112501</v>
      </c>
      <c r="BQ157" s="208">
        <v>25823.810976791669</v>
      </c>
      <c r="BR157" s="208">
        <v>82714</v>
      </c>
      <c r="BS157" s="208">
        <v>14511</v>
      </c>
      <c r="BT157" s="208">
        <v>1612</v>
      </c>
      <c r="BU157" s="208">
        <v>1267665</v>
      </c>
      <c r="BV157" s="208">
        <v>225712</v>
      </c>
      <c r="BW157" s="208">
        <v>25079</v>
      </c>
      <c r="BX157" s="208">
        <v>122558</v>
      </c>
      <c r="BY157" s="208">
        <v>21213</v>
      </c>
      <c r="BZ157" s="208">
        <v>2357</v>
      </c>
      <c r="CA157" s="208">
        <v>0</v>
      </c>
      <c r="CB157" s="208">
        <v>0</v>
      </c>
      <c r="CC157" s="208">
        <v>0</v>
      </c>
      <c r="CD157" s="208">
        <v>0</v>
      </c>
      <c r="CE157" s="208">
        <v>0</v>
      </c>
      <c r="CF157" s="208">
        <v>0</v>
      </c>
      <c r="CG157" s="208">
        <v>0</v>
      </c>
      <c r="CH157" s="208">
        <v>0</v>
      </c>
      <c r="CI157" s="208">
        <v>0</v>
      </c>
      <c r="CJ157" s="208">
        <v>0</v>
      </c>
      <c r="CK157" s="208">
        <v>0</v>
      </c>
      <c r="CL157" s="208">
        <v>0</v>
      </c>
      <c r="CM157" s="208">
        <v>0</v>
      </c>
      <c r="CN157" s="208">
        <v>0</v>
      </c>
      <c r="CO157" s="208">
        <v>0</v>
      </c>
      <c r="CP157" s="208">
        <v>0</v>
      </c>
      <c r="CQ157" s="208">
        <v>0</v>
      </c>
      <c r="CR157" s="208">
        <v>0</v>
      </c>
      <c r="CS157" s="208">
        <v>0</v>
      </c>
      <c r="CT157" s="208">
        <v>0</v>
      </c>
      <c r="CU157" s="208">
        <v>0</v>
      </c>
      <c r="CV157" s="208">
        <v>0</v>
      </c>
      <c r="CW157" s="208">
        <v>0</v>
      </c>
      <c r="CX157" s="208">
        <v>0</v>
      </c>
      <c r="CY157" s="208">
        <v>0</v>
      </c>
      <c r="CZ157" s="208">
        <v>0</v>
      </c>
      <c r="DA157" s="208">
        <v>0</v>
      </c>
      <c r="DB157" s="208">
        <v>0</v>
      </c>
      <c r="DC157" s="208">
        <v>0</v>
      </c>
      <c r="DD157" s="208">
        <v>0</v>
      </c>
      <c r="DE157" s="208">
        <v>4097.3949999999995</v>
      </c>
      <c r="DF157" s="208">
        <v>921.91387499999985</v>
      </c>
      <c r="DG157" s="208">
        <v>102.43487499999999</v>
      </c>
      <c r="DH157" s="208">
        <v>2049</v>
      </c>
      <c r="DI157" s="208">
        <v>461</v>
      </c>
      <c r="DJ157" s="208">
        <v>51</v>
      </c>
      <c r="DK157" s="208">
        <v>2048</v>
      </c>
      <c r="DL157" s="208">
        <v>461</v>
      </c>
      <c r="DM157" s="208">
        <v>51</v>
      </c>
      <c r="DN157" s="208">
        <v>0</v>
      </c>
      <c r="DO157" s="208">
        <v>0</v>
      </c>
      <c r="DP157" s="208">
        <v>0</v>
      </c>
      <c r="DQ157" s="208">
        <v>0</v>
      </c>
      <c r="DR157" s="208">
        <v>0</v>
      </c>
      <c r="DS157" s="208">
        <v>0</v>
      </c>
      <c r="DT157" s="208">
        <v>0</v>
      </c>
      <c r="DU157" s="208">
        <v>0</v>
      </c>
      <c r="DV157" s="208">
        <v>0</v>
      </c>
      <c r="DW157" s="208">
        <v>8576.1333333333332</v>
      </c>
      <c r="DX157" s="208">
        <v>1929.6299999999999</v>
      </c>
      <c r="DY157" s="208">
        <v>214.40333333333331</v>
      </c>
      <c r="DZ157" s="208">
        <v>11267</v>
      </c>
      <c r="EA157" s="208">
        <v>2535</v>
      </c>
      <c r="EB157" s="208">
        <v>282</v>
      </c>
      <c r="EC157" s="208">
        <v>-2691</v>
      </c>
      <c r="ED157" s="208">
        <v>-605</v>
      </c>
      <c r="EE157" s="208">
        <v>-68</v>
      </c>
      <c r="EF157" s="208">
        <v>39563.96166666667</v>
      </c>
      <c r="EG157" s="208">
        <v>7079.5141874999999</v>
      </c>
      <c r="EH157" s="208">
        <v>786.61268749999999</v>
      </c>
      <c r="EI157" s="208">
        <v>-7107.2250000000004</v>
      </c>
      <c r="EJ157" s="208">
        <v>-1061.4806249999999</v>
      </c>
      <c r="EK157" s="208">
        <v>-117.94229166666666</v>
      </c>
      <c r="EL157" s="208">
        <v>40507</v>
      </c>
      <c r="EM157" s="208">
        <v>9114</v>
      </c>
      <c r="EN157" s="208">
        <v>1013</v>
      </c>
      <c r="EO157" s="208">
        <v>-8050</v>
      </c>
      <c r="EP157" s="208">
        <v>-3096</v>
      </c>
      <c r="EQ157" s="208">
        <v>-344</v>
      </c>
      <c r="ER157" s="208">
        <v>14565.515000000001</v>
      </c>
      <c r="ES157" s="208">
        <v>2864.8008749999999</v>
      </c>
      <c r="ET157" s="208">
        <v>318.31120833333335</v>
      </c>
      <c r="EU157" s="208">
        <v>11865</v>
      </c>
      <c r="EV157" s="208">
        <v>2670</v>
      </c>
      <c r="EW157" s="208">
        <v>297</v>
      </c>
      <c r="EX157" s="208">
        <v>2701</v>
      </c>
      <c r="EY157" s="208">
        <v>195</v>
      </c>
      <c r="EZ157" s="208">
        <v>21</v>
      </c>
      <c r="FA157" s="208">
        <v>0</v>
      </c>
      <c r="FB157" s="208">
        <v>0</v>
      </c>
      <c r="FC157" s="208">
        <v>0</v>
      </c>
      <c r="FD157" s="208">
        <v>0</v>
      </c>
      <c r="FE157" s="208">
        <v>0</v>
      </c>
      <c r="FF157" s="208">
        <v>0</v>
      </c>
      <c r="FG157" s="208">
        <v>0</v>
      </c>
      <c r="FH157" s="208">
        <v>0</v>
      </c>
      <c r="FI157" s="208">
        <v>0</v>
      </c>
      <c r="FJ157" s="208">
        <v>241479.04916666669</v>
      </c>
      <c r="FK157" s="208">
        <v>52568.038874999998</v>
      </c>
      <c r="FL157" s="208">
        <v>5840.893208333333</v>
      </c>
      <c r="FM157" s="208">
        <v>228082</v>
      </c>
      <c r="FN157" s="208">
        <v>49941</v>
      </c>
      <c r="FO157" s="208">
        <v>5549</v>
      </c>
      <c r="FP157" s="208">
        <v>13397</v>
      </c>
      <c r="FQ157" s="208">
        <v>2627</v>
      </c>
      <c r="FR157" s="208">
        <v>292</v>
      </c>
      <c r="FS157" s="208">
        <v>0</v>
      </c>
      <c r="FT157" s="208">
        <v>0</v>
      </c>
      <c r="FU157" s="208">
        <v>0</v>
      </c>
      <c r="FV157" s="208">
        <v>0</v>
      </c>
      <c r="FW157" s="208">
        <v>0</v>
      </c>
      <c r="FX157" s="208">
        <v>0</v>
      </c>
      <c r="FY157" s="208">
        <v>0</v>
      </c>
      <c r="FZ157" s="208">
        <v>0</v>
      </c>
      <c r="GA157" s="208">
        <v>0</v>
      </c>
      <c r="GB157" s="208">
        <v>1691398</v>
      </c>
      <c r="GC157" s="208">
        <v>311229</v>
      </c>
      <c r="GD157" s="208">
        <v>34580</v>
      </c>
      <c r="GE157" s="664">
        <v>0.5</v>
      </c>
      <c r="GF157" s="664">
        <v>0.4</v>
      </c>
      <c r="GG157" s="664">
        <v>0.09</v>
      </c>
      <c r="GH157" s="664">
        <v>0.01</v>
      </c>
      <c r="GI157" s="187" t="s">
        <v>1054</v>
      </c>
    </row>
    <row r="158" spans="1:191" s="187" customFormat="1" x14ac:dyDescent="0.2">
      <c r="B158" s="429" t="s">
        <v>393</v>
      </c>
      <c r="C158" s="429" t="s">
        <v>392</v>
      </c>
      <c r="D158" s="208">
        <v>3815031</v>
      </c>
      <c r="E158" s="208">
        <v>0</v>
      </c>
      <c r="F158" s="208">
        <v>3815031</v>
      </c>
      <c r="G158" s="208">
        <v>7198364</v>
      </c>
      <c r="H158" s="208">
        <v>0</v>
      </c>
      <c r="I158" s="208">
        <v>7198364</v>
      </c>
      <c r="J158" s="208">
        <v>-3383333</v>
      </c>
      <c r="K158" s="208">
        <v>0</v>
      </c>
      <c r="L158" s="208">
        <v>-3383333</v>
      </c>
      <c r="M158" s="208">
        <v>305024</v>
      </c>
      <c r="N158" s="208">
        <v>305024</v>
      </c>
      <c r="O158" s="208">
        <v>0</v>
      </c>
      <c r="P158" s="208">
        <v>0</v>
      </c>
      <c r="Q158" s="208">
        <v>0</v>
      </c>
      <c r="R158" s="208">
        <v>0</v>
      </c>
      <c r="S158" s="208">
        <v>0</v>
      </c>
      <c r="T158" s="208">
        <v>0</v>
      </c>
      <c r="U158" s="208">
        <v>0</v>
      </c>
      <c r="V158" s="208">
        <v>0</v>
      </c>
      <c r="W158" s="208">
        <v>0</v>
      </c>
      <c r="X158" s="208">
        <v>0</v>
      </c>
      <c r="Y158" s="208">
        <v>0</v>
      </c>
      <c r="Z158" s="208">
        <v>0</v>
      </c>
      <c r="AA158" s="208">
        <v>0</v>
      </c>
      <c r="AB158" s="208">
        <v>0</v>
      </c>
      <c r="AC158" s="208">
        <v>0</v>
      </c>
      <c r="AD158" s="208">
        <v>0</v>
      </c>
      <c r="AE158" s="208">
        <v>0</v>
      </c>
      <c r="AF158" s="208">
        <v>0</v>
      </c>
      <c r="AG158" s="208">
        <v>0</v>
      </c>
      <c r="AH158" s="208">
        <v>0</v>
      </c>
      <c r="AI158" s="208">
        <v>0</v>
      </c>
      <c r="AJ158" s="208">
        <v>0</v>
      </c>
      <c r="AK158" s="208">
        <v>0</v>
      </c>
      <c r="AL158" s="208">
        <v>0</v>
      </c>
      <c r="AM158" s="208">
        <v>0</v>
      </c>
      <c r="AN158" s="208">
        <v>0</v>
      </c>
      <c r="AO158" s="208">
        <v>0</v>
      </c>
      <c r="AP158" s="208">
        <v>0</v>
      </c>
      <c r="AQ158" s="208">
        <v>0</v>
      </c>
      <c r="AR158" s="208">
        <v>0</v>
      </c>
      <c r="AS158" s="208">
        <v>0</v>
      </c>
      <c r="AT158" s="208">
        <v>0</v>
      </c>
      <c r="AU158" s="208">
        <v>0</v>
      </c>
      <c r="AV158" s="208">
        <v>0</v>
      </c>
      <c r="AW158" s="208">
        <v>0</v>
      </c>
      <c r="AX158" s="208">
        <v>0</v>
      </c>
      <c r="AY158" s="208">
        <v>0</v>
      </c>
      <c r="AZ158" s="208">
        <v>0</v>
      </c>
      <c r="BA158" s="208">
        <v>0</v>
      </c>
      <c r="BB158" s="208">
        <v>0</v>
      </c>
      <c r="BC158" s="208">
        <v>0</v>
      </c>
      <c r="BD158" s="208">
        <v>0</v>
      </c>
      <c r="BE158" s="208">
        <v>0</v>
      </c>
      <c r="BF158" s="208">
        <v>0</v>
      </c>
      <c r="BG158" s="208">
        <v>0</v>
      </c>
      <c r="BH158" s="208">
        <v>0</v>
      </c>
      <c r="BI158" s="208">
        <v>0</v>
      </c>
      <c r="BJ158" s="208">
        <v>0</v>
      </c>
      <c r="BK158" s="208">
        <v>0</v>
      </c>
      <c r="BL158" s="208">
        <v>0</v>
      </c>
      <c r="BM158" s="208">
        <v>0</v>
      </c>
      <c r="BN158" s="208">
        <v>0</v>
      </c>
      <c r="BO158" s="208">
        <v>3603944.5643360005</v>
      </c>
      <c r="BP158" s="208">
        <v>2027218.8174390001</v>
      </c>
      <c r="BQ158" s="208">
        <v>0</v>
      </c>
      <c r="BR158" s="208">
        <v>154508</v>
      </c>
      <c r="BS158" s="208">
        <v>86911</v>
      </c>
      <c r="BT158" s="208">
        <v>0</v>
      </c>
      <c r="BU158" s="208">
        <v>3450108</v>
      </c>
      <c r="BV158" s="208">
        <v>1940685</v>
      </c>
      <c r="BW158" s="208">
        <v>0</v>
      </c>
      <c r="BX158" s="208">
        <v>308345</v>
      </c>
      <c r="BY158" s="208">
        <v>173445</v>
      </c>
      <c r="BZ158" s="208">
        <v>0</v>
      </c>
      <c r="CA158" s="208">
        <v>0</v>
      </c>
      <c r="CB158" s="208">
        <v>0</v>
      </c>
      <c r="CC158" s="208">
        <v>0</v>
      </c>
      <c r="CD158" s="208">
        <v>0</v>
      </c>
      <c r="CE158" s="208">
        <v>0</v>
      </c>
      <c r="CF158" s="208">
        <v>0</v>
      </c>
      <c r="CG158" s="208">
        <v>0</v>
      </c>
      <c r="CH158" s="208">
        <v>0</v>
      </c>
      <c r="CI158" s="208">
        <v>0</v>
      </c>
      <c r="CJ158" s="208">
        <v>-6469.4160000000002</v>
      </c>
      <c r="CK158" s="208">
        <v>-3639.0464999999999</v>
      </c>
      <c r="CL158" s="208">
        <v>0</v>
      </c>
      <c r="CM158" s="208">
        <v>0</v>
      </c>
      <c r="CN158" s="208">
        <v>0</v>
      </c>
      <c r="CO158" s="208">
        <v>0</v>
      </c>
      <c r="CP158" s="208">
        <v>271.03200000000004</v>
      </c>
      <c r="CQ158" s="208">
        <v>152.4555</v>
      </c>
      <c r="CR158" s="208">
        <v>0</v>
      </c>
      <c r="CS158" s="208">
        <v>0</v>
      </c>
      <c r="CT158" s="208">
        <v>0</v>
      </c>
      <c r="CU158" s="208">
        <v>0</v>
      </c>
      <c r="CV158" s="208">
        <v>0</v>
      </c>
      <c r="CW158" s="208">
        <v>0</v>
      </c>
      <c r="CX158" s="208">
        <v>0</v>
      </c>
      <c r="CY158" s="208">
        <v>0</v>
      </c>
      <c r="CZ158" s="208">
        <v>0</v>
      </c>
      <c r="DA158" s="208">
        <v>0</v>
      </c>
      <c r="DB158" s="208">
        <v>0</v>
      </c>
      <c r="DC158" s="208">
        <v>0</v>
      </c>
      <c r="DD158" s="208">
        <v>0</v>
      </c>
      <c r="DE158" s="208">
        <v>0</v>
      </c>
      <c r="DF158" s="208">
        <v>0</v>
      </c>
      <c r="DG158" s="208">
        <v>0</v>
      </c>
      <c r="DH158" s="208">
        <v>0</v>
      </c>
      <c r="DI158" s="208">
        <v>0</v>
      </c>
      <c r="DJ158" s="208">
        <v>0</v>
      </c>
      <c r="DK158" s="208">
        <v>0</v>
      </c>
      <c r="DL158" s="208">
        <v>0</v>
      </c>
      <c r="DM158" s="208">
        <v>0</v>
      </c>
      <c r="DN158" s="208">
        <v>0</v>
      </c>
      <c r="DO158" s="208">
        <v>0</v>
      </c>
      <c r="DP158" s="208">
        <v>0</v>
      </c>
      <c r="DQ158" s="208">
        <v>0</v>
      </c>
      <c r="DR158" s="208">
        <v>0</v>
      </c>
      <c r="DS158" s="208">
        <v>0</v>
      </c>
      <c r="DT158" s="208">
        <v>0</v>
      </c>
      <c r="DU158" s="208">
        <v>0</v>
      </c>
      <c r="DV158" s="208">
        <v>0</v>
      </c>
      <c r="DW158" s="208">
        <v>98853.357333333333</v>
      </c>
      <c r="DX158" s="208">
        <v>55605.013499999994</v>
      </c>
      <c r="DY158" s="208">
        <v>0</v>
      </c>
      <c r="DZ158" s="208">
        <v>113142</v>
      </c>
      <c r="EA158" s="208">
        <v>63642</v>
      </c>
      <c r="EB158" s="208">
        <v>0</v>
      </c>
      <c r="EC158" s="208">
        <v>-14289</v>
      </c>
      <c r="ED158" s="208">
        <v>-8037</v>
      </c>
      <c r="EE158" s="208">
        <v>0</v>
      </c>
      <c r="EF158" s="208">
        <v>225205.33333333331</v>
      </c>
      <c r="EG158" s="208">
        <v>126677.99999999999</v>
      </c>
      <c r="EH158" s="208">
        <v>0</v>
      </c>
      <c r="EI158" s="208">
        <v>-2564.9839999999999</v>
      </c>
      <c r="EJ158" s="208">
        <v>-1442.8035</v>
      </c>
      <c r="EK158" s="208">
        <v>0</v>
      </c>
      <c r="EL158" s="208">
        <v>0</v>
      </c>
      <c r="EM158" s="208">
        <v>0</v>
      </c>
      <c r="EN158" s="208">
        <v>0</v>
      </c>
      <c r="EO158" s="208">
        <v>222640</v>
      </c>
      <c r="EP158" s="208">
        <v>125235</v>
      </c>
      <c r="EQ158" s="208">
        <v>0</v>
      </c>
      <c r="ER158" s="208">
        <v>30453.129333333331</v>
      </c>
      <c r="ES158" s="208">
        <v>17129.885249999999</v>
      </c>
      <c r="ET158" s="208">
        <v>0</v>
      </c>
      <c r="EU158" s="208">
        <v>22258</v>
      </c>
      <c r="EV158" s="208">
        <v>12521</v>
      </c>
      <c r="EW158" s="208">
        <v>0</v>
      </c>
      <c r="EX158" s="208">
        <v>8195</v>
      </c>
      <c r="EY158" s="208">
        <v>4609</v>
      </c>
      <c r="EZ158" s="208">
        <v>0</v>
      </c>
      <c r="FA158" s="208">
        <v>0</v>
      </c>
      <c r="FB158" s="208">
        <v>0</v>
      </c>
      <c r="FC158" s="208">
        <v>0</v>
      </c>
      <c r="FD158" s="208">
        <v>0</v>
      </c>
      <c r="FE158" s="208">
        <v>0</v>
      </c>
      <c r="FF158" s="208">
        <v>0</v>
      </c>
      <c r="FG158" s="208">
        <v>0</v>
      </c>
      <c r="FH158" s="208">
        <v>0</v>
      </c>
      <c r="FI158" s="208">
        <v>0</v>
      </c>
      <c r="FJ158" s="208">
        <v>954356.11333333328</v>
      </c>
      <c r="FK158" s="208">
        <v>536825.31374999986</v>
      </c>
      <c r="FL158" s="208">
        <v>0</v>
      </c>
      <c r="FM158" s="208">
        <v>990487</v>
      </c>
      <c r="FN158" s="208">
        <v>557149</v>
      </c>
      <c r="FO158" s="208">
        <v>0</v>
      </c>
      <c r="FP158" s="208">
        <v>-36131</v>
      </c>
      <c r="FQ158" s="208">
        <v>-20324</v>
      </c>
      <c r="FR158" s="208">
        <v>0</v>
      </c>
      <c r="FS158" s="208">
        <v>0</v>
      </c>
      <c r="FT158" s="208">
        <v>0</v>
      </c>
      <c r="FU158" s="208">
        <v>0</v>
      </c>
      <c r="FV158" s="208">
        <v>0</v>
      </c>
      <c r="FW158" s="208">
        <v>0</v>
      </c>
      <c r="FX158" s="208">
        <v>0</v>
      </c>
      <c r="FY158" s="208">
        <v>0</v>
      </c>
      <c r="FZ158" s="208">
        <v>0</v>
      </c>
      <c r="GA158" s="208">
        <v>0</v>
      </c>
      <c r="GB158" s="208">
        <v>5058557</v>
      </c>
      <c r="GC158" s="208">
        <v>2845438</v>
      </c>
      <c r="GD158" s="208">
        <v>0</v>
      </c>
      <c r="GE158" s="664">
        <v>0</v>
      </c>
      <c r="GF158" s="664">
        <v>0.64</v>
      </c>
      <c r="GG158" s="664">
        <v>0.36</v>
      </c>
      <c r="GH158" s="664">
        <v>0</v>
      </c>
      <c r="GI158" s="187" t="s">
        <v>1057</v>
      </c>
    </row>
    <row r="159" spans="1:191" s="187" customFormat="1" x14ac:dyDescent="0.2">
      <c r="B159" s="429" t="s">
        <v>395</v>
      </c>
      <c r="C159" s="429" t="s">
        <v>394</v>
      </c>
      <c r="D159" s="208">
        <v>248996</v>
      </c>
      <c r="E159" s="208">
        <v>0</v>
      </c>
      <c r="F159" s="208">
        <v>248996</v>
      </c>
      <c r="G159" s="208">
        <v>525963</v>
      </c>
      <c r="H159" s="208">
        <v>0</v>
      </c>
      <c r="I159" s="208">
        <v>525963</v>
      </c>
      <c r="J159" s="208">
        <v>-276967</v>
      </c>
      <c r="K159" s="208">
        <v>0</v>
      </c>
      <c r="L159" s="208">
        <v>-276967</v>
      </c>
      <c r="M159" s="208">
        <v>123519</v>
      </c>
      <c r="N159" s="208">
        <v>123519</v>
      </c>
      <c r="O159" s="208">
        <v>0</v>
      </c>
      <c r="P159" s="208">
        <v>0</v>
      </c>
      <c r="Q159" s="208">
        <v>0</v>
      </c>
      <c r="R159" s="208">
        <v>0</v>
      </c>
      <c r="S159" s="208">
        <v>0</v>
      </c>
      <c r="T159" s="208">
        <v>0</v>
      </c>
      <c r="U159" s="208">
        <v>0</v>
      </c>
      <c r="V159" s="208">
        <v>0</v>
      </c>
      <c r="W159" s="208">
        <v>0</v>
      </c>
      <c r="X159" s="208">
        <v>0</v>
      </c>
      <c r="Y159" s="208">
        <v>0</v>
      </c>
      <c r="Z159" s="208">
        <v>0</v>
      </c>
      <c r="AA159" s="208">
        <v>0</v>
      </c>
      <c r="AB159" s="208">
        <v>0</v>
      </c>
      <c r="AC159" s="208">
        <v>0</v>
      </c>
      <c r="AD159" s="208">
        <v>0</v>
      </c>
      <c r="AE159" s="208">
        <v>0</v>
      </c>
      <c r="AF159" s="208">
        <v>0</v>
      </c>
      <c r="AG159" s="208">
        <v>0</v>
      </c>
      <c r="AH159" s="208">
        <v>0</v>
      </c>
      <c r="AI159" s="208">
        <v>0</v>
      </c>
      <c r="AJ159" s="208">
        <v>0</v>
      </c>
      <c r="AK159" s="208">
        <v>0</v>
      </c>
      <c r="AL159" s="208">
        <v>0</v>
      </c>
      <c r="AM159" s="208">
        <v>0</v>
      </c>
      <c r="AN159" s="208">
        <v>0</v>
      </c>
      <c r="AO159" s="208">
        <v>0</v>
      </c>
      <c r="AP159" s="208">
        <v>0</v>
      </c>
      <c r="AQ159" s="208">
        <v>0</v>
      </c>
      <c r="AR159" s="208">
        <v>0</v>
      </c>
      <c r="AS159" s="208">
        <v>0</v>
      </c>
      <c r="AT159" s="208">
        <v>0</v>
      </c>
      <c r="AU159" s="208">
        <v>0</v>
      </c>
      <c r="AV159" s="208">
        <v>0</v>
      </c>
      <c r="AW159" s="208">
        <v>0</v>
      </c>
      <c r="AX159" s="208">
        <v>0</v>
      </c>
      <c r="AY159" s="208">
        <v>0</v>
      </c>
      <c r="AZ159" s="208">
        <v>0</v>
      </c>
      <c r="BA159" s="208">
        <v>0</v>
      </c>
      <c r="BB159" s="208">
        <v>0</v>
      </c>
      <c r="BC159" s="208">
        <v>0</v>
      </c>
      <c r="BD159" s="208">
        <v>0</v>
      </c>
      <c r="BE159" s="208">
        <v>0</v>
      </c>
      <c r="BF159" s="208">
        <v>0</v>
      </c>
      <c r="BG159" s="208">
        <v>0</v>
      </c>
      <c r="BH159" s="208">
        <v>0</v>
      </c>
      <c r="BI159" s="208">
        <v>0</v>
      </c>
      <c r="BJ159" s="208">
        <v>0</v>
      </c>
      <c r="BK159" s="208">
        <v>0</v>
      </c>
      <c r="BL159" s="208">
        <v>0</v>
      </c>
      <c r="BM159" s="208">
        <v>0</v>
      </c>
      <c r="BN159" s="208">
        <v>0</v>
      </c>
      <c r="BO159" s="208">
        <v>937866.74118750007</v>
      </c>
      <c r="BP159" s="208">
        <v>211020.01676718745</v>
      </c>
      <c r="BQ159" s="208">
        <v>23446.6685296875</v>
      </c>
      <c r="BR159" s="208">
        <v>69175</v>
      </c>
      <c r="BS159" s="208">
        <v>15564</v>
      </c>
      <c r="BT159" s="208">
        <v>1729</v>
      </c>
      <c r="BU159" s="208">
        <v>914137</v>
      </c>
      <c r="BV159" s="208">
        <v>205681</v>
      </c>
      <c r="BW159" s="208">
        <v>22853</v>
      </c>
      <c r="BX159" s="208">
        <v>92905</v>
      </c>
      <c r="BY159" s="208">
        <v>20903</v>
      </c>
      <c r="BZ159" s="208">
        <v>2323</v>
      </c>
      <c r="CA159" s="208">
        <v>55669.989166666674</v>
      </c>
      <c r="CB159" s="208">
        <v>12525.747562500001</v>
      </c>
      <c r="CC159" s="208">
        <v>1391.7497291666666</v>
      </c>
      <c r="CD159" s="208">
        <v>5310</v>
      </c>
      <c r="CE159" s="208">
        <v>1195</v>
      </c>
      <c r="CF159" s="208">
        <v>133</v>
      </c>
      <c r="CG159" s="208">
        <v>50360</v>
      </c>
      <c r="CH159" s="208">
        <v>11331</v>
      </c>
      <c r="CI159" s="208">
        <v>1259</v>
      </c>
      <c r="CJ159" s="208">
        <v>0</v>
      </c>
      <c r="CK159" s="208">
        <v>0</v>
      </c>
      <c r="CL159" s="208">
        <v>0</v>
      </c>
      <c r="CM159" s="208">
        <v>0</v>
      </c>
      <c r="CN159" s="208">
        <v>0</v>
      </c>
      <c r="CO159" s="208">
        <v>0</v>
      </c>
      <c r="CP159" s="208">
        <v>-630.11666666666679</v>
      </c>
      <c r="CQ159" s="208">
        <v>-141.77625</v>
      </c>
      <c r="CR159" s="208">
        <v>-15.752916666666668</v>
      </c>
      <c r="CS159" s="208">
        <v>0</v>
      </c>
      <c r="CT159" s="208">
        <v>0</v>
      </c>
      <c r="CU159" s="208">
        <v>0</v>
      </c>
      <c r="CV159" s="208">
        <v>0</v>
      </c>
      <c r="CW159" s="208">
        <v>0</v>
      </c>
      <c r="CX159" s="208">
        <v>0</v>
      </c>
      <c r="CY159" s="208">
        <v>0</v>
      </c>
      <c r="CZ159" s="208">
        <v>0</v>
      </c>
      <c r="DA159" s="208">
        <v>0</v>
      </c>
      <c r="DB159" s="208">
        <v>0</v>
      </c>
      <c r="DC159" s="208">
        <v>0</v>
      </c>
      <c r="DD159" s="208">
        <v>0</v>
      </c>
      <c r="DE159" s="208">
        <v>1442.3125</v>
      </c>
      <c r="DF159" s="208">
        <v>324.52031249999999</v>
      </c>
      <c r="DG159" s="208">
        <v>36.057812500000004</v>
      </c>
      <c r="DH159" s="208">
        <v>993</v>
      </c>
      <c r="DI159" s="208">
        <v>224</v>
      </c>
      <c r="DJ159" s="208">
        <v>25</v>
      </c>
      <c r="DK159" s="208">
        <v>449</v>
      </c>
      <c r="DL159" s="208">
        <v>101</v>
      </c>
      <c r="DM159" s="208">
        <v>11</v>
      </c>
      <c r="DN159" s="208">
        <v>0</v>
      </c>
      <c r="DO159" s="208">
        <v>0</v>
      </c>
      <c r="DP159" s="208">
        <v>0</v>
      </c>
      <c r="DQ159" s="208">
        <v>0</v>
      </c>
      <c r="DR159" s="208">
        <v>0</v>
      </c>
      <c r="DS159" s="208">
        <v>0</v>
      </c>
      <c r="DT159" s="208">
        <v>0</v>
      </c>
      <c r="DU159" s="208">
        <v>0</v>
      </c>
      <c r="DV159" s="208">
        <v>0</v>
      </c>
      <c r="DW159" s="208">
        <v>9650.6050000000014</v>
      </c>
      <c r="DX159" s="208">
        <v>2171.386125</v>
      </c>
      <c r="DY159" s="208">
        <v>241.26512499999998</v>
      </c>
      <c r="DZ159" s="208">
        <v>11099</v>
      </c>
      <c r="EA159" s="208">
        <v>2497</v>
      </c>
      <c r="EB159" s="208">
        <v>277</v>
      </c>
      <c r="EC159" s="208">
        <v>-1448</v>
      </c>
      <c r="ED159" s="208">
        <v>-326</v>
      </c>
      <c r="EE159" s="208">
        <v>-36</v>
      </c>
      <c r="EF159" s="208">
        <v>50624.145833333336</v>
      </c>
      <c r="EG159" s="208">
        <v>11390.432812499999</v>
      </c>
      <c r="EH159" s="208">
        <v>1265.6036458333333</v>
      </c>
      <c r="EI159" s="208">
        <v>-877.66250000000002</v>
      </c>
      <c r="EJ159" s="208">
        <v>-197.4740625</v>
      </c>
      <c r="EK159" s="208">
        <v>-21.9415625</v>
      </c>
      <c r="EL159" s="208">
        <v>51555</v>
      </c>
      <c r="EM159" s="208">
        <v>11600</v>
      </c>
      <c r="EN159" s="208">
        <v>1289</v>
      </c>
      <c r="EO159" s="208">
        <v>-1809</v>
      </c>
      <c r="EP159" s="208">
        <v>-407</v>
      </c>
      <c r="EQ159" s="208">
        <v>-45</v>
      </c>
      <c r="ER159" s="208">
        <v>13360.110000000002</v>
      </c>
      <c r="ES159" s="208">
        <v>3006.02475</v>
      </c>
      <c r="ET159" s="208">
        <v>334.00275000000005</v>
      </c>
      <c r="EU159" s="208">
        <v>19031</v>
      </c>
      <c r="EV159" s="208">
        <v>4282</v>
      </c>
      <c r="EW159" s="208">
        <v>476</v>
      </c>
      <c r="EX159" s="208">
        <v>-5671</v>
      </c>
      <c r="EY159" s="208">
        <v>-1276</v>
      </c>
      <c r="EZ159" s="208">
        <v>-142</v>
      </c>
      <c r="FA159" s="208">
        <v>0</v>
      </c>
      <c r="FB159" s="208">
        <v>0</v>
      </c>
      <c r="FC159" s="208">
        <v>0</v>
      </c>
      <c r="FD159" s="208">
        <v>0</v>
      </c>
      <c r="FE159" s="208">
        <v>0</v>
      </c>
      <c r="FF159" s="208">
        <v>0</v>
      </c>
      <c r="FG159" s="208">
        <v>0</v>
      </c>
      <c r="FH159" s="208">
        <v>0</v>
      </c>
      <c r="FI159" s="208">
        <v>0</v>
      </c>
      <c r="FJ159" s="208">
        <v>339286.81416666665</v>
      </c>
      <c r="FK159" s="208">
        <v>76339.533187499997</v>
      </c>
      <c r="FL159" s="208">
        <v>8482.1703541666666</v>
      </c>
      <c r="FM159" s="208">
        <v>333236</v>
      </c>
      <c r="FN159" s="208">
        <v>74978</v>
      </c>
      <c r="FO159" s="208">
        <v>8331</v>
      </c>
      <c r="FP159" s="208">
        <v>6051</v>
      </c>
      <c r="FQ159" s="208">
        <v>1362</v>
      </c>
      <c r="FR159" s="208">
        <v>151</v>
      </c>
      <c r="FS159" s="208">
        <v>0</v>
      </c>
      <c r="FT159" s="208">
        <v>0</v>
      </c>
      <c r="FU159" s="208">
        <v>0</v>
      </c>
      <c r="FV159" s="208">
        <v>0</v>
      </c>
      <c r="FW159" s="208">
        <v>0</v>
      </c>
      <c r="FX159" s="208">
        <v>0</v>
      </c>
      <c r="FY159" s="208">
        <v>0</v>
      </c>
      <c r="FZ159" s="208">
        <v>0</v>
      </c>
      <c r="GA159" s="208">
        <v>0</v>
      </c>
      <c r="GB159" s="208">
        <v>1475568</v>
      </c>
      <c r="GC159" s="208">
        <v>332003</v>
      </c>
      <c r="GD159" s="208">
        <v>36889</v>
      </c>
      <c r="GE159" s="664">
        <v>0.5</v>
      </c>
      <c r="GF159" s="664">
        <v>0.4</v>
      </c>
      <c r="GG159" s="664">
        <v>0.09</v>
      </c>
      <c r="GH159" s="664">
        <v>0.01</v>
      </c>
      <c r="GI159" s="187" t="s">
        <v>1054</v>
      </c>
    </row>
    <row r="160" spans="1:191" s="187" customFormat="1" x14ac:dyDescent="0.2">
      <c r="B160" s="429" t="s">
        <v>397</v>
      </c>
      <c r="C160" s="429" t="s">
        <v>396</v>
      </c>
      <c r="D160" s="208">
        <v>-34501</v>
      </c>
      <c r="E160" s="208">
        <v>0</v>
      </c>
      <c r="F160" s="208">
        <v>-34501</v>
      </c>
      <c r="G160" s="208">
        <v>-274491</v>
      </c>
      <c r="H160" s="208">
        <v>0</v>
      </c>
      <c r="I160" s="208">
        <v>-274491</v>
      </c>
      <c r="J160" s="208">
        <v>239990</v>
      </c>
      <c r="K160" s="208">
        <v>0</v>
      </c>
      <c r="L160" s="208">
        <v>239990</v>
      </c>
      <c r="M160" s="208">
        <v>144939</v>
      </c>
      <c r="N160" s="208">
        <v>144939</v>
      </c>
      <c r="O160" s="208">
        <v>0</v>
      </c>
      <c r="P160" s="208">
        <v>0</v>
      </c>
      <c r="Q160" s="208">
        <v>0</v>
      </c>
      <c r="R160" s="208">
        <v>0</v>
      </c>
      <c r="S160" s="208">
        <v>0</v>
      </c>
      <c r="T160" s="208">
        <v>0</v>
      </c>
      <c r="U160" s="208">
        <v>0</v>
      </c>
      <c r="V160" s="208">
        <v>0</v>
      </c>
      <c r="W160" s="208">
        <v>0</v>
      </c>
      <c r="X160" s="208">
        <v>0</v>
      </c>
      <c r="Y160" s="208">
        <v>0</v>
      </c>
      <c r="Z160" s="208">
        <v>0</v>
      </c>
      <c r="AA160" s="208">
        <v>0</v>
      </c>
      <c r="AB160" s="208">
        <v>0</v>
      </c>
      <c r="AC160" s="208">
        <v>0</v>
      </c>
      <c r="AD160" s="208">
        <v>0</v>
      </c>
      <c r="AE160" s="208">
        <v>0</v>
      </c>
      <c r="AF160" s="208">
        <v>0</v>
      </c>
      <c r="AG160" s="208">
        <v>0</v>
      </c>
      <c r="AH160" s="208">
        <v>0</v>
      </c>
      <c r="AI160" s="208">
        <v>0</v>
      </c>
      <c r="AJ160" s="208">
        <v>0</v>
      </c>
      <c r="AK160" s="208">
        <v>0</v>
      </c>
      <c r="AL160" s="208">
        <v>0</v>
      </c>
      <c r="AM160" s="208">
        <v>0</v>
      </c>
      <c r="AN160" s="208">
        <v>0</v>
      </c>
      <c r="AO160" s="208">
        <v>0</v>
      </c>
      <c r="AP160" s="208">
        <v>0</v>
      </c>
      <c r="AQ160" s="208">
        <v>0</v>
      </c>
      <c r="AR160" s="208">
        <v>0</v>
      </c>
      <c r="AS160" s="208">
        <v>0</v>
      </c>
      <c r="AT160" s="208">
        <v>0</v>
      </c>
      <c r="AU160" s="208">
        <v>0</v>
      </c>
      <c r="AV160" s="208">
        <v>0</v>
      </c>
      <c r="AW160" s="208">
        <v>0</v>
      </c>
      <c r="AX160" s="208">
        <v>0</v>
      </c>
      <c r="AY160" s="208">
        <v>0</v>
      </c>
      <c r="AZ160" s="208">
        <v>0</v>
      </c>
      <c r="BA160" s="208">
        <v>0</v>
      </c>
      <c r="BB160" s="208">
        <v>0</v>
      </c>
      <c r="BC160" s="208">
        <v>0</v>
      </c>
      <c r="BD160" s="208">
        <v>0</v>
      </c>
      <c r="BE160" s="208">
        <v>0</v>
      </c>
      <c r="BF160" s="208">
        <v>0</v>
      </c>
      <c r="BG160" s="208">
        <v>0</v>
      </c>
      <c r="BH160" s="208">
        <v>0</v>
      </c>
      <c r="BI160" s="208">
        <v>0</v>
      </c>
      <c r="BJ160" s="208">
        <v>0</v>
      </c>
      <c r="BK160" s="208">
        <v>0</v>
      </c>
      <c r="BL160" s="208">
        <v>0</v>
      </c>
      <c r="BM160" s="208">
        <v>0</v>
      </c>
      <c r="BN160" s="208">
        <v>0</v>
      </c>
      <c r="BO160" s="208">
        <v>1465778.3106250002</v>
      </c>
      <c r="BP160" s="208">
        <v>977185.54041666666</v>
      </c>
      <c r="BQ160" s="208">
        <v>0</v>
      </c>
      <c r="BR160" s="208">
        <v>111240</v>
      </c>
      <c r="BS160" s="208">
        <v>74160</v>
      </c>
      <c r="BT160" s="208">
        <v>0</v>
      </c>
      <c r="BU160" s="208">
        <v>1350276</v>
      </c>
      <c r="BV160" s="208">
        <v>900185</v>
      </c>
      <c r="BW160" s="208">
        <v>0</v>
      </c>
      <c r="BX160" s="208">
        <v>226742</v>
      </c>
      <c r="BY160" s="208">
        <v>151161</v>
      </c>
      <c r="BZ160" s="208">
        <v>0</v>
      </c>
      <c r="CA160" s="208">
        <v>14644.688749999999</v>
      </c>
      <c r="CB160" s="208">
        <v>9763.1258333333335</v>
      </c>
      <c r="CC160" s="208">
        <v>0</v>
      </c>
      <c r="CD160" s="208">
        <v>13437</v>
      </c>
      <c r="CE160" s="208">
        <v>8957</v>
      </c>
      <c r="CF160" s="208">
        <v>0</v>
      </c>
      <c r="CG160" s="208">
        <v>1208</v>
      </c>
      <c r="CH160" s="208">
        <v>806</v>
      </c>
      <c r="CI160" s="208">
        <v>0</v>
      </c>
      <c r="CJ160" s="208">
        <v>-846.97500000000002</v>
      </c>
      <c r="CK160" s="208">
        <v>-564.65</v>
      </c>
      <c r="CL160" s="208">
        <v>0</v>
      </c>
      <c r="CM160" s="208">
        <v>-1429.4237499999999</v>
      </c>
      <c r="CN160" s="208">
        <v>-952.94916666666677</v>
      </c>
      <c r="CO160" s="208">
        <v>0</v>
      </c>
      <c r="CP160" s="208">
        <v>0</v>
      </c>
      <c r="CQ160" s="208">
        <v>0</v>
      </c>
      <c r="CR160" s="208">
        <v>0</v>
      </c>
      <c r="CS160" s="208">
        <v>0</v>
      </c>
      <c r="CT160" s="208">
        <v>0</v>
      </c>
      <c r="CU160" s="208">
        <v>0</v>
      </c>
      <c r="CV160" s="208">
        <v>0</v>
      </c>
      <c r="CW160" s="208">
        <v>0</v>
      </c>
      <c r="CX160" s="208">
        <v>0</v>
      </c>
      <c r="CY160" s="208">
        <v>0</v>
      </c>
      <c r="CZ160" s="208">
        <v>0</v>
      </c>
      <c r="DA160" s="208">
        <v>0</v>
      </c>
      <c r="DB160" s="208">
        <v>0</v>
      </c>
      <c r="DC160" s="208">
        <v>0</v>
      </c>
      <c r="DD160" s="208">
        <v>0</v>
      </c>
      <c r="DE160" s="208">
        <v>1984.2537499999999</v>
      </c>
      <c r="DF160" s="208">
        <v>1322.8358333333335</v>
      </c>
      <c r="DG160" s="208">
        <v>0</v>
      </c>
      <c r="DH160" s="208">
        <v>0</v>
      </c>
      <c r="DI160" s="208">
        <v>0</v>
      </c>
      <c r="DJ160" s="208">
        <v>0</v>
      </c>
      <c r="DK160" s="208">
        <v>1984</v>
      </c>
      <c r="DL160" s="208">
        <v>1323</v>
      </c>
      <c r="DM160" s="208">
        <v>0</v>
      </c>
      <c r="DN160" s="208">
        <v>-1841.25</v>
      </c>
      <c r="DO160" s="208">
        <v>-1227.5</v>
      </c>
      <c r="DP160" s="208">
        <v>0</v>
      </c>
      <c r="DQ160" s="208">
        <v>920</v>
      </c>
      <c r="DR160" s="208">
        <v>614</v>
      </c>
      <c r="DS160" s="208">
        <v>0</v>
      </c>
      <c r="DT160" s="208">
        <v>-2761</v>
      </c>
      <c r="DU160" s="208">
        <v>-1842</v>
      </c>
      <c r="DV160" s="208">
        <v>0</v>
      </c>
      <c r="DW160" s="208">
        <v>3972.80375</v>
      </c>
      <c r="DX160" s="208">
        <v>2648.5358333333334</v>
      </c>
      <c r="DY160" s="208">
        <v>0</v>
      </c>
      <c r="DZ160" s="208">
        <v>3400</v>
      </c>
      <c r="EA160" s="208">
        <v>2266</v>
      </c>
      <c r="EB160" s="208">
        <v>0</v>
      </c>
      <c r="EC160" s="208">
        <v>573</v>
      </c>
      <c r="ED160" s="208">
        <v>383</v>
      </c>
      <c r="EE160" s="208">
        <v>0</v>
      </c>
      <c r="EF160" s="208">
        <v>57656.28875</v>
      </c>
      <c r="EG160" s="208">
        <v>38437.52583333334</v>
      </c>
      <c r="EH160" s="208">
        <v>0</v>
      </c>
      <c r="EI160" s="208">
        <v>51094.6875</v>
      </c>
      <c r="EJ160" s="208">
        <v>34063.125</v>
      </c>
      <c r="EK160" s="208">
        <v>0</v>
      </c>
      <c r="EL160" s="208">
        <v>58920</v>
      </c>
      <c r="EM160" s="208">
        <v>39280</v>
      </c>
      <c r="EN160" s="208">
        <v>0</v>
      </c>
      <c r="EO160" s="208">
        <v>49831</v>
      </c>
      <c r="EP160" s="208">
        <v>33221</v>
      </c>
      <c r="EQ160" s="208">
        <v>0</v>
      </c>
      <c r="ER160" s="208">
        <v>15036.874999999998</v>
      </c>
      <c r="ES160" s="208">
        <v>10024.583333333334</v>
      </c>
      <c r="ET160" s="208">
        <v>0</v>
      </c>
      <c r="EU160" s="208">
        <v>42962</v>
      </c>
      <c r="EV160" s="208">
        <v>28642</v>
      </c>
      <c r="EW160" s="208">
        <v>0</v>
      </c>
      <c r="EX160" s="208">
        <v>-27925</v>
      </c>
      <c r="EY160" s="208">
        <v>-18617</v>
      </c>
      <c r="EZ160" s="208">
        <v>0</v>
      </c>
      <c r="FA160" s="208">
        <v>0</v>
      </c>
      <c r="FB160" s="208">
        <v>0</v>
      </c>
      <c r="FC160" s="208">
        <v>0</v>
      </c>
      <c r="FD160" s="208">
        <v>0</v>
      </c>
      <c r="FE160" s="208">
        <v>0</v>
      </c>
      <c r="FF160" s="208">
        <v>0</v>
      </c>
      <c r="FG160" s="208">
        <v>0</v>
      </c>
      <c r="FH160" s="208">
        <v>0</v>
      </c>
      <c r="FI160" s="208">
        <v>0</v>
      </c>
      <c r="FJ160" s="208">
        <v>622954.04874999996</v>
      </c>
      <c r="FK160" s="208">
        <v>415302.69916666666</v>
      </c>
      <c r="FL160" s="208">
        <v>0</v>
      </c>
      <c r="FM160" s="208">
        <v>596567</v>
      </c>
      <c r="FN160" s="208">
        <v>397711</v>
      </c>
      <c r="FO160" s="208">
        <v>0</v>
      </c>
      <c r="FP160" s="208">
        <v>26387</v>
      </c>
      <c r="FQ160" s="208">
        <v>17592</v>
      </c>
      <c r="FR160" s="208">
        <v>0</v>
      </c>
      <c r="FS160" s="208">
        <v>0</v>
      </c>
      <c r="FT160" s="208">
        <v>0</v>
      </c>
      <c r="FU160" s="208">
        <v>0</v>
      </c>
      <c r="FV160" s="208">
        <v>0</v>
      </c>
      <c r="FW160" s="208">
        <v>0</v>
      </c>
      <c r="FX160" s="208">
        <v>0</v>
      </c>
      <c r="FY160" s="208">
        <v>0</v>
      </c>
      <c r="FZ160" s="208">
        <v>0</v>
      </c>
      <c r="GA160" s="208">
        <v>0</v>
      </c>
      <c r="GB160" s="208">
        <v>2340245</v>
      </c>
      <c r="GC160" s="208">
        <v>1560164</v>
      </c>
      <c r="GD160" s="208">
        <v>0</v>
      </c>
      <c r="GE160" s="664">
        <v>0</v>
      </c>
      <c r="GF160" s="664">
        <v>0.6</v>
      </c>
      <c r="GG160" s="664">
        <v>0.4</v>
      </c>
      <c r="GH160" s="664">
        <v>0</v>
      </c>
      <c r="GI160" s="187" t="s">
        <v>1054</v>
      </c>
    </row>
    <row r="161" spans="2:191" s="187" customFormat="1" x14ac:dyDescent="0.2">
      <c r="B161" s="429" t="s">
        <v>399</v>
      </c>
      <c r="C161" s="429" t="s">
        <v>398</v>
      </c>
      <c r="D161" s="208">
        <v>-2878447</v>
      </c>
      <c r="E161" s="208">
        <v>-926382</v>
      </c>
      <c r="F161" s="208">
        <v>-3804829</v>
      </c>
      <c r="G161" s="208">
        <v>-2999273</v>
      </c>
      <c r="H161" s="208">
        <v>-219138</v>
      </c>
      <c r="I161" s="208">
        <v>-3218411</v>
      </c>
      <c r="J161" s="208">
        <v>120826</v>
      </c>
      <c r="K161" s="208">
        <v>-707244</v>
      </c>
      <c r="L161" s="208">
        <v>-586418</v>
      </c>
      <c r="M161" s="208">
        <v>763373</v>
      </c>
      <c r="N161" s="208">
        <v>763373</v>
      </c>
      <c r="O161" s="208">
        <v>0</v>
      </c>
      <c r="P161" s="208">
        <v>0</v>
      </c>
      <c r="Q161" s="208">
        <v>0</v>
      </c>
      <c r="R161" s="208">
        <v>0</v>
      </c>
      <c r="S161" s="208">
        <v>0</v>
      </c>
      <c r="T161" s="208">
        <v>0</v>
      </c>
      <c r="U161" s="208">
        <v>0</v>
      </c>
      <c r="V161" s="208">
        <v>0</v>
      </c>
      <c r="W161" s="208">
        <v>0</v>
      </c>
      <c r="X161" s="208">
        <v>0</v>
      </c>
      <c r="Y161" s="208">
        <v>0</v>
      </c>
      <c r="Z161" s="208">
        <v>0</v>
      </c>
      <c r="AA161" s="208">
        <v>0</v>
      </c>
      <c r="AB161" s="208">
        <v>0</v>
      </c>
      <c r="AC161" s="208">
        <v>0</v>
      </c>
      <c r="AD161" s="208">
        <v>0</v>
      </c>
      <c r="AE161" s="208">
        <v>0</v>
      </c>
      <c r="AF161" s="208">
        <v>0</v>
      </c>
      <c r="AG161" s="208">
        <v>0</v>
      </c>
      <c r="AH161" s="208">
        <v>0</v>
      </c>
      <c r="AI161" s="208">
        <v>0</v>
      </c>
      <c r="AJ161" s="208">
        <v>0</v>
      </c>
      <c r="AK161" s="208">
        <v>0</v>
      </c>
      <c r="AL161" s="208">
        <v>0</v>
      </c>
      <c r="AM161" s="208">
        <v>0</v>
      </c>
      <c r="AN161" s="208">
        <v>0</v>
      </c>
      <c r="AO161" s="208">
        <v>0</v>
      </c>
      <c r="AP161" s="208">
        <v>0</v>
      </c>
      <c r="AQ161" s="208">
        <v>0</v>
      </c>
      <c r="AR161" s="208">
        <v>0</v>
      </c>
      <c r="AS161" s="208">
        <v>0</v>
      </c>
      <c r="AT161" s="208">
        <v>0</v>
      </c>
      <c r="AU161" s="208">
        <v>0</v>
      </c>
      <c r="AV161" s="208">
        <v>0</v>
      </c>
      <c r="AW161" s="208">
        <v>0</v>
      </c>
      <c r="AX161" s="208">
        <v>0</v>
      </c>
      <c r="AY161" s="208">
        <v>0</v>
      </c>
      <c r="AZ161" s="208">
        <v>0</v>
      </c>
      <c r="BA161" s="208">
        <v>0</v>
      </c>
      <c r="BB161" s="208">
        <v>0</v>
      </c>
      <c r="BC161" s="208">
        <v>0</v>
      </c>
      <c r="BD161" s="208">
        <v>0</v>
      </c>
      <c r="BE161" s="208">
        <v>0</v>
      </c>
      <c r="BF161" s="208">
        <v>0</v>
      </c>
      <c r="BG161" s="208">
        <v>0</v>
      </c>
      <c r="BH161" s="208">
        <v>0</v>
      </c>
      <c r="BI161" s="208">
        <v>0</v>
      </c>
      <c r="BJ161" s="208">
        <v>0</v>
      </c>
      <c r="BK161" s="208">
        <v>0</v>
      </c>
      <c r="BL161" s="208">
        <v>0</v>
      </c>
      <c r="BM161" s="208">
        <v>0</v>
      </c>
      <c r="BN161" s="208">
        <v>0</v>
      </c>
      <c r="BO161" s="208">
        <v>10161419.196141209</v>
      </c>
      <c r="BP161" s="208">
        <v>0</v>
      </c>
      <c r="BQ161" s="208">
        <v>95352.447975458359</v>
      </c>
      <c r="BR161" s="208">
        <v>757183</v>
      </c>
      <c r="BS161" s="208">
        <v>0</v>
      </c>
      <c r="BT161" s="208">
        <v>6551</v>
      </c>
      <c r="BU161" s="208">
        <v>9378917</v>
      </c>
      <c r="BV161" s="208">
        <v>0</v>
      </c>
      <c r="BW161" s="208">
        <v>87508</v>
      </c>
      <c r="BX161" s="208">
        <v>1539685</v>
      </c>
      <c r="BY161" s="208">
        <v>0</v>
      </c>
      <c r="BZ161" s="208">
        <v>14395</v>
      </c>
      <c r="CA161" s="208">
        <v>119476.88147916665</v>
      </c>
      <c r="CB161" s="208">
        <v>0</v>
      </c>
      <c r="CC161" s="208">
        <v>1192.5060208333332</v>
      </c>
      <c r="CD161" s="208">
        <v>139730</v>
      </c>
      <c r="CE161" s="208">
        <v>0</v>
      </c>
      <c r="CF161" s="208">
        <v>1304</v>
      </c>
      <c r="CG161" s="208">
        <v>-20253</v>
      </c>
      <c r="CH161" s="208">
        <v>0</v>
      </c>
      <c r="CI161" s="208">
        <v>-111</v>
      </c>
      <c r="CJ161" s="208">
        <v>647.10731249999992</v>
      </c>
      <c r="CK161" s="208">
        <v>0</v>
      </c>
      <c r="CL161" s="208">
        <v>6.5364374999999999</v>
      </c>
      <c r="CM161" s="208">
        <v>-1379.280375</v>
      </c>
      <c r="CN161" s="208">
        <v>0</v>
      </c>
      <c r="CO161" s="208">
        <v>-13.932125000000001</v>
      </c>
      <c r="CP161" s="208">
        <v>-11382.6075</v>
      </c>
      <c r="CQ161" s="208">
        <v>0</v>
      </c>
      <c r="CR161" s="208">
        <v>-114.97583333333334</v>
      </c>
      <c r="CS161" s="208">
        <v>0</v>
      </c>
      <c r="CT161" s="208">
        <v>0</v>
      </c>
      <c r="CU161" s="208">
        <v>0</v>
      </c>
      <c r="CV161" s="208">
        <v>0</v>
      </c>
      <c r="CW161" s="208">
        <v>0</v>
      </c>
      <c r="CX161" s="208">
        <v>0</v>
      </c>
      <c r="CY161" s="208">
        <v>0</v>
      </c>
      <c r="CZ161" s="208">
        <v>0</v>
      </c>
      <c r="DA161" s="208">
        <v>0</v>
      </c>
      <c r="DB161" s="208">
        <v>-457.73475000000002</v>
      </c>
      <c r="DC161" s="208">
        <v>0</v>
      </c>
      <c r="DD161" s="208">
        <v>-4.6235833333333334</v>
      </c>
      <c r="DE161" s="208">
        <v>0</v>
      </c>
      <c r="DF161" s="208">
        <v>0</v>
      </c>
      <c r="DG161" s="208">
        <v>0</v>
      </c>
      <c r="DH161" s="208">
        <v>0</v>
      </c>
      <c r="DI161" s="208">
        <v>0</v>
      </c>
      <c r="DJ161" s="208">
        <v>0</v>
      </c>
      <c r="DK161" s="208">
        <v>0</v>
      </c>
      <c r="DL161" s="208">
        <v>0</v>
      </c>
      <c r="DM161" s="208">
        <v>0</v>
      </c>
      <c r="DN161" s="208">
        <v>1519.03125</v>
      </c>
      <c r="DO161" s="208">
        <v>0</v>
      </c>
      <c r="DP161" s="208">
        <v>15.34375</v>
      </c>
      <c r="DQ161" s="208">
        <v>1519</v>
      </c>
      <c r="DR161" s="208">
        <v>0</v>
      </c>
      <c r="DS161" s="208">
        <v>15</v>
      </c>
      <c r="DT161" s="208">
        <v>0</v>
      </c>
      <c r="DU161" s="208">
        <v>0</v>
      </c>
      <c r="DV161" s="208">
        <v>0</v>
      </c>
      <c r="DW161" s="208">
        <v>92508.573500000013</v>
      </c>
      <c r="DX161" s="208">
        <v>0</v>
      </c>
      <c r="DY161" s="208">
        <v>846.89316666666673</v>
      </c>
      <c r="DZ161" s="208">
        <v>110808</v>
      </c>
      <c r="EA161" s="208">
        <v>0</v>
      </c>
      <c r="EB161" s="208">
        <v>1026</v>
      </c>
      <c r="EC161" s="208">
        <v>-18299</v>
      </c>
      <c r="ED161" s="208">
        <v>0</v>
      </c>
      <c r="EE161" s="208">
        <v>-179</v>
      </c>
      <c r="EF161" s="208">
        <v>561805.29943750007</v>
      </c>
      <c r="EG161" s="208">
        <v>0</v>
      </c>
      <c r="EH161" s="208">
        <v>4836.3193125000007</v>
      </c>
      <c r="EI161" s="208">
        <v>-26046.864645833335</v>
      </c>
      <c r="EJ161" s="208">
        <v>0</v>
      </c>
      <c r="EK161" s="208">
        <v>-268.68952083333335</v>
      </c>
      <c r="EL161" s="208">
        <v>563167</v>
      </c>
      <c r="EM161" s="208">
        <v>0</v>
      </c>
      <c r="EN161" s="208">
        <v>4552</v>
      </c>
      <c r="EO161" s="208">
        <v>-27409</v>
      </c>
      <c r="EP161" s="208">
        <v>0</v>
      </c>
      <c r="EQ161" s="208">
        <v>16</v>
      </c>
      <c r="ER161" s="208">
        <v>154144.11037499999</v>
      </c>
      <c r="ES161" s="208">
        <v>0</v>
      </c>
      <c r="ET161" s="208">
        <v>1344.3375416666668</v>
      </c>
      <c r="EU161" s="208">
        <v>185526</v>
      </c>
      <c r="EV161" s="208">
        <v>0</v>
      </c>
      <c r="EW161" s="208">
        <v>1667</v>
      </c>
      <c r="EX161" s="208">
        <v>-31382</v>
      </c>
      <c r="EY161" s="208">
        <v>0</v>
      </c>
      <c r="EZ161" s="208">
        <v>-323</v>
      </c>
      <c r="FA161" s="208">
        <v>0</v>
      </c>
      <c r="FB161" s="208">
        <v>0</v>
      </c>
      <c r="FC161" s="208">
        <v>0</v>
      </c>
      <c r="FD161" s="208">
        <v>0</v>
      </c>
      <c r="FE161" s="208">
        <v>0</v>
      </c>
      <c r="FF161" s="208">
        <v>0</v>
      </c>
      <c r="FG161" s="208">
        <v>0</v>
      </c>
      <c r="FH161" s="208">
        <v>0</v>
      </c>
      <c r="FI161" s="208">
        <v>0</v>
      </c>
      <c r="FJ161" s="208">
        <v>4333462.8046875</v>
      </c>
      <c r="FK161" s="208">
        <v>0</v>
      </c>
      <c r="FL161" s="208">
        <v>43772.3515625</v>
      </c>
      <c r="FM161" s="208">
        <v>4262160</v>
      </c>
      <c r="FN161" s="208">
        <v>0</v>
      </c>
      <c r="FO161" s="208">
        <v>43052</v>
      </c>
      <c r="FP161" s="208">
        <v>71303</v>
      </c>
      <c r="FQ161" s="208">
        <v>0</v>
      </c>
      <c r="FR161" s="208">
        <v>720</v>
      </c>
      <c r="FS161" s="208">
        <v>331778.9291666667</v>
      </c>
      <c r="FT161" s="208">
        <v>0</v>
      </c>
      <c r="FU161" s="208">
        <v>0</v>
      </c>
      <c r="FV161" s="208">
        <v>325000</v>
      </c>
      <c r="FW161" s="208">
        <v>0</v>
      </c>
      <c r="FX161" s="208">
        <v>0</v>
      </c>
      <c r="FY161" s="208">
        <v>6779</v>
      </c>
      <c r="FZ161" s="208">
        <v>0</v>
      </c>
      <c r="GA161" s="208">
        <v>0</v>
      </c>
      <c r="GB161" s="208">
        <v>16474678</v>
      </c>
      <c r="GC161" s="208">
        <v>0</v>
      </c>
      <c r="GD161" s="208">
        <v>153514</v>
      </c>
      <c r="GE161" s="664">
        <v>0</v>
      </c>
      <c r="GF161" s="664">
        <v>0.99</v>
      </c>
      <c r="GG161" s="664">
        <v>0</v>
      </c>
      <c r="GH161" s="664">
        <v>0.01</v>
      </c>
      <c r="GI161" s="187" t="s">
        <v>1056</v>
      </c>
    </row>
    <row r="162" spans="2:191" s="187" customFormat="1" x14ac:dyDescent="0.2">
      <c r="B162" s="429" t="s">
        <v>401</v>
      </c>
      <c r="C162" s="429" t="s">
        <v>400</v>
      </c>
      <c r="D162" s="208">
        <v>275523</v>
      </c>
      <c r="E162" s="208">
        <v>-39518</v>
      </c>
      <c r="F162" s="208">
        <v>236005</v>
      </c>
      <c r="G162" s="208">
        <v>-285065</v>
      </c>
      <c r="H162" s="208">
        <v>-67797</v>
      </c>
      <c r="I162" s="208">
        <v>-352862</v>
      </c>
      <c r="J162" s="208">
        <v>560588</v>
      </c>
      <c r="K162" s="208">
        <v>28279</v>
      </c>
      <c r="L162" s="208">
        <v>588867</v>
      </c>
      <c r="M162" s="208">
        <v>243357</v>
      </c>
      <c r="N162" s="208">
        <v>243357</v>
      </c>
      <c r="O162" s="208">
        <v>0</v>
      </c>
      <c r="P162" s="208">
        <v>0</v>
      </c>
      <c r="Q162" s="208">
        <v>0</v>
      </c>
      <c r="R162" s="208">
        <v>0</v>
      </c>
      <c r="S162" s="208">
        <v>0</v>
      </c>
      <c r="T162" s="208">
        <v>0</v>
      </c>
      <c r="U162" s="208">
        <v>0</v>
      </c>
      <c r="V162" s="208">
        <v>0</v>
      </c>
      <c r="W162" s="208">
        <v>0</v>
      </c>
      <c r="X162" s="208">
        <v>0</v>
      </c>
      <c r="Y162" s="208">
        <v>0</v>
      </c>
      <c r="Z162" s="208">
        <v>0</v>
      </c>
      <c r="AA162" s="208">
        <v>0</v>
      </c>
      <c r="AB162" s="208">
        <v>0</v>
      </c>
      <c r="AC162" s="208">
        <v>0</v>
      </c>
      <c r="AD162" s="208">
        <v>0</v>
      </c>
      <c r="AE162" s="208">
        <v>0</v>
      </c>
      <c r="AF162" s="208">
        <v>0</v>
      </c>
      <c r="AG162" s="208">
        <v>0</v>
      </c>
      <c r="AH162" s="208">
        <v>0</v>
      </c>
      <c r="AI162" s="208">
        <v>0</v>
      </c>
      <c r="AJ162" s="208">
        <v>0</v>
      </c>
      <c r="AK162" s="208">
        <v>0</v>
      </c>
      <c r="AL162" s="208">
        <v>0</v>
      </c>
      <c r="AM162" s="208">
        <v>0</v>
      </c>
      <c r="AN162" s="208">
        <v>0</v>
      </c>
      <c r="AO162" s="208">
        <v>0</v>
      </c>
      <c r="AP162" s="208">
        <v>0</v>
      </c>
      <c r="AQ162" s="208">
        <v>0</v>
      </c>
      <c r="AR162" s="208">
        <v>0</v>
      </c>
      <c r="AS162" s="208">
        <v>0</v>
      </c>
      <c r="AT162" s="208">
        <v>0</v>
      </c>
      <c r="AU162" s="208">
        <v>0</v>
      </c>
      <c r="AV162" s="208">
        <v>0</v>
      </c>
      <c r="AW162" s="208">
        <v>0</v>
      </c>
      <c r="AX162" s="208">
        <v>0</v>
      </c>
      <c r="AY162" s="208">
        <v>0</v>
      </c>
      <c r="AZ162" s="208">
        <v>0</v>
      </c>
      <c r="BA162" s="208">
        <v>0</v>
      </c>
      <c r="BB162" s="208">
        <v>0</v>
      </c>
      <c r="BC162" s="208">
        <v>0</v>
      </c>
      <c r="BD162" s="208">
        <v>0</v>
      </c>
      <c r="BE162" s="208">
        <v>0</v>
      </c>
      <c r="BF162" s="208">
        <v>0</v>
      </c>
      <c r="BG162" s="208">
        <v>0</v>
      </c>
      <c r="BH162" s="208">
        <v>0</v>
      </c>
      <c r="BI162" s="208">
        <v>0</v>
      </c>
      <c r="BJ162" s="208">
        <v>0</v>
      </c>
      <c r="BK162" s="208">
        <v>0</v>
      </c>
      <c r="BL162" s="208">
        <v>0</v>
      </c>
      <c r="BM162" s="208">
        <v>0</v>
      </c>
      <c r="BN162" s="208">
        <v>0</v>
      </c>
      <c r="BO162" s="208">
        <v>2037020.6378366668</v>
      </c>
      <c r="BP162" s="208">
        <v>0</v>
      </c>
      <c r="BQ162" s="208">
        <v>41396.744371666668</v>
      </c>
      <c r="BR162" s="208">
        <v>153405</v>
      </c>
      <c r="BS162" s="208">
        <v>0</v>
      </c>
      <c r="BT162" s="208">
        <v>2885</v>
      </c>
      <c r="BU162" s="208">
        <v>1889539</v>
      </c>
      <c r="BV162" s="208">
        <v>0</v>
      </c>
      <c r="BW162" s="208">
        <v>38396</v>
      </c>
      <c r="BX162" s="208">
        <v>300887</v>
      </c>
      <c r="BY162" s="208">
        <v>0</v>
      </c>
      <c r="BZ162" s="208">
        <v>5886</v>
      </c>
      <c r="CA162" s="208">
        <v>4455.9272916666669</v>
      </c>
      <c r="CB162" s="208">
        <v>0</v>
      </c>
      <c r="CC162" s="208">
        <v>90.937291666666667</v>
      </c>
      <c r="CD162" s="208">
        <v>0</v>
      </c>
      <c r="CE162" s="208">
        <v>0</v>
      </c>
      <c r="CF162" s="208">
        <v>0</v>
      </c>
      <c r="CG162" s="208">
        <v>4456</v>
      </c>
      <c r="CH162" s="208">
        <v>0</v>
      </c>
      <c r="CI162" s="208">
        <v>91</v>
      </c>
      <c r="CJ162" s="208">
        <v>0</v>
      </c>
      <c r="CK162" s="208">
        <v>0</v>
      </c>
      <c r="CL162" s="208">
        <v>0</v>
      </c>
      <c r="CM162" s="208">
        <v>0</v>
      </c>
      <c r="CN162" s="208">
        <v>0</v>
      </c>
      <c r="CO162" s="208">
        <v>0</v>
      </c>
      <c r="CP162" s="208">
        <v>0</v>
      </c>
      <c r="CQ162" s="208">
        <v>0</v>
      </c>
      <c r="CR162" s="208">
        <v>0</v>
      </c>
      <c r="CS162" s="208">
        <v>0</v>
      </c>
      <c r="CT162" s="208">
        <v>0</v>
      </c>
      <c r="CU162" s="208">
        <v>0</v>
      </c>
      <c r="CV162" s="208">
        <v>0</v>
      </c>
      <c r="CW162" s="208">
        <v>0</v>
      </c>
      <c r="CX162" s="208">
        <v>0</v>
      </c>
      <c r="CY162" s="208">
        <v>0</v>
      </c>
      <c r="CZ162" s="208">
        <v>0</v>
      </c>
      <c r="DA162" s="208">
        <v>0</v>
      </c>
      <c r="DB162" s="208">
        <v>0</v>
      </c>
      <c r="DC162" s="208">
        <v>0</v>
      </c>
      <c r="DD162" s="208">
        <v>0</v>
      </c>
      <c r="DE162" s="208">
        <v>0</v>
      </c>
      <c r="DF162" s="208">
        <v>0</v>
      </c>
      <c r="DG162" s="208">
        <v>0</v>
      </c>
      <c r="DH162" s="208">
        <v>0</v>
      </c>
      <c r="DI162" s="208">
        <v>0</v>
      </c>
      <c r="DJ162" s="208">
        <v>0</v>
      </c>
      <c r="DK162" s="208">
        <v>0</v>
      </c>
      <c r="DL162" s="208">
        <v>0</v>
      </c>
      <c r="DM162" s="208">
        <v>0</v>
      </c>
      <c r="DN162" s="208">
        <v>751.84375</v>
      </c>
      <c r="DO162" s="208">
        <v>0</v>
      </c>
      <c r="DP162" s="208">
        <v>15.34375</v>
      </c>
      <c r="DQ162" s="208">
        <v>752</v>
      </c>
      <c r="DR162" s="208">
        <v>0</v>
      </c>
      <c r="DS162" s="208">
        <v>15</v>
      </c>
      <c r="DT162" s="208">
        <v>0</v>
      </c>
      <c r="DU162" s="208">
        <v>0</v>
      </c>
      <c r="DV162" s="208">
        <v>0</v>
      </c>
      <c r="DW162" s="208">
        <v>19095.327562499999</v>
      </c>
      <c r="DX162" s="208">
        <v>0</v>
      </c>
      <c r="DY162" s="208">
        <v>389.70056249999999</v>
      </c>
      <c r="DZ162" s="208">
        <v>19628</v>
      </c>
      <c r="EA162" s="208">
        <v>0</v>
      </c>
      <c r="EB162" s="208">
        <v>401</v>
      </c>
      <c r="EC162" s="208">
        <v>-533</v>
      </c>
      <c r="ED162" s="208">
        <v>0</v>
      </c>
      <c r="EE162" s="208">
        <v>-11</v>
      </c>
      <c r="EF162" s="208">
        <v>65721.393375</v>
      </c>
      <c r="EG162" s="208">
        <v>0</v>
      </c>
      <c r="EH162" s="208">
        <v>1324.6566250000001</v>
      </c>
      <c r="EI162" s="208">
        <v>-969.37720833333333</v>
      </c>
      <c r="EJ162" s="208">
        <v>0</v>
      </c>
      <c r="EK162" s="208">
        <v>-19.783208333333334</v>
      </c>
      <c r="EL162" s="208">
        <v>72019</v>
      </c>
      <c r="EM162" s="208">
        <v>0</v>
      </c>
      <c r="EN162" s="208">
        <v>1470</v>
      </c>
      <c r="EO162" s="208">
        <v>-7267</v>
      </c>
      <c r="EP162" s="208">
        <v>0</v>
      </c>
      <c r="EQ162" s="208">
        <v>-165</v>
      </c>
      <c r="ER162" s="208">
        <v>4627.8488958333337</v>
      </c>
      <c r="ES162" s="208">
        <v>0</v>
      </c>
      <c r="ET162" s="208">
        <v>94.445895833333338</v>
      </c>
      <c r="EU162" s="208">
        <v>7111</v>
      </c>
      <c r="EV162" s="208">
        <v>0</v>
      </c>
      <c r="EW162" s="208">
        <v>145</v>
      </c>
      <c r="EX162" s="208">
        <v>-2483</v>
      </c>
      <c r="EY162" s="208">
        <v>0</v>
      </c>
      <c r="EZ162" s="208">
        <v>-51</v>
      </c>
      <c r="FA162" s="208">
        <v>0</v>
      </c>
      <c r="FB162" s="208">
        <v>0</v>
      </c>
      <c r="FC162" s="208">
        <v>0</v>
      </c>
      <c r="FD162" s="208">
        <v>0</v>
      </c>
      <c r="FE162" s="208">
        <v>0</v>
      </c>
      <c r="FF162" s="208">
        <v>0</v>
      </c>
      <c r="FG162" s="208">
        <v>0</v>
      </c>
      <c r="FH162" s="208">
        <v>0</v>
      </c>
      <c r="FI162" s="208">
        <v>0</v>
      </c>
      <c r="FJ162" s="208">
        <v>704374.05981249991</v>
      </c>
      <c r="FK162" s="208">
        <v>0</v>
      </c>
      <c r="FL162" s="208">
        <v>14374.9808125</v>
      </c>
      <c r="FM162" s="208">
        <v>741539</v>
      </c>
      <c r="FN162" s="208">
        <v>0</v>
      </c>
      <c r="FO162" s="208">
        <v>15133</v>
      </c>
      <c r="FP162" s="208">
        <v>-37165</v>
      </c>
      <c r="FQ162" s="208">
        <v>0</v>
      </c>
      <c r="FR162" s="208">
        <v>-758</v>
      </c>
      <c r="FS162" s="208">
        <v>0</v>
      </c>
      <c r="FT162" s="208">
        <v>0</v>
      </c>
      <c r="FU162" s="208">
        <v>0</v>
      </c>
      <c r="FV162" s="208">
        <v>0</v>
      </c>
      <c r="FW162" s="208">
        <v>0</v>
      </c>
      <c r="FX162" s="208">
        <v>0</v>
      </c>
      <c r="FY162" s="208">
        <v>0</v>
      </c>
      <c r="FZ162" s="208">
        <v>0</v>
      </c>
      <c r="GA162" s="208">
        <v>0</v>
      </c>
      <c r="GB162" s="208">
        <v>2988483</v>
      </c>
      <c r="GC162" s="208">
        <v>0</v>
      </c>
      <c r="GD162" s="208">
        <v>60552</v>
      </c>
      <c r="GE162" s="664">
        <v>0.5</v>
      </c>
      <c r="GF162" s="664">
        <v>0.49</v>
      </c>
      <c r="GG162" s="664">
        <v>0</v>
      </c>
      <c r="GH162" s="664">
        <v>0.01</v>
      </c>
      <c r="GI162" s="187" t="s">
        <v>742</v>
      </c>
    </row>
    <row r="163" spans="2:191" s="187" customFormat="1" x14ac:dyDescent="0.2">
      <c r="B163" s="429" t="s">
        <v>403</v>
      </c>
      <c r="C163" s="429" t="s">
        <v>402</v>
      </c>
      <c r="D163" s="208">
        <v>-1507823</v>
      </c>
      <c r="E163" s="208">
        <v>0</v>
      </c>
      <c r="F163" s="208">
        <v>-1507823</v>
      </c>
      <c r="G163" s="208">
        <v>-1757430</v>
      </c>
      <c r="H163" s="208">
        <v>0</v>
      </c>
      <c r="I163" s="208">
        <v>-1757430</v>
      </c>
      <c r="J163" s="208">
        <v>249607</v>
      </c>
      <c r="K163" s="208">
        <v>0</v>
      </c>
      <c r="L163" s="208">
        <v>249607</v>
      </c>
      <c r="M163" s="208">
        <v>206311</v>
      </c>
      <c r="N163" s="208">
        <v>206311</v>
      </c>
      <c r="O163" s="208">
        <v>0</v>
      </c>
      <c r="P163" s="208">
        <v>0</v>
      </c>
      <c r="Q163" s="208">
        <v>66726</v>
      </c>
      <c r="R163" s="208">
        <v>-66726</v>
      </c>
      <c r="S163" s="208">
        <v>32817</v>
      </c>
      <c r="T163" s="208">
        <v>0</v>
      </c>
      <c r="U163" s="208">
        <v>0</v>
      </c>
      <c r="V163" s="208">
        <v>0</v>
      </c>
      <c r="W163" s="208">
        <v>32817</v>
      </c>
      <c r="X163" s="208">
        <v>0</v>
      </c>
      <c r="Y163" s="208">
        <v>0</v>
      </c>
      <c r="Z163" s="208">
        <v>0</v>
      </c>
      <c r="AA163" s="208">
        <v>0</v>
      </c>
      <c r="AB163" s="208">
        <v>0</v>
      </c>
      <c r="AC163" s="208">
        <v>0</v>
      </c>
      <c r="AD163" s="208">
        <v>0</v>
      </c>
      <c r="AE163" s="208">
        <v>0</v>
      </c>
      <c r="AF163" s="208">
        <v>0</v>
      </c>
      <c r="AG163" s="208">
        <v>0</v>
      </c>
      <c r="AH163" s="208">
        <v>0</v>
      </c>
      <c r="AI163" s="208">
        <v>0</v>
      </c>
      <c r="AJ163" s="208">
        <v>0</v>
      </c>
      <c r="AK163" s="208">
        <v>0</v>
      </c>
      <c r="AL163" s="208">
        <v>0</v>
      </c>
      <c r="AM163" s="208">
        <v>0</v>
      </c>
      <c r="AN163" s="208">
        <v>0</v>
      </c>
      <c r="AO163" s="208">
        <v>0</v>
      </c>
      <c r="AP163" s="208">
        <v>0</v>
      </c>
      <c r="AQ163" s="208">
        <v>0</v>
      </c>
      <c r="AR163" s="208">
        <v>0</v>
      </c>
      <c r="AS163" s="208">
        <v>0</v>
      </c>
      <c r="AT163" s="208">
        <v>0</v>
      </c>
      <c r="AU163" s="208">
        <v>0</v>
      </c>
      <c r="AV163" s="208">
        <v>0</v>
      </c>
      <c r="AW163" s="208">
        <v>0</v>
      </c>
      <c r="AX163" s="208">
        <v>0</v>
      </c>
      <c r="AY163" s="208">
        <v>0</v>
      </c>
      <c r="AZ163" s="208">
        <v>0</v>
      </c>
      <c r="BA163" s="208">
        <v>0</v>
      </c>
      <c r="BB163" s="208">
        <v>0</v>
      </c>
      <c r="BC163" s="208">
        <v>0</v>
      </c>
      <c r="BD163" s="208">
        <v>0</v>
      </c>
      <c r="BE163" s="208">
        <v>0</v>
      </c>
      <c r="BF163" s="208">
        <v>0</v>
      </c>
      <c r="BG163" s="208">
        <v>0</v>
      </c>
      <c r="BH163" s="208">
        <v>0</v>
      </c>
      <c r="BI163" s="208">
        <v>0</v>
      </c>
      <c r="BJ163" s="208">
        <v>0</v>
      </c>
      <c r="BK163" s="208">
        <v>0</v>
      </c>
      <c r="BL163" s="208">
        <v>0</v>
      </c>
      <c r="BM163" s="208">
        <v>0</v>
      </c>
      <c r="BN163" s="208">
        <v>0</v>
      </c>
      <c r="BO163" s="208">
        <v>1332536.3914458333</v>
      </c>
      <c r="BP163" s="208">
        <v>1965491.177382604</v>
      </c>
      <c r="BQ163" s="208">
        <v>33313.409786145836</v>
      </c>
      <c r="BR163" s="208">
        <v>126400</v>
      </c>
      <c r="BS163" s="208">
        <v>186441</v>
      </c>
      <c r="BT163" s="208">
        <v>3160</v>
      </c>
      <c r="BU163" s="208">
        <v>1195439</v>
      </c>
      <c r="BV163" s="208">
        <v>1763273</v>
      </c>
      <c r="BW163" s="208">
        <v>29886</v>
      </c>
      <c r="BX163" s="208">
        <v>263497</v>
      </c>
      <c r="BY163" s="208">
        <v>388659</v>
      </c>
      <c r="BZ163" s="208">
        <v>6587</v>
      </c>
      <c r="CA163" s="208">
        <v>2495.916666666667</v>
      </c>
      <c r="CB163" s="208">
        <v>3681.4770833333332</v>
      </c>
      <c r="CC163" s="208">
        <v>62.397916666666674</v>
      </c>
      <c r="CD163" s="208">
        <v>0</v>
      </c>
      <c r="CE163" s="208">
        <v>0</v>
      </c>
      <c r="CF163" s="208">
        <v>0</v>
      </c>
      <c r="CG163" s="208">
        <v>2496</v>
      </c>
      <c r="CH163" s="208">
        <v>3681</v>
      </c>
      <c r="CI163" s="208">
        <v>62</v>
      </c>
      <c r="CJ163" s="208">
        <v>0</v>
      </c>
      <c r="CK163" s="208">
        <v>0</v>
      </c>
      <c r="CL163" s="208">
        <v>0</v>
      </c>
      <c r="CM163" s="208">
        <v>-1089.2016666666666</v>
      </c>
      <c r="CN163" s="208">
        <v>-1606.5724583333333</v>
      </c>
      <c r="CO163" s="208">
        <v>-27.230041666666665</v>
      </c>
      <c r="CP163" s="208">
        <v>-1848.2058333333334</v>
      </c>
      <c r="CQ163" s="208">
        <v>-2726.1036041666666</v>
      </c>
      <c r="CR163" s="208">
        <v>-46.20514583333334</v>
      </c>
      <c r="CS163" s="208">
        <v>0</v>
      </c>
      <c r="CT163" s="208">
        <v>0</v>
      </c>
      <c r="CU163" s="208">
        <v>0</v>
      </c>
      <c r="CV163" s="208">
        <v>0</v>
      </c>
      <c r="CW163" s="208">
        <v>0</v>
      </c>
      <c r="CX163" s="208">
        <v>0</v>
      </c>
      <c r="CY163" s="208">
        <v>0</v>
      </c>
      <c r="CZ163" s="208">
        <v>0</v>
      </c>
      <c r="DA163" s="208">
        <v>0</v>
      </c>
      <c r="DB163" s="208">
        <v>0</v>
      </c>
      <c r="DC163" s="208">
        <v>0</v>
      </c>
      <c r="DD163" s="208">
        <v>0</v>
      </c>
      <c r="DE163" s="208">
        <v>0</v>
      </c>
      <c r="DF163" s="208">
        <v>0</v>
      </c>
      <c r="DG163" s="208">
        <v>0</v>
      </c>
      <c r="DH163" s="208">
        <v>1246</v>
      </c>
      <c r="DI163" s="208">
        <v>1837</v>
      </c>
      <c r="DJ163" s="208">
        <v>31</v>
      </c>
      <c r="DK163" s="208">
        <v>-1246</v>
      </c>
      <c r="DL163" s="208">
        <v>-1837</v>
      </c>
      <c r="DM163" s="208">
        <v>-31</v>
      </c>
      <c r="DN163" s="208">
        <v>814.24166666666679</v>
      </c>
      <c r="DO163" s="208">
        <v>1201.0064583333333</v>
      </c>
      <c r="DP163" s="208">
        <v>20.356041666666666</v>
      </c>
      <c r="DQ163" s="208">
        <v>614</v>
      </c>
      <c r="DR163" s="208">
        <v>905</v>
      </c>
      <c r="DS163" s="208">
        <v>15</v>
      </c>
      <c r="DT163" s="208">
        <v>200</v>
      </c>
      <c r="DU163" s="208">
        <v>296</v>
      </c>
      <c r="DV163" s="208">
        <v>5</v>
      </c>
      <c r="DW163" s="208">
        <v>8432.9249999999993</v>
      </c>
      <c r="DX163" s="208">
        <v>12438.564375</v>
      </c>
      <c r="DY163" s="208">
        <v>210.82312499999998</v>
      </c>
      <c r="DZ163" s="208">
        <v>6138</v>
      </c>
      <c r="EA163" s="208">
        <v>9053</v>
      </c>
      <c r="EB163" s="208">
        <v>153</v>
      </c>
      <c r="EC163" s="208">
        <v>2295</v>
      </c>
      <c r="ED163" s="208">
        <v>3386</v>
      </c>
      <c r="EE163" s="208">
        <v>58</v>
      </c>
      <c r="EF163" s="208">
        <v>49022.667500000003</v>
      </c>
      <c r="EG163" s="208">
        <v>72308.434562499999</v>
      </c>
      <c r="EH163" s="208">
        <v>1225.5666874999999</v>
      </c>
      <c r="EI163" s="208">
        <v>972.18</v>
      </c>
      <c r="EJ163" s="208">
        <v>1433.9654999999998</v>
      </c>
      <c r="EK163" s="208">
        <v>24.304499999999997</v>
      </c>
      <c r="EL163" s="208">
        <v>57121</v>
      </c>
      <c r="EM163" s="208">
        <v>84254</v>
      </c>
      <c r="EN163" s="208">
        <v>1428</v>
      </c>
      <c r="EO163" s="208">
        <v>-7126</v>
      </c>
      <c r="EP163" s="208">
        <v>-10512</v>
      </c>
      <c r="EQ163" s="208">
        <v>-178</v>
      </c>
      <c r="ER163" s="208">
        <v>21892.053333333337</v>
      </c>
      <c r="ES163" s="208">
        <v>32290.778666666669</v>
      </c>
      <c r="ET163" s="208">
        <v>547.30133333333345</v>
      </c>
      <c r="EU163" s="208">
        <v>27006</v>
      </c>
      <c r="EV163" s="208">
        <v>39832</v>
      </c>
      <c r="EW163" s="208">
        <v>675</v>
      </c>
      <c r="EX163" s="208">
        <v>-5114</v>
      </c>
      <c r="EY163" s="208">
        <v>-7541</v>
      </c>
      <c r="EZ163" s="208">
        <v>-128</v>
      </c>
      <c r="FA163" s="208">
        <v>0</v>
      </c>
      <c r="FB163" s="208">
        <v>0</v>
      </c>
      <c r="FC163" s="208">
        <v>0</v>
      </c>
      <c r="FD163" s="208">
        <v>0</v>
      </c>
      <c r="FE163" s="208">
        <v>0</v>
      </c>
      <c r="FF163" s="208">
        <v>0</v>
      </c>
      <c r="FG163" s="208">
        <v>0</v>
      </c>
      <c r="FH163" s="208">
        <v>0</v>
      </c>
      <c r="FI163" s="208">
        <v>0</v>
      </c>
      <c r="FJ163" s="208">
        <v>534136.45541666669</v>
      </c>
      <c r="FK163" s="208">
        <v>786741.98877083324</v>
      </c>
      <c r="FL163" s="208">
        <v>13334.609979166666</v>
      </c>
      <c r="FM163" s="208">
        <v>520564</v>
      </c>
      <c r="FN163" s="208">
        <v>765576</v>
      </c>
      <c r="FO163" s="208">
        <v>12976</v>
      </c>
      <c r="FP163" s="208">
        <v>13572</v>
      </c>
      <c r="FQ163" s="208">
        <v>21166</v>
      </c>
      <c r="FR163" s="208">
        <v>359</v>
      </c>
      <c r="FS163" s="208">
        <v>0</v>
      </c>
      <c r="FT163" s="208">
        <v>0</v>
      </c>
      <c r="FU163" s="208">
        <v>0</v>
      </c>
      <c r="FV163" s="208">
        <v>55000</v>
      </c>
      <c r="FW163" s="208">
        <v>0</v>
      </c>
      <c r="FX163" s="208">
        <v>0</v>
      </c>
      <c r="FY163" s="208">
        <v>-55000</v>
      </c>
      <c r="FZ163" s="208">
        <v>0</v>
      </c>
      <c r="GA163" s="208">
        <v>0</v>
      </c>
      <c r="GB163" s="208">
        <v>2073765</v>
      </c>
      <c r="GC163" s="208">
        <v>3057695</v>
      </c>
      <c r="GD163" s="208">
        <v>51825</v>
      </c>
      <c r="GE163" s="664">
        <v>0</v>
      </c>
      <c r="GF163" s="664">
        <v>0.4</v>
      </c>
      <c r="GG163" s="664">
        <v>0.59</v>
      </c>
      <c r="GH163" s="664">
        <v>0.01</v>
      </c>
      <c r="GI163" s="187" t="s">
        <v>1054</v>
      </c>
    </row>
    <row r="164" spans="2:191" s="187" customFormat="1" x14ac:dyDescent="0.2">
      <c r="B164" s="429" t="s">
        <v>405</v>
      </c>
      <c r="C164" s="429" t="s">
        <v>404</v>
      </c>
      <c r="D164" s="208">
        <v>263145</v>
      </c>
      <c r="E164" s="208">
        <v>0</v>
      </c>
      <c r="F164" s="208">
        <v>263145</v>
      </c>
      <c r="G164" s="208">
        <v>152429</v>
      </c>
      <c r="H164" s="208">
        <v>0</v>
      </c>
      <c r="I164" s="208">
        <v>152429</v>
      </c>
      <c r="J164" s="208">
        <v>110716</v>
      </c>
      <c r="K164" s="208">
        <v>0</v>
      </c>
      <c r="L164" s="208">
        <v>110716</v>
      </c>
      <c r="M164" s="208">
        <v>91371</v>
      </c>
      <c r="N164" s="208">
        <v>91371</v>
      </c>
      <c r="O164" s="208">
        <v>0</v>
      </c>
      <c r="P164" s="208">
        <v>0</v>
      </c>
      <c r="Q164" s="208">
        <v>0</v>
      </c>
      <c r="R164" s="208">
        <v>0</v>
      </c>
      <c r="S164" s="208">
        <v>719513</v>
      </c>
      <c r="T164" s="208">
        <v>0.41000000003259629</v>
      </c>
      <c r="U164" s="208">
        <v>703231</v>
      </c>
      <c r="V164" s="208">
        <v>0</v>
      </c>
      <c r="W164" s="208">
        <v>16282</v>
      </c>
      <c r="X164" s="208">
        <v>0.41000000003259629</v>
      </c>
      <c r="Y164" s="208">
        <v>0</v>
      </c>
      <c r="Z164" s="208">
        <v>0</v>
      </c>
      <c r="AA164" s="208">
        <v>0</v>
      </c>
      <c r="AB164" s="208">
        <v>0</v>
      </c>
      <c r="AC164" s="208">
        <v>0</v>
      </c>
      <c r="AD164" s="208">
        <v>0</v>
      </c>
      <c r="AE164" s="208">
        <v>0</v>
      </c>
      <c r="AF164" s="208">
        <v>0</v>
      </c>
      <c r="AG164" s="208">
        <v>0</v>
      </c>
      <c r="AH164" s="208">
        <v>0</v>
      </c>
      <c r="AI164" s="208">
        <v>0</v>
      </c>
      <c r="AJ164" s="208">
        <v>0</v>
      </c>
      <c r="AK164" s="208">
        <v>0</v>
      </c>
      <c r="AL164" s="208">
        <v>0</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c r="BE164" s="208">
        <v>0</v>
      </c>
      <c r="BF164" s="208">
        <v>0</v>
      </c>
      <c r="BG164" s="208">
        <v>0</v>
      </c>
      <c r="BH164" s="208">
        <v>0</v>
      </c>
      <c r="BI164" s="208">
        <v>0</v>
      </c>
      <c r="BJ164" s="208">
        <v>0</v>
      </c>
      <c r="BK164" s="208">
        <v>0</v>
      </c>
      <c r="BL164" s="208">
        <v>0</v>
      </c>
      <c r="BM164" s="208">
        <v>0</v>
      </c>
      <c r="BN164" s="208">
        <v>0</v>
      </c>
      <c r="BO164" s="208">
        <v>823385.4696500001</v>
      </c>
      <c r="BP164" s="208">
        <v>185261.73067125003</v>
      </c>
      <c r="BQ164" s="208">
        <v>20584.636741250008</v>
      </c>
      <c r="BR164" s="208">
        <v>39708</v>
      </c>
      <c r="BS164" s="208">
        <v>8934</v>
      </c>
      <c r="BT164" s="208">
        <v>993</v>
      </c>
      <c r="BU164" s="208">
        <v>791241</v>
      </c>
      <c r="BV164" s="208">
        <v>178029</v>
      </c>
      <c r="BW164" s="208">
        <v>19781</v>
      </c>
      <c r="BX164" s="208">
        <v>71852</v>
      </c>
      <c r="BY164" s="208">
        <v>16167</v>
      </c>
      <c r="BZ164" s="208">
        <v>1797</v>
      </c>
      <c r="CA164" s="208">
        <v>16958.32166666667</v>
      </c>
      <c r="CB164" s="208">
        <v>3815.6223749999999</v>
      </c>
      <c r="CC164" s="208">
        <v>423.9580416666667</v>
      </c>
      <c r="CD164" s="208">
        <v>7109</v>
      </c>
      <c r="CE164" s="208">
        <v>1599</v>
      </c>
      <c r="CF164" s="208">
        <v>178</v>
      </c>
      <c r="CG164" s="208">
        <v>9849</v>
      </c>
      <c r="CH164" s="208">
        <v>2217</v>
      </c>
      <c r="CI164" s="208">
        <v>246</v>
      </c>
      <c r="CJ164" s="208">
        <v>0</v>
      </c>
      <c r="CK164" s="208">
        <v>0</v>
      </c>
      <c r="CL164" s="208">
        <v>0</v>
      </c>
      <c r="CM164" s="208">
        <v>0</v>
      </c>
      <c r="CN164" s="208">
        <v>0</v>
      </c>
      <c r="CO164" s="208">
        <v>0</v>
      </c>
      <c r="CP164" s="208">
        <v>-97.790833333333339</v>
      </c>
      <c r="CQ164" s="208">
        <v>-22.002937499999998</v>
      </c>
      <c r="CR164" s="208">
        <v>-2.4447708333333331</v>
      </c>
      <c r="CS164" s="208">
        <v>0</v>
      </c>
      <c r="CT164" s="208">
        <v>0</v>
      </c>
      <c r="CU164" s="208">
        <v>0</v>
      </c>
      <c r="CV164" s="208">
        <v>0</v>
      </c>
      <c r="CW164" s="208">
        <v>0</v>
      </c>
      <c r="CX164" s="208">
        <v>0</v>
      </c>
      <c r="CY164" s="208">
        <v>0</v>
      </c>
      <c r="CZ164" s="208">
        <v>0</v>
      </c>
      <c r="DA164" s="208">
        <v>0</v>
      </c>
      <c r="DB164" s="208">
        <v>0</v>
      </c>
      <c r="DC164" s="208">
        <v>0</v>
      </c>
      <c r="DD164" s="208">
        <v>0</v>
      </c>
      <c r="DE164" s="208">
        <v>3720.5525000000002</v>
      </c>
      <c r="DF164" s="208">
        <v>837.12431249999997</v>
      </c>
      <c r="DG164" s="208">
        <v>93.0138125</v>
      </c>
      <c r="DH164" s="208">
        <v>4134</v>
      </c>
      <c r="DI164" s="208">
        <v>930</v>
      </c>
      <c r="DJ164" s="208">
        <v>103</v>
      </c>
      <c r="DK164" s="208">
        <v>-413</v>
      </c>
      <c r="DL164" s="208">
        <v>-93</v>
      </c>
      <c r="DM164" s="208">
        <v>-10</v>
      </c>
      <c r="DN164" s="208">
        <v>0</v>
      </c>
      <c r="DO164" s="208">
        <v>0</v>
      </c>
      <c r="DP164" s="208">
        <v>0</v>
      </c>
      <c r="DQ164" s="208">
        <v>0</v>
      </c>
      <c r="DR164" s="208">
        <v>0</v>
      </c>
      <c r="DS164" s="208">
        <v>0</v>
      </c>
      <c r="DT164" s="208">
        <v>0</v>
      </c>
      <c r="DU164" s="208">
        <v>0</v>
      </c>
      <c r="DV164" s="208">
        <v>0</v>
      </c>
      <c r="DW164" s="208">
        <v>5389.543333333334</v>
      </c>
      <c r="DX164" s="208">
        <v>1212.64725</v>
      </c>
      <c r="DY164" s="208">
        <v>134.73858333333334</v>
      </c>
      <c r="DZ164" s="208">
        <v>4843</v>
      </c>
      <c r="EA164" s="208">
        <v>1090</v>
      </c>
      <c r="EB164" s="208">
        <v>121</v>
      </c>
      <c r="EC164" s="208">
        <v>547</v>
      </c>
      <c r="ED164" s="208">
        <v>123</v>
      </c>
      <c r="EE164" s="208">
        <v>14</v>
      </c>
      <c r="EF164" s="208">
        <v>22632.235833333336</v>
      </c>
      <c r="EG164" s="208">
        <v>5092.2530624999999</v>
      </c>
      <c r="EH164" s="208">
        <v>565.80589583333335</v>
      </c>
      <c r="EI164" s="208">
        <v>-3927.5908333333336</v>
      </c>
      <c r="EJ164" s="208">
        <v>-883.70793749999996</v>
      </c>
      <c r="EK164" s="208">
        <v>-98.189770833333341</v>
      </c>
      <c r="EL164" s="208">
        <v>5617</v>
      </c>
      <c r="EM164" s="208">
        <v>1264</v>
      </c>
      <c r="EN164" s="208">
        <v>140</v>
      </c>
      <c r="EO164" s="208">
        <v>13088</v>
      </c>
      <c r="EP164" s="208">
        <v>2945</v>
      </c>
      <c r="EQ164" s="208">
        <v>328</v>
      </c>
      <c r="ER164" s="208">
        <v>15571.246666666666</v>
      </c>
      <c r="ES164" s="208">
        <v>3503.5304999999998</v>
      </c>
      <c r="ET164" s="208">
        <v>389.28116666666665</v>
      </c>
      <c r="EU164" s="208">
        <v>9002</v>
      </c>
      <c r="EV164" s="208">
        <v>2025</v>
      </c>
      <c r="EW164" s="208">
        <v>225</v>
      </c>
      <c r="EX164" s="208">
        <v>6569</v>
      </c>
      <c r="EY164" s="208">
        <v>1479</v>
      </c>
      <c r="EZ164" s="208">
        <v>164</v>
      </c>
      <c r="FA164" s="208">
        <v>0</v>
      </c>
      <c r="FB164" s="208">
        <v>0</v>
      </c>
      <c r="FC164" s="208">
        <v>0</v>
      </c>
      <c r="FD164" s="208">
        <v>0</v>
      </c>
      <c r="FE164" s="208">
        <v>0</v>
      </c>
      <c r="FF164" s="208">
        <v>0</v>
      </c>
      <c r="FG164" s="208">
        <v>0</v>
      </c>
      <c r="FH164" s="208">
        <v>0</v>
      </c>
      <c r="FI164" s="208">
        <v>0</v>
      </c>
      <c r="FJ164" s="208">
        <v>130852.62749166666</v>
      </c>
      <c r="FK164" s="208">
        <v>25731.861675208333</v>
      </c>
      <c r="FL164" s="208">
        <v>2859.0946977083331</v>
      </c>
      <c r="FM164" s="208">
        <v>137763</v>
      </c>
      <c r="FN164" s="208">
        <v>27371</v>
      </c>
      <c r="FO164" s="208">
        <v>3041</v>
      </c>
      <c r="FP164" s="208">
        <v>-6910</v>
      </c>
      <c r="FQ164" s="208">
        <v>-1639</v>
      </c>
      <c r="FR164" s="208">
        <v>-182</v>
      </c>
      <c r="FS164" s="208">
        <v>0</v>
      </c>
      <c r="FT164" s="208">
        <v>0</v>
      </c>
      <c r="FU164" s="208">
        <v>0</v>
      </c>
      <c r="FV164" s="208">
        <v>0</v>
      </c>
      <c r="FW164" s="208">
        <v>0</v>
      </c>
      <c r="FX164" s="208">
        <v>0</v>
      </c>
      <c r="FY164" s="208">
        <v>0</v>
      </c>
      <c r="FZ164" s="208">
        <v>0</v>
      </c>
      <c r="GA164" s="208">
        <v>0</v>
      </c>
      <c r="GB164" s="208">
        <v>1054192</v>
      </c>
      <c r="GC164" s="208">
        <v>233484</v>
      </c>
      <c r="GD164" s="208">
        <v>25944</v>
      </c>
      <c r="GE164" s="664">
        <v>0.5</v>
      </c>
      <c r="GF164" s="664">
        <v>0.4</v>
      </c>
      <c r="GG164" s="664">
        <v>0.09</v>
      </c>
      <c r="GH164" s="664">
        <v>0.01</v>
      </c>
      <c r="GI164" s="187" t="s">
        <v>1054</v>
      </c>
    </row>
    <row r="165" spans="2:191" s="187" customFormat="1" x14ac:dyDescent="0.2">
      <c r="B165" s="429" t="s">
        <v>407</v>
      </c>
      <c r="C165" s="429" t="s">
        <v>406</v>
      </c>
      <c r="D165" s="208">
        <v>266559</v>
      </c>
      <c r="E165" s="208">
        <v>0</v>
      </c>
      <c r="F165" s="208">
        <v>266559</v>
      </c>
      <c r="G165" s="208">
        <v>266223</v>
      </c>
      <c r="H165" s="208">
        <v>0</v>
      </c>
      <c r="I165" s="208">
        <v>266223</v>
      </c>
      <c r="J165" s="208">
        <v>336</v>
      </c>
      <c r="K165" s="208">
        <v>0</v>
      </c>
      <c r="L165" s="208">
        <v>336</v>
      </c>
      <c r="M165" s="208">
        <v>106886</v>
      </c>
      <c r="N165" s="208">
        <v>106886</v>
      </c>
      <c r="O165" s="208">
        <v>0</v>
      </c>
      <c r="P165" s="208">
        <v>0</v>
      </c>
      <c r="Q165" s="208">
        <v>0</v>
      </c>
      <c r="R165" s="208">
        <v>0</v>
      </c>
      <c r="S165" s="208">
        <v>0</v>
      </c>
      <c r="T165" s="208">
        <v>0</v>
      </c>
      <c r="U165" s="208">
        <v>5695</v>
      </c>
      <c r="V165" s="208">
        <v>0</v>
      </c>
      <c r="W165" s="208">
        <v>-5695</v>
      </c>
      <c r="X165" s="208">
        <v>0</v>
      </c>
      <c r="Y165" s="208">
        <v>0</v>
      </c>
      <c r="Z165" s="208">
        <v>0</v>
      </c>
      <c r="AA165" s="208">
        <v>0</v>
      </c>
      <c r="AB165" s="208">
        <v>0</v>
      </c>
      <c r="AC165" s="208">
        <v>0</v>
      </c>
      <c r="AD165" s="208">
        <v>0</v>
      </c>
      <c r="AE165" s="208">
        <v>0</v>
      </c>
      <c r="AF165" s="208">
        <v>0</v>
      </c>
      <c r="AG165" s="208">
        <v>0</v>
      </c>
      <c r="AH165" s="208">
        <v>0</v>
      </c>
      <c r="AI165" s="208">
        <v>0</v>
      </c>
      <c r="AJ165" s="208">
        <v>0</v>
      </c>
      <c r="AK165" s="208">
        <v>0</v>
      </c>
      <c r="AL165" s="208">
        <v>0</v>
      </c>
      <c r="AM165" s="208">
        <v>0</v>
      </c>
      <c r="AN165" s="208">
        <v>0</v>
      </c>
      <c r="AO165" s="208">
        <v>0</v>
      </c>
      <c r="AP165" s="208">
        <v>0</v>
      </c>
      <c r="AQ165" s="208">
        <v>0</v>
      </c>
      <c r="AR165" s="208">
        <v>0</v>
      </c>
      <c r="AS165" s="208">
        <v>0</v>
      </c>
      <c r="AT165" s="208">
        <v>0</v>
      </c>
      <c r="AU165" s="208">
        <v>0</v>
      </c>
      <c r="AV165" s="208">
        <v>0</v>
      </c>
      <c r="AW165" s="208">
        <v>0</v>
      </c>
      <c r="AX165" s="208">
        <v>0</v>
      </c>
      <c r="AY165" s="208">
        <v>0</v>
      </c>
      <c r="AZ165" s="208">
        <v>0</v>
      </c>
      <c r="BA165" s="208">
        <v>0</v>
      </c>
      <c r="BB165" s="208">
        <v>0</v>
      </c>
      <c r="BC165" s="208">
        <v>0</v>
      </c>
      <c r="BD165" s="208">
        <v>0</v>
      </c>
      <c r="BE165" s="208">
        <v>0</v>
      </c>
      <c r="BF165" s="208">
        <v>0</v>
      </c>
      <c r="BG165" s="208">
        <v>0</v>
      </c>
      <c r="BH165" s="208">
        <v>0</v>
      </c>
      <c r="BI165" s="208">
        <v>0</v>
      </c>
      <c r="BJ165" s="208">
        <v>0</v>
      </c>
      <c r="BK165" s="208">
        <v>0</v>
      </c>
      <c r="BL165" s="208">
        <v>0</v>
      </c>
      <c r="BM165" s="208">
        <v>0</v>
      </c>
      <c r="BN165" s="208">
        <v>0</v>
      </c>
      <c r="BO165" s="208">
        <v>996735.66450333351</v>
      </c>
      <c r="BP165" s="208">
        <v>224265.52451325001</v>
      </c>
      <c r="BQ165" s="208">
        <v>24918.391612583335</v>
      </c>
      <c r="BR165" s="208">
        <v>37084</v>
      </c>
      <c r="BS165" s="208">
        <v>8344</v>
      </c>
      <c r="BT165" s="208">
        <v>927</v>
      </c>
      <c r="BU165" s="208">
        <v>910884</v>
      </c>
      <c r="BV165" s="208">
        <v>204949</v>
      </c>
      <c r="BW165" s="208">
        <v>22772</v>
      </c>
      <c r="BX165" s="208">
        <v>122936</v>
      </c>
      <c r="BY165" s="208">
        <v>27661</v>
      </c>
      <c r="BZ165" s="208">
        <v>3073</v>
      </c>
      <c r="CA165" s="208">
        <v>-1090.0200000000002</v>
      </c>
      <c r="CB165" s="208">
        <v>-245.25450000000001</v>
      </c>
      <c r="CC165" s="208">
        <v>-27.250500000000002</v>
      </c>
      <c r="CD165" s="208">
        <v>1060</v>
      </c>
      <c r="CE165" s="208">
        <v>239</v>
      </c>
      <c r="CF165" s="208">
        <v>27</v>
      </c>
      <c r="CG165" s="208">
        <v>-2150</v>
      </c>
      <c r="CH165" s="208">
        <v>-484</v>
      </c>
      <c r="CI165" s="208">
        <v>-54</v>
      </c>
      <c r="CJ165" s="208">
        <v>0</v>
      </c>
      <c r="CK165" s="208">
        <v>0</v>
      </c>
      <c r="CL165" s="208">
        <v>0</v>
      </c>
      <c r="CM165" s="208">
        <v>0</v>
      </c>
      <c r="CN165" s="208">
        <v>0</v>
      </c>
      <c r="CO165" s="208">
        <v>0</v>
      </c>
      <c r="CP165" s="208">
        <v>-4742.2416666666668</v>
      </c>
      <c r="CQ165" s="208">
        <v>-1067.004375</v>
      </c>
      <c r="CR165" s="208">
        <v>-118.55604166666666</v>
      </c>
      <c r="CS165" s="208">
        <v>-776.59833333333336</v>
      </c>
      <c r="CT165" s="208">
        <v>-174.73462499999999</v>
      </c>
      <c r="CU165" s="208">
        <v>-19.414958333333335</v>
      </c>
      <c r="CV165" s="208">
        <v>0</v>
      </c>
      <c r="CW165" s="208">
        <v>0</v>
      </c>
      <c r="CX165" s="208">
        <v>0</v>
      </c>
      <c r="CY165" s="208">
        <v>-777</v>
      </c>
      <c r="CZ165" s="208">
        <v>-175</v>
      </c>
      <c r="DA165" s="208">
        <v>-19</v>
      </c>
      <c r="DB165" s="208">
        <v>0</v>
      </c>
      <c r="DC165" s="208">
        <v>0</v>
      </c>
      <c r="DD165" s="208">
        <v>0</v>
      </c>
      <c r="DE165" s="208">
        <v>15432.948333333334</v>
      </c>
      <c r="DF165" s="208">
        <v>3472.4133750000001</v>
      </c>
      <c r="DG165" s="208">
        <v>385.82370833333334</v>
      </c>
      <c r="DH165" s="208">
        <v>16469</v>
      </c>
      <c r="DI165" s="208">
        <v>3706</v>
      </c>
      <c r="DJ165" s="208">
        <v>412</v>
      </c>
      <c r="DK165" s="208">
        <v>-1036</v>
      </c>
      <c r="DL165" s="208">
        <v>-234</v>
      </c>
      <c r="DM165" s="208">
        <v>-26</v>
      </c>
      <c r="DN165" s="208">
        <v>0</v>
      </c>
      <c r="DO165" s="208">
        <v>0</v>
      </c>
      <c r="DP165" s="208">
        <v>0</v>
      </c>
      <c r="DQ165" s="208">
        <v>0</v>
      </c>
      <c r="DR165" s="208">
        <v>0</v>
      </c>
      <c r="DS165" s="208">
        <v>0</v>
      </c>
      <c r="DT165" s="208">
        <v>0</v>
      </c>
      <c r="DU165" s="208">
        <v>0</v>
      </c>
      <c r="DV165" s="208">
        <v>0</v>
      </c>
      <c r="DW165" s="208">
        <v>10331.8675</v>
      </c>
      <c r="DX165" s="208">
        <v>2324.6701874999999</v>
      </c>
      <c r="DY165" s="208">
        <v>258.29668750000002</v>
      </c>
      <c r="DZ165" s="208">
        <v>8932</v>
      </c>
      <c r="EA165" s="208">
        <v>2010</v>
      </c>
      <c r="EB165" s="208">
        <v>223</v>
      </c>
      <c r="EC165" s="208">
        <v>1400</v>
      </c>
      <c r="ED165" s="208">
        <v>315</v>
      </c>
      <c r="EE165" s="208">
        <v>35</v>
      </c>
      <c r="EF165" s="208">
        <v>24527.08666666667</v>
      </c>
      <c r="EG165" s="208">
        <v>5518.5945000000002</v>
      </c>
      <c r="EH165" s="208">
        <v>613.17716666666672</v>
      </c>
      <c r="EI165" s="208">
        <v>-324.06</v>
      </c>
      <c r="EJ165" s="208">
        <v>-72.913499999999999</v>
      </c>
      <c r="EK165" s="208">
        <v>-8.1014999999999997</v>
      </c>
      <c r="EL165" s="208">
        <v>24527</v>
      </c>
      <c r="EM165" s="208">
        <v>5519</v>
      </c>
      <c r="EN165" s="208">
        <v>613</v>
      </c>
      <c r="EO165" s="208">
        <v>-324</v>
      </c>
      <c r="EP165" s="208">
        <v>-73</v>
      </c>
      <c r="EQ165" s="208">
        <v>-8</v>
      </c>
      <c r="ER165" s="208">
        <v>18696.870833333334</v>
      </c>
      <c r="ES165" s="208">
        <v>4206.7959374999991</v>
      </c>
      <c r="ET165" s="208">
        <v>467.42177083333337</v>
      </c>
      <c r="EU165" s="208">
        <v>18326</v>
      </c>
      <c r="EV165" s="208">
        <v>4123</v>
      </c>
      <c r="EW165" s="208">
        <v>458</v>
      </c>
      <c r="EX165" s="208">
        <v>371</v>
      </c>
      <c r="EY165" s="208">
        <v>84</v>
      </c>
      <c r="EZ165" s="208">
        <v>9</v>
      </c>
      <c r="FA165" s="208">
        <v>0</v>
      </c>
      <c r="FB165" s="208">
        <v>0</v>
      </c>
      <c r="FC165" s="208">
        <v>0</v>
      </c>
      <c r="FD165" s="208">
        <v>0</v>
      </c>
      <c r="FE165" s="208">
        <v>0</v>
      </c>
      <c r="FF165" s="208">
        <v>0</v>
      </c>
      <c r="FG165" s="208">
        <v>0</v>
      </c>
      <c r="FH165" s="208">
        <v>0</v>
      </c>
      <c r="FI165" s="208">
        <v>0</v>
      </c>
      <c r="FJ165" s="208">
        <v>133500.24416666667</v>
      </c>
      <c r="FK165" s="208">
        <v>30037.554937499997</v>
      </c>
      <c r="FL165" s="208">
        <v>3337.5061041666663</v>
      </c>
      <c r="FM165" s="208">
        <v>137303</v>
      </c>
      <c r="FN165" s="208">
        <v>30864</v>
      </c>
      <c r="FO165" s="208">
        <v>3429</v>
      </c>
      <c r="FP165" s="208">
        <v>-3803</v>
      </c>
      <c r="FQ165" s="208">
        <v>-826</v>
      </c>
      <c r="FR165" s="208">
        <v>-91</v>
      </c>
      <c r="FS165" s="208">
        <v>0</v>
      </c>
      <c r="FT165" s="208">
        <v>0</v>
      </c>
      <c r="FU165" s="208">
        <v>0</v>
      </c>
      <c r="FV165" s="208">
        <v>0</v>
      </c>
      <c r="FW165" s="208">
        <v>0</v>
      </c>
      <c r="FX165" s="208">
        <v>0</v>
      </c>
      <c r="FY165" s="208">
        <v>0</v>
      </c>
      <c r="FZ165" s="208">
        <v>0</v>
      </c>
      <c r="GA165" s="208">
        <v>0</v>
      </c>
      <c r="GB165" s="208">
        <v>1229376</v>
      </c>
      <c r="GC165" s="208">
        <v>276611</v>
      </c>
      <c r="GD165" s="208">
        <v>30734</v>
      </c>
      <c r="GE165" s="664">
        <v>0.5</v>
      </c>
      <c r="GF165" s="664">
        <v>0.4</v>
      </c>
      <c r="GG165" s="664">
        <v>0.09</v>
      </c>
      <c r="GH165" s="664">
        <v>0.01</v>
      </c>
      <c r="GI165" s="187" t="s">
        <v>1054</v>
      </c>
    </row>
    <row r="166" spans="2:191" s="187" customFormat="1" x14ac:dyDescent="0.2">
      <c r="B166" s="429" t="s">
        <v>409</v>
      </c>
      <c r="C166" s="429" t="s">
        <v>408</v>
      </c>
      <c r="D166" s="208">
        <v>-1104154</v>
      </c>
      <c r="E166" s="208">
        <v>-276284</v>
      </c>
      <c r="F166" s="208">
        <v>-1380438</v>
      </c>
      <c r="G166" s="208">
        <v>-2134378</v>
      </c>
      <c r="H166" s="208">
        <v>-208948</v>
      </c>
      <c r="I166" s="208">
        <v>-2343326</v>
      </c>
      <c r="J166" s="208">
        <v>1030224</v>
      </c>
      <c r="K166" s="208">
        <v>-67336</v>
      </c>
      <c r="L166" s="208">
        <v>962888</v>
      </c>
      <c r="M166" s="208">
        <v>1130659</v>
      </c>
      <c r="N166" s="208">
        <v>1130659</v>
      </c>
      <c r="O166" s="208">
        <v>0</v>
      </c>
      <c r="P166" s="208">
        <v>567752</v>
      </c>
      <c r="Q166" s="208">
        <v>0</v>
      </c>
      <c r="R166" s="208">
        <v>567752</v>
      </c>
      <c r="S166" s="208">
        <v>0</v>
      </c>
      <c r="T166" s="208">
        <v>0</v>
      </c>
      <c r="U166" s="208">
        <v>0</v>
      </c>
      <c r="V166" s="208">
        <v>0</v>
      </c>
      <c r="W166" s="208">
        <v>0</v>
      </c>
      <c r="X166" s="208">
        <v>0</v>
      </c>
      <c r="Y166" s="208">
        <v>0</v>
      </c>
      <c r="Z166" s="208">
        <v>0</v>
      </c>
      <c r="AA166" s="208">
        <v>0</v>
      </c>
      <c r="AB166" s="208">
        <v>0</v>
      </c>
      <c r="AC166" s="208">
        <v>0</v>
      </c>
      <c r="AD166" s="208">
        <v>0</v>
      </c>
      <c r="AE166" s="208">
        <v>0</v>
      </c>
      <c r="AF166" s="208">
        <v>0</v>
      </c>
      <c r="AG166" s="208">
        <v>0</v>
      </c>
      <c r="AH166" s="208">
        <v>0</v>
      </c>
      <c r="AI166" s="208">
        <v>0</v>
      </c>
      <c r="AJ166" s="208">
        <v>0</v>
      </c>
      <c r="AK166" s="208">
        <v>0</v>
      </c>
      <c r="AL166" s="208">
        <v>0</v>
      </c>
      <c r="AM166" s="208">
        <v>0</v>
      </c>
      <c r="AN166" s="208">
        <v>0</v>
      </c>
      <c r="AO166" s="208">
        <v>0</v>
      </c>
      <c r="AP166" s="208">
        <v>0</v>
      </c>
      <c r="AQ166" s="208">
        <v>0</v>
      </c>
      <c r="AR166" s="208">
        <v>0</v>
      </c>
      <c r="AS166" s="208">
        <v>0</v>
      </c>
      <c r="AT166" s="208">
        <v>0</v>
      </c>
      <c r="AU166" s="208">
        <v>0</v>
      </c>
      <c r="AV166" s="208">
        <v>0</v>
      </c>
      <c r="AW166" s="208">
        <v>0</v>
      </c>
      <c r="AX166" s="208">
        <v>0</v>
      </c>
      <c r="AY166" s="208">
        <v>0</v>
      </c>
      <c r="AZ166" s="208">
        <v>0</v>
      </c>
      <c r="BA166" s="208">
        <v>0</v>
      </c>
      <c r="BB166" s="208">
        <v>0</v>
      </c>
      <c r="BC166" s="208">
        <v>0</v>
      </c>
      <c r="BD166" s="208">
        <v>0</v>
      </c>
      <c r="BE166" s="208">
        <v>0</v>
      </c>
      <c r="BF166" s="208">
        <v>0</v>
      </c>
      <c r="BG166" s="208">
        <v>0</v>
      </c>
      <c r="BH166" s="208">
        <v>0</v>
      </c>
      <c r="BI166" s="208">
        <v>0</v>
      </c>
      <c r="BJ166" s="208">
        <v>0</v>
      </c>
      <c r="BK166" s="208">
        <v>0</v>
      </c>
      <c r="BL166" s="208">
        <v>0</v>
      </c>
      <c r="BM166" s="208">
        <v>0</v>
      </c>
      <c r="BN166" s="208">
        <v>0</v>
      </c>
      <c r="BO166" s="208">
        <v>13443405.255923251</v>
      </c>
      <c r="BP166" s="208">
        <v>0</v>
      </c>
      <c r="BQ166" s="208">
        <v>134277.64812258334</v>
      </c>
      <c r="BR166" s="208">
        <v>1274870</v>
      </c>
      <c r="BS166" s="208">
        <v>0</v>
      </c>
      <c r="BT166" s="208">
        <v>12474</v>
      </c>
      <c r="BU166" s="208">
        <v>12300418</v>
      </c>
      <c r="BV166" s="208">
        <v>0</v>
      </c>
      <c r="BW166" s="208">
        <v>123153</v>
      </c>
      <c r="BX166" s="208">
        <v>2417857</v>
      </c>
      <c r="BY166" s="208">
        <v>0</v>
      </c>
      <c r="BZ166" s="208">
        <v>23599</v>
      </c>
      <c r="CA166" s="208">
        <v>7643.7652499999995</v>
      </c>
      <c r="CB166" s="208">
        <v>0</v>
      </c>
      <c r="CC166" s="208">
        <v>77.20975</v>
      </c>
      <c r="CD166" s="208">
        <v>0</v>
      </c>
      <c r="CE166" s="208">
        <v>0</v>
      </c>
      <c r="CF166" s="208">
        <v>0</v>
      </c>
      <c r="CG166" s="208">
        <v>7644</v>
      </c>
      <c r="CH166" s="208">
        <v>0</v>
      </c>
      <c r="CI166" s="208">
        <v>77</v>
      </c>
      <c r="CJ166" s="208">
        <v>-21739.362562499999</v>
      </c>
      <c r="CK166" s="208">
        <v>0</v>
      </c>
      <c r="CL166" s="208">
        <v>-219.58952083333335</v>
      </c>
      <c r="CM166" s="208">
        <v>-20009.692312499999</v>
      </c>
      <c r="CN166" s="208">
        <v>0</v>
      </c>
      <c r="CO166" s="208">
        <v>-202.11810416666668</v>
      </c>
      <c r="CP166" s="208">
        <v>0</v>
      </c>
      <c r="CQ166" s="208">
        <v>0</v>
      </c>
      <c r="CR166" s="208">
        <v>0</v>
      </c>
      <c r="CS166" s="208">
        <v>0</v>
      </c>
      <c r="CT166" s="208">
        <v>0</v>
      </c>
      <c r="CU166" s="208">
        <v>0</v>
      </c>
      <c r="CV166" s="208">
        <v>0</v>
      </c>
      <c r="CW166" s="208">
        <v>0</v>
      </c>
      <c r="CX166" s="208">
        <v>0</v>
      </c>
      <c r="CY166" s="208">
        <v>0</v>
      </c>
      <c r="CZ166" s="208">
        <v>0</v>
      </c>
      <c r="DA166" s="208">
        <v>0</v>
      </c>
      <c r="DB166" s="208">
        <v>0</v>
      </c>
      <c r="DC166" s="208">
        <v>0</v>
      </c>
      <c r="DD166" s="208">
        <v>0</v>
      </c>
      <c r="DE166" s="208">
        <v>0</v>
      </c>
      <c r="DF166" s="208">
        <v>0</v>
      </c>
      <c r="DG166" s="208">
        <v>0</v>
      </c>
      <c r="DH166" s="208">
        <v>0</v>
      </c>
      <c r="DI166" s="208">
        <v>0</v>
      </c>
      <c r="DJ166" s="208">
        <v>0</v>
      </c>
      <c r="DK166" s="208">
        <v>0</v>
      </c>
      <c r="DL166" s="208">
        <v>0</v>
      </c>
      <c r="DM166" s="208">
        <v>0</v>
      </c>
      <c r="DN166" s="208">
        <v>0</v>
      </c>
      <c r="DO166" s="208">
        <v>0</v>
      </c>
      <c r="DP166" s="208">
        <v>0</v>
      </c>
      <c r="DQ166" s="208">
        <v>0</v>
      </c>
      <c r="DR166" s="208">
        <v>0</v>
      </c>
      <c r="DS166" s="208">
        <v>0</v>
      </c>
      <c r="DT166" s="208">
        <v>0</v>
      </c>
      <c r="DU166" s="208">
        <v>0</v>
      </c>
      <c r="DV166" s="208">
        <v>0</v>
      </c>
      <c r="DW166" s="208">
        <v>161977.27887499996</v>
      </c>
      <c r="DX166" s="208">
        <v>0</v>
      </c>
      <c r="DY166" s="208">
        <v>1624.9440416666666</v>
      </c>
      <c r="DZ166" s="208">
        <v>118376</v>
      </c>
      <c r="EA166" s="208">
        <v>0</v>
      </c>
      <c r="EB166" s="208">
        <v>1196</v>
      </c>
      <c r="EC166" s="208">
        <v>43601</v>
      </c>
      <c r="ED166" s="208">
        <v>0</v>
      </c>
      <c r="EE166" s="208">
        <v>429</v>
      </c>
      <c r="EF166" s="208">
        <v>741463.61106250004</v>
      </c>
      <c r="EG166" s="208">
        <v>0</v>
      </c>
      <c r="EH166" s="208">
        <v>7409.5889375000006</v>
      </c>
      <c r="EI166" s="208">
        <v>-17991.518645833334</v>
      </c>
      <c r="EJ166" s="208">
        <v>0</v>
      </c>
      <c r="EK166" s="208">
        <v>-212.30635416666669</v>
      </c>
      <c r="EL166" s="208">
        <v>746227</v>
      </c>
      <c r="EM166" s="208">
        <v>0</v>
      </c>
      <c r="EN166" s="208">
        <v>7538</v>
      </c>
      <c r="EO166" s="208">
        <v>-22755</v>
      </c>
      <c r="EP166" s="208">
        <v>0</v>
      </c>
      <c r="EQ166" s="208">
        <v>-341</v>
      </c>
      <c r="ER166" s="208">
        <v>131367.95016666668</v>
      </c>
      <c r="ES166" s="208">
        <v>0</v>
      </c>
      <c r="ET166" s="208">
        <v>1316.6165000000001</v>
      </c>
      <c r="EU166" s="208">
        <v>141786</v>
      </c>
      <c r="EV166" s="208">
        <v>0</v>
      </c>
      <c r="EW166" s="208">
        <v>1422</v>
      </c>
      <c r="EX166" s="208">
        <v>-10418</v>
      </c>
      <c r="EY166" s="208">
        <v>0</v>
      </c>
      <c r="EZ166" s="208">
        <v>-105</v>
      </c>
      <c r="FA166" s="208">
        <v>0</v>
      </c>
      <c r="FB166" s="208">
        <v>0</v>
      </c>
      <c r="FC166" s="208">
        <v>0</v>
      </c>
      <c r="FD166" s="208">
        <v>0</v>
      </c>
      <c r="FE166" s="208">
        <v>0</v>
      </c>
      <c r="FF166" s="208">
        <v>0</v>
      </c>
      <c r="FG166" s="208">
        <v>0</v>
      </c>
      <c r="FH166" s="208">
        <v>0</v>
      </c>
      <c r="FI166" s="208">
        <v>0</v>
      </c>
      <c r="FJ166" s="208">
        <v>7784711.551145833</v>
      </c>
      <c r="FK166" s="208">
        <v>0</v>
      </c>
      <c r="FL166" s="208">
        <v>78502.025937500002</v>
      </c>
      <c r="FM166" s="208">
        <v>7369379</v>
      </c>
      <c r="FN166" s="208">
        <v>0</v>
      </c>
      <c r="FO166" s="208">
        <v>74438</v>
      </c>
      <c r="FP166" s="208">
        <v>415333</v>
      </c>
      <c r="FQ166" s="208">
        <v>0</v>
      </c>
      <c r="FR166" s="208">
        <v>4064</v>
      </c>
      <c r="FS166" s="208">
        <v>1570454.29375</v>
      </c>
      <c r="FT166" s="208">
        <v>0</v>
      </c>
      <c r="FU166" s="208">
        <v>0</v>
      </c>
      <c r="FV166" s="208">
        <v>809520</v>
      </c>
      <c r="FW166" s="208">
        <v>0</v>
      </c>
      <c r="FX166" s="208">
        <v>0</v>
      </c>
      <c r="FY166" s="208">
        <v>760934</v>
      </c>
      <c r="FZ166" s="208">
        <v>0</v>
      </c>
      <c r="GA166" s="208">
        <v>0</v>
      </c>
      <c r="GB166" s="208">
        <v>25056153</v>
      </c>
      <c r="GC166" s="208">
        <v>0</v>
      </c>
      <c r="GD166" s="208">
        <v>235049</v>
      </c>
      <c r="GE166" s="664">
        <v>0</v>
      </c>
      <c r="GF166" s="664">
        <v>0.99</v>
      </c>
      <c r="GG166" s="664">
        <v>0</v>
      </c>
      <c r="GH166" s="664">
        <v>0.01</v>
      </c>
      <c r="GI166" s="187" t="s">
        <v>1056</v>
      </c>
    </row>
    <row r="167" spans="2:191" s="187" customFormat="1" x14ac:dyDescent="0.2">
      <c r="B167" s="429" t="s">
        <v>411</v>
      </c>
      <c r="C167" s="429" t="s">
        <v>410</v>
      </c>
      <c r="D167" s="208">
        <v>32755</v>
      </c>
      <c r="E167" s="208">
        <v>0</v>
      </c>
      <c r="F167" s="208">
        <v>32755</v>
      </c>
      <c r="G167" s="208">
        <v>279061</v>
      </c>
      <c r="H167" s="208">
        <v>0</v>
      </c>
      <c r="I167" s="208">
        <v>279061</v>
      </c>
      <c r="J167" s="208">
        <v>-246306</v>
      </c>
      <c r="K167" s="208">
        <v>0</v>
      </c>
      <c r="L167" s="208">
        <v>-246306</v>
      </c>
      <c r="M167" s="208">
        <v>127686</v>
      </c>
      <c r="N167" s="208">
        <v>127686</v>
      </c>
      <c r="O167" s="208">
        <v>0</v>
      </c>
      <c r="P167" s="208">
        <v>0</v>
      </c>
      <c r="Q167" s="208">
        <v>0</v>
      </c>
      <c r="R167" s="208">
        <v>0</v>
      </c>
      <c r="S167" s="208">
        <v>78039</v>
      </c>
      <c r="T167" s="208">
        <v>0</v>
      </c>
      <c r="U167" s="208">
        <v>70651</v>
      </c>
      <c r="V167" s="208">
        <v>0</v>
      </c>
      <c r="W167" s="208">
        <v>7388</v>
      </c>
      <c r="X167" s="208">
        <v>0</v>
      </c>
      <c r="Y167" s="208">
        <v>0</v>
      </c>
      <c r="Z167" s="208">
        <v>0</v>
      </c>
      <c r="AA167" s="208">
        <v>0</v>
      </c>
      <c r="AB167" s="208">
        <v>0</v>
      </c>
      <c r="AC167" s="208">
        <v>0</v>
      </c>
      <c r="AD167" s="208">
        <v>0</v>
      </c>
      <c r="AE167" s="208">
        <v>0</v>
      </c>
      <c r="AF167" s="208">
        <v>0</v>
      </c>
      <c r="AG167" s="208">
        <v>0</v>
      </c>
      <c r="AH167" s="208">
        <v>0</v>
      </c>
      <c r="AI167" s="208">
        <v>0</v>
      </c>
      <c r="AJ167" s="208">
        <v>0</v>
      </c>
      <c r="AK167" s="208">
        <v>0</v>
      </c>
      <c r="AL167" s="208">
        <v>0</v>
      </c>
      <c r="AM167" s="208">
        <v>0</v>
      </c>
      <c r="AN167" s="208">
        <v>0</v>
      </c>
      <c r="AO167" s="208">
        <v>0</v>
      </c>
      <c r="AP167" s="208">
        <v>0</v>
      </c>
      <c r="AQ167" s="208">
        <v>0</v>
      </c>
      <c r="AR167" s="208">
        <v>0</v>
      </c>
      <c r="AS167" s="208">
        <v>0</v>
      </c>
      <c r="AT167" s="208">
        <v>0</v>
      </c>
      <c r="AU167" s="208">
        <v>0</v>
      </c>
      <c r="AV167" s="208">
        <v>0</v>
      </c>
      <c r="AW167" s="208">
        <v>0</v>
      </c>
      <c r="AX167" s="208">
        <v>0</v>
      </c>
      <c r="AY167" s="208">
        <v>0</v>
      </c>
      <c r="AZ167" s="208">
        <v>0</v>
      </c>
      <c r="BA167" s="208">
        <v>0</v>
      </c>
      <c r="BB167" s="208">
        <v>0</v>
      </c>
      <c r="BC167" s="208">
        <v>0</v>
      </c>
      <c r="BD167" s="208">
        <v>0</v>
      </c>
      <c r="BE167" s="208">
        <v>0</v>
      </c>
      <c r="BF167" s="208">
        <v>0</v>
      </c>
      <c r="BG167" s="208">
        <v>0</v>
      </c>
      <c r="BH167" s="208">
        <v>0</v>
      </c>
      <c r="BI167" s="208">
        <v>0</v>
      </c>
      <c r="BJ167" s="208">
        <v>0</v>
      </c>
      <c r="BK167" s="208">
        <v>0</v>
      </c>
      <c r="BL167" s="208">
        <v>0</v>
      </c>
      <c r="BM167" s="208">
        <v>0</v>
      </c>
      <c r="BN167" s="208">
        <v>0</v>
      </c>
      <c r="BO167" s="208">
        <v>862221.80614166684</v>
      </c>
      <c r="BP167" s="208">
        <v>193999.90638187501</v>
      </c>
      <c r="BQ167" s="208">
        <v>21555.545153541665</v>
      </c>
      <c r="BR167" s="208">
        <v>44754</v>
      </c>
      <c r="BS167" s="208">
        <v>10070</v>
      </c>
      <c r="BT167" s="208">
        <v>1119</v>
      </c>
      <c r="BU167" s="208">
        <v>807450</v>
      </c>
      <c r="BV167" s="208">
        <v>181676</v>
      </c>
      <c r="BW167" s="208">
        <v>20186</v>
      </c>
      <c r="BX167" s="208">
        <v>99526</v>
      </c>
      <c r="BY167" s="208">
        <v>22394</v>
      </c>
      <c r="BZ167" s="208">
        <v>2489</v>
      </c>
      <c r="CA167" s="208">
        <v>1701.7241666666666</v>
      </c>
      <c r="CB167" s="208">
        <v>382.88793750000002</v>
      </c>
      <c r="CC167" s="208">
        <v>42.543104166666673</v>
      </c>
      <c r="CD167" s="208">
        <v>2407</v>
      </c>
      <c r="CE167" s="208">
        <v>541</v>
      </c>
      <c r="CF167" s="208">
        <v>60</v>
      </c>
      <c r="CG167" s="208">
        <v>-705</v>
      </c>
      <c r="CH167" s="208">
        <v>-158</v>
      </c>
      <c r="CI167" s="208">
        <v>-17</v>
      </c>
      <c r="CJ167" s="208">
        <v>0</v>
      </c>
      <c r="CK167" s="208">
        <v>0</v>
      </c>
      <c r="CL167" s="208">
        <v>0</v>
      </c>
      <c r="CM167" s="208">
        <v>0</v>
      </c>
      <c r="CN167" s="208">
        <v>0</v>
      </c>
      <c r="CO167" s="208">
        <v>0</v>
      </c>
      <c r="CP167" s="208">
        <v>613.75</v>
      </c>
      <c r="CQ167" s="208">
        <v>138.09375</v>
      </c>
      <c r="CR167" s="208">
        <v>15.34375</v>
      </c>
      <c r="CS167" s="208">
        <v>0</v>
      </c>
      <c r="CT167" s="208">
        <v>0</v>
      </c>
      <c r="CU167" s="208">
        <v>0</v>
      </c>
      <c r="CV167" s="208">
        <v>0</v>
      </c>
      <c r="CW167" s="208">
        <v>0</v>
      </c>
      <c r="CX167" s="208">
        <v>0</v>
      </c>
      <c r="CY167" s="208">
        <v>0</v>
      </c>
      <c r="CZ167" s="208">
        <v>0</v>
      </c>
      <c r="DA167" s="208">
        <v>0</v>
      </c>
      <c r="DB167" s="208">
        <v>0</v>
      </c>
      <c r="DC167" s="208">
        <v>0</v>
      </c>
      <c r="DD167" s="208">
        <v>0</v>
      </c>
      <c r="DE167" s="208">
        <v>0</v>
      </c>
      <c r="DF167" s="208">
        <v>0</v>
      </c>
      <c r="DG167" s="208">
        <v>0</v>
      </c>
      <c r="DH167" s="208">
        <v>0</v>
      </c>
      <c r="DI167" s="208">
        <v>0</v>
      </c>
      <c r="DJ167" s="208">
        <v>0</v>
      </c>
      <c r="DK167" s="208">
        <v>0</v>
      </c>
      <c r="DL167" s="208">
        <v>0</v>
      </c>
      <c r="DM167" s="208">
        <v>0</v>
      </c>
      <c r="DN167" s="208">
        <v>613.75</v>
      </c>
      <c r="DO167" s="208">
        <v>138.09375</v>
      </c>
      <c r="DP167" s="208">
        <v>15.34375</v>
      </c>
      <c r="DQ167" s="208">
        <v>614</v>
      </c>
      <c r="DR167" s="208">
        <v>138</v>
      </c>
      <c r="DS167" s="208">
        <v>15</v>
      </c>
      <c r="DT167" s="208">
        <v>0</v>
      </c>
      <c r="DU167" s="208">
        <v>0</v>
      </c>
      <c r="DV167" s="208">
        <v>0</v>
      </c>
      <c r="DW167" s="208">
        <v>3465.6416666666669</v>
      </c>
      <c r="DX167" s="208">
        <v>779.76937499999997</v>
      </c>
      <c r="DY167" s="208">
        <v>86.641041666666666</v>
      </c>
      <c r="DZ167" s="208">
        <v>1542</v>
      </c>
      <c r="EA167" s="208">
        <v>347</v>
      </c>
      <c r="EB167" s="208">
        <v>39</v>
      </c>
      <c r="EC167" s="208">
        <v>1924</v>
      </c>
      <c r="ED167" s="208">
        <v>433</v>
      </c>
      <c r="EE167" s="208">
        <v>48</v>
      </c>
      <c r="EF167" s="208">
        <v>32339.715000000004</v>
      </c>
      <c r="EG167" s="208">
        <v>7276.4358750000001</v>
      </c>
      <c r="EH167" s="208">
        <v>808.49287500000003</v>
      </c>
      <c r="EI167" s="208">
        <v>0</v>
      </c>
      <c r="EJ167" s="208">
        <v>0</v>
      </c>
      <c r="EK167" s="208">
        <v>0</v>
      </c>
      <c r="EL167" s="208">
        <v>30687</v>
      </c>
      <c r="EM167" s="208">
        <v>6905</v>
      </c>
      <c r="EN167" s="208">
        <v>767</v>
      </c>
      <c r="EO167" s="208">
        <v>1653</v>
      </c>
      <c r="EP167" s="208">
        <v>371</v>
      </c>
      <c r="EQ167" s="208">
        <v>41</v>
      </c>
      <c r="ER167" s="208">
        <v>8580.2250000000004</v>
      </c>
      <c r="ES167" s="208">
        <v>1930.5506249999999</v>
      </c>
      <c r="ET167" s="208">
        <v>214.50562500000001</v>
      </c>
      <c r="EU167" s="208">
        <v>15344</v>
      </c>
      <c r="EV167" s="208">
        <v>3452</v>
      </c>
      <c r="EW167" s="208">
        <v>384</v>
      </c>
      <c r="EX167" s="208">
        <v>-6764</v>
      </c>
      <c r="EY167" s="208">
        <v>-1521</v>
      </c>
      <c r="EZ167" s="208">
        <v>-169</v>
      </c>
      <c r="FA167" s="208">
        <v>0</v>
      </c>
      <c r="FB167" s="208">
        <v>0</v>
      </c>
      <c r="FC167" s="208">
        <v>0</v>
      </c>
      <c r="FD167" s="208">
        <v>0</v>
      </c>
      <c r="FE167" s="208">
        <v>0</v>
      </c>
      <c r="FF167" s="208">
        <v>0</v>
      </c>
      <c r="FG167" s="208">
        <v>0</v>
      </c>
      <c r="FH167" s="208">
        <v>0</v>
      </c>
      <c r="FI167" s="208">
        <v>0</v>
      </c>
      <c r="FJ167" s="208">
        <v>229084.74875</v>
      </c>
      <c r="FK167" s="208">
        <v>51141.679874999994</v>
      </c>
      <c r="FL167" s="208">
        <v>5682.4088750000001</v>
      </c>
      <c r="FM167" s="208">
        <v>254624</v>
      </c>
      <c r="FN167" s="208">
        <v>56926</v>
      </c>
      <c r="FO167" s="208">
        <v>6325</v>
      </c>
      <c r="FP167" s="208">
        <v>-25539</v>
      </c>
      <c r="FQ167" s="208">
        <v>-5784</v>
      </c>
      <c r="FR167" s="208">
        <v>-643</v>
      </c>
      <c r="FS167" s="208">
        <v>0</v>
      </c>
      <c r="FT167" s="208">
        <v>0</v>
      </c>
      <c r="FU167" s="208">
        <v>0</v>
      </c>
      <c r="FV167" s="208">
        <v>0</v>
      </c>
      <c r="FW167" s="208">
        <v>0</v>
      </c>
      <c r="FX167" s="208">
        <v>0</v>
      </c>
      <c r="FY167" s="208">
        <v>0</v>
      </c>
      <c r="FZ167" s="208">
        <v>0</v>
      </c>
      <c r="GA167" s="208">
        <v>0</v>
      </c>
      <c r="GB167" s="208">
        <v>1183377</v>
      </c>
      <c r="GC167" s="208">
        <v>265858</v>
      </c>
      <c r="GD167" s="208">
        <v>29540</v>
      </c>
      <c r="GE167" s="664">
        <v>0.5</v>
      </c>
      <c r="GF167" s="664">
        <v>0.4</v>
      </c>
      <c r="GG167" s="664">
        <v>0.09</v>
      </c>
      <c r="GH167" s="664">
        <v>0.01</v>
      </c>
      <c r="GI167" s="187" t="s">
        <v>1054</v>
      </c>
    </row>
    <row r="168" spans="2:191" s="187" customFormat="1" x14ac:dyDescent="0.2">
      <c r="B168" s="429" t="s">
        <v>413</v>
      </c>
      <c r="C168" s="429" t="s">
        <v>412</v>
      </c>
      <c r="D168" s="208">
        <v>-1620955</v>
      </c>
      <c r="E168" s="208">
        <v>0</v>
      </c>
      <c r="F168" s="208">
        <v>-1620955</v>
      </c>
      <c r="G168" s="208">
        <v>-3142709</v>
      </c>
      <c r="H168" s="208">
        <v>0</v>
      </c>
      <c r="I168" s="208">
        <v>-3142709</v>
      </c>
      <c r="J168" s="208">
        <v>1521754</v>
      </c>
      <c r="K168" s="208">
        <v>0</v>
      </c>
      <c r="L168" s="208">
        <v>1521754</v>
      </c>
      <c r="M168" s="208">
        <v>268967</v>
      </c>
      <c r="N168" s="208">
        <v>268967</v>
      </c>
      <c r="O168" s="208">
        <v>0</v>
      </c>
      <c r="P168" s="208">
        <v>23141</v>
      </c>
      <c r="Q168" s="208">
        <v>0</v>
      </c>
      <c r="R168" s="208">
        <v>23141</v>
      </c>
      <c r="S168" s="208">
        <v>0</v>
      </c>
      <c r="T168" s="208">
        <v>0</v>
      </c>
      <c r="U168" s="208">
        <v>0</v>
      </c>
      <c r="V168" s="208">
        <v>0</v>
      </c>
      <c r="W168" s="208">
        <v>0</v>
      </c>
      <c r="X168" s="208">
        <v>0</v>
      </c>
      <c r="Y168" s="208">
        <v>0</v>
      </c>
      <c r="Z168" s="208">
        <v>0</v>
      </c>
      <c r="AA168" s="208">
        <v>0</v>
      </c>
      <c r="AB168" s="208">
        <v>0</v>
      </c>
      <c r="AC168" s="208">
        <v>0</v>
      </c>
      <c r="AD168" s="208">
        <v>0</v>
      </c>
      <c r="AE168" s="208">
        <v>0</v>
      </c>
      <c r="AF168" s="208">
        <v>0</v>
      </c>
      <c r="AG168" s="208">
        <v>0</v>
      </c>
      <c r="AH168" s="208">
        <v>0</v>
      </c>
      <c r="AI168" s="208">
        <v>0</v>
      </c>
      <c r="AJ168" s="208">
        <v>0</v>
      </c>
      <c r="AK168" s="208">
        <v>0</v>
      </c>
      <c r="AL168" s="208">
        <v>0</v>
      </c>
      <c r="AM168" s="208">
        <v>0</v>
      </c>
      <c r="AN168" s="208">
        <v>0</v>
      </c>
      <c r="AO168" s="208">
        <v>0</v>
      </c>
      <c r="AP168" s="208">
        <v>0</v>
      </c>
      <c r="AQ168" s="208">
        <v>0</v>
      </c>
      <c r="AR168" s="208">
        <v>0</v>
      </c>
      <c r="AS168" s="208">
        <v>0</v>
      </c>
      <c r="AT168" s="208">
        <v>0</v>
      </c>
      <c r="AU168" s="208">
        <v>0</v>
      </c>
      <c r="AV168" s="208">
        <v>0</v>
      </c>
      <c r="AW168" s="208">
        <v>0</v>
      </c>
      <c r="AX168" s="208">
        <v>0</v>
      </c>
      <c r="AY168" s="208">
        <v>0</v>
      </c>
      <c r="AZ168" s="208">
        <v>0</v>
      </c>
      <c r="BA168" s="208">
        <v>0</v>
      </c>
      <c r="BB168" s="208">
        <v>0</v>
      </c>
      <c r="BC168" s="208">
        <v>0</v>
      </c>
      <c r="BD168" s="208">
        <v>0</v>
      </c>
      <c r="BE168" s="208">
        <v>0</v>
      </c>
      <c r="BF168" s="208">
        <v>0</v>
      </c>
      <c r="BG168" s="208">
        <v>0</v>
      </c>
      <c r="BH168" s="208">
        <v>0</v>
      </c>
      <c r="BI168" s="208">
        <v>0</v>
      </c>
      <c r="BJ168" s="208">
        <v>0</v>
      </c>
      <c r="BK168" s="208">
        <v>0</v>
      </c>
      <c r="BL168" s="208">
        <v>0</v>
      </c>
      <c r="BM168" s="208">
        <v>0</v>
      </c>
      <c r="BN168" s="208">
        <v>0</v>
      </c>
      <c r="BO168" s="208">
        <v>5080658.9820978753</v>
      </c>
      <c r="BP168" s="208">
        <v>0</v>
      </c>
      <c r="BQ168" s="208">
        <v>51319.787697958338</v>
      </c>
      <c r="BR168" s="208">
        <v>313640</v>
      </c>
      <c r="BS168" s="208">
        <v>0</v>
      </c>
      <c r="BT168" s="208">
        <v>3168</v>
      </c>
      <c r="BU168" s="208">
        <v>4812274</v>
      </c>
      <c r="BV168" s="208">
        <v>0</v>
      </c>
      <c r="BW168" s="208">
        <v>48609</v>
      </c>
      <c r="BX168" s="208">
        <v>582025</v>
      </c>
      <c r="BY168" s="208">
        <v>0</v>
      </c>
      <c r="BZ168" s="208">
        <v>5879</v>
      </c>
      <c r="CA168" s="208">
        <v>3429.9725624999992</v>
      </c>
      <c r="CB168" s="208">
        <v>0</v>
      </c>
      <c r="CC168" s="208">
        <v>34.646187499999996</v>
      </c>
      <c r="CD168" s="208">
        <v>22952</v>
      </c>
      <c r="CE168" s="208">
        <v>0</v>
      </c>
      <c r="CF168" s="208">
        <v>232</v>
      </c>
      <c r="CG168" s="208">
        <v>-19522</v>
      </c>
      <c r="CH168" s="208">
        <v>0</v>
      </c>
      <c r="CI168" s="208">
        <v>-197</v>
      </c>
      <c r="CJ168" s="208">
        <v>-252.1591875</v>
      </c>
      <c r="CK168" s="208">
        <v>0</v>
      </c>
      <c r="CL168" s="208">
        <v>-2.5470625</v>
      </c>
      <c r="CM168" s="208">
        <v>0</v>
      </c>
      <c r="CN168" s="208">
        <v>0</v>
      </c>
      <c r="CO168" s="208">
        <v>0</v>
      </c>
      <c r="CP168" s="208">
        <v>1417.7624999999998</v>
      </c>
      <c r="CQ168" s="208">
        <v>0</v>
      </c>
      <c r="CR168" s="208">
        <v>14.320833333333333</v>
      </c>
      <c r="CS168" s="208">
        <v>0</v>
      </c>
      <c r="CT168" s="208">
        <v>0</v>
      </c>
      <c r="CU168" s="208">
        <v>0</v>
      </c>
      <c r="CV168" s="208">
        <v>0</v>
      </c>
      <c r="CW168" s="208">
        <v>0</v>
      </c>
      <c r="CX168" s="208">
        <v>0</v>
      </c>
      <c r="CY168" s="208">
        <v>0</v>
      </c>
      <c r="CZ168" s="208">
        <v>0</v>
      </c>
      <c r="DA168" s="208">
        <v>0</v>
      </c>
      <c r="DB168" s="208">
        <v>0</v>
      </c>
      <c r="DC168" s="208">
        <v>0</v>
      </c>
      <c r="DD168" s="208">
        <v>0</v>
      </c>
      <c r="DE168" s="208">
        <v>1015.7255625</v>
      </c>
      <c r="DF168" s="208">
        <v>0</v>
      </c>
      <c r="DG168" s="208">
        <v>10.259854166666667</v>
      </c>
      <c r="DH168" s="208">
        <v>4347</v>
      </c>
      <c r="DI168" s="208">
        <v>0</v>
      </c>
      <c r="DJ168" s="208">
        <v>44</v>
      </c>
      <c r="DK168" s="208">
        <v>-3331</v>
      </c>
      <c r="DL168" s="208">
        <v>0</v>
      </c>
      <c r="DM168" s="208">
        <v>-34</v>
      </c>
      <c r="DN168" s="208">
        <v>1519.03125</v>
      </c>
      <c r="DO168" s="208">
        <v>0</v>
      </c>
      <c r="DP168" s="208">
        <v>15.34375</v>
      </c>
      <c r="DQ168" s="208">
        <v>1519</v>
      </c>
      <c r="DR168" s="208">
        <v>0</v>
      </c>
      <c r="DS168" s="208">
        <v>15</v>
      </c>
      <c r="DT168" s="208">
        <v>0</v>
      </c>
      <c r="DU168" s="208">
        <v>0</v>
      </c>
      <c r="DV168" s="208">
        <v>0</v>
      </c>
      <c r="DW168" s="208">
        <v>28785.642187500001</v>
      </c>
      <c r="DX168" s="208">
        <v>0</v>
      </c>
      <c r="DY168" s="208">
        <v>290.76406250000002</v>
      </c>
      <c r="DZ168" s="208">
        <v>37606</v>
      </c>
      <c r="EA168" s="208">
        <v>0</v>
      </c>
      <c r="EB168" s="208">
        <v>380</v>
      </c>
      <c r="EC168" s="208">
        <v>-8820</v>
      </c>
      <c r="ED168" s="208">
        <v>0</v>
      </c>
      <c r="EE168" s="208">
        <v>-89</v>
      </c>
      <c r="EF168" s="208">
        <v>262308.341625</v>
      </c>
      <c r="EG168" s="208">
        <v>0</v>
      </c>
      <c r="EH168" s="208">
        <v>2649.5792083333336</v>
      </c>
      <c r="EI168" s="208">
        <v>5688.2656875000002</v>
      </c>
      <c r="EJ168" s="208">
        <v>0</v>
      </c>
      <c r="EK168" s="208">
        <v>57.457229166666664</v>
      </c>
      <c r="EL168" s="208">
        <v>268086</v>
      </c>
      <c r="EM168" s="208">
        <v>0</v>
      </c>
      <c r="EN168" s="208">
        <v>2708</v>
      </c>
      <c r="EO168" s="208">
        <v>-89</v>
      </c>
      <c r="EP168" s="208">
        <v>0</v>
      </c>
      <c r="EQ168" s="208">
        <v>-1</v>
      </c>
      <c r="ER168" s="208">
        <v>70888.125</v>
      </c>
      <c r="ES168" s="208">
        <v>0</v>
      </c>
      <c r="ET168" s="208">
        <v>716.04166666666663</v>
      </c>
      <c r="EU168" s="208">
        <v>74939</v>
      </c>
      <c r="EV168" s="208">
        <v>0</v>
      </c>
      <c r="EW168" s="208">
        <v>757</v>
      </c>
      <c r="EX168" s="208">
        <v>-4051</v>
      </c>
      <c r="EY168" s="208">
        <v>0</v>
      </c>
      <c r="EZ168" s="208">
        <v>-41</v>
      </c>
      <c r="FA168" s="208">
        <v>0</v>
      </c>
      <c r="FB168" s="208">
        <v>0</v>
      </c>
      <c r="FC168" s="208">
        <v>0</v>
      </c>
      <c r="FD168" s="208">
        <v>0</v>
      </c>
      <c r="FE168" s="208">
        <v>0</v>
      </c>
      <c r="FF168" s="208">
        <v>0</v>
      </c>
      <c r="FG168" s="208">
        <v>0</v>
      </c>
      <c r="FH168" s="208">
        <v>0</v>
      </c>
      <c r="FI168" s="208">
        <v>0</v>
      </c>
      <c r="FJ168" s="208">
        <v>2008201.1858333333</v>
      </c>
      <c r="FK168" s="208">
        <v>0</v>
      </c>
      <c r="FL168" s="208">
        <v>20279.50375</v>
      </c>
      <c r="FM168" s="208">
        <v>1964473</v>
      </c>
      <c r="FN168" s="208">
        <v>0</v>
      </c>
      <c r="FO168" s="208">
        <v>19843</v>
      </c>
      <c r="FP168" s="208">
        <v>43728</v>
      </c>
      <c r="FQ168" s="208">
        <v>0</v>
      </c>
      <c r="FR168" s="208">
        <v>437</v>
      </c>
      <c r="FS168" s="208">
        <v>0</v>
      </c>
      <c r="FT168" s="208">
        <v>0</v>
      </c>
      <c r="FU168" s="208">
        <v>0</v>
      </c>
      <c r="FV168" s="208">
        <v>0</v>
      </c>
      <c r="FW168" s="208">
        <v>0</v>
      </c>
      <c r="FX168" s="208">
        <v>0</v>
      </c>
      <c r="FY168" s="208">
        <v>0</v>
      </c>
      <c r="FZ168" s="208">
        <v>0</v>
      </c>
      <c r="GA168" s="208">
        <v>0</v>
      </c>
      <c r="GB168" s="208">
        <v>7777301</v>
      </c>
      <c r="GC168" s="208">
        <v>0</v>
      </c>
      <c r="GD168" s="208">
        <v>78553</v>
      </c>
      <c r="GE168" s="664">
        <v>0</v>
      </c>
      <c r="GF168" s="664">
        <v>0.99</v>
      </c>
      <c r="GG168" s="664">
        <v>0</v>
      </c>
      <c r="GH168" s="664">
        <v>0.01</v>
      </c>
      <c r="GI168" s="187" t="s">
        <v>742</v>
      </c>
    </row>
    <row r="169" spans="2:191" s="187" customFormat="1" x14ac:dyDescent="0.2">
      <c r="B169" s="429" t="s">
        <v>415</v>
      </c>
      <c r="C169" s="429" t="s">
        <v>414</v>
      </c>
      <c r="D169" s="208">
        <v>451869</v>
      </c>
      <c r="E169" s="208">
        <v>0</v>
      </c>
      <c r="F169" s="208">
        <v>451869</v>
      </c>
      <c r="G169" s="208">
        <v>513050</v>
      </c>
      <c r="H169" s="208">
        <v>0</v>
      </c>
      <c r="I169" s="208">
        <v>513050</v>
      </c>
      <c r="J169" s="208">
        <v>-61181</v>
      </c>
      <c r="K169" s="208">
        <v>0</v>
      </c>
      <c r="L169" s="208">
        <v>-61181</v>
      </c>
      <c r="M169" s="208">
        <v>62355</v>
      </c>
      <c r="N169" s="208">
        <v>62355</v>
      </c>
      <c r="O169" s="208">
        <v>0</v>
      </c>
      <c r="P169" s="208">
        <v>0</v>
      </c>
      <c r="Q169" s="208">
        <v>0</v>
      </c>
      <c r="R169" s="208">
        <v>0</v>
      </c>
      <c r="S169" s="208">
        <v>138562</v>
      </c>
      <c r="T169" s="208">
        <v>0</v>
      </c>
      <c r="U169" s="208">
        <v>145000</v>
      </c>
      <c r="V169" s="208">
        <v>0</v>
      </c>
      <c r="W169" s="208">
        <v>-6438</v>
      </c>
      <c r="X169" s="208">
        <v>0</v>
      </c>
      <c r="Y169" s="208">
        <v>0</v>
      </c>
      <c r="Z169" s="208">
        <v>0</v>
      </c>
      <c r="AA169" s="208">
        <v>0</v>
      </c>
      <c r="AB169" s="208">
        <v>0</v>
      </c>
      <c r="AC169" s="208">
        <v>0</v>
      </c>
      <c r="AD169" s="208">
        <v>0</v>
      </c>
      <c r="AE169" s="208">
        <v>0</v>
      </c>
      <c r="AF169" s="208">
        <v>0</v>
      </c>
      <c r="AG169" s="208">
        <v>0</v>
      </c>
      <c r="AH169" s="208">
        <v>0</v>
      </c>
      <c r="AI169" s="208">
        <v>0</v>
      </c>
      <c r="AJ169" s="208">
        <v>0</v>
      </c>
      <c r="AK169" s="208">
        <v>0</v>
      </c>
      <c r="AL169" s="208">
        <v>0</v>
      </c>
      <c r="AM169" s="208">
        <v>0</v>
      </c>
      <c r="AN169" s="208">
        <v>0</v>
      </c>
      <c r="AO169" s="208">
        <v>0</v>
      </c>
      <c r="AP169" s="208">
        <v>0</v>
      </c>
      <c r="AQ169" s="208">
        <v>0</v>
      </c>
      <c r="AR169" s="208">
        <v>0</v>
      </c>
      <c r="AS169" s="208">
        <v>0</v>
      </c>
      <c r="AT169" s="208">
        <v>0</v>
      </c>
      <c r="AU169" s="208">
        <v>0</v>
      </c>
      <c r="AV169" s="208">
        <v>0</v>
      </c>
      <c r="AW169" s="208">
        <v>0</v>
      </c>
      <c r="AX169" s="208">
        <v>0</v>
      </c>
      <c r="AY169" s="208">
        <v>0</v>
      </c>
      <c r="AZ169" s="208">
        <v>0</v>
      </c>
      <c r="BA169" s="208">
        <v>0</v>
      </c>
      <c r="BB169" s="208">
        <v>0</v>
      </c>
      <c r="BC169" s="208">
        <v>0</v>
      </c>
      <c r="BD169" s="208">
        <v>0</v>
      </c>
      <c r="BE169" s="208">
        <v>0</v>
      </c>
      <c r="BF169" s="208">
        <v>0</v>
      </c>
      <c r="BG169" s="208">
        <v>0</v>
      </c>
      <c r="BH169" s="208">
        <v>0</v>
      </c>
      <c r="BI169" s="208">
        <v>0</v>
      </c>
      <c r="BJ169" s="208">
        <v>0</v>
      </c>
      <c r="BK169" s="208">
        <v>0</v>
      </c>
      <c r="BL169" s="208">
        <v>0</v>
      </c>
      <c r="BM169" s="208">
        <v>0</v>
      </c>
      <c r="BN169" s="208">
        <v>0</v>
      </c>
      <c r="BO169" s="208">
        <v>520271.10411666677</v>
      </c>
      <c r="BP169" s="208">
        <v>117060.99842624999</v>
      </c>
      <c r="BQ169" s="208">
        <v>13006.777602916667</v>
      </c>
      <c r="BR169" s="208">
        <v>33616</v>
      </c>
      <c r="BS169" s="208">
        <v>7564</v>
      </c>
      <c r="BT169" s="208">
        <v>840</v>
      </c>
      <c r="BU169" s="208">
        <v>489842</v>
      </c>
      <c r="BV169" s="208">
        <v>110215</v>
      </c>
      <c r="BW169" s="208">
        <v>12246</v>
      </c>
      <c r="BX169" s="208">
        <v>64045</v>
      </c>
      <c r="BY169" s="208">
        <v>14410</v>
      </c>
      <c r="BZ169" s="208">
        <v>1601</v>
      </c>
      <c r="CA169" s="208">
        <v>3560.9775000000004</v>
      </c>
      <c r="CB169" s="208">
        <v>801.21993750000001</v>
      </c>
      <c r="CC169" s="208">
        <v>89.024437500000005</v>
      </c>
      <c r="CD169" s="208">
        <v>5647</v>
      </c>
      <c r="CE169" s="208">
        <v>1270</v>
      </c>
      <c r="CF169" s="208">
        <v>141</v>
      </c>
      <c r="CG169" s="208">
        <v>-2086</v>
      </c>
      <c r="CH169" s="208">
        <v>-469</v>
      </c>
      <c r="CI169" s="208">
        <v>-52</v>
      </c>
      <c r="CJ169" s="208">
        <v>0</v>
      </c>
      <c r="CK169" s="208">
        <v>0</v>
      </c>
      <c r="CL169" s="208">
        <v>0</v>
      </c>
      <c r="CM169" s="208">
        <v>0</v>
      </c>
      <c r="CN169" s="208">
        <v>0</v>
      </c>
      <c r="CO169" s="208">
        <v>0</v>
      </c>
      <c r="CP169" s="208">
        <v>-105.56500000000001</v>
      </c>
      <c r="CQ169" s="208">
        <v>-23.752124999999999</v>
      </c>
      <c r="CR169" s="208">
        <v>-2.6391250000000004</v>
      </c>
      <c r="CS169" s="208">
        <v>0</v>
      </c>
      <c r="CT169" s="208">
        <v>0</v>
      </c>
      <c r="CU169" s="208">
        <v>0</v>
      </c>
      <c r="CV169" s="208">
        <v>0</v>
      </c>
      <c r="CW169" s="208">
        <v>0</v>
      </c>
      <c r="CX169" s="208">
        <v>0</v>
      </c>
      <c r="CY169" s="208">
        <v>0</v>
      </c>
      <c r="CZ169" s="208">
        <v>0</v>
      </c>
      <c r="DA169" s="208">
        <v>0</v>
      </c>
      <c r="DB169" s="208">
        <v>0</v>
      </c>
      <c r="DC169" s="208">
        <v>0</v>
      </c>
      <c r="DD169" s="208">
        <v>0</v>
      </c>
      <c r="DE169" s="208">
        <v>9410.4241666666676</v>
      </c>
      <c r="DF169" s="208">
        <v>2117.3454375000001</v>
      </c>
      <c r="DG169" s="208">
        <v>235.26060416666667</v>
      </c>
      <c r="DH169" s="208">
        <v>14485</v>
      </c>
      <c r="DI169" s="208">
        <v>3259</v>
      </c>
      <c r="DJ169" s="208">
        <v>362</v>
      </c>
      <c r="DK169" s="208">
        <v>-5075</v>
      </c>
      <c r="DL169" s="208">
        <v>-1142</v>
      </c>
      <c r="DM169" s="208">
        <v>-127</v>
      </c>
      <c r="DN169" s="208">
        <v>386.66250000000002</v>
      </c>
      <c r="DO169" s="208">
        <v>86.999062499999994</v>
      </c>
      <c r="DP169" s="208">
        <v>9.6665624999999995</v>
      </c>
      <c r="DQ169" s="208">
        <v>614</v>
      </c>
      <c r="DR169" s="208">
        <v>138</v>
      </c>
      <c r="DS169" s="208">
        <v>15</v>
      </c>
      <c r="DT169" s="208">
        <v>-227</v>
      </c>
      <c r="DU169" s="208">
        <v>-51</v>
      </c>
      <c r="DV169" s="208">
        <v>-5</v>
      </c>
      <c r="DW169" s="208">
        <v>6494.7025000000003</v>
      </c>
      <c r="DX169" s="208">
        <v>1461.3080625</v>
      </c>
      <c r="DY169" s="208">
        <v>162.36756249999999</v>
      </c>
      <c r="DZ169" s="208">
        <v>3273</v>
      </c>
      <c r="EA169" s="208">
        <v>737</v>
      </c>
      <c r="EB169" s="208">
        <v>82</v>
      </c>
      <c r="EC169" s="208">
        <v>3222</v>
      </c>
      <c r="ED169" s="208">
        <v>724</v>
      </c>
      <c r="EE169" s="208">
        <v>80</v>
      </c>
      <c r="EF169" s="208">
        <v>28876.119166666667</v>
      </c>
      <c r="EG169" s="208">
        <v>6497.1268124999997</v>
      </c>
      <c r="EH169" s="208">
        <v>721.90297916666668</v>
      </c>
      <c r="EI169" s="208">
        <v>-821.6066666666668</v>
      </c>
      <c r="EJ169" s="208">
        <v>-184.86150000000001</v>
      </c>
      <c r="EK169" s="208">
        <v>-20.540166666666668</v>
      </c>
      <c r="EL169" s="208">
        <v>29052</v>
      </c>
      <c r="EM169" s="208">
        <v>6536</v>
      </c>
      <c r="EN169" s="208">
        <v>726</v>
      </c>
      <c r="EO169" s="208">
        <v>-997</v>
      </c>
      <c r="EP169" s="208">
        <v>-224</v>
      </c>
      <c r="EQ169" s="208">
        <v>-25</v>
      </c>
      <c r="ER169" s="208">
        <v>9603.5508333333346</v>
      </c>
      <c r="ES169" s="208">
        <v>2160.7989375000002</v>
      </c>
      <c r="ET169" s="208">
        <v>240.08877083333334</v>
      </c>
      <c r="EU169" s="208">
        <v>11457</v>
      </c>
      <c r="EV169" s="208">
        <v>2578</v>
      </c>
      <c r="EW169" s="208">
        <v>286</v>
      </c>
      <c r="EX169" s="208">
        <v>-1853</v>
      </c>
      <c r="EY169" s="208">
        <v>-417</v>
      </c>
      <c r="EZ169" s="208">
        <v>-46</v>
      </c>
      <c r="FA169" s="208">
        <v>0</v>
      </c>
      <c r="FB169" s="208">
        <v>0</v>
      </c>
      <c r="FC169" s="208">
        <v>0</v>
      </c>
      <c r="FD169" s="208">
        <v>0</v>
      </c>
      <c r="FE169" s="208">
        <v>0</v>
      </c>
      <c r="FF169" s="208">
        <v>0</v>
      </c>
      <c r="FG169" s="208">
        <v>0</v>
      </c>
      <c r="FH169" s="208">
        <v>0</v>
      </c>
      <c r="FI169" s="208">
        <v>0</v>
      </c>
      <c r="FJ169" s="208">
        <v>134153.77250000002</v>
      </c>
      <c r="FK169" s="208">
        <v>29470.138499999997</v>
      </c>
      <c r="FL169" s="208">
        <v>3274.4598333333329</v>
      </c>
      <c r="FM169" s="208">
        <v>134324</v>
      </c>
      <c r="FN169" s="208">
        <v>29475</v>
      </c>
      <c r="FO169" s="208">
        <v>3275</v>
      </c>
      <c r="FP169" s="208">
        <v>-170</v>
      </c>
      <c r="FQ169" s="208">
        <v>-5</v>
      </c>
      <c r="FR169" s="208">
        <v>-1</v>
      </c>
      <c r="FS169" s="208">
        <v>0</v>
      </c>
      <c r="FT169" s="208">
        <v>0</v>
      </c>
      <c r="FU169" s="208">
        <v>0</v>
      </c>
      <c r="FV169" s="208">
        <v>0</v>
      </c>
      <c r="FW169" s="208">
        <v>0</v>
      </c>
      <c r="FX169" s="208">
        <v>0</v>
      </c>
      <c r="FY169" s="208">
        <v>0</v>
      </c>
      <c r="FZ169" s="208">
        <v>0</v>
      </c>
      <c r="GA169" s="208">
        <v>0</v>
      </c>
      <c r="GB169" s="208">
        <v>745446</v>
      </c>
      <c r="GC169" s="208">
        <v>167010</v>
      </c>
      <c r="GD169" s="208">
        <v>18555</v>
      </c>
      <c r="GE169" s="664">
        <v>0.5</v>
      </c>
      <c r="GF169" s="664">
        <v>0.4</v>
      </c>
      <c r="GG169" s="664">
        <v>0.09</v>
      </c>
      <c r="GH169" s="664">
        <v>0.01</v>
      </c>
      <c r="GI169" s="187" t="s">
        <v>1054</v>
      </c>
    </row>
    <row r="170" spans="2:191" s="187" customFormat="1" x14ac:dyDescent="0.2">
      <c r="B170" s="429" t="s">
        <v>417</v>
      </c>
      <c r="C170" s="429" t="s">
        <v>416</v>
      </c>
      <c r="D170" s="208">
        <v>708263</v>
      </c>
      <c r="E170" s="208">
        <v>0</v>
      </c>
      <c r="F170" s="208">
        <v>708263</v>
      </c>
      <c r="G170" s="208">
        <v>478201</v>
      </c>
      <c r="H170" s="208">
        <v>0</v>
      </c>
      <c r="I170" s="208">
        <v>478201</v>
      </c>
      <c r="J170" s="208">
        <v>230062</v>
      </c>
      <c r="K170" s="208">
        <v>0</v>
      </c>
      <c r="L170" s="208">
        <v>230062</v>
      </c>
      <c r="M170" s="208">
        <v>167260</v>
      </c>
      <c r="N170" s="208">
        <v>167260</v>
      </c>
      <c r="O170" s="208">
        <v>0</v>
      </c>
      <c r="P170" s="208">
        <v>0</v>
      </c>
      <c r="Q170" s="208">
        <v>0</v>
      </c>
      <c r="R170" s="208">
        <v>0</v>
      </c>
      <c r="S170" s="208">
        <v>121723</v>
      </c>
      <c r="T170" s="208">
        <v>0</v>
      </c>
      <c r="U170" s="208">
        <v>121723</v>
      </c>
      <c r="V170" s="208">
        <v>0</v>
      </c>
      <c r="W170" s="208">
        <v>0</v>
      </c>
      <c r="X170" s="208">
        <v>0</v>
      </c>
      <c r="Y170" s="208">
        <v>0</v>
      </c>
      <c r="Z170" s="208">
        <v>0</v>
      </c>
      <c r="AA170" s="208">
        <v>0</v>
      </c>
      <c r="AB170" s="208">
        <v>0</v>
      </c>
      <c r="AC170" s="208">
        <v>0</v>
      </c>
      <c r="AD170" s="208">
        <v>0</v>
      </c>
      <c r="AE170" s="208">
        <v>0</v>
      </c>
      <c r="AF170" s="208">
        <v>0</v>
      </c>
      <c r="AG170" s="208">
        <v>0</v>
      </c>
      <c r="AH170" s="208">
        <v>0</v>
      </c>
      <c r="AI170" s="208">
        <v>0</v>
      </c>
      <c r="AJ170" s="208">
        <v>0</v>
      </c>
      <c r="AK170" s="208">
        <v>0</v>
      </c>
      <c r="AL170" s="208">
        <v>0</v>
      </c>
      <c r="AM170" s="208">
        <v>0</v>
      </c>
      <c r="AN170" s="208">
        <v>0</v>
      </c>
      <c r="AO170" s="208">
        <v>0</v>
      </c>
      <c r="AP170" s="208">
        <v>0</v>
      </c>
      <c r="AQ170" s="208">
        <v>0</v>
      </c>
      <c r="AR170" s="208">
        <v>0</v>
      </c>
      <c r="AS170" s="208">
        <v>0</v>
      </c>
      <c r="AT170" s="208">
        <v>0</v>
      </c>
      <c r="AU170" s="208">
        <v>0</v>
      </c>
      <c r="AV170" s="208">
        <v>0</v>
      </c>
      <c r="AW170" s="208">
        <v>0</v>
      </c>
      <c r="AX170" s="208">
        <v>0</v>
      </c>
      <c r="AY170" s="208">
        <v>0</v>
      </c>
      <c r="AZ170" s="208">
        <v>0</v>
      </c>
      <c r="BA170" s="208">
        <v>0</v>
      </c>
      <c r="BB170" s="208">
        <v>0</v>
      </c>
      <c r="BC170" s="208">
        <v>0</v>
      </c>
      <c r="BD170" s="208">
        <v>0</v>
      </c>
      <c r="BE170" s="208">
        <v>0</v>
      </c>
      <c r="BF170" s="208">
        <v>0</v>
      </c>
      <c r="BG170" s="208">
        <v>0</v>
      </c>
      <c r="BH170" s="208">
        <v>0</v>
      </c>
      <c r="BI170" s="208">
        <v>0</v>
      </c>
      <c r="BJ170" s="208">
        <v>0</v>
      </c>
      <c r="BK170" s="208">
        <v>0</v>
      </c>
      <c r="BL170" s="208">
        <v>0</v>
      </c>
      <c r="BM170" s="208">
        <v>0</v>
      </c>
      <c r="BN170" s="208">
        <v>0</v>
      </c>
      <c r="BO170" s="208">
        <v>1414605.4272833334</v>
      </c>
      <c r="BP170" s="208">
        <v>318286.22113875003</v>
      </c>
      <c r="BQ170" s="208">
        <v>35365.135682083339</v>
      </c>
      <c r="BR170" s="208">
        <v>89268</v>
      </c>
      <c r="BS170" s="208">
        <v>20085</v>
      </c>
      <c r="BT170" s="208">
        <v>2232</v>
      </c>
      <c r="BU170" s="208">
        <v>1360767</v>
      </c>
      <c r="BV170" s="208">
        <v>306173</v>
      </c>
      <c r="BW170" s="208">
        <v>34019</v>
      </c>
      <c r="BX170" s="208">
        <v>143106</v>
      </c>
      <c r="BY170" s="208">
        <v>32198</v>
      </c>
      <c r="BZ170" s="208">
        <v>3578</v>
      </c>
      <c r="CA170" s="208">
        <v>288.87166666666667</v>
      </c>
      <c r="CB170" s="208">
        <v>64.996124999999992</v>
      </c>
      <c r="CC170" s="208">
        <v>7.2217916666666673</v>
      </c>
      <c r="CD170" s="208">
        <v>1336</v>
      </c>
      <c r="CE170" s="208">
        <v>300</v>
      </c>
      <c r="CF170" s="208">
        <v>33</v>
      </c>
      <c r="CG170" s="208">
        <v>-1047</v>
      </c>
      <c r="CH170" s="208">
        <v>-235</v>
      </c>
      <c r="CI170" s="208">
        <v>-26</v>
      </c>
      <c r="CJ170" s="208">
        <v>0</v>
      </c>
      <c r="CK170" s="208">
        <v>0</v>
      </c>
      <c r="CL170" s="208">
        <v>0</v>
      </c>
      <c r="CM170" s="208">
        <v>0</v>
      </c>
      <c r="CN170" s="208">
        <v>0</v>
      </c>
      <c r="CO170" s="208">
        <v>0</v>
      </c>
      <c r="CP170" s="208">
        <v>0</v>
      </c>
      <c r="CQ170" s="208">
        <v>0</v>
      </c>
      <c r="CR170" s="208">
        <v>0</v>
      </c>
      <c r="CS170" s="208">
        <v>0</v>
      </c>
      <c r="CT170" s="208">
        <v>0</v>
      </c>
      <c r="CU170" s="208">
        <v>0</v>
      </c>
      <c r="CV170" s="208">
        <v>0</v>
      </c>
      <c r="CW170" s="208">
        <v>0</v>
      </c>
      <c r="CX170" s="208">
        <v>0</v>
      </c>
      <c r="CY170" s="208">
        <v>0</v>
      </c>
      <c r="CZ170" s="208">
        <v>0</v>
      </c>
      <c r="DA170" s="208">
        <v>0</v>
      </c>
      <c r="DB170" s="208">
        <v>-3.2733333333333334</v>
      </c>
      <c r="DC170" s="208">
        <v>-0.73650000000000004</v>
      </c>
      <c r="DD170" s="208">
        <v>-8.1833333333333341E-2</v>
      </c>
      <c r="DE170" s="208">
        <v>8210.3383333333331</v>
      </c>
      <c r="DF170" s="208">
        <v>1847.3261249999998</v>
      </c>
      <c r="DG170" s="208">
        <v>205.25845833333332</v>
      </c>
      <c r="DH170" s="208">
        <v>9184</v>
      </c>
      <c r="DI170" s="208">
        <v>2066</v>
      </c>
      <c r="DJ170" s="208">
        <v>230</v>
      </c>
      <c r="DK170" s="208">
        <v>-974</v>
      </c>
      <c r="DL170" s="208">
        <v>-219</v>
      </c>
      <c r="DM170" s="208">
        <v>-25</v>
      </c>
      <c r="DN170" s="208">
        <v>0</v>
      </c>
      <c r="DO170" s="208">
        <v>0</v>
      </c>
      <c r="DP170" s="208">
        <v>0</v>
      </c>
      <c r="DQ170" s="208">
        <v>0</v>
      </c>
      <c r="DR170" s="208">
        <v>0</v>
      </c>
      <c r="DS170" s="208">
        <v>0</v>
      </c>
      <c r="DT170" s="208">
        <v>0</v>
      </c>
      <c r="DU170" s="208">
        <v>0</v>
      </c>
      <c r="DV170" s="208">
        <v>0</v>
      </c>
      <c r="DW170" s="208">
        <v>19233.288333333334</v>
      </c>
      <c r="DX170" s="208">
        <v>4327.4898749999993</v>
      </c>
      <c r="DY170" s="208">
        <v>480.83220833333331</v>
      </c>
      <c r="DZ170" s="208">
        <v>20957</v>
      </c>
      <c r="EA170" s="208">
        <v>4715</v>
      </c>
      <c r="EB170" s="208">
        <v>524</v>
      </c>
      <c r="EC170" s="208">
        <v>-1724</v>
      </c>
      <c r="ED170" s="208">
        <v>-388</v>
      </c>
      <c r="EE170" s="208">
        <v>-43</v>
      </c>
      <c r="EF170" s="208">
        <v>22083.543333333335</v>
      </c>
      <c r="EG170" s="208">
        <v>4968.7972499999996</v>
      </c>
      <c r="EH170" s="208">
        <v>552.0885833333333</v>
      </c>
      <c r="EI170" s="208">
        <v>3950.5041666666666</v>
      </c>
      <c r="EJ170" s="208">
        <v>888.86343749999992</v>
      </c>
      <c r="EK170" s="208">
        <v>98.762604166666662</v>
      </c>
      <c r="EL170" s="208">
        <v>69360</v>
      </c>
      <c r="EM170" s="208">
        <v>15606</v>
      </c>
      <c r="EN170" s="208">
        <v>1734</v>
      </c>
      <c r="EO170" s="208">
        <v>-43326</v>
      </c>
      <c r="EP170" s="208">
        <v>-9748</v>
      </c>
      <c r="EQ170" s="208">
        <v>-1083</v>
      </c>
      <c r="ER170" s="208">
        <v>20312.670000000002</v>
      </c>
      <c r="ES170" s="208">
        <v>4570.3507499999996</v>
      </c>
      <c r="ET170" s="208">
        <v>507.81675000000001</v>
      </c>
      <c r="EU170" s="208">
        <v>20049</v>
      </c>
      <c r="EV170" s="208">
        <v>4511</v>
      </c>
      <c r="EW170" s="208">
        <v>501</v>
      </c>
      <c r="EX170" s="208">
        <v>264</v>
      </c>
      <c r="EY170" s="208">
        <v>59</v>
      </c>
      <c r="EZ170" s="208">
        <v>7</v>
      </c>
      <c r="FA170" s="208">
        <v>0</v>
      </c>
      <c r="FB170" s="208">
        <v>0</v>
      </c>
      <c r="FC170" s="208">
        <v>0</v>
      </c>
      <c r="FD170" s="208">
        <v>0</v>
      </c>
      <c r="FE170" s="208">
        <v>0</v>
      </c>
      <c r="FF170" s="208">
        <v>0</v>
      </c>
      <c r="FG170" s="208">
        <v>0</v>
      </c>
      <c r="FH170" s="208">
        <v>0</v>
      </c>
      <c r="FI170" s="208">
        <v>0</v>
      </c>
      <c r="FJ170" s="208">
        <v>327393.20624999999</v>
      </c>
      <c r="FK170" s="208">
        <v>73035.837187500001</v>
      </c>
      <c r="FL170" s="208">
        <v>8115.093020833333</v>
      </c>
      <c r="FM170" s="208">
        <v>340259</v>
      </c>
      <c r="FN170" s="208">
        <v>75931</v>
      </c>
      <c r="FO170" s="208">
        <v>8437</v>
      </c>
      <c r="FP170" s="208">
        <v>-12866</v>
      </c>
      <c r="FQ170" s="208">
        <v>-2895</v>
      </c>
      <c r="FR170" s="208">
        <v>-322</v>
      </c>
      <c r="FS170" s="208">
        <v>0</v>
      </c>
      <c r="FT170" s="208">
        <v>0</v>
      </c>
      <c r="FU170" s="208">
        <v>0</v>
      </c>
      <c r="FV170" s="208">
        <v>0</v>
      </c>
      <c r="FW170" s="208">
        <v>0</v>
      </c>
      <c r="FX170" s="208">
        <v>0</v>
      </c>
      <c r="FY170" s="208">
        <v>0</v>
      </c>
      <c r="FZ170" s="208">
        <v>0</v>
      </c>
      <c r="GA170" s="208">
        <v>0</v>
      </c>
      <c r="GB170" s="208">
        <v>1905343</v>
      </c>
      <c r="GC170" s="208">
        <v>428073</v>
      </c>
      <c r="GD170" s="208">
        <v>47564</v>
      </c>
      <c r="GE170" s="664">
        <v>0.5</v>
      </c>
      <c r="GF170" s="664">
        <v>0.4</v>
      </c>
      <c r="GG170" s="664">
        <v>0.09</v>
      </c>
      <c r="GH170" s="664">
        <v>0.01</v>
      </c>
      <c r="GI170" s="187" t="s">
        <v>1054</v>
      </c>
    </row>
    <row r="171" spans="2:191" s="187" customFormat="1" x14ac:dyDescent="0.2">
      <c r="B171" s="429" t="s">
        <v>419</v>
      </c>
      <c r="C171" s="429" t="s">
        <v>418</v>
      </c>
      <c r="D171" s="208">
        <v>-892182</v>
      </c>
      <c r="E171" s="208">
        <v>0</v>
      </c>
      <c r="F171" s="208">
        <v>-892182</v>
      </c>
      <c r="G171" s="208">
        <v>-793917</v>
      </c>
      <c r="H171" s="208">
        <v>0</v>
      </c>
      <c r="I171" s="208">
        <v>-793917</v>
      </c>
      <c r="J171" s="208">
        <v>-98265</v>
      </c>
      <c r="K171" s="208">
        <v>0</v>
      </c>
      <c r="L171" s="208">
        <v>-98265</v>
      </c>
      <c r="M171" s="208">
        <v>265211</v>
      </c>
      <c r="N171" s="208">
        <v>265211</v>
      </c>
      <c r="O171" s="208">
        <v>0</v>
      </c>
      <c r="P171" s="208">
        <v>0</v>
      </c>
      <c r="Q171" s="208">
        <v>0</v>
      </c>
      <c r="R171" s="208">
        <v>0</v>
      </c>
      <c r="S171" s="208">
        <v>0</v>
      </c>
      <c r="T171" s="208">
        <v>0</v>
      </c>
      <c r="U171" s="208">
        <v>0</v>
      </c>
      <c r="V171" s="208">
        <v>0</v>
      </c>
      <c r="W171" s="208">
        <v>0</v>
      </c>
      <c r="X171" s="208">
        <v>0</v>
      </c>
      <c r="Y171" s="208">
        <v>0</v>
      </c>
      <c r="Z171" s="208">
        <v>0</v>
      </c>
      <c r="AA171" s="208">
        <v>0</v>
      </c>
      <c r="AB171" s="208">
        <v>0</v>
      </c>
      <c r="AC171" s="208">
        <v>0</v>
      </c>
      <c r="AD171" s="208">
        <v>0</v>
      </c>
      <c r="AE171" s="208">
        <v>0</v>
      </c>
      <c r="AF171" s="208">
        <v>0</v>
      </c>
      <c r="AG171" s="208">
        <v>0</v>
      </c>
      <c r="AH171" s="208">
        <v>0</v>
      </c>
      <c r="AI171" s="208">
        <v>0</v>
      </c>
      <c r="AJ171" s="208">
        <v>0</v>
      </c>
      <c r="AK171" s="208">
        <v>0</v>
      </c>
      <c r="AL171" s="208">
        <v>0</v>
      </c>
      <c r="AM171" s="208">
        <v>0</v>
      </c>
      <c r="AN171" s="208">
        <v>0</v>
      </c>
      <c r="AO171" s="208">
        <v>0</v>
      </c>
      <c r="AP171" s="208">
        <v>0</v>
      </c>
      <c r="AQ171" s="208">
        <v>0</v>
      </c>
      <c r="AR171" s="208">
        <v>0</v>
      </c>
      <c r="AS171" s="208">
        <v>0</v>
      </c>
      <c r="AT171" s="208">
        <v>0</v>
      </c>
      <c r="AU171" s="208">
        <v>0</v>
      </c>
      <c r="AV171" s="208">
        <v>0</v>
      </c>
      <c r="AW171" s="208">
        <v>0</v>
      </c>
      <c r="AX171" s="208">
        <v>0</v>
      </c>
      <c r="AY171" s="208">
        <v>0</v>
      </c>
      <c r="AZ171" s="208">
        <v>0</v>
      </c>
      <c r="BA171" s="208">
        <v>0</v>
      </c>
      <c r="BB171" s="208">
        <v>0</v>
      </c>
      <c r="BC171" s="208">
        <v>0</v>
      </c>
      <c r="BD171" s="208">
        <v>0</v>
      </c>
      <c r="BE171" s="208">
        <v>0</v>
      </c>
      <c r="BF171" s="208">
        <v>0</v>
      </c>
      <c r="BG171" s="208">
        <v>0</v>
      </c>
      <c r="BH171" s="208">
        <v>0</v>
      </c>
      <c r="BI171" s="208">
        <v>0</v>
      </c>
      <c r="BJ171" s="208">
        <v>0</v>
      </c>
      <c r="BK171" s="208">
        <v>0</v>
      </c>
      <c r="BL171" s="208">
        <v>0</v>
      </c>
      <c r="BM171" s="208">
        <v>0</v>
      </c>
      <c r="BN171" s="208">
        <v>0</v>
      </c>
      <c r="BO171" s="208">
        <v>2281615.9385853335</v>
      </c>
      <c r="BP171" s="208">
        <v>1283408.9654542499</v>
      </c>
      <c r="BQ171" s="208">
        <v>0</v>
      </c>
      <c r="BR171" s="208">
        <v>173288</v>
      </c>
      <c r="BS171" s="208">
        <v>97474</v>
      </c>
      <c r="BT171" s="208">
        <v>0</v>
      </c>
      <c r="BU171" s="208">
        <v>2296462</v>
      </c>
      <c r="BV171" s="208">
        <v>1291760</v>
      </c>
      <c r="BW171" s="208">
        <v>0</v>
      </c>
      <c r="BX171" s="208">
        <v>158442</v>
      </c>
      <c r="BY171" s="208">
        <v>89123</v>
      </c>
      <c r="BZ171" s="208">
        <v>0</v>
      </c>
      <c r="CA171" s="208">
        <v>0</v>
      </c>
      <c r="CB171" s="208">
        <v>0</v>
      </c>
      <c r="CC171" s="208">
        <v>0</v>
      </c>
      <c r="CD171" s="208">
        <v>0</v>
      </c>
      <c r="CE171" s="208">
        <v>0</v>
      </c>
      <c r="CF171" s="208">
        <v>0</v>
      </c>
      <c r="CG171" s="208">
        <v>0</v>
      </c>
      <c r="CH171" s="208">
        <v>0</v>
      </c>
      <c r="CI171" s="208">
        <v>0</v>
      </c>
      <c r="CJ171" s="208">
        <v>0</v>
      </c>
      <c r="CK171" s="208">
        <v>0</v>
      </c>
      <c r="CL171" s="208">
        <v>0</v>
      </c>
      <c r="CM171" s="208">
        <v>0</v>
      </c>
      <c r="CN171" s="208">
        <v>0</v>
      </c>
      <c r="CO171" s="208">
        <v>0</v>
      </c>
      <c r="CP171" s="208">
        <v>-1556.1426666666666</v>
      </c>
      <c r="CQ171" s="208">
        <v>-875.33024999999998</v>
      </c>
      <c r="CR171" s="208">
        <v>0</v>
      </c>
      <c r="CS171" s="208">
        <v>0</v>
      </c>
      <c r="CT171" s="208">
        <v>0</v>
      </c>
      <c r="CU171" s="208">
        <v>0</v>
      </c>
      <c r="CV171" s="208">
        <v>0</v>
      </c>
      <c r="CW171" s="208">
        <v>0</v>
      </c>
      <c r="CX171" s="208">
        <v>0</v>
      </c>
      <c r="CY171" s="208">
        <v>0</v>
      </c>
      <c r="CZ171" s="208">
        <v>0</v>
      </c>
      <c r="DA171" s="208">
        <v>0</v>
      </c>
      <c r="DB171" s="208">
        <v>0</v>
      </c>
      <c r="DC171" s="208">
        <v>0</v>
      </c>
      <c r="DD171" s="208">
        <v>0</v>
      </c>
      <c r="DE171" s="208">
        <v>0</v>
      </c>
      <c r="DF171" s="208">
        <v>0</v>
      </c>
      <c r="DG171" s="208">
        <v>0</v>
      </c>
      <c r="DH171" s="208">
        <v>0</v>
      </c>
      <c r="DI171" s="208">
        <v>0</v>
      </c>
      <c r="DJ171" s="208">
        <v>0</v>
      </c>
      <c r="DK171" s="208">
        <v>0</v>
      </c>
      <c r="DL171" s="208">
        <v>0</v>
      </c>
      <c r="DM171" s="208">
        <v>0</v>
      </c>
      <c r="DN171" s="208">
        <v>0</v>
      </c>
      <c r="DO171" s="208">
        <v>0</v>
      </c>
      <c r="DP171" s="208">
        <v>0</v>
      </c>
      <c r="DQ171" s="208">
        <v>0</v>
      </c>
      <c r="DR171" s="208">
        <v>0</v>
      </c>
      <c r="DS171" s="208">
        <v>0</v>
      </c>
      <c r="DT171" s="208">
        <v>0</v>
      </c>
      <c r="DU171" s="208">
        <v>0</v>
      </c>
      <c r="DV171" s="208">
        <v>0</v>
      </c>
      <c r="DW171" s="208">
        <v>15055.258040000001</v>
      </c>
      <c r="DX171" s="208">
        <v>8468.5826474999976</v>
      </c>
      <c r="DY171" s="208">
        <v>0</v>
      </c>
      <c r="DZ171" s="208">
        <v>14643</v>
      </c>
      <c r="EA171" s="208">
        <v>8237</v>
      </c>
      <c r="EB171" s="208">
        <v>0</v>
      </c>
      <c r="EC171" s="208">
        <v>412</v>
      </c>
      <c r="ED171" s="208">
        <v>232</v>
      </c>
      <c r="EE171" s="208">
        <v>0</v>
      </c>
      <c r="EF171" s="208">
        <v>136793.90933333334</v>
      </c>
      <c r="EG171" s="208">
        <v>76946.573999999993</v>
      </c>
      <c r="EH171" s="208">
        <v>0</v>
      </c>
      <c r="EI171" s="208">
        <v>-2027.5026666666668</v>
      </c>
      <c r="EJ171" s="208">
        <v>-1140.4702499999999</v>
      </c>
      <c r="EK171" s="208">
        <v>0</v>
      </c>
      <c r="EL171" s="208">
        <v>145990</v>
      </c>
      <c r="EM171" s="208">
        <v>82120</v>
      </c>
      <c r="EN171" s="208">
        <v>0</v>
      </c>
      <c r="EO171" s="208">
        <v>-11224</v>
      </c>
      <c r="EP171" s="208">
        <v>-6314</v>
      </c>
      <c r="EQ171" s="208">
        <v>0</v>
      </c>
      <c r="ER171" s="208">
        <v>10587.269333333334</v>
      </c>
      <c r="ES171" s="208">
        <v>5955.338999999999</v>
      </c>
      <c r="ET171" s="208">
        <v>0</v>
      </c>
      <c r="EU171" s="208">
        <v>17676</v>
      </c>
      <c r="EV171" s="208">
        <v>9943</v>
      </c>
      <c r="EW171" s="208">
        <v>0</v>
      </c>
      <c r="EX171" s="208">
        <v>-7089</v>
      </c>
      <c r="EY171" s="208">
        <v>-3988</v>
      </c>
      <c r="EZ171" s="208">
        <v>0</v>
      </c>
      <c r="FA171" s="208">
        <v>0</v>
      </c>
      <c r="FB171" s="208">
        <v>0</v>
      </c>
      <c r="FC171" s="208">
        <v>0</v>
      </c>
      <c r="FD171" s="208">
        <v>0</v>
      </c>
      <c r="FE171" s="208">
        <v>0</v>
      </c>
      <c r="FF171" s="208">
        <v>0</v>
      </c>
      <c r="FG171" s="208">
        <v>0</v>
      </c>
      <c r="FH171" s="208">
        <v>0</v>
      </c>
      <c r="FI171" s="208">
        <v>0</v>
      </c>
      <c r="FJ171" s="208">
        <v>1222915.4813333333</v>
      </c>
      <c r="FK171" s="208">
        <v>687889.95824999991</v>
      </c>
      <c r="FL171" s="208">
        <v>0</v>
      </c>
      <c r="FM171" s="208">
        <v>1290383</v>
      </c>
      <c r="FN171" s="208">
        <v>725841</v>
      </c>
      <c r="FO171" s="208">
        <v>0</v>
      </c>
      <c r="FP171" s="208">
        <v>-67468</v>
      </c>
      <c r="FQ171" s="208">
        <v>-37951</v>
      </c>
      <c r="FR171" s="208">
        <v>0</v>
      </c>
      <c r="FS171" s="208">
        <v>0</v>
      </c>
      <c r="FT171" s="208">
        <v>0</v>
      </c>
      <c r="FU171" s="208">
        <v>0</v>
      </c>
      <c r="FV171" s="208">
        <v>0</v>
      </c>
      <c r="FW171" s="208">
        <v>0</v>
      </c>
      <c r="FX171" s="208">
        <v>0</v>
      </c>
      <c r="FY171" s="208">
        <v>0</v>
      </c>
      <c r="FZ171" s="208">
        <v>0</v>
      </c>
      <c r="GA171" s="208">
        <v>0</v>
      </c>
      <c r="GB171" s="208">
        <v>3836671</v>
      </c>
      <c r="GC171" s="208">
        <v>2158129</v>
      </c>
      <c r="GD171" s="208">
        <v>0</v>
      </c>
      <c r="GE171" s="664">
        <v>0</v>
      </c>
      <c r="GF171" s="664">
        <v>0.64</v>
      </c>
      <c r="GG171" s="664">
        <v>0.36</v>
      </c>
      <c r="GH171" s="664">
        <v>0</v>
      </c>
      <c r="GI171" s="187" t="s">
        <v>1055</v>
      </c>
    </row>
    <row r="172" spans="2:191" s="187" customFormat="1" x14ac:dyDescent="0.2">
      <c r="B172" s="429" t="s">
        <v>421</v>
      </c>
      <c r="C172" s="429" t="s">
        <v>420</v>
      </c>
      <c r="D172" s="208">
        <v>281814</v>
      </c>
      <c r="E172" s="208">
        <v>0</v>
      </c>
      <c r="F172" s="208">
        <v>281814</v>
      </c>
      <c r="G172" s="208">
        <v>11650</v>
      </c>
      <c r="H172" s="208">
        <v>0</v>
      </c>
      <c r="I172" s="208">
        <v>11650</v>
      </c>
      <c r="J172" s="208">
        <v>270164</v>
      </c>
      <c r="K172" s="208">
        <v>0</v>
      </c>
      <c r="L172" s="208">
        <v>270164</v>
      </c>
      <c r="M172" s="208">
        <v>108153</v>
      </c>
      <c r="N172" s="208">
        <v>108153</v>
      </c>
      <c r="O172" s="208">
        <v>0</v>
      </c>
      <c r="P172" s="208">
        <v>0</v>
      </c>
      <c r="Q172" s="208">
        <v>0</v>
      </c>
      <c r="R172" s="208">
        <v>0</v>
      </c>
      <c r="S172" s="208">
        <v>175759</v>
      </c>
      <c r="T172" s="208">
        <v>0</v>
      </c>
      <c r="U172" s="208">
        <v>122920</v>
      </c>
      <c r="V172" s="208">
        <v>20160</v>
      </c>
      <c r="W172" s="208">
        <v>52839</v>
      </c>
      <c r="X172" s="208">
        <v>-20160</v>
      </c>
      <c r="Y172" s="208">
        <v>0</v>
      </c>
      <c r="Z172" s="208">
        <v>0</v>
      </c>
      <c r="AA172" s="208">
        <v>0</v>
      </c>
      <c r="AB172" s="208">
        <v>0</v>
      </c>
      <c r="AC172" s="208">
        <v>0</v>
      </c>
      <c r="AD172" s="208">
        <v>0</v>
      </c>
      <c r="AE172" s="208">
        <v>0</v>
      </c>
      <c r="AF172" s="208">
        <v>0</v>
      </c>
      <c r="AG172" s="208">
        <v>0</v>
      </c>
      <c r="AH172" s="208">
        <v>0</v>
      </c>
      <c r="AI172" s="208">
        <v>0</v>
      </c>
      <c r="AJ172" s="208">
        <v>0</v>
      </c>
      <c r="AK172" s="208">
        <v>0</v>
      </c>
      <c r="AL172" s="208">
        <v>0</v>
      </c>
      <c r="AM172" s="208">
        <v>0</v>
      </c>
      <c r="AN172" s="208">
        <v>0</v>
      </c>
      <c r="AO172" s="208">
        <v>0</v>
      </c>
      <c r="AP172" s="208">
        <v>0</v>
      </c>
      <c r="AQ172" s="208">
        <v>0</v>
      </c>
      <c r="AR172" s="208">
        <v>0</v>
      </c>
      <c r="AS172" s="208">
        <v>0</v>
      </c>
      <c r="AT172" s="208">
        <v>0</v>
      </c>
      <c r="AU172" s="208">
        <v>0</v>
      </c>
      <c r="AV172" s="208">
        <v>0</v>
      </c>
      <c r="AW172" s="208">
        <v>0</v>
      </c>
      <c r="AX172" s="208">
        <v>0</v>
      </c>
      <c r="AY172" s="208">
        <v>0</v>
      </c>
      <c r="AZ172" s="208">
        <v>0</v>
      </c>
      <c r="BA172" s="208">
        <v>0</v>
      </c>
      <c r="BB172" s="208">
        <v>0</v>
      </c>
      <c r="BC172" s="208">
        <v>0</v>
      </c>
      <c r="BD172" s="208">
        <v>0</v>
      </c>
      <c r="BE172" s="208">
        <v>0</v>
      </c>
      <c r="BF172" s="208">
        <v>0</v>
      </c>
      <c r="BG172" s="208">
        <v>0</v>
      </c>
      <c r="BH172" s="208">
        <v>0</v>
      </c>
      <c r="BI172" s="208">
        <v>0</v>
      </c>
      <c r="BJ172" s="208">
        <v>0</v>
      </c>
      <c r="BK172" s="208">
        <v>0</v>
      </c>
      <c r="BL172" s="208">
        <v>0</v>
      </c>
      <c r="BM172" s="208">
        <v>0</v>
      </c>
      <c r="BN172" s="208">
        <v>0</v>
      </c>
      <c r="BO172" s="208">
        <v>980256.97455000004</v>
      </c>
      <c r="BP172" s="208">
        <v>1445879.0374612501</v>
      </c>
      <c r="BQ172" s="208">
        <v>24506.424363750004</v>
      </c>
      <c r="BR172" s="208">
        <v>41949</v>
      </c>
      <c r="BS172" s="208">
        <v>61875</v>
      </c>
      <c r="BT172" s="208">
        <v>1049</v>
      </c>
      <c r="BU172" s="208">
        <v>891046</v>
      </c>
      <c r="BV172" s="208">
        <v>1314293</v>
      </c>
      <c r="BW172" s="208">
        <v>22276</v>
      </c>
      <c r="BX172" s="208">
        <v>131160</v>
      </c>
      <c r="BY172" s="208">
        <v>193461</v>
      </c>
      <c r="BZ172" s="208">
        <v>3279</v>
      </c>
      <c r="CA172" s="208">
        <v>6309.7591666666667</v>
      </c>
      <c r="CB172" s="208">
        <v>9306.8947708333326</v>
      </c>
      <c r="CC172" s="208">
        <v>157.74397916666666</v>
      </c>
      <c r="CD172" s="208">
        <v>0</v>
      </c>
      <c r="CE172" s="208">
        <v>0</v>
      </c>
      <c r="CF172" s="208">
        <v>0</v>
      </c>
      <c r="CG172" s="208">
        <v>6310</v>
      </c>
      <c r="CH172" s="208">
        <v>9307</v>
      </c>
      <c r="CI172" s="208">
        <v>158</v>
      </c>
      <c r="CJ172" s="208">
        <v>0</v>
      </c>
      <c r="CK172" s="208">
        <v>0</v>
      </c>
      <c r="CL172" s="208">
        <v>0</v>
      </c>
      <c r="CM172" s="208">
        <v>0</v>
      </c>
      <c r="CN172" s="208">
        <v>0</v>
      </c>
      <c r="CO172" s="208">
        <v>0</v>
      </c>
      <c r="CP172" s="208">
        <v>0</v>
      </c>
      <c r="CQ172" s="208">
        <v>0</v>
      </c>
      <c r="CR172" s="208">
        <v>0</v>
      </c>
      <c r="CS172" s="208">
        <v>0</v>
      </c>
      <c r="CT172" s="208">
        <v>0</v>
      </c>
      <c r="CU172" s="208">
        <v>0</v>
      </c>
      <c r="CV172" s="208">
        <v>0</v>
      </c>
      <c r="CW172" s="208">
        <v>0</v>
      </c>
      <c r="CX172" s="208">
        <v>0</v>
      </c>
      <c r="CY172" s="208">
        <v>0</v>
      </c>
      <c r="CZ172" s="208">
        <v>0</v>
      </c>
      <c r="DA172" s="208">
        <v>0</v>
      </c>
      <c r="DB172" s="208">
        <v>0</v>
      </c>
      <c r="DC172" s="208">
        <v>0</v>
      </c>
      <c r="DD172" s="208">
        <v>0</v>
      </c>
      <c r="DE172" s="208">
        <v>12699.715</v>
      </c>
      <c r="DF172" s="208">
        <v>18732.079625000002</v>
      </c>
      <c r="DG172" s="208">
        <v>317.49287500000003</v>
      </c>
      <c r="DH172" s="208">
        <v>0</v>
      </c>
      <c r="DI172" s="208">
        <v>0</v>
      </c>
      <c r="DJ172" s="208">
        <v>0</v>
      </c>
      <c r="DK172" s="208">
        <v>12700</v>
      </c>
      <c r="DL172" s="208">
        <v>18732</v>
      </c>
      <c r="DM172" s="208">
        <v>317</v>
      </c>
      <c r="DN172" s="208">
        <v>0</v>
      </c>
      <c r="DO172" s="208">
        <v>0</v>
      </c>
      <c r="DP172" s="208">
        <v>0</v>
      </c>
      <c r="DQ172" s="208">
        <v>0</v>
      </c>
      <c r="DR172" s="208">
        <v>0</v>
      </c>
      <c r="DS172" s="208">
        <v>0</v>
      </c>
      <c r="DT172" s="208">
        <v>0</v>
      </c>
      <c r="DU172" s="208">
        <v>0</v>
      </c>
      <c r="DV172" s="208">
        <v>0</v>
      </c>
      <c r="DW172" s="208">
        <v>10342.096666666666</v>
      </c>
      <c r="DX172" s="208">
        <v>15254.592583333331</v>
      </c>
      <c r="DY172" s="208">
        <v>258.55241666666666</v>
      </c>
      <c r="DZ172" s="208">
        <v>10141</v>
      </c>
      <c r="EA172" s="208">
        <v>14956</v>
      </c>
      <c r="EB172" s="208">
        <v>253</v>
      </c>
      <c r="EC172" s="208">
        <v>201</v>
      </c>
      <c r="ED172" s="208">
        <v>299</v>
      </c>
      <c r="EE172" s="208">
        <v>6</v>
      </c>
      <c r="EF172" s="208">
        <v>22851.14</v>
      </c>
      <c r="EG172" s="208">
        <v>33705.431499999999</v>
      </c>
      <c r="EH172" s="208">
        <v>571.27850000000001</v>
      </c>
      <c r="EI172" s="208">
        <v>426.64217500000007</v>
      </c>
      <c r="EJ172" s="208">
        <v>629.297208125</v>
      </c>
      <c r="EK172" s="208">
        <v>10.666054375000002</v>
      </c>
      <c r="EL172" s="208">
        <v>23461</v>
      </c>
      <c r="EM172" s="208">
        <v>34603</v>
      </c>
      <c r="EN172" s="208">
        <v>586</v>
      </c>
      <c r="EO172" s="208">
        <v>-183</v>
      </c>
      <c r="EP172" s="208">
        <v>-268</v>
      </c>
      <c r="EQ172" s="208">
        <v>-4</v>
      </c>
      <c r="ER172" s="208">
        <v>15652.261666666667</v>
      </c>
      <c r="ES172" s="208">
        <v>23087.085958333333</v>
      </c>
      <c r="ET172" s="208">
        <v>391.3065416666667</v>
      </c>
      <c r="EU172" s="208">
        <v>26964</v>
      </c>
      <c r="EV172" s="208">
        <v>39772</v>
      </c>
      <c r="EW172" s="208">
        <v>674</v>
      </c>
      <c r="EX172" s="208">
        <v>-11312</v>
      </c>
      <c r="EY172" s="208">
        <v>-16685</v>
      </c>
      <c r="EZ172" s="208">
        <v>-283</v>
      </c>
      <c r="FA172" s="208">
        <v>0</v>
      </c>
      <c r="FB172" s="208">
        <v>0</v>
      </c>
      <c r="FC172" s="208">
        <v>0</v>
      </c>
      <c r="FD172" s="208">
        <v>0</v>
      </c>
      <c r="FE172" s="208">
        <v>0</v>
      </c>
      <c r="FF172" s="208">
        <v>0</v>
      </c>
      <c r="FG172" s="208">
        <v>0</v>
      </c>
      <c r="FH172" s="208">
        <v>0</v>
      </c>
      <c r="FI172" s="208">
        <v>0</v>
      </c>
      <c r="FJ172" s="208">
        <v>134282.88958333334</v>
      </c>
      <c r="FK172" s="208">
        <v>192126.24177083332</v>
      </c>
      <c r="FL172" s="208">
        <v>3256.3769791666668</v>
      </c>
      <c r="FM172" s="208">
        <v>142793</v>
      </c>
      <c r="FN172" s="208">
        <v>206927</v>
      </c>
      <c r="FO172" s="208">
        <v>3499</v>
      </c>
      <c r="FP172" s="208">
        <v>-8510</v>
      </c>
      <c r="FQ172" s="208">
        <v>-14801</v>
      </c>
      <c r="FR172" s="208">
        <v>-243</v>
      </c>
      <c r="FS172" s="208">
        <v>0</v>
      </c>
      <c r="FT172" s="208">
        <v>0</v>
      </c>
      <c r="FU172" s="208">
        <v>0</v>
      </c>
      <c r="FV172" s="208">
        <v>0</v>
      </c>
      <c r="FW172" s="208">
        <v>0</v>
      </c>
      <c r="FX172" s="208">
        <v>0</v>
      </c>
      <c r="FY172" s="208">
        <v>0</v>
      </c>
      <c r="FZ172" s="208">
        <v>0</v>
      </c>
      <c r="GA172" s="208">
        <v>0</v>
      </c>
      <c r="GB172" s="208">
        <v>1224771</v>
      </c>
      <c r="GC172" s="208">
        <v>1800595</v>
      </c>
      <c r="GD172" s="208">
        <v>30518</v>
      </c>
      <c r="GE172" s="664">
        <v>0</v>
      </c>
      <c r="GF172" s="664">
        <v>0.4</v>
      </c>
      <c r="GG172" s="664">
        <v>0.59</v>
      </c>
      <c r="GH172" s="664">
        <v>0.01</v>
      </c>
      <c r="GI172" s="187" t="s">
        <v>1054</v>
      </c>
    </row>
    <row r="173" spans="2:191" s="187" customFormat="1" x14ac:dyDescent="0.2">
      <c r="B173" s="429" t="s">
        <v>423</v>
      </c>
      <c r="C173" s="429" t="s">
        <v>422</v>
      </c>
      <c r="D173" s="208">
        <v>339598</v>
      </c>
      <c r="E173" s="208">
        <v>0</v>
      </c>
      <c r="F173" s="208">
        <v>339598</v>
      </c>
      <c r="G173" s="208">
        <v>427140</v>
      </c>
      <c r="H173" s="208">
        <v>0</v>
      </c>
      <c r="I173" s="208">
        <v>427140</v>
      </c>
      <c r="J173" s="208">
        <v>-87542</v>
      </c>
      <c r="K173" s="208">
        <v>0</v>
      </c>
      <c r="L173" s="208">
        <v>-87542</v>
      </c>
      <c r="M173" s="208">
        <v>127133</v>
      </c>
      <c r="N173" s="208">
        <v>127133</v>
      </c>
      <c r="O173" s="208">
        <v>0</v>
      </c>
      <c r="P173" s="208">
        <v>0</v>
      </c>
      <c r="Q173" s="208">
        <v>38975</v>
      </c>
      <c r="R173" s="208">
        <v>-38975</v>
      </c>
      <c r="S173" s="208">
        <v>145050</v>
      </c>
      <c r="T173" s="208">
        <v>182854</v>
      </c>
      <c r="U173" s="208">
        <v>147679</v>
      </c>
      <c r="V173" s="208">
        <v>181857</v>
      </c>
      <c r="W173" s="208">
        <v>-2629</v>
      </c>
      <c r="X173" s="208">
        <v>997</v>
      </c>
      <c r="Y173" s="208">
        <v>0</v>
      </c>
      <c r="Z173" s="208">
        <v>0</v>
      </c>
      <c r="AA173" s="208">
        <v>0</v>
      </c>
      <c r="AB173" s="208">
        <v>0</v>
      </c>
      <c r="AC173" s="208">
        <v>0</v>
      </c>
      <c r="AD173" s="208">
        <v>0</v>
      </c>
      <c r="AE173" s="208">
        <v>0</v>
      </c>
      <c r="AF173" s="208">
        <v>0</v>
      </c>
      <c r="AG173" s="208">
        <v>0</v>
      </c>
      <c r="AH173" s="208">
        <v>0</v>
      </c>
      <c r="AI173" s="208">
        <v>0</v>
      </c>
      <c r="AJ173" s="208">
        <v>0</v>
      </c>
      <c r="AK173" s="208">
        <v>0</v>
      </c>
      <c r="AL173" s="208">
        <v>0</v>
      </c>
      <c r="AM173" s="208">
        <v>0</v>
      </c>
      <c r="AN173" s="208">
        <v>0</v>
      </c>
      <c r="AO173" s="208">
        <v>0</v>
      </c>
      <c r="AP173" s="208">
        <v>0</v>
      </c>
      <c r="AQ173" s="208">
        <v>0</v>
      </c>
      <c r="AR173" s="208">
        <v>0</v>
      </c>
      <c r="AS173" s="208">
        <v>0</v>
      </c>
      <c r="AT173" s="208">
        <v>0</v>
      </c>
      <c r="AU173" s="208">
        <v>0</v>
      </c>
      <c r="AV173" s="208">
        <v>0</v>
      </c>
      <c r="AW173" s="208">
        <v>0</v>
      </c>
      <c r="AX173" s="208">
        <v>0</v>
      </c>
      <c r="AY173" s="208">
        <v>0</v>
      </c>
      <c r="AZ173" s="208">
        <v>0</v>
      </c>
      <c r="BA173" s="208">
        <v>0</v>
      </c>
      <c r="BB173" s="208">
        <v>0</v>
      </c>
      <c r="BC173" s="208">
        <v>0</v>
      </c>
      <c r="BD173" s="208">
        <v>0</v>
      </c>
      <c r="BE173" s="208">
        <v>0</v>
      </c>
      <c r="BF173" s="208">
        <v>0</v>
      </c>
      <c r="BG173" s="208">
        <v>0</v>
      </c>
      <c r="BH173" s="208">
        <v>0</v>
      </c>
      <c r="BI173" s="208">
        <v>0</v>
      </c>
      <c r="BJ173" s="208">
        <v>0</v>
      </c>
      <c r="BK173" s="208">
        <v>0</v>
      </c>
      <c r="BL173" s="208">
        <v>0</v>
      </c>
      <c r="BM173" s="208">
        <v>0</v>
      </c>
      <c r="BN173" s="208">
        <v>0</v>
      </c>
      <c r="BO173" s="208">
        <v>1850023.5685250002</v>
      </c>
      <c r="BP173" s="208">
        <v>462505.89213125006</v>
      </c>
      <c r="BQ173" s="208">
        <v>0</v>
      </c>
      <c r="BR173" s="208">
        <v>113591</v>
      </c>
      <c r="BS173" s="208">
        <v>28398</v>
      </c>
      <c r="BT173" s="208">
        <v>0</v>
      </c>
      <c r="BU173" s="208">
        <v>1774321</v>
      </c>
      <c r="BV173" s="208">
        <v>443455</v>
      </c>
      <c r="BW173" s="208">
        <v>0</v>
      </c>
      <c r="BX173" s="208">
        <v>189294</v>
      </c>
      <c r="BY173" s="208">
        <v>47449</v>
      </c>
      <c r="BZ173" s="208">
        <v>0</v>
      </c>
      <c r="CA173" s="208">
        <v>16367.485000000002</v>
      </c>
      <c r="CB173" s="208">
        <v>4091.8712500000006</v>
      </c>
      <c r="CC173" s="208">
        <v>0</v>
      </c>
      <c r="CD173" s="208">
        <v>13334</v>
      </c>
      <c r="CE173" s="208">
        <v>3334</v>
      </c>
      <c r="CF173" s="208">
        <v>0</v>
      </c>
      <c r="CG173" s="208">
        <v>3033</v>
      </c>
      <c r="CH173" s="208">
        <v>758</v>
      </c>
      <c r="CI173" s="208">
        <v>0</v>
      </c>
      <c r="CJ173" s="208">
        <v>0</v>
      </c>
      <c r="CK173" s="208">
        <v>0</v>
      </c>
      <c r="CL173" s="208">
        <v>0</v>
      </c>
      <c r="CM173" s="208">
        <v>0</v>
      </c>
      <c r="CN173" s="208">
        <v>0</v>
      </c>
      <c r="CO173" s="208">
        <v>0</v>
      </c>
      <c r="CP173" s="208">
        <v>-12.275</v>
      </c>
      <c r="CQ173" s="208">
        <v>-3.0687500000000001</v>
      </c>
      <c r="CR173" s="208">
        <v>0</v>
      </c>
      <c r="CS173" s="208">
        <v>0</v>
      </c>
      <c r="CT173" s="208">
        <v>0</v>
      </c>
      <c r="CU173" s="208">
        <v>0</v>
      </c>
      <c r="CV173" s="208">
        <v>0</v>
      </c>
      <c r="CW173" s="208">
        <v>0</v>
      </c>
      <c r="CX173" s="208">
        <v>0</v>
      </c>
      <c r="CY173" s="208">
        <v>0</v>
      </c>
      <c r="CZ173" s="208">
        <v>0</v>
      </c>
      <c r="DA173" s="208">
        <v>0</v>
      </c>
      <c r="DB173" s="208">
        <v>0</v>
      </c>
      <c r="DC173" s="208">
        <v>0</v>
      </c>
      <c r="DD173" s="208">
        <v>0</v>
      </c>
      <c r="DE173" s="208">
        <v>45910.955000000002</v>
      </c>
      <c r="DF173" s="208">
        <v>11477.73875</v>
      </c>
      <c r="DG173" s="208">
        <v>0</v>
      </c>
      <c r="DH173" s="208">
        <v>46862</v>
      </c>
      <c r="DI173" s="208">
        <v>11716</v>
      </c>
      <c r="DJ173" s="208">
        <v>0</v>
      </c>
      <c r="DK173" s="208">
        <v>-951</v>
      </c>
      <c r="DL173" s="208">
        <v>-238</v>
      </c>
      <c r="DM173" s="208">
        <v>0</v>
      </c>
      <c r="DN173" s="208">
        <v>0</v>
      </c>
      <c r="DO173" s="208">
        <v>0</v>
      </c>
      <c r="DP173" s="208">
        <v>0</v>
      </c>
      <c r="DQ173" s="208">
        <v>0</v>
      </c>
      <c r="DR173" s="208">
        <v>0</v>
      </c>
      <c r="DS173" s="208">
        <v>0</v>
      </c>
      <c r="DT173" s="208">
        <v>0</v>
      </c>
      <c r="DU173" s="208">
        <v>0</v>
      </c>
      <c r="DV173" s="208">
        <v>0</v>
      </c>
      <c r="DW173" s="208">
        <v>48244.841666666667</v>
      </c>
      <c r="DX173" s="208">
        <v>12061.210416666667</v>
      </c>
      <c r="DY173" s="208">
        <v>0</v>
      </c>
      <c r="DZ173" s="208">
        <v>11293</v>
      </c>
      <c r="EA173" s="208">
        <v>2823</v>
      </c>
      <c r="EB173" s="208">
        <v>0</v>
      </c>
      <c r="EC173" s="208">
        <v>36952</v>
      </c>
      <c r="ED173" s="208">
        <v>9238</v>
      </c>
      <c r="EE173" s="208">
        <v>0</v>
      </c>
      <c r="EF173" s="208">
        <v>86183.593333333338</v>
      </c>
      <c r="EG173" s="208">
        <v>21545.898333333334</v>
      </c>
      <c r="EH173" s="208">
        <v>0</v>
      </c>
      <c r="EI173" s="208">
        <v>1792.15</v>
      </c>
      <c r="EJ173" s="208">
        <v>448.03750000000002</v>
      </c>
      <c r="EK173" s="208">
        <v>0</v>
      </c>
      <c r="EL173" s="208">
        <v>85925</v>
      </c>
      <c r="EM173" s="208">
        <v>21481</v>
      </c>
      <c r="EN173" s="208">
        <v>0</v>
      </c>
      <c r="EO173" s="208">
        <v>2051</v>
      </c>
      <c r="EP173" s="208">
        <v>513</v>
      </c>
      <c r="EQ173" s="208">
        <v>0</v>
      </c>
      <c r="ER173" s="208">
        <v>30627.761666666669</v>
      </c>
      <c r="ES173" s="208">
        <v>7656.9404166666673</v>
      </c>
      <c r="ET173" s="208">
        <v>0</v>
      </c>
      <c r="EU173" s="208">
        <v>33726</v>
      </c>
      <c r="EV173" s="208">
        <v>8432</v>
      </c>
      <c r="EW173" s="208">
        <v>0</v>
      </c>
      <c r="EX173" s="208">
        <v>-3098</v>
      </c>
      <c r="EY173" s="208">
        <v>-775</v>
      </c>
      <c r="EZ173" s="208">
        <v>0</v>
      </c>
      <c r="FA173" s="208">
        <v>0</v>
      </c>
      <c r="FB173" s="208">
        <v>0</v>
      </c>
      <c r="FC173" s="208">
        <v>0</v>
      </c>
      <c r="FD173" s="208">
        <v>0</v>
      </c>
      <c r="FE173" s="208">
        <v>0</v>
      </c>
      <c r="FF173" s="208">
        <v>0</v>
      </c>
      <c r="FG173" s="208">
        <v>0</v>
      </c>
      <c r="FH173" s="208">
        <v>0</v>
      </c>
      <c r="FI173" s="208">
        <v>0</v>
      </c>
      <c r="FJ173" s="208">
        <v>401144.0675</v>
      </c>
      <c r="FK173" s="208">
        <v>103645.40541666668</v>
      </c>
      <c r="FL173" s="208">
        <v>0</v>
      </c>
      <c r="FM173" s="208">
        <v>416735</v>
      </c>
      <c r="FN173" s="208">
        <v>107282</v>
      </c>
      <c r="FO173" s="208">
        <v>0</v>
      </c>
      <c r="FP173" s="208">
        <v>-15591</v>
      </c>
      <c r="FQ173" s="208">
        <v>-3637</v>
      </c>
      <c r="FR173" s="208">
        <v>0</v>
      </c>
      <c r="FS173" s="208">
        <v>0</v>
      </c>
      <c r="FT173" s="208">
        <v>0</v>
      </c>
      <c r="FU173" s="208">
        <v>0</v>
      </c>
      <c r="FV173" s="208">
        <v>0</v>
      </c>
      <c r="FW173" s="208">
        <v>0</v>
      </c>
      <c r="FX173" s="208">
        <v>0</v>
      </c>
      <c r="FY173" s="208">
        <v>0</v>
      </c>
      <c r="FZ173" s="208">
        <v>0</v>
      </c>
      <c r="GA173" s="208">
        <v>0</v>
      </c>
      <c r="GB173" s="208">
        <v>2593874</v>
      </c>
      <c r="GC173" s="208">
        <v>651828</v>
      </c>
      <c r="GD173" s="208">
        <v>0</v>
      </c>
      <c r="GE173" s="664">
        <v>0</v>
      </c>
      <c r="GF173" s="664">
        <v>0.8</v>
      </c>
      <c r="GG173" s="664">
        <v>0.2</v>
      </c>
      <c r="GH173" s="664">
        <v>0</v>
      </c>
      <c r="GI173" s="187" t="s">
        <v>1054</v>
      </c>
    </row>
    <row r="174" spans="2:191" s="187" customFormat="1" x14ac:dyDescent="0.2">
      <c r="B174" s="429" t="s">
        <v>425</v>
      </c>
      <c r="C174" s="429" t="s">
        <v>424</v>
      </c>
      <c r="D174" s="208">
        <v>775721</v>
      </c>
      <c r="E174" s="208">
        <v>0</v>
      </c>
      <c r="F174" s="208">
        <v>775721</v>
      </c>
      <c r="G174" s="208">
        <v>798052</v>
      </c>
      <c r="H174" s="208">
        <v>0</v>
      </c>
      <c r="I174" s="208">
        <v>798052</v>
      </c>
      <c r="J174" s="208">
        <v>-22331</v>
      </c>
      <c r="K174" s="208">
        <v>0</v>
      </c>
      <c r="L174" s="208">
        <v>-22331</v>
      </c>
      <c r="M174" s="208">
        <v>172762</v>
      </c>
      <c r="N174" s="208">
        <v>172762</v>
      </c>
      <c r="O174" s="208">
        <v>0</v>
      </c>
      <c r="P174" s="208">
        <v>0</v>
      </c>
      <c r="Q174" s="208">
        <v>0</v>
      </c>
      <c r="R174" s="208">
        <v>0</v>
      </c>
      <c r="S174" s="208">
        <v>0</v>
      </c>
      <c r="T174" s="208">
        <v>0</v>
      </c>
      <c r="U174" s="208">
        <v>0</v>
      </c>
      <c r="V174" s="208">
        <v>0</v>
      </c>
      <c r="W174" s="208">
        <v>0</v>
      </c>
      <c r="X174" s="208">
        <v>0</v>
      </c>
      <c r="Y174" s="208">
        <v>0</v>
      </c>
      <c r="Z174" s="208">
        <v>0</v>
      </c>
      <c r="AA174" s="208">
        <v>0</v>
      </c>
      <c r="AB174" s="208">
        <v>0</v>
      </c>
      <c r="AC174" s="208">
        <v>0</v>
      </c>
      <c r="AD174" s="208">
        <v>0</v>
      </c>
      <c r="AE174" s="208">
        <v>0</v>
      </c>
      <c r="AF174" s="208">
        <v>0</v>
      </c>
      <c r="AG174" s="208">
        <v>0</v>
      </c>
      <c r="AH174" s="208">
        <v>0</v>
      </c>
      <c r="AI174" s="208">
        <v>0</v>
      </c>
      <c r="AJ174" s="208">
        <v>0</v>
      </c>
      <c r="AK174" s="208">
        <v>0</v>
      </c>
      <c r="AL174" s="208">
        <v>0</v>
      </c>
      <c r="AM174" s="208">
        <v>0</v>
      </c>
      <c r="AN174" s="208">
        <v>0</v>
      </c>
      <c r="AO174" s="208">
        <v>0</v>
      </c>
      <c r="AP174" s="208">
        <v>0</v>
      </c>
      <c r="AQ174" s="208">
        <v>0</v>
      </c>
      <c r="AR174" s="208">
        <v>0</v>
      </c>
      <c r="AS174" s="208">
        <v>0</v>
      </c>
      <c r="AT174" s="208">
        <v>0</v>
      </c>
      <c r="AU174" s="208">
        <v>0</v>
      </c>
      <c r="AV174" s="208">
        <v>0</v>
      </c>
      <c r="AW174" s="208">
        <v>0</v>
      </c>
      <c r="AX174" s="208">
        <v>0</v>
      </c>
      <c r="AY174" s="208">
        <v>0</v>
      </c>
      <c r="AZ174" s="208">
        <v>0</v>
      </c>
      <c r="BA174" s="208">
        <v>0</v>
      </c>
      <c r="BB174" s="208">
        <v>0</v>
      </c>
      <c r="BC174" s="208">
        <v>0</v>
      </c>
      <c r="BD174" s="208">
        <v>0</v>
      </c>
      <c r="BE174" s="208">
        <v>0</v>
      </c>
      <c r="BF174" s="208">
        <v>0</v>
      </c>
      <c r="BG174" s="208">
        <v>0</v>
      </c>
      <c r="BH174" s="208">
        <v>0</v>
      </c>
      <c r="BI174" s="208">
        <v>0</v>
      </c>
      <c r="BJ174" s="208">
        <v>0</v>
      </c>
      <c r="BK174" s="208">
        <v>0</v>
      </c>
      <c r="BL174" s="208">
        <v>0</v>
      </c>
      <c r="BM174" s="208">
        <v>0</v>
      </c>
      <c r="BN174" s="208">
        <v>0</v>
      </c>
      <c r="BO174" s="208">
        <v>1315167.1314208335</v>
      </c>
      <c r="BP174" s="208">
        <v>328791.78285520838</v>
      </c>
      <c r="BQ174" s="208">
        <v>0</v>
      </c>
      <c r="BR174" s="208">
        <v>119768</v>
      </c>
      <c r="BS174" s="208">
        <v>29942</v>
      </c>
      <c r="BT174" s="208">
        <v>0</v>
      </c>
      <c r="BU174" s="208">
        <v>1226417</v>
      </c>
      <c r="BV174" s="208">
        <v>306604</v>
      </c>
      <c r="BW174" s="208">
        <v>0</v>
      </c>
      <c r="BX174" s="208">
        <v>208518</v>
      </c>
      <c r="BY174" s="208">
        <v>52130</v>
      </c>
      <c r="BZ174" s="208">
        <v>0</v>
      </c>
      <c r="CA174" s="208">
        <v>0</v>
      </c>
      <c r="CB174" s="208">
        <v>0</v>
      </c>
      <c r="CC174" s="208">
        <v>0</v>
      </c>
      <c r="CD174" s="208">
        <v>0</v>
      </c>
      <c r="CE174" s="208">
        <v>0</v>
      </c>
      <c r="CF174" s="208">
        <v>0</v>
      </c>
      <c r="CG174" s="208">
        <v>0</v>
      </c>
      <c r="CH174" s="208">
        <v>0</v>
      </c>
      <c r="CI174" s="208">
        <v>0</v>
      </c>
      <c r="CJ174" s="208">
        <v>0</v>
      </c>
      <c r="CK174" s="208">
        <v>0</v>
      </c>
      <c r="CL174" s="208">
        <v>0</v>
      </c>
      <c r="CM174" s="208">
        <v>0</v>
      </c>
      <c r="CN174" s="208">
        <v>0</v>
      </c>
      <c r="CO174" s="208">
        <v>0</v>
      </c>
      <c r="CP174" s="208">
        <v>0</v>
      </c>
      <c r="CQ174" s="208">
        <v>0</v>
      </c>
      <c r="CR174" s="208">
        <v>0</v>
      </c>
      <c r="CS174" s="208">
        <v>0</v>
      </c>
      <c r="CT174" s="208">
        <v>0</v>
      </c>
      <c r="CU174" s="208">
        <v>0</v>
      </c>
      <c r="CV174" s="208">
        <v>0</v>
      </c>
      <c r="CW174" s="208">
        <v>0</v>
      </c>
      <c r="CX174" s="208">
        <v>0</v>
      </c>
      <c r="CY174" s="208">
        <v>0</v>
      </c>
      <c r="CZ174" s="208">
        <v>0</v>
      </c>
      <c r="DA174" s="208">
        <v>0</v>
      </c>
      <c r="DB174" s="208">
        <v>0</v>
      </c>
      <c r="DC174" s="208">
        <v>0</v>
      </c>
      <c r="DD174" s="208">
        <v>0</v>
      </c>
      <c r="DE174" s="208">
        <v>2721.3675000000003</v>
      </c>
      <c r="DF174" s="208">
        <v>680.34187500000007</v>
      </c>
      <c r="DG174" s="208">
        <v>0</v>
      </c>
      <c r="DH174" s="208">
        <v>1438</v>
      </c>
      <c r="DI174" s="208">
        <v>359</v>
      </c>
      <c r="DJ174" s="208">
        <v>0</v>
      </c>
      <c r="DK174" s="208">
        <v>1283</v>
      </c>
      <c r="DL174" s="208">
        <v>321</v>
      </c>
      <c r="DM174" s="208">
        <v>0</v>
      </c>
      <c r="DN174" s="208">
        <v>0</v>
      </c>
      <c r="DO174" s="208">
        <v>0</v>
      </c>
      <c r="DP174" s="208">
        <v>0</v>
      </c>
      <c r="DQ174" s="208">
        <v>0</v>
      </c>
      <c r="DR174" s="208">
        <v>0</v>
      </c>
      <c r="DS174" s="208">
        <v>0</v>
      </c>
      <c r="DT174" s="208">
        <v>0</v>
      </c>
      <c r="DU174" s="208">
        <v>0</v>
      </c>
      <c r="DV174" s="208">
        <v>0</v>
      </c>
      <c r="DW174" s="208">
        <v>23924.793333333335</v>
      </c>
      <c r="DX174" s="208">
        <v>5981.1983333333337</v>
      </c>
      <c r="DY174" s="208">
        <v>0</v>
      </c>
      <c r="DZ174" s="208">
        <v>34677</v>
      </c>
      <c r="EA174" s="208">
        <v>8669</v>
      </c>
      <c r="EB174" s="208">
        <v>0</v>
      </c>
      <c r="EC174" s="208">
        <v>-10752</v>
      </c>
      <c r="ED174" s="208">
        <v>-2688</v>
      </c>
      <c r="EE174" s="208">
        <v>0</v>
      </c>
      <c r="EF174" s="208">
        <v>73715.875833333339</v>
      </c>
      <c r="EG174" s="208">
        <v>18428.968958333335</v>
      </c>
      <c r="EH174" s="208">
        <v>0</v>
      </c>
      <c r="EI174" s="208">
        <v>34154.778333333335</v>
      </c>
      <c r="EJ174" s="208">
        <v>8538.6945833333339</v>
      </c>
      <c r="EK174" s="208">
        <v>0</v>
      </c>
      <c r="EL174" s="208">
        <v>75271</v>
      </c>
      <c r="EM174" s="208">
        <v>18818</v>
      </c>
      <c r="EN174" s="208">
        <v>0</v>
      </c>
      <c r="EO174" s="208">
        <v>32600</v>
      </c>
      <c r="EP174" s="208">
        <v>8150</v>
      </c>
      <c r="EQ174" s="208">
        <v>0</v>
      </c>
      <c r="ER174" s="208">
        <v>17420.68</v>
      </c>
      <c r="ES174" s="208">
        <v>4355.17</v>
      </c>
      <c r="ET174" s="208">
        <v>0</v>
      </c>
      <c r="EU174" s="208">
        <v>14321</v>
      </c>
      <c r="EV174" s="208">
        <v>3580</v>
      </c>
      <c r="EW174" s="208">
        <v>0</v>
      </c>
      <c r="EX174" s="208">
        <v>3100</v>
      </c>
      <c r="EY174" s="208">
        <v>775</v>
      </c>
      <c r="EZ174" s="208">
        <v>0</v>
      </c>
      <c r="FA174" s="208">
        <v>0</v>
      </c>
      <c r="FB174" s="208">
        <v>0</v>
      </c>
      <c r="FC174" s="208">
        <v>0</v>
      </c>
      <c r="FD174" s="208">
        <v>0</v>
      </c>
      <c r="FE174" s="208">
        <v>0</v>
      </c>
      <c r="FF174" s="208">
        <v>0</v>
      </c>
      <c r="FG174" s="208">
        <v>0</v>
      </c>
      <c r="FH174" s="208">
        <v>0</v>
      </c>
      <c r="FI174" s="208">
        <v>0</v>
      </c>
      <c r="FJ174" s="208">
        <v>409270.04250000004</v>
      </c>
      <c r="FK174" s="208">
        <v>102317.51062500001</v>
      </c>
      <c r="FL174" s="208">
        <v>0</v>
      </c>
      <c r="FM174" s="208">
        <v>415366</v>
      </c>
      <c r="FN174" s="208">
        <v>103841</v>
      </c>
      <c r="FO174" s="208">
        <v>0</v>
      </c>
      <c r="FP174" s="208">
        <v>-6096</v>
      </c>
      <c r="FQ174" s="208">
        <v>-1523</v>
      </c>
      <c r="FR174" s="208">
        <v>0</v>
      </c>
      <c r="FS174" s="208">
        <v>0</v>
      </c>
      <c r="FT174" s="208">
        <v>0</v>
      </c>
      <c r="FU174" s="208">
        <v>0</v>
      </c>
      <c r="FV174" s="208">
        <v>0</v>
      </c>
      <c r="FW174" s="208">
        <v>0</v>
      </c>
      <c r="FX174" s="208">
        <v>0</v>
      </c>
      <c r="FY174" s="208">
        <v>0</v>
      </c>
      <c r="FZ174" s="208">
        <v>0</v>
      </c>
      <c r="GA174" s="208">
        <v>0</v>
      </c>
      <c r="GB174" s="208">
        <v>1996143</v>
      </c>
      <c r="GC174" s="208">
        <v>499036</v>
      </c>
      <c r="GD174" s="208">
        <v>0</v>
      </c>
      <c r="GE174" s="664">
        <v>0.5</v>
      </c>
      <c r="GF174" s="664">
        <v>0.4</v>
      </c>
      <c r="GG174" s="664">
        <v>0.1</v>
      </c>
      <c r="GH174" s="664">
        <v>0</v>
      </c>
      <c r="GI174" s="187" t="s">
        <v>1054</v>
      </c>
    </row>
    <row r="175" spans="2:191" s="187" customFormat="1" x14ac:dyDescent="0.2">
      <c r="B175" s="429" t="s">
        <v>427</v>
      </c>
      <c r="C175" s="429" t="s">
        <v>426</v>
      </c>
      <c r="D175" s="208">
        <v>-3562840</v>
      </c>
      <c r="E175" s="208">
        <v>-328633</v>
      </c>
      <c r="F175" s="208">
        <v>-3891473</v>
      </c>
      <c r="G175" s="208">
        <v>-3820784</v>
      </c>
      <c r="H175" s="208">
        <v>-396431</v>
      </c>
      <c r="I175" s="208">
        <v>-4217215</v>
      </c>
      <c r="J175" s="208">
        <v>257944</v>
      </c>
      <c r="K175" s="208">
        <v>67798</v>
      </c>
      <c r="L175" s="208">
        <v>325742</v>
      </c>
      <c r="M175" s="208">
        <v>172723</v>
      </c>
      <c r="N175" s="208">
        <v>172723</v>
      </c>
      <c r="O175" s="208">
        <v>0</v>
      </c>
      <c r="P175" s="208">
        <v>12541</v>
      </c>
      <c r="Q175" s="208">
        <v>12541</v>
      </c>
      <c r="R175" s="208">
        <v>0</v>
      </c>
      <c r="S175" s="208">
        <v>0</v>
      </c>
      <c r="T175" s="208">
        <v>0</v>
      </c>
      <c r="U175" s="208">
        <v>0</v>
      </c>
      <c r="V175" s="208">
        <v>0</v>
      </c>
      <c r="W175" s="208">
        <v>0</v>
      </c>
      <c r="X175" s="208">
        <v>0</v>
      </c>
      <c r="Y175" s="208">
        <v>0</v>
      </c>
      <c r="Z175" s="208">
        <v>0</v>
      </c>
      <c r="AA175" s="208">
        <v>0</v>
      </c>
      <c r="AB175" s="208">
        <v>0</v>
      </c>
      <c r="AC175" s="208">
        <v>0</v>
      </c>
      <c r="AD175" s="208">
        <v>0</v>
      </c>
      <c r="AE175" s="208">
        <v>0</v>
      </c>
      <c r="AF175" s="208">
        <v>0</v>
      </c>
      <c r="AG175" s="208">
        <v>0</v>
      </c>
      <c r="AH175" s="208">
        <v>126822</v>
      </c>
      <c r="AI175" s="208">
        <v>126822.23125</v>
      </c>
      <c r="AJ175" s="208">
        <v>0</v>
      </c>
      <c r="AK175" s="208">
        <v>0</v>
      </c>
      <c r="AL175" s="208">
        <v>100633</v>
      </c>
      <c r="AM175" s="208">
        <v>100633</v>
      </c>
      <c r="AN175" s="208">
        <v>0</v>
      </c>
      <c r="AO175" s="208">
        <v>0</v>
      </c>
      <c r="AP175" s="208">
        <v>26189</v>
      </c>
      <c r="AQ175" s="208">
        <v>26189</v>
      </c>
      <c r="AR175" s="208">
        <v>0</v>
      </c>
      <c r="AS175" s="208">
        <v>0</v>
      </c>
      <c r="AT175" s="208">
        <v>0</v>
      </c>
      <c r="AU175" s="208">
        <v>0</v>
      </c>
      <c r="AV175" s="208">
        <v>0</v>
      </c>
      <c r="AW175" s="208">
        <v>0</v>
      </c>
      <c r="AX175" s="208">
        <v>0</v>
      </c>
      <c r="AY175" s="208">
        <v>0</v>
      </c>
      <c r="AZ175" s="208">
        <v>0</v>
      </c>
      <c r="BA175" s="208">
        <v>0</v>
      </c>
      <c r="BB175" s="208">
        <v>0</v>
      </c>
      <c r="BC175" s="208">
        <v>0</v>
      </c>
      <c r="BD175" s="208">
        <v>0</v>
      </c>
      <c r="BE175" s="208">
        <v>0</v>
      </c>
      <c r="BF175" s="208">
        <v>0</v>
      </c>
      <c r="BG175" s="208">
        <v>0</v>
      </c>
      <c r="BH175" s="208">
        <v>0</v>
      </c>
      <c r="BI175" s="208">
        <v>0</v>
      </c>
      <c r="BJ175" s="208">
        <v>0</v>
      </c>
      <c r="BK175" s="208">
        <v>0</v>
      </c>
      <c r="BL175" s="208">
        <v>0</v>
      </c>
      <c r="BM175" s="208">
        <v>0</v>
      </c>
      <c r="BN175" s="208">
        <v>0</v>
      </c>
      <c r="BO175" s="208">
        <v>1407135.4166018751</v>
      </c>
      <c r="BP175" s="208">
        <v>0</v>
      </c>
      <c r="BQ175" s="208">
        <v>25183.91485854167</v>
      </c>
      <c r="BR175" s="208">
        <v>109079</v>
      </c>
      <c r="BS175" s="208">
        <v>0</v>
      </c>
      <c r="BT175" s="208">
        <v>1884</v>
      </c>
      <c r="BU175" s="208">
        <v>1385530</v>
      </c>
      <c r="BV175" s="208">
        <v>0</v>
      </c>
      <c r="BW175" s="208">
        <v>25146</v>
      </c>
      <c r="BX175" s="208">
        <v>130684</v>
      </c>
      <c r="BY175" s="208">
        <v>0</v>
      </c>
      <c r="BZ175" s="208">
        <v>1922</v>
      </c>
      <c r="CA175" s="208">
        <v>7656.8278958333331</v>
      </c>
      <c r="CB175" s="208">
        <v>0</v>
      </c>
      <c r="CC175" s="208">
        <v>135.2398125</v>
      </c>
      <c r="CD175" s="208">
        <v>0</v>
      </c>
      <c r="CE175" s="208">
        <v>0</v>
      </c>
      <c r="CF175" s="208">
        <v>0</v>
      </c>
      <c r="CG175" s="208">
        <v>7657</v>
      </c>
      <c r="CH175" s="208">
        <v>0</v>
      </c>
      <c r="CI175" s="208">
        <v>135</v>
      </c>
      <c r="CJ175" s="208">
        <v>0</v>
      </c>
      <c r="CK175" s="208">
        <v>0</v>
      </c>
      <c r="CL175" s="208">
        <v>0</v>
      </c>
      <c r="CM175" s="208">
        <v>-2328.2094791666668</v>
      </c>
      <c r="CN175" s="208">
        <v>0</v>
      </c>
      <c r="CO175" s="208">
        <v>-47.514479166666668</v>
      </c>
      <c r="CP175" s="208">
        <v>0</v>
      </c>
      <c r="CQ175" s="208">
        <v>0</v>
      </c>
      <c r="CR175" s="208">
        <v>0</v>
      </c>
      <c r="CS175" s="208">
        <v>0</v>
      </c>
      <c r="CT175" s="208">
        <v>0</v>
      </c>
      <c r="CU175" s="208">
        <v>0</v>
      </c>
      <c r="CV175" s="208">
        <v>0</v>
      </c>
      <c r="CW175" s="208">
        <v>0</v>
      </c>
      <c r="CX175" s="208">
        <v>0</v>
      </c>
      <c r="CY175" s="208">
        <v>0</v>
      </c>
      <c r="CZ175" s="208">
        <v>0</v>
      </c>
      <c r="DA175" s="208">
        <v>0</v>
      </c>
      <c r="DB175" s="208">
        <v>0</v>
      </c>
      <c r="DC175" s="208">
        <v>0</v>
      </c>
      <c r="DD175" s="208">
        <v>0</v>
      </c>
      <c r="DE175" s="208">
        <v>0</v>
      </c>
      <c r="DF175" s="208">
        <v>0</v>
      </c>
      <c r="DG175" s="208">
        <v>0</v>
      </c>
      <c r="DH175" s="208">
        <v>0</v>
      </c>
      <c r="DI175" s="208">
        <v>0</v>
      </c>
      <c r="DJ175" s="208">
        <v>0</v>
      </c>
      <c r="DK175" s="208">
        <v>0</v>
      </c>
      <c r="DL175" s="208">
        <v>0</v>
      </c>
      <c r="DM175" s="208">
        <v>0</v>
      </c>
      <c r="DN175" s="208">
        <v>751.84375</v>
      </c>
      <c r="DO175" s="208">
        <v>0</v>
      </c>
      <c r="DP175" s="208">
        <v>15.34375</v>
      </c>
      <c r="DQ175" s="208">
        <v>0</v>
      </c>
      <c r="DR175" s="208">
        <v>0</v>
      </c>
      <c r="DS175" s="208">
        <v>0</v>
      </c>
      <c r="DT175" s="208">
        <v>752</v>
      </c>
      <c r="DU175" s="208">
        <v>0</v>
      </c>
      <c r="DV175" s="208">
        <v>15</v>
      </c>
      <c r="DW175" s="208">
        <v>5815.4551458333326</v>
      </c>
      <c r="DX175" s="208">
        <v>0</v>
      </c>
      <c r="DY175" s="208">
        <v>97.514645833333333</v>
      </c>
      <c r="DZ175" s="208">
        <v>19421</v>
      </c>
      <c r="EA175" s="208">
        <v>0</v>
      </c>
      <c r="EB175" s="208">
        <v>300</v>
      </c>
      <c r="EC175" s="208">
        <v>-13606</v>
      </c>
      <c r="ED175" s="208">
        <v>0</v>
      </c>
      <c r="EE175" s="208">
        <v>-202</v>
      </c>
      <c r="EF175" s="208">
        <v>49573.344458333333</v>
      </c>
      <c r="EG175" s="208">
        <v>0</v>
      </c>
      <c r="EH175" s="208">
        <v>820.64512500000001</v>
      </c>
      <c r="EI175" s="208">
        <v>-2314.6762916666667</v>
      </c>
      <c r="EJ175" s="208">
        <v>0</v>
      </c>
      <c r="EK175" s="208">
        <v>-47.238291666666662</v>
      </c>
      <c r="EL175" s="208">
        <v>59898</v>
      </c>
      <c r="EM175" s="208">
        <v>0</v>
      </c>
      <c r="EN175" s="208">
        <v>1022</v>
      </c>
      <c r="EO175" s="208">
        <v>-12639</v>
      </c>
      <c r="EP175" s="208">
        <v>0</v>
      </c>
      <c r="EQ175" s="208">
        <v>-249</v>
      </c>
      <c r="ER175" s="208">
        <v>9961.3057083333315</v>
      </c>
      <c r="ES175" s="208">
        <v>0</v>
      </c>
      <c r="ET175" s="208">
        <v>71.460958333333338</v>
      </c>
      <c r="EU175" s="208">
        <v>13503</v>
      </c>
      <c r="EV175" s="208">
        <v>0</v>
      </c>
      <c r="EW175" s="208">
        <v>136</v>
      </c>
      <c r="EX175" s="208">
        <v>-3542</v>
      </c>
      <c r="EY175" s="208">
        <v>0</v>
      </c>
      <c r="EZ175" s="208">
        <v>-65</v>
      </c>
      <c r="FA175" s="208">
        <v>0</v>
      </c>
      <c r="FB175" s="208">
        <v>0</v>
      </c>
      <c r="FC175" s="208">
        <v>0</v>
      </c>
      <c r="FD175" s="208">
        <v>0</v>
      </c>
      <c r="FE175" s="208">
        <v>0</v>
      </c>
      <c r="FF175" s="208">
        <v>0</v>
      </c>
      <c r="FG175" s="208">
        <v>0</v>
      </c>
      <c r="FH175" s="208">
        <v>0</v>
      </c>
      <c r="FI175" s="208">
        <v>0</v>
      </c>
      <c r="FJ175" s="208">
        <v>405407.20916666661</v>
      </c>
      <c r="FK175" s="208">
        <v>0</v>
      </c>
      <c r="FL175" s="208">
        <v>8267.7512499999993</v>
      </c>
      <c r="FM175" s="208">
        <v>399487</v>
      </c>
      <c r="FN175" s="208">
        <v>0</v>
      </c>
      <c r="FO175" s="208">
        <v>8100</v>
      </c>
      <c r="FP175" s="208">
        <v>5920</v>
      </c>
      <c r="FQ175" s="208">
        <v>0</v>
      </c>
      <c r="FR175" s="208">
        <v>168</v>
      </c>
      <c r="FS175" s="208">
        <v>0</v>
      </c>
      <c r="FT175" s="208">
        <v>0</v>
      </c>
      <c r="FU175" s="208">
        <v>0</v>
      </c>
      <c r="FV175" s="208">
        <v>0</v>
      </c>
      <c r="FW175" s="208">
        <v>0</v>
      </c>
      <c r="FX175" s="208">
        <v>0</v>
      </c>
      <c r="FY175" s="208">
        <v>0</v>
      </c>
      <c r="FZ175" s="208">
        <v>0</v>
      </c>
      <c r="GA175" s="208">
        <v>0</v>
      </c>
      <c r="GB175" s="208">
        <v>1990736</v>
      </c>
      <c r="GC175" s="208">
        <v>0</v>
      </c>
      <c r="GD175" s="208">
        <v>36381</v>
      </c>
      <c r="GE175" s="664">
        <v>0.5</v>
      </c>
      <c r="GF175" s="664">
        <v>0.49</v>
      </c>
      <c r="GG175" s="664">
        <v>0</v>
      </c>
      <c r="GH175" s="664">
        <v>0.01</v>
      </c>
      <c r="GI175" s="187" t="s">
        <v>742</v>
      </c>
    </row>
    <row r="176" spans="2:191" s="187" customFormat="1" x14ac:dyDescent="0.2">
      <c r="B176" s="429" t="s">
        <v>429</v>
      </c>
      <c r="C176" s="429" t="s">
        <v>428</v>
      </c>
      <c r="D176" s="208">
        <v>-886298</v>
      </c>
      <c r="E176" s="208">
        <v>0</v>
      </c>
      <c r="F176" s="208">
        <v>-886298</v>
      </c>
      <c r="G176" s="208">
        <v>-500000</v>
      </c>
      <c r="H176" s="208">
        <v>0</v>
      </c>
      <c r="I176" s="208">
        <v>-500000</v>
      </c>
      <c r="J176" s="208">
        <v>-386298</v>
      </c>
      <c r="K176" s="208">
        <v>0</v>
      </c>
      <c r="L176" s="208">
        <v>-386298</v>
      </c>
      <c r="M176" s="208">
        <v>388850</v>
      </c>
      <c r="N176" s="208">
        <v>388850</v>
      </c>
      <c r="O176" s="208">
        <v>0</v>
      </c>
      <c r="P176" s="208">
        <v>0</v>
      </c>
      <c r="Q176" s="208">
        <v>0</v>
      </c>
      <c r="R176" s="208">
        <v>0</v>
      </c>
      <c r="S176" s="208">
        <v>249491</v>
      </c>
      <c r="T176" s="208">
        <v>0</v>
      </c>
      <c r="U176" s="208">
        <v>121000</v>
      </c>
      <c r="V176" s="208">
        <v>0</v>
      </c>
      <c r="W176" s="208">
        <v>128491</v>
      </c>
      <c r="X176" s="208">
        <v>0</v>
      </c>
      <c r="Y176" s="208">
        <v>0</v>
      </c>
      <c r="Z176" s="208">
        <v>0</v>
      </c>
      <c r="AA176" s="208">
        <v>0</v>
      </c>
      <c r="AB176" s="208">
        <v>0</v>
      </c>
      <c r="AC176" s="208">
        <v>0</v>
      </c>
      <c r="AD176" s="208">
        <v>0</v>
      </c>
      <c r="AE176" s="208">
        <v>0</v>
      </c>
      <c r="AF176" s="208">
        <v>0</v>
      </c>
      <c r="AG176" s="208">
        <v>0</v>
      </c>
      <c r="AH176" s="208">
        <v>0</v>
      </c>
      <c r="AI176" s="208">
        <v>0</v>
      </c>
      <c r="AJ176" s="208">
        <v>0</v>
      </c>
      <c r="AK176" s="208">
        <v>0</v>
      </c>
      <c r="AL176" s="208">
        <v>0</v>
      </c>
      <c r="AM176" s="208">
        <v>0</v>
      </c>
      <c r="AN176" s="208">
        <v>0</v>
      </c>
      <c r="AO176" s="208">
        <v>0</v>
      </c>
      <c r="AP176" s="208">
        <v>0</v>
      </c>
      <c r="AQ176" s="208">
        <v>0</v>
      </c>
      <c r="AR176" s="208">
        <v>0</v>
      </c>
      <c r="AS176" s="208">
        <v>0</v>
      </c>
      <c r="AT176" s="208">
        <v>0</v>
      </c>
      <c r="AU176" s="208">
        <v>0</v>
      </c>
      <c r="AV176" s="208">
        <v>0</v>
      </c>
      <c r="AW176" s="208">
        <v>0</v>
      </c>
      <c r="AX176" s="208">
        <v>0</v>
      </c>
      <c r="AY176" s="208">
        <v>0</v>
      </c>
      <c r="AZ176" s="208">
        <v>0</v>
      </c>
      <c r="BA176" s="208">
        <v>0</v>
      </c>
      <c r="BB176" s="208">
        <v>0</v>
      </c>
      <c r="BC176" s="208">
        <v>0</v>
      </c>
      <c r="BD176" s="208">
        <v>0</v>
      </c>
      <c r="BE176" s="208">
        <v>0</v>
      </c>
      <c r="BF176" s="208">
        <v>0</v>
      </c>
      <c r="BG176" s="208">
        <v>0</v>
      </c>
      <c r="BH176" s="208">
        <v>0</v>
      </c>
      <c r="BI176" s="208">
        <v>0</v>
      </c>
      <c r="BJ176" s="208">
        <v>0</v>
      </c>
      <c r="BK176" s="208">
        <v>0</v>
      </c>
      <c r="BL176" s="208">
        <v>0</v>
      </c>
      <c r="BM176" s="208">
        <v>0</v>
      </c>
      <c r="BN176" s="208">
        <v>0</v>
      </c>
      <c r="BO176" s="208">
        <v>2427008.3200335004</v>
      </c>
      <c r="BP176" s="208">
        <v>0</v>
      </c>
      <c r="BQ176" s="208">
        <v>49530.782041500002</v>
      </c>
      <c r="BR176" s="208">
        <v>232292</v>
      </c>
      <c r="BS176" s="208">
        <v>0</v>
      </c>
      <c r="BT176" s="208">
        <v>4741</v>
      </c>
      <c r="BU176" s="208">
        <v>2346104</v>
      </c>
      <c r="BV176" s="208">
        <v>0</v>
      </c>
      <c r="BW176" s="208">
        <v>47880</v>
      </c>
      <c r="BX176" s="208">
        <v>313196</v>
      </c>
      <c r="BY176" s="208">
        <v>0</v>
      </c>
      <c r="BZ176" s="208">
        <v>6392</v>
      </c>
      <c r="CA176" s="208">
        <v>17896.387395833335</v>
      </c>
      <c r="CB176" s="208">
        <v>0</v>
      </c>
      <c r="CC176" s="208">
        <v>365.23239583333338</v>
      </c>
      <c r="CD176" s="208">
        <v>50123</v>
      </c>
      <c r="CE176" s="208">
        <v>0</v>
      </c>
      <c r="CF176" s="208">
        <v>1023</v>
      </c>
      <c r="CG176" s="208">
        <v>-32227</v>
      </c>
      <c r="CH176" s="208">
        <v>0</v>
      </c>
      <c r="CI176" s="208">
        <v>-658</v>
      </c>
      <c r="CJ176" s="208">
        <v>0</v>
      </c>
      <c r="CK176" s="208">
        <v>0</v>
      </c>
      <c r="CL176" s="208">
        <v>0</v>
      </c>
      <c r="CM176" s="208">
        <v>0</v>
      </c>
      <c r="CN176" s="208">
        <v>0</v>
      </c>
      <c r="CO176" s="208">
        <v>0</v>
      </c>
      <c r="CP176" s="208">
        <v>158.88964583333333</v>
      </c>
      <c r="CQ176" s="208">
        <v>0</v>
      </c>
      <c r="CR176" s="208">
        <v>3.2426458333333334</v>
      </c>
      <c r="CS176" s="208">
        <v>0</v>
      </c>
      <c r="CT176" s="208">
        <v>0</v>
      </c>
      <c r="CU176" s="208">
        <v>0</v>
      </c>
      <c r="CV176" s="208">
        <v>0</v>
      </c>
      <c r="CW176" s="208">
        <v>0</v>
      </c>
      <c r="CX176" s="208">
        <v>0</v>
      </c>
      <c r="CY176" s="208">
        <v>0</v>
      </c>
      <c r="CZ176" s="208">
        <v>0</v>
      </c>
      <c r="DA176" s="208">
        <v>0</v>
      </c>
      <c r="DB176" s="208">
        <v>0</v>
      </c>
      <c r="DC176" s="208">
        <v>0</v>
      </c>
      <c r="DD176" s="208">
        <v>0</v>
      </c>
      <c r="DE176" s="208">
        <v>6799.1736458333335</v>
      </c>
      <c r="DF176" s="208">
        <v>0</v>
      </c>
      <c r="DG176" s="208">
        <v>138.75864583333333</v>
      </c>
      <c r="DH176" s="208">
        <v>7519</v>
      </c>
      <c r="DI176" s="208">
        <v>0</v>
      </c>
      <c r="DJ176" s="208">
        <v>153</v>
      </c>
      <c r="DK176" s="208">
        <v>-720</v>
      </c>
      <c r="DL176" s="208">
        <v>0</v>
      </c>
      <c r="DM176" s="208">
        <v>-14</v>
      </c>
      <c r="DN176" s="208">
        <v>119.29254166666666</v>
      </c>
      <c r="DO176" s="208">
        <v>0</v>
      </c>
      <c r="DP176" s="208">
        <v>2.434541666666667</v>
      </c>
      <c r="DQ176" s="208">
        <v>0</v>
      </c>
      <c r="DR176" s="208">
        <v>0</v>
      </c>
      <c r="DS176" s="208">
        <v>0</v>
      </c>
      <c r="DT176" s="208">
        <v>119</v>
      </c>
      <c r="DU176" s="208">
        <v>0</v>
      </c>
      <c r="DV176" s="208">
        <v>2</v>
      </c>
      <c r="DW176" s="208">
        <v>30141.917166666666</v>
      </c>
      <c r="DX176" s="208">
        <v>0</v>
      </c>
      <c r="DY176" s="208">
        <v>615.14116666666666</v>
      </c>
      <c r="DZ176" s="208">
        <v>0</v>
      </c>
      <c r="EA176" s="208">
        <v>0</v>
      </c>
      <c r="EB176" s="208">
        <v>0</v>
      </c>
      <c r="EC176" s="208">
        <v>30142</v>
      </c>
      <c r="ED176" s="208">
        <v>0</v>
      </c>
      <c r="EE176" s="208">
        <v>615</v>
      </c>
      <c r="EF176" s="208">
        <v>182570.21781249999</v>
      </c>
      <c r="EG176" s="208">
        <v>0</v>
      </c>
      <c r="EH176" s="208">
        <v>3725.9228125</v>
      </c>
      <c r="EI176" s="208">
        <v>38578.606500000002</v>
      </c>
      <c r="EJ176" s="208">
        <v>0</v>
      </c>
      <c r="EK176" s="208">
        <v>787.31850000000009</v>
      </c>
      <c r="EL176" s="208">
        <v>177435</v>
      </c>
      <c r="EM176" s="208">
        <v>0</v>
      </c>
      <c r="EN176" s="208">
        <v>3621</v>
      </c>
      <c r="EO176" s="208">
        <v>43714</v>
      </c>
      <c r="EP176" s="208">
        <v>0</v>
      </c>
      <c r="EQ176" s="208">
        <v>892</v>
      </c>
      <c r="ER176" s="208">
        <v>23084.109270833334</v>
      </c>
      <c r="ES176" s="208">
        <v>0</v>
      </c>
      <c r="ET176" s="208">
        <v>471.10427083333337</v>
      </c>
      <c r="EU176" s="208">
        <v>18045</v>
      </c>
      <c r="EV176" s="208">
        <v>0</v>
      </c>
      <c r="EW176" s="208">
        <v>368</v>
      </c>
      <c r="EX176" s="208">
        <v>5039</v>
      </c>
      <c r="EY176" s="208">
        <v>0</v>
      </c>
      <c r="EZ176" s="208">
        <v>103</v>
      </c>
      <c r="FA176" s="208">
        <v>0</v>
      </c>
      <c r="FB176" s="208">
        <v>0</v>
      </c>
      <c r="FC176" s="208">
        <v>0</v>
      </c>
      <c r="FD176" s="208">
        <v>0</v>
      </c>
      <c r="FE176" s="208">
        <v>0</v>
      </c>
      <c r="FF176" s="208">
        <v>0</v>
      </c>
      <c r="FG176" s="208">
        <v>0</v>
      </c>
      <c r="FH176" s="208">
        <v>0</v>
      </c>
      <c r="FI176" s="208">
        <v>0</v>
      </c>
      <c r="FJ176" s="208">
        <v>1819094.9991041666</v>
      </c>
      <c r="FK176" s="208">
        <v>0</v>
      </c>
      <c r="FL176" s="208">
        <v>37007.704020833335</v>
      </c>
      <c r="FM176" s="208">
        <v>1723938</v>
      </c>
      <c r="FN176" s="208">
        <v>0</v>
      </c>
      <c r="FO176" s="208">
        <v>35126</v>
      </c>
      <c r="FP176" s="208">
        <v>95157</v>
      </c>
      <c r="FQ176" s="208">
        <v>0</v>
      </c>
      <c r="FR176" s="208">
        <v>1882</v>
      </c>
      <c r="FS176" s="208">
        <v>0</v>
      </c>
      <c r="FT176" s="208">
        <v>0</v>
      </c>
      <c r="FU176" s="208">
        <v>0</v>
      </c>
      <c r="FV176" s="208">
        <v>0</v>
      </c>
      <c r="FW176" s="208">
        <v>0</v>
      </c>
      <c r="FX176" s="208">
        <v>0</v>
      </c>
      <c r="FY176" s="208">
        <v>0</v>
      </c>
      <c r="FZ176" s="208">
        <v>0</v>
      </c>
      <c r="GA176" s="208">
        <v>0</v>
      </c>
      <c r="GB176" s="208">
        <v>4777743</v>
      </c>
      <c r="GC176" s="208">
        <v>0</v>
      </c>
      <c r="GD176" s="208">
        <v>97388</v>
      </c>
      <c r="GE176" s="664">
        <v>0.5</v>
      </c>
      <c r="GF176" s="664">
        <v>0.49</v>
      </c>
      <c r="GG176" s="664">
        <v>0</v>
      </c>
      <c r="GH176" s="664">
        <v>0.01</v>
      </c>
      <c r="GI176" s="187" t="s">
        <v>742</v>
      </c>
    </row>
    <row r="177" spans="1:191" s="187" customFormat="1" x14ac:dyDescent="0.2">
      <c r="A177" s="188"/>
      <c r="B177" s="429" t="s">
        <v>431</v>
      </c>
      <c r="C177" s="429" t="s">
        <v>430</v>
      </c>
      <c r="D177" s="208">
        <v>893815</v>
      </c>
      <c r="E177" s="208">
        <v>0</v>
      </c>
      <c r="F177" s="208">
        <v>893815</v>
      </c>
      <c r="G177" s="208">
        <v>965405</v>
      </c>
      <c r="H177" s="208">
        <v>0</v>
      </c>
      <c r="I177" s="208">
        <v>965405</v>
      </c>
      <c r="J177" s="208">
        <v>-71590</v>
      </c>
      <c r="K177" s="208">
        <v>0</v>
      </c>
      <c r="L177" s="208">
        <v>-71590</v>
      </c>
      <c r="M177" s="208">
        <v>153825</v>
      </c>
      <c r="N177" s="208">
        <v>153825</v>
      </c>
      <c r="O177" s="208">
        <v>0</v>
      </c>
      <c r="P177" s="208">
        <v>0</v>
      </c>
      <c r="Q177" s="208">
        <v>0</v>
      </c>
      <c r="R177" s="208">
        <v>0</v>
      </c>
      <c r="S177" s="208">
        <v>0</v>
      </c>
      <c r="T177" s="208">
        <v>0</v>
      </c>
      <c r="U177" s="208">
        <v>0</v>
      </c>
      <c r="V177" s="208">
        <v>0</v>
      </c>
      <c r="W177" s="208">
        <v>0</v>
      </c>
      <c r="X177" s="208">
        <v>0</v>
      </c>
      <c r="Y177" s="208">
        <v>0</v>
      </c>
      <c r="Z177" s="208">
        <v>0</v>
      </c>
      <c r="AA177" s="208">
        <v>0</v>
      </c>
      <c r="AB177" s="208">
        <v>0</v>
      </c>
      <c r="AC177" s="208">
        <v>0</v>
      </c>
      <c r="AD177" s="208">
        <v>0</v>
      </c>
      <c r="AE177" s="208">
        <v>0</v>
      </c>
      <c r="AF177" s="208">
        <v>0</v>
      </c>
      <c r="AG177" s="208">
        <v>0</v>
      </c>
      <c r="AH177" s="208">
        <v>0</v>
      </c>
      <c r="AI177" s="208">
        <v>0</v>
      </c>
      <c r="AJ177" s="208">
        <v>0</v>
      </c>
      <c r="AK177" s="208">
        <v>0</v>
      </c>
      <c r="AL177" s="208">
        <v>0</v>
      </c>
      <c r="AM177" s="208">
        <v>0</v>
      </c>
      <c r="AN177" s="208">
        <v>0</v>
      </c>
      <c r="AO177" s="208">
        <v>0</v>
      </c>
      <c r="AP177" s="208">
        <v>0</v>
      </c>
      <c r="AQ177" s="208">
        <v>0</v>
      </c>
      <c r="AR177" s="208">
        <v>0</v>
      </c>
      <c r="AS177" s="208">
        <v>0</v>
      </c>
      <c r="AT177" s="208">
        <v>0</v>
      </c>
      <c r="AU177" s="208">
        <v>0</v>
      </c>
      <c r="AV177" s="208">
        <v>0</v>
      </c>
      <c r="AW177" s="208">
        <v>0</v>
      </c>
      <c r="AX177" s="208">
        <v>0</v>
      </c>
      <c r="AY177" s="208">
        <v>0</v>
      </c>
      <c r="AZ177" s="208">
        <v>0</v>
      </c>
      <c r="BA177" s="208">
        <v>0</v>
      </c>
      <c r="BB177" s="208">
        <v>0</v>
      </c>
      <c r="BC177" s="208">
        <v>0</v>
      </c>
      <c r="BD177" s="208">
        <v>0</v>
      </c>
      <c r="BE177" s="208">
        <v>0</v>
      </c>
      <c r="BF177" s="208">
        <v>0</v>
      </c>
      <c r="BG177" s="208">
        <v>0</v>
      </c>
      <c r="BH177" s="208">
        <v>0</v>
      </c>
      <c r="BI177" s="208">
        <v>0</v>
      </c>
      <c r="BJ177" s="208">
        <v>0</v>
      </c>
      <c r="BK177" s="208">
        <v>0</v>
      </c>
      <c r="BL177" s="208">
        <v>0</v>
      </c>
      <c r="BM177" s="208">
        <v>0</v>
      </c>
      <c r="BN177" s="208">
        <v>0</v>
      </c>
      <c r="BO177" s="208">
        <v>692830.13501937501</v>
      </c>
      <c r="BP177" s="208">
        <v>1616603.6483785417</v>
      </c>
      <c r="BQ177" s="208">
        <v>0</v>
      </c>
      <c r="BR177" s="208">
        <v>55476</v>
      </c>
      <c r="BS177" s="208">
        <v>129444</v>
      </c>
      <c r="BT177" s="208">
        <v>0</v>
      </c>
      <c r="BU177" s="208">
        <v>670764</v>
      </c>
      <c r="BV177" s="208">
        <v>1565116</v>
      </c>
      <c r="BW177" s="208">
        <v>0</v>
      </c>
      <c r="BX177" s="208">
        <v>77542</v>
      </c>
      <c r="BY177" s="208">
        <v>180932</v>
      </c>
      <c r="BZ177" s="208">
        <v>0</v>
      </c>
      <c r="CA177" s="208">
        <v>5339.625</v>
      </c>
      <c r="CB177" s="208">
        <v>12459.124999999998</v>
      </c>
      <c r="CC177" s="208">
        <v>0</v>
      </c>
      <c r="CD177" s="208">
        <v>9268</v>
      </c>
      <c r="CE177" s="208">
        <v>21624</v>
      </c>
      <c r="CF177" s="208">
        <v>0</v>
      </c>
      <c r="CG177" s="208">
        <v>-3928</v>
      </c>
      <c r="CH177" s="208">
        <v>-9165</v>
      </c>
      <c r="CI177" s="208">
        <v>0</v>
      </c>
      <c r="CJ177" s="208">
        <v>0</v>
      </c>
      <c r="CK177" s="208">
        <v>0</v>
      </c>
      <c r="CL177" s="208">
        <v>0</v>
      </c>
      <c r="CM177" s="208">
        <v>0</v>
      </c>
      <c r="CN177" s="208">
        <v>0</v>
      </c>
      <c r="CO177" s="208">
        <v>0</v>
      </c>
      <c r="CP177" s="208">
        <v>0</v>
      </c>
      <c r="CQ177" s="208">
        <v>0</v>
      </c>
      <c r="CR177" s="208">
        <v>0</v>
      </c>
      <c r="CS177" s="208">
        <v>0</v>
      </c>
      <c r="CT177" s="208">
        <v>0</v>
      </c>
      <c r="CU177" s="208">
        <v>0</v>
      </c>
      <c r="CV177" s="208">
        <v>0</v>
      </c>
      <c r="CW177" s="208">
        <v>0</v>
      </c>
      <c r="CX177" s="208">
        <v>0</v>
      </c>
      <c r="CY177" s="208">
        <v>0</v>
      </c>
      <c r="CZ177" s="208">
        <v>0</v>
      </c>
      <c r="DA177" s="208">
        <v>0</v>
      </c>
      <c r="DB177" s="208">
        <v>0</v>
      </c>
      <c r="DC177" s="208">
        <v>0</v>
      </c>
      <c r="DD177" s="208">
        <v>0</v>
      </c>
      <c r="DE177" s="208">
        <v>0</v>
      </c>
      <c r="DF177" s="208">
        <v>0</v>
      </c>
      <c r="DG177" s="208">
        <v>0</v>
      </c>
      <c r="DH177" s="208">
        <v>0</v>
      </c>
      <c r="DI177" s="208">
        <v>0</v>
      </c>
      <c r="DJ177" s="208">
        <v>0</v>
      </c>
      <c r="DK177" s="208">
        <v>0</v>
      </c>
      <c r="DL177" s="208">
        <v>0</v>
      </c>
      <c r="DM177" s="208">
        <v>0</v>
      </c>
      <c r="DN177" s="208">
        <v>0</v>
      </c>
      <c r="DO177" s="208">
        <v>0</v>
      </c>
      <c r="DP177" s="208">
        <v>0</v>
      </c>
      <c r="DQ177" s="208">
        <v>0</v>
      </c>
      <c r="DR177" s="208">
        <v>0</v>
      </c>
      <c r="DS177" s="208">
        <v>0</v>
      </c>
      <c r="DT177" s="208">
        <v>0</v>
      </c>
      <c r="DU177" s="208">
        <v>0</v>
      </c>
      <c r="DV177" s="208">
        <v>0</v>
      </c>
      <c r="DW177" s="208">
        <v>14416.2939625</v>
      </c>
      <c r="DX177" s="208">
        <v>33638.019245833333</v>
      </c>
      <c r="DY177" s="208">
        <v>0</v>
      </c>
      <c r="DZ177" s="208">
        <v>14271</v>
      </c>
      <c r="EA177" s="208">
        <v>33300</v>
      </c>
      <c r="EB177" s="208">
        <v>0</v>
      </c>
      <c r="EC177" s="208">
        <v>145</v>
      </c>
      <c r="ED177" s="208">
        <v>338</v>
      </c>
      <c r="EE177" s="208">
        <v>0</v>
      </c>
      <c r="EF177" s="208">
        <v>53395.943124999998</v>
      </c>
      <c r="EG177" s="208">
        <v>124590.53395833333</v>
      </c>
      <c r="EH177" s="208">
        <v>0</v>
      </c>
      <c r="EI177" s="208">
        <v>-2357.7206249999999</v>
      </c>
      <c r="EJ177" s="208">
        <v>-5501.3481249999995</v>
      </c>
      <c r="EK177" s="208">
        <v>0</v>
      </c>
      <c r="EL177" s="208">
        <v>56465</v>
      </c>
      <c r="EM177" s="208">
        <v>131752</v>
      </c>
      <c r="EN177" s="208">
        <v>0</v>
      </c>
      <c r="EO177" s="208">
        <v>-5427</v>
      </c>
      <c r="EP177" s="208">
        <v>-12663</v>
      </c>
      <c r="EQ177" s="208">
        <v>0</v>
      </c>
      <c r="ER177" s="208">
        <v>10686.001249999999</v>
      </c>
      <c r="ES177" s="208">
        <v>24934.002916666665</v>
      </c>
      <c r="ET177" s="208">
        <v>0</v>
      </c>
      <c r="EU177" s="208">
        <v>11354</v>
      </c>
      <c r="EV177" s="208">
        <v>26494</v>
      </c>
      <c r="EW177" s="208">
        <v>0</v>
      </c>
      <c r="EX177" s="208">
        <v>-668</v>
      </c>
      <c r="EY177" s="208">
        <v>-1560</v>
      </c>
      <c r="EZ177" s="208">
        <v>0</v>
      </c>
      <c r="FA177" s="208">
        <v>0</v>
      </c>
      <c r="FB177" s="208">
        <v>0</v>
      </c>
      <c r="FC177" s="208">
        <v>0</v>
      </c>
      <c r="FD177" s="208">
        <v>0</v>
      </c>
      <c r="FE177" s="208">
        <v>0</v>
      </c>
      <c r="FF177" s="208">
        <v>0</v>
      </c>
      <c r="FG177" s="208">
        <v>0</v>
      </c>
      <c r="FH177" s="208">
        <v>0</v>
      </c>
      <c r="FI177" s="208">
        <v>0</v>
      </c>
      <c r="FJ177" s="208">
        <v>314560.75062499993</v>
      </c>
      <c r="FK177" s="208">
        <v>733975.0847916666</v>
      </c>
      <c r="FL177" s="208">
        <v>0</v>
      </c>
      <c r="FM177" s="208">
        <v>303803</v>
      </c>
      <c r="FN177" s="208">
        <v>708874</v>
      </c>
      <c r="FO177" s="208">
        <v>0</v>
      </c>
      <c r="FP177" s="208">
        <v>10758</v>
      </c>
      <c r="FQ177" s="208">
        <v>25101</v>
      </c>
      <c r="FR177" s="208">
        <v>0</v>
      </c>
      <c r="FS177" s="208">
        <v>0</v>
      </c>
      <c r="FT177" s="208">
        <v>0</v>
      </c>
      <c r="FU177" s="208">
        <v>0</v>
      </c>
      <c r="FV177" s="208">
        <v>0</v>
      </c>
      <c r="FW177" s="208">
        <v>0</v>
      </c>
      <c r="FX177" s="208">
        <v>0</v>
      </c>
      <c r="FY177" s="208">
        <v>0</v>
      </c>
      <c r="FZ177" s="208">
        <v>0</v>
      </c>
      <c r="GA177" s="208">
        <v>0</v>
      </c>
      <c r="GB177" s="208">
        <v>1144347</v>
      </c>
      <c r="GC177" s="208">
        <v>2670144</v>
      </c>
      <c r="GD177" s="208">
        <v>0</v>
      </c>
      <c r="GE177" s="664">
        <v>0</v>
      </c>
      <c r="GF177" s="664">
        <v>0.3</v>
      </c>
      <c r="GG177" s="664">
        <v>0.7</v>
      </c>
      <c r="GH177" s="664">
        <v>0</v>
      </c>
      <c r="GI177" s="187" t="s">
        <v>1054</v>
      </c>
    </row>
    <row r="178" spans="1:191" s="187" customFormat="1" x14ac:dyDescent="0.2">
      <c r="B178" s="429" t="s">
        <v>433</v>
      </c>
      <c r="C178" s="429" t="s">
        <v>432</v>
      </c>
      <c r="D178" s="208">
        <v>1120055</v>
      </c>
      <c r="E178" s="208">
        <v>0</v>
      </c>
      <c r="F178" s="208">
        <v>1120055</v>
      </c>
      <c r="G178" s="208">
        <v>670393</v>
      </c>
      <c r="H178" s="208">
        <v>0</v>
      </c>
      <c r="I178" s="208">
        <v>670393</v>
      </c>
      <c r="J178" s="208">
        <v>449662</v>
      </c>
      <c r="K178" s="208">
        <v>0</v>
      </c>
      <c r="L178" s="208">
        <v>449662</v>
      </c>
      <c r="M178" s="208">
        <v>277478</v>
      </c>
      <c r="N178" s="208">
        <v>277478</v>
      </c>
      <c r="O178" s="208">
        <v>0</v>
      </c>
      <c r="P178" s="208">
        <v>0</v>
      </c>
      <c r="Q178" s="208">
        <v>0</v>
      </c>
      <c r="R178" s="208">
        <v>0</v>
      </c>
      <c r="S178" s="208">
        <v>9851</v>
      </c>
      <c r="T178" s="208">
        <v>0</v>
      </c>
      <c r="U178" s="208">
        <v>10600</v>
      </c>
      <c r="V178" s="208">
        <v>0</v>
      </c>
      <c r="W178" s="208">
        <v>-749</v>
      </c>
      <c r="X178" s="208">
        <v>0</v>
      </c>
      <c r="Y178" s="208">
        <v>0</v>
      </c>
      <c r="Z178" s="208">
        <v>0</v>
      </c>
      <c r="AA178" s="208">
        <v>0</v>
      </c>
      <c r="AB178" s="208">
        <v>0</v>
      </c>
      <c r="AC178" s="208">
        <v>0</v>
      </c>
      <c r="AD178" s="208">
        <v>0</v>
      </c>
      <c r="AE178" s="208">
        <v>0</v>
      </c>
      <c r="AF178" s="208">
        <v>0</v>
      </c>
      <c r="AG178" s="208">
        <v>0</v>
      </c>
      <c r="AH178" s="208">
        <v>0</v>
      </c>
      <c r="AI178" s="208">
        <v>0</v>
      </c>
      <c r="AJ178" s="208">
        <v>0</v>
      </c>
      <c r="AK178" s="208">
        <v>0</v>
      </c>
      <c r="AL178" s="208">
        <v>0</v>
      </c>
      <c r="AM178" s="208">
        <v>0</v>
      </c>
      <c r="AN178" s="208">
        <v>0</v>
      </c>
      <c r="AO178" s="208">
        <v>0</v>
      </c>
      <c r="AP178" s="208">
        <v>0</v>
      </c>
      <c r="AQ178" s="208">
        <v>0</v>
      </c>
      <c r="AR178" s="208">
        <v>0</v>
      </c>
      <c r="AS178" s="208">
        <v>0</v>
      </c>
      <c r="AT178" s="208">
        <v>0</v>
      </c>
      <c r="AU178" s="208">
        <v>0</v>
      </c>
      <c r="AV178" s="208">
        <v>0</v>
      </c>
      <c r="AW178" s="208">
        <v>0</v>
      </c>
      <c r="AX178" s="208">
        <v>0</v>
      </c>
      <c r="AY178" s="208">
        <v>0</v>
      </c>
      <c r="AZ178" s="208">
        <v>0</v>
      </c>
      <c r="BA178" s="208">
        <v>0</v>
      </c>
      <c r="BB178" s="208">
        <v>0</v>
      </c>
      <c r="BC178" s="208">
        <v>0</v>
      </c>
      <c r="BD178" s="208">
        <v>0</v>
      </c>
      <c r="BE178" s="208">
        <v>0</v>
      </c>
      <c r="BF178" s="208">
        <v>0</v>
      </c>
      <c r="BG178" s="208">
        <v>0</v>
      </c>
      <c r="BH178" s="208">
        <v>0</v>
      </c>
      <c r="BI178" s="208">
        <v>0</v>
      </c>
      <c r="BJ178" s="208">
        <v>0</v>
      </c>
      <c r="BK178" s="208">
        <v>0</v>
      </c>
      <c r="BL178" s="208">
        <v>0</v>
      </c>
      <c r="BM178" s="208">
        <v>0</v>
      </c>
      <c r="BN178" s="208">
        <v>0</v>
      </c>
      <c r="BO178" s="208">
        <v>2210369.7512625004</v>
      </c>
      <c r="BP178" s="208">
        <v>497333.19403406244</v>
      </c>
      <c r="BQ178" s="208">
        <v>55259.243781562502</v>
      </c>
      <c r="BR178" s="208">
        <v>146504</v>
      </c>
      <c r="BS178" s="208">
        <v>32963</v>
      </c>
      <c r="BT178" s="208">
        <v>3663</v>
      </c>
      <c r="BU178" s="208">
        <v>2112676</v>
      </c>
      <c r="BV178" s="208">
        <v>475352</v>
      </c>
      <c r="BW178" s="208">
        <v>52817</v>
      </c>
      <c r="BX178" s="208">
        <v>244198</v>
      </c>
      <c r="BY178" s="208">
        <v>54944</v>
      </c>
      <c r="BZ178" s="208">
        <v>6105</v>
      </c>
      <c r="CA178" s="208">
        <v>13564.284166666668</v>
      </c>
      <c r="CB178" s="208">
        <v>3051.9639374999997</v>
      </c>
      <c r="CC178" s="208">
        <v>339.10710416666672</v>
      </c>
      <c r="CD178" s="208">
        <v>4092</v>
      </c>
      <c r="CE178" s="208">
        <v>921</v>
      </c>
      <c r="CF178" s="208">
        <v>102</v>
      </c>
      <c r="CG178" s="208">
        <v>9472</v>
      </c>
      <c r="CH178" s="208">
        <v>2131</v>
      </c>
      <c r="CI178" s="208">
        <v>237</v>
      </c>
      <c r="CJ178" s="208">
        <v>0</v>
      </c>
      <c r="CK178" s="208">
        <v>0</v>
      </c>
      <c r="CL178" s="208">
        <v>0</v>
      </c>
      <c r="CM178" s="208">
        <v>0</v>
      </c>
      <c r="CN178" s="208">
        <v>0</v>
      </c>
      <c r="CO178" s="208">
        <v>0</v>
      </c>
      <c r="CP178" s="208">
        <v>0</v>
      </c>
      <c r="CQ178" s="208">
        <v>0</v>
      </c>
      <c r="CR178" s="208">
        <v>0</v>
      </c>
      <c r="CS178" s="208">
        <v>0</v>
      </c>
      <c r="CT178" s="208">
        <v>0</v>
      </c>
      <c r="CU178" s="208">
        <v>0</v>
      </c>
      <c r="CV178" s="208">
        <v>0</v>
      </c>
      <c r="CW178" s="208">
        <v>0</v>
      </c>
      <c r="CX178" s="208">
        <v>0</v>
      </c>
      <c r="CY178" s="208">
        <v>0</v>
      </c>
      <c r="CZ178" s="208">
        <v>0</v>
      </c>
      <c r="DA178" s="208">
        <v>0</v>
      </c>
      <c r="DB178" s="208">
        <v>0</v>
      </c>
      <c r="DC178" s="208">
        <v>0</v>
      </c>
      <c r="DD178" s="208">
        <v>0</v>
      </c>
      <c r="DE178" s="208">
        <v>4539.7041666666664</v>
      </c>
      <c r="DF178" s="208">
        <v>1021.4334374999999</v>
      </c>
      <c r="DG178" s="208">
        <v>113.49260416666667</v>
      </c>
      <c r="DH178" s="208">
        <v>4539</v>
      </c>
      <c r="DI178" s="208">
        <v>1021</v>
      </c>
      <c r="DJ178" s="208">
        <v>113</v>
      </c>
      <c r="DK178" s="208">
        <v>1</v>
      </c>
      <c r="DL178" s="208">
        <v>0</v>
      </c>
      <c r="DM178" s="208">
        <v>0</v>
      </c>
      <c r="DN178" s="208">
        <v>0</v>
      </c>
      <c r="DO178" s="208">
        <v>0</v>
      </c>
      <c r="DP178" s="208">
        <v>0</v>
      </c>
      <c r="DQ178" s="208">
        <v>0</v>
      </c>
      <c r="DR178" s="208">
        <v>0</v>
      </c>
      <c r="DS178" s="208">
        <v>0</v>
      </c>
      <c r="DT178" s="208">
        <v>0</v>
      </c>
      <c r="DU178" s="208">
        <v>0</v>
      </c>
      <c r="DV178" s="208">
        <v>0</v>
      </c>
      <c r="DW178" s="208">
        <v>9914.9266666666681</v>
      </c>
      <c r="DX178" s="208">
        <v>2230.8584999999998</v>
      </c>
      <c r="DY178" s="208">
        <v>247.87316666666669</v>
      </c>
      <c r="DZ178" s="208">
        <v>9204</v>
      </c>
      <c r="EA178" s="208">
        <v>2071</v>
      </c>
      <c r="EB178" s="208">
        <v>230</v>
      </c>
      <c r="EC178" s="208">
        <v>711</v>
      </c>
      <c r="ED178" s="208">
        <v>160</v>
      </c>
      <c r="EE178" s="208">
        <v>18</v>
      </c>
      <c r="EF178" s="208">
        <v>82260.094166666677</v>
      </c>
      <c r="EG178" s="208">
        <v>18508.521187499999</v>
      </c>
      <c r="EH178" s="208">
        <v>2056.5023541666665</v>
      </c>
      <c r="EI178" s="208">
        <v>-2097.3883333333338</v>
      </c>
      <c r="EJ178" s="208">
        <v>-471.912375</v>
      </c>
      <c r="EK178" s="208">
        <v>-52.43470833333334</v>
      </c>
      <c r="EL178" s="208">
        <v>82242</v>
      </c>
      <c r="EM178" s="208">
        <v>18505</v>
      </c>
      <c r="EN178" s="208">
        <v>2056</v>
      </c>
      <c r="EO178" s="208">
        <v>-2079</v>
      </c>
      <c r="EP178" s="208">
        <v>-468</v>
      </c>
      <c r="EQ178" s="208">
        <v>-52</v>
      </c>
      <c r="ER178" s="208">
        <v>36336.04583333333</v>
      </c>
      <c r="ES178" s="208">
        <v>8175.6103125</v>
      </c>
      <c r="ET178" s="208">
        <v>908.40114583333332</v>
      </c>
      <c r="EU178" s="208">
        <v>31505</v>
      </c>
      <c r="EV178" s="208">
        <v>7089</v>
      </c>
      <c r="EW178" s="208">
        <v>788</v>
      </c>
      <c r="EX178" s="208">
        <v>4831</v>
      </c>
      <c r="EY178" s="208">
        <v>1087</v>
      </c>
      <c r="EZ178" s="208">
        <v>120</v>
      </c>
      <c r="FA178" s="208">
        <v>0</v>
      </c>
      <c r="FB178" s="208">
        <v>0</v>
      </c>
      <c r="FC178" s="208">
        <v>0</v>
      </c>
      <c r="FD178" s="208">
        <v>0</v>
      </c>
      <c r="FE178" s="208">
        <v>0</v>
      </c>
      <c r="FF178" s="208">
        <v>0</v>
      </c>
      <c r="FG178" s="208">
        <v>0</v>
      </c>
      <c r="FH178" s="208">
        <v>0</v>
      </c>
      <c r="FI178" s="208">
        <v>0</v>
      </c>
      <c r="FJ178" s="208">
        <v>605087.53708333336</v>
      </c>
      <c r="FK178" s="208">
        <v>136093.90162499997</v>
      </c>
      <c r="FL178" s="208">
        <v>15121.544624999999</v>
      </c>
      <c r="FM178" s="208">
        <v>602713</v>
      </c>
      <c r="FN178" s="208">
        <v>135556</v>
      </c>
      <c r="FO178" s="208">
        <v>15062</v>
      </c>
      <c r="FP178" s="208">
        <v>2375</v>
      </c>
      <c r="FQ178" s="208">
        <v>538</v>
      </c>
      <c r="FR178" s="208">
        <v>60</v>
      </c>
      <c r="FS178" s="208">
        <v>0</v>
      </c>
      <c r="FT178" s="208">
        <v>0</v>
      </c>
      <c r="FU178" s="208">
        <v>0</v>
      </c>
      <c r="FV178" s="208">
        <v>0</v>
      </c>
      <c r="FW178" s="208">
        <v>0</v>
      </c>
      <c r="FX178" s="208">
        <v>0</v>
      </c>
      <c r="FY178" s="208">
        <v>0</v>
      </c>
      <c r="FZ178" s="208">
        <v>0</v>
      </c>
      <c r="GA178" s="208">
        <v>0</v>
      </c>
      <c r="GB178" s="208">
        <v>3106480</v>
      </c>
      <c r="GC178" s="208">
        <v>698907</v>
      </c>
      <c r="GD178" s="208">
        <v>77657</v>
      </c>
      <c r="GE178" s="664">
        <v>0.5</v>
      </c>
      <c r="GF178" s="664">
        <v>0.4</v>
      </c>
      <c r="GG178" s="664">
        <v>0.09</v>
      </c>
      <c r="GH178" s="664">
        <v>0.01</v>
      </c>
      <c r="GI178" s="187" t="s">
        <v>1054</v>
      </c>
    </row>
    <row r="179" spans="1:191" s="187" customFormat="1" x14ac:dyDescent="0.2">
      <c r="B179" s="429" t="s">
        <v>435</v>
      </c>
      <c r="C179" s="429" t="s">
        <v>434</v>
      </c>
      <c r="D179" s="208">
        <v>1314529</v>
      </c>
      <c r="E179" s="208">
        <v>0</v>
      </c>
      <c r="F179" s="208">
        <v>1314529</v>
      </c>
      <c r="G179" s="208">
        <v>604594</v>
      </c>
      <c r="H179" s="208">
        <v>0</v>
      </c>
      <c r="I179" s="208">
        <v>604594</v>
      </c>
      <c r="J179" s="208">
        <v>709935</v>
      </c>
      <c r="K179" s="208">
        <v>0</v>
      </c>
      <c r="L179" s="208">
        <v>709935</v>
      </c>
      <c r="M179" s="208">
        <v>162915</v>
      </c>
      <c r="N179" s="208">
        <v>162915</v>
      </c>
      <c r="O179" s="208">
        <v>0</v>
      </c>
      <c r="P179" s="208">
        <v>0</v>
      </c>
      <c r="Q179" s="208">
        <v>0</v>
      </c>
      <c r="R179" s="208">
        <v>0</v>
      </c>
      <c r="S179" s="208">
        <v>454773</v>
      </c>
      <c r="T179" s="208">
        <v>63898</v>
      </c>
      <c r="U179" s="208">
        <v>660000</v>
      </c>
      <c r="V179" s="208">
        <v>110000</v>
      </c>
      <c r="W179" s="208">
        <v>-205227</v>
      </c>
      <c r="X179" s="208">
        <v>-46102</v>
      </c>
      <c r="Y179" s="208">
        <v>0</v>
      </c>
      <c r="Z179" s="208">
        <v>0</v>
      </c>
      <c r="AA179" s="208">
        <v>0</v>
      </c>
      <c r="AB179" s="208">
        <v>0</v>
      </c>
      <c r="AC179" s="208">
        <v>0</v>
      </c>
      <c r="AD179" s="208">
        <v>0</v>
      </c>
      <c r="AE179" s="208">
        <v>0</v>
      </c>
      <c r="AF179" s="208">
        <v>0</v>
      </c>
      <c r="AG179" s="208">
        <v>0</v>
      </c>
      <c r="AH179" s="208">
        <v>0</v>
      </c>
      <c r="AI179" s="208">
        <v>0</v>
      </c>
      <c r="AJ179" s="208">
        <v>0</v>
      </c>
      <c r="AK179" s="208">
        <v>0</v>
      </c>
      <c r="AL179" s="208">
        <v>0</v>
      </c>
      <c r="AM179" s="208">
        <v>0</v>
      </c>
      <c r="AN179" s="208">
        <v>0</v>
      </c>
      <c r="AO179" s="208">
        <v>0</v>
      </c>
      <c r="AP179" s="208">
        <v>0</v>
      </c>
      <c r="AQ179" s="208">
        <v>0</v>
      </c>
      <c r="AR179" s="208">
        <v>0</v>
      </c>
      <c r="AS179" s="208">
        <v>0</v>
      </c>
      <c r="AT179" s="208">
        <v>0</v>
      </c>
      <c r="AU179" s="208">
        <v>0</v>
      </c>
      <c r="AV179" s="208">
        <v>0</v>
      </c>
      <c r="AW179" s="208">
        <v>0</v>
      </c>
      <c r="AX179" s="208">
        <v>0</v>
      </c>
      <c r="AY179" s="208">
        <v>0</v>
      </c>
      <c r="AZ179" s="208">
        <v>0</v>
      </c>
      <c r="BA179" s="208">
        <v>0</v>
      </c>
      <c r="BB179" s="208">
        <v>0</v>
      </c>
      <c r="BC179" s="208">
        <v>0</v>
      </c>
      <c r="BD179" s="208">
        <v>0</v>
      </c>
      <c r="BE179" s="208">
        <v>0</v>
      </c>
      <c r="BF179" s="208">
        <v>0</v>
      </c>
      <c r="BG179" s="208">
        <v>0</v>
      </c>
      <c r="BH179" s="208">
        <v>0</v>
      </c>
      <c r="BI179" s="208">
        <v>0</v>
      </c>
      <c r="BJ179" s="208">
        <v>0</v>
      </c>
      <c r="BK179" s="208">
        <v>0</v>
      </c>
      <c r="BL179" s="208">
        <v>0</v>
      </c>
      <c r="BM179" s="208">
        <v>0</v>
      </c>
      <c r="BN179" s="208">
        <v>0</v>
      </c>
      <c r="BO179" s="208">
        <v>1274711.3807750002</v>
      </c>
      <c r="BP179" s="208">
        <v>286810.06067437504</v>
      </c>
      <c r="BQ179" s="208">
        <v>31867.784519375004</v>
      </c>
      <c r="BR179" s="208">
        <v>69847</v>
      </c>
      <c r="BS179" s="208">
        <v>15716</v>
      </c>
      <c r="BT179" s="208">
        <v>1746</v>
      </c>
      <c r="BU179" s="208">
        <v>1124973</v>
      </c>
      <c r="BV179" s="208">
        <v>253119</v>
      </c>
      <c r="BW179" s="208">
        <v>28124</v>
      </c>
      <c r="BX179" s="208">
        <v>219585</v>
      </c>
      <c r="BY179" s="208">
        <v>49407</v>
      </c>
      <c r="BZ179" s="208">
        <v>5490</v>
      </c>
      <c r="CA179" s="208">
        <v>0</v>
      </c>
      <c r="CB179" s="208">
        <v>0</v>
      </c>
      <c r="CC179" s="208">
        <v>0</v>
      </c>
      <c r="CD179" s="208">
        <v>0</v>
      </c>
      <c r="CE179" s="208">
        <v>0</v>
      </c>
      <c r="CF179" s="208">
        <v>0</v>
      </c>
      <c r="CG179" s="208">
        <v>0</v>
      </c>
      <c r="CH179" s="208">
        <v>0</v>
      </c>
      <c r="CI179" s="208">
        <v>0</v>
      </c>
      <c r="CJ179" s="208">
        <v>0</v>
      </c>
      <c r="CK179" s="208">
        <v>0</v>
      </c>
      <c r="CL179" s="208">
        <v>0</v>
      </c>
      <c r="CM179" s="208">
        <v>0</v>
      </c>
      <c r="CN179" s="208">
        <v>0</v>
      </c>
      <c r="CO179" s="208">
        <v>0</v>
      </c>
      <c r="CP179" s="208">
        <v>0</v>
      </c>
      <c r="CQ179" s="208">
        <v>0</v>
      </c>
      <c r="CR179" s="208">
        <v>0</v>
      </c>
      <c r="CS179" s="208">
        <v>0</v>
      </c>
      <c r="CT179" s="208">
        <v>0</v>
      </c>
      <c r="CU179" s="208">
        <v>0</v>
      </c>
      <c r="CV179" s="208">
        <v>0</v>
      </c>
      <c r="CW179" s="208">
        <v>0</v>
      </c>
      <c r="CX179" s="208">
        <v>0</v>
      </c>
      <c r="CY179" s="208">
        <v>0</v>
      </c>
      <c r="CZ179" s="208">
        <v>0</v>
      </c>
      <c r="DA179" s="208">
        <v>0</v>
      </c>
      <c r="DB179" s="208">
        <v>0</v>
      </c>
      <c r="DC179" s="208">
        <v>0</v>
      </c>
      <c r="DD179" s="208">
        <v>0</v>
      </c>
      <c r="DE179" s="208">
        <v>7329.8116666666674</v>
      </c>
      <c r="DF179" s="208">
        <v>1649.207625</v>
      </c>
      <c r="DG179" s="208">
        <v>183.24529166666667</v>
      </c>
      <c r="DH179" s="208">
        <v>4718</v>
      </c>
      <c r="DI179" s="208">
        <v>1062</v>
      </c>
      <c r="DJ179" s="208">
        <v>118</v>
      </c>
      <c r="DK179" s="208">
        <v>2612</v>
      </c>
      <c r="DL179" s="208">
        <v>587</v>
      </c>
      <c r="DM179" s="208">
        <v>65</v>
      </c>
      <c r="DN179" s="208">
        <v>613.75</v>
      </c>
      <c r="DO179" s="208">
        <v>138.09375</v>
      </c>
      <c r="DP179" s="208">
        <v>15.34375</v>
      </c>
      <c r="DQ179" s="208">
        <v>614</v>
      </c>
      <c r="DR179" s="208">
        <v>138</v>
      </c>
      <c r="DS179" s="208">
        <v>15</v>
      </c>
      <c r="DT179" s="208">
        <v>0</v>
      </c>
      <c r="DU179" s="208">
        <v>0</v>
      </c>
      <c r="DV179" s="208">
        <v>0</v>
      </c>
      <c r="DW179" s="208">
        <v>11156.338333333333</v>
      </c>
      <c r="DX179" s="208">
        <v>2510.176125</v>
      </c>
      <c r="DY179" s="208">
        <v>278.90845833333333</v>
      </c>
      <c r="DZ179" s="208">
        <v>10638</v>
      </c>
      <c r="EA179" s="208">
        <v>2394</v>
      </c>
      <c r="EB179" s="208">
        <v>266</v>
      </c>
      <c r="EC179" s="208">
        <v>518</v>
      </c>
      <c r="ED179" s="208">
        <v>116</v>
      </c>
      <c r="EE179" s="208">
        <v>13</v>
      </c>
      <c r="EF179" s="208">
        <v>15923.539166666667</v>
      </c>
      <c r="EG179" s="208">
        <v>3582.7963124999997</v>
      </c>
      <c r="EH179" s="208">
        <v>398.08847916666667</v>
      </c>
      <c r="EI179" s="208">
        <v>0</v>
      </c>
      <c r="EJ179" s="208">
        <v>0</v>
      </c>
      <c r="EK179" s="208">
        <v>0</v>
      </c>
      <c r="EL179" s="208">
        <v>12275</v>
      </c>
      <c r="EM179" s="208">
        <v>2762</v>
      </c>
      <c r="EN179" s="208">
        <v>307</v>
      </c>
      <c r="EO179" s="208">
        <v>3649</v>
      </c>
      <c r="EP179" s="208">
        <v>821</v>
      </c>
      <c r="EQ179" s="208">
        <v>91</v>
      </c>
      <c r="ER179" s="208">
        <v>18458.326666666668</v>
      </c>
      <c r="ES179" s="208">
        <v>4153.1234999999997</v>
      </c>
      <c r="ET179" s="208">
        <v>461.45816666666667</v>
      </c>
      <c r="EU179" s="208">
        <v>16366</v>
      </c>
      <c r="EV179" s="208">
        <v>3683</v>
      </c>
      <c r="EW179" s="208">
        <v>409</v>
      </c>
      <c r="EX179" s="208">
        <v>2092</v>
      </c>
      <c r="EY179" s="208">
        <v>470</v>
      </c>
      <c r="EZ179" s="208">
        <v>52</v>
      </c>
      <c r="FA179" s="208">
        <v>0</v>
      </c>
      <c r="FB179" s="208">
        <v>0</v>
      </c>
      <c r="FC179" s="208">
        <v>0</v>
      </c>
      <c r="FD179" s="208">
        <v>0</v>
      </c>
      <c r="FE179" s="208">
        <v>0</v>
      </c>
      <c r="FF179" s="208">
        <v>0</v>
      </c>
      <c r="FG179" s="208">
        <v>0</v>
      </c>
      <c r="FH179" s="208">
        <v>0</v>
      </c>
      <c r="FI179" s="208">
        <v>0</v>
      </c>
      <c r="FJ179" s="208">
        <v>391049.75708333327</v>
      </c>
      <c r="FK179" s="208">
        <v>87105.601229166656</v>
      </c>
      <c r="FL179" s="208">
        <v>9515.6968958333327</v>
      </c>
      <c r="FM179" s="208">
        <v>372911</v>
      </c>
      <c r="FN179" s="208">
        <v>83023</v>
      </c>
      <c r="FO179" s="208">
        <v>8945</v>
      </c>
      <c r="FP179" s="208">
        <v>18139</v>
      </c>
      <c r="FQ179" s="208">
        <v>4083</v>
      </c>
      <c r="FR179" s="208">
        <v>571</v>
      </c>
      <c r="FS179" s="208">
        <v>0</v>
      </c>
      <c r="FT179" s="208">
        <v>0</v>
      </c>
      <c r="FU179" s="208">
        <v>0</v>
      </c>
      <c r="FV179" s="208">
        <v>0</v>
      </c>
      <c r="FW179" s="208">
        <v>0</v>
      </c>
      <c r="FX179" s="208">
        <v>0</v>
      </c>
      <c r="FY179" s="208">
        <v>0</v>
      </c>
      <c r="FZ179" s="208">
        <v>0</v>
      </c>
      <c r="GA179" s="208">
        <v>0</v>
      </c>
      <c r="GB179" s="208">
        <v>1789090</v>
      </c>
      <c r="GC179" s="208">
        <v>401665</v>
      </c>
      <c r="GD179" s="208">
        <v>44466</v>
      </c>
      <c r="GE179" s="664">
        <v>0.5</v>
      </c>
      <c r="GF179" s="664">
        <v>0.4</v>
      </c>
      <c r="GG179" s="664">
        <v>0.09</v>
      </c>
      <c r="GH179" s="664">
        <v>0.01</v>
      </c>
      <c r="GI179" s="187" t="s">
        <v>1054</v>
      </c>
    </row>
    <row r="180" spans="1:191" s="187" customFormat="1" x14ac:dyDescent="0.2">
      <c r="B180" s="429" t="s">
        <v>437</v>
      </c>
      <c r="C180" s="429" t="s">
        <v>970</v>
      </c>
      <c r="D180" s="208">
        <v>-5263086</v>
      </c>
      <c r="E180" s="208">
        <v>-707449</v>
      </c>
      <c r="F180" s="208">
        <v>-5970535</v>
      </c>
      <c r="G180" s="208">
        <v>-6654594</v>
      </c>
      <c r="H180" s="208">
        <v>-677384</v>
      </c>
      <c r="I180" s="208">
        <v>-7331978</v>
      </c>
      <c r="J180" s="208">
        <v>1391508</v>
      </c>
      <c r="K180" s="208">
        <v>-30065</v>
      </c>
      <c r="L180" s="208">
        <v>1361443</v>
      </c>
      <c r="M180" s="208">
        <v>457614</v>
      </c>
      <c r="N180" s="208">
        <v>457614</v>
      </c>
      <c r="O180" s="208">
        <v>0</v>
      </c>
      <c r="P180" s="208">
        <v>2112846</v>
      </c>
      <c r="Q180" s="208">
        <v>1246052</v>
      </c>
      <c r="R180" s="208">
        <v>866794</v>
      </c>
      <c r="S180" s="208">
        <v>0</v>
      </c>
      <c r="T180" s="208">
        <v>0</v>
      </c>
      <c r="U180" s="208">
        <v>0</v>
      </c>
      <c r="V180" s="208">
        <v>0</v>
      </c>
      <c r="W180" s="208">
        <v>0</v>
      </c>
      <c r="X180" s="208">
        <v>0</v>
      </c>
      <c r="Y180" s="208">
        <v>0</v>
      </c>
      <c r="Z180" s="208">
        <v>0</v>
      </c>
      <c r="AA180" s="208">
        <v>0</v>
      </c>
      <c r="AB180" s="208">
        <v>0</v>
      </c>
      <c r="AC180" s="208">
        <v>0</v>
      </c>
      <c r="AD180" s="208">
        <v>0</v>
      </c>
      <c r="AE180" s="208">
        <v>0</v>
      </c>
      <c r="AF180" s="208">
        <v>0</v>
      </c>
      <c r="AG180" s="208">
        <v>0</v>
      </c>
      <c r="AH180" s="208">
        <v>0</v>
      </c>
      <c r="AI180" s="208">
        <v>0</v>
      </c>
      <c r="AJ180" s="208">
        <v>0</v>
      </c>
      <c r="AK180" s="208">
        <v>0</v>
      </c>
      <c r="AL180" s="208">
        <v>0</v>
      </c>
      <c r="AM180" s="208">
        <v>0</v>
      </c>
      <c r="AN180" s="208">
        <v>0</v>
      </c>
      <c r="AO180" s="208">
        <v>0</v>
      </c>
      <c r="AP180" s="208">
        <v>0</v>
      </c>
      <c r="AQ180" s="208">
        <v>0</v>
      </c>
      <c r="AR180" s="208">
        <v>0</v>
      </c>
      <c r="AS180" s="208">
        <v>0</v>
      </c>
      <c r="AT180" s="208">
        <v>0</v>
      </c>
      <c r="AU180" s="208">
        <v>0</v>
      </c>
      <c r="AV180" s="208">
        <v>0</v>
      </c>
      <c r="AW180" s="208">
        <v>0</v>
      </c>
      <c r="AX180" s="208">
        <v>0</v>
      </c>
      <c r="AY180" s="208">
        <v>0</v>
      </c>
      <c r="AZ180" s="208">
        <v>0</v>
      </c>
      <c r="BA180" s="208">
        <v>0</v>
      </c>
      <c r="BB180" s="208">
        <v>0</v>
      </c>
      <c r="BC180" s="208">
        <v>0</v>
      </c>
      <c r="BD180" s="208">
        <v>0</v>
      </c>
      <c r="BE180" s="208">
        <v>0</v>
      </c>
      <c r="BF180" s="208">
        <v>0</v>
      </c>
      <c r="BG180" s="208">
        <v>0</v>
      </c>
      <c r="BH180" s="208">
        <v>0</v>
      </c>
      <c r="BI180" s="208">
        <v>0</v>
      </c>
      <c r="BJ180" s="208">
        <v>0</v>
      </c>
      <c r="BK180" s="208">
        <v>0</v>
      </c>
      <c r="BL180" s="208">
        <v>0</v>
      </c>
      <c r="BM180" s="208">
        <v>0</v>
      </c>
      <c r="BN180" s="208">
        <v>0</v>
      </c>
      <c r="BO180" s="208">
        <v>3213091.2720934167</v>
      </c>
      <c r="BP180" s="208">
        <v>0</v>
      </c>
      <c r="BQ180" s="208">
        <v>64916.976577416666</v>
      </c>
      <c r="BR180" s="208">
        <v>236916</v>
      </c>
      <c r="BS180" s="208">
        <v>0</v>
      </c>
      <c r="BT180" s="208">
        <v>4466</v>
      </c>
      <c r="BU180" s="208">
        <v>2968237</v>
      </c>
      <c r="BV180" s="208">
        <v>0</v>
      </c>
      <c r="BW180" s="208">
        <v>59813</v>
      </c>
      <c r="BX180" s="208">
        <v>481770</v>
      </c>
      <c r="BY180" s="208">
        <v>0</v>
      </c>
      <c r="BZ180" s="208">
        <v>9570</v>
      </c>
      <c r="CA180" s="208">
        <v>20426.172833333334</v>
      </c>
      <c r="CB180" s="208">
        <v>0</v>
      </c>
      <c r="CC180" s="208">
        <v>403.47925000000004</v>
      </c>
      <c r="CD180" s="208">
        <v>14832</v>
      </c>
      <c r="CE180" s="208">
        <v>0</v>
      </c>
      <c r="CF180" s="208">
        <v>295</v>
      </c>
      <c r="CG180" s="208">
        <v>5594</v>
      </c>
      <c r="CH180" s="208">
        <v>0</v>
      </c>
      <c r="CI180" s="208">
        <v>108</v>
      </c>
      <c r="CJ180" s="208">
        <v>751.84375</v>
      </c>
      <c r="CK180" s="208">
        <v>0</v>
      </c>
      <c r="CL180" s="208">
        <v>15.34375</v>
      </c>
      <c r="CM180" s="208">
        <v>0</v>
      </c>
      <c r="CN180" s="208">
        <v>0</v>
      </c>
      <c r="CO180" s="208">
        <v>0</v>
      </c>
      <c r="CP180" s="208">
        <v>0</v>
      </c>
      <c r="CQ180" s="208">
        <v>0</v>
      </c>
      <c r="CR180" s="208">
        <v>0</v>
      </c>
      <c r="CS180" s="208">
        <v>0</v>
      </c>
      <c r="CT180" s="208">
        <v>0</v>
      </c>
      <c r="CU180" s="208">
        <v>0</v>
      </c>
      <c r="CV180" s="208">
        <v>0</v>
      </c>
      <c r="CW180" s="208">
        <v>0</v>
      </c>
      <c r="CX180" s="208">
        <v>0</v>
      </c>
      <c r="CY180" s="208">
        <v>0</v>
      </c>
      <c r="CZ180" s="208">
        <v>0</v>
      </c>
      <c r="DA180" s="208">
        <v>0</v>
      </c>
      <c r="DB180" s="208">
        <v>0</v>
      </c>
      <c r="DC180" s="208">
        <v>0</v>
      </c>
      <c r="DD180" s="208">
        <v>0</v>
      </c>
      <c r="DE180" s="208">
        <v>0</v>
      </c>
      <c r="DF180" s="208">
        <v>0</v>
      </c>
      <c r="DG180" s="208">
        <v>0</v>
      </c>
      <c r="DH180" s="208">
        <v>0</v>
      </c>
      <c r="DI180" s="208">
        <v>0</v>
      </c>
      <c r="DJ180" s="208">
        <v>0</v>
      </c>
      <c r="DK180" s="208">
        <v>0</v>
      </c>
      <c r="DL180" s="208">
        <v>0</v>
      </c>
      <c r="DM180" s="208">
        <v>0</v>
      </c>
      <c r="DN180" s="208">
        <v>0</v>
      </c>
      <c r="DO180" s="208">
        <v>0</v>
      </c>
      <c r="DP180" s="208">
        <v>0</v>
      </c>
      <c r="DQ180" s="208">
        <v>0</v>
      </c>
      <c r="DR180" s="208">
        <v>0</v>
      </c>
      <c r="DS180" s="208">
        <v>0</v>
      </c>
      <c r="DT180" s="208">
        <v>0</v>
      </c>
      <c r="DU180" s="208">
        <v>0</v>
      </c>
      <c r="DV180" s="208">
        <v>0</v>
      </c>
      <c r="DW180" s="208">
        <v>19128.909916666667</v>
      </c>
      <c r="DX180" s="208">
        <v>0</v>
      </c>
      <c r="DY180" s="208">
        <v>390.38591666666667</v>
      </c>
      <c r="DZ180" s="208">
        <v>30072</v>
      </c>
      <c r="EA180" s="208">
        <v>0</v>
      </c>
      <c r="EB180" s="208">
        <v>614</v>
      </c>
      <c r="EC180" s="208">
        <v>-10943</v>
      </c>
      <c r="ED180" s="208">
        <v>0</v>
      </c>
      <c r="EE180" s="208">
        <v>-224</v>
      </c>
      <c r="EF180" s="208">
        <v>154405.36329166667</v>
      </c>
      <c r="EG180" s="208">
        <v>0</v>
      </c>
      <c r="EH180" s="208">
        <v>2590.8637916666667</v>
      </c>
      <c r="EI180" s="208">
        <v>-28737.892437499999</v>
      </c>
      <c r="EJ180" s="208">
        <v>0</v>
      </c>
      <c r="EK180" s="208">
        <v>-328.79610416666668</v>
      </c>
      <c r="EL180" s="208">
        <v>168183</v>
      </c>
      <c r="EM180" s="208">
        <v>0</v>
      </c>
      <c r="EN180" s="208">
        <v>3201</v>
      </c>
      <c r="EO180" s="208">
        <v>-42516</v>
      </c>
      <c r="EP180" s="208">
        <v>0</v>
      </c>
      <c r="EQ180" s="208">
        <v>-939</v>
      </c>
      <c r="ER180" s="208">
        <v>44991.557499999995</v>
      </c>
      <c r="ES180" s="208">
        <v>0</v>
      </c>
      <c r="ET180" s="208">
        <v>855.5675</v>
      </c>
      <c r="EU180" s="208">
        <v>56721</v>
      </c>
      <c r="EV180" s="208">
        <v>0</v>
      </c>
      <c r="EW180" s="208">
        <v>1074</v>
      </c>
      <c r="EX180" s="208">
        <v>-11729</v>
      </c>
      <c r="EY180" s="208">
        <v>0</v>
      </c>
      <c r="EZ180" s="208">
        <v>-218</v>
      </c>
      <c r="FA180" s="208">
        <v>0</v>
      </c>
      <c r="FB180" s="208">
        <v>0</v>
      </c>
      <c r="FC180" s="208">
        <v>0</v>
      </c>
      <c r="FD180" s="208">
        <v>0</v>
      </c>
      <c r="FE180" s="208">
        <v>0</v>
      </c>
      <c r="FF180" s="208">
        <v>0</v>
      </c>
      <c r="FG180" s="208">
        <v>0</v>
      </c>
      <c r="FH180" s="208">
        <v>0</v>
      </c>
      <c r="FI180" s="208">
        <v>0</v>
      </c>
      <c r="FJ180" s="208">
        <v>1546303.352</v>
      </c>
      <c r="FK180" s="208">
        <v>0</v>
      </c>
      <c r="FL180" s="208">
        <v>30569.0605</v>
      </c>
      <c r="FM180" s="208">
        <v>1587197</v>
      </c>
      <c r="FN180" s="208">
        <v>0</v>
      </c>
      <c r="FO180" s="208">
        <v>31809</v>
      </c>
      <c r="FP180" s="208">
        <v>-40894</v>
      </c>
      <c r="FQ180" s="208">
        <v>0</v>
      </c>
      <c r="FR180" s="208">
        <v>-1240</v>
      </c>
      <c r="FS180" s="208">
        <v>0</v>
      </c>
      <c r="FT180" s="208">
        <v>0</v>
      </c>
      <c r="FU180" s="208">
        <v>0</v>
      </c>
      <c r="FV180" s="208">
        <v>0</v>
      </c>
      <c r="FW180" s="208">
        <v>0</v>
      </c>
      <c r="FX180" s="208">
        <v>0</v>
      </c>
      <c r="FY180" s="208">
        <v>0</v>
      </c>
      <c r="FZ180" s="208">
        <v>0</v>
      </c>
      <c r="GA180" s="208">
        <v>0</v>
      </c>
      <c r="GB180" s="208">
        <v>5207276</v>
      </c>
      <c r="GC180" s="208">
        <v>0</v>
      </c>
      <c r="GD180" s="208">
        <v>103878</v>
      </c>
      <c r="GE180" s="664">
        <v>0.5</v>
      </c>
      <c r="GF180" s="664">
        <v>0.49</v>
      </c>
      <c r="GG180" s="664">
        <v>0</v>
      </c>
      <c r="GH180" s="664">
        <v>0.01</v>
      </c>
      <c r="GI180" s="187" t="s">
        <v>1056</v>
      </c>
    </row>
    <row r="181" spans="1:191" s="187" customFormat="1" x14ac:dyDescent="0.2">
      <c r="B181" s="429" t="s">
        <v>439</v>
      </c>
      <c r="C181" s="429" t="s">
        <v>438</v>
      </c>
      <c r="D181" s="208">
        <v>-22384</v>
      </c>
      <c r="E181" s="208">
        <v>0</v>
      </c>
      <c r="F181" s="208">
        <v>-22384</v>
      </c>
      <c r="G181" s="208">
        <v>10307</v>
      </c>
      <c r="H181" s="208">
        <v>0</v>
      </c>
      <c r="I181" s="208">
        <v>10307</v>
      </c>
      <c r="J181" s="208">
        <v>-32691</v>
      </c>
      <c r="K181" s="208">
        <v>0</v>
      </c>
      <c r="L181" s="208">
        <v>-32691</v>
      </c>
      <c r="M181" s="208">
        <v>139635</v>
      </c>
      <c r="N181" s="208">
        <v>139635</v>
      </c>
      <c r="O181" s="208">
        <v>0</v>
      </c>
      <c r="P181" s="208">
        <v>0</v>
      </c>
      <c r="Q181" s="208">
        <v>0</v>
      </c>
      <c r="R181" s="208">
        <v>0</v>
      </c>
      <c r="S181" s="208">
        <v>0</v>
      </c>
      <c r="T181" s="208">
        <v>0</v>
      </c>
      <c r="U181" s="208">
        <v>0</v>
      </c>
      <c r="V181" s="208">
        <v>0</v>
      </c>
      <c r="W181" s="208">
        <v>0</v>
      </c>
      <c r="X181" s="208">
        <v>0</v>
      </c>
      <c r="Y181" s="208">
        <v>0</v>
      </c>
      <c r="Z181" s="208">
        <v>0</v>
      </c>
      <c r="AA181" s="208">
        <v>0</v>
      </c>
      <c r="AB181" s="208">
        <v>0</v>
      </c>
      <c r="AC181" s="208">
        <v>0</v>
      </c>
      <c r="AD181" s="208">
        <v>0</v>
      </c>
      <c r="AE181" s="208">
        <v>0</v>
      </c>
      <c r="AF181" s="208">
        <v>0</v>
      </c>
      <c r="AG181" s="208">
        <v>0</v>
      </c>
      <c r="AH181" s="208">
        <v>0</v>
      </c>
      <c r="AI181" s="208">
        <v>0</v>
      </c>
      <c r="AJ181" s="208">
        <v>0</v>
      </c>
      <c r="AK181" s="208">
        <v>0</v>
      </c>
      <c r="AL181" s="208">
        <v>0</v>
      </c>
      <c r="AM181" s="208">
        <v>0</v>
      </c>
      <c r="AN181" s="208">
        <v>0</v>
      </c>
      <c r="AO181" s="208">
        <v>0</v>
      </c>
      <c r="AP181" s="208">
        <v>0</v>
      </c>
      <c r="AQ181" s="208">
        <v>0</v>
      </c>
      <c r="AR181" s="208">
        <v>0</v>
      </c>
      <c r="AS181" s="208">
        <v>0</v>
      </c>
      <c r="AT181" s="208">
        <v>0</v>
      </c>
      <c r="AU181" s="208">
        <v>0</v>
      </c>
      <c r="AV181" s="208">
        <v>0</v>
      </c>
      <c r="AW181" s="208">
        <v>0</v>
      </c>
      <c r="AX181" s="208">
        <v>0</v>
      </c>
      <c r="AY181" s="208">
        <v>0</v>
      </c>
      <c r="AZ181" s="208">
        <v>0</v>
      </c>
      <c r="BA181" s="208">
        <v>0</v>
      </c>
      <c r="BB181" s="208">
        <v>0</v>
      </c>
      <c r="BC181" s="208">
        <v>0</v>
      </c>
      <c r="BD181" s="208">
        <v>0</v>
      </c>
      <c r="BE181" s="208">
        <v>0</v>
      </c>
      <c r="BF181" s="208">
        <v>0</v>
      </c>
      <c r="BG181" s="208">
        <v>0</v>
      </c>
      <c r="BH181" s="208">
        <v>0</v>
      </c>
      <c r="BI181" s="208">
        <v>0</v>
      </c>
      <c r="BJ181" s="208">
        <v>0</v>
      </c>
      <c r="BK181" s="208">
        <v>0</v>
      </c>
      <c r="BL181" s="208">
        <v>0</v>
      </c>
      <c r="BM181" s="208">
        <v>0</v>
      </c>
      <c r="BN181" s="208">
        <v>0</v>
      </c>
      <c r="BO181" s="208">
        <v>1044467.8821208336</v>
      </c>
      <c r="BP181" s="208">
        <v>235005.2734771875</v>
      </c>
      <c r="BQ181" s="208">
        <v>26111.697053020835</v>
      </c>
      <c r="BR181" s="208">
        <v>66400</v>
      </c>
      <c r="BS181" s="208">
        <v>14940</v>
      </c>
      <c r="BT181" s="208">
        <v>1660</v>
      </c>
      <c r="BU181" s="208">
        <v>1002439</v>
      </c>
      <c r="BV181" s="208">
        <v>225549</v>
      </c>
      <c r="BW181" s="208">
        <v>25061</v>
      </c>
      <c r="BX181" s="208">
        <v>108429</v>
      </c>
      <c r="BY181" s="208">
        <v>24396</v>
      </c>
      <c r="BZ181" s="208">
        <v>2711</v>
      </c>
      <c r="CA181" s="208">
        <v>0</v>
      </c>
      <c r="CB181" s="208">
        <v>0</v>
      </c>
      <c r="CC181" s="208">
        <v>0</v>
      </c>
      <c r="CD181" s="208">
        <v>0</v>
      </c>
      <c r="CE181" s="208">
        <v>0</v>
      </c>
      <c r="CF181" s="208">
        <v>0</v>
      </c>
      <c r="CG181" s="208">
        <v>0</v>
      </c>
      <c r="CH181" s="208">
        <v>0</v>
      </c>
      <c r="CI181" s="208">
        <v>0</v>
      </c>
      <c r="CJ181" s="208">
        <v>0</v>
      </c>
      <c r="CK181" s="208">
        <v>0</v>
      </c>
      <c r="CL181" s="208">
        <v>0</v>
      </c>
      <c r="CM181" s="208">
        <v>0</v>
      </c>
      <c r="CN181" s="208">
        <v>0</v>
      </c>
      <c r="CO181" s="208">
        <v>0</v>
      </c>
      <c r="CP181" s="208">
        <v>-252.86500000000001</v>
      </c>
      <c r="CQ181" s="208">
        <v>-56.894624999999998</v>
      </c>
      <c r="CR181" s="208">
        <v>-6.321625</v>
      </c>
      <c r="CS181" s="208">
        <v>0</v>
      </c>
      <c r="CT181" s="208">
        <v>0</v>
      </c>
      <c r="CU181" s="208">
        <v>0</v>
      </c>
      <c r="CV181" s="208">
        <v>0</v>
      </c>
      <c r="CW181" s="208">
        <v>0</v>
      </c>
      <c r="CX181" s="208">
        <v>0</v>
      </c>
      <c r="CY181" s="208">
        <v>0</v>
      </c>
      <c r="CZ181" s="208">
        <v>0</v>
      </c>
      <c r="DA181" s="208">
        <v>0</v>
      </c>
      <c r="DB181" s="208">
        <v>0</v>
      </c>
      <c r="DC181" s="208">
        <v>0</v>
      </c>
      <c r="DD181" s="208">
        <v>0</v>
      </c>
      <c r="DE181" s="208">
        <v>1569.1541666666667</v>
      </c>
      <c r="DF181" s="208">
        <v>353.0596875</v>
      </c>
      <c r="DG181" s="208">
        <v>39.228854166666665</v>
      </c>
      <c r="DH181" s="208">
        <v>0</v>
      </c>
      <c r="DI181" s="208">
        <v>0</v>
      </c>
      <c r="DJ181" s="208">
        <v>0</v>
      </c>
      <c r="DK181" s="208">
        <v>1569</v>
      </c>
      <c r="DL181" s="208">
        <v>353</v>
      </c>
      <c r="DM181" s="208">
        <v>39</v>
      </c>
      <c r="DN181" s="208">
        <v>0</v>
      </c>
      <c r="DO181" s="208">
        <v>0</v>
      </c>
      <c r="DP181" s="208">
        <v>0</v>
      </c>
      <c r="DQ181" s="208">
        <v>0</v>
      </c>
      <c r="DR181" s="208">
        <v>0</v>
      </c>
      <c r="DS181" s="208">
        <v>0</v>
      </c>
      <c r="DT181" s="208">
        <v>0</v>
      </c>
      <c r="DU181" s="208">
        <v>0</v>
      </c>
      <c r="DV181" s="208">
        <v>0</v>
      </c>
      <c r="DW181" s="208">
        <v>8701.3383333333331</v>
      </c>
      <c r="DX181" s="208">
        <v>1957.801125</v>
      </c>
      <c r="DY181" s="208">
        <v>217.53345833333333</v>
      </c>
      <c r="DZ181" s="208">
        <v>5096</v>
      </c>
      <c r="EA181" s="208">
        <v>1147</v>
      </c>
      <c r="EB181" s="208">
        <v>127</v>
      </c>
      <c r="EC181" s="208">
        <v>3605</v>
      </c>
      <c r="ED181" s="208">
        <v>811</v>
      </c>
      <c r="EE181" s="208">
        <v>91</v>
      </c>
      <c r="EF181" s="208">
        <v>53652.797500000001</v>
      </c>
      <c r="EG181" s="208">
        <v>12071.8794375</v>
      </c>
      <c r="EH181" s="208">
        <v>1341.3199374999999</v>
      </c>
      <c r="EI181" s="208">
        <v>0</v>
      </c>
      <c r="EJ181" s="208">
        <v>0</v>
      </c>
      <c r="EK181" s="208">
        <v>0</v>
      </c>
      <c r="EL181" s="208">
        <v>54171</v>
      </c>
      <c r="EM181" s="208">
        <v>12188</v>
      </c>
      <c r="EN181" s="208">
        <v>1354</v>
      </c>
      <c r="EO181" s="208">
        <v>-518</v>
      </c>
      <c r="EP181" s="208">
        <v>-116</v>
      </c>
      <c r="EQ181" s="208">
        <v>-13</v>
      </c>
      <c r="ER181" s="208">
        <v>17349.894166666669</v>
      </c>
      <c r="ES181" s="208">
        <v>3903.7261874999999</v>
      </c>
      <c r="ET181" s="208">
        <v>433.74735416666675</v>
      </c>
      <c r="EU181" s="208">
        <v>16776</v>
      </c>
      <c r="EV181" s="208">
        <v>3775</v>
      </c>
      <c r="EW181" s="208">
        <v>419</v>
      </c>
      <c r="EX181" s="208">
        <v>574</v>
      </c>
      <c r="EY181" s="208">
        <v>129</v>
      </c>
      <c r="EZ181" s="208">
        <v>15</v>
      </c>
      <c r="FA181" s="208">
        <v>0</v>
      </c>
      <c r="FB181" s="208">
        <v>0</v>
      </c>
      <c r="FC181" s="208">
        <v>0</v>
      </c>
      <c r="FD181" s="208">
        <v>0</v>
      </c>
      <c r="FE181" s="208">
        <v>0</v>
      </c>
      <c r="FF181" s="208">
        <v>0</v>
      </c>
      <c r="FG181" s="208">
        <v>0</v>
      </c>
      <c r="FH181" s="208">
        <v>0</v>
      </c>
      <c r="FI181" s="208">
        <v>0</v>
      </c>
      <c r="FJ181" s="208">
        <v>302233.40583333332</v>
      </c>
      <c r="FK181" s="208">
        <v>68002.516312499996</v>
      </c>
      <c r="FL181" s="208">
        <v>7555.8351458333327</v>
      </c>
      <c r="FM181" s="208">
        <v>286304</v>
      </c>
      <c r="FN181" s="208">
        <v>64418</v>
      </c>
      <c r="FO181" s="208">
        <v>7158</v>
      </c>
      <c r="FP181" s="208">
        <v>15929</v>
      </c>
      <c r="FQ181" s="208">
        <v>3585</v>
      </c>
      <c r="FR181" s="208">
        <v>398</v>
      </c>
      <c r="FS181" s="208">
        <v>0</v>
      </c>
      <c r="FT181" s="208">
        <v>0</v>
      </c>
      <c r="FU181" s="208">
        <v>0</v>
      </c>
      <c r="FV181" s="208">
        <v>0</v>
      </c>
      <c r="FW181" s="208">
        <v>0</v>
      </c>
      <c r="FX181" s="208">
        <v>0</v>
      </c>
      <c r="FY181" s="208">
        <v>0</v>
      </c>
      <c r="FZ181" s="208">
        <v>0</v>
      </c>
      <c r="GA181" s="208">
        <v>0</v>
      </c>
      <c r="GB181" s="208">
        <v>1494121</v>
      </c>
      <c r="GC181" s="208">
        <v>336178</v>
      </c>
      <c r="GD181" s="208">
        <v>37354</v>
      </c>
      <c r="GE181" s="664">
        <v>0.5</v>
      </c>
      <c r="GF181" s="664">
        <v>0.4</v>
      </c>
      <c r="GG181" s="664">
        <v>0.09</v>
      </c>
      <c r="GH181" s="664">
        <v>0.01</v>
      </c>
      <c r="GI181" s="187" t="s">
        <v>1054</v>
      </c>
    </row>
    <row r="182" spans="1:191" s="187" customFormat="1" x14ac:dyDescent="0.2">
      <c r="B182" s="429" t="s">
        <v>441</v>
      </c>
      <c r="C182" s="429" t="s">
        <v>440</v>
      </c>
      <c r="D182" s="208">
        <v>1537695</v>
      </c>
      <c r="E182" s="208">
        <v>-6094</v>
      </c>
      <c r="F182" s="208">
        <v>1531601</v>
      </c>
      <c r="G182" s="208">
        <v>2062037</v>
      </c>
      <c r="H182" s="208">
        <v>11099</v>
      </c>
      <c r="I182" s="208">
        <v>2073136</v>
      </c>
      <c r="J182" s="208">
        <v>-524342</v>
      </c>
      <c r="K182" s="208">
        <v>-17193</v>
      </c>
      <c r="L182" s="208">
        <v>-541535</v>
      </c>
      <c r="M182" s="208">
        <v>381361</v>
      </c>
      <c r="N182" s="208">
        <v>381361</v>
      </c>
      <c r="O182" s="208">
        <v>0</v>
      </c>
      <c r="P182" s="208">
        <v>1633661</v>
      </c>
      <c r="Q182" s="208">
        <v>1391817</v>
      </c>
      <c r="R182" s="208">
        <v>241844</v>
      </c>
      <c r="S182" s="208">
        <v>0</v>
      </c>
      <c r="T182" s="208">
        <v>0</v>
      </c>
      <c r="U182" s="208">
        <v>0</v>
      </c>
      <c r="V182" s="208">
        <v>0</v>
      </c>
      <c r="W182" s="208">
        <v>0</v>
      </c>
      <c r="X182" s="208">
        <v>0</v>
      </c>
      <c r="Y182" s="208">
        <v>0</v>
      </c>
      <c r="Z182" s="208">
        <v>0</v>
      </c>
      <c r="AA182" s="208">
        <v>0</v>
      </c>
      <c r="AB182" s="208">
        <v>0</v>
      </c>
      <c r="AC182" s="208">
        <v>0</v>
      </c>
      <c r="AD182" s="208">
        <v>0</v>
      </c>
      <c r="AE182" s="208">
        <v>0</v>
      </c>
      <c r="AF182" s="208">
        <v>0</v>
      </c>
      <c r="AG182" s="208">
        <v>0</v>
      </c>
      <c r="AH182" s="208">
        <v>0</v>
      </c>
      <c r="AI182" s="208">
        <v>0</v>
      </c>
      <c r="AJ182" s="208">
        <v>0</v>
      </c>
      <c r="AK182" s="208">
        <v>0</v>
      </c>
      <c r="AL182" s="208">
        <v>0</v>
      </c>
      <c r="AM182" s="208">
        <v>0</v>
      </c>
      <c r="AN182" s="208">
        <v>0</v>
      </c>
      <c r="AO182" s="208">
        <v>0</v>
      </c>
      <c r="AP182" s="208">
        <v>0</v>
      </c>
      <c r="AQ182" s="208">
        <v>0</v>
      </c>
      <c r="AR182" s="208">
        <v>0</v>
      </c>
      <c r="AS182" s="208">
        <v>0</v>
      </c>
      <c r="AT182" s="208">
        <v>0</v>
      </c>
      <c r="AU182" s="208">
        <v>0</v>
      </c>
      <c r="AV182" s="208">
        <v>0</v>
      </c>
      <c r="AW182" s="208">
        <v>0</v>
      </c>
      <c r="AX182" s="208">
        <v>0</v>
      </c>
      <c r="AY182" s="208">
        <v>0</v>
      </c>
      <c r="AZ182" s="208">
        <v>0</v>
      </c>
      <c r="BA182" s="208">
        <v>0</v>
      </c>
      <c r="BB182" s="208">
        <v>0</v>
      </c>
      <c r="BC182" s="208">
        <v>0</v>
      </c>
      <c r="BD182" s="208">
        <v>0</v>
      </c>
      <c r="BE182" s="208">
        <v>0</v>
      </c>
      <c r="BF182" s="208">
        <v>0</v>
      </c>
      <c r="BG182" s="208">
        <v>0</v>
      </c>
      <c r="BH182" s="208">
        <v>0</v>
      </c>
      <c r="BI182" s="208">
        <v>0</v>
      </c>
      <c r="BJ182" s="208">
        <v>0</v>
      </c>
      <c r="BK182" s="208">
        <v>0</v>
      </c>
      <c r="BL182" s="208">
        <v>0</v>
      </c>
      <c r="BM182" s="208">
        <v>0</v>
      </c>
      <c r="BN182" s="208">
        <v>0</v>
      </c>
      <c r="BO182" s="208">
        <v>4381878.4608773338</v>
      </c>
      <c r="BP182" s="208">
        <v>2458339.0410809997</v>
      </c>
      <c r="BQ182" s="208">
        <v>0</v>
      </c>
      <c r="BR182" s="208">
        <v>209027</v>
      </c>
      <c r="BS182" s="208">
        <v>116548</v>
      </c>
      <c r="BT182" s="208">
        <v>0</v>
      </c>
      <c r="BU182" s="208">
        <v>3973960</v>
      </c>
      <c r="BV182" s="208">
        <v>2230172</v>
      </c>
      <c r="BW182" s="208">
        <v>0</v>
      </c>
      <c r="BX182" s="208">
        <v>616945</v>
      </c>
      <c r="BY182" s="208">
        <v>344715</v>
      </c>
      <c r="BZ182" s="208">
        <v>0</v>
      </c>
      <c r="CA182" s="208">
        <v>0</v>
      </c>
      <c r="CB182" s="208">
        <v>0</v>
      </c>
      <c r="CC182" s="208">
        <v>0</v>
      </c>
      <c r="CD182" s="208">
        <v>0</v>
      </c>
      <c r="CE182" s="208">
        <v>0</v>
      </c>
      <c r="CF182" s="208">
        <v>0</v>
      </c>
      <c r="CG182" s="208">
        <v>0</v>
      </c>
      <c r="CH182" s="208">
        <v>0</v>
      </c>
      <c r="CI182" s="208">
        <v>0</v>
      </c>
      <c r="CJ182" s="208">
        <v>0</v>
      </c>
      <c r="CK182" s="208">
        <v>0</v>
      </c>
      <c r="CL182" s="208">
        <v>0</v>
      </c>
      <c r="CM182" s="208">
        <v>0</v>
      </c>
      <c r="CN182" s="208">
        <v>0</v>
      </c>
      <c r="CO182" s="208">
        <v>0</v>
      </c>
      <c r="CP182" s="208">
        <v>0</v>
      </c>
      <c r="CQ182" s="208">
        <v>0</v>
      </c>
      <c r="CR182" s="208">
        <v>0</v>
      </c>
      <c r="CS182" s="208">
        <v>0</v>
      </c>
      <c r="CT182" s="208">
        <v>0</v>
      </c>
      <c r="CU182" s="208">
        <v>0</v>
      </c>
      <c r="CV182" s="208">
        <v>0</v>
      </c>
      <c r="CW182" s="208">
        <v>0</v>
      </c>
      <c r="CX182" s="208">
        <v>0</v>
      </c>
      <c r="CY182" s="208">
        <v>0</v>
      </c>
      <c r="CZ182" s="208">
        <v>0</v>
      </c>
      <c r="DA182" s="208">
        <v>0</v>
      </c>
      <c r="DB182" s="208">
        <v>-197.05466666666666</v>
      </c>
      <c r="DC182" s="208">
        <v>-110.84325</v>
      </c>
      <c r="DD182" s="208">
        <v>0</v>
      </c>
      <c r="DE182" s="208">
        <v>0</v>
      </c>
      <c r="DF182" s="208">
        <v>0</v>
      </c>
      <c r="DG182" s="208">
        <v>0</v>
      </c>
      <c r="DH182" s="208">
        <v>0</v>
      </c>
      <c r="DI182" s="208">
        <v>0</v>
      </c>
      <c r="DJ182" s="208">
        <v>0</v>
      </c>
      <c r="DK182" s="208">
        <v>0</v>
      </c>
      <c r="DL182" s="208">
        <v>0</v>
      </c>
      <c r="DM182" s="208">
        <v>0</v>
      </c>
      <c r="DN182" s="208">
        <v>0</v>
      </c>
      <c r="DO182" s="208">
        <v>0</v>
      </c>
      <c r="DP182" s="208">
        <v>0</v>
      </c>
      <c r="DQ182" s="208">
        <v>0</v>
      </c>
      <c r="DR182" s="208">
        <v>0</v>
      </c>
      <c r="DS182" s="208">
        <v>0</v>
      </c>
      <c r="DT182" s="208">
        <v>0</v>
      </c>
      <c r="DU182" s="208">
        <v>0</v>
      </c>
      <c r="DV182" s="208">
        <v>0</v>
      </c>
      <c r="DW182" s="208">
        <v>37650.248249999997</v>
      </c>
      <c r="DX182" s="208">
        <v>20984.357999999997</v>
      </c>
      <c r="DY182" s="208">
        <v>0</v>
      </c>
      <c r="DZ182" s="208">
        <v>50227</v>
      </c>
      <c r="EA182" s="208">
        <v>28253</v>
      </c>
      <c r="EB182" s="208">
        <v>0</v>
      </c>
      <c r="EC182" s="208">
        <v>-12577</v>
      </c>
      <c r="ED182" s="208">
        <v>-7269</v>
      </c>
      <c r="EE182" s="208">
        <v>0</v>
      </c>
      <c r="EF182" s="208">
        <v>439688.08591666672</v>
      </c>
      <c r="EG182" s="208">
        <v>246755.48699999999</v>
      </c>
      <c r="EH182" s="208">
        <v>0</v>
      </c>
      <c r="EI182" s="208">
        <v>-11175.16</v>
      </c>
      <c r="EJ182" s="208">
        <v>-6286.0275000000001</v>
      </c>
      <c r="EK182" s="208">
        <v>0</v>
      </c>
      <c r="EL182" s="208">
        <v>485762</v>
      </c>
      <c r="EM182" s="208">
        <v>273242</v>
      </c>
      <c r="EN182" s="208">
        <v>0</v>
      </c>
      <c r="EO182" s="208">
        <v>-57249</v>
      </c>
      <c r="EP182" s="208">
        <v>-32773</v>
      </c>
      <c r="EQ182" s="208">
        <v>0</v>
      </c>
      <c r="ER182" s="208">
        <v>9001.6666666666679</v>
      </c>
      <c r="ES182" s="208">
        <v>5063.4375</v>
      </c>
      <c r="ET182" s="208">
        <v>0</v>
      </c>
      <c r="EU182" s="208">
        <v>18705</v>
      </c>
      <c r="EV182" s="208">
        <v>10522</v>
      </c>
      <c r="EW182" s="208">
        <v>0</v>
      </c>
      <c r="EX182" s="208">
        <v>-9703</v>
      </c>
      <c r="EY182" s="208">
        <v>-5459</v>
      </c>
      <c r="EZ182" s="208">
        <v>0</v>
      </c>
      <c r="FA182" s="208">
        <v>0</v>
      </c>
      <c r="FB182" s="208">
        <v>0</v>
      </c>
      <c r="FC182" s="208">
        <v>0</v>
      </c>
      <c r="FD182" s="208">
        <v>0</v>
      </c>
      <c r="FE182" s="208">
        <v>0</v>
      </c>
      <c r="FF182" s="208">
        <v>0</v>
      </c>
      <c r="FG182" s="208">
        <v>0</v>
      </c>
      <c r="FH182" s="208">
        <v>0</v>
      </c>
      <c r="FI182" s="208">
        <v>0</v>
      </c>
      <c r="FJ182" s="208">
        <v>2063078.9712499999</v>
      </c>
      <c r="FK182" s="208">
        <v>1139423.0099999998</v>
      </c>
      <c r="FL182" s="208">
        <v>0</v>
      </c>
      <c r="FM182" s="208">
        <v>2220498</v>
      </c>
      <c r="FN182" s="208">
        <v>1231089</v>
      </c>
      <c r="FO182" s="208">
        <v>0</v>
      </c>
      <c r="FP182" s="208">
        <v>-157419</v>
      </c>
      <c r="FQ182" s="208">
        <v>-91666</v>
      </c>
      <c r="FR182" s="208">
        <v>0</v>
      </c>
      <c r="FS182" s="208">
        <v>530715.76250000007</v>
      </c>
      <c r="FT182" s="208">
        <v>0</v>
      </c>
      <c r="FU182" s="208">
        <v>0</v>
      </c>
      <c r="FV182" s="208">
        <v>400950</v>
      </c>
      <c r="FW182" s="208">
        <v>0</v>
      </c>
      <c r="FX182" s="208">
        <v>0</v>
      </c>
      <c r="FY182" s="208">
        <v>129766</v>
      </c>
      <c r="FZ182" s="208">
        <v>0</v>
      </c>
      <c r="GA182" s="208">
        <v>0</v>
      </c>
      <c r="GB182" s="208">
        <v>7659668</v>
      </c>
      <c r="GC182" s="208">
        <v>3980715</v>
      </c>
      <c r="GD182" s="208">
        <v>0</v>
      </c>
      <c r="GE182" s="664">
        <v>0</v>
      </c>
      <c r="GF182" s="664">
        <v>0.64</v>
      </c>
      <c r="GG182" s="664">
        <v>0.36</v>
      </c>
      <c r="GH182" s="664">
        <v>0</v>
      </c>
      <c r="GI182" s="187" t="s">
        <v>1055</v>
      </c>
    </row>
    <row r="183" spans="1:191" s="187" customFormat="1" x14ac:dyDescent="0.2">
      <c r="B183" s="429" t="s">
        <v>443</v>
      </c>
      <c r="C183" s="429" t="s">
        <v>442</v>
      </c>
      <c r="D183" s="208">
        <v>-560642</v>
      </c>
      <c r="E183" s="208">
        <v>0</v>
      </c>
      <c r="F183" s="208">
        <v>-560642</v>
      </c>
      <c r="G183" s="208">
        <v>-530738</v>
      </c>
      <c r="H183" s="208">
        <v>0</v>
      </c>
      <c r="I183" s="208">
        <v>-530738</v>
      </c>
      <c r="J183" s="208">
        <v>-29904</v>
      </c>
      <c r="K183" s="208">
        <v>0</v>
      </c>
      <c r="L183" s="208">
        <v>-29904</v>
      </c>
      <c r="M183" s="208">
        <v>202853</v>
      </c>
      <c r="N183" s="208">
        <v>202853</v>
      </c>
      <c r="O183" s="208">
        <v>0</v>
      </c>
      <c r="P183" s="208">
        <v>0</v>
      </c>
      <c r="Q183" s="208">
        <v>0</v>
      </c>
      <c r="R183" s="208">
        <v>0</v>
      </c>
      <c r="S183" s="208">
        <v>344640</v>
      </c>
      <c r="T183" s="208">
        <v>0</v>
      </c>
      <c r="U183" s="208">
        <v>363000</v>
      </c>
      <c r="V183" s="208">
        <v>0</v>
      </c>
      <c r="W183" s="208">
        <v>-18360</v>
      </c>
      <c r="X183" s="208">
        <v>0</v>
      </c>
      <c r="Y183" s="208">
        <v>0</v>
      </c>
      <c r="Z183" s="208">
        <v>0</v>
      </c>
      <c r="AA183" s="208">
        <v>0</v>
      </c>
      <c r="AB183" s="208">
        <v>0</v>
      </c>
      <c r="AC183" s="208">
        <v>0</v>
      </c>
      <c r="AD183" s="208">
        <v>0</v>
      </c>
      <c r="AE183" s="208">
        <v>0</v>
      </c>
      <c r="AF183" s="208">
        <v>0</v>
      </c>
      <c r="AG183" s="208">
        <v>0</v>
      </c>
      <c r="AH183" s="208">
        <v>0</v>
      </c>
      <c r="AI183" s="208">
        <v>0</v>
      </c>
      <c r="AJ183" s="208">
        <v>0</v>
      </c>
      <c r="AK183" s="208">
        <v>0</v>
      </c>
      <c r="AL183" s="208">
        <v>0</v>
      </c>
      <c r="AM183" s="208">
        <v>0</v>
      </c>
      <c r="AN183" s="208">
        <v>0</v>
      </c>
      <c r="AO183" s="208">
        <v>0</v>
      </c>
      <c r="AP183" s="208">
        <v>0</v>
      </c>
      <c r="AQ183" s="208">
        <v>0</v>
      </c>
      <c r="AR183" s="208">
        <v>0</v>
      </c>
      <c r="AS183" s="208">
        <v>0</v>
      </c>
      <c r="AT183" s="208">
        <v>0</v>
      </c>
      <c r="AU183" s="208">
        <v>0</v>
      </c>
      <c r="AV183" s="208">
        <v>0</v>
      </c>
      <c r="AW183" s="208">
        <v>0</v>
      </c>
      <c r="AX183" s="208">
        <v>0</v>
      </c>
      <c r="AY183" s="208">
        <v>0</v>
      </c>
      <c r="AZ183" s="208">
        <v>0</v>
      </c>
      <c r="BA183" s="208">
        <v>0</v>
      </c>
      <c r="BB183" s="208">
        <v>0</v>
      </c>
      <c r="BC183" s="208">
        <v>0</v>
      </c>
      <c r="BD183" s="208">
        <v>0</v>
      </c>
      <c r="BE183" s="208">
        <v>0</v>
      </c>
      <c r="BF183" s="208">
        <v>0</v>
      </c>
      <c r="BG183" s="208">
        <v>0</v>
      </c>
      <c r="BH183" s="208">
        <v>0</v>
      </c>
      <c r="BI183" s="208">
        <v>0</v>
      </c>
      <c r="BJ183" s="208">
        <v>0</v>
      </c>
      <c r="BK183" s="208">
        <v>0</v>
      </c>
      <c r="BL183" s="208">
        <v>0</v>
      </c>
      <c r="BM183" s="208">
        <v>0</v>
      </c>
      <c r="BN183" s="208">
        <v>0</v>
      </c>
      <c r="BO183" s="208">
        <v>2047476.6497766669</v>
      </c>
      <c r="BP183" s="208">
        <v>3020028.0584205836</v>
      </c>
      <c r="BQ183" s="208">
        <v>51186.916244416672</v>
      </c>
      <c r="BR183" s="208">
        <v>79003</v>
      </c>
      <c r="BS183" s="208">
        <v>116529</v>
      </c>
      <c r="BT183" s="208">
        <v>1975</v>
      </c>
      <c r="BU183" s="208">
        <v>1836119</v>
      </c>
      <c r="BV183" s="208">
        <v>2708276</v>
      </c>
      <c r="BW183" s="208">
        <v>45903</v>
      </c>
      <c r="BX183" s="208">
        <v>290361</v>
      </c>
      <c r="BY183" s="208">
        <v>428281</v>
      </c>
      <c r="BZ183" s="208">
        <v>7259</v>
      </c>
      <c r="CA183" s="208">
        <v>7355.18</v>
      </c>
      <c r="CB183" s="208">
        <v>10848.8905</v>
      </c>
      <c r="CC183" s="208">
        <v>183.87950000000001</v>
      </c>
      <c r="CD183" s="208">
        <v>1032</v>
      </c>
      <c r="CE183" s="208">
        <v>1522</v>
      </c>
      <c r="CF183" s="208">
        <v>26</v>
      </c>
      <c r="CG183" s="208">
        <v>6323</v>
      </c>
      <c r="CH183" s="208">
        <v>9327</v>
      </c>
      <c r="CI183" s="208">
        <v>158</v>
      </c>
      <c r="CJ183" s="208">
        <v>0</v>
      </c>
      <c r="CK183" s="208">
        <v>0</v>
      </c>
      <c r="CL183" s="208">
        <v>0</v>
      </c>
      <c r="CM183" s="208">
        <v>-1354.3416666666667</v>
      </c>
      <c r="CN183" s="208">
        <v>-1997.6539583333331</v>
      </c>
      <c r="CO183" s="208">
        <v>-33.858541666666667</v>
      </c>
      <c r="CP183" s="208">
        <v>0</v>
      </c>
      <c r="CQ183" s="208">
        <v>0</v>
      </c>
      <c r="CR183" s="208">
        <v>0</v>
      </c>
      <c r="CS183" s="208">
        <v>0</v>
      </c>
      <c r="CT183" s="208">
        <v>0</v>
      </c>
      <c r="CU183" s="208">
        <v>0</v>
      </c>
      <c r="CV183" s="208">
        <v>0</v>
      </c>
      <c r="CW183" s="208">
        <v>0</v>
      </c>
      <c r="CX183" s="208">
        <v>0</v>
      </c>
      <c r="CY183" s="208">
        <v>0</v>
      </c>
      <c r="CZ183" s="208">
        <v>0</v>
      </c>
      <c r="DA183" s="208">
        <v>0</v>
      </c>
      <c r="DB183" s="208">
        <v>-549.91999999999996</v>
      </c>
      <c r="DC183" s="208">
        <v>-811.13199999999995</v>
      </c>
      <c r="DD183" s="208">
        <v>-13.747999999999999</v>
      </c>
      <c r="DE183" s="208">
        <v>11968.943333333335</v>
      </c>
      <c r="DF183" s="208">
        <v>17654.191416666665</v>
      </c>
      <c r="DG183" s="208">
        <v>299.22358333333335</v>
      </c>
      <c r="DH183" s="208">
        <v>12392</v>
      </c>
      <c r="DI183" s="208">
        <v>18279</v>
      </c>
      <c r="DJ183" s="208">
        <v>310</v>
      </c>
      <c r="DK183" s="208">
        <v>-423</v>
      </c>
      <c r="DL183" s="208">
        <v>-625</v>
      </c>
      <c r="DM183" s="208">
        <v>-11</v>
      </c>
      <c r="DN183" s="208">
        <v>1227.5</v>
      </c>
      <c r="DO183" s="208">
        <v>1810.5625</v>
      </c>
      <c r="DP183" s="208">
        <v>30.6875</v>
      </c>
      <c r="DQ183" s="208">
        <v>1227</v>
      </c>
      <c r="DR183" s="208">
        <v>1811</v>
      </c>
      <c r="DS183" s="208">
        <v>31</v>
      </c>
      <c r="DT183" s="208">
        <v>1</v>
      </c>
      <c r="DU183" s="208">
        <v>0</v>
      </c>
      <c r="DV183" s="208">
        <v>0</v>
      </c>
      <c r="DW183" s="208">
        <v>7460.3358333333344</v>
      </c>
      <c r="DX183" s="208">
        <v>11003.995354166665</v>
      </c>
      <c r="DY183" s="208">
        <v>186.50839583333334</v>
      </c>
      <c r="DZ183" s="208">
        <v>8698</v>
      </c>
      <c r="EA183" s="208">
        <v>12828</v>
      </c>
      <c r="EB183" s="208">
        <v>217</v>
      </c>
      <c r="EC183" s="208">
        <v>-1238</v>
      </c>
      <c r="ED183" s="208">
        <v>-1824</v>
      </c>
      <c r="EE183" s="208">
        <v>-30</v>
      </c>
      <c r="EF183" s="208">
        <v>46592.626666666671</v>
      </c>
      <c r="EG183" s="208">
        <v>68724.124333333326</v>
      </c>
      <c r="EH183" s="208">
        <v>1164.8156666666666</v>
      </c>
      <c r="EI183" s="208">
        <v>-6832.2649999999994</v>
      </c>
      <c r="EJ183" s="208">
        <v>-10077.590874999998</v>
      </c>
      <c r="EK183" s="208">
        <v>-170.806625</v>
      </c>
      <c r="EL183" s="208">
        <v>49918</v>
      </c>
      <c r="EM183" s="208">
        <v>73630</v>
      </c>
      <c r="EN183" s="208">
        <v>1248</v>
      </c>
      <c r="EO183" s="208">
        <v>-10158</v>
      </c>
      <c r="EP183" s="208">
        <v>-14983</v>
      </c>
      <c r="EQ183" s="208">
        <v>-254</v>
      </c>
      <c r="ER183" s="208">
        <v>27038.142499999998</v>
      </c>
      <c r="ES183" s="208">
        <v>39881.260187499989</v>
      </c>
      <c r="ET183" s="208">
        <v>675.95356249999986</v>
      </c>
      <c r="EU183" s="208">
        <v>30325</v>
      </c>
      <c r="EV183" s="208">
        <v>44730</v>
      </c>
      <c r="EW183" s="208">
        <v>758</v>
      </c>
      <c r="EX183" s="208">
        <v>-3287</v>
      </c>
      <c r="EY183" s="208">
        <v>-4849</v>
      </c>
      <c r="EZ183" s="208">
        <v>-82</v>
      </c>
      <c r="FA183" s="208">
        <v>0</v>
      </c>
      <c r="FB183" s="208">
        <v>0</v>
      </c>
      <c r="FC183" s="208">
        <v>0</v>
      </c>
      <c r="FD183" s="208">
        <v>0</v>
      </c>
      <c r="FE183" s="208">
        <v>0</v>
      </c>
      <c r="FF183" s="208">
        <v>0</v>
      </c>
      <c r="FG183" s="208">
        <v>0</v>
      </c>
      <c r="FH183" s="208">
        <v>0</v>
      </c>
      <c r="FI183" s="208">
        <v>0</v>
      </c>
      <c r="FJ183" s="208">
        <v>290897.67666666664</v>
      </c>
      <c r="FK183" s="208">
        <v>417424.52308333322</v>
      </c>
      <c r="FL183" s="208">
        <v>7074.9919166666659</v>
      </c>
      <c r="FM183" s="208">
        <v>295484</v>
      </c>
      <c r="FN183" s="208">
        <v>423569</v>
      </c>
      <c r="FO183" s="208">
        <v>7179</v>
      </c>
      <c r="FP183" s="208">
        <v>-4586</v>
      </c>
      <c r="FQ183" s="208">
        <v>-6144</v>
      </c>
      <c r="FR183" s="208">
        <v>-104</v>
      </c>
      <c r="FS183" s="208">
        <v>0</v>
      </c>
      <c r="FT183" s="208">
        <v>0</v>
      </c>
      <c r="FU183" s="208">
        <v>0</v>
      </c>
      <c r="FV183" s="208">
        <v>0</v>
      </c>
      <c r="FW183" s="208">
        <v>0</v>
      </c>
      <c r="FX183" s="208">
        <v>0</v>
      </c>
      <c r="FY183" s="208">
        <v>0</v>
      </c>
      <c r="FZ183" s="208">
        <v>0</v>
      </c>
      <c r="GA183" s="208">
        <v>0</v>
      </c>
      <c r="GB183" s="208">
        <v>2510285</v>
      </c>
      <c r="GC183" s="208">
        <v>3691018</v>
      </c>
      <c r="GD183" s="208">
        <v>62560</v>
      </c>
      <c r="GE183" s="664">
        <v>0</v>
      </c>
      <c r="GF183" s="664">
        <v>0.4</v>
      </c>
      <c r="GG183" s="664">
        <v>0.59</v>
      </c>
      <c r="GH183" s="664">
        <v>0.01</v>
      </c>
      <c r="GI183" s="187" t="s">
        <v>1054</v>
      </c>
    </row>
    <row r="184" spans="1:191" s="187" customFormat="1" x14ac:dyDescent="0.2">
      <c r="B184" s="429" t="s">
        <v>445</v>
      </c>
      <c r="C184" s="429" t="s">
        <v>444</v>
      </c>
      <c r="D184" s="208">
        <v>138242</v>
      </c>
      <c r="E184" s="208">
        <v>0</v>
      </c>
      <c r="F184" s="208">
        <v>138242</v>
      </c>
      <c r="G184" s="208">
        <v>94479</v>
      </c>
      <c r="H184" s="208">
        <v>0</v>
      </c>
      <c r="I184" s="208">
        <v>94479</v>
      </c>
      <c r="J184" s="208">
        <v>43763</v>
      </c>
      <c r="K184" s="208">
        <v>0</v>
      </c>
      <c r="L184" s="208">
        <v>43763</v>
      </c>
      <c r="M184" s="208">
        <v>90679</v>
      </c>
      <c r="N184" s="208">
        <v>90679</v>
      </c>
      <c r="O184" s="208">
        <v>0</v>
      </c>
      <c r="P184" s="208">
        <v>0</v>
      </c>
      <c r="Q184" s="208">
        <v>0</v>
      </c>
      <c r="R184" s="208">
        <v>0</v>
      </c>
      <c r="S184" s="208">
        <v>132321</v>
      </c>
      <c r="T184" s="208">
        <v>0</v>
      </c>
      <c r="U184" s="208">
        <v>149703</v>
      </c>
      <c r="V184" s="208">
        <v>0</v>
      </c>
      <c r="W184" s="208">
        <v>-17382</v>
      </c>
      <c r="X184" s="208">
        <v>0</v>
      </c>
      <c r="Y184" s="208">
        <v>0</v>
      </c>
      <c r="Z184" s="208">
        <v>0</v>
      </c>
      <c r="AA184" s="208">
        <v>0</v>
      </c>
      <c r="AB184" s="208">
        <v>0</v>
      </c>
      <c r="AC184" s="208">
        <v>0</v>
      </c>
      <c r="AD184" s="208">
        <v>0</v>
      </c>
      <c r="AE184" s="208">
        <v>0</v>
      </c>
      <c r="AF184" s="208">
        <v>0</v>
      </c>
      <c r="AG184" s="208">
        <v>0</v>
      </c>
      <c r="AH184" s="208">
        <v>0</v>
      </c>
      <c r="AI184" s="208">
        <v>0</v>
      </c>
      <c r="AJ184" s="208">
        <v>0</v>
      </c>
      <c r="AK184" s="208">
        <v>0</v>
      </c>
      <c r="AL184" s="208">
        <v>0</v>
      </c>
      <c r="AM184" s="208">
        <v>0</v>
      </c>
      <c r="AN184" s="208">
        <v>0</v>
      </c>
      <c r="AO184" s="208">
        <v>0</v>
      </c>
      <c r="AP184" s="208">
        <v>0</v>
      </c>
      <c r="AQ184" s="208">
        <v>0</v>
      </c>
      <c r="AR184" s="208">
        <v>0</v>
      </c>
      <c r="AS184" s="208">
        <v>0</v>
      </c>
      <c r="AT184" s="208">
        <v>0</v>
      </c>
      <c r="AU184" s="208">
        <v>0</v>
      </c>
      <c r="AV184" s="208">
        <v>0</v>
      </c>
      <c r="AW184" s="208">
        <v>0</v>
      </c>
      <c r="AX184" s="208">
        <v>0</v>
      </c>
      <c r="AY184" s="208">
        <v>0</v>
      </c>
      <c r="AZ184" s="208">
        <v>0</v>
      </c>
      <c r="BA184" s="208">
        <v>0</v>
      </c>
      <c r="BB184" s="208">
        <v>0</v>
      </c>
      <c r="BC184" s="208">
        <v>0</v>
      </c>
      <c r="BD184" s="208">
        <v>0</v>
      </c>
      <c r="BE184" s="208">
        <v>0</v>
      </c>
      <c r="BF184" s="208">
        <v>0</v>
      </c>
      <c r="BG184" s="208">
        <v>0</v>
      </c>
      <c r="BH184" s="208">
        <v>0</v>
      </c>
      <c r="BI184" s="208">
        <v>0</v>
      </c>
      <c r="BJ184" s="208">
        <v>0</v>
      </c>
      <c r="BK184" s="208">
        <v>0</v>
      </c>
      <c r="BL184" s="208">
        <v>0</v>
      </c>
      <c r="BM184" s="208">
        <v>0</v>
      </c>
      <c r="BN184" s="208">
        <v>0</v>
      </c>
      <c r="BO184" s="208">
        <v>893377.91654166684</v>
      </c>
      <c r="BP184" s="208">
        <v>201010.03122187499</v>
      </c>
      <c r="BQ184" s="208">
        <v>22334.447913541673</v>
      </c>
      <c r="BR184" s="208">
        <v>44207</v>
      </c>
      <c r="BS184" s="208">
        <v>9946</v>
      </c>
      <c r="BT184" s="208">
        <v>1105</v>
      </c>
      <c r="BU184" s="208">
        <v>818997</v>
      </c>
      <c r="BV184" s="208">
        <v>184274</v>
      </c>
      <c r="BW184" s="208">
        <v>20475</v>
      </c>
      <c r="BX184" s="208">
        <v>118588</v>
      </c>
      <c r="BY184" s="208">
        <v>26682</v>
      </c>
      <c r="BZ184" s="208">
        <v>2964</v>
      </c>
      <c r="CA184" s="208">
        <v>119.0675</v>
      </c>
      <c r="CB184" s="208">
        <v>26.790187499999998</v>
      </c>
      <c r="CC184" s="208">
        <v>2.9766875000000002</v>
      </c>
      <c r="CD184" s="208">
        <v>0</v>
      </c>
      <c r="CE184" s="208">
        <v>0</v>
      </c>
      <c r="CF184" s="208">
        <v>0</v>
      </c>
      <c r="CG184" s="208">
        <v>119</v>
      </c>
      <c r="CH184" s="208">
        <v>27</v>
      </c>
      <c r="CI184" s="208">
        <v>3</v>
      </c>
      <c r="CJ184" s="208">
        <v>0</v>
      </c>
      <c r="CK184" s="208">
        <v>0</v>
      </c>
      <c r="CL184" s="208">
        <v>0</v>
      </c>
      <c r="CM184" s="208">
        <v>0</v>
      </c>
      <c r="CN184" s="208">
        <v>0</v>
      </c>
      <c r="CO184" s="208">
        <v>0</v>
      </c>
      <c r="CP184" s="208">
        <v>0</v>
      </c>
      <c r="CQ184" s="208">
        <v>0</v>
      </c>
      <c r="CR184" s="208">
        <v>0</v>
      </c>
      <c r="CS184" s="208">
        <v>0</v>
      </c>
      <c r="CT184" s="208">
        <v>0</v>
      </c>
      <c r="CU184" s="208">
        <v>0</v>
      </c>
      <c r="CV184" s="208">
        <v>0</v>
      </c>
      <c r="CW184" s="208">
        <v>0</v>
      </c>
      <c r="CX184" s="208">
        <v>0</v>
      </c>
      <c r="CY184" s="208">
        <v>0</v>
      </c>
      <c r="CZ184" s="208">
        <v>0</v>
      </c>
      <c r="DA184" s="208">
        <v>0</v>
      </c>
      <c r="DB184" s="208">
        <v>675.125</v>
      </c>
      <c r="DC184" s="208">
        <v>151.90312499999999</v>
      </c>
      <c r="DD184" s="208">
        <v>16.878125000000001</v>
      </c>
      <c r="DE184" s="208">
        <v>11800.775833333335</v>
      </c>
      <c r="DF184" s="208">
        <v>2655.1745625000003</v>
      </c>
      <c r="DG184" s="208">
        <v>295.01939583333336</v>
      </c>
      <c r="DH184" s="208">
        <v>7218</v>
      </c>
      <c r="DI184" s="208">
        <v>1624</v>
      </c>
      <c r="DJ184" s="208">
        <v>180</v>
      </c>
      <c r="DK184" s="208">
        <v>4583</v>
      </c>
      <c r="DL184" s="208">
        <v>1031</v>
      </c>
      <c r="DM184" s="208">
        <v>115</v>
      </c>
      <c r="DN184" s="208">
        <v>0</v>
      </c>
      <c r="DO184" s="208">
        <v>0</v>
      </c>
      <c r="DP184" s="208">
        <v>0</v>
      </c>
      <c r="DQ184" s="208">
        <v>0</v>
      </c>
      <c r="DR184" s="208">
        <v>0</v>
      </c>
      <c r="DS184" s="208">
        <v>0</v>
      </c>
      <c r="DT184" s="208">
        <v>0</v>
      </c>
      <c r="DU184" s="208">
        <v>0</v>
      </c>
      <c r="DV184" s="208">
        <v>0</v>
      </c>
      <c r="DW184" s="208">
        <v>6316.3058333333338</v>
      </c>
      <c r="DX184" s="208">
        <v>1421.1688124999998</v>
      </c>
      <c r="DY184" s="208">
        <v>157.90764583333333</v>
      </c>
      <c r="DZ184" s="208">
        <v>7788</v>
      </c>
      <c r="EA184" s="208">
        <v>1752</v>
      </c>
      <c r="EB184" s="208">
        <v>195</v>
      </c>
      <c r="EC184" s="208">
        <v>-1472</v>
      </c>
      <c r="ED184" s="208">
        <v>-331</v>
      </c>
      <c r="EE184" s="208">
        <v>-37</v>
      </c>
      <c r="EF184" s="208">
        <v>26989.860833333336</v>
      </c>
      <c r="EG184" s="208">
        <v>6072.7186874999998</v>
      </c>
      <c r="EH184" s="208">
        <v>674.74652083333331</v>
      </c>
      <c r="EI184" s="208">
        <v>-2513.5108333333337</v>
      </c>
      <c r="EJ184" s="208">
        <v>-565.53993749999995</v>
      </c>
      <c r="EK184" s="208">
        <v>-62.837770833333337</v>
      </c>
      <c r="EL184" s="208">
        <v>31445</v>
      </c>
      <c r="EM184" s="208">
        <v>7075</v>
      </c>
      <c r="EN184" s="208">
        <v>786</v>
      </c>
      <c r="EO184" s="208">
        <v>-6969</v>
      </c>
      <c r="EP184" s="208">
        <v>-1568</v>
      </c>
      <c r="EQ184" s="208">
        <v>-174</v>
      </c>
      <c r="ER184" s="208">
        <v>15322.064166666667</v>
      </c>
      <c r="ES184" s="208">
        <v>3447.4644374999993</v>
      </c>
      <c r="ET184" s="208">
        <v>383.05160416666666</v>
      </c>
      <c r="EU184" s="208">
        <v>17513</v>
      </c>
      <c r="EV184" s="208">
        <v>3941</v>
      </c>
      <c r="EW184" s="208">
        <v>438</v>
      </c>
      <c r="EX184" s="208">
        <v>-2191</v>
      </c>
      <c r="EY184" s="208">
        <v>-494</v>
      </c>
      <c r="EZ184" s="208">
        <v>-55</v>
      </c>
      <c r="FA184" s="208">
        <v>0</v>
      </c>
      <c r="FB184" s="208">
        <v>0</v>
      </c>
      <c r="FC184" s="208">
        <v>0</v>
      </c>
      <c r="FD184" s="208">
        <v>0</v>
      </c>
      <c r="FE184" s="208">
        <v>0</v>
      </c>
      <c r="FF184" s="208">
        <v>0</v>
      </c>
      <c r="FG184" s="208">
        <v>0</v>
      </c>
      <c r="FH184" s="208">
        <v>0</v>
      </c>
      <c r="FI184" s="208">
        <v>0</v>
      </c>
      <c r="FJ184" s="208">
        <v>114163.86208333333</v>
      </c>
      <c r="FK184" s="208">
        <v>25004.588812499998</v>
      </c>
      <c r="FL184" s="208">
        <v>2778.287645833333</v>
      </c>
      <c r="FM184" s="208">
        <v>112218</v>
      </c>
      <c r="FN184" s="208">
        <v>24477</v>
      </c>
      <c r="FO184" s="208">
        <v>2720</v>
      </c>
      <c r="FP184" s="208">
        <v>1946</v>
      </c>
      <c r="FQ184" s="208">
        <v>528</v>
      </c>
      <c r="FR184" s="208">
        <v>58</v>
      </c>
      <c r="FS184" s="208">
        <v>0</v>
      </c>
      <c r="FT184" s="208">
        <v>0</v>
      </c>
      <c r="FU184" s="208">
        <v>0</v>
      </c>
      <c r="FV184" s="208">
        <v>0</v>
      </c>
      <c r="FW184" s="208">
        <v>0</v>
      </c>
      <c r="FX184" s="208">
        <v>0</v>
      </c>
      <c r="FY184" s="208">
        <v>0</v>
      </c>
      <c r="FZ184" s="208">
        <v>0</v>
      </c>
      <c r="GA184" s="208">
        <v>0</v>
      </c>
      <c r="GB184" s="208">
        <v>1110458</v>
      </c>
      <c r="GC184" s="208">
        <v>249170</v>
      </c>
      <c r="GD184" s="208">
        <v>27685</v>
      </c>
      <c r="GE184" s="664">
        <v>0.5</v>
      </c>
      <c r="GF184" s="664">
        <v>0.4</v>
      </c>
      <c r="GG184" s="664">
        <v>0.09</v>
      </c>
      <c r="GH184" s="664">
        <v>0.01</v>
      </c>
      <c r="GI184" s="187" t="s">
        <v>1054</v>
      </c>
    </row>
    <row r="185" spans="1:191" s="187" customFormat="1" x14ac:dyDescent="0.2">
      <c r="B185" s="429" t="s">
        <v>447</v>
      </c>
      <c r="C185" s="429" t="s">
        <v>446</v>
      </c>
      <c r="D185" s="208">
        <v>602541</v>
      </c>
      <c r="E185" s="208">
        <v>0</v>
      </c>
      <c r="F185" s="208">
        <v>602541</v>
      </c>
      <c r="G185" s="208">
        <v>598366</v>
      </c>
      <c r="H185" s="208">
        <v>0</v>
      </c>
      <c r="I185" s="208">
        <v>598366</v>
      </c>
      <c r="J185" s="208">
        <v>4175</v>
      </c>
      <c r="K185" s="208">
        <v>0</v>
      </c>
      <c r="L185" s="208">
        <v>4175</v>
      </c>
      <c r="M185" s="208">
        <v>100276</v>
      </c>
      <c r="N185" s="208">
        <v>100276</v>
      </c>
      <c r="O185" s="208">
        <v>0</v>
      </c>
      <c r="P185" s="208">
        <v>0</v>
      </c>
      <c r="Q185" s="208">
        <v>0</v>
      </c>
      <c r="R185" s="208">
        <v>0</v>
      </c>
      <c r="S185" s="208">
        <v>0</v>
      </c>
      <c r="T185" s="208">
        <v>0</v>
      </c>
      <c r="U185" s="208">
        <v>0</v>
      </c>
      <c r="V185" s="208">
        <v>0</v>
      </c>
      <c r="W185" s="208">
        <v>0</v>
      </c>
      <c r="X185" s="208">
        <v>0</v>
      </c>
      <c r="Y185" s="208">
        <v>0</v>
      </c>
      <c r="Z185" s="208">
        <v>0</v>
      </c>
      <c r="AA185" s="208">
        <v>0</v>
      </c>
      <c r="AB185" s="208">
        <v>0</v>
      </c>
      <c r="AC185" s="208">
        <v>0</v>
      </c>
      <c r="AD185" s="208">
        <v>0</v>
      </c>
      <c r="AE185" s="208">
        <v>0</v>
      </c>
      <c r="AF185" s="208">
        <v>0</v>
      </c>
      <c r="AG185" s="208">
        <v>0</v>
      </c>
      <c r="AH185" s="208">
        <v>0</v>
      </c>
      <c r="AI185" s="208">
        <v>0</v>
      </c>
      <c r="AJ185" s="208">
        <v>0</v>
      </c>
      <c r="AK185" s="208">
        <v>0</v>
      </c>
      <c r="AL185" s="208">
        <v>0</v>
      </c>
      <c r="AM185" s="208">
        <v>0</v>
      </c>
      <c r="AN185" s="208">
        <v>0</v>
      </c>
      <c r="AO185" s="208">
        <v>0</v>
      </c>
      <c r="AP185" s="208">
        <v>0</v>
      </c>
      <c r="AQ185" s="208">
        <v>0</v>
      </c>
      <c r="AR185" s="208">
        <v>0</v>
      </c>
      <c r="AS185" s="208">
        <v>0</v>
      </c>
      <c r="AT185" s="208">
        <v>0</v>
      </c>
      <c r="AU185" s="208">
        <v>0</v>
      </c>
      <c r="AV185" s="208">
        <v>0</v>
      </c>
      <c r="AW185" s="208">
        <v>0</v>
      </c>
      <c r="AX185" s="208">
        <v>0</v>
      </c>
      <c r="AY185" s="208">
        <v>0</v>
      </c>
      <c r="AZ185" s="208">
        <v>0</v>
      </c>
      <c r="BA185" s="208">
        <v>0</v>
      </c>
      <c r="BB185" s="208">
        <v>0</v>
      </c>
      <c r="BC185" s="208">
        <v>0</v>
      </c>
      <c r="BD185" s="208">
        <v>0</v>
      </c>
      <c r="BE185" s="208">
        <v>0</v>
      </c>
      <c r="BF185" s="208">
        <v>0</v>
      </c>
      <c r="BG185" s="208">
        <v>0</v>
      </c>
      <c r="BH185" s="208">
        <v>0</v>
      </c>
      <c r="BI185" s="208">
        <v>0</v>
      </c>
      <c r="BJ185" s="208">
        <v>0</v>
      </c>
      <c r="BK185" s="208">
        <v>0</v>
      </c>
      <c r="BL185" s="208">
        <v>0</v>
      </c>
      <c r="BM185" s="208">
        <v>0</v>
      </c>
      <c r="BN185" s="208">
        <v>0</v>
      </c>
      <c r="BO185" s="208">
        <v>1034929.7324875002</v>
      </c>
      <c r="BP185" s="208">
        <v>1014231.13783775</v>
      </c>
      <c r="BQ185" s="208">
        <v>20698.594649750004</v>
      </c>
      <c r="BR185" s="208">
        <v>60349</v>
      </c>
      <c r="BS185" s="208">
        <v>59142</v>
      </c>
      <c r="BT185" s="208">
        <v>1207</v>
      </c>
      <c r="BU185" s="208">
        <v>934812</v>
      </c>
      <c r="BV185" s="208">
        <v>916115</v>
      </c>
      <c r="BW185" s="208">
        <v>18696</v>
      </c>
      <c r="BX185" s="208">
        <v>160467</v>
      </c>
      <c r="BY185" s="208">
        <v>157258</v>
      </c>
      <c r="BZ185" s="208">
        <v>3210</v>
      </c>
      <c r="CA185" s="208">
        <v>3758.1958333333332</v>
      </c>
      <c r="CB185" s="208">
        <v>3683.0319166666663</v>
      </c>
      <c r="CC185" s="208">
        <v>75.163916666666665</v>
      </c>
      <c r="CD185" s="208">
        <v>0</v>
      </c>
      <c r="CE185" s="208">
        <v>0</v>
      </c>
      <c r="CF185" s="208">
        <v>0</v>
      </c>
      <c r="CG185" s="208">
        <v>3758</v>
      </c>
      <c r="CH185" s="208">
        <v>3683</v>
      </c>
      <c r="CI185" s="208">
        <v>75</v>
      </c>
      <c r="CJ185" s="208">
        <v>0</v>
      </c>
      <c r="CK185" s="208">
        <v>0</v>
      </c>
      <c r="CL185" s="208">
        <v>0</v>
      </c>
      <c r="CM185" s="208">
        <v>0</v>
      </c>
      <c r="CN185" s="208">
        <v>0</v>
      </c>
      <c r="CO185" s="208">
        <v>0</v>
      </c>
      <c r="CP185" s="208">
        <v>0</v>
      </c>
      <c r="CQ185" s="208">
        <v>0</v>
      </c>
      <c r="CR185" s="208">
        <v>0</v>
      </c>
      <c r="CS185" s="208">
        <v>0</v>
      </c>
      <c r="CT185" s="208">
        <v>0</v>
      </c>
      <c r="CU185" s="208">
        <v>0</v>
      </c>
      <c r="CV185" s="208">
        <v>0</v>
      </c>
      <c r="CW185" s="208">
        <v>0</v>
      </c>
      <c r="CX185" s="208">
        <v>0</v>
      </c>
      <c r="CY185" s="208">
        <v>0</v>
      </c>
      <c r="CZ185" s="208">
        <v>0</v>
      </c>
      <c r="DA185" s="208">
        <v>0</v>
      </c>
      <c r="DB185" s="208">
        <v>0</v>
      </c>
      <c r="DC185" s="208">
        <v>0</v>
      </c>
      <c r="DD185" s="208">
        <v>0</v>
      </c>
      <c r="DE185" s="208">
        <v>595.84895833333337</v>
      </c>
      <c r="DF185" s="208">
        <v>583.93197916666668</v>
      </c>
      <c r="DG185" s="208">
        <v>11.916979166666668</v>
      </c>
      <c r="DH185" s="208">
        <v>596</v>
      </c>
      <c r="DI185" s="208">
        <v>584</v>
      </c>
      <c r="DJ185" s="208">
        <v>12</v>
      </c>
      <c r="DK185" s="208">
        <v>0</v>
      </c>
      <c r="DL185" s="208">
        <v>0</v>
      </c>
      <c r="DM185" s="208">
        <v>0</v>
      </c>
      <c r="DN185" s="208">
        <v>0</v>
      </c>
      <c r="DO185" s="208">
        <v>0</v>
      </c>
      <c r="DP185" s="208">
        <v>0</v>
      </c>
      <c r="DQ185" s="208">
        <v>0</v>
      </c>
      <c r="DR185" s="208">
        <v>0</v>
      </c>
      <c r="DS185" s="208">
        <v>0</v>
      </c>
      <c r="DT185" s="208">
        <v>0</v>
      </c>
      <c r="DU185" s="208">
        <v>0</v>
      </c>
      <c r="DV185" s="208">
        <v>0</v>
      </c>
      <c r="DW185" s="208">
        <v>14132.105208333332</v>
      </c>
      <c r="DX185" s="208">
        <v>13849.463104166665</v>
      </c>
      <c r="DY185" s="208">
        <v>282.64210416666668</v>
      </c>
      <c r="DZ185" s="208">
        <v>13590</v>
      </c>
      <c r="EA185" s="208">
        <v>13318</v>
      </c>
      <c r="EB185" s="208">
        <v>272</v>
      </c>
      <c r="EC185" s="208">
        <v>542</v>
      </c>
      <c r="ED185" s="208">
        <v>531</v>
      </c>
      <c r="EE185" s="208">
        <v>11</v>
      </c>
      <c r="EF185" s="208">
        <v>36855.176041666666</v>
      </c>
      <c r="EG185" s="208">
        <v>36118.072520833332</v>
      </c>
      <c r="EH185" s="208">
        <v>737.10352083333328</v>
      </c>
      <c r="EI185" s="208">
        <v>-8136.2791666666662</v>
      </c>
      <c r="EJ185" s="208">
        <v>-7973.5535833333324</v>
      </c>
      <c r="EK185" s="208">
        <v>-162.72558333333333</v>
      </c>
      <c r="EL185" s="208">
        <v>42674</v>
      </c>
      <c r="EM185" s="208">
        <v>41822</v>
      </c>
      <c r="EN185" s="208">
        <v>854</v>
      </c>
      <c r="EO185" s="208">
        <v>-13955</v>
      </c>
      <c r="EP185" s="208">
        <v>-13677</v>
      </c>
      <c r="EQ185" s="208">
        <v>-280</v>
      </c>
      <c r="ER185" s="208">
        <v>23501.510416666664</v>
      </c>
      <c r="ES185" s="208">
        <v>23031.480208333334</v>
      </c>
      <c r="ET185" s="208">
        <v>470.03020833333335</v>
      </c>
      <c r="EU185" s="208">
        <v>26329</v>
      </c>
      <c r="EV185" s="208">
        <v>25802</v>
      </c>
      <c r="EW185" s="208">
        <v>527</v>
      </c>
      <c r="EX185" s="208">
        <v>-2827</v>
      </c>
      <c r="EY185" s="208">
        <v>-2771</v>
      </c>
      <c r="EZ185" s="208">
        <v>-57</v>
      </c>
      <c r="FA185" s="208">
        <v>0</v>
      </c>
      <c r="FB185" s="208">
        <v>0</v>
      </c>
      <c r="FC185" s="208">
        <v>0</v>
      </c>
      <c r="FD185" s="208">
        <v>0</v>
      </c>
      <c r="FE185" s="208">
        <v>0</v>
      </c>
      <c r="FF185" s="208">
        <v>0</v>
      </c>
      <c r="FG185" s="208">
        <v>0</v>
      </c>
      <c r="FH185" s="208">
        <v>0</v>
      </c>
      <c r="FI185" s="208">
        <v>0</v>
      </c>
      <c r="FJ185" s="208">
        <v>194657.97083333333</v>
      </c>
      <c r="FK185" s="208">
        <v>190764.81141666663</v>
      </c>
      <c r="FL185" s="208">
        <v>3893.1594166666664</v>
      </c>
      <c r="FM185" s="208">
        <v>198328</v>
      </c>
      <c r="FN185" s="208">
        <v>194361</v>
      </c>
      <c r="FO185" s="208">
        <v>3967</v>
      </c>
      <c r="FP185" s="208">
        <v>-3670</v>
      </c>
      <c r="FQ185" s="208">
        <v>-3596</v>
      </c>
      <c r="FR185" s="208">
        <v>-74</v>
      </c>
      <c r="FS185" s="208">
        <v>0</v>
      </c>
      <c r="FT185" s="208">
        <v>0</v>
      </c>
      <c r="FU185" s="208">
        <v>0</v>
      </c>
      <c r="FV185" s="208">
        <v>0</v>
      </c>
      <c r="FW185" s="208">
        <v>0</v>
      </c>
      <c r="FX185" s="208">
        <v>0</v>
      </c>
      <c r="FY185" s="208">
        <v>0</v>
      </c>
      <c r="FZ185" s="208">
        <v>0</v>
      </c>
      <c r="GA185" s="208">
        <v>0</v>
      </c>
      <c r="GB185" s="208">
        <v>1360644</v>
      </c>
      <c r="GC185" s="208">
        <v>1333429</v>
      </c>
      <c r="GD185" s="208">
        <v>27213</v>
      </c>
      <c r="GE185" s="664">
        <v>0</v>
      </c>
      <c r="GF185" s="664">
        <v>0.5</v>
      </c>
      <c r="GG185" s="664">
        <v>0.49</v>
      </c>
      <c r="GH185" s="664">
        <v>0.01</v>
      </c>
      <c r="GI185" s="187" t="s">
        <v>1054</v>
      </c>
    </row>
    <row r="186" spans="1:191" s="187" customFormat="1" x14ac:dyDescent="0.2">
      <c r="B186" s="429" t="s">
        <v>449</v>
      </c>
      <c r="C186" s="429" t="s">
        <v>448</v>
      </c>
      <c r="D186" s="208">
        <v>-2188855</v>
      </c>
      <c r="E186" s="208">
        <v>0</v>
      </c>
      <c r="F186" s="208">
        <v>-2188855</v>
      </c>
      <c r="G186" s="208">
        <v>-5729546</v>
      </c>
      <c r="H186" s="208">
        <v>0</v>
      </c>
      <c r="I186" s="208">
        <v>-5729546</v>
      </c>
      <c r="J186" s="208">
        <v>3540691</v>
      </c>
      <c r="K186" s="208">
        <v>0</v>
      </c>
      <c r="L186" s="208">
        <v>3540691</v>
      </c>
      <c r="M186" s="208">
        <v>222536</v>
      </c>
      <c r="N186" s="208">
        <v>222536</v>
      </c>
      <c r="O186" s="208">
        <v>0</v>
      </c>
      <c r="P186" s="208">
        <v>0</v>
      </c>
      <c r="Q186" s="208">
        <v>0</v>
      </c>
      <c r="R186" s="208">
        <v>0</v>
      </c>
      <c r="S186" s="208">
        <v>134891</v>
      </c>
      <c r="T186" s="208">
        <v>0</v>
      </c>
      <c r="U186" s="208">
        <v>42888</v>
      </c>
      <c r="V186" s="208">
        <v>0</v>
      </c>
      <c r="W186" s="208">
        <v>92003</v>
      </c>
      <c r="X186" s="208">
        <v>0</v>
      </c>
      <c r="Y186" s="208">
        <v>0</v>
      </c>
      <c r="Z186" s="208">
        <v>0</v>
      </c>
      <c r="AA186" s="208">
        <v>0</v>
      </c>
      <c r="AB186" s="208">
        <v>0</v>
      </c>
      <c r="AC186" s="208">
        <v>0</v>
      </c>
      <c r="AD186" s="208">
        <v>0</v>
      </c>
      <c r="AE186" s="208">
        <v>0</v>
      </c>
      <c r="AF186" s="208">
        <v>0</v>
      </c>
      <c r="AG186" s="208">
        <v>0</v>
      </c>
      <c r="AH186" s="208">
        <v>128131</v>
      </c>
      <c r="AI186" s="208">
        <v>128130.54166666667</v>
      </c>
      <c r="AJ186" s="208">
        <v>0</v>
      </c>
      <c r="AK186" s="208">
        <v>0</v>
      </c>
      <c r="AL186" s="208">
        <v>135975</v>
      </c>
      <c r="AM186" s="208">
        <v>135975</v>
      </c>
      <c r="AN186" s="208">
        <v>0</v>
      </c>
      <c r="AO186" s="208">
        <v>0</v>
      </c>
      <c r="AP186" s="208">
        <v>-7844</v>
      </c>
      <c r="AQ186" s="208">
        <v>-7844</v>
      </c>
      <c r="AR186" s="208">
        <v>0</v>
      </c>
      <c r="AS186" s="208">
        <v>0</v>
      </c>
      <c r="AT186" s="208">
        <v>0</v>
      </c>
      <c r="AU186" s="208">
        <v>0</v>
      </c>
      <c r="AV186" s="208">
        <v>0</v>
      </c>
      <c r="AW186" s="208">
        <v>0</v>
      </c>
      <c r="AX186" s="208">
        <v>0</v>
      </c>
      <c r="AY186" s="208">
        <v>0</v>
      </c>
      <c r="AZ186" s="208">
        <v>0</v>
      </c>
      <c r="BA186" s="208">
        <v>0</v>
      </c>
      <c r="BB186" s="208">
        <v>0</v>
      </c>
      <c r="BC186" s="208">
        <v>0</v>
      </c>
      <c r="BD186" s="208">
        <v>0</v>
      </c>
      <c r="BE186" s="208">
        <v>0</v>
      </c>
      <c r="BF186" s="208">
        <v>0</v>
      </c>
      <c r="BG186" s="208">
        <v>0</v>
      </c>
      <c r="BH186" s="208">
        <v>0</v>
      </c>
      <c r="BI186" s="208">
        <v>0</v>
      </c>
      <c r="BJ186" s="208">
        <v>0</v>
      </c>
      <c r="BK186" s="208">
        <v>0</v>
      </c>
      <c r="BL186" s="208">
        <v>0</v>
      </c>
      <c r="BM186" s="208">
        <v>0</v>
      </c>
      <c r="BN186" s="208">
        <v>0</v>
      </c>
      <c r="BO186" s="208">
        <v>1742533.1503229998</v>
      </c>
      <c r="BP186" s="208">
        <v>0</v>
      </c>
      <c r="BQ186" s="208">
        <v>35561.901027000007</v>
      </c>
      <c r="BR186" s="208">
        <v>29718</v>
      </c>
      <c r="BS186" s="208">
        <v>0</v>
      </c>
      <c r="BT186" s="208">
        <v>606</v>
      </c>
      <c r="BU186" s="208">
        <v>1577172</v>
      </c>
      <c r="BV186" s="208">
        <v>0</v>
      </c>
      <c r="BW186" s="208">
        <v>32187</v>
      </c>
      <c r="BX186" s="208">
        <v>195079</v>
      </c>
      <c r="BY186" s="208">
        <v>0</v>
      </c>
      <c r="BZ186" s="208">
        <v>3981</v>
      </c>
      <c r="CA186" s="208">
        <v>1970.8330833333348</v>
      </c>
      <c r="CB186" s="208">
        <v>0</v>
      </c>
      <c r="CC186" s="208">
        <v>40.221083333333411</v>
      </c>
      <c r="CD186" s="208">
        <v>23647</v>
      </c>
      <c r="CE186" s="208">
        <v>0</v>
      </c>
      <c r="CF186" s="208">
        <v>483</v>
      </c>
      <c r="CG186" s="208">
        <v>-21676</v>
      </c>
      <c r="CH186" s="208">
        <v>0</v>
      </c>
      <c r="CI186" s="208">
        <v>-443</v>
      </c>
      <c r="CJ186" s="208">
        <v>0</v>
      </c>
      <c r="CK186" s="208">
        <v>0</v>
      </c>
      <c r="CL186" s="208">
        <v>0</v>
      </c>
      <c r="CM186" s="208">
        <v>1633.004625</v>
      </c>
      <c r="CN186" s="208">
        <v>0</v>
      </c>
      <c r="CO186" s="208">
        <v>33.326625</v>
      </c>
      <c r="CP186" s="208">
        <v>-624.03031250000004</v>
      </c>
      <c r="CQ186" s="208">
        <v>0</v>
      </c>
      <c r="CR186" s="208">
        <v>-12.735312500000001</v>
      </c>
      <c r="CS186" s="208">
        <v>-873.14120833333334</v>
      </c>
      <c r="CT186" s="208">
        <v>0</v>
      </c>
      <c r="CU186" s="208">
        <v>-17.819208333333332</v>
      </c>
      <c r="CV186" s="208">
        <v>0</v>
      </c>
      <c r="CW186" s="208">
        <v>0</v>
      </c>
      <c r="CX186" s="208">
        <v>0</v>
      </c>
      <c r="CY186" s="208">
        <v>-873</v>
      </c>
      <c r="CZ186" s="208">
        <v>0</v>
      </c>
      <c r="DA186" s="208">
        <v>-18</v>
      </c>
      <c r="DB186" s="208">
        <v>0</v>
      </c>
      <c r="DC186" s="208">
        <v>0</v>
      </c>
      <c r="DD186" s="208">
        <v>0</v>
      </c>
      <c r="DE186" s="208">
        <v>288.70800000000003</v>
      </c>
      <c r="DF186" s="208">
        <v>0</v>
      </c>
      <c r="DG186" s="208">
        <v>5.8920000000000003</v>
      </c>
      <c r="DH186" s="208">
        <v>344</v>
      </c>
      <c r="DI186" s="208">
        <v>0</v>
      </c>
      <c r="DJ186" s="208">
        <v>7</v>
      </c>
      <c r="DK186" s="208">
        <v>-55</v>
      </c>
      <c r="DL186" s="208">
        <v>0</v>
      </c>
      <c r="DM186" s="208">
        <v>-1</v>
      </c>
      <c r="DN186" s="208">
        <v>751.84375</v>
      </c>
      <c r="DO186" s="208">
        <v>0</v>
      </c>
      <c r="DP186" s="208">
        <v>15.34375</v>
      </c>
      <c r="DQ186" s="208">
        <v>752</v>
      </c>
      <c r="DR186" s="208">
        <v>0</v>
      </c>
      <c r="DS186" s="208">
        <v>15</v>
      </c>
      <c r="DT186" s="208">
        <v>0</v>
      </c>
      <c r="DU186" s="208">
        <v>0</v>
      </c>
      <c r="DV186" s="208">
        <v>0</v>
      </c>
      <c r="DW186" s="208">
        <v>8612.1195416666669</v>
      </c>
      <c r="DX186" s="208">
        <v>0</v>
      </c>
      <c r="DY186" s="208">
        <v>175.75754166666664</v>
      </c>
      <c r="DZ186" s="208">
        <v>12943</v>
      </c>
      <c r="EA186" s="208">
        <v>0</v>
      </c>
      <c r="EB186" s="208">
        <v>264</v>
      </c>
      <c r="EC186" s="208">
        <v>-4331</v>
      </c>
      <c r="ED186" s="208">
        <v>0</v>
      </c>
      <c r="EE186" s="208">
        <v>-88</v>
      </c>
      <c r="EF186" s="208">
        <v>58644.814958333336</v>
      </c>
      <c r="EG186" s="208">
        <v>0</v>
      </c>
      <c r="EH186" s="208">
        <v>1196.8329583333334</v>
      </c>
      <c r="EI186" s="208">
        <v>-941.80960416666665</v>
      </c>
      <c r="EJ186" s="208">
        <v>0</v>
      </c>
      <c r="EK186" s="208">
        <v>-19.220604166666668</v>
      </c>
      <c r="EL186" s="208">
        <v>67990</v>
      </c>
      <c r="EM186" s="208">
        <v>0</v>
      </c>
      <c r="EN186" s="208">
        <v>1388</v>
      </c>
      <c r="EO186" s="208">
        <v>-10287</v>
      </c>
      <c r="EP186" s="208">
        <v>0</v>
      </c>
      <c r="EQ186" s="208">
        <v>-210</v>
      </c>
      <c r="ER186" s="208">
        <v>19572.497729166666</v>
      </c>
      <c r="ES186" s="208">
        <v>0</v>
      </c>
      <c r="ET186" s="208">
        <v>399.43872916666663</v>
      </c>
      <c r="EU186" s="208">
        <v>24560</v>
      </c>
      <c r="EV186" s="208">
        <v>0</v>
      </c>
      <c r="EW186" s="208">
        <v>501</v>
      </c>
      <c r="EX186" s="208">
        <v>-4988</v>
      </c>
      <c r="EY186" s="208">
        <v>0</v>
      </c>
      <c r="EZ186" s="208">
        <v>-102</v>
      </c>
      <c r="FA186" s="208">
        <v>0</v>
      </c>
      <c r="FB186" s="208">
        <v>0</v>
      </c>
      <c r="FC186" s="208">
        <v>0</v>
      </c>
      <c r="FD186" s="208">
        <v>0</v>
      </c>
      <c r="FE186" s="208">
        <v>0</v>
      </c>
      <c r="FF186" s="208">
        <v>0</v>
      </c>
      <c r="FG186" s="208">
        <v>0</v>
      </c>
      <c r="FH186" s="208">
        <v>0</v>
      </c>
      <c r="FI186" s="208">
        <v>0</v>
      </c>
      <c r="FJ186" s="208">
        <v>644892.04954166664</v>
      </c>
      <c r="FK186" s="208">
        <v>0</v>
      </c>
      <c r="FL186" s="208">
        <v>13097.975458333332</v>
      </c>
      <c r="FM186" s="208">
        <v>656812</v>
      </c>
      <c r="FN186" s="208">
        <v>0</v>
      </c>
      <c r="FO186" s="208">
        <v>13321</v>
      </c>
      <c r="FP186" s="208">
        <v>-11920</v>
      </c>
      <c r="FQ186" s="208">
        <v>0</v>
      </c>
      <c r="FR186" s="208">
        <v>-223</v>
      </c>
      <c r="FS186" s="208">
        <v>0</v>
      </c>
      <c r="FT186" s="208">
        <v>0</v>
      </c>
      <c r="FU186" s="208">
        <v>0</v>
      </c>
      <c r="FV186" s="208">
        <v>0</v>
      </c>
      <c r="FW186" s="208">
        <v>0</v>
      </c>
      <c r="FX186" s="208">
        <v>0</v>
      </c>
      <c r="FY186" s="208">
        <v>0</v>
      </c>
      <c r="FZ186" s="208">
        <v>0</v>
      </c>
      <c r="GA186" s="208">
        <v>0</v>
      </c>
      <c r="GB186" s="208">
        <v>2506178</v>
      </c>
      <c r="GC186" s="208">
        <v>0</v>
      </c>
      <c r="GD186" s="208">
        <v>51082</v>
      </c>
      <c r="GE186" s="664">
        <v>0.5</v>
      </c>
      <c r="GF186" s="664">
        <v>0.49</v>
      </c>
      <c r="GG186" s="664">
        <v>0</v>
      </c>
      <c r="GH186" s="664">
        <v>0.01</v>
      </c>
      <c r="GI186" s="187" t="s">
        <v>742</v>
      </c>
    </row>
    <row r="187" spans="1:191" s="187" customFormat="1" x14ac:dyDescent="0.2">
      <c r="A187" s="188"/>
      <c r="B187" s="429" t="s">
        <v>451</v>
      </c>
      <c r="C187" s="429" t="s">
        <v>450</v>
      </c>
      <c r="D187" s="208">
        <v>438190</v>
      </c>
      <c r="E187" s="208">
        <v>0</v>
      </c>
      <c r="F187" s="208">
        <v>438190</v>
      </c>
      <c r="G187" s="208">
        <v>357732</v>
      </c>
      <c r="H187" s="208">
        <v>0</v>
      </c>
      <c r="I187" s="208">
        <v>357732</v>
      </c>
      <c r="J187" s="208">
        <v>80458</v>
      </c>
      <c r="K187" s="208">
        <v>0</v>
      </c>
      <c r="L187" s="208">
        <v>80458</v>
      </c>
      <c r="M187" s="208">
        <v>180476</v>
      </c>
      <c r="N187" s="208">
        <v>180476</v>
      </c>
      <c r="O187" s="208">
        <v>0</v>
      </c>
      <c r="P187" s="208">
        <v>0</v>
      </c>
      <c r="Q187" s="208">
        <v>0</v>
      </c>
      <c r="R187" s="208">
        <v>0</v>
      </c>
      <c r="S187" s="208">
        <v>42349</v>
      </c>
      <c r="T187" s="208">
        <v>0</v>
      </c>
      <c r="U187" s="208">
        <v>30587</v>
      </c>
      <c r="V187" s="208">
        <v>0</v>
      </c>
      <c r="W187" s="208">
        <v>11762</v>
      </c>
      <c r="X187" s="208">
        <v>0</v>
      </c>
      <c r="Y187" s="208">
        <v>0</v>
      </c>
      <c r="Z187" s="208">
        <v>0</v>
      </c>
      <c r="AA187" s="208">
        <v>0</v>
      </c>
      <c r="AB187" s="208">
        <v>0</v>
      </c>
      <c r="AC187" s="208">
        <v>0</v>
      </c>
      <c r="AD187" s="208">
        <v>0</v>
      </c>
      <c r="AE187" s="208">
        <v>0</v>
      </c>
      <c r="AF187" s="208">
        <v>0</v>
      </c>
      <c r="AG187" s="208">
        <v>0</v>
      </c>
      <c r="AH187" s="208">
        <v>0</v>
      </c>
      <c r="AI187" s="208">
        <v>0</v>
      </c>
      <c r="AJ187" s="208">
        <v>0</v>
      </c>
      <c r="AK187" s="208">
        <v>0</v>
      </c>
      <c r="AL187" s="208">
        <v>0</v>
      </c>
      <c r="AM187" s="208">
        <v>0</v>
      </c>
      <c r="AN187" s="208">
        <v>0</v>
      </c>
      <c r="AO187" s="208">
        <v>0</v>
      </c>
      <c r="AP187" s="208">
        <v>0</v>
      </c>
      <c r="AQ187" s="208">
        <v>0</v>
      </c>
      <c r="AR187" s="208">
        <v>0</v>
      </c>
      <c r="AS187" s="208">
        <v>0</v>
      </c>
      <c r="AT187" s="208">
        <v>0</v>
      </c>
      <c r="AU187" s="208">
        <v>0</v>
      </c>
      <c r="AV187" s="208">
        <v>0</v>
      </c>
      <c r="AW187" s="208">
        <v>0</v>
      </c>
      <c r="AX187" s="208">
        <v>0</v>
      </c>
      <c r="AY187" s="208">
        <v>0</v>
      </c>
      <c r="AZ187" s="208">
        <v>0</v>
      </c>
      <c r="BA187" s="208">
        <v>0</v>
      </c>
      <c r="BB187" s="208">
        <v>0</v>
      </c>
      <c r="BC187" s="208">
        <v>0</v>
      </c>
      <c r="BD187" s="208">
        <v>0</v>
      </c>
      <c r="BE187" s="208">
        <v>0</v>
      </c>
      <c r="BF187" s="208">
        <v>0</v>
      </c>
      <c r="BG187" s="208">
        <v>0</v>
      </c>
      <c r="BH187" s="208">
        <v>0</v>
      </c>
      <c r="BI187" s="208">
        <v>0</v>
      </c>
      <c r="BJ187" s="208">
        <v>0</v>
      </c>
      <c r="BK187" s="208">
        <v>0</v>
      </c>
      <c r="BL187" s="208">
        <v>0</v>
      </c>
      <c r="BM187" s="208">
        <v>0</v>
      </c>
      <c r="BN187" s="208">
        <v>0</v>
      </c>
      <c r="BO187" s="208">
        <v>1430659.6227775</v>
      </c>
      <c r="BP187" s="208">
        <v>357664.90569437499</v>
      </c>
      <c r="BQ187" s="208">
        <v>0</v>
      </c>
      <c r="BR187" s="208">
        <v>113380</v>
      </c>
      <c r="BS187" s="208">
        <v>28345</v>
      </c>
      <c r="BT187" s="208">
        <v>0</v>
      </c>
      <c r="BU187" s="208">
        <v>1278623</v>
      </c>
      <c r="BV187" s="208">
        <v>319656</v>
      </c>
      <c r="BW187" s="208">
        <v>0</v>
      </c>
      <c r="BX187" s="208">
        <v>265417</v>
      </c>
      <c r="BY187" s="208">
        <v>66354</v>
      </c>
      <c r="BZ187" s="208">
        <v>0</v>
      </c>
      <c r="CA187" s="208">
        <v>0</v>
      </c>
      <c r="CB187" s="208">
        <v>0</v>
      </c>
      <c r="CC187" s="208">
        <v>0</v>
      </c>
      <c r="CD187" s="208">
        <v>0</v>
      </c>
      <c r="CE187" s="208">
        <v>0</v>
      </c>
      <c r="CF187" s="208">
        <v>0</v>
      </c>
      <c r="CG187" s="208">
        <v>0</v>
      </c>
      <c r="CH187" s="208">
        <v>0</v>
      </c>
      <c r="CI187" s="208">
        <v>0</v>
      </c>
      <c r="CJ187" s="208">
        <v>0</v>
      </c>
      <c r="CK187" s="208">
        <v>0</v>
      </c>
      <c r="CL187" s="208">
        <v>0</v>
      </c>
      <c r="CM187" s="208">
        <v>0</v>
      </c>
      <c r="CN187" s="208">
        <v>0</v>
      </c>
      <c r="CO187" s="208">
        <v>0</v>
      </c>
      <c r="CP187" s="208">
        <v>0</v>
      </c>
      <c r="CQ187" s="208">
        <v>0</v>
      </c>
      <c r="CR187" s="208">
        <v>0</v>
      </c>
      <c r="CS187" s="208">
        <v>0</v>
      </c>
      <c r="CT187" s="208">
        <v>0</v>
      </c>
      <c r="CU187" s="208">
        <v>0</v>
      </c>
      <c r="CV187" s="208">
        <v>0</v>
      </c>
      <c r="CW187" s="208">
        <v>0</v>
      </c>
      <c r="CX187" s="208">
        <v>0</v>
      </c>
      <c r="CY187" s="208">
        <v>0</v>
      </c>
      <c r="CZ187" s="208">
        <v>0</v>
      </c>
      <c r="DA187" s="208">
        <v>0</v>
      </c>
      <c r="DB187" s="208">
        <v>0</v>
      </c>
      <c r="DC187" s="208">
        <v>0</v>
      </c>
      <c r="DD187" s="208">
        <v>0</v>
      </c>
      <c r="DE187" s="208">
        <v>-752.86666666666679</v>
      </c>
      <c r="DF187" s="208">
        <v>-188.2166666666667</v>
      </c>
      <c r="DG187" s="208">
        <v>0</v>
      </c>
      <c r="DH187" s="208">
        <v>818</v>
      </c>
      <c r="DI187" s="208">
        <v>205</v>
      </c>
      <c r="DJ187" s="208">
        <v>0</v>
      </c>
      <c r="DK187" s="208">
        <v>-1571</v>
      </c>
      <c r="DL187" s="208">
        <v>-393</v>
      </c>
      <c r="DM187" s="208">
        <v>0</v>
      </c>
      <c r="DN187" s="208">
        <v>0</v>
      </c>
      <c r="DO187" s="208">
        <v>0</v>
      </c>
      <c r="DP187" s="208">
        <v>0</v>
      </c>
      <c r="DQ187" s="208">
        <v>0</v>
      </c>
      <c r="DR187" s="208">
        <v>0</v>
      </c>
      <c r="DS187" s="208">
        <v>0</v>
      </c>
      <c r="DT187" s="208">
        <v>0</v>
      </c>
      <c r="DU187" s="208">
        <v>0</v>
      </c>
      <c r="DV187" s="208">
        <v>0</v>
      </c>
      <c r="DW187" s="208">
        <v>7591.6783333333333</v>
      </c>
      <c r="DX187" s="208">
        <v>1897.9195833333333</v>
      </c>
      <c r="DY187" s="208">
        <v>0</v>
      </c>
      <c r="DZ187" s="208">
        <v>6138</v>
      </c>
      <c r="EA187" s="208">
        <v>1534</v>
      </c>
      <c r="EB187" s="208">
        <v>0</v>
      </c>
      <c r="EC187" s="208">
        <v>1454</v>
      </c>
      <c r="ED187" s="208">
        <v>364</v>
      </c>
      <c r="EE187" s="208">
        <v>0</v>
      </c>
      <c r="EF187" s="208">
        <v>61675.737500000003</v>
      </c>
      <c r="EG187" s="208">
        <v>15418.934375000001</v>
      </c>
      <c r="EH187" s="208">
        <v>0</v>
      </c>
      <c r="EI187" s="208">
        <v>-725.45249999999999</v>
      </c>
      <c r="EJ187" s="208">
        <v>-181.363125</v>
      </c>
      <c r="EK187" s="208">
        <v>0</v>
      </c>
      <c r="EL187" s="208">
        <v>63421</v>
      </c>
      <c r="EM187" s="208">
        <v>15855</v>
      </c>
      <c r="EN187" s="208">
        <v>0</v>
      </c>
      <c r="EO187" s="208">
        <v>-2471</v>
      </c>
      <c r="EP187" s="208">
        <v>-617</v>
      </c>
      <c r="EQ187" s="208">
        <v>0</v>
      </c>
      <c r="ER187" s="208">
        <v>13267.22916666667</v>
      </c>
      <c r="ES187" s="208">
        <v>3316.8072916666674</v>
      </c>
      <c r="ET187" s="208">
        <v>0</v>
      </c>
      <c r="EU187" s="208">
        <v>20458</v>
      </c>
      <c r="EV187" s="208">
        <v>5115</v>
      </c>
      <c r="EW187" s="208">
        <v>0</v>
      </c>
      <c r="EX187" s="208">
        <v>-7191</v>
      </c>
      <c r="EY187" s="208">
        <v>-1798</v>
      </c>
      <c r="EZ187" s="208">
        <v>0</v>
      </c>
      <c r="FA187" s="208">
        <v>0</v>
      </c>
      <c r="FB187" s="208">
        <v>0</v>
      </c>
      <c r="FC187" s="208">
        <v>0</v>
      </c>
      <c r="FD187" s="208">
        <v>0</v>
      </c>
      <c r="FE187" s="208">
        <v>0</v>
      </c>
      <c r="FF187" s="208">
        <v>0</v>
      </c>
      <c r="FG187" s="208">
        <v>0</v>
      </c>
      <c r="FH187" s="208">
        <v>0</v>
      </c>
      <c r="FI187" s="208">
        <v>0</v>
      </c>
      <c r="FJ187" s="208">
        <v>336884.32708333334</v>
      </c>
      <c r="FK187" s="208">
        <v>83978.457291666666</v>
      </c>
      <c r="FL187" s="208">
        <v>0</v>
      </c>
      <c r="FM187" s="208">
        <v>351188</v>
      </c>
      <c r="FN187" s="208">
        <v>87622</v>
      </c>
      <c r="FO187" s="208">
        <v>0</v>
      </c>
      <c r="FP187" s="208">
        <v>-14304</v>
      </c>
      <c r="FQ187" s="208">
        <v>-3644</v>
      </c>
      <c r="FR187" s="208">
        <v>0</v>
      </c>
      <c r="FS187" s="208">
        <v>0</v>
      </c>
      <c r="FT187" s="208">
        <v>0</v>
      </c>
      <c r="FU187" s="208">
        <v>0</v>
      </c>
      <c r="FV187" s="208">
        <v>0</v>
      </c>
      <c r="FW187" s="208">
        <v>0</v>
      </c>
      <c r="FX187" s="208">
        <v>0</v>
      </c>
      <c r="FY187" s="208">
        <v>0</v>
      </c>
      <c r="FZ187" s="208">
        <v>0</v>
      </c>
      <c r="GA187" s="208">
        <v>0</v>
      </c>
      <c r="GB187" s="208">
        <v>1961981</v>
      </c>
      <c r="GC187" s="208">
        <v>490253</v>
      </c>
      <c r="GD187" s="208">
        <v>0</v>
      </c>
      <c r="GE187" s="664">
        <v>0.5</v>
      </c>
      <c r="GF187" s="664">
        <v>0.4</v>
      </c>
      <c r="GG187" s="664">
        <v>0.1</v>
      </c>
      <c r="GH187" s="664">
        <v>0</v>
      </c>
      <c r="GI187" s="187" t="s">
        <v>1054</v>
      </c>
    </row>
    <row r="188" spans="1:191" s="187" customFormat="1" x14ac:dyDescent="0.2">
      <c r="B188" s="429" t="s">
        <v>453</v>
      </c>
      <c r="C188" s="429" t="s">
        <v>452</v>
      </c>
      <c r="D188" s="208">
        <v>976951</v>
      </c>
      <c r="E188" s="208">
        <v>0</v>
      </c>
      <c r="F188" s="208">
        <v>976951</v>
      </c>
      <c r="G188" s="208">
        <v>601414</v>
      </c>
      <c r="H188" s="208">
        <v>0</v>
      </c>
      <c r="I188" s="208">
        <v>601414</v>
      </c>
      <c r="J188" s="208">
        <v>375537</v>
      </c>
      <c r="K188" s="208">
        <v>0</v>
      </c>
      <c r="L188" s="208">
        <v>375537</v>
      </c>
      <c r="M188" s="208">
        <v>125208</v>
      </c>
      <c r="N188" s="208">
        <v>125208</v>
      </c>
      <c r="O188" s="208">
        <v>0</v>
      </c>
      <c r="P188" s="208">
        <v>0</v>
      </c>
      <c r="Q188" s="208">
        <v>0</v>
      </c>
      <c r="R188" s="208">
        <v>0</v>
      </c>
      <c r="S188" s="208">
        <v>1525038</v>
      </c>
      <c r="T188" s="208">
        <v>129043</v>
      </c>
      <c r="U188" s="208">
        <v>1511230</v>
      </c>
      <c r="V188" s="208">
        <v>132000</v>
      </c>
      <c r="W188" s="208">
        <v>13808</v>
      </c>
      <c r="X188" s="208">
        <v>-2957</v>
      </c>
      <c r="Y188" s="208">
        <v>0</v>
      </c>
      <c r="Z188" s="208">
        <v>0</v>
      </c>
      <c r="AA188" s="208">
        <v>0</v>
      </c>
      <c r="AB188" s="208">
        <v>0</v>
      </c>
      <c r="AC188" s="208">
        <v>0</v>
      </c>
      <c r="AD188" s="208">
        <v>0</v>
      </c>
      <c r="AE188" s="208">
        <v>0</v>
      </c>
      <c r="AF188" s="208">
        <v>0</v>
      </c>
      <c r="AG188" s="208">
        <v>0</v>
      </c>
      <c r="AH188" s="208">
        <v>0</v>
      </c>
      <c r="AI188" s="208">
        <v>0</v>
      </c>
      <c r="AJ188" s="208">
        <v>0</v>
      </c>
      <c r="AK188" s="208">
        <v>0</v>
      </c>
      <c r="AL188" s="208">
        <v>0</v>
      </c>
      <c r="AM188" s="208">
        <v>0</v>
      </c>
      <c r="AN188" s="208">
        <v>0</v>
      </c>
      <c r="AO188" s="208">
        <v>0</v>
      </c>
      <c r="AP188" s="208">
        <v>0</v>
      </c>
      <c r="AQ188" s="208">
        <v>0</v>
      </c>
      <c r="AR188" s="208">
        <v>0</v>
      </c>
      <c r="AS188" s="208">
        <v>0</v>
      </c>
      <c r="AT188" s="208">
        <v>0</v>
      </c>
      <c r="AU188" s="208">
        <v>0</v>
      </c>
      <c r="AV188" s="208">
        <v>0</v>
      </c>
      <c r="AW188" s="208">
        <v>0</v>
      </c>
      <c r="AX188" s="208">
        <v>0</v>
      </c>
      <c r="AY188" s="208">
        <v>0</v>
      </c>
      <c r="AZ188" s="208">
        <v>0</v>
      </c>
      <c r="BA188" s="208">
        <v>0</v>
      </c>
      <c r="BB188" s="208">
        <v>0</v>
      </c>
      <c r="BC188" s="208">
        <v>0</v>
      </c>
      <c r="BD188" s="208">
        <v>0</v>
      </c>
      <c r="BE188" s="208">
        <v>0</v>
      </c>
      <c r="BF188" s="208">
        <v>0</v>
      </c>
      <c r="BG188" s="208">
        <v>0</v>
      </c>
      <c r="BH188" s="208">
        <v>0</v>
      </c>
      <c r="BI188" s="208">
        <v>0</v>
      </c>
      <c r="BJ188" s="208">
        <v>0</v>
      </c>
      <c r="BK188" s="208">
        <v>0</v>
      </c>
      <c r="BL188" s="208">
        <v>0</v>
      </c>
      <c r="BM188" s="208">
        <v>0</v>
      </c>
      <c r="BN188" s="208">
        <v>0</v>
      </c>
      <c r="BO188" s="208">
        <v>1523953.4268000002</v>
      </c>
      <c r="BP188" s="208">
        <v>1015968.9512000001</v>
      </c>
      <c r="BQ188" s="208">
        <v>0</v>
      </c>
      <c r="BR188" s="208">
        <v>73793</v>
      </c>
      <c r="BS188" s="208">
        <v>49196</v>
      </c>
      <c r="BT188" s="208">
        <v>0</v>
      </c>
      <c r="BU188" s="208">
        <v>1428148</v>
      </c>
      <c r="BV188" s="208">
        <v>952099</v>
      </c>
      <c r="BW188" s="208">
        <v>0</v>
      </c>
      <c r="BX188" s="208">
        <v>169598</v>
      </c>
      <c r="BY188" s="208">
        <v>113066</v>
      </c>
      <c r="BZ188" s="208">
        <v>0</v>
      </c>
      <c r="CA188" s="208">
        <v>10187.63625</v>
      </c>
      <c r="CB188" s="208">
        <v>6791.7575000000006</v>
      </c>
      <c r="CC188" s="208">
        <v>0</v>
      </c>
      <c r="CD188" s="208">
        <v>12299</v>
      </c>
      <c r="CE188" s="208">
        <v>8200</v>
      </c>
      <c r="CF188" s="208">
        <v>0</v>
      </c>
      <c r="CG188" s="208">
        <v>-2111</v>
      </c>
      <c r="CH188" s="208">
        <v>-1408</v>
      </c>
      <c r="CI188" s="208">
        <v>0</v>
      </c>
      <c r="CJ188" s="208">
        <v>0</v>
      </c>
      <c r="CK188" s="208">
        <v>0</v>
      </c>
      <c r="CL188" s="208">
        <v>0</v>
      </c>
      <c r="CM188" s="208">
        <v>0</v>
      </c>
      <c r="CN188" s="208">
        <v>0</v>
      </c>
      <c r="CO188" s="208">
        <v>0</v>
      </c>
      <c r="CP188" s="208">
        <v>0</v>
      </c>
      <c r="CQ188" s="208">
        <v>0</v>
      </c>
      <c r="CR188" s="208">
        <v>0</v>
      </c>
      <c r="CS188" s="208">
        <v>0</v>
      </c>
      <c r="CT188" s="208">
        <v>0</v>
      </c>
      <c r="CU188" s="208">
        <v>0</v>
      </c>
      <c r="CV188" s="208">
        <v>0</v>
      </c>
      <c r="CW188" s="208">
        <v>0</v>
      </c>
      <c r="CX188" s="208">
        <v>0</v>
      </c>
      <c r="CY188" s="208">
        <v>0</v>
      </c>
      <c r="CZ188" s="208">
        <v>0</v>
      </c>
      <c r="DA188" s="208">
        <v>0</v>
      </c>
      <c r="DB188" s="208">
        <v>0</v>
      </c>
      <c r="DC188" s="208">
        <v>0</v>
      </c>
      <c r="DD188" s="208">
        <v>0</v>
      </c>
      <c r="DE188" s="208">
        <v>3344.9374999999995</v>
      </c>
      <c r="DF188" s="208">
        <v>2229.9583333333335</v>
      </c>
      <c r="DG188" s="208">
        <v>0</v>
      </c>
      <c r="DH188" s="208">
        <v>17185</v>
      </c>
      <c r="DI188" s="208">
        <v>11457</v>
      </c>
      <c r="DJ188" s="208">
        <v>0</v>
      </c>
      <c r="DK188" s="208">
        <v>-13840</v>
      </c>
      <c r="DL188" s="208">
        <v>-9227</v>
      </c>
      <c r="DM188" s="208">
        <v>0</v>
      </c>
      <c r="DN188" s="208">
        <v>0</v>
      </c>
      <c r="DO188" s="208">
        <v>0</v>
      </c>
      <c r="DP188" s="208">
        <v>0</v>
      </c>
      <c r="DQ188" s="208">
        <v>0</v>
      </c>
      <c r="DR188" s="208">
        <v>0</v>
      </c>
      <c r="DS188" s="208">
        <v>0</v>
      </c>
      <c r="DT188" s="208">
        <v>0</v>
      </c>
      <c r="DU188" s="208">
        <v>0</v>
      </c>
      <c r="DV188" s="208">
        <v>0</v>
      </c>
      <c r="DW188" s="208">
        <v>13207.900000000001</v>
      </c>
      <c r="DX188" s="208">
        <v>8805.2666666666664</v>
      </c>
      <c r="DY188" s="208">
        <v>0</v>
      </c>
      <c r="DZ188" s="208">
        <v>27888</v>
      </c>
      <c r="EA188" s="208">
        <v>18592</v>
      </c>
      <c r="EB188" s="208">
        <v>0</v>
      </c>
      <c r="EC188" s="208">
        <v>-14680</v>
      </c>
      <c r="ED188" s="208">
        <v>-9787</v>
      </c>
      <c r="EE188" s="208">
        <v>0</v>
      </c>
      <c r="EF188" s="208">
        <v>55547.443749999999</v>
      </c>
      <c r="EG188" s="208">
        <v>37031.629166666673</v>
      </c>
      <c r="EH188" s="208">
        <v>0</v>
      </c>
      <c r="EI188" s="208">
        <v>39990.108749999992</v>
      </c>
      <c r="EJ188" s="208">
        <v>26660.072499999998</v>
      </c>
      <c r="EK188" s="208">
        <v>0</v>
      </c>
      <c r="EL188" s="208">
        <v>55547</v>
      </c>
      <c r="EM188" s="208">
        <v>37032</v>
      </c>
      <c r="EN188" s="208">
        <v>0</v>
      </c>
      <c r="EO188" s="208">
        <v>39991</v>
      </c>
      <c r="EP188" s="208">
        <v>26660</v>
      </c>
      <c r="EQ188" s="208">
        <v>0</v>
      </c>
      <c r="ER188" s="208">
        <v>14116.249999999998</v>
      </c>
      <c r="ES188" s="208">
        <v>9410.8333333333339</v>
      </c>
      <c r="ET188" s="208">
        <v>0</v>
      </c>
      <c r="EU188" s="208">
        <v>25164</v>
      </c>
      <c r="EV188" s="208">
        <v>16776</v>
      </c>
      <c r="EW188" s="208">
        <v>0</v>
      </c>
      <c r="EX188" s="208">
        <v>-11048</v>
      </c>
      <c r="EY188" s="208">
        <v>-7365</v>
      </c>
      <c r="EZ188" s="208">
        <v>0</v>
      </c>
      <c r="FA188" s="208">
        <v>0</v>
      </c>
      <c r="FB188" s="208">
        <v>0</v>
      </c>
      <c r="FC188" s="208">
        <v>0</v>
      </c>
      <c r="FD188" s="208">
        <v>0</v>
      </c>
      <c r="FE188" s="208">
        <v>0</v>
      </c>
      <c r="FF188" s="208">
        <v>0</v>
      </c>
      <c r="FG188" s="208">
        <v>0</v>
      </c>
      <c r="FH188" s="208">
        <v>0</v>
      </c>
      <c r="FI188" s="208">
        <v>0</v>
      </c>
      <c r="FJ188" s="208">
        <v>441915.82874999999</v>
      </c>
      <c r="FK188" s="208">
        <v>274268.59625</v>
      </c>
      <c r="FL188" s="208">
        <v>0</v>
      </c>
      <c r="FM188" s="208">
        <v>385659</v>
      </c>
      <c r="FN188" s="208">
        <v>237043</v>
      </c>
      <c r="FO188" s="208">
        <v>0</v>
      </c>
      <c r="FP188" s="208">
        <v>56257</v>
      </c>
      <c r="FQ188" s="208">
        <v>37226</v>
      </c>
      <c r="FR188" s="208">
        <v>0</v>
      </c>
      <c r="FS188" s="208">
        <v>0</v>
      </c>
      <c r="FT188" s="208">
        <v>0</v>
      </c>
      <c r="FU188" s="208">
        <v>0</v>
      </c>
      <c r="FV188" s="208">
        <v>0</v>
      </c>
      <c r="FW188" s="208">
        <v>0</v>
      </c>
      <c r="FX188" s="208">
        <v>0</v>
      </c>
      <c r="FY188" s="208">
        <v>0</v>
      </c>
      <c r="FZ188" s="208">
        <v>0</v>
      </c>
      <c r="GA188" s="208">
        <v>0</v>
      </c>
      <c r="GB188" s="208">
        <v>2176056</v>
      </c>
      <c r="GC188" s="208">
        <v>1430364</v>
      </c>
      <c r="GD188" s="208">
        <v>0</v>
      </c>
      <c r="GE188" s="664">
        <v>0</v>
      </c>
      <c r="GF188" s="664">
        <v>0.6</v>
      </c>
      <c r="GG188" s="664">
        <v>0.4</v>
      </c>
      <c r="GH188" s="664">
        <v>0</v>
      </c>
      <c r="GI188" s="187" t="s">
        <v>1054</v>
      </c>
    </row>
    <row r="189" spans="1:191" s="187" customFormat="1" x14ac:dyDescent="0.2">
      <c r="B189" s="429" t="s">
        <v>455</v>
      </c>
      <c r="C189" s="429" t="s">
        <v>454</v>
      </c>
      <c r="D189" s="208">
        <v>-5692336</v>
      </c>
      <c r="E189" s="208">
        <v>9762</v>
      </c>
      <c r="F189" s="208">
        <v>-5682574</v>
      </c>
      <c r="G189" s="208">
        <v>-5074768</v>
      </c>
      <c r="H189" s="208">
        <v>20946</v>
      </c>
      <c r="I189" s="208">
        <v>-5053822</v>
      </c>
      <c r="J189" s="208">
        <v>-617568</v>
      </c>
      <c r="K189" s="208">
        <v>-11184</v>
      </c>
      <c r="L189" s="208">
        <v>-628752</v>
      </c>
      <c r="M189" s="208">
        <v>236771</v>
      </c>
      <c r="N189" s="208">
        <v>236771</v>
      </c>
      <c r="O189" s="208">
        <v>0</v>
      </c>
      <c r="P189" s="208">
        <v>1038007</v>
      </c>
      <c r="Q189" s="208">
        <v>1188487</v>
      </c>
      <c r="R189" s="208">
        <v>-150480</v>
      </c>
      <c r="S189" s="208">
        <v>2805911</v>
      </c>
      <c r="T189" s="208">
        <v>0</v>
      </c>
      <c r="U189" s="208">
        <v>2789516</v>
      </c>
      <c r="V189" s="208">
        <v>0</v>
      </c>
      <c r="W189" s="208">
        <v>16395</v>
      </c>
      <c r="X189" s="208">
        <v>0</v>
      </c>
      <c r="Y189" s="208">
        <v>0</v>
      </c>
      <c r="Z189" s="208">
        <v>0</v>
      </c>
      <c r="AA189" s="208">
        <v>0</v>
      </c>
      <c r="AB189" s="208">
        <v>0</v>
      </c>
      <c r="AC189" s="208">
        <v>0</v>
      </c>
      <c r="AD189" s="208">
        <v>0</v>
      </c>
      <c r="AE189" s="208">
        <v>0</v>
      </c>
      <c r="AF189" s="208">
        <v>0</v>
      </c>
      <c r="AG189" s="208">
        <v>0</v>
      </c>
      <c r="AH189" s="208">
        <v>0</v>
      </c>
      <c r="AI189" s="208">
        <v>0</v>
      </c>
      <c r="AJ189" s="208">
        <v>0</v>
      </c>
      <c r="AK189" s="208">
        <v>0</v>
      </c>
      <c r="AL189" s="208">
        <v>0</v>
      </c>
      <c r="AM189" s="208">
        <v>0</v>
      </c>
      <c r="AN189" s="208">
        <v>0</v>
      </c>
      <c r="AO189" s="208">
        <v>0</v>
      </c>
      <c r="AP189" s="208">
        <v>0</v>
      </c>
      <c r="AQ189" s="208">
        <v>0</v>
      </c>
      <c r="AR189" s="208">
        <v>0</v>
      </c>
      <c r="AS189" s="208">
        <v>0</v>
      </c>
      <c r="AT189" s="208">
        <v>0</v>
      </c>
      <c r="AU189" s="208">
        <v>0</v>
      </c>
      <c r="AV189" s="208">
        <v>0</v>
      </c>
      <c r="AW189" s="208">
        <v>0</v>
      </c>
      <c r="AX189" s="208">
        <v>0</v>
      </c>
      <c r="AY189" s="208">
        <v>0</v>
      </c>
      <c r="AZ189" s="208">
        <v>0</v>
      </c>
      <c r="BA189" s="208">
        <v>0</v>
      </c>
      <c r="BB189" s="208">
        <v>0</v>
      </c>
      <c r="BC189" s="208">
        <v>0</v>
      </c>
      <c r="BD189" s="208">
        <v>0</v>
      </c>
      <c r="BE189" s="208">
        <v>0</v>
      </c>
      <c r="BF189" s="208">
        <v>0</v>
      </c>
      <c r="BG189" s="208">
        <v>0</v>
      </c>
      <c r="BH189" s="208">
        <v>0</v>
      </c>
      <c r="BI189" s="208">
        <v>0</v>
      </c>
      <c r="BJ189" s="208">
        <v>0</v>
      </c>
      <c r="BK189" s="208">
        <v>0</v>
      </c>
      <c r="BL189" s="208">
        <v>0</v>
      </c>
      <c r="BM189" s="208">
        <v>0</v>
      </c>
      <c r="BN189" s="208">
        <v>0</v>
      </c>
      <c r="BO189" s="208">
        <v>3906787.803576875</v>
      </c>
      <c r="BP189" s="208">
        <v>0</v>
      </c>
      <c r="BQ189" s="208">
        <v>39400.008685625005</v>
      </c>
      <c r="BR189" s="208">
        <v>36620</v>
      </c>
      <c r="BS189" s="208">
        <v>0</v>
      </c>
      <c r="BT189" s="208">
        <v>365</v>
      </c>
      <c r="BU189" s="208">
        <v>3651001</v>
      </c>
      <c r="BV189" s="208">
        <v>0</v>
      </c>
      <c r="BW189" s="208">
        <v>36815</v>
      </c>
      <c r="BX189" s="208">
        <v>292407</v>
      </c>
      <c r="BY189" s="208">
        <v>0</v>
      </c>
      <c r="BZ189" s="208">
        <v>2950</v>
      </c>
      <c r="CA189" s="208">
        <v>27239.268375</v>
      </c>
      <c r="CB189" s="208">
        <v>0</v>
      </c>
      <c r="CC189" s="208">
        <v>275.14412499999997</v>
      </c>
      <c r="CD189" s="208">
        <v>8548</v>
      </c>
      <c r="CE189" s="208">
        <v>0</v>
      </c>
      <c r="CF189" s="208">
        <v>86</v>
      </c>
      <c r="CG189" s="208">
        <v>18691</v>
      </c>
      <c r="CH189" s="208">
        <v>0</v>
      </c>
      <c r="CI189" s="208">
        <v>189</v>
      </c>
      <c r="CJ189" s="208">
        <v>0</v>
      </c>
      <c r="CK189" s="208">
        <v>0</v>
      </c>
      <c r="CL189" s="208">
        <v>0</v>
      </c>
      <c r="CM189" s="208">
        <v>-834.45449999999994</v>
      </c>
      <c r="CN189" s="208">
        <v>0</v>
      </c>
      <c r="CO189" s="208">
        <v>-8.4288333333333334</v>
      </c>
      <c r="CP189" s="208">
        <v>920.5329375</v>
      </c>
      <c r="CQ189" s="208">
        <v>0</v>
      </c>
      <c r="CR189" s="208">
        <v>9.2983124999999998</v>
      </c>
      <c r="CS189" s="208">
        <v>-5586.9969374999991</v>
      </c>
      <c r="CT189" s="208">
        <v>0</v>
      </c>
      <c r="CU189" s="208">
        <v>-56.434312499999997</v>
      </c>
      <c r="CV189" s="208">
        <v>0</v>
      </c>
      <c r="CW189" s="208">
        <v>0</v>
      </c>
      <c r="CX189" s="208">
        <v>0</v>
      </c>
      <c r="CY189" s="208">
        <v>-5587</v>
      </c>
      <c r="CZ189" s="208">
        <v>0</v>
      </c>
      <c r="DA189" s="208">
        <v>-56</v>
      </c>
      <c r="DB189" s="208">
        <v>0</v>
      </c>
      <c r="DC189" s="208">
        <v>0</v>
      </c>
      <c r="DD189" s="208">
        <v>0</v>
      </c>
      <c r="DE189" s="208">
        <v>12694.037812499999</v>
      </c>
      <c r="DF189" s="208">
        <v>0</v>
      </c>
      <c r="DG189" s="208">
        <v>128.22260416666666</v>
      </c>
      <c r="DH189" s="208">
        <v>13413</v>
      </c>
      <c r="DI189" s="208">
        <v>0</v>
      </c>
      <c r="DJ189" s="208">
        <v>135</v>
      </c>
      <c r="DK189" s="208">
        <v>-719</v>
      </c>
      <c r="DL189" s="208">
        <v>0</v>
      </c>
      <c r="DM189" s="208">
        <v>-7</v>
      </c>
      <c r="DN189" s="208">
        <v>1619.2873124999999</v>
      </c>
      <c r="DO189" s="208">
        <v>0</v>
      </c>
      <c r="DP189" s="208">
        <v>16.356437499999998</v>
      </c>
      <c r="DQ189" s="208">
        <v>1519</v>
      </c>
      <c r="DR189" s="208">
        <v>0</v>
      </c>
      <c r="DS189" s="208">
        <v>15</v>
      </c>
      <c r="DT189" s="208">
        <v>100</v>
      </c>
      <c r="DU189" s="208">
        <v>0</v>
      </c>
      <c r="DV189" s="208">
        <v>1</v>
      </c>
      <c r="DW189" s="208">
        <v>32331.061125</v>
      </c>
      <c r="DX189" s="208">
        <v>0</v>
      </c>
      <c r="DY189" s="208">
        <v>326.57637499999998</v>
      </c>
      <c r="DZ189" s="208">
        <v>31153</v>
      </c>
      <c r="EA189" s="208">
        <v>0</v>
      </c>
      <c r="EB189" s="208">
        <v>315</v>
      </c>
      <c r="EC189" s="208">
        <v>1178</v>
      </c>
      <c r="ED189" s="208">
        <v>0</v>
      </c>
      <c r="EE189" s="208">
        <v>12</v>
      </c>
      <c r="EF189" s="208">
        <v>132858.52387500001</v>
      </c>
      <c r="EG189" s="208">
        <v>0</v>
      </c>
      <c r="EH189" s="208">
        <v>1342.0052916666668</v>
      </c>
      <c r="EI189" s="208">
        <v>-2065.8825000000002</v>
      </c>
      <c r="EJ189" s="208">
        <v>0</v>
      </c>
      <c r="EK189" s="208">
        <v>-20.8675</v>
      </c>
      <c r="EL189" s="208">
        <v>137726</v>
      </c>
      <c r="EM189" s="208">
        <v>0</v>
      </c>
      <c r="EN189" s="208">
        <v>1391</v>
      </c>
      <c r="EO189" s="208">
        <v>-6933</v>
      </c>
      <c r="EP189" s="208">
        <v>0</v>
      </c>
      <c r="EQ189" s="208">
        <v>-70</v>
      </c>
      <c r="ER189" s="208">
        <v>53999.535562499994</v>
      </c>
      <c r="ES189" s="208">
        <v>0</v>
      </c>
      <c r="ET189" s="208">
        <v>545.44985416666668</v>
      </c>
      <c r="EU189" s="208">
        <v>61774</v>
      </c>
      <c r="EV189" s="208">
        <v>0</v>
      </c>
      <c r="EW189" s="208">
        <v>624</v>
      </c>
      <c r="EX189" s="208">
        <v>-7774</v>
      </c>
      <c r="EY189" s="208">
        <v>0</v>
      </c>
      <c r="EZ189" s="208">
        <v>-79</v>
      </c>
      <c r="FA189" s="208">
        <v>0</v>
      </c>
      <c r="FB189" s="208">
        <v>0</v>
      </c>
      <c r="FC189" s="208">
        <v>0</v>
      </c>
      <c r="FD189" s="208">
        <v>0</v>
      </c>
      <c r="FE189" s="208">
        <v>0</v>
      </c>
      <c r="FF189" s="208">
        <v>0</v>
      </c>
      <c r="FG189" s="208">
        <v>0</v>
      </c>
      <c r="FH189" s="208">
        <v>0</v>
      </c>
      <c r="FI189" s="208">
        <v>0</v>
      </c>
      <c r="FJ189" s="208">
        <v>1946231.4526874998</v>
      </c>
      <c r="FK189" s="208">
        <v>0</v>
      </c>
      <c r="FL189" s="208">
        <v>18769.107729166666</v>
      </c>
      <c r="FM189" s="208">
        <v>1815441</v>
      </c>
      <c r="FN189" s="208">
        <v>0</v>
      </c>
      <c r="FO189" s="208">
        <v>17417</v>
      </c>
      <c r="FP189" s="208">
        <v>130790</v>
      </c>
      <c r="FQ189" s="208">
        <v>0</v>
      </c>
      <c r="FR189" s="208">
        <v>1352</v>
      </c>
      <c r="FS189" s="208">
        <v>137786.875</v>
      </c>
      <c r="FT189" s="208">
        <v>0</v>
      </c>
      <c r="FU189" s="208">
        <v>0</v>
      </c>
      <c r="FV189" s="208">
        <v>22283</v>
      </c>
      <c r="FW189" s="208">
        <v>0</v>
      </c>
      <c r="FX189" s="208">
        <v>0</v>
      </c>
      <c r="FY189" s="208">
        <v>115504</v>
      </c>
      <c r="FZ189" s="208">
        <v>0</v>
      </c>
      <c r="GA189" s="208">
        <v>0</v>
      </c>
      <c r="GB189" s="208">
        <v>6280602</v>
      </c>
      <c r="GC189" s="208">
        <v>0</v>
      </c>
      <c r="GD189" s="208">
        <v>61091</v>
      </c>
      <c r="GE189" s="664">
        <v>0</v>
      </c>
      <c r="GF189" s="664">
        <v>0.99</v>
      </c>
      <c r="GG189" s="664">
        <v>0</v>
      </c>
      <c r="GH189" s="664">
        <v>0.01</v>
      </c>
      <c r="GI189" s="187" t="s">
        <v>742</v>
      </c>
    </row>
    <row r="190" spans="1:191" s="187" customFormat="1" x14ac:dyDescent="0.2">
      <c r="B190" s="429" t="s">
        <v>457</v>
      </c>
      <c r="C190" s="429" t="s">
        <v>456</v>
      </c>
      <c r="D190" s="208">
        <v>1870973</v>
      </c>
      <c r="E190" s="208">
        <v>55217</v>
      </c>
      <c r="F190" s="208">
        <v>1926190</v>
      </c>
      <c r="G190" s="208">
        <v>1925273</v>
      </c>
      <c r="H190" s="208">
        <v>41329</v>
      </c>
      <c r="I190" s="208">
        <v>1966602</v>
      </c>
      <c r="J190" s="208">
        <v>-54300</v>
      </c>
      <c r="K190" s="208">
        <v>13888</v>
      </c>
      <c r="L190" s="208">
        <v>-40412</v>
      </c>
      <c r="M190" s="208">
        <v>248290</v>
      </c>
      <c r="N190" s="208">
        <v>248290</v>
      </c>
      <c r="O190" s="208">
        <v>0</v>
      </c>
      <c r="P190" s="208">
        <v>61392</v>
      </c>
      <c r="Q190" s="208">
        <v>41329</v>
      </c>
      <c r="R190" s="208">
        <v>20063</v>
      </c>
      <c r="S190" s="208">
        <v>623732</v>
      </c>
      <c r="T190" s="208">
        <v>0</v>
      </c>
      <c r="U190" s="208">
        <v>641166</v>
      </c>
      <c r="V190" s="208">
        <v>0</v>
      </c>
      <c r="W190" s="208">
        <v>-17434</v>
      </c>
      <c r="X190" s="208">
        <v>0</v>
      </c>
      <c r="Y190" s="208">
        <v>0</v>
      </c>
      <c r="Z190" s="208">
        <v>0</v>
      </c>
      <c r="AA190" s="208">
        <v>0</v>
      </c>
      <c r="AB190" s="208">
        <v>0</v>
      </c>
      <c r="AC190" s="208">
        <v>0</v>
      </c>
      <c r="AD190" s="208">
        <v>0</v>
      </c>
      <c r="AE190" s="208">
        <v>0</v>
      </c>
      <c r="AF190" s="208">
        <v>0</v>
      </c>
      <c r="AG190" s="208">
        <v>0</v>
      </c>
      <c r="AH190" s="208">
        <v>202138</v>
      </c>
      <c r="AI190" s="208">
        <v>202137.53958333333</v>
      </c>
      <c r="AJ190" s="208">
        <v>0</v>
      </c>
      <c r="AK190" s="208">
        <v>0</v>
      </c>
      <c r="AL190" s="208">
        <v>196806</v>
      </c>
      <c r="AM190" s="208">
        <v>196806</v>
      </c>
      <c r="AN190" s="208">
        <v>0</v>
      </c>
      <c r="AO190" s="208">
        <v>0</v>
      </c>
      <c r="AP190" s="208">
        <v>5332</v>
      </c>
      <c r="AQ190" s="208">
        <v>5332</v>
      </c>
      <c r="AR190" s="208">
        <v>0</v>
      </c>
      <c r="AS190" s="208">
        <v>0</v>
      </c>
      <c r="AT190" s="208">
        <v>0</v>
      </c>
      <c r="AU190" s="208">
        <v>0</v>
      </c>
      <c r="AV190" s="208">
        <v>0</v>
      </c>
      <c r="AW190" s="208">
        <v>0</v>
      </c>
      <c r="AX190" s="208">
        <v>0</v>
      </c>
      <c r="AY190" s="208">
        <v>0</v>
      </c>
      <c r="AZ190" s="208">
        <v>0</v>
      </c>
      <c r="BA190" s="208">
        <v>0</v>
      </c>
      <c r="BB190" s="208">
        <v>0</v>
      </c>
      <c r="BC190" s="208">
        <v>0</v>
      </c>
      <c r="BD190" s="208">
        <v>0</v>
      </c>
      <c r="BE190" s="208">
        <v>0</v>
      </c>
      <c r="BF190" s="208">
        <v>0</v>
      </c>
      <c r="BG190" s="208">
        <v>0</v>
      </c>
      <c r="BH190" s="208">
        <v>0</v>
      </c>
      <c r="BI190" s="208">
        <v>0</v>
      </c>
      <c r="BJ190" s="208">
        <v>0</v>
      </c>
      <c r="BK190" s="208">
        <v>0</v>
      </c>
      <c r="BL190" s="208">
        <v>0</v>
      </c>
      <c r="BM190" s="208">
        <v>0</v>
      </c>
      <c r="BN190" s="208">
        <v>0</v>
      </c>
      <c r="BO190" s="208">
        <v>1873794.1387583334</v>
      </c>
      <c r="BP190" s="208">
        <v>459313.63312708336</v>
      </c>
      <c r="BQ190" s="208">
        <v>0</v>
      </c>
      <c r="BR190" s="208">
        <v>70609</v>
      </c>
      <c r="BS190" s="208">
        <v>17001</v>
      </c>
      <c r="BT190" s="208">
        <v>0</v>
      </c>
      <c r="BU190" s="208">
        <v>1666910</v>
      </c>
      <c r="BV190" s="208">
        <v>410271</v>
      </c>
      <c r="BW190" s="208">
        <v>0</v>
      </c>
      <c r="BX190" s="208">
        <v>277493</v>
      </c>
      <c r="BY190" s="208">
        <v>66044</v>
      </c>
      <c r="BZ190" s="208">
        <v>0</v>
      </c>
      <c r="CA190" s="208">
        <v>3161.6308333333336</v>
      </c>
      <c r="CB190" s="208">
        <v>790.4077083333334</v>
      </c>
      <c r="CC190" s="208">
        <v>0</v>
      </c>
      <c r="CD190" s="208">
        <v>795</v>
      </c>
      <c r="CE190" s="208">
        <v>199</v>
      </c>
      <c r="CF190" s="208">
        <v>0</v>
      </c>
      <c r="CG190" s="208">
        <v>2367</v>
      </c>
      <c r="CH190" s="208">
        <v>591</v>
      </c>
      <c r="CI190" s="208">
        <v>0</v>
      </c>
      <c r="CJ190" s="208">
        <v>0</v>
      </c>
      <c r="CK190" s="208">
        <v>0</v>
      </c>
      <c r="CL190" s="208">
        <v>0</v>
      </c>
      <c r="CM190" s="208">
        <v>-417.75916666666666</v>
      </c>
      <c r="CN190" s="208">
        <v>-104.43979166666666</v>
      </c>
      <c r="CO190" s="208">
        <v>0</v>
      </c>
      <c r="CP190" s="208">
        <v>-994.68416666666678</v>
      </c>
      <c r="CQ190" s="208">
        <v>-248.6710416666667</v>
      </c>
      <c r="CR190" s="208">
        <v>0</v>
      </c>
      <c r="CS190" s="208">
        <v>-99.018333333333331</v>
      </c>
      <c r="CT190" s="208">
        <v>-24.754583333333333</v>
      </c>
      <c r="CU190" s="208">
        <v>0</v>
      </c>
      <c r="CV190" s="208">
        <v>0</v>
      </c>
      <c r="CW190" s="208">
        <v>0</v>
      </c>
      <c r="CX190" s="208">
        <v>0</v>
      </c>
      <c r="CY190" s="208">
        <v>-99</v>
      </c>
      <c r="CZ190" s="208">
        <v>-25</v>
      </c>
      <c r="DA190" s="208">
        <v>0</v>
      </c>
      <c r="DB190" s="208">
        <v>-1267.5983333333334</v>
      </c>
      <c r="DC190" s="208">
        <v>-316.89958333333334</v>
      </c>
      <c r="DD190" s="208">
        <v>0</v>
      </c>
      <c r="DE190" s="208">
        <v>32597.489999999998</v>
      </c>
      <c r="DF190" s="208">
        <v>8149.3724999999995</v>
      </c>
      <c r="DG190" s="208">
        <v>0</v>
      </c>
      <c r="DH190" s="208">
        <v>29912</v>
      </c>
      <c r="DI190" s="208">
        <v>7478</v>
      </c>
      <c r="DJ190" s="208">
        <v>0</v>
      </c>
      <c r="DK190" s="208">
        <v>2685</v>
      </c>
      <c r="DL190" s="208">
        <v>671</v>
      </c>
      <c r="DM190" s="208">
        <v>0</v>
      </c>
      <c r="DN190" s="208">
        <v>613.75</v>
      </c>
      <c r="DO190" s="208">
        <v>153.4375</v>
      </c>
      <c r="DP190" s="208">
        <v>0</v>
      </c>
      <c r="DQ190" s="208">
        <v>0</v>
      </c>
      <c r="DR190" s="208">
        <v>0</v>
      </c>
      <c r="DS190" s="208">
        <v>0</v>
      </c>
      <c r="DT190" s="208">
        <v>614</v>
      </c>
      <c r="DU190" s="208">
        <v>153</v>
      </c>
      <c r="DV190" s="208">
        <v>0</v>
      </c>
      <c r="DW190" s="208">
        <v>34693.241666666661</v>
      </c>
      <c r="DX190" s="208">
        <v>8673.3104166666653</v>
      </c>
      <c r="DY190" s="208">
        <v>0</v>
      </c>
      <c r="DZ190" s="208">
        <v>38126</v>
      </c>
      <c r="EA190" s="208">
        <v>9531</v>
      </c>
      <c r="EB190" s="208">
        <v>0</v>
      </c>
      <c r="EC190" s="208">
        <v>-3433</v>
      </c>
      <c r="ED190" s="208">
        <v>-858</v>
      </c>
      <c r="EE190" s="208">
        <v>0</v>
      </c>
      <c r="EF190" s="208">
        <v>104828.09083333334</v>
      </c>
      <c r="EG190" s="208">
        <v>26207.022708333334</v>
      </c>
      <c r="EH190" s="208">
        <v>0</v>
      </c>
      <c r="EI190" s="208">
        <v>-9444.3850000000002</v>
      </c>
      <c r="EJ190" s="208">
        <v>-2361.0962500000001</v>
      </c>
      <c r="EK190" s="208">
        <v>0</v>
      </c>
      <c r="EL190" s="208">
        <v>104746</v>
      </c>
      <c r="EM190" s="208">
        <v>26187</v>
      </c>
      <c r="EN190" s="208">
        <v>0</v>
      </c>
      <c r="EO190" s="208">
        <v>-9362</v>
      </c>
      <c r="EP190" s="208">
        <v>-2341</v>
      </c>
      <c r="EQ190" s="208">
        <v>0</v>
      </c>
      <c r="ER190" s="208">
        <v>22722.661666666667</v>
      </c>
      <c r="ES190" s="208">
        <v>5680.6654166666667</v>
      </c>
      <c r="ET190" s="208">
        <v>0</v>
      </c>
      <c r="EU190" s="208">
        <v>27823</v>
      </c>
      <c r="EV190" s="208">
        <v>6956</v>
      </c>
      <c r="EW190" s="208">
        <v>0</v>
      </c>
      <c r="EX190" s="208">
        <v>-5100</v>
      </c>
      <c r="EY190" s="208">
        <v>-1275</v>
      </c>
      <c r="EZ190" s="208">
        <v>0</v>
      </c>
      <c r="FA190" s="208">
        <v>0</v>
      </c>
      <c r="FB190" s="208">
        <v>0</v>
      </c>
      <c r="FC190" s="208">
        <v>0</v>
      </c>
      <c r="FD190" s="208">
        <v>0</v>
      </c>
      <c r="FE190" s="208">
        <v>0</v>
      </c>
      <c r="FF190" s="208">
        <v>0</v>
      </c>
      <c r="FG190" s="208">
        <v>0</v>
      </c>
      <c r="FH190" s="208">
        <v>0</v>
      </c>
      <c r="FI190" s="208">
        <v>0</v>
      </c>
      <c r="FJ190" s="208">
        <v>258901.75666666668</v>
      </c>
      <c r="FK190" s="208">
        <v>60800.249583333338</v>
      </c>
      <c r="FL190" s="208">
        <v>0</v>
      </c>
      <c r="FM190" s="208">
        <v>249648</v>
      </c>
      <c r="FN190" s="208">
        <v>57374</v>
      </c>
      <c r="FO190" s="208">
        <v>0</v>
      </c>
      <c r="FP190" s="208">
        <v>9254</v>
      </c>
      <c r="FQ190" s="208">
        <v>3426</v>
      </c>
      <c r="FR190" s="208">
        <v>0</v>
      </c>
      <c r="FS190" s="208">
        <v>0</v>
      </c>
      <c r="FT190" s="208">
        <v>0</v>
      </c>
      <c r="FU190" s="208">
        <v>0</v>
      </c>
      <c r="FV190" s="208">
        <v>0</v>
      </c>
      <c r="FW190" s="208">
        <v>0</v>
      </c>
      <c r="FX190" s="208">
        <v>0</v>
      </c>
      <c r="FY190" s="208">
        <v>0</v>
      </c>
      <c r="FZ190" s="208">
        <v>0</v>
      </c>
      <c r="GA190" s="208">
        <v>0</v>
      </c>
      <c r="GB190" s="208">
        <v>2389698</v>
      </c>
      <c r="GC190" s="208">
        <v>583712</v>
      </c>
      <c r="GD190" s="208">
        <v>0</v>
      </c>
      <c r="GE190" s="664">
        <v>0.5</v>
      </c>
      <c r="GF190" s="664">
        <v>0.4</v>
      </c>
      <c r="GG190" s="664">
        <v>0.1</v>
      </c>
      <c r="GH190" s="664">
        <v>0</v>
      </c>
      <c r="GI190" s="187" t="s">
        <v>1054</v>
      </c>
    </row>
    <row r="191" spans="1:191" s="187" customFormat="1" x14ac:dyDescent="0.2">
      <c r="B191" s="429" t="s">
        <v>459</v>
      </c>
      <c r="C191" s="429" t="s">
        <v>458</v>
      </c>
      <c r="D191" s="208">
        <v>-640894</v>
      </c>
      <c r="E191" s="208">
        <v>-75332</v>
      </c>
      <c r="F191" s="208">
        <v>-716226</v>
      </c>
      <c r="G191" s="208">
        <v>-516919</v>
      </c>
      <c r="H191" s="208">
        <v>-83082</v>
      </c>
      <c r="I191" s="208">
        <v>-600001</v>
      </c>
      <c r="J191" s="208">
        <v>-123975</v>
      </c>
      <c r="K191" s="208">
        <v>7750</v>
      </c>
      <c r="L191" s="208">
        <v>-116225</v>
      </c>
      <c r="M191" s="208">
        <v>261652</v>
      </c>
      <c r="N191" s="208">
        <v>261652</v>
      </c>
      <c r="O191" s="208">
        <v>0</v>
      </c>
      <c r="P191" s="208">
        <v>525181</v>
      </c>
      <c r="Q191" s="208">
        <v>581805</v>
      </c>
      <c r="R191" s="208">
        <v>-56624</v>
      </c>
      <c r="S191" s="208">
        <v>103713</v>
      </c>
      <c r="T191" s="208">
        <v>0</v>
      </c>
      <c r="U191" s="208">
        <v>86880</v>
      </c>
      <c r="V191" s="208">
        <v>0</v>
      </c>
      <c r="W191" s="208">
        <v>16833</v>
      </c>
      <c r="X191" s="208">
        <v>0</v>
      </c>
      <c r="Y191" s="208">
        <v>0</v>
      </c>
      <c r="Z191" s="208">
        <v>0</v>
      </c>
      <c r="AA191" s="208">
        <v>0</v>
      </c>
      <c r="AB191" s="208">
        <v>0</v>
      </c>
      <c r="AC191" s="208">
        <v>0</v>
      </c>
      <c r="AD191" s="208">
        <v>0</v>
      </c>
      <c r="AE191" s="208">
        <v>0</v>
      </c>
      <c r="AF191" s="208">
        <v>0</v>
      </c>
      <c r="AG191" s="208">
        <v>0</v>
      </c>
      <c r="AH191" s="208">
        <v>0</v>
      </c>
      <c r="AI191" s="208">
        <v>0</v>
      </c>
      <c r="AJ191" s="208">
        <v>0</v>
      </c>
      <c r="AK191" s="208">
        <v>0</v>
      </c>
      <c r="AL191" s="208">
        <v>0</v>
      </c>
      <c r="AM191" s="208">
        <v>0</v>
      </c>
      <c r="AN191" s="208">
        <v>0</v>
      </c>
      <c r="AO191" s="208">
        <v>0</v>
      </c>
      <c r="AP191" s="208">
        <v>0</v>
      </c>
      <c r="AQ191" s="208">
        <v>0</v>
      </c>
      <c r="AR191" s="208">
        <v>0</v>
      </c>
      <c r="AS191" s="208">
        <v>0</v>
      </c>
      <c r="AT191" s="208">
        <v>0</v>
      </c>
      <c r="AU191" s="208">
        <v>0</v>
      </c>
      <c r="AV191" s="208">
        <v>0</v>
      </c>
      <c r="AW191" s="208">
        <v>0</v>
      </c>
      <c r="AX191" s="208">
        <v>0</v>
      </c>
      <c r="AY191" s="208">
        <v>0</v>
      </c>
      <c r="AZ191" s="208">
        <v>0</v>
      </c>
      <c r="BA191" s="208">
        <v>0</v>
      </c>
      <c r="BB191" s="208">
        <v>0</v>
      </c>
      <c r="BC191" s="208">
        <v>0</v>
      </c>
      <c r="BD191" s="208">
        <v>0</v>
      </c>
      <c r="BE191" s="208">
        <v>0</v>
      </c>
      <c r="BF191" s="208">
        <v>382238</v>
      </c>
      <c r="BG191" s="208">
        <v>382238</v>
      </c>
      <c r="BH191" s="208">
        <v>874976.4</v>
      </c>
      <c r="BI191" s="208">
        <v>874976.4</v>
      </c>
      <c r="BJ191" s="208">
        <v>-492738</v>
      </c>
      <c r="BK191" s="208">
        <v>-492738</v>
      </c>
      <c r="BL191" s="208">
        <v>0</v>
      </c>
      <c r="BM191" s="208">
        <v>0</v>
      </c>
      <c r="BN191" s="208">
        <v>0</v>
      </c>
      <c r="BO191" s="208">
        <v>2456633.2547894996</v>
      </c>
      <c r="BP191" s="208">
        <v>0</v>
      </c>
      <c r="BQ191" s="208">
        <v>49042.797927166663</v>
      </c>
      <c r="BR191" s="208">
        <v>147433</v>
      </c>
      <c r="BS191" s="208">
        <v>0</v>
      </c>
      <c r="BT191" s="208">
        <v>2952</v>
      </c>
      <c r="BU191" s="208">
        <v>2298815</v>
      </c>
      <c r="BV191" s="208">
        <v>0</v>
      </c>
      <c r="BW191" s="208">
        <v>45960</v>
      </c>
      <c r="BX191" s="208">
        <v>305251</v>
      </c>
      <c r="BY191" s="208">
        <v>0</v>
      </c>
      <c r="BZ191" s="208">
        <v>6035</v>
      </c>
      <c r="CA191" s="208">
        <v>10634.579229166666</v>
      </c>
      <c r="CB191" s="208">
        <v>0</v>
      </c>
      <c r="CC191" s="208">
        <v>217.03222916666667</v>
      </c>
      <c r="CD191" s="208">
        <v>3517</v>
      </c>
      <c r="CE191" s="208">
        <v>0</v>
      </c>
      <c r="CF191" s="208">
        <v>72</v>
      </c>
      <c r="CG191" s="208">
        <v>7118</v>
      </c>
      <c r="CH191" s="208">
        <v>0</v>
      </c>
      <c r="CI191" s="208">
        <v>145</v>
      </c>
      <c r="CJ191" s="208">
        <v>0</v>
      </c>
      <c r="CK191" s="208">
        <v>0</v>
      </c>
      <c r="CL191" s="208">
        <v>0</v>
      </c>
      <c r="CM191" s="208">
        <v>0</v>
      </c>
      <c r="CN191" s="208">
        <v>0</v>
      </c>
      <c r="CO191" s="208">
        <v>0</v>
      </c>
      <c r="CP191" s="208">
        <v>270.1625208333333</v>
      </c>
      <c r="CQ191" s="208">
        <v>0</v>
      </c>
      <c r="CR191" s="208">
        <v>5.5135208333333336</v>
      </c>
      <c r="CS191" s="208">
        <v>0</v>
      </c>
      <c r="CT191" s="208">
        <v>0</v>
      </c>
      <c r="CU191" s="208">
        <v>0</v>
      </c>
      <c r="CV191" s="208">
        <v>0</v>
      </c>
      <c r="CW191" s="208">
        <v>0</v>
      </c>
      <c r="CX191" s="208">
        <v>0</v>
      </c>
      <c r="CY191" s="208">
        <v>0</v>
      </c>
      <c r="CZ191" s="208">
        <v>0</v>
      </c>
      <c r="DA191" s="208">
        <v>0</v>
      </c>
      <c r="DB191" s="208">
        <v>0</v>
      </c>
      <c r="DC191" s="208">
        <v>0</v>
      </c>
      <c r="DD191" s="208">
        <v>0</v>
      </c>
      <c r="DE191" s="208">
        <v>4705.0381874999994</v>
      </c>
      <c r="DF191" s="208">
        <v>0</v>
      </c>
      <c r="DG191" s="208">
        <v>96.021187499999996</v>
      </c>
      <c r="DH191" s="208">
        <v>0</v>
      </c>
      <c r="DI191" s="208">
        <v>0</v>
      </c>
      <c r="DJ191" s="208">
        <v>0</v>
      </c>
      <c r="DK191" s="208">
        <v>4705</v>
      </c>
      <c r="DL191" s="208">
        <v>0</v>
      </c>
      <c r="DM191" s="208">
        <v>96</v>
      </c>
      <c r="DN191" s="208">
        <v>751.84375</v>
      </c>
      <c r="DO191" s="208">
        <v>0</v>
      </c>
      <c r="DP191" s="208">
        <v>15.34375</v>
      </c>
      <c r="DQ191" s="208">
        <v>752</v>
      </c>
      <c r="DR191" s="208">
        <v>0</v>
      </c>
      <c r="DS191" s="208">
        <v>15</v>
      </c>
      <c r="DT191" s="208">
        <v>0</v>
      </c>
      <c r="DU191" s="208">
        <v>0</v>
      </c>
      <c r="DV191" s="208">
        <v>0</v>
      </c>
      <c r="DW191" s="208">
        <v>13044.489062500001</v>
      </c>
      <c r="DX191" s="208">
        <v>0</v>
      </c>
      <c r="DY191" s="208">
        <v>266.21406250000001</v>
      </c>
      <c r="DZ191" s="208">
        <v>7887</v>
      </c>
      <c r="EA191" s="208">
        <v>0</v>
      </c>
      <c r="EB191" s="208">
        <v>153</v>
      </c>
      <c r="EC191" s="208">
        <v>5157</v>
      </c>
      <c r="ED191" s="208">
        <v>0</v>
      </c>
      <c r="EE191" s="208">
        <v>113</v>
      </c>
      <c r="EF191" s="208">
        <v>64827.63016666667</v>
      </c>
      <c r="EG191" s="208">
        <v>0</v>
      </c>
      <c r="EH191" s="208">
        <v>1300.8635833333335</v>
      </c>
      <c r="EI191" s="208">
        <v>-1110.7238333333332</v>
      </c>
      <c r="EJ191" s="208">
        <v>0</v>
      </c>
      <c r="EK191" s="208">
        <v>-22.667833333333334</v>
      </c>
      <c r="EL191" s="208">
        <v>71043</v>
      </c>
      <c r="EM191" s="208">
        <v>0</v>
      </c>
      <c r="EN191" s="208">
        <v>1450</v>
      </c>
      <c r="EO191" s="208">
        <v>-7326</v>
      </c>
      <c r="EP191" s="208">
        <v>0</v>
      </c>
      <c r="EQ191" s="208">
        <v>-172</v>
      </c>
      <c r="ER191" s="208">
        <v>27313.982208333335</v>
      </c>
      <c r="ES191" s="208">
        <v>0</v>
      </c>
      <c r="ET191" s="208">
        <v>557.42820833333337</v>
      </c>
      <c r="EU191" s="208">
        <v>28019</v>
      </c>
      <c r="EV191" s="208">
        <v>0</v>
      </c>
      <c r="EW191" s="208">
        <v>572</v>
      </c>
      <c r="EX191" s="208">
        <v>-705</v>
      </c>
      <c r="EY191" s="208">
        <v>0</v>
      </c>
      <c r="EZ191" s="208">
        <v>-15</v>
      </c>
      <c r="FA191" s="208">
        <v>0</v>
      </c>
      <c r="FB191" s="208">
        <v>0</v>
      </c>
      <c r="FC191" s="208">
        <v>0</v>
      </c>
      <c r="FD191" s="208">
        <v>0</v>
      </c>
      <c r="FE191" s="208">
        <v>0</v>
      </c>
      <c r="FF191" s="208">
        <v>0</v>
      </c>
      <c r="FG191" s="208">
        <v>0</v>
      </c>
      <c r="FH191" s="208">
        <v>0</v>
      </c>
      <c r="FI191" s="208">
        <v>0</v>
      </c>
      <c r="FJ191" s="208">
        <v>681964.48741666658</v>
      </c>
      <c r="FK191" s="208">
        <v>0</v>
      </c>
      <c r="FL191" s="208">
        <v>13269.486541666665</v>
      </c>
      <c r="FM191" s="208">
        <v>704779</v>
      </c>
      <c r="FN191" s="208">
        <v>0</v>
      </c>
      <c r="FO191" s="208">
        <v>13661</v>
      </c>
      <c r="FP191" s="208">
        <v>-22815</v>
      </c>
      <c r="FQ191" s="208">
        <v>0</v>
      </c>
      <c r="FR191" s="208">
        <v>-392</v>
      </c>
      <c r="FS191" s="208">
        <v>0</v>
      </c>
      <c r="FT191" s="208">
        <v>0</v>
      </c>
      <c r="FU191" s="208">
        <v>0</v>
      </c>
      <c r="FV191" s="208">
        <v>0</v>
      </c>
      <c r="FW191" s="208">
        <v>0</v>
      </c>
      <c r="FX191" s="208">
        <v>0</v>
      </c>
      <c r="FY191" s="208">
        <v>0</v>
      </c>
      <c r="FZ191" s="208">
        <v>0</v>
      </c>
      <c r="GA191" s="208">
        <v>0</v>
      </c>
      <c r="GB191" s="208">
        <v>3406467</v>
      </c>
      <c r="GC191" s="208">
        <v>0</v>
      </c>
      <c r="GD191" s="208">
        <v>67699</v>
      </c>
      <c r="GE191" s="664">
        <v>0.5</v>
      </c>
      <c r="GF191" s="664">
        <v>0.49</v>
      </c>
      <c r="GG191" s="664">
        <v>0</v>
      </c>
      <c r="GH191" s="664">
        <v>0.01</v>
      </c>
      <c r="GI191" s="187" t="s">
        <v>742</v>
      </c>
    </row>
    <row r="192" spans="1:191" s="187" customFormat="1" x14ac:dyDescent="0.2">
      <c r="B192" s="429" t="s">
        <v>461</v>
      </c>
      <c r="C192" s="429" t="s">
        <v>460</v>
      </c>
      <c r="D192" s="208">
        <v>-1062951</v>
      </c>
      <c r="E192" s="208">
        <v>13262</v>
      </c>
      <c r="F192" s="208">
        <v>-1049689</v>
      </c>
      <c r="G192" s="208">
        <v>-1165677</v>
      </c>
      <c r="H192" s="208">
        <v>13262</v>
      </c>
      <c r="I192" s="208">
        <v>-1152415</v>
      </c>
      <c r="J192" s="208">
        <v>102726</v>
      </c>
      <c r="K192" s="208">
        <v>0</v>
      </c>
      <c r="L192" s="208">
        <v>102726</v>
      </c>
      <c r="M192" s="208">
        <v>225430</v>
      </c>
      <c r="N192" s="208">
        <v>225430</v>
      </c>
      <c r="O192" s="208">
        <v>0</v>
      </c>
      <c r="P192" s="208">
        <v>0</v>
      </c>
      <c r="Q192" s="208">
        <v>124904</v>
      </c>
      <c r="R192" s="208">
        <v>-124904</v>
      </c>
      <c r="S192" s="208">
        <v>0</v>
      </c>
      <c r="T192" s="208">
        <v>0</v>
      </c>
      <c r="U192" s="208">
        <v>0</v>
      </c>
      <c r="V192" s="208">
        <v>0</v>
      </c>
      <c r="W192" s="208">
        <v>0</v>
      </c>
      <c r="X192" s="208">
        <v>0</v>
      </c>
      <c r="Y192" s="208">
        <v>0</v>
      </c>
      <c r="Z192" s="208">
        <v>0</v>
      </c>
      <c r="AA192" s="208">
        <v>0</v>
      </c>
      <c r="AB192" s="208">
        <v>0</v>
      </c>
      <c r="AC192" s="208">
        <v>0</v>
      </c>
      <c r="AD192" s="208">
        <v>0</v>
      </c>
      <c r="AE192" s="208">
        <v>0</v>
      </c>
      <c r="AF192" s="208">
        <v>0</v>
      </c>
      <c r="AG192" s="208">
        <v>0</v>
      </c>
      <c r="AH192" s="208">
        <v>34588</v>
      </c>
      <c r="AI192" s="208">
        <v>34587.881249999999</v>
      </c>
      <c r="AJ192" s="208">
        <v>0</v>
      </c>
      <c r="AK192" s="208">
        <v>0</v>
      </c>
      <c r="AL192" s="208">
        <v>16092</v>
      </c>
      <c r="AM192" s="208">
        <v>16092</v>
      </c>
      <c r="AN192" s="208">
        <v>0</v>
      </c>
      <c r="AO192" s="208">
        <v>0</v>
      </c>
      <c r="AP192" s="208">
        <v>18496</v>
      </c>
      <c r="AQ192" s="208">
        <v>18496</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0</v>
      </c>
      <c r="BG192" s="208">
        <v>0</v>
      </c>
      <c r="BH192" s="208">
        <v>0</v>
      </c>
      <c r="BI192" s="208">
        <v>0</v>
      </c>
      <c r="BJ192" s="208">
        <v>0</v>
      </c>
      <c r="BK192" s="208">
        <v>0</v>
      </c>
      <c r="BL192" s="208">
        <v>0</v>
      </c>
      <c r="BM192" s="208">
        <v>0</v>
      </c>
      <c r="BN192" s="208">
        <v>0</v>
      </c>
      <c r="BO192" s="208">
        <v>2165467.4121961459</v>
      </c>
      <c r="BP192" s="208">
        <v>0</v>
      </c>
      <c r="BQ192" s="208">
        <v>43950.542215312511</v>
      </c>
      <c r="BR192" s="208">
        <v>111958</v>
      </c>
      <c r="BS192" s="208">
        <v>0</v>
      </c>
      <c r="BT192" s="208">
        <v>2272</v>
      </c>
      <c r="BU192" s="208">
        <v>1943064</v>
      </c>
      <c r="BV192" s="208">
        <v>0</v>
      </c>
      <c r="BW192" s="208">
        <v>39425</v>
      </c>
      <c r="BX192" s="208">
        <v>334361</v>
      </c>
      <c r="BY192" s="208">
        <v>0</v>
      </c>
      <c r="BZ192" s="208">
        <v>6798</v>
      </c>
      <c r="CA192" s="208">
        <v>19082.796833333334</v>
      </c>
      <c r="CB192" s="208">
        <v>0</v>
      </c>
      <c r="CC192" s="208">
        <v>389.44483333333335</v>
      </c>
      <c r="CD192" s="208">
        <v>12731</v>
      </c>
      <c r="CE192" s="208">
        <v>0</v>
      </c>
      <c r="CF192" s="208">
        <v>260</v>
      </c>
      <c r="CG192" s="208">
        <v>6352</v>
      </c>
      <c r="CH192" s="208">
        <v>0</v>
      </c>
      <c r="CI192" s="208">
        <v>129</v>
      </c>
      <c r="CJ192" s="208">
        <v>0</v>
      </c>
      <c r="CK192" s="208">
        <v>0</v>
      </c>
      <c r="CL192" s="208">
        <v>0</v>
      </c>
      <c r="CM192" s="208">
        <v>-1238.5372708333332</v>
      </c>
      <c r="CN192" s="208">
        <v>0</v>
      </c>
      <c r="CO192" s="208">
        <v>-25.276270833333335</v>
      </c>
      <c r="CP192" s="208">
        <v>-525.7893958333334</v>
      </c>
      <c r="CQ192" s="208">
        <v>0</v>
      </c>
      <c r="CR192" s="208">
        <v>-10.730395833333334</v>
      </c>
      <c r="CS192" s="208">
        <v>0</v>
      </c>
      <c r="CT192" s="208">
        <v>0</v>
      </c>
      <c r="CU192" s="208">
        <v>0</v>
      </c>
      <c r="CV192" s="208">
        <v>0</v>
      </c>
      <c r="CW192" s="208">
        <v>0</v>
      </c>
      <c r="CX192" s="208">
        <v>0</v>
      </c>
      <c r="CY192" s="208">
        <v>0</v>
      </c>
      <c r="CZ192" s="208">
        <v>0</v>
      </c>
      <c r="DA192" s="208">
        <v>0</v>
      </c>
      <c r="DB192" s="208">
        <v>0</v>
      </c>
      <c r="DC192" s="208">
        <v>0</v>
      </c>
      <c r="DD192" s="208">
        <v>0</v>
      </c>
      <c r="DE192" s="208">
        <v>0</v>
      </c>
      <c r="DF192" s="208">
        <v>0</v>
      </c>
      <c r="DG192" s="208">
        <v>0</v>
      </c>
      <c r="DH192" s="208">
        <v>0</v>
      </c>
      <c r="DI192" s="208">
        <v>0</v>
      </c>
      <c r="DJ192" s="208">
        <v>0</v>
      </c>
      <c r="DK192" s="208">
        <v>0</v>
      </c>
      <c r="DL192" s="208">
        <v>0</v>
      </c>
      <c r="DM192" s="208">
        <v>0</v>
      </c>
      <c r="DN192" s="208">
        <v>0</v>
      </c>
      <c r="DO192" s="208">
        <v>0</v>
      </c>
      <c r="DP192" s="208">
        <v>0</v>
      </c>
      <c r="DQ192" s="208">
        <v>0</v>
      </c>
      <c r="DR192" s="208">
        <v>0</v>
      </c>
      <c r="DS192" s="208">
        <v>0</v>
      </c>
      <c r="DT192" s="208">
        <v>0</v>
      </c>
      <c r="DU192" s="208">
        <v>0</v>
      </c>
      <c r="DV192" s="208">
        <v>0</v>
      </c>
      <c r="DW192" s="208">
        <v>14797.788687499999</v>
      </c>
      <c r="DX192" s="208">
        <v>0</v>
      </c>
      <c r="DY192" s="208">
        <v>301.99568750000003</v>
      </c>
      <c r="DZ192" s="208">
        <v>9624</v>
      </c>
      <c r="EA192" s="208">
        <v>0</v>
      </c>
      <c r="EB192" s="208">
        <v>196</v>
      </c>
      <c r="EC192" s="208">
        <v>5174</v>
      </c>
      <c r="ED192" s="208">
        <v>0</v>
      </c>
      <c r="EE192" s="208">
        <v>106</v>
      </c>
      <c r="EF192" s="208">
        <v>70837.715666666671</v>
      </c>
      <c r="EG192" s="208">
        <v>0</v>
      </c>
      <c r="EH192" s="208">
        <v>1445.6676666666667</v>
      </c>
      <c r="EI192" s="208">
        <v>-4161.7057708333332</v>
      </c>
      <c r="EJ192" s="208">
        <v>0</v>
      </c>
      <c r="EK192" s="208">
        <v>-84.932770833333322</v>
      </c>
      <c r="EL192" s="208">
        <v>75185</v>
      </c>
      <c r="EM192" s="208">
        <v>0</v>
      </c>
      <c r="EN192" s="208">
        <v>1534</v>
      </c>
      <c r="EO192" s="208">
        <v>-8509</v>
      </c>
      <c r="EP192" s="208">
        <v>0</v>
      </c>
      <c r="EQ192" s="208">
        <v>-173</v>
      </c>
      <c r="ER192" s="208">
        <v>35405.825874999995</v>
      </c>
      <c r="ES192" s="208">
        <v>0</v>
      </c>
      <c r="ET192" s="208">
        <v>722.56787500000007</v>
      </c>
      <c r="EU192" s="208">
        <v>35086</v>
      </c>
      <c r="EV192" s="208">
        <v>0</v>
      </c>
      <c r="EW192" s="208">
        <v>716</v>
      </c>
      <c r="EX192" s="208">
        <v>320</v>
      </c>
      <c r="EY192" s="208">
        <v>0</v>
      </c>
      <c r="EZ192" s="208">
        <v>7</v>
      </c>
      <c r="FA192" s="208">
        <v>0</v>
      </c>
      <c r="FB192" s="208">
        <v>0</v>
      </c>
      <c r="FC192" s="208">
        <v>0</v>
      </c>
      <c r="FD192" s="208">
        <v>0</v>
      </c>
      <c r="FE192" s="208">
        <v>0</v>
      </c>
      <c r="FF192" s="208">
        <v>0</v>
      </c>
      <c r="FG192" s="208">
        <v>0</v>
      </c>
      <c r="FH192" s="208">
        <v>0</v>
      </c>
      <c r="FI192" s="208">
        <v>0</v>
      </c>
      <c r="FJ192" s="208">
        <v>617326.54797916661</v>
      </c>
      <c r="FK192" s="208">
        <v>0</v>
      </c>
      <c r="FL192" s="208">
        <v>12598.500979166667</v>
      </c>
      <c r="FM192" s="208">
        <v>641264</v>
      </c>
      <c r="FN192" s="208">
        <v>0</v>
      </c>
      <c r="FO192" s="208">
        <v>13021</v>
      </c>
      <c r="FP192" s="208">
        <v>-23937</v>
      </c>
      <c r="FQ192" s="208">
        <v>0</v>
      </c>
      <c r="FR192" s="208">
        <v>-422</v>
      </c>
      <c r="FS192" s="208">
        <v>0</v>
      </c>
      <c r="FT192" s="208">
        <v>0</v>
      </c>
      <c r="FU192" s="208">
        <v>0</v>
      </c>
      <c r="FV192" s="208">
        <v>0</v>
      </c>
      <c r="FW192" s="208">
        <v>0</v>
      </c>
      <c r="FX192" s="208">
        <v>0</v>
      </c>
      <c r="FY192" s="208">
        <v>0</v>
      </c>
      <c r="FZ192" s="208">
        <v>0</v>
      </c>
      <c r="GA192" s="208">
        <v>0</v>
      </c>
      <c r="GB192" s="208">
        <v>3028950</v>
      </c>
      <c r="GC192" s="208">
        <v>0</v>
      </c>
      <c r="GD192" s="208">
        <v>61561</v>
      </c>
      <c r="GE192" s="664">
        <v>0.5</v>
      </c>
      <c r="GF192" s="664">
        <v>0.49</v>
      </c>
      <c r="GG192" s="664">
        <v>0</v>
      </c>
      <c r="GH192" s="664">
        <v>0.01</v>
      </c>
      <c r="GI192" s="187" t="s">
        <v>1056</v>
      </c>
    </row>
    <row r="193" spans="1:191" s="187" customFormat="1" x14ac:dyDescent="0.2">
      <c r="A193" s="188"/>
      <c r="B193" s="429" t="s">
        <v>463</v>
      </c>
      <c r="C193" s="429" t="s">
        <v>462</v>
      </c>
      <c r="D193" s="208">
        <v>-9341</v>
      </c>
      <c r="E193" s="208">
        <v>0</v>
      </c>
      <c r="F193" s="208">
        <v>-9341</v>
      </c>
      <c r="G193" s="208">
        <v>-98347</v>
      </c>
      <c r="H193" s="208">
        <v>0</v>
      </c>
      <c r="I193" s="208">
        <v>-98347</v>
      </c>
      <c r="J193" s="208">
        <v>89006</v>
      </c>
      <c r="K193" s="208">
        <v>0</v>
      </c>
      <c r="L193" s="208">
        <v>89006</v>
      </c>
      <c r="M193" s="208">
        <v>108580</v>
      </c>
      <c r="N193" s="208">
        <v>108580</v>
      </c>
      <c r="O193" s="208">
        <v>0</v>
      </c>
      <c r="P193" s="208">
        <v>0</v>
      </c>
      <c r="Q193" s="208">
        <v>0</v>
      </c>
      <c r="R193" s="208">
        <v>0</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0</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208">
        <v>0</v>
      </c>
      <c r="BM193" s="208">
        <v>0</v>
      </c>
      <c r="BN193" s="208">
        <v>0</v>
      </c>
      <c r="BO193" s="208">
        <v>662843.01961666672</v>
      </c>
      <c r="BP193" s="208">
        <v>165710.75490416668</v>
      </c>
      <c r="BQ193" s="208">
        <v>0</v>
      </c>
      <c r="BR193" s="208">
        <v>46265</v>
      </c>
      <c r="BS193" s="208">
        <v>11566</v>
      </c>
      <c r="BT193" s="208">
        <v>0</v>
      </c>
      <c r="BU193" s="208">
        <v>634312</v>
      </c>
      <c r="BV193" s="208">
        <v>158578</v>
      </c>
      <c r="BW193" s="208">
        <v>0</v>
      </c>
      <c r="BX193" s="208">
        <v>74796</v>
      </c>
      <c r="BY193" s="208">
        <v>18699</v>
      </c>
      <c r="BZ193" s="208">
        <v>0</v>
      </c>
      <c r="CA193" s="208">
        <v>0</v>
      </c>
      <c r="CB193" s="208">
        <v>0</v>
      </c>
      <c r="CC193" s="208">
        <v>0</v>
      </c>
      <c r="CD193" s="208">
        <v>3690</v>
      </c>
      <c r="CE193" s="208">
        <v>922</v>
      </c>
      <c r="CF193" s="208">
        <v>0</v>
      </c>
      <c r="CG193" s="208">
        <v>-3690</v>
      </c>
      <c r="CH193" s="208">
        <v>-922</v>
      </c>
      <c r="CI193" s="208">
        <v>0</v>
      </c>
      <c r="CJ193" s="208">
        <v>0</v>
      </c>
      <c r="CK193" s="208">
        <v>0</v>
      </c>
      <c r="CL193" s="208">
        <v>0</v>
      </c>
      <c r="CM193" s="208">
        <v>0</v>
      </c>
      <c r="CN193" s="208">
        <v>0</v>
      </c>
      <c r="CO193" s="208">
        <v>0</v>
      </c>
      <c r="CP193" s="208">
        <v>942.31083333333345</v>
      </c>
      <c r="CQ193" s="208">
        <v>235.57770833333336</v>
      </c>
      <c r="CR193" s="208">
        <v>0</v>
      </c>
      <c r="CS193" s="208">
        <v>0</v>
      </c>
      <c r="CT193" s="208">
        <v>0</v>
      </c>
      <c r="CU193" s="208">
        <v>0</v>
      </c>
      <c r="CV193" s="208">
        <v>0</v>
      </c>
      <c r="CW193" s="208">
        <v>0</v>
      </c>
      <c r="CX193" s="208">
        <v>0</v>
      </c>
      <c r="CY193" s="208">
        <v>0</v>
      </c>
      <c r="CZ193" s="208">
        <v>0</v>
      </c>
      <c r="DA193" s="208">
        <v>0</v>
      </c>
      <c r="DB193" s="208">
        <v>0</v>
      </c>
      <c r="DC193" s="208">
        <v>0</v>
      </c>
      <c r="DD193" s="208">
        <v>0</v>
      </c>
      <c r="DE193" s="208">
        <v>4304.4333333333334</v>
      </c>
      <c r="DF193" s="208">
        <v>1076.1083333333333</v>
      </c>
      <c r="DG193" s="208">
        <v>0</v>
      </c>
      <c r="DH193" s="208">
        <v>3902</v>
      </c>
      <c r="DI193" s="208">
        <v>975</v>
      </c>
      <c r="DJ193" s="208">
        <v>0</v>
      </c>
      <c r="DK193" s="208">
        <v>402</v>
      </c>
      <c r="DL193" s="208">
        <v>101</v>
      </c>
      <c r="DM193" s="208">
        <v>0</v>
      </c>
      <c r="DN193" s="208">
        <v>0</v>
      </c>
      <c r="DO193" s="208">
        <v>0</v>
      </c>
      <c r="DP193" s="208">
        <v>0</v>
      </c>
      <c r="DQ193" s="208">
        <v>0</v>
      </c>
      <c r="DR193" s="208">
        <v>0</v>
      </c>
      <c r="DS193" s="208">
        <v>0</v>
      </c>
      <c r="DT193" s="208">
        <v>0</v>
      </c>
      <c r="DU193" s="208">
        <v>0</v>
      </c>
      <c r="DV193" s="208">
        <v>0</v>
      </c>
      <c r="DW193" s="208">
        <v>5812.2002249999996</v>
      </c>
      <c r="DX193" s="208">
        <v>1453.0500562499999</v>
      </c>
      <c r="DY193" s="208">
        <v>0</v>
      </c>
      <c r="DZ193" s="208">
        <v>2869</v>
      </c>
      <c r="EA193" s="208">
        <v>717</v>
      </c>
      <c r="EB193" s="208">
        <v>0</v>
      </c>
      <c r="EC193" s="208">
        <v>2943</v>
      </c>
      <c r="ED193" s="208">
        <v>736</v>
      </c>
      <c r="EE193" s="208">
        <v>0</v>
      </c>
      <c r="EF193" s="208">
        <v>28076.378366666668</v>
      </c>
      <c r="EG193" s="208">
        <v>7019.0945916666669</v>
      </c>
      <c r="EH193" s="208">
        <v>0</v>
      </c>
      <c r="EI193" s="208">
        <v>117.02166666666668</v>
      </c>
      <c r="EJ193" s="208">
        <v>29.255416666666669</v>
      </c>
      <c r="EK193" s="208">
        <v>0</v>
      </c>
      <c r="EL193" s="208">
        <v>30278</v>
      </c>
      <c r="EM193" s="208">
        <v>7570</v>
      </c>
      <c r="EN193" s="208">
        <v>0</v>
      </c>
      <c r="EO193" s="208">
        <v>-2085</v>
      </c>
      <c r="EP193" s="208">
        <v>-522</v>
      </c>
      <c r="EQ193" s="208">
        <v>0</v>
      </c>
      <c r="ER193" s="208">
        <v>16815.309733333335</v>
      </c>
      <c r="ES193" s="208">
        <v>4203.8274333333338</v>
      </c>
      <c r="ET193" s="208">
        <v>0</v>
      </c>
      <c r="EU193" s="208">
        <v>19486</v>
      </c>
      <c r="EV193" s="208">
        <v>4871</v>
      </c>
      <c r="EW193" s="208">
        <v>0</v>
      </c>
      <c r="EX193" s="208">
        <v>-2671</v>
      </c>
      <c r="EY193" s="208">
        <v>-667</v>
      </c>
      <c r="EZ193" s="208">
        <v>0</v>
      </c>
      <c r="FA193" s="208">
        <v>0</v>
      </c>
      <c r="FB193" s="208">
        <v>0</v>
      </c>
      <c r="FC193" s="208">
        <v>0</v>
      </c>
      <c r="FD193" s="208">
        <v>0</v>
      </c>
      <c r="FE193" s="208">
        <v>0</v>
      </c>
      <c r="FF193" s="208">
        <v>0</v>
      </c>
      <c r="FG193" s="208">
        <v>0</v>
      </c>
      <c r="FH193" s="208">
        <v>0</v>
      </c>
      <c r="FI193" s="208">
        <v>0</v>
      </c>
      <c r="FJ193" s="208">
        <v>491932.71416666667</v>
      </c>
      <c r="FK193" s="208">
        <v>122983.17854166667</v>
      </c>
      <c r="FL193" s="208">
        <v>0</v>
      </c>
      <c r="FM193" s="208">
        <v>423161</v>
      </c>
      <c r="FN193" s="208">
        <v>105790</v>
      </c>
      <c r="FO193" s="208">
        <v>0</v>
      </c>
      <c r="FP193" s="208">
        <v>68772</v>
      </c>
      <c r="FQ193" s="208">
        <v>17193</v>
      </c>
      <c r="FR193" s="208">
        <v>0</v>
      </c>
      <c r="FS193" s="208">
        <v>0</v>
      </c>
      <c r="FT193" s="208">
        <v>0</v>
      </c>
      <c r="FU193" s="208">
        <v>0</v>
      </c>
      <c r="FV193" s="208">
        <v>0</v>
      </c>
      <c r="FW193" s="208">
        <v>0</v>
      </c>
      <c r="FX193" s="208">
        <v>0</v>
      </c>
      <c r="FY193" s="208">
        <v>0</v>
      </c>
      <c r="FZ193" s="208">
        <v>0</v>
      </c>
      <c r="GA193" s="208">
        <v>0</v>
      </c>
      <c r="GB193" s="208">
        <v>1257107</v>
      </c>
      <c r="GC193" s="208">
        <v>314277</v>
      </c>
      <c r="GD193" s="208">
        <v>0</v>
      </c>
      <c r="GE193" s="664">
        <v>0.5</v>
      </c>
      <c r="GF193" s="664">
        <v>0.4</v>
      </c>
      <c r="GG193" s="664">
        <v>0.1</v>
      </c>
      <c r="GH193" s="664">
        <v>0</v>
      </c>
      <c r="GI193" s="187" t="s">
        <v>1054</v>
      </c>
    </row>
    <row r="194" spans="1:191" s="187" customFormat="1" x14ac:dyDescent="0.2">
      <c r="B194" s="429" t="s">
        <v>465</v>
      </c>
      <c r="C194" s="429" t="s">
        <v>464</v>
      </c>
      <c r="D194" s="208">
        <v>377169</v>
      </c>
      <c r="E194" s="208">
        <v>0</v>
      </c>
      <c r="F194" s="208">
        <v>377169</v>
      </c>
      <c r="G194" s="208">
        <v>544439</v>
      </c>
      <c r="H194" s="208">
        <v>0</v>
      </c>
      <c r="I194" s="208">
        <v>544439</v>
      </c>
      <c r="J194" s="208">
        <v>-167270</v>
      </c>
      <c r="K194" s="208">
        <v>0</v>
      </c>
      <c r="L194" s="208">
        <v>-167270</v>
      </c>
      <c r="M194" s="208">
        <v>147548</v>
      </c>
      <c r="N194" s="208">
        <v>147548</v>
      </c>
      <c r="O194" s="208">
        <v>0</v>
      </c>
      <c r="P194" s="208">
        <v>0</v>
      </c>
      <c r="Q194" s="208">
        <v>0</v>
      </c>
      <c r="R194" s="208">
        <v>0</v>
      </c>
      <c r="S194" s="208">
        <v>167172</v>
      </c>
      <c r="T194" s="208">
        <v>0</v>
      </c>
      <c r="U194" s="208">
        <v>213104</v>
      </c>
      <c r="V194" s="208">
        <v>0</v>
      </c>
      <c r="W194" s="208">
        <v>-45932</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208">
        <v>0</v>
      </c>
      <c r="BM194" s="208">
        <v>0</v>
      </c>
      <c r="BN194" s="208">
        <v>0</v>
      </c>
      <c r="BO194" s="208">
        <v>890944.83600916667</v>
      </c>
      <c r="BP194" s="208">
        <v>200462.58810206252</v>
      </c>
      <c r="BQ194" s="208">
        <v>22273.620900229169</v>
      </c>
      <c r="BR194" s="208">
        <v>83623</v>
      </c>
      <c r="BS194" s="208">
        <v>18815</v>
      </c>
      <c r="BT194" s="208">
        <v>2091</v>
      </c>
      <c r="BU194" s="208">
        <v>835287</v>
      </c>
      <c r="BV194" s="208">
        <v>187939</v>
      </c>
      <c r="BW194" s="208">
        <v>20882</v>
      </c>
      <c r="BX194" s="208">
        <v>139281</v>
      </c>
      <c r="BY194" s="208">
        <v>31339</v>
      </c>
      <c r="BZ194" s="208">
        <v>3483</v>
      </c>
      <c r="CA194" s="208">
        <v>5441.5075000000006</v>
      </c>
      <c r="CB194" s="208">
        <v>1224.3391875</v>
      </c>
      <c r="CC194" s="208">
        <v>136.0376875</v>
      </c>
      <c r="CD194" s="208">
        <v>1011</v>
      </c>
      <c r="CE194" s="208">
        <v>228</v>
      </c>
      <c r="CF194" s="208">
        <v>25</v>
      </c>
      <c r="CG194" s="208">
        <v>4431</v>
      </c>
      <c r="CH194" s="208">
        <v>996</v>
      </c>
      <c r="CI194" s="208">
        <v>111</v>
      </c>
      <c r="CJ194" s="208">
        <v>0</v>
      </c>
      <c r="CK194" s="208">
        <v>0</v>
      </c>
      <c r="CL194" s="208">
        <v>0</v>
      </c>
      <c r="CM194" s="208">
        <v>0</v>
      </c>
      <c r="CN194" s="208">
        <v>0</v>
      </c>
      <c r="CO194" s="208">
        <v>0</v>
      </c>
      <c r="CP194" s="208">
        <v>-983.22749999999996</v>
      </c>
      <c r="CQ194" s="208">
        <v>-221.22618749999998</v>
      </c>
      <c r="CR194" s="208">
        <v>-24.5806875</v>
      </c>
      <c r="CS194" s="208">
        <v>0</v>
      </c>
      <c r="CT194" s="208">
        <v>0</v>
      </c>
      <c r="CU194" s="208">
        <v>0</v>
      </c>
      <c r="CV194" s="208">
        <v>0</v>
      </c>
      <c r="CW194" s="208">
        <v>0</v>
      </c>
      <c r="CX194" s="208">
        <v>0</v>
      </c>
      <c r="CY194" s="208">
        <v>0</v>
      </c>
      <c r="CZ194" s="208">
        <v>0</v>
      </c>
      <c r="DA194" s="208">
        <v>0</v>
      </c>
      <c r="DB194" s="208">
        <v>0</v>
      </c>
      <c r="DC194" s="208">
        <v>0</v>
      </c>
      <c r="DD194" s="208">
        <v>0</v>
      </c>
      <c r="DE194" s="208">
        <v>3098.21</v>
      </c>
      <c r="DF194" s="208">
        <v>697.09724999999992</v>
      </c>
      <c r="DG194" s="208">
        <v>77.455249999999992</v>
      </c>
      <c r="DH194" s="208">
        <v>3099</v>
      </c>
      <c r="DI194" s="208">
        <v>697</v>
      </c>
      <c r="DJ194" s="208">
        <v>77</v>
      </c>
      <c r="DK194" s="208">
        <v>-1</v>
      </c>
      <c r="DL194" s="208">
        <v>0</v>
      </c>
      <c r="DM194" s="208">
        <v>0</v>
      </c>
      <c r="DN194" s="208">
        <v>613.75</v>
      </c>
      <c r="DO194" s="208">
        <v>138.09375</v>
      </c>
      <c r="DP194" s="208">
        <v>15.34375</v>
      </c>
      <c r="DQ194" s="208">
        <v>614</v>
      </c>
      <c r="DR194" s="208">
        <v>138</v>
      </c>
      <c r="DS194" s="208">
        <v>15</v>
      </c>
      <c r="DT194" s="208">
        <v>0</v>
      </c>
      <c r="DU194" s="208">
        <v>0</v>
      </c>
      <c r="DV194" s="208">
        <v>0</v>
      </c>
      <c r="DW194" s="208">
        <v>10222.333583333335</v>
      </c>
      <c r="DX194" s="208">
        <v>2300.02505625</v>
      </c>
      <c r="DY194" s="208">
        <v>255.55833958333335</v>
      </c>
      <c r="DZ194" s="208">
        <v>9113</v>
      </c>
      <c r="EA194" s="208">
        <v>2051</v>
      </c>
      <c r="EB194" s="208">
        <v>228</v>
      </c>
      <c r="EC194" s="208">
        <v>1109</v>
      </c>
      <c r="ED194" s="208">
        <v>249</v>
      </c>
      <c r="EE194" s="208">
        <v>28</v>
      </c>
      <c r="EF194" s="208">
        <v>54118.429166666669</v>
      </c>
      <c r="EG194" s="208">
        <v>12176.646562499998</v>
      </c>
      <c r="EH194" s="208">
        <v>1352.9607291666666</v>
      </c>
      <c r="EI194" s="208">
        <v>1525.7825000000003</v>
      </c>
      <c r="EJ194" s="208">
        <v>343.3010625</v>
      </c>
      <c r="EK194" s="208">
        <v>38.144562499999999</v>
      </c>
      <c r="EL194" s="208">
        <v>58101</v>
      </c>
      <c r="EM194" s="208">
        <v>13073</v>
      </c>
      <c r="EN194" s="208">
        <v>1453</v>
      </c>
      <c r="EO194" s="208">
        <v>-2457</v>
      </c>
      <c r="EP194" s="208">
        <v>-553</v>
      </c>
      <c r="EQ194" s="208">
        <v>-62</v>
      </c>
      <c r="ER194" s="208">
        <v>12151.840833333335</v>
      </c>
      <c r="ES194" s="208">
        <v>2734.1641875</v>
      </c>
      <c r="ET194" s="208">
        <v>303.79602083333339</v>
      </c>
      <c r="EU194" s="208">
        <v>10593</v>
      </c>
      <c r="EV194" s="208">
        <v>2384</v>
      </c>
      <c r="EW194" s="208">
        <v>265</v>
      </c>
      <c r="EX194" s="208">
        <v>1559</v>
      </c>
      <c r="EY194" s="208">
        <v>350</v>
      </c>
      <c r="EZ194" s="208">
        <v>39</v>
      </c>
      <c r="FA194" s="208">
        <v>0</v>
      </c>
      <c r="FB194" s="208">
        <v>0</v>
      </c>
      <c r="FC194" s="208">
        <v>0</v>
      </c>
      <c r="FD194" s="208">
        <v>0</v>
      </c>
      <c r="FE194" s="208">
        <v>0</v>
      </c>
      <c r="FF194" s="208">
        <v>0</v>
      </c>
      <c r="FG194" s="208">
        <v>0</v>
      </c>
      <c r="FH194" s="208">
        <v>0</v>
      </c>
      <c r="FI194" s="208">
        <v>0</v>
      </c>
      <c r="FJ194" s="208">
        <v>554158.33916666661</v>
      </c>
      <c r="FK194" s="208">
        <v>123823.64568749999</v>
      </c>
      <c r="FL194" s="208">
        <v>13758.182854166667</v>
      </c>
      <c r="FM194" s="208">
        <v>562848</v>
      </c>
      <c r="FN194" s="208">
        <v>125542</v>
      </c>
      <c r="FO194" s="208">
        <v>13949</v>
      </c>
      <c r="FP194" s="208">
        <v>-8690</v>
      </c>
      <c r="FQ194" s="208">
        <v>-1718</v>
      </c>
      <c r="FR194" s="208">
        <v>-191</v>
      </c>
      <c r="FS194" s="208">
        <v>0</v>
      </c>
      <c r="FT194" s="208">
        <v>0</v>
      </c>
      <c r="FU194" s="208">
        <v>0</v>
      </c>
      <c r="FV194" s="208">
        <v>0</v>
      </c>
      <c r="FW194" s="208">
        <v>0</v>
      </c>
      <c r="FX194" s="208">
        <v>0</v>
      </c>
      <c r="FY194" s="208">
        <v>0</v>
      </c>
      <c r="FZ194" s="208">
        <v>0</v>
      </c>
      <c r="GA194" s="208">
        <v>0</v>
      </c>
      <c r="GB194" s="208">
        <v>1614915</v>
      </c>
      <c r="GC194" s="208">
        <v>362494</v>
      </c>
      <c r="GD194" s="208">
        <v>40277</v>
      </c>
      <c r="GE194" s="664">
        <v>0.5</v>
      </c>
      <c r="GF194" s="664">
        <v>0.4</v>
      </c>
      <c r="GG194" s="664">
        <v>0.09</v>
      </c>
      <c r="GH194" s="664">
        <v>0.01</v>
      </c>
      <c r="GI194" s="187" t="s">
        <v>1054</v>
      </c>
    </row>
    <row r="195" spans="1:191" s="187" customFormat="1" x14ac:dyDescent="0.2">
      <c r="A195" s="188" t="s">
        <v>1817</v>
      </c>
      <c r="B195" s="429" t="s">
        <v>467</v>
      </c>
      <c r="C195" s="429" t="s">
        <v>466</v>
      </c>
      <c r="D195" s="208">
        <v>-1976999</v>
      </c>
      <c r="E195" s="208">
        <v>-185355</v>
      </c>
      <c r="F195" s="208">
        <v>-2162354</v>
      </c>
      <c r="G195" s="208">
        <v>-1964030</v>
      </c>
      <c r="H195" s="208">
        <v>-184174</v>
      </c>
      <c r="I195" s="208">
        <v>-2148204</v>
      </c>
      <c r="J195" s="208">
        <v>-12969</v>
      </c>
      <c r="K195" s="208">
        <v>-1181</v>
      </c>
      <c r="L195" s="208">
        <v>-14150</v>
      </c>
      <c r="M195" s="208">
        <v>282580</v>
      </c>
      <c r="N195" s="208">
        <v>282580</v>
      </c>
      <c r="O195" s="208">
        <v>0</v>
      </c>
      <c r="P195" s="208">
        <v>1344316</v>
      </c>
      <c r="Q195" s="208">
        <v>691687</v>
      </c>
      <c r="R195" s="208">
        <v>652629</v>
      </c>
      <c r="S195" s="208">
        <v>0</v>
      </c>
      <c r="T195" s="208">
        <v>0</v>
      </c>
      <c r="U195" s="208">
        <v>0</v>
      </c>
      <c r="V195" s="208">
        <v>0</v>
      </c>
      <c r="W195" s="208">
        <v>0</v>
      </c>
      <c r="X195" s="208">
        <v>0</v>
      </c>
      <c r="Y195" s="208">
        <v>0</v>
      </c>
      <c r="Z195" s="208">
        <v>0</v>
      </c>
      <c r="AA195" s="208">
        <v>0</v>
      </c>
      <c r="AB195" s="208">
        <v>0</v>
      </c>
      <c r="AC195" s="208">
        <v>0</v>
      </c>
      <c r="AD195" s="208">
        <v>0</v>
      </c>
      <c r="AE195" s="208">
        <v>0</v>
      </c>
      <c r="AF195" s="208">
        <v>0</v>
      </c>
      <c r="AG195" s="208">
        <v>0</v>
      </c>
      <c r="AH195" s="208">
        <v>609912</v>
      </c>
      <c r="AI195" s="208">
        <v>609912.01666666672</v>
      </c>
      <c r="AJ195" s="208">
        <v>0</v>
      </c>
      <c r="AK195" s="208">
        <v>0</v>
      </c>
      <c r="AL195" s="208">
        <v>704206</v>
      </c>
      <c r="AM195" s="208">
        <v>704206</v>
      </c>
      <c r="AN195" s="208">
        <v>0</v>
      </c>
      <c r="AO195" s="208">
        <v>0</v>
      </c>
      <c r="AP195" s="208">
        <v>-94294</v>
      </c>
      <c r="AQ195" s="208">
        <v>-94294</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208">
        <v>0</v>
      </c>
      <c r="BM195" s="208">
        <v>0</v>
      </c>
      <c r="BN195" s="208">
        <v>0</v>
      </c>
      <c r="BO195" s="208">
        <v>1774809.3047183335</v>
      </c>
      <c r="BP195" s="208">
        <v>421141.60756500001</v>
      </c>
      <c r="BQ195" s="208">
        <v>0</v>
      </c>
      <c r="BR195" s="208">
        <v>170500</v>
      </c>
      <c r="BS195" s="208">
        <v>37234</v>
      </c>
      <c r="BT195" s="208">
        <v>0</v>
      </c>
      <c r="BU195" s="208">
        <v>1666218</v>
      </c>
      <c r="BV195" s="208">
        <v>396333</v>
      </c>
      <c r="BW195" s="208">
        <v>0</v>
      </c>
      <c r="BX195" s="208">
        <v>279091</v>
      </c>
      <c r="BY195" s="208">
        <v>62043</v>
      </c>
      <c r="BZ195" s="208">
        <v>0</v>
      </c>
      <c r="CA195" s="208">
        <v>0</v>
      </c>
      <c r="CB195" s="208">
        <v>0</v>
      </c>
      <c r="CC195" s="208">
        <v>0</v>
      </c>
      <c r="CD195" s="208">
        <v>0</v>
      </c>
      <c r="CE195" s="208">
        <v>0</v>
      </c>
      <c r="CF195" s="208">
        <v>0</v>
      </c>
      <c r="CG195" s="208">
        <v>0</v>
      </c>
      <c r="CH195" s="208">
        <v>0</v>
      </c>
      <c r="CI195" s="208">
        <v>0</v>
      </c>
      <c r="CJ195" s="208">
        <v>0</v>
      </c>
      <c r="CK195" s="208">
        <v>0</v>
      </c>
      <c r="CL195" s="208">
        <v>0</v>
      </c>
      <c r="CM195" s="208">
        <v>393.61833333333334</v>
      </c>
      <c r="CN195" s="208">
        <v>98.404583333333335</v>
      </c>
      <c r="CO195" s="208">
        <v>0</v>
      </c>
      <c r="CP195" s="208">
        <v>0</v>
      </c>
      <c r="CQ195" s="208">
        <v>0</v>
      </c>
      <c r="CR195" s="208">
        <v>0</v>
      </c>
      <c r="CS195" s="208">
        <v>0</v>
      </c>
      <c r="CT195" s="208">
        <v>0</v>
      </c>
      <c r="CU195" s="208">
        <v>0</v>
      </c>
      <c r="CV195" s="208">
        <v>0</v>
      </c>
      <c r="CW195" s="208">
        <v>0</v>
      </c>
      <c r="CX195" s="208">
        <v>0</v>
      </c>
      <c r="CY195" s="208">
        <v>0</v>
      </c>
      <c r="CZ195" s="208">
        <v>0</v>
      </c>
      <c r="DA195" s="208">
        <v>0</v>
      </c>
      <c r="DB195" s="208">
        <v>0</v>
      </c>
      <c r="DC195" s="208">
        <v>0</v>
      </c>
      <c r="DD195" s="208">
        <v>0</v>
      </c>
      <c r="DE195" s="208">
        <v>0</v>
      </c>
      <c r="DF195" s="208">
        <v>0</v>
      </c>
      <c r="DG195" s="208">
        <v>0</v>
      </c>
      <c r="DH195" s="208">
        <v>0</v>
      </c>
      <c r="DI195" s="208">
        <v>0</v>
      </c>
      <c r="DJ195" s="208">
        <v>0</v>
      </c>
      <c r="DK195" s="208">
        <v>0</v>
      </c>
      <c r="DL195" s="208">
        <v>0</v>
      </c>
      <c r="DM195" s="208">
        <v>0</v>
      </c>
      <c r="DN195" s="208">
        <v>180.03333333333333</v>
      </c>
      <c r="DO195" s="208">
        <v>45.008333333333333</v>
      </c>
      <c r="DP195" s="208">
        <v>0</v>
      </c>
      <c r="DQ195" s="208">
        <v>614</v>
      </c>
      <c r="DR195" s="208">
        <v>153</v>
      </c>
      <c r="DS195" s="208">
        <v>0</v>
      </c>
      <c r="DT195" s="208">
        <v>-434</v>
      </c>
      <c r="DU195" s="208">
        <v>-108</v>
      </c>
      <c r="DV195" s="208">
        <v>0</v>
      </c>
      <c r="DW195" s="208">
        <v>984.04583333333335</v>
      </c>
      <c r="DX195" s="208">
        <v>608.12395833333335</v>
      </c>
      <c r="DY195" s="208">
        <v>0</v>
      </c>
      <c r="DZ195" s="208">
        <v>4492</v>
      </c>
      <c r="EA195" s="208">
        <v>773</v>
      </c>
      <c r="EB195" s="208">
        <v>0</v>
      </c>
      <c r="EC195" s="208">
        <v>-3508</v>
      </c>
      <c r="ED195" s="208">
        <v>-165</v>
      </c>
      <c r="EE195" s="208">
        <v>0</v>
      </c>
      <c r="EF195" s="208">
        <v>30123.463750000003</v>
      </c>
      <c r="EG195" s="208">
        <v>6457.5706250000003</v>
      </c>
      <c r="EH195" s="208">
        <v>0</v>
      </c>
      <c r="EI195" s="208">
        <v>-632.57166666666672</v>
      </c>
      <c r="EJ195" s="208">
        <v>-158.14291666666668</v>
      </c>
      <c r="EK195" s="208">
        <v>0</v>
      </c>
      <c r="EL195" s="208">
        <v>42370</v>
      </c>
      <c r="EM195" s="208">
        <v>8623</v>
      </c>
      <c r="EN195" s="208">
        <v>0</v>
      </c>
      <c r="EO195" s="208">
        <v>-12879</v>
      </c>
      <c r="EP195" s="208">
        <v>-2324</v>
      </c>
      <c r="EQ195" s="208">
        <v>0</v>
      </c>
      <c r="ER195" s="208">
        <v>16227.550000000001</v>
      </c>
      <c r="ES195" s="208">
        <v>4056.8875000000003</v>
      </c>
      <c r="ET195" s="208">
        <v>0</v>
      </c>
      <c r="EU195" s="208">
        <v>18156</v>
      </c>
      <c r="EV195" s="208">
        <v>4539</v>
      </c>
      <c r="EW195" s="208">
        <v>0</v>
      </c>
      <c r="EX195" s="208">
        <v>-1928</v>
      </c>
      <c r="EY195" s="208">
        <v>-482</v>
      </c>
      <c r="EZ195" s="208">
        <v>0</v>
      </c>
      <c r="FA195" s="208">
        <v>0</v>
      </c>
      <c r="FB195" s="208">
        <v>0</v>
      </c>
      <c r="FC195" s="208">
        <v>0</v>
      </c>
      <c r="FD195" s="208">
        <v>0</v>
      </c>
      <c r="FE195" s="208">
        <v>0</v>
      </c>
      <c r="FF195" s="208">
        <v>0</v>
      </c>
      <c r="FG195" s="208">
        <v>0</v>
      </c>
      <c r="FH195" s="208">
        <v>0</v>
      </c>
      <c r="FI195" s="208">
        <v>0</v>
      </c>
      <c r="FJ195" s="208">
        <v>928011.29666666652</v>
      </c>
      <c r="FK195" s="208">
        <v>224301.01374999998</v>
      </c>
      <c r="FL195" s="208">
        <v>0</v>
      </c>
      <c r="FM195" s="208">
        <v>929199</v>
      </c>
      <c r="FN195" s="208">
        <v>224302</v>
      </c>
      <c r="FO195" s="208">
        <v>0</v>
      </c>
      <c r="FP195" s="208">
        <v>-1188</v>
      </c>
      <c r="FQ195" s="208">
        <v>-1</v>
      </c>
      <c r="FR195" s="208">
        <v>0</v>
      </c>
      <c r="FS195" s="208">
        <v>0</v>
      </c>
      <c r="FT195" s="208">
        <v>0</v>
      </c>
      <c r="FU195" s="208">
        <v>0</v>
      </c>
      <c r="FV195" s="208">
        <v>0</v>
      </c>
      <c r="FW195" s="208">
        <v>0</v>
      </c>
      <c r="FX195" s="208">
        <v>0</v>
      </c>
      <c r="FY195" s="208">
        <v>0</v>
      </c>
      <c r="FZ195" s="208">
        <v>0</v>
      </c>
      <c r="GA195" s="208">
        <v>0</v>
      </c>
      <c r="GB195" s="208">
        <v>2920596</v>
      </c>
      <c r="GC195" s="208">
        <v>693785</v>
      </c>
      <c r="GD195" s="208">
        <v>0</v>
      </c>
      <c r="GE195" s="664">
        <v>0.5</v>
      </c>
      <c r="GF195" s="664">
        <v>0.4</v>
      </c>
      <c r="GG195" s="664">
        <v>0.1</v>
      </c>
      <c r="GH195" s="664">
        <v>0</v>
      </c>
      <c r="GI195" s="187" t="s">
        <v>1054</v>
      </c>
    </row>
    <row r="196" spans="1:191" s="187" customFormat="1" x14ac:dyDescent="0.2">
      <c r="B196" s="429" t="s">
        <v>469</v>
      </c>
      <c r="C196" s="429" t="s">
        <v>468</v>
      </c>
      <c r="D196" s="208">
        <v>2386198</v>
      </c>
      <c r="E196" s="208">
        <v>21988</v>
      </c>
      <c r="F196" s="208">
        <v>2408186</v>
      </c>
      <c r="G196" s="208">
        <v>2125952</v>
      </c>
      <c r="H196" s="208">
        <v>21988</v>
      </c>
      <c r="I196" s="208">
        <v>2147940</v>
      </c>
      <c r="J196" s="208">
        <v>260246</v>
      </c>
      <c r="K196" s="208">
        <v>0</v>
      </c>
      <c r="L196" s="208">
        <v>260246</v>
      </c>
      <c r="M196" s="208">
        <v>477623</v>
      </c>
      <c r="N196" s="208">
        <v>477623</v>
      </c>
      <c r="O196" s="208">
        <v>0</v>
      </c>
      <c r="P196" s="208">
        <v>257207</v>
      </c>
      <c r="Q196" s="208">
        <v>271076</v>
      </c>
      <c r="R196" s="208">
        <v>-13869</v>
      </c>
      <c r="S196" s="208">
        <v>2174386</v>
      </c>
      <c r="T196" s="208">
        <v>0</v>
      </c>
      <c r="U196" s="208">
        <v>2169175</v>
      </c>
      <c r="V196" s="208">
        <v>0</v>
      </c>
      <c r="W196" s="208">
        <v>5211</v>
      </c>
      <c r="X196" s="208">
        <v>0</v>
      </c>
      <c r="Y196" s="208">
        <v>0</v>
      </c>
      <c r="Z196" s="208">
        <v>0</v>
      </c>
      <c r="AA196" s="208">
        <v>0</v>
      </c>
      <c r="AB196" s="208">
        <v>0</v>
      </c>
      <c r="AC196" s="208">
        <v>0</v>
      </c>
      <c r="AD196" s="208">
        <v>0</v>
      </c>
      <c r="AE196" s="208">
        <v>0</v>
      </c>
      <c r="AF196" s="208">
        <v>0</v>
      </c>
      <c r="AG196" s="208">
        <v>0</v>
      </c>
      <c r="AH196" s="208">
        <v>112701</v>
      </c>
      <c r="AI196" s="208">
        <v>112700.86666666667</v>
      </c>
      <c r="AJ196" s="208">
        <v>0</v>
      </c>
      <c r="AK196" s="208">
        <v>0</v>
      </c>
      <c r="AL196" s="208">
        <v>70197</v>
      </c>
      <c r="AM196" s="208">
        <v>70197</v>
      </c>
      <c r="AN196" s="208">
        <v>0</v>
      </c>
      <c r="AO196" s="208">
        <v>0</v>
      </c>
      <c r="AP196" s="208">
        <v>42504</v>
      </c>
      <c r="AQ196" s="208">
        <v>42504</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H196" s="208">
        <v>0</v>
      </c>
      <c r="BI196" s="208">
        <v>0</v>
      </c>
      <c r="BJ196" s="208">
        <v>0</v>
      </c>
      <c r="BK196" s="208">
        <v>0</v>
      </c>
      <c r="BL196" s="208">
        <v>0</v>
      </c>
      <c r="BM196" s="208">
        <v>0</v>
      </c>
      <c r="BN196" s="208">
        <v>0</v>
      </c>
      <c r="BO196" s="208">
        <v>4350737.1977854175</v>
      </c>
      <c r="BP196" s="208">
        <v>0</v>
      </c>
      <c r="BQ196" s="208">
        <v>0</v>
      </c>
      <c r="BR196" s="208">
        <v>241463</v>
      </c>
      <c r="BS196" s="208">
        <v>0</v>
      </c>
      <c r="BT196" s="208">
        <v>0</v>
      </c>
      <c r="BU196" s="208">
        <v>4102522</v>
      </c>
      <c r="BV196" s="208">
        <v>0</v>
      </c>
      <c r="BW196" s="208">
        <v>0</v>
      </c>
      <c r="BX196" s="208">
        <v>489678</v>
      </c>
      <c r="BY196" s="208">
        <v>0</v>
      </c>
      <c r="BZ196" s="208">
        <v>0</v>
      </c>
      <c r="CA196" s="208">
        <v>60377.144791666666</v>
      </c>
      <c r="CB196" s="208">
        <v>0</v>
      </c>
      <c r="CC196" s="208">
        <v>0</v>
      </c>
      <c r="CD196" s="208">
        <v>21577</v>
      </c>
      <c r="CE196" s="208">
        <v>0</v>
      </c>
      <c r="CF196" s="208">
        <v>0</v>
      </c>
      <c r="CG196" s="208">
        <v>38800</v>
      </c>
      <c r="CH196" s="208">
        <v>0</v>
      </c>
      <c r="CI196" s="208">
        <v>0</v>
      </c>
      <c r="CJ196" s="208">
        <v>0</v>
      </c>
      <c r="CK196" s="208">
        <v>0</v>
      </c>
      <c r="CL196" s="208">
        <v>0</v>
      </c>
      <c r="CM196" s="208">
        <v>1962.9770833333334</v>
      </c>
      <c r="CN196" s="208">
        <v>0</v>
      </c>
      <c r="CO196" s="208">
        <v>0</v>
      </c>
      <c r="CP196" s="208">
        <v>-3057.4979166666667</v>
      </c>
      <c r="CQ196" s="208">
        <v>0</v>
      </c>
      <c r="CR196" s="208">
        <v>0</v>
      </c>
      <c r="CS196" s="208">
        <v>8612.4468749999996</v>
      </c>
      <c r="CT196" s="208">
        <v>0</v>
      </c>
      <c r="CU196" s="208">
        <v>0</v>
      </c>
      <c r="CV196" s="208">
        <v>0</v>
      </c>
      <c r="CW196" s="208">
        <v>0</v>
      </c>
      <c r="CX196" s="208">
        <v>0</v>
      </c>
      <c r="CY196" s="208">
        <v>8612</v>
      </c>
      <c r="CZ196" s="208">
        <v>0</v>
      </c>
      <c r="DA196" s="208">
        <v>0</v>
      </c>
      <c r="DB196" s="208">
        <v>0</v>
      </c>
      <c r="DC196" s="208">
        <v>0</v>
      </c>
      <c r="DD196" s="208">
        <v>0</v>
      </c>
      <c r="DE196" s="208">
        <v>42244.412500000006</v>
      </c>
      <c r="DF196" s="208">
        <v>0</v>
      </c>
      <c r="DG196" s="208">
        <v>0</v>
      </c>
      <c r="DH196" s="208">
        <v>41986</v>
      </c>
      <c r="DI196" s="208">
        <v>0</v>
      </c>
      <c r="DJ196" s="208">
        <v>0</v>
      </c>
      <c r="DK196" s="208">
        <v>258</v>
      </c>
      <c r="DL196" s="208">
        <v>0</v>
      </c>
      <c r="DM196" s="208">
        <v>0</v>
      </c>
      <c r="DN196" s="208">
        <v>767.1875</v>
      </c>
      <c r="DO196" s="208">
        <v>0</v>
      </c>
      <c r="DP196" s="208">
        <v>0</v>
      </c>
      <c r="DQ196" s="208">
        <v>767</v>
      </c>
      <c r="DR196" s="208">
        <v>0</v>
      </c>
      <c r="DS196" s="208">
        <v>0</v>
      </c>
      <c r="DT196" s="208">
        <v>0</v>
      </c>
      <c r="DU196" s="208">
        <v>0</v>
      </c>
      <c r="DV196" s="208">
        <v>0</v>
      </c>
      <c r="DW196" s="208">
        <v>54061.65729166667</v>
      </c>
      <c r="DX196" s="208">
        <v>0</v>
      </c>
      <c r="DY196" s="208">
        <v>0</v>
      </c>
      <c r="DZ196" s="208">
        <v>57724</v>
      </c>
      <c r="EA196" s="208">
        <v>0</v>
      </c>
      <c r="EB196" s="208">
        <v>0</v>
      </c>
      <c r="EC196" s="208">
        <v>-3662</v>
      </c>
      <c r="ED196" s="208">
        <v>0</v>
      </c>
      <c r="EE196" s="208">
        <v>0</v>
      </c>
      <c r="EF196" s="208">
        <v>228303.23645833333</v>
      </c>
      <c r="EG196" s="208">
        <v>0</v>
      </c>
      <c r="EH196" s="208">
        <v>0</v>
      </c>
      <c r="EI196" s="208">
        <v>-9043.6062500000007</v>
      </c>
      <c r="EJ196" s="208">
        <v>0</v>
      </c>
      <c r="EK196" s="208">
        <v>0</v>
      </c>
      <c r="EL196" s="208">
        <v>239199</v>
      </c>
      <c r="EM196" s="208">
        <v>0</v>
      </c>
      <c r="EN196" s="208">
        <v>0</v>
      </c>
      <c r="EO196" s="208">
        <v>-19939</v>
      </c>
      <c r="EP196" s="208">
        <v>0</v>
      </c>
      <c r="EQ196" s="208">
        <v>0</v>
      </c>
      <c r="ER196" s="208">
        <v>96018.630208333328</v>
      </c>
      <c r="ES196" s="208">
        <v>0</v>
      </c>
      <c r="ET196" s="208">
        <v>0</v>
      </c>
      <c r="EU196" s="208">
        <v>94769</v>
      </c>
      <c r="EV196" s="208">
        <v>0</v>
      </c>
      <c r="EW196" s="208">
        <v>0</v>
      </c>
      <c r="EX196" s="208">
        <v>1250</v>
      </c>
      <c r="EY196" s="208">
        <v>0</v>
      </c>
      <c r="EZ196" s="208">
        <v>0</v>
      </c>
      <c r="FA196" s="208">
        <v>0</v>
      </c>
      <c r="FB196" s="208">
        <v>0</v>
      </c>
      <c r="FC196" s="208">
        <v>0</v>
      </c>
      <c r="FD196" s="208">
        <v>0</v>
      </c>
      <c r="FE196" s="208">
        <v>0</v>
      </c>
      <c r="FF196" s="208">
        <v>0</v>
      </c>
      <c r="FG196" s="208">
        <v>0</v>
      </c>
      <c r="FH196" s="208">
        <v>0</v>
      </c>
      <c r="FI196" s="208">
        <v>0</v>
      </c>
      <c r="FJ196" s="208">
        <v>933154.45208333328</v>
      </c>
      <c r="FK196" s="208">
        <v>0</v>
      </c>
      <c r="FL196" s="208">
        <v>0</v>
      </c>
      <c r="FM196" s="208">
        <v>945484</v>
      </c>
      <c r="FN196" s="208">
        <v>0</v>
      </c>
      <c r="FO196" s="208">
        <v>0</v>
      </c>
      <c r="FP196" s="208">
        <v>-12330</v>
      </c>
      <c r="FQ196" s="208">
        <v>0</v>
      </c>
      <c r="FR196" s="208">
        <v>0</v>
      </c>
      <c r="FS196" s="208">
        <v>0</v>
      </c>
      <c r="FT196" s="208">
        <v>0</v>
      </c>
      <c r="FU196" s="208">
        <v>0</v>
      </c>
      <c r="FV196" s="208">
        <v>0</v>
      </c>
      <c r="FW196" s="208">
        <v>0</v>
      </c>
      <c r="FX196" s="208">
        <v>0</v>
      </c>
      <c r="FY196" s="208">
        <v>0</v>
      </c>
      <c r="FZ196" s="208">
        <v>0</v>
      </c>
      <c r="GA196" s="208">
        <v>0</v>
      </c>
      <c r="GB196" s="208">
        <v>6005600</v>
      </c>
      <c r="GC196" s="208">
        <v>0</v>
      </c>
      <c r="GD196" s="208">
        <v>0</v>
      </c>
      <c r="GE196" s="664">
        <v>0.5</v>
      </c>
      <c r="GF196" s="664">
        <v>0.5</v>
      </c>
      <c r="GG196" s="664">
        <v>0</v>
      </c>
      <c r="GH196" s="664">
        <v>0</v>
      </c>
      <c r="GI196" s="187" t="s">
        <v>742</v>
      </c>
    </row>
    <row r="197" spans="1:191" s="187" customFormat="1" x14ac:dyDescent="0.2">
      <c r="B197" s="429" t="s">
        <v>471</v>
      </c>
      <c r="C197" s="429" t="s">
        <v>470</v>
      </c>
      <c r="D197" s="208">
        <v>-667542</v>
      </c>
      <c r="E197" s="208">
        <v>0</v>
      </c>
      <c r="F197" s="208">
        <v>-667542</v>
      </c>
      <c r="G197" s="208">
        <v>-488310</v>
      </c>
      <c r="H197" s="208">
        <v>0</v>
      </c>
      <c r="I197" s="208">
        <v>-488310</v>
      </c>
      <c r="J197" s="208">
        <v>-179232</v>
      </c>
      <c r="K197" s="208">
        <v>0</v>
      </c>
      <c r="L197" s="208">
        <v>-179232</v>
      </c>
      <c r="M197" s="208">
        <v>268079</v>
      </c>
      <c r="N197" s="208">
        <v>268079</v>
      </c>
      <c r="O197" s="208">
        <v>0</v>
      </c>
      <c r="P197" s="208">
        <v>0</v>
      </c>
      <c r="Q197" s="208">
        <v>0</v>
      </c>
      <c r="R197" s="208">
        <v>0</v>
      </c>
      <c r="S197" s="208">
        <v>0</v>
      </c>
      <c r="T197" s="208">
        <v>0</v>
      </c>
      <c r="U197" s="208">
        <v>0</v>
      </c>
      <c r="V197" s="208">
        <v>0</v>
      </c>
      <c r="W197" s="208">
        <v>0</v>
      </c>
      <c r="X197" s="208">
        <v>0</v>
      </c>
      <c r="Y197" s="208">
        <v>0</v>
      </c>
      <c r="Z197" s="208">
        <v>0</v>
      </c>
      <c r="AA197" s="208">
        <v>0</v>
      </c>
      <c r="AB197" s="208">
        <v>0</v>
      </c>
      <c r="AC197" s="208">
        <v>0</v>
      </c>
      <c r="AD197" s="208">
        <v>0</v>
      </c>
      <c r="AE197" s="208">
        <v>0</v>
      </c>
      <c r="AF197" s="208">
        <v>0</v>
      </c>
      <c r="AG197" s="208">
        <v>0</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208">
        <v>0</v>
      </c>
      <c r="BM197" s="208">
        <v>0</v>
      </c>
      <c r="BN197" s="208">
        <v>0</v>
      </c>
      <c r="BO197" s="208">
        <v>1710372.1373916664</v>
      </c>
      <c r="BP197" s="208">
        <v>427593.0343479166</v>
      </c>
      <c r="BQ197" s="208">
        <v>0</v>
      </c>
      <c r="BR197" s="208">
        <v>150704</v>
      </c>
      <c r="BS197" s="208">
        <v>37676</v>
      </c>
      <c r="BT197" s="208">
        <v>0</v>
      </c>
      <c r="BU197" s="208">
        <v>1705694</v>
      </c>
      <c r="BV197" s="208">
        <v>426424</v>
      </c>
      <c r="BW197" s="208">
        <v>0</v>
      </c>
      <c r="BX197" s="208">
        <v>155382</v>
      </c>
      <c r="BY197" s="208">
        <v>38845</v>
      </c>
      <c r="BZ197" s="208">
        <v>0</v>
      </c>
      <c r="CA197" s="208">
        <v>5090.4425000000001</v>
      </c>
      <c r="CB197" s="208">
        <v>1272.610625</v>
      </c>
      <c r="CC197" s="208">
        <v>0</v>
      </c>
      <c r="CD197" s="208">
        <v>0</v>
      </c>
      <c r="CE197" s="208">
        <v>0</v>
      </c>
      <c r="CF197" s="208">
        <v>0</v>
      </c>
      <c r="CG197" s="208">
        <v>5090</v>
      </c>
      <c r="CH197" s="208">
        <v>1273</v>
      </c>
      <c r="CI197" s="208">
        <v>0</v>
      </c>
      <c r="CJ197" s="208">
        <v>0</v>
      </c>
      <c r="CK197" s="208">
        <v>0</v>
      </c>
      <c r="CL197" s="208">
        <v>0</v>
      </c>
      <c r="CM197" s="208">
        <v>31381.855833333335</v>
      </c>
      <c r="CN197" s="208">
        <v>7845.4639583333337</v>
      </c>
      <c r="CO197" s="208">
        <v>0</v>
      </c>
      <c r="CP197" s="208">
        <v>0</v>
      </c>
      <c r="CQ197" s="208">
        <v>0</v>
      </c>
      <c r="CR197" s="208">
        <v>0</v>
      </c>
      <c r="CS197" s="208">
        <v>0</v>
      </c>
      <c r="CT197" s="208">
        <v>0</v>
      </c>
      <c r="CU197" s="208">
        <v>0</v>
      </c>
      <c r="CV197" s="208">
        <v>0</v>
      </c>
      <c r="CW197" s="208">
        <v>0</v>
      </c>
      <c r="CX197" s="208">
        <v>0</v>
      </c>
      <c r="CY197" s="208">
        <v>0</v>
      </c>
      <c r="CZ197" s="208">
        <v>0</v>
      </c>
      <c r="DA197" s="208">
        <v>0</v>
      </c>
      <c r="DB197" s="208">
        <v>0</v>
      </c>
      <c r="DC197" s="208">
        <v>0</v>
      </c>
      <c r="DD197" s="208">
        <v>0</v>
      </c>
      <c r="DE197" s="208">
        <v>0</v>
      </c>
      <c r="DF197" s="208">
        <v>0</v>
      </c>
      <c r="DG197" s="208">
        <v>0</v>
      </c>
      <c r="DH197" s="208">
        <v>0</v>
      </c>
      <c r="DI197" s="208">
        <v>0</v>
      </c>
      <c r="DJ197" s="208">
        <v>0</v>
      </c>
      <c r="DK197" s="208">
        <v>0</v>
      </c>
      <c r="DL197" s="208">
        <v>0</v>
      </c>
      <c r="DM197" s="208">
        <v>0</v>
      </c>
      <c r="DN197" s="208">
        <v>0</v>
      </c>
      <c r="DO197" s="208">
        <v>0</v>
      </c>
      <c r="DP197" s="208">
        <v>0</v>
      </c>
      <c r="DQ197" s="208">
        <v>0</v>
      </c>
      <c r="DR197" s="208">
        <v>0</v>
      </c>
      <c r="DS197" s="208">
        <v>0</v>
      </c>
      <c r="DT197" s="208">
        <v>0</v>
      </c>
      <c r="DU197" s="208">
        <v>0</v>
      </c>
      <c r="DV197" s="208">
        <v>0</v>
      </c>
      <c r="DW197" s="208">
        <v>7683.3316666666669</v>
      </c>
      <c r="DX197" s="208">
        <v>1920.8329166666667</v>
      </c>
      <c r="DY197" s="208">
        <v>0</v>
      </c>
      <c r="DZ197" s="208">
        <v>10702</v>
      </c>
      <c r="EA197" s="208">
        <v>2676</v>
      </c>
      <c r="EB197" s="208">
        <v>0</v>
      </c>
      <c r="EC197" s="208">
        <v>-3019</v>
      </c>
      <c r="ED197" s="208">
        <v>-755</v>
      </c>
      <c r="EE197" s="208">
        <v>0</v>
      </c>
      <c r="EF197" s="208">
        <v>91787.540000000008</v>
      </c>
      <c r="EG197" s="208">
        <v>22946.885000000002</v>
      </c>
      <c r="EH197" s="208">
        <v>0</v>
      </c>
      <c r="EI197" s="208">
        <v>-3078.1608333333334</v>
      </c>
      <c r="EJ197" s="208">
        <v>-769.54020833333334</v>
      </c>
      <c r="EK197" s="208">
        <v>0</v>
      </c>
      <c r="EL197" s="208">
        <v>96154</v>
      </c>
      <c r="EM197" s="208">
        <v>24039</v>
      </c>
      <c r="EN197" s="208">
        <v>0</v>
      </c>
      <c r="EO197" s="208">
        <v>-7445</v>
      </c>
      <c r="EP197" s="208">
        <v>-1862</v>
      </c>
      <c r="EQ197" s="208">
        <v>0</v>
      </c>
      <c r="ER197" s="208">
        <v>32043.887500000004</v>
      </c>
      <c r="ES197" s="208">
        <v>8010.9718750000011</v>
      </c>
      <c r="ET197" s="208">
        <v>0</v>
      </c>
      <c r="EU197" s="208">
        <v>34779</v>
      </c>
      <c r="EV197" s="208">
        <v>8695</v>
      </c>
      <c r="EW197" s="208">
        <v>0</v>
      </c>
      <c r="EX197" s="208">
        <v>-2735</v>
      </c>
      <c r="EY197" s="208">
        <v>-684</v>
      </c>
      <c r="EZ197" s="208">
        <v>0</v>
      </c>
      <c r="FA197" s="208">
        <v>0</v>
      </c>
      <c r="FB197" s="208">
        <v>0</v>
      </c>
      <c r="FC197" s="208">
        <v>0</v>
      </c>
      <c r="FD197" s="208">
        <v>0</v>
      </c>
      <c r="FE197" s="208">
        <v>0</v>
      </c>
      <c r="FF197" s="208">
        <v>0</v>
      </c>
      <c r="FG197" s="208">
        <v>0</v>
      </c>
      <c r="FH197" s="208">
        <v>0</v>
      </c>
      <c r="FI197" s="208">
        <v>0</v>
      </c>
      <c r="FJ197" s="208">
        <v>708836.90166666661</v>
      </c>
      <c r="FK197" s="208">
        <v>177209.22541666665</v>
      </c>
      <c r="FL197" s="208">
        <v>0</v>
      </c>
      <c r="FM197" s="208">
        <v>690801</v>
      </c>
      <c r="FN197" s="208">
        <v>172700</v>
      </c>
      <c r="FO197" s="208">
        <v>0</v>
      </c>
      <c r="FP197" s="208">
        <v>18036</v>
      </c>
      <c r="FQ197" s="208">
        <v>4509</v>
      </c>
      <c r="FR197" s="208">
        <v>0</v>
      </c>
      <c r="FS197" s="208">
        <v>0</v>
      </c>
      <c r="FT197" s="208">
        <v>0</v>
      </c>
      <c r="FU197" s="208">
        <v>0</v>
      </c>
      <c r="FV197" s="208">
        <v>0</v>
      </c>
      <c r="FW197" s="208">
        <v>0</v>
      </c>
      <c r="FX197" s="208">
        <v>0</v>
      </c>
      <c r="FY197" s="208">
        <v>0</v>
      </c>
      <c r="FZ197" s="208">
        <v>0</v>
      </c>
      <c r="GA197" s="208">
        <v>0</v>
      </c>
      <c r="GB197" s="208">
        <v>2734822</v>
      </c>
      <c r="GC197" s="208">
        <v>683705</v>
      </c>
      <c r="GD197" s="208">
        <v>0</v>
      </c>
      <c r="GE197" s="664">
        <v>0.5</v>
      </c>
      <c r="GF197" s="664">
        <v>0.4</v>
      </c>
      <c r="GG197" s="664">
        <v>0.1</v>
      </c>
      <c r="GH197" s="664">
        <v>0</v>
      </c>
      <c r="GI197" s="187" t="s">
        <v>1054</v>
      </c>
    </row>
    <row r="198" spans="1:191" s="187" customFormat="1" x14ac:dyDescent="0.2">
      <c r="B198" s="429" t="s">
        <v>473</v>
      </c>
      <c r="C198" s="429" t="s">
        <v>472</v>
      </c>
      <c r="D198" s="208">
        <v>4644063</v>
      </c>
      <c r="E198" s="208">
        <v>200320</v>
      </c>
      <c r="F198" s="208">
        <v>4844383</v>
      </c>
      <c r="G198" s="208">
        <v>3916326</v>
      </c>
      <c r="H198" s="208">
        <v>228507</v>
      </c>
      <c r="I198" s="208">
        <v>4144833</v>
      </c>
      <c r="J198" s="208">
        <v>727737</v>
      </c>
      <c r="K198" s="208">
        <v>-28187</v>
      </c>
      <c r="L198" s="208">
        <v>699550</v>
      </c>
      <c r="M198" s="208">
        <v>493293</v>
      </c>
      <c r="N198" s="208">
        <v>493293</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208">
        <v>0</v>
      </c>
      <c r="BM198" s="208">
        <v>0</v>
      </c>
      <c r="BN198" s="208">
        <v>0</v>
      </c>
      <c r="BO198" s="208">
        <v>3255468.3869179171</v>
      </c>
      <c r="BP198" s="208">
        <v>0</v>
      </c>
      <c r="BQ198" s="208">
        <v>57898.659034166667</v>
      </c>
      <c r="BR198" s="208">
        <v>287455</v>
      </c>
      <c r="BS198" s="208">
        <v>0</v>
      </c>
      <c r="BT198" s="208">
        <v>5015</v>
      </c>
      <c r="BU198" s="208">
        <v>3128408</v>
      </c>
      <c r="BV198" s="208">
        <v>0</v>
      </c>
      <c r="BW198" s="208">
        <v>55378</v>
      </c>
      <c r="BX198" s="208">
        <v>414515</v>
      </c>
      <c r="BY198" s="208">
        <v>0</v>
      </c>
      <c r="BZ198" s="208">
        <v>7536</v>
      </c>
      <c r="CA198" s="208">
        <v>20037.229229166664</v>
      </c>
      <c r="CB198" s="208">
        <v>0</v>
      </c>
      <c r="CC198" s="208">
        <v>370.46972916666664</v>
      </c>
      <c r="CD198" s="208">
        <v>5749</v>
      </c>
      <c r="CE198" s="208">
        <v>0</v>
      </c>
      <c r="CF198" s="208">
        <v>117</v>
      </c>
      <c r="CG198" s="208">
        <v>14288</v>
      </c>
      <c r="CH198" s="208">
        <v>0</v>
      </c>
      <c r="CI198" s="208">
        <v>253</v>
      </c>
      <c r="CJ198" s="208">
        <v>0</v>
      </c>
      <c r="CK198" s="208">
        <v>0</v>
      </c>
      <c r="CL198" s="208">
        <v>0</v>
      </c>
      <c r="CM198" s="208">
        <v>0</v>
      </c>
      <c r="CN198" s="208">
        <v>0</v>
      </c>
      <c r="CO198" s="208">
        <v>0</v>
      </c>
      <c r="CP198" s="208">
        <v>-6059.3798541666656</v>
      </c>
      <c r="CQ198" s="208">
        <v>0</v>
      </c>
      <c r="CR198" s="208">
        <v>-71.471187499999999</v>
      </c>
      <c r="CS198" s="208">
        <v>0</v>
      </c>
      <c r="CT198" s="208">
        <v>0</v>
      </c>
      <c r="CU198" s="208">
        <v>0</v>
      </c>
      <c r="CV198" s="208">
        <v>0</v>
      </c>
      <c r="CW198" s="208">
        <v>0</v>
      </c>
      <c r="CX198" s="208">
        <v>0</v>
      </c>
      <c r="CY198" s="208">
        <v>0</v>
      </c>
      <c r="CZ198" s="208">
        <v>0</v>
      </c>
      <c r="DA198" s="208">
        <v>0</v>
      </c>
      <c r="DB198" s="208">
        <v>0</v>
      </c>
      <c r="DC198" s="208">
        <v>0</v>
      </c>
      <c r="DD198" s="208">
        <v>0</v>
      </c>
      <c r="DE198" s="208">
        <v>0</v>
      </c>
      <c r="DF198" s="208">
        <v>0</v>
      </c>
      <c r="DG198" s="208">
        <v>0</v>
      </c>
      <c r="DH198" s="208">
        <v>0</v>
      </c>
      <c r="DI198" s="208">
        <v>0</v>
      </c>
      <c r="DJ198" s="208">
        <v>0</v>
      </c>
      <c r="DK198" s="208">
        <v>0</v>
      </c>
      <c r="DL198" s="208">
        <v>0</v>
      </c>
      <c r="DM198" s="208">
        <v>0</v>
      </c>
      <c r="DN198" s="208">
        <v>320.78666666666663</v>
      </c>
      <c r="DO198" s="208">
        <v>0</v>
      </c>
      <c r="DP198" s="208">
        <v>6.5466666666666669</v>
      </c>
      <c r="DQ198" s="208">
        <v>752</v>
      </c>
      <c r="DR198" s="208">
        <v>0</v>
      </c>
      <c r="DS198" s="208">
        <v>15</v>
      </c>
      <c r="DT198" s="208">
        <v>-431</v>
      </c>
      <c r="DU198" s="208">
        <v>0</v>
      </c>
      <c r="DV198" s="208">
        <v>-8</v>
      </c>
      <c r="DW198" s="208">
        <v>38750.436041666668</v>
      </c>
      <c r="DX198" s="208">
        <v>0</v>
      </c>
      <c r="DY198" s="208">
        <v>675.8410416666668</v>
      </c>
      <c r="DZ198" s="208">
        <v>50766</v>
      </c>
      <c r="EA198" s="208">
        <v>0</v>
      </c>
      <c r="EB198" s="208">
        <v>917</v>
      </c>
      <c r="EC198" s="208">
        <v>-12016</v>
      </c>
      <c r="ED198" s="208">
        <v>0</v>
      </c>
      <c r="EE198" s="208">
        <v>-241</v>
      </c>
      <c r="EF198" s="208">
        <v>0</v>
      </c>
      <c r="EG198" s="208">
        <v>0</v>
      </c>
      <c r="EH198" s="208">
        <v>0</v>
      </c>
      <c r="EI198" s="208">
        <v>-15667.001895833333</v>
      </c>
      <c r="EJ198" s="208">
        <v>0</v>
      </c>
      <c r="EK198" s="208">
        <v>-313.51372916666668</v>
      </c>
      <c r="EL198" s="208">
        <v>322749</v>
      </c>
      <c r="EM198" s="208">
        <v>0</v>
      </c>
      <c r="EN198" s="208">
        <v>4361</v>
      </c>
      <c r="EO198" s="208">
        <v>-338416</v>
      </c>
      <c r="EP198" s="208">
        <v>0</v>
      </c>
      <c r="EQ198" s="208">
        <v>-4675</v>
      </c>
      <c r="ER198" s="208">
        <v>48938.900854166663</v>
      </c>
      <c r="ES198" s="208">
        <v>0</v>
      </c>
      <c r="ET198" s="208">
        <v>656.70227083333339</v>
      </c>
      <c r="EU198" s="208">
        <v>70348</v>
      </c>
      <c r="EV198" s="208">
        <v>0</v>
      </c>
      <c r="EW198" s="208">
        <v>1039</v>
      </c>
      <c r="EX198" s="208">
        <v>-21409</v>
      </c>
      <c r="EY198" s="208">
        <v>0</v>
      </c>
      <c r="EZ198" s="208">
        <v>-382</v>
      </c>
      <c r="FA198" s="208">
        <v>0</v>
      </c>
      <c r="FB198" s="208">
        <v>0</v>
      </c>
      <c r="FC198" s="208">
        <v>0</v>
      </c>
      <c r="FD198" s="208">
        <v>0</v>
      </c>
      <c r="FE198" s="208">
        <v>0</v>
      </c>
      <c r="FF198" s="208">
        <v>0</v>
      </c>
      <c r="FG198" s="208">
        <v>0</v>
      </c>
      <c r="FH198" s="208">
        <v>0</v>
      </c>
      <c r="FI198" s="208">
        <v>0</v>
      </c>
      <c r="FJ198" s="208">
        <v>1637756.8450833331</v>
      </c>
      <c r="FK198" s="208">
        <v>0</v>
      </c>
      <c r="FL198" s="208">
        <v>33423.609083333329</v>
      </c>
      <c r="FM198" s="208">
        <v>1534529</v>
      </c>
      <c r="FN198" s="208">
        <v>0</v>
      </c>
      <c r="FO198" s="208">
        <v>31317</v>
      </c>
      <c r="FP198" s="208">
        <v>103228</v>
      </c>
      <c r="FQ198" s="208">
        <v>0</v>
      </c>
      <c r="FR198" s="208">
        <v>2107</v>
      </c>
      <c r="FS198" s="208">
        <v>0</v>
      </c>
      <c r="FT198" s="208">
        <v>0</v>
      </c>
      <c r="FU198" s="208">
        <v>0</v>
      </c>
      <c r="FV198" s="208">
        <v>0</v>
      </c>
      <c r="FW198" s="208">
        <v>0</v>
      </c>
      <c r="FX198" s="208">
        <v>0</v>
      </c>
      <c r="FY198" s="208">
        <v>0</v>
      </c>
      <c r="FZ198" s="208">
        <v>0</v>
      </c>
      <c r="GA198" s="208">
        <v>0</v>
      </c>
      <c r="GB198" s="208">
        <v>5267001</v>
      </c>
      <c r="GC198" s="208">
        <v>0</v>
      </c>
      <c r="GD198" s="208">
        <v>97663</v>
      </c>
      <c r="GE198" s="664">
        <v>0.5</v>
      </c>
      <c r="GF198" s="664">
        <v>0.49</v>
      </c>
      <c r="GG198" s="664">
        <v>0</v>
      </c>
      <c r="GH198" s="664">
        <v>0.01</v>
      </c>
      <c r="GI198" s="187" t="s">
        <v>742</v>
      </c>
    </row>
    <row r="199" spans="1:191" s="187" customFormat="1" x14ac:dyDescent="0.2">
      <c r="B199" s="429" t="s">
        <v>475</v>
      </c>
      <c r="C199" s="429" t="s">
        <v>474</v>
      </c>
      <c r="D199" s="208">
        <v>-400189</v>
      </c>
      <c r="E199" s="208">
        <v>0</v>
      </c>
      <c r="F199" s="208">
        <v>-400189</v>
      </c>
      <c r="G199" s="208">
        <v>-628868</v>
      </c>
      <c r="H199" s="208">
        <v>0</v>
      </c>
      <c r="I199" s="208">
        <v>-628868</v>
      </c>
      <c r="J199" s="208">
        <v>228679</v>
      </c>
      <c r="K199" s="208">
        <v>0</v>
      </c>
      <c r="L199" s="208">
        <v>228679</v>
      </c>
      <c r="M199" s="208">
        <v>131034</v>
      </c>
      <c r="N199" s="208">
        <v>131034</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208">
        <v>0</v>
      </c>
      <c r="BM199" s="208">
        <v>0</v>
      </c>
      <c r="BN199" s="208">
        <v>0</v>
      </c>
      <c r="BO199" s="208">
        <v>1021444.6069316667</v>
      </c>
      <c r="BP199" s="208">
        <v>255361.15173291668</v>
      </c>
      <c r="BQ199" s="208">
        <v>0</v>
      </c>
      <c r="BR199" s="208">
        <v>84051</v>
      </c>
      <c r="BS199" s="208">
        <v>21013</v>
      </c>
      <c r="BT199" s="208">
        <v>0</v>
      </c>
      <c r="BU199" s="208">
        <v>1003658</v>
      </c>
      <c r="BV199" s="208">
        <v>250915</v>
      </c>
      <c r="BW199" s="208">
        <v>0</v>
      </c>
      <c r="BX199" s="208">
        <v>101838</v>
      </c>
      <c r="BY199" s="208">
        <v>25459</v>
      </c>
      <c r="BZ199" s="208">
        <v>0</v>
      </c>
      <c r="CA199" s="208">
        <v>0</v>
      </c>
      <c r="CB199" s="208">
        <v>0</v>
      </c>
      <c r="CC199" s="208">
        <v>0</v>
      </c>
      <c r="CD199" s="208">
        <v>0</v>
      </c>
      <c r="CE199" s="208">
        <v>0</v>
      </c>
      <c r="CF199" s="208">
        <v>0</v>
      </c>
      <c r="CG199" s="208">
        <v>0</v>
      </c>
      <c r="CH199" s="208">
        <v>0</v>
      </c>
      <c r="CI199" s="208">
        <v>0</v>
      </c>
      <c r="CJ199" s="208">
        <v>-8984.0725000000002</v>
      </c>
      <c r="CK199" s="208">
        <v>-2246.0181250000001</v>
      </c>
      <c r="CL199" s="208">
        <v>0</v>
      </c>
      <c r="CM199" s="208">
        <v>0</v>
      </c>
      <c r="CN199" s="208">
        <v>0</v>
      </c>
      <c r="CO199" s="208">
        <v>0</v>
      </c>
      <c r="CP199" s="208">
        <v>0</v>
      </c>
      <c r="CQ199" s="208">
        <v>0</v>
      </c>
      <c r="CR199" s="208">
        <v>0</v>
      </c>
      <c r="CS199" s="208">
        <v>0</v>
      </c>
      <c r="CT199" s="208">
        <v>0</v>
      </c>
      <c r="CU199" s="208">
        <v>0</v>
      </c>
      <c r="CV199" s="208">
        <v>0</v>
      </c>
      <c r="CW199" s="208">
        <v>0</v>
      </c>
      <c r="CX199" s="208">
        <v>0</v>
      </c>
      <c r="CY199" s="208">
        <v>0</v>
      </c>
      <c r="CZ199" s="208">
        <v>0</v>
      </c>
      <c r="DA199" s="208">
        <v>0</v>
      </c>
      <c r="DB199" s="208">
        <v>0</v>
      </c>
      <c r="DC199" s="208">
        <v>0</v>
      </c>
      <c r="DD199" s="208">
        <v>0</v>
      </c>
      <c r="DE199" s="208">
        <v>0</v>
      </c>
      <c r="DF199" s="208">
        <v>0</v>
      </c>
      <c r="DG199" s="208">
        <v>0</v>
      </c>
      <c r="DH199" s="208">
        <v>0</v>
      </c>
      <c r="DI199" s="208">
        <v>0</v>
      </c>
      <c r="DJ199" s="208">
        <v>0</v>
      </c>
      <c r="DK199" s="208">
        <v>0</v>
      </c>
      <c r="DL199" s="208">
        <v>0</v>
      </c>
      <c r="DM199" s="208">
        <v>0</v>
      </c>
      <c r="DN199" s="208">
        <v>0</v>
      </c>
      <c r="DO199" s="208">
        <v>0</v>
      </c>
      <c r="DP199" s="208">
        <v>0</v>
      </c>
      <c r="DQ199" s="208">
        <v>0</v>
      </c>
      <c r="DR199" s="208">
        <v>0</v>
      </c>
      <c r="DS199" s="208">
        <v>0</v>
      </c>
      <c r="DT199" s="208">
        <v>0</v>
      </c>
      <c r="DU199" s="208">
        <v>0</v>
      </c>
      <c r="DV199" s="208">
        <v>0</v>
      </c>
      <c r="DW199" s="208">
        <v>4439.8675000000003</v>
      </c>
      <c r="DX199" s="208">
        <v>1109.9668750000001</v>
      </c>
      <c r="DY199" s="208">
        <v>0</v>
      </c>
      <c r="DZ199" s="208">
        <v>4597</v>
      </c>
      <c r="EA199" s="208">
        <v>1149</v>
      </c>
      <c r="EB199" s="208">
        <v>0</v>
      </c>
      <c r="EC199" s="208">
        <v>-157</v>
      </c>
      <c r="ED199" s="208">
        <v>-39</v>
      </c>
      <c r="EE199" s="208">
        <v>0</v>
      </c>
      <c r="EF199" s="208">
        <v>26265.635833333334</v>
      </c>
      <c r="EG199" s="208">
        <v>6566.4089583333334</v>
      </c>
      <c r="EH199" s="208">
        <v>0</v>
      </c>
      <c r="EI199" s="208">
        <v>-1947.2241666666666</v>
      </c>
      <c r="EJ199" s="208">
        <v>-486.80604166666666</v>
      </c>
      <c r="EK199" s="208">
        <v>0</v>
      </c>
      <c r="EL199" s="208">
        <v>28233</v>
      </c>
      <c r="EM199" s="208">
        <v>7058</v>
      </c>
      <c r="EN199" s="208">
        <v>0</v>
      </c>
      <c r="EO199" s="208">
        <v>-3915</v>
      </c>
      <c r="EP199" s="208">
        <v>-978</v>
      </c>
      <c r="EQ199" s="208">
        <v>0</v>
      </c>
      <c r="ER199" s="208">
        <v>9128.0991666666669</v>
      </c>
      <c r="ES199" s="208">
        <v>2282.0247916666667</v>
      </c>
      <c r="ET199" s="208">
        <v>0</v>
      </c>
      <c r="EU199" s="208">
        <v>9820</v>
      </c>
      <c r="EV199" s="208">
        <v>2455</v>
      </c>
      <c r="EW199" s="208">
        <v>0</v>
      </c>
      <c r="EX199" s="208">
        <v>-692</v>
      </c>
      <c r="EY199" s="208">
        <v>-173</v>
      </c>
      <c r="EZ199" s="208">
        <v>0</v>
      </c>
      <c r="FA199" s="208">
        <v>0</v>
      </c>
      <c r="FB199" s="208">
        <v>0</v>
      </c>
      <c r="FC199" s="208">
        <v>0</v>
      </c>
      <c r="FD199" s="208">
        <v>0</v>
      </c>
      <c r="FE199" s="208">
        <v>0</v>
      </c>
      <c r="FF199" s="208">
        <v>0</v>
      </c>
      <c r="FG199" s="208">
        <v>0</v>
      </c>
      <c r="FH199" s="208">
        <v>0</v>
      </c>
      <c r="FI199" s="208">
        <v>0</v>
      </c>
      <c r="FJ199" s="208">
        <v>324264.51749999996</v>
      </c>
      <c r="FK199" s="208">
        <v>81066.12937499999</v>
      </c>
      <c r="FL199" s="208">
        <v>0</v>
      </c>
      <c r="FM199" s="208">
        <v>314372</v>
      </c>
      <c r="FN199" s="208">
        <v>78593</v>
      </c>
      <c r="FO199" s="208">
        <v>0</v>
      </c>
      <c r="FP199" s="208">
        <v>9893</v>
      </c>
      <c r="FQ199" s="208">
        <v>2473</v>
      </c>
      <c r="FR199" s="208">
        <v>0</v>
      </c>
      <c r="FS199" s="208">
        <v>0</v>
      </c>
      <c r="FT199" s="208">
        <v>0</v>
      </c>
      <c r="FU199" s="208">
        <v>0</v>
      </c>
      <c r="FV199" s="208">
        <v>0</v>
      </c>
      <c r="FW199" s="208">
        <v>0</v>
      </c>
      <c r="FX199" s="208">
        <v>0</v>
      </c>
      <c r="FY199" s="208">
        <v>0</v>
      </c>
      <c r="FZ199" s="208">
        <v>0</v>
      </c>
      <c r="GA199" s="208">
        <v>0</v>
      </c>
      <c r="GB199" s="208">
        <v>1458664</v>
      </c>
      <c r="GC199" s="208">
        <v>364665</v>
      </c>
      <c r="GD199" s="208">
        <v>0</v>
      </c>
      <c r="GE199" s="664">
        <v>0.5</v>
      </c>
      <c r="GF199" s="664">
        <v>0.4</v>
      </c>
      <c r="GG199" s="664">
        <v>0.1</v>
      </c>
      <c r="GH199" s="664">
        <v>0</v>
      </c>
      <c r="GI199" s="187" t="s">
        <v>1054</v>
      </c>
    </row>
    <row r="200" spans="1:191" s="187" customFormat="1" x14ac:dyDescent="0.2">
      <c r="B200" s="429" t="s">
        <v>477</v>
      </c>
      <c r="C200" s="429" t="s">
        <v>476</v>
      </c>
      <c r="D200" s="208">
        <v>331179</v>
      </c>
      <c r="E200" s="208">
        <v>0</v>
      </c>
      <c r="F200" s="208">
        <v>331179</v>
      </c>
      <c r="G200" s="208">
        <v>351568</v>
      </c>
      <c r="H200" s="208">
        <v>0</v>
      </c>
      <c r="I200" s="208">
        <v>351568</v>
      </c>
      <c r="J200" s="208">
        <v>-20389</v>
      </c>
      <c r="K200" s="208">
        <v>0</v>
      </c>
      <c r="L200" s="208">
        <v>-20389</v>
      </c>
      <c r="M200" s="208">
        <v>54961</v>
      </c>
      <c r="N200" s="208">
        <v>54961</v>
      </c>
      <c r="O200" s="208">
        <v>0</v>
      </c>
      <c r="P200" s="208">
        <v>0</v>
      </c>
      <c r="Q200" s="208">
        <v>0</v>
      </c>
      <c r="R200" s="208">
        <v>0</v>
      </c>
      <c r="S200" s="208">
        <v>6360</v>
      </c>
      <c r="T200" s="208">
        <v>0</v>
      </c>
      <c r="U200" s="208">
        <v>8280</v>
      </c>
      <c r="V200" s="208">
        <v>0</v>
      </c>
      <c r="W200" s="208">
        <v>-1920</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208">
        <v>0</v>
      </c>
      <c r="BM200" s="208">
        <v>0</v>
      </c>
      <c r="BN200" s="208">
        <v>0</v>
      </c>
      <c r="BO200" s="208">
        <v>537089.01083083334</v>
      </c>
      <c r="BP200" s="208">
        <v>120845.02743693748</v>
      </c>
      <c r="BQ200" s="208">
        <v>13427.225270770832</v>
      </c>
      <c r="BR200" s="208">
        <v>29489</v>
      </c>
      <c r="BS200" s="208">
        <v>6635</v>
      </c>
      <c r="BT200" s="208">
        <v>737</v>
      </c>
      <c r="BU200" s="208">
        <v>487660</v>
      </c>
      <c r="BV200" s="208">
        <v>109724</v>
      </c>
      <c r="BW200" s="208">
        <v>12192</v>
      </c>
      <c r="BX200" s="208">
        <v>78918</v>
      </c>
      <c r="BY200" s="208">
        <v>17756</v>
      </c>
      <c r="BZ200" s="208">
        <v>1972</v>
      </c>
      <c r="CA200" s="208">
        <v>7401.4158333333344</v>
      </c>
      <c r="CB200" s="208">
        <v>1665.3185625000001</v>
      </c>
      <c r="CC200" s="208">
        <v>185.03539583333335</v>
      </c>
      <c r="CD200" s="208">
        <v>6546</v>
      </c>
      <c r="CE200" s="208">
        <v>1473</v>
      </c>
      <c r="CF200" s="208">
        <v>164</v>
      </c>
      <c r="CG200" s="208">
        <v>855</v>
      </c>
      <c r="CH200" s="208">
        <v>192</v>
      </c>
      <c r="CI200" s="208">
        <v>21</v>
      </c>
      <c r="CJ200" s="208">
        <v>0</v>
      </c>
      <c r="CK200" s="208">
        <v>0</v>
      </c>
      <c r="CL200" s="208">
        <v>0</v>
      </c>
      <c r="CM200" s="208">
        <v>0</v>
      </c>
      <c r="CN200" s="208">
        <v>0</v>
      </c>
      <c r="CO200" s="208">
        <v>0</v>
      </c>
      <c r="CP200" s="208">
        <v>-613.75</v>
      </c>
      <c r="CQ200" s="208">
        <v>-138.09375</v>
      </c>
      <c r="CR200" s="208">
        <v>-15.34375</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0</v>
      </c>
      <c r="DQ200" s="208">
        <v>0</v>
      </c>
      <c r="DR200" s="208">
        <v>0</v>
      </c>
      <c r="DS200" s="208">
        <v>0</v>
      </c>
      <c r="DT200" s="208">
        <v>0</v>
      </c>
      <c r="DU200" s="208">
        <v>0</v>
      </c>
      <c r="DV200" s="208">
        <v>0</v>
      </c>
      <c r="DW200" s="208">
        <v>894.84750000000008</v>
      </c>
      <c r="DX200" s="208">
        <v>201.3406875</v>
      </c>
      <c r="DY200" s="208">
        <v>22.371187500000001</v>
      </c>
      <c r="DZ200" s="208">
        <v>2046</v>
      </c>
      <c r="EA200" s="208">
        <v>460</v>
      </c>
      <c r="EB200" s="208">
        <v>51</v>
      </c>
      <c r="EC200" s="208">
        <v>-1151</v>
      </c>
      <c r="ED200" s="208">
        <v>-259</v>
      </c>
      <c r="EE200" s="208">
        <v>-29</v>
      </c>
      <c r="EF200" s="208">
        <v>19591.30916666667</v>
      </c>
      <c r="EG200" s="208">
        <v>4408.0445625000002</v>
      </c>
      <c r="EH200" s="208">
        <v>489.78272916666668</v>
      </c>
      <c r="EI200" s="208">
        <v>778.64416666666671</v>
      </c>
      <c r="EJ200" s="208">
        <v>175.19493749999998</v>
      </c>
      <c r="EK200" s="208">
        <v>19.466104166666668</v>
      </c>
      <c r="EL200" s="208">
        <v>23782</v>
      </c>
      <c r="EM200" s="208">
        <v>5351</v>
      </c>
      <c r="EN200" s="208">
        <v>595</v>
      </c>
      <c r="EO200" s="208">
        <v>-3412</v>
      </c>
      <c r="EP200" s="208">
        <v>-768</v>
      </c>
      <c r="EQ200" s="208">
        <v>-86</v>
      </c>
      <c r="ER200" s="208">
        <v>3682.5</v>
      </c>
      <c r="ES200" s="208">
        <v>828.5625</v>
      </c>
      <c r="ET200" s="208">
        <v>92.0625</v>
      </c>
      <c r="EU200" s="208">
        <v>3682</v>
      </c>
      <c r="EV200" s="208">
        <v>829</v>
      </c>
      <c r="EW200" s="208">
        <v>92</v>
      </c>
      <c r="EX200" s="208">
        <v>1</v>
      </c>
      <c r="EY200" s="208">
        <v>0</v>
      </c>
      <c r="EZ200" s="208">
        <v>0</v>
      </c>
      <c r="FA200" s="208">
        <v>0</v>
      </c>
      <c r="FB200" s="208">
        <v>0</v>
      </c>
      <c r="FC200" s="208">
        <v>0</v>
      </c>
      <c r="FD200" s="208">
        <v>0</v>
      </c>
      <c r="FE200" s="208">
        <v>0</v>
      </c>
      <c r="FF200" s="208">
        <v>0</v>
      </c>
      <c r="FG200" s="208">
        <v>0</v>
      </c>
      <c r="FH200" s="208">
        <v>0</v>
      </c>
      <c r="FI200" s="208">
        <v>0</v>
      </c>
      <c r="FJ200" s="208">
        <v>108365.46416666666</v>
      </c>
      <c r="FK200" s="208">
        <v>24349.435687500001</v>
      </c>
      <c r="FL200" s="208">
        <v>2705.4928541666663</v>
      </c>
      <c r="FM200" s="208">
        <v>112193</v>
      </c>
      <c r="FN200" s="208">
        <v>25201</v>
      </c>
      <c r="FO200" s="208">
        <v>2800</v>
      </c>
      <c r="FP200" s="208">
        <v>-3828</v>
      </c>
      <c r="FQ200" s="208">
        <v>-852</v>
      </c>
      <c r="FR200" s="208">
        <v>-95</v>
      </c>
      <c r="FS200" s="208">
        <v>0</v>
      </c>
      <c r="FT200" s="208">
        <v>0</v>
      </c>
      <c r="FU200" s="208">
        <v>0</v>
      </c>
      <c r="FV200" s="208">
        <v>0</v>
      </c>
      <c r="FW200" s="208">
        <v>0</v>
      </c>
      <c r="FX200" s="208">
        <v>0</v>
      </c>
      <c r="FY200" s="208">
        <v>0</v>
      </c>
      <c r="FZ200" s="208">
        <v>0</v>
      </c>
      <c r="GA200" s="208">
        <v>0</v>
      </c>
      <c r="GB200" s="208">
        <v>706678</v>
      </c>
      <c r="GC200" s="208">
        <v>158969</v>
      </c>
      <c r="GD200" s="208">
        <v>17662</v>
      </c>
      <c r="GE200" s="664">
        <v>0.5</v>
      </c>
      <c r="GF200" s="664">
        <v>0.4</v>
      </c>
      <c r="GG200" s="664">
        <v>0.09</v>
      </c>
      <c r="GH200" s="664">
        <v>0.01</v>
      </c>
      <c r="GI200" s="187" t="s">
        <v>1054</v>
      </c>
    </row>
    <row r="201" spans="1:191" s="187" customFormat="1" x14ac:dyDescent="0.2">
      <c r="B201" s="429" t="s">
        <v>479</v>
      </c>
      <c r="C201" s="429" t="s">
        <v>478</v>
      </c>
      <c r="D201" s="208">
        <v>-1870788</v>
      </c>
      <c r="E201" s="208">
        <v>0</v>
      </c>
      <c r="F201" s="208">
        <v>-1870788</v>
      </c>
      <c r="G201" s="208">
        <v>-2680973</v>
      </c>
      <c r="H201" s="208">
        <v>0</v>
      </c>
      <c r="I201" s="208">
        <v>-2680973</v>
      </c>
      <c r="J201" s="208">
        <v>810185</v>
      </c>
      <c r="K201" s="208">
        <v>0</v>
      </c>
      <c r="L201" s="208">
        <v>810185</v>
      </c>
      <c r="M201" s="208">
        <v>303420</v>
      </c>
      <c r="N201" s="208">
        <v>303420</v>
      </c>
      <c r="O201" s="208">
        <v>0</v>
      </c>
      <c r="P201" s="208">
        <v>0</v>
      </c>
      <c r="Q201" s="208">
        <v>0</v>
      </c>
      <c r="R201" s="208">
        <v>0</v>
      </c>
      <c r="S201" s="208">
        <v>0</v>
      </c>
      <c r="T201" s="208">
        <v>0</v>
      </c>
      <c r="U201" s="208">
        <v>0</v>
      </c>
      <c r="V201" s="208">
        <v>0</v>
      </c>
      <c r="W201" s="208">
        <v>0</v>
      </c>
      <c r="X201" s="208">
        <v>0</v>
      </c>
      <c r="Y201" s="208">
        <v>0</v>
      </c>
      <c r="Z201" s="208">
        <v>0</v>
      </c>
      <c r="AA201" s="208">
        <v>0</v>
      </c>
      <c r="AB201" s="208">
        <v>0</v>
      </c>
      <c r="AC201" s="208">
        <v>0</v>
      </c>
      <c r="AD201" s="208">
        <v>0</v>
      </c>
      <c r="AE201" s="208">
        <v>0</v>
      </c>
      <c r="AF201" s="208">
        <v>0</v>
      </c>
      <c r="AG201" s="208">
        <v>0</v>
      </c>
      <c r="AH201" s="208">
        <v>0</v>
      </c>
      <c r="AI201" s="208">
        <v>0</v>
      </c>
      <c r="AJ201" s="208">
        <v>0</v>
      </c>
      <c r="AK201" s="208">
        <v>0</v>
      </c>
      <c r="AL201" s="208">
        <v>0</v>
      </c>
      <c r="AM201" s="208">
        <v>0</v>
      </c>
      <c r="AN201" s="208">
        <v>0</v>
      </c>
      <c r="AO201" s="208">
        <v>0</v>
      </c>
      <c r="AP201" s="208">
        <v>0</v>
      </c>
      <c r="AQ201" s="208">
        <v>0</v>
      </c>
      <c r="AR201" s="208">
        <v>0</v>
      </c>
      <c r="AS201" s="208">
        <v>0</v>
      </c>
      <c r="AT201" s="208">
        <v>0</v>
      </c>
      <c r="AU201" s="208">
        <v>0</v>
      </c>
      <c r="AV201" s="208">
        <v>0</v>
      </c>
      <c r="AW201" s="208">
        <v>0</v>
      </c>
      <c r="AX201" s="208">
        <v>0</v>
      </c>
      <c r="AY201" s="208">
        <v>0</v>
      </c>
      <c r="AZ201" s="208">
        <v>0</v>
      </c>
      <c r="BA201" s="208">
        <v>0</v>
      </c>
      <c r="BB201" s="208">
        <v>0</v>
      </c>
      <c r="BC201" s="208">
        <v>0</v>
      </c>
      <c r="BD201" s="208">
        <v>0</v>
      </c>
      <c r="BE201" s="208">
        <v>0</v>
      </c>
      <c r="BF201" s="208">
        <v>0</v>
      </c>
      <c r="BG201" s="208">
        <v>0</v>
      </c>
      <c r="BH201" s="208">
        <v>0</v>
      </c>
      <c r="BI201" s="208">
        <v>0</v>
      </c>
      <c r="BJ201" s="208">
        <v>0</v>
      </c>
      <c r="BK201" s="208">
        <v>0</v>
      </c>
      <c r="BL201" s="208">
        <v>0</v>
      </c>
      <c r="BM201" s="208">
        <v>0</v>
      </c>
      <c r="BN201" s="208">
        <v>0</v>
      </c>
      <c r="BO201" s="208">
        <v>6637940.1727662375</v>
      </c>
      <c r="BP201" s="208">
        <v>0</v>
      </c>
      <c r="BQ201" s="208">
        <v>67049.900735012503</v>
      </c>
      <c r="BR201" s="208">
        <v>292054</v>
      </c>
      <c r="BS201" s="208">
        <v>0</v>
      </c>
      <c r="BT201" s="208">
        <v>2950</v>
      </c>
      <c r="BU201" s="208">
        <v>5912141</v>
      </c>
      <c r="BV201" s="208">
        <v>0</v>
      </c>
      <c r="BW201" s="208">
        <v>59719</v>
      </c>
      <c r="BX201" s="208">
        <v>1017853</v>
      </c>
      <c r="BY201" s="208">
        <v>0</v>
      </c>
      <c r="BZ201" s="208">
        <v>10281</v>
      </c>
      <c r="CA201" s="208">
        <v>0</v>
      </c>
      <c r="CB201" s="208">
        <v>0</v>
      </c>
      <c r="CC201" s="208">
        <v>0</v>
      </c>
      <c r="CD201" s="208">
        <v>0</v>
      </c>
      <c r="CE201" s="208">
        <v>0</v>
      </c>
      <c r="CF201" s="208">
        <v>0</v>
      </c>
      <c r="CG201" s="208">
        <v>0</v>
      </c>
      <c r="CH201" s="208">
        <v>0</v>
      </c>
      <c r="CI201" s="208">
        <v>0</v>
      </c>
      <c r="CJ201" s="208">
        <v>-2485.1351250000002</v>
      </c>
      <c r="CK201" s="208">
        <v>0</v>
      </c>
      <c r="CL201" s="208">
        <v>-25.102375000000002</v>
      </c>
      <c r="CM201" s="208">
        <v>0</v>
      </c>
      <c r="CN201" s="208">
        <v>0</v>
      </c>
      <c r="CO201" s="208">
        <v>0</v>
      </c>
      <c r="CP201" s="208">
        <v>-1548.3991875000002</v>
      </c>
      <c r="CQ201" s="208">
        <v>0</v>
      </c>
      <c r="CR201" s="208">
        <v>-15.640395833333335</v>
      </c>
      <c r="CS201" s="208">
        <v>0</v>
      </c>
      <c r="CT201" s="208">
        <v>0</v>
      </c>
      <c r="CU201" s="208">
        <v>0</v>
      </c>
      <c r="CV201" s="208">
        <v>0</v>
      </c>
      <c r="CW201" s="208">
        <v>0</v>
      </c>
      <c r="CX201" s="208">
        <v>0</v>
      </c>
      <c r="CY201" s="208">
        <v>0</v>
      </c>
      <c r="CZ201" s="208">
        <v>0</v>
      </c>
      <c r="DA201" s="208">
        <v>0</v>
      </c>
      <c r="DB201" s="208">
        <v>0</v>
      </c>
      <c r="DC201" s="208">
        <v>0</v>
      </c>
      <c r="DD201" s="208">
        <v>0</v>
      </c>
      <c r="DE201" s="208">
        <v>0</v>
      </c>
      <c r="DF201" s="208">
        <v>0</v>
      </c>
      <c r="DG201" s="208">
        <v>0</v>
      </c>
      <c r="DH201" s="208">
        <v>14161</v>
      </c>
      <c r="DI201" s="208">
        <v>0</v>
      </c>
      <c r="DJ201" s="208">
        <v>143</v>
      </c>
      <c r="DK201" s="208">
        <v>-14161</v>
      </c>
      <c r="DL201" s="208">
        <v>0</v>
      </c>
      <c r="DM201" s="208">
        <v>-143</v>
      </c>
      <c r="DN201" s="208">
        <v>0</v>
      </c>
      <c r="DO201" s="208">
        <v>0</v>
      </c>
      <c r="DP201" s="208">
        <v>0</v>
      </c>
      <c r="DQ201" s="208">
        <v>0</v>
      </c>
      <c r="DR201" s="208">
        <v>0</v>
      </c>
      <c r="DS201" s="208">
        <v>0</v>
      </c>
      <c r="DT201" s="208">
        <v>0</v>
      </c>
      <c r="DU201" s="208">
        <v>0</v>
      </c>
      <c r="DV201" s="208">
        <v>0</v>
      </c>
      <c r="DW201" s="208">
        <v>18790.416562500002</v>
      </c>
      <c r="DX201" s="208">
        <v>0</v>
      </c>
      <c r="DY201" s="208">
        <v>189.8021875</v>
      </c>
      <c r="DZ201" s="208">
        <v>14161</v>
      </c>
      <c r="EA201" s="208">
        <v>0</v>
      </c>
      <c r="EB201" s="208">
        <v>143</v>
      </c>
      <c r="EC201" s="208">
        <v>4629</v>
      </c>
      <c r="ED201" s="208">
        <v>0</v>
      </c>
      <c r="EE201" s="208">
        <v>47</v>
      </c>
      <c r="EF201" s="208">
        <v>147970.85943750001</v>
      </c>
      <c r="EG201" s="208">
        <v>0</v>
      </c>
      <c r="EH201" s="208">
        <v>1494.6551458333333</v>
      </c>
      <c r="EI201" s="208">
        <v>0</v>
      </c>
      <c r="EJ201" s="208">
        <v>0</v>
      </c>
      <c r="EK201" s="208">
        <v>0</v>
      </c>
      <c r="EL201" s="208">
        <v>147853</v>
      </c>
      <c r="EM201" s="208">
        <v>0</v>
      </c>
      <c r="EN201" s="208">
        <v>1493</v>
      </c>
      <c r="EO201" s="208">
        <v>118</v>
      </c>
      <c r="EP201" s="208">
        <v>0</v>
      </c>
      <c r="EQ201" s="208">
        <v>2</v>
      </c>
      <c r="ER201" s="208">
        <v>74714.058374999993</v>
      </c>
      <c r="ES201" s="208">
        <v>0</v>
      </c>
      <c r="ET201" s="208">
        <v>754.68745833333321</v>
      </c>
      <c r="EU201" s="208">
        <v>93891</v>
      </c>
      <c r="EV201" s="208">
        <v>0</v>
      </c>
      <c r="EW201" s="208">
        <v>948</v>
      </c>
      <c r="EX201" s="208">
        <v>-19177</v>
      </c>
      <c r="EY201" s="208">
        <v>0</v>
      </c>
      <c r="EZ201" s="208">
        <v>-193</v>
      </c>
      <c r="FA201" s="208">
        <v>0</v>
      </c>
      <c r="FB201" s="208">
        <v>0</v>
      </c>
      <c r="FC201" s="208">
        <v>0</v>
      </c>
      <c r="FD201" s="208">
        <v>0</v>
      </c>
      <c r="FE201" s="208">
        <v>0</v>
      </c>
      <c r="FF201" s="208">
        <v>0</v>
      </c>
      <c r="FG201" s="208">
        <v>0</v>
      </c>
      <c r="FH201" s="208">
        <v>0</v>
      </c>
      <c r="FI201" s="208">
        <v>0</v>
      </c>
      <c r="FJ201" s="208">
        <v>1243106.5226249998</v>
      </c>
      <c r="FK201" s="208">
        <v>0</v>
      </c>
      <c r="FL201" s="208">
        <v>12556.631541666666</v>
      </c>
      <c r="FM201" s="208">
        <v>1214997</v>
      </c>
      <c r="FN201" s="208">
        <v>0</v>
      </c>
      <c r="FO201" s="208">
        <v>12273</v>
      </c>
      <c r="FP201" s="208">
        <v>28110</v>
      </c>
      <c r="FQ201" s="208">
        <v>0</v>
      </c>
      <c r="FR201" s="208">
        <v>284</v>
      </c>
      <c r="FS201" s="208">
        <v>0</v>
      </c>
      <c r="FT201" s="208">
        <v>0</v>
      </c>
      <c r="FU201" s="208">
        <v>0</v>
      </c>
      <c r="FV201" s="208">
        <v>0</v>
      </c>
      <c r="FW201" s="208">
        <v>0</v>
      </c>
      <c r="FX201" s="208">
        <v>0</v>
      </c>
      <c r="FY201" s="208">
        <v>0</v>
      </c>
      <c r="FZ201" s="208">
        <v>0</v>
      </c>
      <c r="GA201" s="208">
        <v>0</v>
      </c>
      <c r="GB201" s="208">
        <v>8410543</v>
      </c>
      <c r="GC201" s="208">
        <v>0</v>
      </c>
      <c r="GD201" s="208">
        <v>84956</v>
      </c>
      <c r="GE201" s="664">
        <v>0</v>
      </c>
      <c r="GF201" s="664">
        <v>0.99</v>
      </c>
      <c r="GG201" s="664">
        <v>0</v>
      </c>
      <c r="GH201" s="664">
        <v>0.01</v>
      </c>
      <c r="GI201" s="187" t="s">
        <v>1056</v>
      </c>
    </row>
    <row r="202" spans="1:191" s="187" customFormat="1" x14ac:dyDescent="0.2">
      <c r="B202" s="429" t="s">
        <v>481</v>
      </c>
      <c r="C202" s="429" t="s">
        <v>480</v>
      </c>
      <c r="D202" s="208">
        <v>-151064</v>
      </c>
      <c r="E202" s="208">
        <v>0</v>
      </c>
      <c r="F202" s="208">
        <v>-151064</v>
      </c>
      <c r="G202" s="208">
        <v>-129691</v>
      </c>
      <c r="H202" s="208">
        <v>0</v>
      </c>
      <c r="I202" s="208">
        <v>-129691</v>
      </c>
      <c r="J202" s="208">
        <v>-21373</v>
      </c>
      <c r="K202" s="208">
        <v>0</v>
      </c>
      <c r="L202" s="208">
        <v>-21373</v>
      </c>
      <c r="M202" s="208">
        <v>214298</v>
      </c>
      <c r="N202" s="208">
        <v>214298</v>
      </c>
      <c r="O202" s="208">
        <v>0</v>
      </c>
      <c r="P202" s="208">
        <v>0</v>
      </c>
      <c r="Q202" s="208">
        <v>0</v>
      </c>
      <c r="R202" s="208">
        <v>0</v>
      </c>
      <c r="S202" s="208">
        <v>8315</v>
      </c>
      <c r="T202" s="208">
        <v>0</v>
      </c>
      <c r="U202" s="208">
        <v>8133</v>
      </c>
      <c r="V202" s="208">
        <v>439</v>
      </c>
      <c r="W202" s="208">
        <v>182</v>
      </c>
      <c r="X202" s="208">
        <v>-439</v>
      </c>
      <c r="Y202" s="208">
        <v>0</v>
      </c>
      <c r="Z202" s="208">
        <v>0</v>
      </c>
      <c r="AA202" s="208">
        <v>0</v>
      </c>
      <c r="AB202" s="208">
        <v>0</v>
      </c>
      <c r="AC202" s="208">
        <v>0</v>
      </c>
      <c r="AD202" s="208">
        <v>0</v>
      </c>
      <c r="AE202" s="208">
        <v>0</v>
      </c>
      <c r="AF202" s="208">
        <v>0</v>
      </c>
      <c r="AG202" s="208">
        <v>0</v>
      </c>
      <c r="AH202" s="208">
        <v>0</v>
      </c>
      <c r="AI202" s="208">
        <v>0</v>
      </c>
      <c r="AJ202" s="208">
        <v>0</v>
      </c>
      <c r="AK202" s="208">
        <v>0</v>
      </c>
      <c r="AL202" s="208">
        <v>0</v>
      </c>
      <c r="AM202" s="208">
        <v>0</v>
      </c>
      <c r="AN202" s="208">
        <v>0</v>
      </c>
      <c r="AO202" s="208">
        <v>0</v>
      </c>
      <c r="AP202" s="208">
        <v>0</v>
      </c>
      <c r="AQ202" s="208">
        <v>0</v>
      </c>
      <c r="AR202" s="208">
        <v>0</v>
      </c>
      <c r="AS202" s="208">
        <v>0</v>
      </c>
      <c r="AT202" s="208">
        <v>0</v>
      </c>
      <c r="AU202" s="208">
        <v>0</v>
      </c>
      <c r="AV202" s="208">
        <v>0</v>
      </c>
      <c r="AW202" s="208">
        <v>0</v>
      </c>
      <c r="AX202" s="208">
        <v>0</v>
      </c>
      <c r="AY202" s="208">
        <v>0</v>
      </c>
      <c r="AZ202" s="208">
        <v>0</v>
      </c>
      <c r="BA202" s="208">
        <v>0</v>
      </c>
      <c r="BB202" s="208">
        <v>0</v>
      </c>
      <c r="BC202" s="208">
        <v>0</v>
      </c>
      <c r="BD202" s="208">
        <v>0</v>
      </c>
      <c r="BE202" s="208">
        <v>0</v>
      </c>
      <c r="BF202" s="208">
        <v>0</v>
      </c>
      <c r="BG202" s="208">
        <v>0</v>
      </c>
      <c r="BH202" s="208">
        <v>0</v>
      </c>
      <c r="BI202" s="208">
        <v>0</v>
      </c>
      <c r="BJ202" s="208">
        <v>0</v>
      </c>
      <c r="BK202" s="208">
        <v>0</v>
      </c>
      <c r="BL202" s="208">
        <v>0</v>
      </c>
      <c r="BM202" s="208">
        <v>0</v>
      </c>
      <c r="BN202" s="208">
        <v>0</v>
      </c>
      <c r="BO202" s="208">
        <v>687122.51912416681</v>
      </c>
      <c r="BP202" s="208">
        <v>171780.6297810417</v>
      </c>
      <c r="BQ202" s="208">
        <v>0</v>
      </c>
      <c r="BR202" s="208">
        <v>147019</v>
      </c>
      <c r="BS202" s="208">
        <v>36755</v>
      </c>
      <c r="BT202" s="208">
        <v>0</v>
      </c>
      <c r="BU202" s="208">
        <v>658921</v>
      </c>
      <c r="BV202" s="208">
        <v>164730</v>
      </c>
      <c r="BW202" s="208">
        <v>0</v>
      </c>
      <c r="BX202" s="208">
        <v>175221</v>
      </c>
      <c r="BY202" s="208">
        <v>43806</v>
      </c>
      <c r="BZ202" s="208">
        <v>0</v>
      </c>
      <c r="CA202" s="208">
        <v>2298.2891666666665</v>
      </c>
      <c r="CB202" s="208">
        <v>574.57229166666662</v>
      </c>
      <c r="CC202" s="208">
        <v>0</v>
      </c>
      <c r="CD202" s="208">
        <v>0</v>
      </c>
      <c r="CE202" s="208">
        <v>0</v>
      </c>
      <c r="CF202" s="208">
        <v>0</v>
      </c>
      <c r="CG202" s="208">
        <v>2298</v>
      </c>
      <c r="CH202" s="208">
        <v>575</v>
      </c>
      <c r="CI202" s="208">
        <v>0</v>
      </c>
      <c r="CJ202" s="208">
        <v>0</v>
      </c>
      <c r="CK202" s="208">
        <v>0</v>
      </c>
      <c r="CL202" s="208">
        <v>0</v>
      </c>
      <c r="CM202" s="208">
        <v>0</v>
      </c>
      <c r="CN202" s="208">
        <v>0</v>
      </c>
      <c r="CO202" s="208">
        <v>0</v>
      </c>
      <c r="CP202" s="208">
        <v>0</v>
      </c>
      <c r="CQ202" s="208">
        <v>0</v>
      </c>
      <c r="CR202" s="208">
        <v>0</v>
      </c>
      <c r="CS202" s="208">
        <v>0</v>
      </c>
      <c r="CT202" s="208">
        <v>0</v>
      </c>
      <c r="CU202" s="208">
        <v>0</v>
      </c>
      <c r="CV202" s="208">
        <v>0</v>
      </c>
      <c r="CW202" s="208">
        <v>0</v>
      </c>
      <c r="CX202" s="208">
        <v>0</v>
      </c>
      <c r="CY202" s="208">
        <v>0</v>
      </c>
      <c r="CZ202" s="208">
        <v>0</v>
      </c>
      <c r="DA202" s="208">
        <v>0</v>
      </c>
      <c r="DB202" s="208">
        <v>0</v>
      </c>
      <c r="DC202" s="208">
        <v>0</v>
      </c>
      <c r="DD202" s="208">
        <v>0</v>
      </c>
      <c r="DE202" s="208">
        <v>0</v>
      </c>
      <c r="DF202" s="208">
        <v>0</v>
      </c>
      <c r="DG202" s="208">
        <v>0</v>
      </c>
      <c r="DH202" s="208">
        <v>0</v>
      </c>
      <c r="DI202" s="208">
        <v>0</v>
      </c>
      <c r="DJ202" s="208">
        <v>0</v>
      </c>
      <c r="DK202" s="208">
        <v>0</v>
      </c>
      <c r="DL202" s="208">
        <v>0</v>
      </c>
      <c r="DM202" s="208">
        <v>0</v>
      </c>
      <c r="DN202" s="208">
        <v>613.75</v>
      </c>
      <c r="DO202" s="208">
        <v>153.4375</v>
      </c>
      <c r="DP202" s="208">
        <v>0</v>
      </c>
      <c r="DQ202" s="208">
        <v>614</v>
      </c>
      <c r="DR202" s="208">
        <v>153</v>
      </c>
      <c r="DS202" s="208">
        <v>0</v>
      </c>
      <c r="DT202" s="208">
        <v>0</v>
      </c>
      <c r="DU202" s="208">
        <v>0</v>
      </c>
      <c r="DV202" s="208">
        <v>0</v>
      </c>
      <c r="DW202" s="208">
        <v>2147.3066666666668</v>
      </c>
      <c r="DX202" s="208">
        <v>536.82666666666671</v>
      </c>
      <c r="DY202" s="208">
        <v>0</v>
      </c>
      <c r="DZ202" s="208">
        <v>2394</v>
      </c>
      <c r="EA202" s="208">
        <v>599</v>
      </c>
      <c r="EB202" s="208">
        <v>0</v>
      </c>
      <c r="EC202" s="208">
        <v>-247</v>
      </c>
      <c r="ED202" s="208">
        <v>-62</v>
      </c>
      <c r="EE202" s="208">
        <v>0</v>
      </c>
      <c r="EF202" s="208">
        <v>94425.028333333335</v>
      </c>
      <c r="EG202" s="208">
        <v>23606.257083333334</v>
      </c>
      <c r="EH202" s="208">
        <v>0</v>
      </c>
      <c r="EI202" s="208">
        <v>0</v>
      </c>
      <c r="EJ202" s="208">
        <v>0</v>
      </c>
      <c r="EK202" s="208">
        <v>0</v>
      </c>
      <c r="EL202" s="208">
        <v>61266</v>
      </c>
      <c r="EM202" s="208">
        <v>15317</v>
      </c>
      <c r="EN202" s="208">
        <v>0</v>
      </c>
      <c r="EO202" s="208">
        <v>33159</v>
      </c>
      <c r="EP202" s="208">
        <v>8289</v>
      </c>
      <c r="EQ202" s="208">
        <v>0</v>
      </c>
      <c r="ER202" s="208">
        <v>31390.039166666666</v>
      </c>
      <c r="ES202" s="208">
        <v>7847.5097916666664</v>
      </c>
      <c r="ET202" s="208">
        <v>0</v>
      </c>
      <c r="EU202" s="208">
        <v>27005</v>
      </c>
      <c r="EV202" s="208">
        <v>6751</v>
      </c>
      <c r="EW202" s="208">
        <v>0</v>
      </c>
      <c r="EX202" s="208">
        <v>4385</v>
      </c>
      <c r="EY202" s="208">
        <v>1097</v>
      </c>
      <c r="EZ202" s="208">
        <v>0</v>
      </c>
      <c r="FA202" s="208">
        <v>0</v>
      </c>
      <c r="FB202" s="208">
        <v>0</v>
      </c>
      <c r="FC202" s="208">
        <v>0</v>
      </c>
      <c r="FD202" s="208">
        <v>0</v>
      </c>
      <c r="FE202" s="208">
        <v>0</v>
      </c>
      <c r="FF202" s="208">
        <v>0</v>
      </c>
      <c r="FG202" s="208">
        <v>0</v>
      </c>
      <c r="FH202" s="208">
        <v>0</v>
      </c>
      <c r="FI202" s="208">
        <v>0</v>
      </c>
      <c r="FJ202" s="208">
        <v>965870.12958333339</v>
      </c>
      <c r="FK202" s="208">
        <v>241419.894375</v>
      </c>
      <c r="FL202" s="208">
        <v>0</v>
      </c>
      <c r="FM202" s="208">
        <v>949106</v>
      </c>
      <c r="FN202" s="208">
        <v>237240</v>
      </c>
      <c r="FO202" s="208">
        <v>0</v>
      </c>
      <c r="FP202" s="208">
        <v>16764</v>
      </c>
      <c r="FQ202" s="208">
        <v>4180</v>
      </c>
      <c r="FR202" s="208">
        <v>0</v>
      </c>
      <c r="FS202" s="208">
        <v>0</v>
      </c>
      <c r="FT202" s="208">
        <v>0</v>
      </c>
      <c r="FU202" s="208">
        <v>0</v>
      </c>
      <c r="FV202" s="208">
        <v>0</v>
      </c>
      <c r="FW202" s="208">
        <v>0</v>
      </c>
      <c r="FX202" s="208">
        <v>0</v>
      </c>
      <c r="FY202" s="208">
        <v>0</v>
      </c>
      <c r="FZ202" s="208">
        <v>0</v>
      </c>
      <c r="GA202" s="208">
        <v>0</v>
      </c>
      <c r="GB202" s="208">
        <v>1930886</v>
      </c>
      <c r="GC202" s="208">
        <v>482675</v>
      </c>
      <c r="GD202" s="208">
        <v>0</v>
      </c>
      <c r="GE202" s="664">
        <v>0.5</v>
      </c>
      <c r="GF202" s="664">
        <v>0.4</v>
      </c>
      <c r="GG202" s="664">
        <v>0.1</v>
      </c>
      <c r="GH202" s="664">
        <v>0</v>
      </c>
      <c r="GI202" s="187" t="s">
        <v>1054</v>
      </c>
    </row>
    <row r="203" spans="1:191" s="187" customFormat="1" x14ac:dyDescent="0.2">
      <c r="B203" s="429" t="s">
        <v>483</v>
      </c>
      <c r="C203" s="429" t="s">
        <v>482</v>
      </c>
      <c r="D203" s="208">
        <v>-139194</v>
      </c>
      <c r="E203" s="208">
        <v>0</v>
      </c>
      <c r="F203" s="208">
        <v>-139194</v>
      </c>
      <c r="G203" s="208">
        <v>-779698</v>
      </c>
      <c r="H203" s="208">
        <v>0</v>
      </c>
      <c r="I203" s="208">
        <v>-779698</v>
      </c>
      <c r="J203" s="208">
        <v>640504</v>
      </c>
      <c r="K203" s="208">
        <v>0</v>
      </c>
      <c r="L203" s="208">
        <v>640504</v>
      </c>
      <c r="M203" s="208">
        <v>132929</v>
      </c>
      <c r="N203" s="208">
        <v>132929</v>
      </c>
      <c r="O203" s="208">
        <v>0</v>
      </c>
      <c r="P203" s="208">
        <v>0</v>
      </c>
      <c r="Q203" s="208">
        <v>0</v>
      </c>
      <c r="R203" s="208">
        <v>0</v>
      </c>
      <c r="S203" s="208">
        <v>0</v>
      </c>
      <c r="T203" s="208">
        <v>0</v>
      </c>
      <c r="U203" s="208">
        <v>0</v>
      </c>
      <c r="V203" s="208">
        <v>0</v>
      </c>
      <c r="W203" s="208">
        <v>0</v>
      </c>
      <c r="X203" s="208">
        <v>0</v>
      </c>
      <c r="Y203" s="208">
        <v>0</v>
      </c>
      <c r="Z203" s="208">
        <v>0</v>
      </c>
      <c r="AA203" s="208">
        <v>0</v>
      </c>
      <c r="AB203" s="208">
        <v>0</v>
      </c>
      <c r="AC203" s="208">
        <v>0</v>
      </c>
      <c r="AD203" s="208">
        <v>0</v>
      </c>
      <c r="AE203" s="208">
        <v>0</v>
      </c>
      <c r="AF203" s="208">
        <v>0</v>
      </c>
      <c r="AG203" s="208">
        <v>0</v>
      </c>
      <c r="AH203" s="208">
        <v>0</v>
      </c>
      <c r="AI203" s="208">
        <v>0</v>
      </c>
      <c r="AJ203" s="208">
        <v>0</v>
      </c>
      <c r="AK203" s="208">
        <v>0</v>
      </c>
      <c r="AL203" s="208">
        <v>0</v>
      </c>
      <c r="AM203" s="208">
        <v>0</v>
      </c>
      <c r="AN203" s="208">
        <v>0</v>
      </c>
      <c r="AO203" s="208">
        <v>0</v>
      </c>
      <c r="AP203" s="208">
        <v>0</v>
      </c>
      <c r="AQ203" s="208">
        <v>0</v>
      </c>
      <c r="AR203" s="208">
        <v>0</v>
      </c>
      <c r="AS203" s="208">
        <v>0</v>
      </c>
      <c r="AT203" s="208">
        <v>0</v>
      </c>
      <c r="AU203" s="208">
        <v>0</v>
      </c>
      <c r="AV203" s="208">
        <v>0</v>
      </c>
      <c r="AW203" s="208">
        <v>0</v>
      </c>
      <c r="AX203" s="208">
        <v>0</v>
      </c>
      <c r="AY203" s="208">
        <v>0</v>
      </c>
      <c r="AZ203" s="208">
        <v>0</v>
      </c>
      <c r="BA203" s="208">
        <v>0</v>
      </c>
      <c r="BB203" s="208">
        <v>0</v>
      </c>
      <c r="BC203" s="208">
        <v>0</v>
      </c>
      <c r="BD203" s="208">
        <v>0</v>
      </c>
      <c r="BE203" s="208">
        <v>0</v>
      </c>
      <c r="BF203" s="208">
        <v>0</v>
      </c>
      <c r="BG203" s="208">
        <v>0</v>
      </c>
      <c r="BH203" s="208">
        <v>0</v>
      </c>
      <c r="BI203" s="208">
        <v>0</v>
      </c>
      <c r="BJ203" s="208">
        <v>0</v>
      </c>
      <c r="BK203" s="208">
        <v>0</v>
      </c>
      <c r="BL203" s="208">
        <v>0</v>
      </c>
      <c r="BM203" s="208">
        <v>0</v>
      </c>
      <c r="BN203" s="208">
        <v>0</v>
      </c>
      <c r="BO203" s="208">
        <v>944979.42815333337</v>
      </c>
      <c r="BP203" s="208">
        <v>212620.37133450003</v>
      </c>
      <c r="BQ203" s="208">
        <v>23624.485703833332</v>
      </c>
      <c r="BR203" s="208">
        <v>38364</v>
      </c>
      <c r="BS203" s="208">
        <v>8632</v>
      </c>
      <c r="BT203" s="208">
        <v>959</v>
      </c>
      <c r="BU203" s="208">
        <v>930558</v>
      </c>
      <c r="BV203" s="208">
        <v>209376</v>
      </c>
      <c r="BW203" s="208">
        <v>23264</v>
      </c>
      <c r="BX203" s="208">
        <v>52785</v>
      </c>
      <c r="BY203" s="208">
        <v>11876</v>
      </c>
      <c r="BZ203" s="208">
        <v>1319</v>
      </c>
      <c r="CA203" s="208">
        <v>8376.4600000000009</v>
      </c>
      <c r="CB203" s="208">
        <v>1884.7035000000001</v>
      </c>
      <c r="CC203" s="208">
        <v>209.41149999999999</v>
      </c>
      <c r="CD203" s="208">
        <v>0</v>
      </c>
      <c r="CE203" s="208">
        <v>0</v>
      </c>
      <c r="CF203" s="208">
        <v>0</v>
      </c>
      <c r="CG203" s="208">
        <v>8376</v>
      </c>
      <c r="CH203" s="208">
        <v>1885</v>
      </c>
      <c r="CI203" s="208">
        <v>209</v>
      </c>
      <c r="CJ203" s="208">
        <v>0</v>
      </c>
      <c r="CK203" s="208">
        <v>0</v>
      </c>
      <c r="CL203" s="208">
        <v>0</v>
      </c>
      <c r="CM203" s="208">
        <v>0</v>
      </c>
      <c r="CN203" s="208">
        <v>0</v>
      </c>
      <c r="CO203" s="208">
        <v>0</v>
      </c>
      <c r="CP203" s="208">
        <v>0</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0</v>
      </c>
      <c r="DI203" s="208">
        <v>0</v>
      </c>
      <c r="DJ203" s="208">
        <v>0</v>
      </c>
      <c r="DK203" s="208">
        <v>0</v>
      </c>
      <c r="DL203" s="208">
        <v>0</v>
      </c>
      <c r="DM203" s="208">
        <v>0</v>
      </c>
      <c r="DN203" s="208">
        <v>0</v>
      </c>
      <c r="DO203" s="208">
        <v>0</v>
      </c>
      <c r="DP203" s="208">
        <v>0</v>
      </c>
      <c r="DQ203" s="208">
        <v>0</v>
      </c>
      <c r="DR203" s="208">
        <v>0</v>
      </c>
      <c r="DS203" s="208">
        <v>0</v>
      </c>
      <c r="DT203" s="208">
        <v>0</v>
      </c>
      <c r="DU203" s="208">
        <v>0</v>
      </c>
      <c r="DV203" s="208">
        <v>0</v>
      </c>
      <c r="DW203" s="208">
        <v>4157.5425000000005</v>
      </c>
      <c r="DX203" s="208">
        <v>935.44706250000002</v>
      </c>
      <c r="DY203" s="208">
        <v>103.9385625</v>
      </c>
      <c r="DZ203" s="208">
        <v>5721</v>
      </c>
      <c r="EA203" s="208">
        <v>1287</v>
      </c>
      <c r="EB203" s="208">
        <v>143</v>
      </c>
      <c r="EC203" s="208">
        <v>-1563</v>
      </c>
      <c r="ED203" s="208">
        <v>-352</v>
      </c>
      <c r="EE203" s="208">
        <v>-39</v>
      </c>
      <c r="EF203" s="208">
        <v>18671.093333333334</v>
      </c>
      <c r="EG203" s="208">
        <v>4200.9959999999992</v>
      </c>
      <c r="EH203" s="208">
        <v>466.77733333333333</v>
      </c>
      <c r="EI203" s="208">
        <v>0</v>
      </c>
      <c r="EJ203" s="208">
        <v>0</v>
      </c>
      <c r="EK203" s="208">
        <v>0</v>
      </c>
      <c r="EL203" s="208">
        <v>19640</v>
      </c>
      <c r="EM203" s="208">
        <v>4419</v>
      </c>
      <c r="EN203" s="208">
        <v>491</v>
      </c>
      <c r="EO203" s="208">
        <v>-969</v>
      </c>
      <c r="EP203" s="208">
        <v>-218</v>
      </c>
      <c r="EQ203" s="208">
        <v>-24</v>
      </c>
      <c r="ER203" s="208">
        <v>7029.8925000000008</v>
      </c>
      <c r="ES203" s="208">
        <v>1581.7258125000001</v>
      </c>
      <c r="ET203" s="208">
        <v>175.74731250000002</v>
      </c>
      <c r="EU203" s="208">
        <v>7335</v>
      </c>
      <c r="EV203" s="208">
        <v>1650</v>
      </c>
      <c r="EW203" s="208">
        <v>183</v>
      </c>
      <c r="EX203" s="208">
        <v>-305</v>
      </c>
      <c r="EY203" s="208">
        <v>-68</v>
      </c>
      <c r="EZ203" s="208">
        <v>-7</v>
      </c>
      <c r="FA203" s="208">
        <v>0</v>
      </c>
      <c r="FB203" s="208">
        <v>0</v>
      </c>
      <c r="FC203" s="208">
        <v>0</v>
      </c>
      <c r="FD203" s="208">
        <v>0</v>
      </c>
      <c r="FE203" s="208">
        <v>0</v>
      </c>
      <c r="FF203" s="208">
        <v>0</v>
      </c>
      <c r="FG203" s="208">
        <v>0</v>
      </c>
      <c r="FH203" s="208">
        <v>0</v>
      </c>
      <c r="FI203" s="208">
        <v>0</v>
      </c>
      <c r="FJ203" s="208">
        <v>159597.12083333332</v>
      </c>
      <c r="FK203" s="208">
        <v>35909.352187500001</v>
      </c>
      <c r="FL203" s="208">
        <v>3989.9280208333334</v>
      </c>
      <c r="FM203" s="208">
        <v>161885</v>
      </c>
      <c r="FN203" s="208">
        <v>36424</v>
      </c>
      <c r="FO203" s="208">
        <v>4047</v>
      </c>
      <c r="FP203" s="208">
        <v>-2288</v>
      </c>
      <c r="FQ203" s="208">
        <v>-515</v>
      </c>
      <c r="FR203" s="208">
        <v>-57</v>
      </c>
      <c r="FS203" s="208">
        <v>0</v>
      </c>
      <c r="FT203" s="208">
        <v>0</v>
      </c>
      <c r="FU203" s="208">
        <v>0</v>
      </c>
      <c r="FV203" s="208">
        <v>0</v>
      </c>
      <c r="FW203" s="208">
        <v>0</v>
      </c>
      <c r="FX203" s="208">
        <v>0</v>
      </c>
      <c r="FY203" s="208">
        <v>0</v>
      </c>
      <c r="FZ203" s="208">
        <v>0</v>
      </c>
      <c r="GA203" s="208">
        <v>0</v>
      </c>
      <c r="GB203" s="208">
        <v>1181175</v>
      </c>
      <c r="GC203" s="208">
        <v>265764</v>
      </c>
      <c r="GD203" s="208">
        <v>29529</v>
      </c>
      <c r="GE203" s="664">
        <v>0.5</v>
      </c>
      <c r="GF203" s="664">
        <v>0.4</v>
      </c>
      <c r="GG203" s="664">
        <v>0.09</v>
      </c>
      <c r="GH203" s="664">
        <v>0.01</v>
      </c>
      <c r="GI203" s="187" t="s">
        <v>1054</v>
      </c>
    </row>
    <row r="204" spans="1:191" s="187" customFormat="1" x14ac:dyDescent="0.2">
      <c r="B204" s="429" t="s">
        <v>485</v>
      </c>
      <c r="C204" s="429" t="s">
        <v>484</v>
      </c>
      <c r="D204" s="208">
        <v>-3241807</v>
      </c>
      <c r="E204" s="208">
        <v>0</v>
      </c>
      <c r="F204" s="208">
        <v>-3241807</v>
      </c>
      <c r="G204" s="208">
        <v>-3217710</v>
      </c>
      <c r="H204" s="208">
        <v>0</v>
      </c>
      <c r="I204" s="208">
        <v>-3217710</v>
      </c>
      <c r="J204" s="208">
        <v>-24097</v>
      </c>
      <c r="K204" s="208">
        <v>0</v>
      </c>
      <c r="L204" s="208">
        <v>-24097</v>
      </c>
      <c r="M204" s="208">
        <v>269595</v>
      </c>
      <c r="N204" s="208">
        <v>269595</v>
      </c>
      <c r="O204" s="208">
        <v>0</v>
      </c>
      <c r="P204" s="208">
        <v>0</v>
      </c>
      <c r="Q204" s="208">
        <v>0</v>
      </c>
      <c r="R204" s="208">
        <v>0</v>
      </c>
      <c r="S204" s="208">
        <v>335745</v>
      </c>
      <c r="T204" s="208">
        <v>0</v>
      </c>
      <c r="U204" s="208">
        <v>336000</v>
      </c>
      <c r="V204" s="208">
        <v>0</v>
      </c>
      <c r="W204" s="208">
        <v>-255</v>
      </c>
      <c r="X204" s="208">
        <v>0</v>
      </c>
      <c r="Y204" s="208">
        <v>0</v>
      </c>
      <c r="Z204" s="208">
        <v>0</v>
      </c>
      <c r="AA204" s="208">
        <v>0</v>
      </c>
      <c r="AB204" s="208">
        <v>0</v>
      </c>
      <c r="AC204" s="208">
        <v>0</v>
      </c>
      <c r="AD204" s="208">
        <v>0</v>
      </c>
      <c r="AE204" s="208">
        <v>0</v>
      </c>
      <c r="AF204" s="208">
        <v>0</v>
      </c>
      <c r="AG204" s="208">
        <v>0</v>
      </c>
      <c r="AH204" s="208">
        <v>0</v>
      </c>
      <c r="AI204" s="208">
        <v>0</v>
      </c>
      <c r="AJ204" s="208">
        <v>0</v>
      </c>
      <c r="AK204" s="208">
        <v>0</v>
      </c>
      <c r="AL204" s="208">
        <v>0</v>
      </c>
      <c r="AM204" s="208">
        <v>0</v>
      </c>
      <c r="AN204" s="208">
        <v>0</v>
      </c>
      <c r="AO204" s="208">
        <v>0</v>
      </c>
      <c r="AP204" s="208">
        <v>0</v>
      </c>
      <c r="AQ204" s="208">
        <v>0</v>
      </c>
      <c r="AR204" s="208">
        <v>0</v>
      </c>
      <c r="AS204" s="208">
        <v>0</v>
      </c>
      <c r="AT204" s="208">
        <v>0</v>
      </c>
      <c r="AU204" s="208">
        <v>0</v>
      </c>
      <c r="AV204" s="208">
        <v>0</v>
      </c>
      <c r="AW204" s="208">
        <v>0</v>
      </c>
      <c r="AX204" s="208">
        <v>0</v>
      </c>
      <c r="AY204" s="208">
        <v>0</v>
      </c>
      <c r="AZ204" s="208">
        <v>0</v>
      </c>
      <c r="BA204" s="208">
        <v>0</v>
      </c>
      <c r="BB204" s="208">
        <v>0</v>
      </c>
      <c r="BC204" s="208">
        <v>0</v>
      </c>
      <c r="BD204" s="208">
        <v>0</v>
      </c>
      <c r="BE204" s="208">
        <v>0</v>
      </c>
      <c r="BF204" s="208">
        <v>0</v>
      </c>
      <c r="BG204" s="208">
        <v>0</v>
      </c>
      <c r="BH204" s="208">
        <v>0</v>
      </c>
      <c r="BI204" s="208">
        <v>0</v>
      </c>
      <c r="BJ204" s="208">
        <v>0</v>
      </c>
      <c r="BK204" s="208">
        <v>0</v>
      </c>
      <c r="BL204" s="208">
        <v>0</v>
      </c>
      <c r="BM204" s="208">
        <v>0</v>
      </c>
      <c r="BN204" s="208">
        <v>0</v>
      </c>
      <c r="BO204" s="208">
        <v>2234824.3819491039</v>
      </c>
      <c r="BP204" s="208">
        <v>0</v>
      </c>
      <c r="BQ204" s="208">
        <v>45608.660856104165</v>
      </c>
      <c r="BR204" s="208">
        <v>185549</v>
      </c>
      <c r="BS204" s="208">
        <v>0</v>
      </c>
      <c r="BT204" s="208">
        <v>3787</v>
      </c>
      <c r="BU204" s="208">
        <v>2051188</v>
      </c>
      <c r="BV204" s="208">
        <v>0</v>
      </c>
      <c r="BW204" s="208">
        <v>41861</v>
      </c>
      <c r="BX204" s="208">
        <v>369185</v>
      </c>
      <c r="BY204" s="208">
        <v>0</v>
      </c>
      <c r="BZ204" s="208">
        <v>7535</v>
      </c>
      <c r="CA204" s="208">
        <v>6055.8507916666667</v>
      </c>
      <c r="CB204" s="208">
        <v>0</v>
      </c>
      <c r="CC204" s="208">
        <v>123.58879166666668</v>
      </c>
      <c r="CD204" s="208">
        <v>1564</v>
      </c>
      <c r="CE204" s="208">
        <v>0</v>
      </c>
      <c r="CF204" s="208">
        <v>32</v>
      </c>
      <c r="CG204" s="208">
        <v>4492</v>
      </c>
      <c r="CH204" s="208">
        <v>0</v>
      </c>
      <c r="CI204" s="208">
        <v>92</v>
      </c>
      <c r="CJ204" s="208">
        <v>0</v>
      </c>
      <c r="CK204" s="208">
        <v>0</v>
      </c>
      <c r="CL204" s="208">
        <v>0</v>
      </c>
      <c r="CM204" s="208">
        <v>0</v>
      </c>
      <c r="CN204" s="208">
        <v>0</v>
      </c>
      <c r="CO204" s="208">
        <v>0</v>
      </c>
      <c r="CP204" s="208">
        <v>-2161.8013958333331</v>
      </c>
      <c r="CQ204" s="208">
        <v>0</v>
      </c>
      <c r="CR204" s="208">
        <v>-44.118395833333338</v>
      </c>
      <c r="CS204" s="208">
        <v>0</v>
      </c>
      <c r="CT204" s="208">
        <v>0</v>
      </c>
      <c r="CU204" s="208">
        <v>0</v>
      </c>
      <c r="CV204" s="208">
        <v>0</v>
      </c>
      <c r="CW204" s="208">
        <v>0</v>
      </c>
      <c r="CX204" s="208">
        <v>0</v>
      </c>
      <c r="CY204" s="208">
        <v>0</v>
      </c>
      <c r="CZ204" s="208">
        <v>0</v>
      </c>
      <c r="DA204" s="208">
        <v>0</v>
      </c>
      <c r="DB204" s="208">
        <v>0</v>
      </c>
      <c r="DC204" s="208">
        <v>0</v>
      </c>
      <c r="DD204" s="208">
        <v>0</v>
      </c>
      <c r="DE204" s="208">
        <v>6615.7237708333332</v>
      </c>
      <c r="DF204" s="208">
        <v>0</v>
      </c>
      <c r="DG204" s="208">
        <v>135.01477083333333</v>
      </c>
      <c r="DH204" s="208">
        <v>6516</v>
      </c>
      <c r="DI204" s="208">
        <v>0</v>
      </c>
      <c r="DJ204" s="208">
        <v>133</v>
      </c>
      <c r="DK204" s="208">
        <v>100</v>
      </c>
      <c r="DL204" s="208">
        <v>0</v>
      </c>
      <c r="DM204" s="208">
        <v>2</v>
      </c>
      <c r="DN204" s="208">
        <v>0</v>
      </c>
      <c r="DO204" s="208">
        <v>0</v>
      </c>
      <c r="DP204" s="208">
        <v>0</v>
      </c>
      <c r="DQ204" s="208">
        <v>0</v>
      </c>
      <c r="DR204" s="208">
        <v>0</v>
      </c>
      <c r="DS204" s="208">
        <v>0</v>
      </c>
      <c r="DT204" s="208">
        <v>0</v>
      </c>
      <c r="DU204" s="208">
        <v>0</v>
      </c>
      <c r="DV204" s="208">
        <v>0</v>
      </c>
      <c r="DW204" s="208">
        <v>4978.7093125000001</v>
      </c>
      <c r="DX204" s="208">
        <v>0</v>
      </c>
      <c r="DY204" s="208">
        <v>101.6063125</v>
      </c>
      <c r="DZ204" s="208">
        <v>7519</v>
      </c>
      <c r="EA204" s="208">
        <v>0</v>
      </c>
      <c r="EB204" s="208">
        <v>153</v>
      </c>
      <c r="EC204" s="208">
        <v>-2540</v>
      </c>
      <c r="ED204" s="208">
        <v>0</v>
      </c>
      <c r="EE204" s="208">
        <v>-51</v>
      </c>
      <c r="EF204" s="208">
        <v>58263.379562499998</v>
      </c>
      <c r="EG204" s="208">
        <v>0</v>
      </c>
      <c r="EH204" s="208">
        <v>1189.0485624999999</v>
      </c>
      <c r="EI204" s="208">
        <v>-647.08685416666663</v>
      </c>
      <c r="EJ204" s="208">
        <v>0</v>
      </c>
      <c r="EK204" s="208">
        <v>-13.205854166666667</v>
      </c>
      <c r="EL204" s="208">
        <v>66163</v>
      </c>
      <c r="EM204" s="208">
        <v>0</v>
      </c>
      <c r="EN204" s="208">
        <v>1350</v>
      </c>
      <c r="EO204" s="208">
        <v>-8547</v>
      </c>
      <c r="EP204" s="208">
        <v>0</v>
      </c>
      <c r="EQ204" s="208">
        <v>-174</v>
      </c>
      <c r="ER204" s="208">
        <v>13855.979083333334</v>
      </c>
      <c r="ES204" s="208">
        <v>0</v>
      </c>
      <c r="ET204" s="208">
        <v>282.77508333333333</v>
      </c>
      <c r="EU204" s="208">
        <v>22054</v>
      </c>
      <c r="EV204" s="208">
        <v>0</v>
      </c>
      <c r="EW204" s="208">
        <v>450</v>
      </c>
      <c r="EX204" s="208">
        <v>-8198</v>
      </c>
      <c r="EY204" s="208">
        <v>0</v>
      </c>
      <c r="EZ204" s="208">
        <v>-167</v>
      </c>
      <c r="FA204" s="208">
        <v>0</v>
      </c>
      <c r="FB204" s="208">
        <v>0</v>
      </c>
      <c r="FC204" s="208">
        <v>0</v>
      </c>
      <c r="FD204" s="208">
        <v>0</v>
      </c>
      <c r="FE204" s="208">
        <v>0</v>
      </c>
      <c r="FF204" s="208">
        <v>0</v>
      </c>
      <c r="FG204" s="208">
        <v>0</v>
      </c>
      <c r="FH204" s="208">
        <v>0</v>
      </c>
      <c r="FI204" s="208">
        <v>0</v>
      </c>
      <c r="FJ204" s="208">
        <v>1041657.3060208333</v>
      </c>
      <c r="FK204" s="208">
        <v>0</v>
      </c>
      <c r="FL204" s="208">
        <v>21101.288770833333</v>
      </c>
      <c r="FM204" s="208">
        <v>1041905</v>
      </c>
      <c r="FN204" s="208">
        <v>0</v>
      </c>
      <c r="FO204" s="208">
        <v>21106</v>
      </c>
      <c r="FP204" s="208">
        <v>-248</v>
      </c>
      <c r="FQ204" s="208">
        <v>0</v>
      </c>
      <c r="FR204" s="208">
        <v>-5</v>
      </c>
      <c r="FS204" s="208">
        <v>0</v>
      </c>
      <c r="FT204" s="208">
        <v>0</v>
      </c>
      <c r="FU204" s="208">
        <v>0</v>
      </c>
      <c r="FV204" s="208">
        <v>0</v>
      </c>
      <c r="FW204" s="208">
        <v>0</v>
      </c>
      <c r="FX204" s="208">
        <v>0</v>
      </c>
      <c r="FY204" s="208">
        <v>0</v>
      </c>
      <c r="FZ204" s="208">
        <v>0</v>
      </c>
      <c r="GA204" s="208">
        <v>0</v>
      </c>
      <c r="GB204" s="208">
        <v>3548991</v>
      </c>
      <c r="GC204" s="208">
        <v>0</v>
      </c>
      <c r="GD204" s="208">
        <v>72273</v>
      </c>
      <c r="GE204" s="664">
        <v>0.5</v>
      </c>
      <c r="GF204" s="664">
        <v>0.49</v>
      </c>
      <c r="GG204" s="664">
        <v>0</v>
      </c>
      <c r="GH204" s="664">
        <v>0.01</v>
      </c>
      <c r="GI204" s="187" t="s">
        <v>742</v>
      </c>
    </row>
    <row r="205" spans="1:191" s="187" customFormat="1" x14ac:dyDescent="0.2">
      <c r="B205" s="429" t="s">
        <v>487</v>
      </c>
      <c r="C205" s="429" t="s">
        <v>486</v>
      </c>
      <c r="D205" s="208">
        <v>-2899084</v>
      </c>
      <c r="E205" s="208">
        <v>0</v>
      </c>
      <c r="F205" s="208">
        <v>-2899084</v>
      </c>
      <c r="G205" s="208">
        <v>-2824301</v>
      </c>
      <c r="H205" s="208">
        <v>0</v>
      </c>
      <c r="I205" s="208">
        <v>-2824301</v>
      </c>
      <c r="J205" s="208">
        <v>-74783</v>
      </c>
      <c r="K205" s="208">
        <v>0</v>
      </c>
      <c r="L205" s="208">
        <v>-74783</v>
      </c>
      <c r="M205" s="208">
        <v>317007</v>
      </c>
      <c r="N205" s="208">
        <v>317007</v>
      </c>
      <c r="O205" s="208">
        <v>0</v>
      </c>
      <c r="P205" s="208">
        <v>0</v>
      </c>
      <c r="Q205" s="208">
        <v>0</v>
      </c>
      <c r="R205" s="208">
        <v>0</v>
      </c>
      <c r="S205" s="208">
        <v>227823</v>
      </c>
      <c r="T205" s="208">
        <v>0</v>
      </c>
      <c r="U205" s="208">
        <v>199690</v>
      </c>
      <c r="V205" s="208">
        <v>0</v>
      </c>
      <c r="W205" s="208">
        <v>28133</v>
      </c>
      <c r="X205" s="208">
        <v>0</v>
      </c>
      <c r="Y205" s="208">
        <v>0</v>
      </c>
      <c r="Z205" s="208">
        <v>0</v>
      </c>
      <c r="AA205" s="208">
        <v>0</v>
      </c>
      <c r="AB205" s="208">
        <v>0</v>
      </c>
      <c r="AC205" s="208">
        <v>0</v>
      </c>
      <c r="AD205" s="208">
        <v>0</v>
      </c>
      <c r="AE205" s="208">
        <v>0</v>
      </c>
      <c r="AF205" s="208">
        <v>0</v>
      </c>
      <c r="AG205" s="208">
        <v>0</v>
      </c>
      <c r="AH205" s="208">
        <v>0</v>
      </c>
      <c r="AI205" s="208">
        <v>0</v>
      </c>
      <c r="AJ205" s="208">
        <v>0</v>
      </c>
      <c r="AK205" s="208">
        <v>0</v>
      </c>
      <c r="AL205" s="208">
        <v>0</v>
      </c>
      <c r="AM205" s="208">
        <v>0</v>
      </c>
      <c r="AN205" s="208">
        <v>0</v>
      </c>
      <c r="AO205" s="208">
        <v>0</v>
      </c>
      <c r="AP205" s="208">
        <v>0</v>
      </c>
      <c r="AQ205" s="208">
        <v>0</v>
      </c>
      <c r="AR205" s="208">
        <v>0</v>
      </c>
      <c r="AS205" s="208">
        <v>0</v>
      </c>
      <c r="AT205" s="208">
        <v>0</v>
      </c>
      <c r="AU205" s="208">
        <v>0</v>
      </c>
      <c r="AV205" s="208">
        <v>0</v>
      </c>
      <c r="AW205" s="208">
        <v>0</v>
      </c>
      <c r="AX205" s="208">
        <v>0</v>
      </c>
      <c r="AY205" s="208">
        <v>0</v>
      </c>
      <c r="AZ205" s="208">
        <v>0</v>
      </c>
      <c r="BA205" s="208">
        <v>0</v>
      </c>
      <c r="BB205" s="208">
        <v>0</v>
      </c>
      <c r="BC205" s="208">
        <v>0</v>
      </c>
      <c r="BD205" s="208">
        <v>0</v>
      </c>
      <c r="BE205" s="208">
        <v>0</v>
      </c>
      <c r="BF205" s="208">
        <v>0</v>
      </c>
      <c r="BG205" s="208">
        <v>0</v>
      </c>
      <c r="BH205" s="208">
        <v>0</v>
      </c>
      <c r="BI205" s="208">
        <v>0</v>
      </c>
      <c r="BJ205" s="208">
        <v>0</v>
      </c>
      <c r="BK205" s="208">
        <v>0</v>
      </c>
      <c r="BL205" s="208">
        <v>0</v>
      </c>
      <c r="BM205" s="208">
        <v>0</v>
      </c>
      <c r="BN205" s="208">
        <v>0</v>
      </c>
      <c r="BO205" s="208">
        <v>5552791.3614318743</v>
      </c>
      <c r="BP205" s="208">
        <v>0</v>
      </c>
      <c r="BQ205" s="208">
        <v>56088.801630625007</v>
      </c>
      <c r="BR205" s="208">
        <v>383566</v>
      </c>
      <c r="BS205" s="208">
        <v>0</v>
      </c>
      <c r="BT205" s="208">
        <v>3874</v>
      </c>
      <c r="BU205" s="208">
        <v>5389898</v>
      </c>
      <c r="BV205" s="208">
        <v>0</v>
      </c>
      <c r="BW205" s="208">
        <v>54443</v>
      </c>
      <c r="BX205" s="208">
        <v>546459</v>
      </c>
      <c r="BY205" s="208">
        <v>0</v>
      </c>
      <c r="BZ205" s="208">
        <v>5520</v>
      </c>
      <c r="CA205" s="208">
        <v>21432.518250000001</v>
      </c>
      <c r="CB205" s="208">
        <v>0</v>
      </c>
      <c r="CC205" s="208">
        <v>216.49008333333336</v>
      </c>
      <c r="CD205" s="208">
        <v>7485</v>
      </c>
      <c r="CE205" s="208">
        <v>0</v>
      </c>
      <c r="CF205" s="208">
        <v>76</v>
      </c>
      <c r="CG205" s="208">
        <v>13948</v>
      </c>
      <c r="CH205" s="208">
        <v>0</v>
      </c>
      <c r="CI205" s="208">
        <v>140</v>
      </c>
      <c r="CJ205" s="208">
        <v>0</v>
      </c>
      <c r="CK205" s="208">
        <v>0</v>
      </c>
      <c r="CL205" s="208">
        <v>0</v>
      </c>
      <c r="CM205" s="208">
        <v>0</v>
      </c>
      <c r="CN205" s="208">
        <v>0</v>
      </c>
      <c r="CO205" s="208">
        <v>0</v>
      </c>
      <c r="CP205" s="208">
        <v>0</v>
      </c>
      <c r="CQ205" s="208">
        <v>0</v>
      </c>
      <c r="CR205" s="208">
        <v>0</v>
      </c>
      <c r="CS205" s="208">
        <v>0</v>
      </c>
      <c r="CT205" s="208">
        <v>0</v>
      </c>
      <c r="CU205" s="208">
        <v>0</v>
      </c>
      <c r="CV205" s="208">
        <v>0</v>
      </c>
      <c r="CW205" s="208">
        <v>0</v>
      </c>
      <c r="CX205" s="208">
        <v>0</v>
      </c>
      <c r="CY205" s="208">
        <v>0</v>
      </c>
      <c r="CZ205" s="208">
        <v>0</v>
      </c>
      <c r="DA205" s="208">
        <v>0</v>
      </c>
      <c r="DB205" s="208">
        <v>0</v>
      </c>
      <c r="DC205" s="208">
        <v>0</v>
      </c>
      <c r="DD205" s="208">
        <v>0</v>
      </c>
      <c r="DE205" s="208">
        <v>0</v>
      </c>
      <c r="DF205" s="208">
        <v>0</v>
      </c>
      <c r="DG205" s="208">
        <v>0</v>
      </c>
      <c r="DH205" s="208">
        <v>0</v>
      </c>
      <c r="DI205" s="208">
        <v>0</v>
      </c>
      <c r="DJ205" s="208">
        <v>0</v>
      </c>
      <c r="DK205" s="208">
        <v>0</v>
      </c>
      <c r="DL205" s="208">
        <v>0</v>
      </c>
      <c r="DM205" s="208">
        <v>0</v>
      </c>
      <c r="DN205" s="208">
        <v>1519.03125</v>
      </c>
      <c r="DO205" s="208">
        <v>0</v>
      </c>
      <c r="DP205" s="208">
        <v>15.34375</v>
      </c>
      <c r="DQ205" s="208">
        <v>1564</v>
      </c>
      <c r="DR205" s="208">
        <v>0</v>
      </c>
      <c r="DS205" s="208">
        <v>16</v>
      </c>
      <c r="DT205" s="208">
        <v>-45</v>
      </c>
      <c r="DU205" s="208">
        <v>0</v>
      </c>
      <c r="DV205" s="208">
        <v>-1</v>
      </c>
      <c r="DW205" s="208">
        <v>26391.495500000001</v>
      </c>
      <c r="DX205" s="208">
        <v>0</v>
      </c>
      <c r="DY205" s="208">
        <v>195.13158333333334</v>
      </c>
      <c r="DZ205" s="208">
        <v>17924</v>
      </c>
      <c r="EA205" s="208">
        <v>0</v>
      </c>
      <c r="EB205" s="208">
        <v>181</v>
      </c>
      <c r="EC205" s="208">
        <v>8467</v>
      </c>
      <c r="ED205" s="208">
        <v>0</v>
      </c>
      <c r="EE205" s="208">
        <v>14</v>
      </c>
      <c r="EF205" s="208">
        <v>214040.61731249999</v>
      </c>
      <c r="EG205" s="208">
        <v>0</v>
      </c>
      <c r="EH205" s="208">
        <v>2162.0264374999997</v>
      </c>
      <c r="EI205" s="208">
        <v>0</v>
      </c>
      <c r="EJ205" s="208">
        <v>0</v>
      </c>
      <c r="EK205" s="208">
        <v>0</v>
      </c>
      <c r="EL205" s="208">
        <v>217728</v>
      </c>
      <c r="EM205" s="208">
        <v>0</v>
      </c>
      <c r="EN205" s="208">
        <v>2199</v>
      </c>
      <c r="EO205" s="208">
        <v>-3687</v>
      </c>
      <c r="EP205" s="208">
        <v>0</v>
      </c>
      <c r="EQ205" s="208">
        <v>-37</v>
      </c>
      <c r="ER205" s="208">
        <v>69633.4051875</v>
      </c>
      <c r="ES205" s="208">
        <v>0</v>
      </c>
      <c r="ET205" s="208">
        <v>703.36772916666666</v>
      </c>
      <c r="EU205" s="208">
        <v>82142</v>
      </c>
      <c r="EV205" s="208">
        <v>0</v>
      </c>
      <c r="EW205" s="208">
        <v>830</v>
      </c>
      <c r="EX205" s="208">
        <v>-12509</v>
      </c>
      <c r="EY205" s="208">
        <v>0</v>
      </c>
      <c r="EZ205" s="208">
        <v>-127</v>
      </c>
      <c r="FA205" s="208">
        <v>0</v>
      </c>
      <c r="FB205" s="208">
        <v>0</v>
      </c>
      <c r="FC205" s="208">
        <v>0</v>
      </c>
      <c r="FD205" s="208">
        <v>0</v>
      </c>
      <c r="FE205" s="208">
        <v>0</v>
      </c>
      <c r="FF205" s="208">
        <v>0</v>
      </c>
      <c r="FG205" s="208">
        <v>0</v>
      </c>
      <c r="FH205" s="208">
        <v>0</v>
      </c>
      <c r="FI205" s="208">
        <v>0</v>
      </c>
      <c r="FJ205" s="208">
        <v>1970728.3213749998</v>
      </c>
      <c r="FK205" s="208">
        <v>0</v>
      </c>
      <c r="FL205" s="208">
        <v>19853.609874999998</v>
      </c>
      <c r="FM205" s="208">
        <v>2015300</v>
      </c>
      <c r="FN205" s="208">
        <v>0</v>
      </c>
      <c r="FO205" s="208">
        <v>20310</v>
      </c>
      <c r="FP205" s="208">
        <v>-44572</v>
      </c>
      <c r="FQ205" s="208">
        <v>0</v>
      </c>
      <c r="FR205" s="208">
        <v>-456</v>
      </c>
      <c r="FS205" s="208">
        <v>0</v>
      </c>
      <c r="FT205" s="208">
        <v>0</v>
      </c>
      <c r="FU205" s="208">
        <v>0</v>
      </c>
      <c r="FV205" s="208">
        <v>0</v>
      </c>
      <c r="FW205" s="208">
        <v>0</v>
      </c>
      <c r="FX205" s="208">
        <v>0</v>
      </c>
      <c r="FY205" s="208">
        <v>0</v>
      </c>
      <c r="FZ205" s="208">
        <v>0</v>
      </c>
      <c r="GA205" s="208">
        <v>0</v>
      </c>
      <c r="GB205" s="208">
        <v>8240102</v>
      </c>
      <c r="GC205" s="208">
        <v>0</v>
      </c>
      <c r="GD205" s="208">
        <v>83108</v>
      </c>
      <c r="GE205" s="664">
        <v>0</v>
      </c>
      <c r="GF205" s="664">
        <v>0.99</v>
      </c>
      <c r="GG205" s="664">
        <v>0</v>
      </c>
      <c r="GH205" s="664">
        <v>0.01</v>
      </c>
      <c r="GI205" s="187" t="s">
        <v>742</v>
      </c>
    </row>
    <row r="206" spans="1:191" s="187" customFormat="1" x14ac:dyDescent="0.2">
      <c r="B206" s="429" t="s">
        <v>489</v>
      </c>
      <c r="C206" s="429" t="s">
        <v>488</v>
      </c>
      <c r="D206" s="208">
        <v>-569368</v>
      </c>
      <c r="E206" s="208">
        <v>0</v>
      </c>
      <c r="F206" s="208">
        <v>-569368</v>
      </c>
      <c r="G206" s="208">
        <v>-693522</v>
      </c>
      <c r="H206" s="208">
        <v>0</v>
      </c>
      <c r="I206" s="208">
        <v>-693522</v>
      </c>
      <c r="J206" s="208">
        <v>124154</v>
      </c>
      <c r="K206" s="208">
        <v>0</v>
      </c>
      <c r="L206" s="208">
        <v>124154</v>
      </c>
      <c r="M206" s="208">
        <v>231774</v>
      </c>
      <c r="N206" s="208">
        <v>231774</v>
      </c>
      <c r="O206" s="208">
        <v>0</v>
      </c>
      <c r="P206" s="208">
        <v>0</v>
      </c>
      <c r="Q206" s="208">
        <v>0</v>
      </c>
      <c r="R206" s="208">
        <v>0</v>
      </c>
      <c r="S206" s="208">
        <v>322</v>
      </c>
      <c r="T206" s="208">
        <v>0</v>
      </c>
      <c r="U206" s="208">
        <v>395</v>
      </c>
      <c r="V206" s="208">
        <v>0</v>
      </c>
      <c r="W206" s="208">
        <v>-73</v>
      </c>
      <c r="X206" s="208">
        <v>0</v>
      </c>
      <c r="Y206" s="208">
        <v>0</v>
      </c>
      <c r="Z206" s="208">
        <v>0</v>
      </c>
      <c r="AA206" s="208">
        <v>0</v>
      </c>
      <c r="AB206" s="208">
        <v>0</v>
      </c>
      <c r="AC206" s="208">
        <v>0</v>
      </c>
      <c r="AD206" s="208">
        <v>0</v>
      </c>
      <c r="AE206" s="208">
        <v>0</v>
      </c>
      <c r="AF206" s="208">
        <v>0</v>
      </c>
      <c r="AG206" s="208">
        <v>0</v>
      </c>
      <c r="AH206" s="208">
        <v>0</v>
      </c>
      <c r="AI206" s="208">
        <v>0</v>
      </c>
      <c r="AJ206" s="208">
        <v>0</v>
      </c>
      <c r="AK206" s="208">
        <v>0</v>
      </c>
      <c r="AL206" s="208">
        <v>0</v>
      </c>
      <c r="AM206" s="208">
        <v>0</v>
      </c>
      <c r="AN206" s="208">
        <v>0</v>
      </c>
      <c r="AO206" s="208">
        <v>0</v>
      </c>
      <c r="AP206" s="208">
        <v>0</v>
      </c>
      <c r="AQ206" s="208">
        <v>0</v>
      </c>
      <c r="AR206" s="208">
        <v>0</v>
      </c>
      <c r="AS206" s="208">
        <v>0</v>
      </c>
      <c r="AT206" s="208">
        <v>0</v>
      </c>
      <c r="AU206" s="208">
        <v>0</v>
      </c>
      <c r="AV206" s="208">
        <v>0</v>
      </c>
      <c r="AW206" s="208">
        <v>0</v>
      </c>
      <c r="AX206" s="208">
        <v>0</v>
      </c>
      <c r="AY206" s="208">
        <v>0</v>
      </c>
      <c r="AZ206" s="208">
        <v>0</v>
      </c>
      <c r="BA206" s="208">
        <v>0</v>
      </c>
      <c r="BB206" s="208">
        <v>0</v>
      </c>
      <c r="BC206" s="208">
        <v>0</v>
      </c>
      <c r="BD206" s="208">
        <v>0</v>
      </c>
      <c r="BE206" s="208">
        <v>0</v>
      </c>
      <c r="BF206" s="208">
        <v>0</v>
      </c>
      <c r="BG206" s="208">
        <v>0</v>
      </c>
      <c r="BH206" s="208">
        <v>0</v>
      </c>
      <c r="BI206" s="208">
        <v>0</v>
      </c>
      <c r="BJ206" s="208">
        <v>0</v>
      </c>
      <c r="BK206" s="208">
        <v>0</v>
      </c>
      <c r="BL206" s="208">
        <v>0</v>
      </c>
      <c r="BM206" s="208">
        <v>0</v>
      </c>
      <c r="BN206" s="208">
        <v>0</v>
      </c>
      <c r="BO206" s="208">
        <v>2077457.8353041464</v>
      </c>
      <c r="BP206" s="208">
        <v>0</v>
      </c>
      <c r="BQ206" s="208">
        <v>42397.098679676463</v>
      </c>
      <c r="BR206" s="208">
        <v>160684</v>
      </c>
      <c r="BS206" s="208">
        <v>0</v>
      </c>
      <c r="BT206" s="208">
        <v>3279</v>
      </c>
      <c r="BU206" s="208">
        <v>1891185</v>
      </c>
      <c r="BV206" s="208">
        <v>0</v>
      </c>
      <c r="BW206" s="208">
        <v>38596</v>
      </c>
      <c r="BX206" s="208">
        <v>346957</v>
      </c>
      <c r="BY206" s="208">
        <v>0</v>
      </c>
      <c r="BZ206" s="208">
        <v>7080</v>
      </c>
      <c r="CA206" s="208">
        <v>7137.4381735416664</v>
      </c>
      <c r="CB206" s="208">
        <v>0</v>
      </c>
      <c r="CC206" s="208">
        <v>145.66200354166668</v>
      </c>
      <c r="CD206" s="208">
        <v>0</v>
      </c>
      <c r="CE206" s="208">
        <v>0</v>
      </c>
      <c r="CF206" s="208">
        <v>0</v>
      </c>
      <c r="CG206" s="208">
        <v>7137</v>
      </c>
      <c r="CH206" s="208">
        <v>0</v>
      </c>
      <c r="CI206" s="208">
        <v>146</v>
      </c>
      <c r="CJ206" s="208">
        <v>0</v>
      </c>
      <c r="CK206" s="208">
        <v>0</v>
      </c>
      <c r="CL206" s="208">
        <v>0</v>
      </c>
      <c r="CM206" s="208">
        <v>-125.80852083333335</v>
      </c>
      <c r="CN206" s="208">
        <v>0</v>
      </c>
      <c r="CO206" s="208">
        <v>-2.5675208333333335</v>
      </c>
      <c r="CP206" s="208">
        <v>0</v>
      </c>
      <c r="CQ206" s="208">
        <v>0</v>
      </c>
      <c r="CR206" s="208">
        <v>0</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0</v>
      </c>
      <c r="DI206" s="208">
        <v>0</v>
      </c>
      <c r="DJ206" s="208">
        <v>0</v>
      </c>
      <c r="DK206" s="208">
        <v>0</v>
      </c>
      <c r="DL206" s="208">
        <v>0</v>
      </c>
      <c r="DM206" s="208">
        <v>0</v>
      </c>
      <c r="DN206" s="208">
        <v>0</v>
      </c>
      <c r="DO206" s="208">
        <v>0</v>
      </c>
      <c r="DP206" s="208">
        <v>0</v>
      </c>
      <c r="DQ206" s="208">
        <v>0</v>
      </c>
      <c r="DR206" s="208">
        <v>0</v>
      </c>
      <c r="DS206" s="208">
        <v>0</v>
      </c>
      <c r="DT206" s="208">
        <v>0</v>
      </c>
      <c r="DU206" s="208">
        <v>0</v>
      </c>
      <c r="DV206" s="208">
        <v>0</v>
      </c>
      <c r="DW206" s="208">
        <v>6660.8343958333335</v>
      </c>
      <c r="DX206" s="208">
        <v>0</v>
      </c>
      <c r="DY206" s="208">
        <v>135.93539583333333</v>
      </c>
      <c r="DZ206" s="208">
        <v>8770</v>
      </c>
      <c r="EA206" s="208">
        <v>0</v>
      </c>
      <c r="EB206" s="208">
        <v>179</v>
      </c>
      <c r="EC206" s="208">
        <v>-2109</v>
      </c>
      <c r="ED206" s="208">
        <v>0</v>
      </c>
      <c r="EE206" s="208">
        <v>-43</v>
      </c>
      <c r="EF206" s="208">
        <v>73232.588625000004</v>
      </c>
      <c r="EG206" s="208">
        <v>0</v>
      </c>
      <c r="EH206" s="208">
        <v>1494.542625</v>
      </c>
      <c r="EI206" s="208">
        <v>-3604.3389374999997</v>
      </c>
      <c r="EJ206" s="208">
        <v>0</v>
      </c>
      <c r="EK206" s="208">
        <v>-73.557937499999994</v>
      </c>
      <c r="EL206" s="208">
        <v>78192</v>
      </c>
      <c r="EM206" s="208">
        <v>0</v>
      </c>
      <c r="EN206" s="208">
        <v>1596</v>
      </c>
      <c r="EO206" s="208">
        <v>-8564</v>
      </c>
      <c r="EP206" s="208">
        <v>0</v>
      </c>
      <c r="EQ206" s="208">
        <v>-175</v>
      </c>
      <c r="ER206" s="208">
        <v>20999.497166666668</v>
      </c>
      <c r="ES206" s="208">
        <v>0</v>
      </c>
      <c r="ET206" s="208">
        <v>428.56116666666668</v>
      </c>
      <c r="EU206" s="208">
        <v>20551</v>
      </c>
      <c r="EV206" s="208">
        <v>0</v>
      </c>
      <c r="EW206" s="208">
        <v>419</v>
      </c>
      <c r="EX206" s="208">
        <v>448</v>
      </c>
      <c r="EY206" s="208">
        <v>0</v>
      </c>
      <c r="EZ206" s="208">
        <v>10</v>
      </c>
      <c r="FA206" s="208">
        <v>0</v>
      </c>
      <c r="FB206" s="208">
        <v>0</v>
      </c>
      <c r="FC206" s="208">
        <v>0</v>
      </c>
      <c r="FD206" s="208">
        <v>0</v>
      </c>
      <c r="FE206" s="208">
        <v>0</v>
      </c>
      <c r="FF206" s="208">
        <v>0</v>
      </c>
      <c r="FG206" s="208">
        <v>0</v>
      </c>
      <c r="FH206" s="208">
        <v>0</v>
      </c>
      <c r="FI206" s="208">
        <v>0</v>
      </c>
      <c r="FJ206" s="208">
        <v>624238.74172916659</v>
      </c>
      <c r="FK206" s="208">
        <v>0</v>
      </c>
      <c r="FL206" s="208">
        <v>12739.4155625</v>
      </c>
      <c r="FM206" s="208">
        <v>626376</v>
      </c>
      <c r="FN206" s="208">
        <v>0</v>
      </c>
      <c r="FO206" s="208">
        <v>12783</v>
      </c>
      <c r="FP206" s="208">
        <v>-2137</v>
      </c>
      <c r="FQ206" s="208">
        <v>0</v>
      </c>
      <c r="FR206" s="208">
        <v>-44</v>
      </c>
      <c r="FS206" s="208">
        <v>0</v>
      </c>
      <c r="FT206" s="208">
        <v>0</v>
      </c>
      <c r="FU206" s="208">
        <v>0</v>
      </c>
      <c r="FV206" s="208">
        <v>0</v>
      </c>
      <c r="FW206" s="208">
        <v>0</v>
      </c>
      <c r="FX206" s="208">
        <v>0</v>
      </c>
      <c r="FY206" s="208">
        <v>0</v>
      </c>
      <c r="FZ206" s="208">
        <v>0</v>
      </c>
      <c r="GA206" s="208">
        <v>0</v>
      </c>
      <c r="GB206" s="208">
        <v>2966681</v>
      </c>
      <c r="GC206" s="208">
        <v>0</v>
      </c>
      <c r="GD206" s="208">
        <v>60544</v>
      </c>
      <c r="GE206" s="664">
        <v>0.5</v>
      </c>
      <c r="GF206" s="664">
        <v>0.49</v>
      </c>
      <c r="GG206" s="664">
        <v>0</v>
      </c>
      <c r="GH206" s="664">
        <v>0.01</v>
      </c>
      <c r="GI206" s="187" t="s">
        <v>742</v>
      </c>
    </row>
    <row r="207" spans="1:191" s="187" customFormat="1" x14ac:dyDescent="0.2">
      <c r="B207" s="429" t="s">
        <v>491</v>
      </c>
      <c r="C207" s="429" t="s">
        <v>490</v>
      </c>
      <c r="D207" s="208">
        <v>-333166</v>
      </c>
      <c r="E207" s="208">
        <v>0</v>
      </c>
      <c r="F207" s="208">
        <v>-333166</v>
      </c>
      <c r="G207" s="208">
        <v>0</v>
      </c>
      <c r="H207" s="208">
        <v>0</v>
      </c>
      <c r="I207" s="208">
        <v>0</v>
      </c>
      <c r="J207" s="208">
        <v>-333166</v>
      </c>
      <c r="K207" s="208">
        <v>0</v>
      </c>
      <c r="L207" s="208">
        <v>-333166</v>
      </c>
      <c r="M207" s="208">
        <v>272843</v>
      </c>
      <c r="N207" s="208">
        <v>272843</v>
      </c>
      <c r="O207" s="208">
        <v>0</v>
      </c>
      <c r="P207" s="208">
        <v>0</v>
      </c>
      <c r="Q207" s="208">
        <v>0</v>
      </c>
      <c r="R207" s="208">
        <v>0</v>
      </c>
      <c r="S207" s="208">
        <v>0</v>
      </c>
      <c r="T207" s="208">
        <v>0</v>
      </c>
      <c r="U207" s="208">
        <v>0</v>
      </c>
      <c r="V207" s="208">
        <v>0</v>
      </c>
      <c r="W207" s="208">
        <v>0</v>
      </c>
      <c r="X207" s="208">
        <v>0</v>
      </c>
      <c r="Y207" s="208">
        <v>0</v>
      </c>
      <c r="Z207" s="208">
        <v>0</v>
      </c>
      <c r="AA207" s="208">
        <v>0</v>
      </c>
      <c r="AB207" s="208">
        <v>0</v>
      </c>
      <c r="AC207" s="208">
        <v>0</v>
      </c>
      <c r="AD207" s="208">
        <v>0</v>
      </c>
      <c r="AE207" s="208">
        <v>0</v>
      </c>
      <c r="AF207" s="208">
        <v>0</v>
      </c>
      <c r="AG207" s="208">
        <v>0</v>
      </c>
      <c r="AH207" s="208">
        <v>0</v>
      </c>
      <c r="AI207" s="208">
        <v>0</v>
      </c>
      <c r="AJ207" s="208">
        <v>0</v>
      </c>
      <c r="AK207" s="208">
        <v>0</v>
      </c>
      <c r="AL207" s="208">
        <v>0</v>
      </c>
      <c r="AM207" s="208">
        <v>0</v>
      </c>
      <c r="AN207" s="208">
        <v>0</v>
      </c>
      <c r="AO207" s="208">
        <v>0</v>
      </c>
      <c r="AP207" s="208">
        <v>0</v>
      </c>
      <c r="AQ207" s="208">
        <v>0</v>
      </c>
      <c r="AR207" s="208">
        <v>0</v>
      </c>
      <c r="AS207" s="208">
        <v>0</v>
      </c>
      <c r="AT207" s="208">
        <v>0</v>
      </c>
      <c r="AU207" s="208">
        <v>0</v>
      </c>
      <c r="AV207" s="208">
        <v>0</v>
      </c>
      <c r="AW207" s="208">
        <v>0</v>
      </c>
      <c r="AX207" s="208">
        <v>0</v>
      </c>
      <c r="AY207" s="208">
        <v>0</v>
      </c>
      <c r="AZ207" s="208">
        <v>0</v>
      </c>
      <c r="BA207" s="208">
        <v>0</v>
      </c>
      <c r="BB207" s="208">
        <v>0</v>
      </c>
      <c r="BC207" s="208">
        <v>0</v>
      </c>
      <c r="BD207" s="208">
        <v>0</v>
      </c>
      <c r="BE207" s="208">
        <v>0</v>
      </c>
      <c r="BF207" s="208">
        <v>0</v>
      </c>
      <c r="BG207" s="208">
        <v>0</v>
      </c>
      <c r="BH207" s="208">
        <v>0</v>
      </c>
      <c r="BI207" s="208">
        <v>0</v>
      </c>
      <c r="BJ207" s="208">
        <v>0</v>
      </c>
      <c r="BK207" s="208">
        <v>0</v>
      </c>
      <c r="BL207" s="208">
        <v>0</v>
      </c>
      <c r="BM207" s="208">
        <v>0</v>
      </c>
      <c r="BN207" s="208">
        <v>0</v>
      </c>
      <c r="BO207" s="208">
        <v>4229500.6797738755</v>
      </c>
      <c r="BP207" s="208">
        <v>0</v>
      </c>
      <c r="BQ207" s="208">
        <v>42722.229088624998</v>
      </c>
      <c r="BR207" s="208">
        <v>370062</v>
      </c>
      <c r="BS207" s="208">
        <v>0</v>
      </c>
      <c r="BT207" s="208">
        <v>3738</v>
      </c>
      <c r="BU207" s="208">
        <v>4257484</v>
      </c>
      <c r="BV207" s="208">
        <v>0</v>
      </c>
      <c r="BW207" s="208">
        <v>43005</v>
      </c>
      <c r="BX207" s="208">
        <v>342079</v>
      </c>
      <c r="BY207" s="208">
        <v>0</v>
      </c>
      <c r="BZ207" s="208">
        <v>3455</v>
      </c>
      <c r="CA207" s="208">
        <v>0</v>
      </c>
      <c r="CB207" s="208">
        <v>0</v>
      </c>
      <c r="CC207" s="208">
        <v>0</v>
      </c>
      <c r="CD207" s="208">
        <v>0</v>
      </c>
      <c r="CE207" s="208">
        <v>0</v>
      </c>
      <c r="CF207" s="208">
        <v>0</v>
      </c>
      <c r="CG207" s="208">
        <v>0</v>
      </c>
      <c r="CH207" s="208">
        <v>0</v>
      </c>
      <c r="CI207" s="208">
        <v>0</v>
      </c>
      <c r="CJ207" s="208">
        <v>0</v>
      </c>
      <c r="CK207" s="208">
        <v>0</v>
      </c>
      <c r="CL207" s="208">
        <v>0</v>
      </c>
      <c r="CM207" s="208">
        <v>0</v>
      </c>
      <c r="CN207" s="208">
        <v>0</v>
      </c>
      <c r="CO207" s="208">
        <v>0</v>
      </c>
      <c r="CP207" s="208">
        <v>-4685.7050625000002</v>
      </c>
      <c r="CQ207" s="208">
        <v>0</v>
      </c>
      <c r="CR207" s="208">
        <v>-47.330354166666666</v>
      </c>
      <c r="CS207" s="208">
        <v>0</v>
      </c>
      <c r="CT207" s="208">
        <v>0</v>
      </c>
      <c r="CU207" s="208">
        <v>0</v>
      </c>
      <c r="CV207" s="208">
        <v>0</v>
      </c>
      <c r="CW207" s="208">
        <v>0</v>
      </c>
      <c r="CX207" s="208">
        <v>0</v>
      </c>
      <c r="CY207" s="208">
        <v>0</v>
      </c>
      <c r="CZ207" s="208">
        <v>0</v>
      </c>
      <c r="DA207" s="208">
        <v>0</v>
      </c>
      <c r="DB207" s="208">
        <v>0</v>
      </c>
      <c r="DC207" s="208">
        <v>0</v>
      </c>
      <c r="DD207" s="208">
        <v>0</v>
      </c>
      <c r="DE207" s="208">
        <v>0</v>
      </c>
      <c r="DF207" s="208">
        <v>0</v>
      </c>
      <c r="DG207" s="208">
        <v>0</v>
      </c>
      <c r="DH207" s="208">
        <v>0</v>
      </c>
      <c r="DI207" s="208">
        <v>0</v>
      </c>
      <c r="DJ207" s="208">
        <v>0</v>
      </c>
      <c r="DK207" s="208">
        <v>0</v>
      </c>
      <c r="DL207" s="208">
        <v>0</v>
      </c>
      <c r="DM207" s="208">
        <v>0</v>
      </c>
      <c r="DN207" s="208">
        <v>-203.55018749999999</v>
      </c>
      <c r="DO207" s="208">
        <v>0</v>
      </c>
      <c r="DP207" s="208">
        <v>-2.0560624999999999</v>
      </c>
      <c r="DQ207" s="208">
        <v>0</v>
      </c>
      <c r="DR207" s="208">
        <v>0</v>
      </c>
      <c r="DS207" s="208">
        <v>0</v>
      </c>
      <c r="DT207" s="208">
        <v>-204</v>
      </c>
      <c r="DU207" s="208">
        <v>0</v>
      </c>
      <c r="DV207" s="208">
        <v>-2</v>
      </c>
      <c r="DW207" s="208">
        <v>14905.7473125</v>
      </c>
      <c r="DX207" s="208">
        <v>0</v>
      </c>
      <c r="DY207" s="208">
        <v>150.56310416666668</v>
      </c>
      <c r="DZ207" s="208">
        <v>0</v>
      </c>
      <c r="EA207" s="208">
        <v>0</v>
      </c>
      <c r="EB207" s="208">
        <v>0</v>
      </c>
      <c r="EC207" s="208">
        <v>14906</v>
      </c>
      <c r="ED207" s="208">
        <v>0</v>
      </c>
      <c r="EE207" s="208">
        <v>151</v>
      </c>
      <c r="EF207" s="208">
        <v>236738.99493749999</v>
      </c>
      <c r="EG207" s="208">
        <v>0</v>
      </c>
      <c r="EH207" s="208">
        <v>2391.3029791666668</v>
      </c>
      <c r="EI207" s="208">
        <v>0</v>
      </c>
      <c r="EJ207" s="208">
        <v>0</v>
      </c>
      <c r="EK207" s="208">
        <v>0</v>
      </c>
      <c r="EL207" s="208">
        <v>256833</v>
      </c>
      <c r="EM207" s="208">
        <v>0</v>
      </c>
      <c r="EN207" s="208">
        <v>2594</v>
      </c>
      <c r="EO207" s="208">
        <v>-20094</v>
      </c>
      <c r="EP207" s="208">
        <v>0</v>
      </c>
      <c r="EQ207" s="208">
        <v>-203</v>
      </c>
      <c r="ER207" s="208">
        <v>51331.103999999999</v>
      </c>
      <c r="ES207" s="208">
        <v>0</v>
      </c>
      <c r="ET207" s="208">
        <v>518.49599999999998</v>
      </c>
      <c r="EU207" s="208">
        <v>70888</v>
      </c>
      <c r="EV207" s="208">
        <v>0</v>
      </c>
      <c r="EW207" s="208">
        <v>716</v>
      </c>
      <c r="EX207" s="208">
        <v>-19557</v>
      </c>
      <c r="EY207" s="208">
        <v>0</v>
      </c>
      <c r="EZ207" s="208">
        <v>-198</v>
      </c>
      <c r="FA207" s="208">
        <v>0</v>
      </c>
      <c r="FB207" s="208">
        <v>0</v>
      </c>
      <c r="FC207" s="208">
        <v>0</v>
      </c>
      <c r="FD207" s="208">
        <v>0</v>
      </c>
      <c r="FE207" s="208">
        <v>0</v>
      </c>
      <c r="FF207" s="208">
        <v>0</v>
      </c>
      <c r="FG207" s="208">
        <v>0</v>
      </c>
      <c r="FH207" s="208">
        <v>0</v>
      </c>
      <c r="FI207" s="208">
        <v>0</v>
      </c>
      <c r="FJ207" s="208">
        <v>2036113.2598124999</v>
      </c>
      <c r="FK207" s="208">
        <v>0</v>
      </c>
      <c r="FL207" s="208">
        <v>20566.800604166667</v>
      </c>
      <c r="FM207" s="208">
        <v>1969188</v>
      </c>
      <c r="FN207" s="208">
        <v>0</v>
      </c>
      <c r="FO207" s="208">
        <v>19891</v>
      </c>
      <c r="FP207" s="208">
        <v>66925</v>
      </c>
      <c r="FQ207" s="208">
        <v>0</v>
      </c>
      <c r="FR207" s="208">
        <v>676</v>
      </c>
      <c r="FS207" s="208">
        <v>0</v>
      </c>
      <c r="FT207" s="208">
        <v>0</v>
      </c>
      <c r="FU207" s="208">
        <v>0</v>
      </c>
      <c r="FV207" s="208">
        <v>0</v>
      </c>
      <c r="FW207" s="208">
        <v>0</v>
      </c>
      <c r="FX207" s="208">
        <v>0</v>
      </c>
      <c r="FY207" s="208">
        <v>0</v>
      </c>
      <c r="FZ207" s="208">
        <v>0</v>
      </c>
      <c r="GA207" s="208">
        <v>0</v>
      </c>
      <c r="GB207" s="208">
        <v>6933762</v>
      </c>
      <c r="GC207" s="208">
        <v>0</v>
      </c>
      <c r="GD207" s="208">
        <v>70038</v>
      </c>
      <c r="GE207" s="664">
        <v>0</v>
      </c>
      <c r="GF207" s="664">
        <v>0.99</v>
      </c>
      <c r="GG207" s="664">
        <v>0</v>
      </c>
      <c r="GH207" s="664">
        <v>0.01</v>
      </c>
      <c r="GI207" s="187" t="s">
        <v>742</v>
      </c>
    </row>
    <row r="208" spans="1:191" s="187" customFormat="1" x14ac:dyDescent="0.2">
      <c r="B208" s="429" t="s">
        <v>493</v>
      </c>
      <c r="C208" s="429" t="s">
        <v>492</v>
      </c>
      <c r="D208" s="208">
        <v>-5339240</v>
      </c>
      <c r="E208" s="208">
        <v>0</v>
      </c>
      <c r="F208" s="208">
        <v>-5339240</v>
      </c>
      <c r="G208" s="208">
        <v>-5468858</v>
      </c>
      <c r="H208" s="208">
        <v>0</v>
      </c>
      <c r="I208" s="208">
        <v>-5468858</v>
      </c>
      <c r="J208" s="208">
        <v>129618</v>
      </c>
      <c r="K208" s="208">
        <v>0</v>
      </c>
      <c r="L208" s="208">
        <v>129618</v>
      </c>
      <c r="M208" s="208">
        <v>224746</v>
      </c>
      <c r="N208" s="208">
        <v>224746</v>
      </c>
      <c r="O208" s="208">
        <v>0</v>
      </c>
      <c r="P208" s="208">
        <v>0</v>
      </c>
      <c r="Q208" s="208">
        <v>0</v>
      </c>
      <c r="R208" s="208">
        <v>0</v>
      </c>
      <c r="S208" s="208">
        <v>68061</v>
      </c>
      <c r="T208" s="208">
        <v>0</v>
      </c>
      <c r="U208" s="208">
        <v>18292</v>
      </c>
      <c r="V208" s="208">
        <v>0</v>
      </c>
      <c r="W208" s="208">
        <v>49769</v>
      </c>
      <c r="X208" s="208">
        <v>0</v>
      </c>
      <c r="Y208" s="208">
        <v>0</v>
      </c>
      <c r="Z208" s="208">
        <v>0</v>
      </c>
      <c r="AA208" s="208">
        <v>0</v>
      </c>
      <c r="AB208" s="208">
        <v>0</v>
      </c>
      <c r="AC208" s="208">
        <v>0</v>
      </c>
      <c r="AD208" s="208">
        <v>0</v>
      </c>
      <c r="AE208" s="208">
        <v>0</v>
      </c>
      <c r="AF208" s="208">
        <v>0</v>
      </c>
      <c r="AG208" s="208">
        <v>0</v>
      </c>
      <c r="AH208" s="208">
        <v>0</v>
      </c>
      <c r="AI208" s="208">
        <v>0</v>
      </c>
      <c r="AJ208" s="208">
        <v>0</v>
      </c>
      <c r="AK208" s="208">
        <v>0</v>
      </c>
      <c r="AL208" s="208">
        <v>0</v>
      </c>
      <c r="AM208" s="208">
        <v>0</v>
      </c>
      <c r="AN208" s="208">
        <v>0</v>
      </c>
      <c r="AO208" s="208">
        <v>0</v>
      </c>
      <c r="AP208" s="208">
        <v>0</v>
      </c>
      <c r="AQ208" s="208">
        <v>0</v>
      </c>
      <c r="AR208" s="208">
        <v>0</v>
      </c>
      <c r="AS208" s="208">
        <v>0</v>
      </c>
      <c r="AT208" s="208">
        <v>0</v>
      </c>
      <c r="AU208" s="208">
        <v>0</v>
      </c>
      <c r="AV208" s="208">
        <v>0</v>
      </c>
      <c r="AW208" s="208">
        <v>0</v>
      </c>
      <c r="AX208" s="208">
        <v>0</v>
      </c>
      <c r="AY208" s="208">
        <v>0</v>
      </c>
      <c r="AZ208" s="208">
        <v>0</v>
      </c>
      <c r="BA208" s="208">
        <v>0</v>
      </c>
      <c r="BB208" s="208">
        <v>0</v>
      </c>
      <c r="BC208" s="208">
        <v>0</v>
      </c>
      <c r="BD208" s="208">
        <v>0</v>
      </c>
      <c r="BE208" s="208">
        <v>0</v>
      </c>
      <c r="BF208" s="208">
        <v>0</v>
      </c>
      <c r="BG208" s="208">
        <v>0</v>
      </c>
      <c r="BH208" s="208">
        <v>0</v>
      </c>
      <c r="BI208" s="208">
        <v>0</v>
      </c>
      <c r="BJ208" s="208">
        <v>0</v>
      </c>
      <c r="BK208" s="208">
        <v>0</v>
      </c>
      <c r="BL208" s="208">
        <v>0</v>
      </c>
      <c r="BM208" s="208">
        <v>0</v>
      </c>
      <c r="BN208" s="208">
        <v>0</v>
      </c>
      <c r="BO208" s="208">
        <v>1545175.5945125001</v>
      </c>
      <c r="BP208" s="208">
        <v>347664.50876531244</v>
      </c>
      <c r="BQ208" s="208">
        <v>38629.38986281251</v>
      </c>
      <c r="BR208" s="208">
        <v>104441</v>
      </c>
      <c r="BS208" s="208">
        <v>23499</v>
      </c>
      <c r="BT208" s="208">
        <v>2611</v>
      </c>
      <c r="BU208" s="208">
        <v>1404866</v>
      </c>
      <c r="BV208" s="208">
        <v>316095</v>
      </c>
      <c r="BW208" s="208">
        <v>35122</v>
      </c>
      <c r="BX208" s="208">
        <v>244751</v>
      </c>
      <c r="BY208" s="208">
        <v>55069</v>
      </c>
      <c r="BZ208" s="208">
        <v>6118</v>
      </c>
      <c r="CA208" s="208">
        <v>-2182.5809249999998</v>
      </c>
      <c r="CB208" s="208">
        <v>-491.08070812499994</v>
      </c>
      <c r="CC208" s="208">
        <v>-54.564523124999994</v>
      </c>
      <c r="CD208" s="208">
        <v>3800</v>
      </c>
      <c r="CE208" s="208">
        <v>855</v>
      </c>
      <c r="CF208" s="208">
        <v>95</v>
      </c>
      <c r="CG208" s="208">
        <v>-5983</v>
      </c>
      <c r="CH208" s="208">
        <v>-1346</v>
      </c>
      <c r="CI208" s="208">
        <v>-150</v>
      </c>
      <c r="CJ208" s="208">
        <v>0</v>
      </c>
      <c r="CK208" s="208">
        <v>0</v>
      </c>
      <c r="CL208" s="208">
        <v>0</v>
      </c>
      <c r="CM208" s="208">
        <v>0</v>
      </c>
      <c r="CN208" s="208">
        <v>0</v>
      </c>
      <c r="CO208" s="208">
        <v>0</v>
      </c>
      <c r="CP208" s="208">
        <v>0</v>
      </c>
      <c r="CQ208" s="208">
        <v>0</v>
      </c>
      <c r="CR208" s="208">
        <v>0</v>
      </c>
      <c r="CS208" s="208">
        <v>0</v>
      </c>
      <c r="CT208" s="208">
        <v>0</v>
      </c>
      <c r="CU208" s="208">
        <v>0</v>
      </c>
      <c r="CV208" s="208">
        <v>0</v>
      </c>
      <c r="CW208" s="208">
        <v>0</v>
      </c>
      <c r="CX208" s="208">
        <v>0</v>
      </c>
      <c r="CY208" s="208">
        <v>0</v>
      </c>
      <c r="CZ208" s="208">
        <v>0</v>
      </c>
      <c r="DA208" s="208">
        <v>0</v>
      </c>
      <c r="DB208" s="208">
        <v>0</v>
      </c>
      <c r="DC208" s="208">
        <v>0</v>
      </c>
      <c r="DD208" s="208">
        <v>0</v>
      </c>
      <c r="DE208" s="208">
        <v>2031.5125</v>
      </c>
      <c r="DF208" s="208">
        <v>457.09031249999998</v>
      </c>
      <c r="DG208" s="208">
        <v>50.787812500000001</v>
      </c>
      <c r="DH208" s="208">
        <v>753</v>
      </c>
      <c r="DI208" s="208">
        <v>170</v>
      </c>
      <c r="DJ208" s="208">
        <v>19</v>
      </c>
      <c r="DK208" s="208">
        <v>1279</v>
      </c>
      <c r="DL208" s="208">
        <v>287</v>
      </c>
      <c r="DM208" s="208">
        <v>32</v>
      </c>
      <c r="DN208" s="208">
        <v>0</v>
      </c>
      <c r="DO208" s="208">
        <v>0</v>
      </c>
      <c r="DP208" s="208">
        <v>0</v>
      </c>
      <c r="DQ208" s="208">
        <v>0</v>
      </c>
      <c r="DR208" s="208">
        <v>0</v>
      </c>
      <c r="DS208" s="208">
        <v>0</v>
      </c>
      <c r="DT208" s="208">
        <v>0</v>
      </c>
      <c r="DU208" s="208">
        <v>0</v>
      </c>
      <c r="DV208" s="208">
        <v>0</v>
      </c>
      <c r="DW208" s="208">
        <v>1405.4875000000002</v>
      </c>
      <c r="DX208" s="208">
        <v>316.23468750000001</v>
      </c>
      <c r="DY208" s="208">
        <v>35.137187500000003</v>
      </c>
      <c r="DZ208" s="208">
        <v>1601</v>
      </c>
      <c r="EA208" s="208">
        <v>360</v>
      </c>
      <c r="EB208" s="208">
        <v>40</v>
      </c>
      <c r="EC208" s="208">
        <v>-196</v>
      </c>
      <c r="ED208" s="208">
        <v>-44</v>
      </c>
      <c r="EE208" s="208">
        <v>-5</v>
      </c>
      <c r="EF208" s="208">
        <v>16935.563816666665</v>
      </c>
      <c r="EG208" s="208">
        <v>3810.5018587499994</v>
      </c>
      <c r="EH208" s="208">
        <v>423.38909541666663</v>
      </c>
      <c r="EI208" s="208">
        <v>-12.275</v>
      </c>
      <c r="EJ208" s="208">
        <v>-2.7618749999999999</v>
      </c>
      <c r="EK208" s="208">
        <v>-0.30687500000000001</v>
      </c>
      <c r="EL208" s="208">
        <v>19979</v>
      </c>
      <c r="EM208" s="208">
        <v>4495</v>
      </c>
      <c r="EN208" s="208">
        <v>499</v>
      </c>
      <c r="EO208" s="208">
        <v>-3056</v>
      </c>
      <c r="EP208" s="208">
        <v>-687</v>
      </c>
      <c r="EQ208" s="208">
        <v>-76</v>
      </c>
      <c r="ER208" s="208">
        <v>16372.395</v>
      </c>
      <c r="ES208" s="208">
        <v>3683.7888750000002</v>
      </c>
      <c r="ET208" s="208">
        <v>409.30987500000003</v>
      </c>
      <c r="EU208" s="208">
        <v>7365</v>
      </c>
      <c r="EV208" s="208">
        <v>1657</v>
      </c>
      <c r="EW208" s="208">
        <v>184</v>
      </c>
      <c r="EX208" s="208">
        <v>9007</v>
      </c>
      <c r="EY208" s="208">
        <v>2027</v>
      </c>
      <c r="EZ208" s="208">
        <v>225</v>
      </c>
      <c r="FA208" s="208">
        <v>0</v>
      </c>
      <c r="FB208" s="208">
        <v>0</v>
      </c>
      <c r="FC208" s="208">
        <v>0</v>
      </c>
      <c r="FD208" s="208">
        <v>0</v>
      </c>
      <c r="FE208" s="208">
        <v>0</v>
      </c>
      <c r="FF208" s="208">
        <v>0</v>
      </c>
      <c r="FG208" s="208">
        <v>0</v>
      </c>
      <c r="FH208" s="208">
        <v>0</v>
      </c>
      <c r="FI208" s="208">
        <v>0</v>
      </c>
      <c r="FJ208" s="208">
        <v>482855.5370833333</v>
      </c>
      <c r="FK208" s="208">
        <v>108291.55631249998</v>
      </c>
      <c r="FL208" s="208">
        <v>12032.395145833332</v>
      </c>
      <c r="FM208" s="208">
        <v>487724</v>
      </c>
      <c r="FN208" s="208">
        <v>109644</v>
      </c>
      <c r="FO208" s="208">
        <v>12183</v>
      </c>
      <c r="FP208" s="208">
        <v>-4868</v>
      </c>
      <c r="FQ208" s="208">
        <v>-1352</v>
      </c>
      <c r="FR208" s="208">
        <v>-151</v>
      </c>
      <c r="FS208" s="208">
        <v>0</v>
      </c>
      <c r="FT208" s="208">
        <v>0</v>
      </c>
      <c r="FU208" s="208">
        <v>0</v>
      </c>
      <c r="FV208" s="208">
        <v>0</v>
      </c>
      <c r="FW208" s="208">
        <v>0</v>
      </c>
      <c r="FX208" s="208">
        <v>0</v>
      </c>
      <c r="FY208" s="208">
        <v>0</v>
      </c>
      <c r="FZ208" s="208">
        <v>0</v>
      </c>
      <c r="GA208" s="208">
        <v>0</v>
      </c>
      <c r="GB208" s="208">
        <v>2167023</v>
      </c>
      <c r="GC208" s="208">
        <v>487230</v>
      </c>
      <c r="GD208" s="208">
        <v>54135</v>
      </c>
      <c r="GE208" s="664">
        <v>0.5</v>
      </c>
      <c r="GF208" s="664">
        <v>0.4</v>
      </c>
      <c r="GG208" s="664">
        <v>0.09</v>
      </c>
      <c r="GH208" s="664">
        <v>0.01</v>
      </c>
      <c r="GI208" s="187" t="s">
        <v>1054</v>
      </c>
    </row>
    <row r="209" spans="1:191" s="187" customFormat="1" x14ac:dyDescent="0.2">
      <c r="B209" s="429" t="s">
        <v>495</v>
      </c>
      <c r="C209" s="429" t="s">
        <v>494</v>
      </c>
      <c r="D209" s="208">
        <v>198304</v>
      </c>
      <c r="E209" s="208">
        <v>0</v>
      </c>
      <c r="F209" s="208">
        <v>198304</v>
      </c>
      <c r="G209" s="208">
        <v>255407</v>
      </c>
      <c r="H209" s="208">
        <v>-18168</v>
      </c>
      <c r="I209" s="208">
        <v>237239</v>
      </c>
      <c r="J209" s="208">
        <v>-57103</v>
      </c>
      <c r="K209" s="208">
        <v>18168</v>
      </c>
      <c r="L209" s="208">
        <v>-38935</v>
      </c>
      <c r="M209" s="208">
        <v>96486</v>
      </c>
      <c r="N209" s="208">
        <v>96486</v>
      </c>
      <c r="O209" s="208">
        <v>0</v>
      </c>
      <c r="P209" s="208">
        <v>91439</v>
      </c>
      <c r="Q209" s="208">
        <v>74462</v>
      </c>
      <c r="R209" s="208">
        <v>16977</v>
      </c>
      <c r="S209" s="208">
        <v>130891</v>
      </c>
      <c r="T209" s="208">
        <v>0</v>
      </c>
      <c r="U209" s="208">
        <v>118456</v>
      </c>
      <c r="V209" s="208">
        <v>0</v>
      </c>
      <c r="W209" s="208">
        <v>12435</v>
      </c>
      <c r="X209" s="208">
        <v>0</v>
      </c>
      <c r="Y209" s="208">
        <v>0</v>
      </c>
      <c r="Z209" s="208">
        <v>0</v>
      </c>
      <c r="AA209" s="208">
        <v>0</v>
      </c>
      <c r="AB209" s="208">
        <v>0</v>
      </c>
      <c r="AC209" s="208">
        <v>0</v>
      </c>
      <c r="AD209" s="208">
        <v>0</v>
      </c>
      <c r="AE209" s="208">
        <v>0</v>
      </c>
      <c r="AF209" s="208">
        <v>0</v>
      </c>
      <c r="AG209" s="208">
        <v>0</v>
      </c>
      <c r="AH209" s="208">
        <v>47849</v>
      </c>
      <c r="AI209" s="208">
        <v>47848.972916666666</v>
      </c>
      <c r="AJ209" s="208">
        <v>0</v>
      </c>
      <c r="AK209" s="208">
        <v>0</v>
      </c>
      <c r="AL209" s="208">
        <v>40000</v>
      </c>
      <c r="AM209" s="208">
        <v>40000</v>
      </c>
      <c r="AN209" s="208">
        <v>0</v>
      </c>
      <c r="AO209" s="208">
        <v>0</v>
      </c>
      <c r="AP209" s="208">
        <v>7849</v>
      </c>
      <c r="AQ209" s="208">
        <v>7849</v>
      </c>
      <c r="AR209" s="208">
        <v>0</v>
      </c>
      <c r="AS209" s="208">
        <v>0</v>
      </c>
      <c r="AT209" s="208">
        <v>0</v>
      </c>
      <c r="AU209" s="208">
        <v>0</v>
      </c>
      <c r="AV209" s="208">
        <v>0</v>
      </c>
      <c r="AW209" s="208">
        <v>0</v>
      </c>
      <c r="AX209" s="208">
        <v>0</v>
      </c>
      <c r="AY209" s="208">
        <v>0</v>
      </c>
      <c r="AZ209" s="208">
        <v>0</v>
      </c>
      <c r="BA209" s="208">
        <v>0</v>
      </c>
      <c r="BB209" s="208">
        <v>0</v>
      </c>
      <c r="BC209" s="208">
        <v>0</v>
      </c>
      <c r="BD209" s="208">
        <v>0</v>
      </c>
      <c r="BE209" s="208">
        <v>0</v>
      </c>
      <c r="BF209" s="208">
        <v>0</v>
      </c>
      <c r="BG209" s="208">
        <v>0</v>
      </c>
      <c r="BH209" s="208">
        <v>0</v>
      </c>
      <c r="BI209" s="208">
        <v>0</v>
      </c>
      <c r="BJ209" s="208">
        <v>0</v>
      </c>
      <c r="BK209" s="208">
        <v>0</v>
      </c>
      <c r="BL209" s="208">
        <v>0</v>
      </c>
      <c r="BM209" s="208">
        <v>0</v>
      </c>
      <c r="BN209" s="208">
        <v>0</v>
      </c>
      <c r="BO209" s="208">
        <v>785874.12120833341</v>
      </c>
      <c r="BP209" s="208">
        <v>175450.88275781248</v>
      </c>
      <c r="BQ209" s="208">
        <v>19494.542528645838</v>
      </c>
      <c r="BR209" s="208">
        <v>35067</v>
      </c>
      <c r="BS209" s="208">
        <v>7890</v>
      </c>
      <c r="BT209" s="208">
        <v>877</v>
      </c>
      <c r="BU209" s="208">
        <v>720108</v>
      </c>
      <c r="BV209" s="208">
        <v>160514</v>
      </c>
      <c r="BW209" s="208">
        <v>17835</v>
      </c>
      <c r="BX209" s="208">
        <v>100833</v>
      </c>
      <c r="BY209" s="208">
        <v>22827</v>
      </c>
      <c r="BZ209" s="208">
        <v>2537</v>
      </c>
      <c r="CA209" s="208">
        <v>1851.8883333333333</v>
      </c>
      <c r="CB209" s="208">
        <v>416.67487499999999</v>
      </c>
      <c r="CC209" s="208">
        <v>46.29720833333333</v>
      </c>
      <c r="CD209" s="208">
        <v>0</v>
      </c>
      <c r="CE209" s="208">
        <v>0</v>
      </c>
      <c r="CF209" s="208">
        <v>0</v>
      </c>
      <c r="CG209" s="208">
        <v>1852</v>
      </c>
      <c r="CH209" s="208">
        <v>417</v>
      </c>
      <c r="CI209" s="208">
        <v>46</v>
      </c>
      <c r="CJ209" s="208">
        <v>0</v>
      </c>
      <c r="CK209" s="208">
        <v>0</v>
      </c>
      <c r="CL209" s="208">
        <v>0</v>
      </c>
      <c r="CM209" s="208">
        <v>0</v>
      </c>
      <c r="CN209" s="208">
        <v>0</v>
      </c>
      <c r="CO209" s="208">
        <v>0</v>
      </c>
      <c r="CP209" s="208">
        <v>0</v>
      </c>
      <c r="CQ209" s="208">
        <v>0</v>
      </c>
      <c r="CR209" s="208">
        <v>0</v>
      </c>
      <c r="CS209" s="208">
        <v>0</v>
      </c>
      <c r="CT209" s="208">
        <v>0</v>
      </c>
      <c r="CU209" s="208">
        <v>0</v>
      </c>
      <c r="CV209" s="208">
        <v>0</v>
      </c>
      <c r="CW209" s="208">
        <v>0</v>
      </c>
      <c r="CX209" s="208">
        <v>0</v>
      </c>
      <c r="CY209" s="208">
        <v>0</v>
      </c>
      <c r="CZ209" s="208">
        <v>0</v>
      </c>
      <c r="DA209" s="208">
        <v>0</v>
      </c>
      <c r="DB209" s="208">
        <v>0</v>
      </c>
      <c r="DC209" s="208">
        <v>0</v>
      </c>
      <c r="DD209" s="208">
        <v>0</v>
      </c>
      <c r="DE209" s="208">
        <v>2304.4266666666667</v>
      </c>
      <c r="DF209" s="208">
        <v>518.49599999999998</v>
      </c>
      <c r="DG209" s="208">
        <v>57.610666666666667</v>
      </c>
      <c r="DH209" s="208">
        <v>2563</v>
      </c>
      <c r="DI209" s="208">
        <v>576</v>
      </c>
      <c r="DJ209" s="208">
        <v>64</v>
      </c>
      <c r="DK209" s="208">
        <v>-259</v>
      </c>
      <c r="DL209" s="208">
        <v>-58</v>
      </c>
      <c r="DM209" s="208">
        <v>-6</v>
      </c>
      <c r="DN209" s="208">
        <v>0</v>
      </c>
      <c r="DO209" s="208">
        <v>0</v>
      </c>
      <c r="DP209" s="208">
        <v>0</v>
      </c>
      <c r="DQ209" s="208">
        <v>0</v>
      </c>
      <c r="DR209" s="208">
        <v>0</v>
      </c>
      <c r="DS209" s="208">
        <v>0</v>
      </c>
      <c r="DT209" s="208">
        <v>0</v>
      </c>
      <c r="DU209" s="208">
        <v>0</v>
      </c>
      <c r="DV209" s="208">
        <v>0</v>
      </c>
      <c r="DW209" s="208">
        <v>7271.3008333333337</v>
      </c>
      <c r="DX209" s="208">
        <v>1636.0426874999998</v>
      </c>
      <c r="DY209" s="208">
        <v>181.78252083333334</v>
      </c>
      <c r="DZ209" s="208">
        <v>9748</v>
      </c>
      <c r="EA209" s="208">
        <v>2193</v>
      </c>
      <c r="EB209" s="208">
        <v>244</v>
      </c>
      <c r="EC209" s="208">
        <v>-2477</v>
      </c>
      <c r="ED209" s="208">
        <v>-557</v>
      </c>
      <c r="EE209" s="208">
        <v>-62</v>
      </c>
      <c r="EF209" s="208">
        <v>43206.772499999999</v>
      </c>
      <c r="EG209" s="208">
        <v>9721.5238124999996</v>
      </c>
      <c r="EH209" s="208">
        <v>1080.1693124999999</v>
      </c>
      <c r="EI209" s="208">
        <v>-2395.6708333333331</v>
      </c>
      <c r="EJ209" s="208">
        <v>-539.02593749999994</v>
      </c>
      <c r="EK209" s="208">
        <v>-59.891770833333332</v>
      </c>
      <c r="EL209" s="208">
        <v>43206</v>
      </c>
      <c r="EM209" s="208">
        <v>9722</v>
      </c>
      <c r="EN209" s="208">
        <v>1080</v>
      </c>
      <c r="EO209" s="208">
        <v>-2395</v>
      </c>
      <c r="EP209" s="208">
        <v>-540</v>
      </c>
      <c r="EQ209" s="208">
        <v>-60</v>
      </c>
      <c r="ER209" s="208">
        <v>18329.439166666667</v>
      </c>
      <c r="ES209" s="208">
        <v>4124.1238125000009</v>
      </c>
      <c r="ET209" s="208">
        <v>458.23597916666665</v>
      </c>
      <c r="EU209" s="208">
        <v>18207</v>
      </c>
      <c r="EV209" s="208">
        <v>4097</v>
      </c>
      <c r="EW209" s="208">
        <v>455</v>
      </c>
      <c r="EX209" s="208">
        <v>122</v>
      </c>
      <c r="EY209" s="208">
        <v>27</v>
      </c>
      <c r="EZ209" s="208">
        <v>3</v>
      </c>
      <c r="FA209" s="208">
        <v>0</v>
      </c>
      <c r="FB209" s="208">
        <v>0</v>
      </c>
      <c r="FC209" s="208">
        <v>0</v>
      </c>
      <c r="FD209" s="208">
        <v>0</v>
      </c>
      <c r="FE209" s="208">
        <v>0</v>
      </c>
      <c r="FF209" s="208">
        <v>0</v>
      </c>
      <c r="FG209" s="208">
        <v>0</v>
      </c>
      <c r="FH209" s="208">
        <v>0</v>
      </c>
      <c r="FI209" s="208">
        <v>0</v>
      </c>
      <c r="FJ209" s="208">
        <v>133914.38500000001</v>
      </c>
      <c r="FK209" s="208">
        <v>28984.347562499999</v>
      </c>
      <c r="FL209" s="208">
        <v>3220.4830625</v>
      </c>
      <c r="FM209" s="208">
        <v>152274</v>
      </c>
      <c r="FN209" s="208">
        <v>33061</v>
      </c>
      <c r="FO209" s="208">
        <v>3673</v>
      </c>
      <c r="FP209" s="208">
        <v>-18360</v>
      </c>
      <c r="FQ209" s="208">
        <v>-4077</v>
      </c>
      <c r="FR209" s="208">
        <v>-453</v>
      </c>
      <c r="FS209" s="208">
        <v>0</v>
      </c>
      <c r="FT209" s="208">
        <v>0</v>
      </c>
      <c r="FU209" s="208">
        <v>0</v>
      </c>
      <c r="FV209" s="208">
        <v>0</v>
      </c>
      <c r="FW209" s="208">
        <v>0</v>
      </c>
      <c r="FX209" s="208">
        <v>0</v>
      </c>
      <c r="FY209" s="208">
        <v>0</v>
      </c>
      <c r="FZ209" s="208">
        <v>0</v>
      </c>
      <c r="GA209" s="208">
        <v>0</v>
      </c>
      <c r="GB209" s="208">
        <v>1025422</v>
      </c>
      <c r="GC209" s="208">
        <v>228203</v>
      </c>
      <c r="GD209" s="208">
        <v>25356</v>
      </c>
      <c r="GE209" s="664">
        <v>0.5</v>
      </c>
      <c r="GF209" s="664">
        <v>0.4</v>
      </c>
      <c r="GG209" s="664">
        <v>0.09</v>
      </c>
      <c r="GH209" s="664">
        <v>0.01</v>
      </c>
      <c r="GI209" s="187" t="s">
        <v>1054</v>
      </c>
    </row>
    <row r="210" spans="1:191" s="187" customFormat="1" x14ac:dyDescent="0.2">
      <c r="A210" s="188" t="s">
        <v>1817</v>
      </c>
      <c r="B210" s="429" t="s">
        <v>497</v>
      </c>
      <c r="C210" s="429" t="s">
        <v>496</v>
      </c>
      <c r="D210" s="208">
        <v>1263450</v>
      </c>
      <c r="E210" s="208">
        <v>0</v>
      </c>
      <c r="F210" s="208">
        <v>1263450</v>
      </c>
      <c r="G210" s="208">
        <v>1910082</v>
      </c>
      <c r="H210" s="208">
        <v>0</v>
      </c>
      <c r="I210" s="208">
        <v>1910082</v>
      </c>
      <c r="J210" s="208">
        <v>-646632</v>
      </c>
      <c r="K210" s="208">
        <v>0</v>
      </c>
      <c r="L210" s="208">
        <v>-646632</v>
      </c>
      <c r="M210" s="208">
        <v>282159</v>
      </c>
      <c r="N210" s="208">
        <v>282159</v>
      </c>
      <c r="O210" s="208">
        <v>0</v>
      </c>
      <c r="P210" s="208">
        <v>0</v>
      </c>
      <c r="Q210" s="208">
        <v>0</v>
      </c>
      <c r="R210" s="208">
        <v>0</v>
      </c>
      <c r="S210" s="208">
        <v>0</v>
      </c>
      <c r="T210" s="208">
        <v>0</v>
      </c>
      <c r="U210" s="208">
        <v>0</v>
      </c>
      <c r="V210" s="208">
        <v>0</v>
      </c>
      <c r="W210" s="208">
        <v>0</v>
      </c>
      <c r="X210" s="208">
        <v>0</v>
      </c>
      <c r="Y210" s="208">
        <v>0</v>
      </c>
      <c r="Z210" s="208">
        <v>0</v>
      </c>
      <c r="AA210" s="208">
        <v>0</v>
      </c>
      <c r="AB210" s="208">
        <v>0</v>
      </c>
      <c r="AC210" s="208">
        <v>0</v>
      </c>
      <c r="AD210" s="208">
        <v>0</v>
      </c>
      <c r="AE210" s="208">
        <v>0</v>
      </c>
      <c r="AF210" s="208">
        <v>0</v>
      </c>
      <c r="AG210" s="208">
        <v>0</v>
      </c>
      <c r="AH210" s="208">
        <v>0</v>
      </c>
      <c r="AI210" s="208">
        <v>0</v>
      </c>
      <c r="AJ210" s="208">
        <v>0</v>
      </c>
      <c r="AK210" s="208">
        <v>0</v>
      </c>
      <c r="AL210" s="208">
        <v>0</v>
      </c>
      <c r="AM210" s="208">
        <v>0</v>
      </c>
      <c r="AN210" s="208">
        <v>0</v>
      </c>
      <c r="AO210" s="208">
        <v>0</v>
      </c>
      <c r="AP210" s="208">
        <v>0</v>
      </c>
      <c r="AQ210" s="208">
        <v>0</v>
      </c>
      <c r="AR210" s="208">
        <v>0</v>
      </c>
      <c r="AS210" s="208">
        <v>0</v>
      </c>
      <c r="AT210" s="208">
        <v>0</v>
      </c>
      <c r="AU210" s="208">
        <v>0</v>
      </c>
      <c r="AV210" s="208">
        <v>0</v>
      </c>
      <c r="AW210" s="208">
        <v>0</v>
      </c>
      <c r="AX210" s="208">
        <v>0</v>
      </c>
      <c r="AY210" s="208">
        <v>0</v>
      </c>
      <c r="AZ210" s="208">
        <v>0</v>
      </c>
      <c r="BA210" s="208">
        <v>0</v>
      </c>
      <c r="BB210" s="208">
        <v>0</v>
      </c>
      <c r="BC210" s="208">
        <v>0</v>
      </c>
      <c r="BD210" s="208">
        <v>0</v>
      </c>
      <c r="BE210" s="208">
        <v>0</v>
      </c>
      <c r="BF210" s="208">
        <v>0</v>
      </c>
      <c r="BG210" s="208">
        <v>0</v>
      </c>
      <c r="BH210" s="208">
        <v>0</v>
      </c>
      <c r="BI210" s="208">
        <v>0</v>
      </c>
      <c r="BJ210" s="208">
        <v>0</v>
      </c>
      <c r="BK210" s="208">
        <v>0</v>
      </c>
      <c r="BL210" s="208">
        <v>0</v>
      </c>
      <c r="BM210" s="208">
        <v>0</v>
      </c>
      <c r="BN210" s="208">
        <v>0</v>
      </c>
      <c r="BO210" s="208">
        <v>2620410.8326687501</v>
      </c>
      <c r="BP210" s="208">
        <v>0</v>
      </c>
      <c r="BQ210" s="208">
        <v>26468.796289583337</v>
      </c>
      <c r="BR210" s="208">
        <v>352982</v>
      </c>
      <c r="BS210" s="208">
        <v>0</v>
      </c>
      <c r="BT210" s="208">
        <v>3565</v>
      </c>
      <c r="BU210" s="208">
        <v>2414826</v>
      </c>
      <c r="BV210" s="208">
        <v>0</v>
      </c>
      <c r="BW210" s="208">
        <v>24392</v>
      </c>
      <c r="BX210" s="208">
        <v>558567</v>
      </c>
      <c r="BY210" s="208">
        <v>0</v>
      </c>
      <c r="BZ210" s="208">
        <v>5642</v>
      </c>
      <c r="CA210" s="208">
        <v>-5435.0938124999993</v>
      </c>
      <c r="CB210" s="208">
        <v>0</v>
      </c>
      <c r="CC210" s="208">
        <v>-54.8999375</v>
      </c>
      <c r="CD210" s="208">
        <v>8944</v>
      </c>
      <c r="CE210" s="208">
        <v>0</v>
      </c>
      <c r="CF210" s="208">
        <v>90</v>
      </c>
      <c r="CG210" s="208">
        <v>-14379</v>
      </c>
      <c r="CH210" s="208">
        <v>0</v>
      </c>
      <c r="CI210" s="208">
        <v>-145</v>
      </c>
      <c r="CJ210" s="208">
        <v>0</v>
      </c>
      <c r="CK210" s="208">
        <v>0</v>
      </c>
      <c r="CL210" s="208">
        <v>0</v>
      </c>
      <c r="CM210" s="208">
        <v>0</v>
      </c>
      <c r="CN210" s="208">
        <v>0</v>
      </c>
      <c r="CO210" s="208">
        <v>0</v>
      </c>
      <c r="CP210" s="208">
        <v>-1519.03125</v>
      </c>
      <c r="CQ210" s="208">
        <v>0</v>
      </c>
      <c r="CR210" s="208">
        <v>-15.34375</v>
      </c>
      <c r="CS210" s="208">
        <v>0</v>
      </c>
      <c r="CT210" s="208">
        <v>0</v>
      </c>
      <c r="CU210" s="208">
        <v>0</v>
      </c>
      <c r="CV210" s="208">
        <v>0</v>
      </c>
      <c r="CW210" s="208">
        <v>0</v>
      </c>
      <c r="CX210" s="208">
        <v>0</v>
      </c>
      <c r="CY210" s="208">
        <v>0</v>
      </c>
      <c r="CZ210" s="208">
        <v>0</v>
      </c>
      <c r="DA210" s="208">
        <v>0</v>
      </c>
      <c r="DB210" s="208">
        <v>0</v>
      </c>
      <c r="DC210" s="208">
        <v>0</v>
      </c>
      <c r="DD210" s="208">
        <v>0</v>
      </c>
      <c r="DE210" s="208">
        <v>0</v>
      </c>
      <c r="DF210" s="208">
        <v>0</v>
      </c>
      <c r="DG210" s="208">
        <v>0</v>
      </c>
      <c r="DH210" s="208">
        <v>0</v>
      </c>
      <c r="DI210" s="208">
        <v>0</v>
      </c>
      <c r="DJ210" s="208">
        <v>0</v>
      </c>
      <c r="DK210" s="208">
        <v>0</v>
      </c>
      <c r="DL210" s="208">
        <v>0</v>
      </c>
      <c r="DM210" s="208">
        <v>0</v>
      </c>
      <c r="DN210" s="208">
        <v>0</v>
      </c>
      <c r="DO210" s="208">
        <v>0</v>
      </c>
      <c r="DP210" s="208">
        <v>0</v>
      </c>
      <c r="DQ210" s="208">
        <v>0</v>
      </c>
      <c r="DR210" s="208">
        <v>0</v>
      </c>
      <c r="DS210" s="208">
        <v>0</v>
      </c>
      <c r="DT210" s="208">
        <v>0</v>
      </c>
      <c r="DU210" s="208">
        <v>0</v>
      </c>
      <c r="DV210" s="208">
        <v>0</v>
      </c>
      <c r="DW210" s="208">
        <v>55227.925499999998</v>
      </c>
      <c r="DX210" s="208">
        <v>0</v>
      </c>
      <c r="DY210" s="208">
        <v>557.85783333333336</v>
      </c>
      <c r="DZ210" s="208">
        <v>55310</v>
      </c>
      <c r="EA210" s="208">
        <v>0</v>
      </c>
      <c r="EB210" s="208">
        <v>559</v>
      </c>
      <c r="EC210" s="208">
        <v>-82</v>
      </c>
      <c r="ED210" s="208">
        <v>0</v>
      </c>
      <c r="EE210" s="208">
        <v>-1</v>
      </c>
      <c r="EF210" s="208">
        <v>498726.314625</v>
      </c>
      <c r="EG210" s="208">
        <v>0</v>
      </c>
      <c r="EH210" s="208">
        <v>5037.6395416666664</v>
      </c>
      <c r="EI210" s="208">
        <v>-30461.64</v>
      </c>
      <c r="EJ210" s="208">
        <v>0</v>
      </c>
      <c r="EK210" s="208">
        <v>-307.69333333333333</v>
      </c>
      <c r="EL210" s="208">
        <v>498726</v>
      </c>
      <c r="EM210" s="208">
        <v>0</v>
      </c>
      <c r="EN210" s="208">
        <v>5038</v>
      </c>
      <c r="EO210" s="208">
        <v>-30461</v>
      </c>
      <c r="EP210" s="208">
        <v>0</v>
      </c>
      <c r="EQ210" s="208">
        <v>-308</v>
      </c>
      <c r="ER210" s="208">
        <v>24414.882937499999</v>
      </c>
      <c r="ES210" s="208">
        <v>0</v>
      </c>
      <c r="ET210" s="208">
        <v>246.61497916666667</v>
      </c>
      <c r="EU210" s="208">
        <v>17216</v>
      </c>
      <c r="EV210" s="208">
        <v>0</v>
      </c>
      <c r="EW210" s="208">
        <v>174</v>
      </c>
      <c r="EX210" s="208">
        <v>7199</v>
      </c>
      <c r="EY210" s="208">
        <v>0</v>
      </c>
      <c r="EZ210" s="208">
        <v>73</v>
      </c>
      <c r="FA210" s="208">
        <v>0</v>
      </c>
      <c r="FB210" s="208">
        <v>0</v>
      </c>
      <c r="FC210" s="208">
        <v>0</v>
      </c>
      <c r="FD210" s="208">
        <v>0</v>
      </c>
      <c r="FE210" s="208">
        <v>0</v>
      </c>
      <c r="FF210" s="208">
        <v>0</v>
      </c>
      <c r="FG210" s="208">
        <v>0</v>
      </c>
      <c r="FH210" s="208">
        <v>0</v>
      </c>
      <c r="FI210" s="208">
        <v>0</v>
      </c>
      <c r="FJ210" s="208">
        <v>3199427.3684999999</v>
      </c>
      <c r="FK210" s="208">
        <v>0</v>
      </c>
      <c r="FL210" s="208">
        <v>32317.448166666662</v>
      </c>
      <c r="FM210" s="208">
        <v>2949375</v>
      </c>
      <c r="FN210" s="208">
        <v>0</v>
      </c>
      <c r="FO210" s="208">
        <v>29792</v>
      </c>
      <c r="FP210" s="208">
        <v>250052</v>
      </c>
      <c r="FQ210" s="208">
        <v>0</v>
      </c>
      <c r="FR210" s="208">
        <v>2525</v>
      </c>
      <c r="FS210" s="208">
        <v>0</v>
      </c>
      <c r="FT210" s="208">
        <v>0</v>
      </c>
      <c r="FU210" s="208">
        <v>0</v>
      </c>
      <c r="FV210" s="208">
        <v>0</v>
      </c>
      <c r="FW210" s="208">
        <v>0</v>
      </c>
      <c r="FX210" s="208">
        <v>0</v>
      </c>
      <c r="FY210" s="208">
        <v>0</v>
      </c>
      <c r="FZ210" s="208">
        <v>0</v>
      </c>
      <c r="GA210" s="208">
        <v>0</v>
      </c>
      <c r="GB210" s="208">
        <v>6713773</v>
      </c>
      <c r="GC210" s="208">
        <v>0</v>
      </c>
      <c r="GD210" s="208">
        <v>67816</v>
      </c>
      <c r="GE210" s="664">
        <v>0</v>
      </c>
      <c r="GF210" s="664">
        <v>0.99</v>
      </c>
      <c r="GG210" s="664">
        <v>0</v>
      </c>
      <c r="GH210" s="664">
        <v>0.01</v>
      </c>
      <c r="GI210" s="187" t="s">
        <v>742</v>
      </c>
    </row>
    <row r="211" spans="1:191" s="187" customFormat="1" x14ac:dyDescent="0.2">
      <c r="B211" s="429" t="s">
        <v>499</v>
      </c>
      <c r="C211" s="429" t="s">
        <v>498</v>
      </c>
      <c r="D211" s="208">
        <v>2572623</v>
      </c>
      <c r="E211" s="208">
        <v>0</v>
      </c>
      <c r="F211" s="208">
        <v>2572623</v>
      </c>
      <c r="G211" s="208">
        <v>3008286</v>
      </c>
      <c r="H211" s="208">
        <v>0</v>
      </c>
      <c r="I211" s="208">
        <v>3008286</v>
      </c>
      <c r="J211" s="208">
        <v>-435663</v>
      </c>
      <c r="K211" s="208">
        <v>0</v>
      </c>
      <c r="L211" s="208">
        <v>-435663</v>
      </c>
      <c r="M211" s="208">
        <v>280817</v>
      </c>
      <c r="N211" s="208">
        <v>280817</v>
      </c>
      <c r="O211" s="208">
        <v>0</v>
      </c>
      <c r="P211" s="208">
        <v>0</v>
      </c>
      <c r="Q211" s="208">
        <v>0</v>
      </c>
      <c r="R211" s="208">
        <v>0</v>
      </c>
      <c r="S211" s="208">
        <v>0</v>
      </c>
      <c r="T211" s="208">
        <v>0</v>
      </c>
      <c r="U211" s="208">
        <v>0</v>
      </c>
      <c r="V211" s="208">
        <v>0</v>
      </c>
      <c r="W211" s="208">
        <v>0</v>
      </c>
      <c r="X211" s="208">
        <v>0</v>
      </c>
      <c r="Y211" s="208">
        <v>0</v>
      </c>
      <c r="Z211" s="208">
        <v>0</v>
      </c>
      <c r="AA211" s="208">
        <v>0</v>
      </c>
      <c r="AB211" s="208">
        <v>0</v>
      </c>
      <c r="AC211" s="208">
        <v>0</v>
      </c>
      <c r="AD211" s="208">
        <v>0</v>
      </c>
      <c r="AE211" s="208">
        <v>0</v>
      </c>
      <c r="AF211" s="208">
        <v>0</v>
      </c>
      <c r="AG211" s="208">
        <v>0</v>
      </c>
      <c r="AH211" s="208">
        <v>0</v>
      </c>
      <c r="AI211" s="208">
        <v>0</v>
      </c>
      <c r="AJ211" s="208">
        <v>0</v>
      </c>
      <c r="AK211" s="208">
        <v>0</v>
      </c>
      <c r="AL211" s="208">
        <v>0</v>
      </c>
      <c r="AM211" s="208">
        <v>0</v>
      </c>
      <c r="AN211" s="208">
        <v>0</v>
      </c>
      <c r="AO211" s="208">
        <v>0</v>
      </c>
      <c r="AP211" s="208">
        <v>0</v>
      </c>
      <c r="AQ211" s="208">
        <v>0</v>
      </c>
      <c r="AR211" s="208">
        <v>0</v>
      </c>
      <c r="AS211" s="208">
        <v>0</v>
      </c>
      <c r="AT211" s="208">
        <v>0</v>
      </c>
      <c r="AU211" s="208">
        <v>0</v>
      </c>
      <c r="AV211" s="208">
        <v>0</v>
      </c>
      <c r="AW211" s="208">
        <v>0</v>
      </c>
      <c r="AX211" s="208">
        <v>0</v>
      </c>
      <c r="AY211" s="208">
        <v>0</v>
      </c>
      <c r="AZ211" s="208">
        <v>0</v>
      </c>
      <c r="BA211" s="208">
        <v>0</v>
      </c>
      <c r="BB211" s="208">
        <v>0</v>
      </c>
      <c r="BC211" s="208">
        <v>0</v>
      </c>
      <c r="BD211" s="208">
        <v>0</v>
      </c>
      <c r="BE211" s="208">
        <v>0</v>
      </c>
      <c r="BF211" s="208">
        <v>0</v>
      </c>
      <c r="BG211" s="208">
        <v>0</v>
      </c>
      <c r="BH211" s="208">
        <v>0</v>
      </c>
      <c r="BI211" s="208">
        <v>0</v>
      </c>
      <c r="BJ211" s="208">
        <v>0</v>
      </c>
      <c r="BK211" s="208">
        <v>0</v>
      </c>
      <c r="BL211" s="208">
        <v>0</v>
      </c>
      <c r="BM211" s="208">
        <v>0</v>
      </c>
      <c r="BN211" s="208">
        <v>0</v>
      </c>
      <c r="BO211" s="208">
        <v>3564548.0753454142</v>
      </c>
      <c r="BP211" s="208">
        <v>2005058.2923817951</v>
      </c>
      <c r="BQ211" s="208">
        <v>0</v>
      </c>
      <c r="BR211" s="208">
        <v>186936</v>
      </c>
      <c r="BS211" s="208">
        <v>105151</v>
      </c>
      <c r="BT211" s="208">
        <v>0</v>
      </c>
      <c r="BU211" s="208">
        <v>3149249</v>
      </c>
      <c r="BV211" s="208">
        <v>1771452</v>
      </c>
      <c r="BW211" s="208">
        <v>0</v>
      </c>
      <c r="BX211" s="208">
        <v>602235</v>
      </c>
      <c r="BY211" s="208">
        <v>338757</v>
      </c>
      <c r="BZ211" s="208">
        <v>0</v>
      </c>
      <c r="CA211" s="208">
        <v>19173.183386666664</v>
      </c>
      <c r="CB211" s="208">
        <v>10784.915655000001</v>
      </c>
      <c r="CC211" s="208">
        <v>0</v>
      </c>
      <c r="CD211" s="208">
        <v>11913</v>
      </c>
      <c r="CE211" s="208">
        <v>6701</v>
      </c>
      <c r="CF211" s="208">
        <v>0</v>
      </c>
      <c r="CG211" s="208">
        <v>7260</v>
      </c>
      <c r="CH211" s="208">
        <v>4084</v>
      </c>
      <c r="CI211" s="208">
        <v>0</v>
      </c>
      <c r="CJ211" s="208">
        <v>0</v>
      </c>
      <c r="CK211" s="208">
        <v>0</v>
      </c>
      <c r="CL211" s="208">
        <v>0</v>
      </c>
      <c r="CM211" s="208">
        <v>2190.5146666666669</v>
      </c>
      <c r="CN211" s="208">
        <v>1232.1645000000001</v>
      </c>
      <c r="CO211" s="208">
        <v>0</v>
      </c>
      <c r="CP211" s="208">
        <v>-3737.4920000000002</v>
      </c>
      <c r="CQ211" s="208">
        <v>-2102.33925</v>
      </c>
      <c r="CR211" s="208">
        <v>0</v>
      </c>
      <c r="CS211" s="208">
        <v>0</v>
      </c>
      <c r="CT211" s="208">
        <v>0</v>
      </c>
      <c r="CU211" s="208">
        <v>0</v>
      </c>
      <c r="CV211" s="208">
        <v>0</v>
      </c>
      <c r="CW211" s="208">
        <v>0</v>
      </c>
      <c r="CX211" s="208">
        <v>0</v>
      </c>
      <c r="CY211" s="208">
        <v>0</v>
      </c>
      <c r="CZ211" s="208">
        <v>0</v>
      </c>
      <c r="DA211" s="208">
        <v>0</v>
      </c>
      <c r="DB211" s="208">
        <v>0</v>
      </c>
      <c r="DC211" s="208">
        <v>0</v>
      </c>
      <c r="DD211" s="208">
        <v>0</v>
      </c>
      <c r="DE211" s="208">
        <v>0</v>
      </c>
      <c r="DF211" s="208">
        <v>0</v>
      </c>
      <c r="DG211" s="208">
        <v>0</v>
      </c>
      <c r="DH211" s="208">
        <v>0</v>
      </c>
      <c r="DI211" s="208">
        <v>0</v>
      </c>
      <c r="DJ211" s="208">
        <v>0</v>
      </c>
      <c r="DK211" s="208">
        <v>0</v>
      </c>
      <c r="DL211" s="208">
        <v>0</v>
      </c>
      <c r="DM211" s="208">
        <v>0</v>
      </c>
      <c r="DN211" s="208">
        <v>0</v>
      </c>
      <c r="DO211" s="208">
        <v>0</v>
      </c>
      <c r="DP211" s="208">
        <v>0</v>
      </c>
      <c r="DQ211" s="208">
        <v>0</v>
      </c>
      <c r="DR211" s="208">
        <v>0</v>
      </c>
      <c r="DS211" s="208">
        <v>0</v>
      </c>
      <c r="DT211" s="208">
        <v>0</v>
      </c>
      <c r="DU211" s="208">
        <v>0</v>
      </c>
      <c r="DV211" s="208">
        <v>0</v>
      </c>
      <c r="DW211" s="208">
        <v>82834.973333333342</v>
      </c>
      <c r="DX211" s="208">
        <v>46594.672499999993</v>
      </c>
      <c r="DY211" s="208">
        <v>0</v>
      </c>
      <c r="DZ211" s="208">
        <v>105519</v>
      </c>
      <c r="EA211" s="208">
        <v>59355</v>
      </c>
      <c r="EB211" s="208">
        <v>0</v>
      </c>
      <c r="EC211" s="208">
        <v>-22684</v>
      </c>
      <c r="ED211" s="208">
        <v>-12760</v>
      </c>
      <c r="EE211" s="208">
        <v>0</v>
      </c>
      <c r="EF211" s="208">
        <v>286851.36533333338</v>
      </c>
      <c r="EG211" s="208">
        <v>161353.89300000001</v>
      </c>
      <c r="EH211" s="208">
        <v>0</v>
      </c>
      <c r="EI211" s="208">
        <v>-51491.497333333333</v>
      </c>
      <c r="EJ211" s="208">
        <v>-28963.967249999998</v>
      </c>
      <c r="EK211" s="208">
        <v>0</v>
      </c>
      <c r="EL211" s="208">
        <v>317514</v>
      </c>
      <c r="EM211" s="208">
        <v>178601</v>
      </c>
      <c r="EN211" s="208">
        <v>0</v>
      </c>
      <c r="EO211" s="208">
        <v>-82154</v>
      </c>
      <c r="EP211" s="208">
        <v>-46211</v>
      </c>
      <c r="EQ211" s="208">
        <v>0</v>
      </c>
      <c r="ER211" s="208">
        <v>12415.098666666669</v>
      </c>
      <c r="ES211" s="208">
        <v>6983.4930000000004</v>
      </c>
      <c r="ET211" s="208">
        <v>0</v>
      </c>
      <c r="EU211" s="208">
        <v>15712</v>
      </c>
      <c r="EV211" s="208">
        <v>8838</v>
      </c>
      <c r="EW211" s="208">
        <v>0</v>
      </c>
      <c r="EX211" s="208">
        <v>-3297</v>
      </c>
      <c r="EY211" s="208">
        <v>-1855</v>
      </c>
      <c r="EZ211" s="208">
        <v>0</v>
      </c>
      <c r="FA211" s="208">
        <v>0</v>
      </c>
      <c r="FB211" s="208">
        <v>0</v>
      </c>
      <c r="FC211" s="208">
        <v>0</v>
      </c>
      <c r="FD211" s="208">
        <v>0</v>
      </c>
      <c r="FE211" s="208">
        <v>0</v>
      </c>
      <c r="FF211" s="208">
        <v>0</v>
      </c>
      <c r="FG211" s="208">
        <v>0</v>
      </c>
      <c r="FH211" s="208">
        <v>0</v>
      </c>
      <c r="FI211" s="208">
        <v>0</v>
      </c>
      <c r="FJ211" s="208">
        <v>835568.81466666667</v>
      </c>
      <c r="FK211" s="208">
        <v>470007.45824999997</v>
      </c>
      <c r="FL211" s="208">
        <v>0</v>
      </c>
      <c r="FM211" s="208">
        <v>874842</v>
      </c>
      <c r="FN211" s="208">
        <v>492099</v>
      </c>
      <c r="FO211" s="208">
        <v>0</v>
      </c>
      <c r="FP211" s="208">
        <v>-39273</v>
      </c>
      <c r="FQ211" s="208">
        <v>-22092</v>
      </c>
      <c r="FR211" s="208">
        <v>0</v>
      </c>
      <c r="FS211" s="208">
        <v>0</v>
      </c>
      <c r="FT211" s="208">
        <v>0</v>
      </c>
      <c r="FU211" s="208">
        <v>0</v>
      </c>
      <c r="FV211" s="208">
        <v>0</v>
      </c>
      <c r="FW211" s="208">
        <v>0</v>
      </c>
      <c r="FX211" s="208">
        <v>0</v>
      </c>
      <c r="FY211" s="208">
        <v>0</v>
      </c>
      <c r="FZ211" s="208">
        <v>0</v>
      </c>
      <c r="GA211" s="208">
        <v>0</v>
      </c>
      <c r="GB211" s="208">
        <v>4935290</v>
      </c>
      <c r="GC211" s="208">
        <v>2776099</v>
      </c>
      <c r="GD211" s="208">
        <v>0</v>
      </c>
      <c r="GE211" s="664">
        <v>0</v>
      </c>
      <c r="GF211" s="664">
        <v>0.64</v>
      </c>
      <c r="GG211" s="664">
        <v>0.36</v>
      </c>
      <c r="GH211" s="664">
        <v>0</v>
      </c>
      <c r="GI211" s="187" t="s">
        <v>1055</v>
      </c>
    </row>
    <row r="212" spans="1:191" s="187" customFormat="1" x14ac:dyDescent="0.2">
      <c r="B212" s="429" t="s">
        <v>501</v>
      </c>
      <c r="C212" s="429" t="s">
        <v>500</v>
      </c>
      <c r="D212" s="208">
        <v>-1686395</v>
      </c>
      <c r="E212" s="208">
        <v>-94223</v>
      </c>
      <c r="F212" s="208">
        <v>-1780618</v>
      </c>
      <c r="G212" s="208">
        <v>-1461013</v>
      </c>
      <c r="H212" s="208">
        <v>-135524</v>
      </c>
      <c r="I212" s="208">
        <v>-1596537</v>
      </c>
      <c r="J212" s="208">
        <v>-225382</v>
      </c>
      <c r="K212" s="208">
        <v>41301</v>
      </c>
      <c r="L212" s="208">
        <v>-184081</v>
      </c>
      <c r="M212" s="208">
        <v>157376</v>
      </c>
      <c r="N212" s="208">
        <v>157376</v>
      </c>
      <c r="O212" s="208">
        <v>0</v>
      </c>
      <c r="P212" s="208">
        <v>2010578</v>
      </c>
      <c r="Q212" s="208">
        <v>1678696</v>
      </c>
      <c r="R212" s="208">
        <v>331882</v>
      </c>
      <c r="S212" s="208">
        <v>0</v>
      </c>
      <c r="T212" s="208">
        <v>0</v>
      </c>
      <c r="U212" s="208">
        <v>0</v>
      </c>
      <c r="V212" s="208">
        <v>0</v>
      </c>
      <c r="W212" s="208">
        <v>0</v>
      </c>
      <c r="X212" s="208">
        <v>0</v>
      </c>
      <c r="Y212" s="208">
        <v>0</v>
      </c>
      <c r="Z212" s="208">
        <v>0</v>
      </c>
      <c r="AA212" s="208">
        <v>0</v>
      </c>
      <c r="AB212" s="208">
        <v>0</v>
      </c>
      <c r="AC212" s="208">
        <v>0</v>
      </c>
      <c r="AD212" s="208">
        <v>0</v>
      </c>
      <c r="AE212" s="208">
        <v>0</v>
      </c>
      <c r="AF212" s="208">
        <v>0</v>
      </c>
      <c r="AG212" s="208">
        <v>0</v>
      </c>
      <c r="AH212" s="208">
        <v>0</v>
      </c>
      <c r="AI212" s="208">
        <v>0</v>
      </c>
      <c r="AJ212" s="208">
        <v>0</v>
      </c>
      <c r="AK212" s="208">
        <v>0</v>
      </c>
      <c r="AL212" s="208">
        <v>0</v>
      </c>
      <c r="AM212" s="208">
        <v>0</v>
      </c>
      <c r="AN212" s="208">
        <v>0</v>
      </c>
      <c r="AO212" s="208">
        <v>0</v>
      </c>
      <c r="AP212" s="208">
        <v>0</v>
      </c>
      <c r="AQ212" s="208">
        <v>0</v>
      </c>
      <c r="AR212" s="208">
        <v>0</v>
      </c>
      <c r="AS212" s="208">
        <v>0</v>
      </c>
      <c r="AT212" s="208">
        <v>3051201</v>
      </c>
      <c r="AU212" s="208">
        <v>2990176.98</v>
      </c>
      <c r="AV212" s="208">
        <v>0</v>
      </c>
      <c r="AW212" s="208">
        <v>61024.020000000004</v>
      </c>
      <c r="AX212" s="208">
        <v>3523823</v>
      </c>
      <c r="AY212" s="208">
        <v>3453347</v>
      </c>
      <c r="AZ212" s="208">
        <v>0</v>
      </c>
      <c r="BA212" s="208">
        <v>70476</v>
      </c>
      <c r="BB212" s="208">
        <v>-472622</v>
      </c>
      <c r="BC212" s="208">
        <v>-463170</v>
      </c>
      <c r="BD212" s="208">
        <v>0</v>
      </c>
      <c r="BE212" s="208">
        <v>-9452</v>
      </c>
      <c r="BF212" s="208">
        <v>0</v>
      </c>
      <c r="BG212" s="208">
        <v>0</v>
      </c>
      <c r="BH212" s="208">
        <v>0</v>
      </c>
      <c r="BI212" s="208">
        <v>0</v>
      </c>
      <c r="BJ212" s="208">
        <v>0</v>
      </c>
      <c r="BK212" s="208">
        <v>0</v>
      </c>
      <c r="BL212" s="208">
        <v>-463170</v>
      </c>
      <c r="BM212" s="208">
        <v>0</v>
      </c>
      <c r="BN212" s="208">
        <v>-9452</v>
      </c>
      <c r="BO212" s="208">
        <v>1268480.3383600833</v>
      </c>
      <c r="BP212" s="208">
        <v>0</v>
      </c>
      <c r="BQ212" s="208">
        <v>25887.353844083336</v>
      </c>
      <c r="BR212" s="208">
        <v>63705</v>
      </c>
      <c r="BS212" s="208">
        <v>0</v>
      </c>
      <c r="BT212" s="208">
        <v>1300</v>
      </c>
      <c r="BU212" s="208">
        <v>1181392</v>
      </c>
      <c r="BV212" s="208">
        <v>0</v>
      </c>
      <c r="BW212" s="208">
        <v>24110</v>
      </c>
      <c r="BX212" s="208">
        <v>150793</v>
      </c>
      <c r="BY212" s="208">
        <v>0</v>
      </c>
      <c r="BZ212" s="208">
        <v>3077</v>
      </c>
      <c r="CA212" s="208">
        <v>0</v>
      </c>
      <c r="CB212" s="208">
        <v>0</v>
      </c>
      <c r="CC212" s="208">
        <v>0</v>
      </c>
      <c r="CD212" s="208">
        <v>0</v>
      </c>
      <c r="CE212" s="208">
        <v>0</v>
      </c>
      <c r="CF212" s="208">
        <v>0</v>
      </c>
      <c r="CG212" s="208">
        <v>0</v>
      </c>
      <c r="CH212" s="208">
        <v>0</v>
      </c>
      <c r="CI212" s="208">
        <v>0</v>
      </c>
      <c r="CJ212" s="208">
        <v>0</v>
      </c>
      <c r="CK212" s="208">
        <v>0</v>
      </c>
      <c r="CL212" s="208">
        <v>0</v>
      </c>
      <c r="CM212" s="208">
        <v>0</v>
      </c>
      <c r="CN212" s="208">
        <v>0</v>
      </c>
      <c r="CO212" s="208">
        <v>0</v>
      </c>
      <c r="CP212" s="208">
        <v>0</v>
      </c>
      <c r="CQ212" s="208">
        <v>0</v>
      </c>
      <c r="CR212" s="208">
        <v>0</v>
      </c>
      <c r="CS212" s="208">
        <v>0</v>
      </c>
      <c r="CT212" s="208">
        <v>0</v>
      </c>
      <c r="CU212" s="208">
        <v>0</v>
      </c>
      <c r="CV212" s="208">
        <v>0</v>
      </c>
      <c r="CW212" s="208">
        <v>0</v>
      </c>
      <c r="CX212" s="208">
        <v>0</v>
      </c>
      <c r="CY212" s="208">
        <v>0</v>
      </c>
      <c r="CZ212" s="208">
        <v>0</v>
      </c>
      <c r="DA212" s="208">
        <v>0</v>
      </c>
      <c r="DB212" s="208">
        <v>0</v>
      </c>
      <c r="DC212" s="208">
        <v>0</v>
      </c>
      <c r="DD212" s="208">
        <v>0</v>
      </c>
      <c r="DE212" s="208">
        <v>119.29254166666666</v>
      </c>
      <c r="DF212" s="208">
        <v>0</v>
      </c>
      <c r="DG212" s="208">
        <v>2.434541666666667</v>
      </c>
      <c r="DH212" s="208">
        <v>0</v>
      </c>
      <c r="DI212" s="208">
        <v>0</v>
      </c>
      <c r="DJ212" s="208">
        <v>0</v>
      </c>
      <c r="DK212" s="208">
        <v>119</v>
      </c>
      <c r="DL212" s="208">
        <v>0</v>
      </c>
      <c r="DM212" s="208">
        <v>2</v>
      </c>
      <c r="DN212" s="208">
        <v>0</v>
      </c>
      <c r="DO212" s="208">
        <v>0</v>
      </c>
      <c r="DP212" s="208">
        <v>0</v>
      </c>
      <c r="DQ212" s="208">
        <v>0</v>
      </c>
      <c r="DR212" s="208">
        <v>0</v>
      </c>
      <c r="DS212" s="208">
        <v>0</v>
      </c>
      <c r="DT212" s="208">
        <v>0</v>
      </c>
      <c r="DU212" s="208">
        <v>0</v>
      </c>
      <c r="DV212" s="208">
        <v>0</v>
      </c>
      <c r="DW212" s="208">
        <v>5716.5186458333337</v>
      </c>
      <c r="DX212" s="208">
        <v>0</v>
      </c>
      <c r="DY212" s="208">
        <v>116.66364583333335</v>
      </c>
      <c r="DZ212" s="208">
        <v>2707</v>
      </c>
      <c r="EA212" s="208">
        <v>0</v>
      </c>
      <c r="EB212" s="208">
        <v>55</v>
      </c>
      <c r="EC212" s="208">
        <v>3010</v>
      </c>
      <c r="ED212" s="208">
        <v>0</v>
      </c>
      <c r="EE212" s="208">
        <v>62</v>
      </c>
      <c r="EF212" s="208">
        <v>43949.277020833331</v>
      </c>
      <c r="EG212" s="208">
        <v>0</v>
      </c>
      <c r="EH212" s="208">
        <v>896.92402083333332</v>
      </c>
      <c r="EI212" s="208">
        <v>-947.323125</v>
      </c>
      <c r="EJ212" s="208">
        <v>0</v>
      </c>
      <c r="EK212" s="208">
        <v>-19.333124999999999</v>
      </c>
      <c r="EL212" s="208">
        <v>0</v>
      </c>
      <c r="EM212" s="208">
        <v>0</v>
      </c>
      <c r="EN212" s="208">
        <v>0</v>
      </c>
      <c r="EO212" s="208">
        <v>43002</v>
      </c>
      <c r="EP212" s="208">
        <v>0</v>
      </c>
      <c r="EQ212" s="208">
        <v>878</v>
      </c>
      <c r="ER212" s="208">
        <v>18418.166958333335</v>
      </c>
      <c r="ES212" s="208">
        <v>0</v>
      </c>
      <c r="ET212" s="208">
        <v>375.88095833333335</v>
      </c>
      <c r="EU212" s="208">
        <v>15538</v>
      </c>
      <c r="EV212" s="208">
        <v>0</v>
      </c>
      <c r="EW212" s="208">
        <v>317</v>
      </c>
      <c r="EX212" s="208">
        <v>2880</v>
      </c>
      <c r="EY212" s="208">
        <v>0</v>
      </c>
      <c r="EZ212" s="208">
        <v>59</v>
      </c>
      <c r="FA212" s="208">
        <v>0</v>
      </c>
      <c r="FB212" s="208">
        <v>0</v>
      </c>
      <c r="FC212" s="208">
        <v>0</v>
      </c>
      <c r="FD212" s="208">
        <v>0</v>
      </c>
      <c r="FE212" s="208">
        <v>0</v>
      </c>
      <c r="FF212" s="208">
        <v>0</v>
      </c>
      <c r="FG212" s="208">
        <v>0</v>
      </c>
      <c r="FH212" s="208">
        <v>0</v>
      </c>
      <c r="FI212" s="208">
        <v>0</v>
      </c>
      <c r="FJ212" s="208">
        <v>437432.95566666662</v>
      </c>
      <c r="FK212" s="208">
        <v>0</v>
      </c>
      <c r="FL212" s="208">
        <v>7986.881833333332</v>
      </c>
      <c r="FM212" s="208">
        <v>541720</v>
      </c>
      <c r="FN212" s="208">
        <v>0</v>
      </c>
      <c r="FO212" s="208">
        <v>10270</v>
      </c>
      <c r="FP212" s="208">
        <v>-104287</v>
      </c>
      <c r="FQ212" s="208">
        <v>0</v>
      </c>
      <c r="FR212" s="208">
        <v>-2283</v>
      </c>
      <c r="FS212" s="208">
        <v>0</v>
      </c>
      <c r="FT212" s="208">
        <v>0</v>
      </c>
      <c r="FU212" s="208">
        <v>0</v>
      </c>
      <c r="FV212" s="208">
        <v>0</v>
      </c>
      <c r="FW212" s="208">
        <v>0</v>
      </c>
      <c r="FX212" s="208">
        <v>0</v>
      </c>
      <c r="FY212" s="208">
        <v>0</v>
      </c>
      <c r="FZ212" s="208">
        <v>0</v>
      </c>
      <c r="GA212" s="208">
        <v>0</v>
      </c>
      <c r="GB212" s="208">
        <v>1836874</v>
      </c>
      <c r="GC212" s="208">
        <v>0</v>
      </c>
      <c r="GD212" s="208">
        <v>36547</v>
      </c>
      <c r="GE212" s="664">
        <v>0.5</v>
      </c>
      <c r="GF212" s="664">
        <v>0.49</v>
      </c>
      <c r="GG212" s="664">
        <v>0</v>
      </c>
      <c r="GH212" s="664">
        <v>0.01</v>
      </c>
      <c r="GI212" s="187" t="s">
        <v>742</v>
      </c>
    </row>
    <row r="213" spans="1:191" s="187" customFormat="1" x14ac:dyDescent="0.2">
      <c r="B213" s="429" t="s">
        <v>503</v>
      </c>
      <c r="C213" s="429" t="s">
        <v>502</v>
      </c>
      <c r="D213" s="208">
        <v>-1180749</v>
      </c>
      <c r="E213" s="208">
        <v>0</v>
      </c>
      <c r="F213" s="208">
        <v>-1180749</v>
      </c>
      <c r="G213" s="208">
        <v>-1492314.34</v>
      </c>
      <c r="H213" s="208">
        <v>0</v>
      </c>
      <c r="I213" s="208">
        <v>-1492314.34</v>
      </c>
      <c r="J213" s="208">
        <v>311565.34000000008</v>
      </c>
      <c r="K213" s="208">
        <v>0</v>
      </c>
      <c r="L213" s="208">
        <v>311565.34000000008</v>
      </c>
      <c r="M213" s="208">
        <v>105992</v>
      </c>
      <c r="N213" s="208">
        <v>105992</v>
      </c>
      <c r="O213" s="208">
        <v>0</v>
      </c>
      <c r="P213" s="208">
        <v>0</v>
      </c>
      <c r="Q213" s="208">
        <v>0</v>
      </c>
      <c r="R213" s="208">
        <v>0</v>
      </c>
      <c r="S213" s="208">
        <v>0</v>
      </c>
      <c r="T213" s="208">
        <v>0</v>
      </c>
      <c r="U213" s="208">
        <v>0</v>
      </c>
      <c r="V213" s="208">
        <v>0</v>
      </c>
      <c r="W213" s="208">
        <v>0</v>
      </c>
      <c r="X213" s="208">
        <v>0</v>
      </c>
      <c r="Y213" s="208">
        <v>0</v>
      </c>
      <c r="Z213" s="208">
        <v>0</v>
      </c>
      <c r="AA213" s="208">
        <v>0</v>
      </c>
      <c r="AB213" s="208">
        <v>0</v>
      </c>
      <c r="AC213" s="208">
        <v>0</v>
      </c>
      <c r="AD213" s="208">
        <v>0</v>
      </c>
      <c r="AE213" s="208">
        <v>0</v>
      </c>
      <c r="AF213" s="208">
        <v>0</v>
      </c>
      <c r="AG213" s="208">
        <v>0</v>
      </c>
      <c r="AH213" s="208">
        <v>0</v>
      </c>
      <c r="AI213" s="208">
        <v>0</v>
      </c>
      <c r="AJ213" s="208">
        <v>0</v>
      </c>
      <c r="AK213" s="208">
        <v>0</v>
      </c>
      <c r="AL213" s="208">
        <v>0</v>
      </c>
      <c r="AM213" s="208">
        <v>0</v>
      </c>
      <c r="AN213" s="208">
        <v>0</v>
      </c>
      <c r="AO213" s="208">
        <v>0</v>
      </c>
      <c r="AP213" s="208">
        <v>0</v>
      </c>
      <c r="AQ213" s="208">
        <v>0</v>
      </c>
      <c r="AR213" s="208">
        <v>0</v>
      </c>
      <c r="AS213" s="208">
        <v>0</v>
      </c>
      <c r="AT213" s="208">
        <v>0</v>
      </c>
      <c r="AU213" s="208">
        <v>0</v>
      </c>
      <c r="AV213" s="208">
        <v>0</v>
      </c>
      <c r="AW213" s="208">
        <v>0</v>
      </c>
      <c r="AX213" s="208">
        <v>0</v>
      </c>
      <c r="AY213" s="208">
        <v>0</v>
      </c>
      <c r="AZ213" s="208">
        <v>0</v>
      </c>
      <c r="BA213" s="208">
        <v>0</v>
      </c>
      <c r="BB213" s="208">
        <v>0</v>
      </c>
      <c r="BC213" s="208">
        <v>0</v>
      </c>
      <c r="BD213" s="208">
        <v>0</v>
      </c>
      <c r="BE213" s="208">
        <v>0</v>
      </c>
      <c r="BF213" s="208">
        <v>0</v>
      </c>
      <c r="BG213" s="208">
        <v>0</v>
      </c>
      <c r="BH213" s="208">
        <v>0</v>
      </c>
      <c r="BI213" s="208">
        <v>0</v>
      </c>
      <c r="BJ213" s="208">
        <v>0</v>
      </c>
      <c r="BK213" s="208">
        <v>0</v>
      </c>
      <c r="BL213" s="208">
        <v>0</v>
      </c>
      <c r="BM213" s="208">
        <v>0</v>
      </c>
      <c r="BN213" s="208">
        <v>0</v>
      </c>
      <c r="BO213" s="208">
        <v>792755.73211750004</v>
      </c>
      <c r="BP213" s="208">
        <v>178370.03972643751</v>
      </c>
      <c r="BQ213" s="208">
        <v>19818.8933029375</v>
      </c>
      <c r="BR213" s="208">
        <v>70147</v>
      </c>
      <c r="BS213" s="208">
        <v>15783</v>
      </c>
      <c r="BT213" s="208">
        <v>1754</v>
      </c>
      <c r="BU213" s="208">
        <v>694439</v>
      </c>
      <c r="BV213" s="208">
        <v>156249</v>
      </c>
      <c r="BW213" s="208">
        <v>17361</v>
      </c>
      <c r="BX213" s="208">
        <v>168464</v>
      </c>
      <c r="BY213" s="208">
        <v>37904</v>
      </c>
      <c r="BZ213" s="208">
        <v>4212</v>
      </c>
      <c r="CA213" s="208">
        <v>0</v>
      </c>
      <c r="CB213" s="208">
        <v>0</v>
      </c>
      <c r="CC213" s="208">
        <v>0</v>
      </c>
      <c r="CD213" s="208">
        <v>0</v>
      </c>
      <c r="CE213" s="208">
        <v>0</v>
      </c>
      <c r="CF213" s="208">
        <v>0</v>
      </c>
      <c r="CG213" s="208">
        <v>0</v>
      </c>
      <c r="CH213" s="208">
        <v>0</v>
      </c>
      <c r="CI213" s="208">
        <v>0</v>
      </c>
      <c r="CJ213" s="208">
        <v>55.237500000000004</v>
      </c>
      <c r="CK213" s="208">
        <v>12.428437499999999</v>
      </c>
      <c r="CL213" s="208">
        <v>1.3809374999999999</v>
      </c>
      <c r="CM213" s="208">
        <v>0</v>
      </c>
      <c r="CN213" s="208">
        <v>0</v>
      </c>
      <c r="CO213" s="208">
        <v>0</v>
      </c>
      <c r="CP213" s="208">
        <v>0</v>
      </c>
      <c r="CQ213" s="208">
        <v>0</v>
      </c>
      <c r="CR213" s="208">
        <v>0</v>
      </c>
      <c r="CS213" s="208">
        <v>0</v>
      </c>
      <c r="CT213" s="208">
        <v>0</v>
      </c>
      <c r="CU213" s="208">
        <v>0</v>
      </c>
      <c r="CV213" s="208">
        <v>0</v>
      </c>
      <c r="CW213" s="208">
        <v>0</v>
      </c>
      <c r="CX213" s="208">
        <v>0</v>
      </c>
      <c r="CY213" s="208">
        <v>0</v>
      </c>
      <c r="CZ213" s="208">
        <v>0</v>
      </c>
      <c r="DA213" s="208">
        <v>0</v>
      </c>
      <c r="DB213" s="208">
        <v>0</v>
      </c>
      <c r="DC213" s="208">
        <v>0</v>
      </c>
      <c r="DD213" s="208">
        <v>0</v>
      </c>
      <c r="DE213" s="208">
        <v>665.71416666666664</v>
      </c>
      <c r="DF213" s="208">
        <v>149.78568749999999</v>
      </c>
      <c r="DG213" s="208">
        <v>16.642854166666666</v>
      </c>
      <c r="DH213" s="208">
        <v>665</v>
      </c>
      <c r="DI213" s="208">
        <v>150</v>
      </c>
      <c r="DJ213" s="208">
        <v>17</v>
      </c>
      <c r="DK213" s="208">
        <v>1</v>
      </c>
      <c r="DL213" s="208">
        <v>0</v>
      </c>
      <c r="DM213" s="208">
        <v>0</v>
      </c>
      <c r="DN213" s="208">
        <v>998.77583333333337</v>
      </c>
      <c r="DO213" s="208">
        <v>224.72456249999999</v>
      </c>
      <c r="DP213" s="208">
        <v>24.969395833333333</v>
      </c>
      <c r="DQ213" s="208">
        <v>1227</v>
      </c>
      <c r="DR213" s="208">
        <v>276</v>
      </c>
      <c r="DS213" s="208">
        <v>31</v>
      </c>
      <c r="DT213" s="208">
        <v>-228</v>
      </c>
      <c r="DU213" s="208">
        <v>-51</v>
      </c>
      <c r="DV213" s="208">
        <v>-6</v>
      </c>
      <c r="DW213" s="208">
        <v>2764.7391666666672</v>
      </c>
      <c r="DX213" s="208">
        <v>622.06631249999998</v>
      </c>
      <c r="DY213" s="208">
        <v>69.11847916666666</v>
      </c>
      <c r="DZ213" s="208">
        <v>2820</v>
      </c>
      <c r="EA213" s="208">
        <v>634</v>
      </c>
      <c r="EB213" s="208">
        <v>70</v>
      </c>
      <c r="EC213" s="208">
        <v>-55</v>
      </c>
      <c r="ED213" s="208">
        <v>-12</v>
      </c>
      <c r="EE213" s="208">
        <v>-1</v>
      </c>
      <c r="EF213" s="208">
        <v>3164.4950000000003</v>
      </c>
      <c r="EG213" s="208">
        <v>712.01137500000004</v>
      </c>
      <c r="EH213" s="208">
        <v>79.112375</v>
      </c>
      <c r="EI213" s="208">
        <v>-278.23333333333335</v>
      </c>
      <c r="EJ213" s="208">
        <v>-62.602499999999999</v>
      </c>
      <c r="EK213" s="208">
        <v>-6.9558333333333335</v>
      </c>
      <c r="EL213" s="208">
        <v>24550</v>
      </c>
      <c r="EM213" s="208">
        <v>5524</v>
      </c>
      <c r="EN213" s="208">
        <v>614</v>
      </c>
      <c r="EO213" s="208">
        <v>-21664</v>
      </c>
      <c r="EP213" s="208">
        <v>-4875</v>
      </c>
      <c r="EQ213" s="208">
        <v>-542</v>
      </c>
      <c r="ER213" s="208">
        <v>7049.1233333333339</v>
      </c>
      <c r="ES213" s="208">
        <v>1586.0527500000001</v>
      </c>
      <c r="ET213" s="208">
        <v>176.22808333333336</v>
      </c>
      <c r="EU213" s="208">
        <v>819</v>
      </c>
      <c r="EV213" s="208">
        <v>184</v>
      </c>
      <c r="EW213" s="208">
        <v>20</v>
      </c>
      <c r="EX213" s="208">
        <v>6230</v>
      </c>
      <c r="EY213" s="208">
        <v>1402</v>
      </c>
      <c r="EZ213" s="208">
        <v>156</v>
      </c>
      <c r="FA213" s="208">
        <v>0</v>
      </c>
      <c r="FB213" s="208">
        <v>0</v>
      </c>
      <c r="FC213" s="208">
        <v>0</v>
      </c>
      <c r="FD213" s="208">
        <v>0</v>
      </c>
      <c r="FE213" s="208">
        <v>0</v>
      </c>
      <c r="FF213" s="208">
        <v>0</v>
      </c>
      <c r="FG213" s="208">
        <v>0</v>
      </c>
      <c r="FH213" s="208">
        <v>0</v>
      </c>
      <c r="FI213" s="208">
        <v>0</v>
      </c>
      <c r="FJ213" s="208">
        <v>293454.84666666668</v>
      </c>
      <c r="FK213" s="208">
        <v>66027.340499999991</v>
      </c>
      <c r="FL213" s="208">
        <v>7336.3711666666659</v>
      </c>
      <c r="FM213" s="208">
        <v>307825</v>
      </c>
      <c r="FN213" s="208">
        <v>69261</v>
      </c>
      <c r="FO213" s="208">
        <v>7696</v>
      </c>
      <c r="FP213" s="208">
        <v>-14370</v>
      </c>
      <c r="FQ213" s="208">
        <v>-3234</v>
      </c>
      <c r="FR213" s="208">
        <v>-360</v>
      </c>
      <c r="FS213" s="208">
        <v>0</v>
      </c>
      <c r="FT213" s="208">
        <v>0</v>
      </c>
      <c r="FU213" s="208">
        <v>0</v>
      </c>
      <c r="FV213" s="208">
        <v>0</v>
      </c>
      <c r="FW213" s="208">
        <v>0</v>
      </c>
      <c r="FX213" s="208">
        <v>0</v>
      </c>
      <c r="FY213" s="208">
        <v>0</v>
      </c>
      <c r="FZ213" s="208">
        <v>0</v>
      </c>
      <c r="GA213" s="208">
        <v>0</v>
      </c>
      <c r="GB213" s="208">
        <v>1170778</v>
      </c>
      <c r="GC213" s="208">
        <v>263424</v>
      </c>
      <c r="GD213" s="208">
        <v>29269</v>
      </c>
      <c r="GE213" s="664">
        <v>0.5</v>
      </c>
      <c r="GF213" s="664">
        <v>0.4</v>
      </c>
      <c r="GG213" s="664">
        <v>0.09</v>
      </c>
      <c r="GH213" s="664">
        <v>0.01</v>
      </c>
      <c r="GI213" s="187" t="s">
        <v>1054</v>
      </c>
    </row>
    <row r="214" spans="1:191" s="187" customFormat="1" x14ac:dyDescent="0.2">
      <c r="B214" s="429" t="s">
        <v>505</v>
      </c>
      <c r="C214" s="429" t="s">
        <v>504</v>
      </c>
      <c r="D214" s="208">
        <v>277935</v>
      </c>
      <c r="E214" s="208">
        <v>0</v>
      </c>
      <c r="F214" s="208">
        <v>277935</v>
      </c>
      <c r="G214" s="208">
        <v>302542</v>
      </c>
      <c r="H214" s="208">
        <v>0</v>
      </c>
      <c r="I214" s="208">
        <v>302542</v>
      </c>
      <c r="J214" s="208">
        <v>-24607</v>
      </c>
      <c r="K214" s="208">
        <v>0</v>
      </c>
      <c r="L214" s="208">
        <v>-24607</v>
      </c>
      <c r="M214" s="208">
        <v>172438</v>
      </c>
      <c r="N214" s="208">
        <v>172438</v>
      </c>
      <c r="O214" s="208">
        <v>0</v>
      </c>
      <c r="P214" s="208">
        <v>0</v>
      </c>
      <c r="Q214" s="208">
        <v>0</v>
      </c>
      <c r="R214" s="208">
        <v>0</v>
      </c>
      <c r="S214" s="208">
        <v>0</v>
      </c>
      <c r="T214" s="208">
        <v>0</v>
      </c>
      <c r="U214" s="208">
        <v>0</v>
      </c>
      <c r="V214" s="208">
        <v>0</v>
      </c>
      <c r="W214" s="208">
        <v>0</v>
      </c>
      <c r="X214" s="208">
        <v>0</v>
      </c>
      <c r="Y214" s="208">
        <v>0</v>
      </c>
      <c r="Z214" s="208">
        <v>0</v>
      </c>
      <c r="AA214" s="208">
        <v>0</v>
      </c>
      <c r="AB214" s="208">
        <v>0</v>
      </c>
      <c r="AC214" s="208">
        <v>0</v>
      </c>
      <c r="AD214" s="208">
        <v>0</v>
      </c>
      <c r="AE214" s="208">
        <v>0</v>
      </c>
      <c r="AF214" s="208">
        <v>0</v>
      </c>
      <c r="AG214" s="208">
        <v>0</v>
      </c>
      <c r="AH214" s="208">
        <v>0</v>
      </c>
      <c r="AI214" s="208">
        <v>0</v>
      </c>
      <c r="AJ214" s="208">
        <v>0</v>
      </c>
      <c r="AK214" s="208">
        <v>0</v>
      </c>
      <c r="AL214" s="208">
        <v>0</v>
      </c>
      <c r="AM214" s="208">
        <v>0</v>
      </c>
      <c r="AN214" s="208">
        <v>0</v>
      </c>
      <c r="AO214" s="208">
        <v>0</v>
      </c>
      <c r="AP214" s="208">
        <v>0</v>
      </c>
      <c r="AQ214" s="208">
        <v>0</v>
      </c>
      <c r="AR214" s="208">
        <v>0</v>
      </c>
      <c r="AS214" s="208">
        <v>0</v>
      </c>
      <c r="AT214" s="208">
        <v>0</v>
      </c>
      <c r="AU214" s="208">
        <v>0</v>
      </c>
      <c r="AV214" s="208">
        <v>0</v>
      </c>
      <c r="AW214" s="208">
        <v>0</v>
      </c>
      <c r="AX214" s="208">
        <v>0</v>
      </c>
      <c r="AY214" s="208">
        <v>0</v>
      </c>
      <c r="AZ214" s="208">
        <v>0</v>
      </c>
      <c r="BA214" s="208">
        <v>0</v>
      </c>
      <c r="BB214" s="208">
        <v>0</v>
      </c>
      <c r="BC214" s="208">
        <v>0</v>
      </c>
      <c r="BD214" s="208">
        <v>0</v>
      </c>
      <c r="BE214" s="208">
        <v>0</v>
      </c>
      <c r="BF214" s="208">
        <v>0</v>
      </c>
      <c r="BG214" s="208">
        <v>0</v>
      </c>
      <c r="BH214" s="208">
        <v>0</v>
      </c>
      <c r="BI214" s="208">
        <v>0</v>
      </c>
      <c r="BJ214" s="208">
        <v>0</v>
      </c>
      <c r="BK214" s="208">
        <v>0</v>
      </c>
      <c r="BL214" s="208">
        <v>0</v>
      </c>
      <c r="BM214" s="208">
        <v>0</v>
      </c>
      <c r="BN214" s="208">
        <v>0</v>
      </c>
      <c r="BO214" s="208">
        <v>730578.52256029367</v>
      </c>
      <c r="BP214" s="208">
        <v>1704683.2193073523</v>
      </c>
      <c r="BQ214" s="208">
        <v>0</v>
      </c>
      <c r="BR214" s="208">
        <v>74846</v>
      </c>
      <c r="BS214" s="208">
        <v>174640</v>
      </c>
      <c r="BT214" s="208">
        <v>0</v>
      </c>
      <c r="BU214" s="208">
        <v>687044</v>
      </c>
      <c r="BV214" s="208">
        <v>1603104</v>
      </c>
      <c r="BW214" s="208">
        <v>0</v>
      </c>
      <c r="BX214" s="208">
        <v>118381</v>
      </c>
      <c r="BY214" s="208">
        <v>276219</v>
      </c>
      <c r="BZ214" s="208">
        <v>0</v>
      </c>
      <c r="CA214" s="208">
        <v>5832.0642437500001</v>
      </c>
      <c r="CB214" s="208">
        <v>13608.149902083333</v>
      </c>
      <c r="CC214" s="208">
        <v>0</v>
      </c>
      <c r="CD214" s="208">
        <v>9691</v>
      </c>
      <c r="CE214" s="208">
        <v>22613</v>
      </c>
      <c r="CF214" s="208">
        <v>0</v>
      </c>
      <c r="CG214" s="208">
        <v>-3859</v>
      </c>
      <c r="CH214" s="208">
        <v>-9005</v>
      </c>
      <c r="CI214" s="208">
        <v>0</v>
      </c>
      <c r="CJ214" s="208">
        <v>3397.72</v>
      </c>
      <c r="CK214" s="208">
        <v>7928.0133333333333</v>
      </c>
      <c r="CL214" s="208">
        <v>0</v>
      </c>
      <c r="CM214" s="208">
        <v>0</v>
      </c>
      <c r="CN214" s="208">
        <v>0</v>
      </c>
      <c r="CO214" s="208">
        <v>0</v>
      </c>
      <c r="CP214" s="208">
        <v>0</v>
      </c>
      <c r="CQ214" s="208">
        <v>0</v>
      </c>
      <c r="CR214" s="208">
        <v>0</v>
      </c>
      <c r="CS214" s="208">
        <v>0</v>
      </c>
      <c r="CT214" s="208">
        <v>0</v>
      </c>
      <c r="CU214" s="208">
        <v>0</v>
      </c>
      <c r="CV214" s="208">
        <v>0</v>
      </c>
      <c r="CW214" s="208">
        <v>0</v>
      </c>
      <c r="CX214" s="208">
        <v>0</v>
      </c>
      <c r="CY214" s="208">
        <v>0</v>
      </c>
      <c r="CZ214" s="208">
        <v>0</v>
      </c>
      <c r="DA214" s="208">
        <v>0</v>
      </c>
      <c r="DB214" s="208">
        <v>-4.6031249999999995</v>
      </c>
      <c r="DC214" s="208">
        <v>-10.740625</v>
      </c>
      <c r="DD214" s="208">
        <v>0</v>
      </c>
      <c r="DE214" s="208">
        <v>0</v>
      </c>
      <c r="DF214" s="208">
        <v>0</v>
      </c>
      <c r="DG214" s="208">
        <v>0</v>
      </c>
      <c r="DH214" s="208">
        <v>0</v>
      </c>
      <c r="DI214" s="208">
        <v>0</v>
      </c>
      <c r="DJ214" s="208">
        <v>0</v>
      </c>
      <c r="DK214" s="208">
        <v>0</v>
      </c>
      <c r="DL214" s="208">
        <v>0</v>
      </c>
      <c r="DM214" s="208">
        <v>0</v>
      </c>
      <c r="DN214" s="208">
        <v>0</v>
      </c>
      <c r="DO214" s="208">
        <v>0</v>
      </c>
      <c r="DP214" s="208">
        <v>0</v>
      </c>
      <c r="DQ214" s="208">
        <v>0</v>
      </c>
      <c r="DR214" s="208">
        <v>0</v>
      </c>
      <c r="DS214" s="208">
        <v>0</v>
      </c>
      <c r="DT214" s="208">
        <v>0</v>
      </c>
      <c r="DU214" s="208">
        <v>0</v>
      </c>
      <c r="DV214" s="208">
        <v>0</v>
      </c>
      <c r="DW214" s="208">
        <v>7267.4137500000006</v>
      </c>
      <c r="DX214" s="208">
        <v>16957.298750000002</v>
      </c>
      <c r="DY214" s="208">
        <v>0</v>
      </c>
      <c r="DZ214" s="208">
        <v>7672</v>
      </c>
      <c r="EA214" s="208">
        <v>17901</v>
      </c>
      <c r="EB214" s="208">
        <v>0</v>
      </c>
      <c r="EC214" s="208">
        <v>-405</v>
      </c>
      <c r="ED214" s="208">
        <v>-944</v>
      </c>
      <c r="EE214" s="208">
        <v>0</v>
      </c>
      <c r="EF214" s="208">
        <v>57878.159374999996</v>
      </c>
      <c r="EG214" s="208">
        <v>135049.03854166664</v>
      </c>
      <c r="EH214" s="208">
        <v>0</v>
      </c>
      <c r="EI214" s="208">
        <v>-1217.9868750000001</v>
      </c>
      <c r="EJ214" s="208">
        <v>-2841.9693750000001</v>
      </c>
      <c r="EK214" s="208">
        <v>0</v>
      </c>
      <c r="EL214" s="208">
        <v>0</v>
      </c>
      <c r="EM214" s="208">
        <v>0</v>
      </c>
      <c r="EN214" s="208">
        <v>0</v>
      </c>
      <c r="EO214" s="208">
        <v>56660</v>
      </c>
      <c r="EP214" s="208">
        <v>132207</v>
      </c>
      <c r="EQ214" s="208">
        <v>0</v>
      </c>
      <c r="ER214" s="208">
        <v>6933.8406249999998</v>
      </c>
      <c r="ES214" s="208">
        <v>16178.961458333331</v>
      </c>
      <c r="ET214" s="208">
        <v>0</v>
      </c>
      <c r="EU214" s="208">
        <v>4910</v>
      </c>
      <c r="EV214" s="208">
        <v>11457</v>
      </c>
      <c r="EW214" s="208">
        <v>0</v>
      </c>
      <c r="EX214" s="208">
        <v>2024</v>
      </c>
      <c r="EY214" s="208">
        <v>4722</v>
      </c>
      <c r="EZ214" s="208">
        <v>0</v>
      </c>
      <c r="FA214" s="208">
        <v>0</v>
      </c>
      <c r="FB214" s="208">
        <v>0</v>
      </c>
      <c r="FC214" s="208">
        <v>0</v>
      </c>
      <c r="FD214" s="208">
        <v>0</v>
      </c>
      <c r="FE214" s="208">
        <v>0</v>
      </c>
      <c r="FF214" s="208">
        <v>0</v>
      </c>
      <c r="FG214" s="208">
        <v>0</v>
      </c>
      <c r="FH214" s="208">
        <v>0</v>
      </c>
      <c r="FI214" s="208">
        <v>0</v>
      </c>
      <c r="FJ214" s="208">
        <v>382893.74749999994</v>
      </c>
      <c r="FK214" s="208">
        <v>893418.74416666653</v>
      </c>
      <c r="FL214" s="208">
        <v>0</v>
      </c>
      <c r="FM214" s="208">
        <v>376807</v>
      </c>
      <c r="FN214" s="208">
        <v>879217</v>
      </c>
      <c r="FO214" s="208">
        <v>0</v>
      </c>
      <c r="FP214" s="208">
        <v>6087</v>
      </c>
      <c r="FQ214" s="208">
        <v>14202</v>
      </c>
      <c r="FR214" s="208">
        <v>0</v>
      </c>
      <c r="FS214" s="208">
        <v>0</v>
      </c>
      <c r="FT214" s="208">
        <v>0</v>
      </c>
      <c r="FU214" s="208">
        <v>0</v>
      </c>
      <c r="FV214" s="208">
        <v>0</v>
      </c>
      <c r="FW214" s="208">
        <v>0</v>
      </c>
      <c r="FX214" s="208">
        <v>0</v>
      </c>
      <c r="FY214" s="208">
        <v>0</v>
      </c>
      <c r="FZ214" s="208">
        <v>0</v>
      </c>
      <c r="GA214" s="208">
        <v>0</v>
      </c>
      <c r="GB214" s="208">
        <v>1268405</v>
      </c>
      <c r="GC214" s="208">
        <v>2959610</v>
      </c>
      <c r="GD214" s="208">
        <v>0</v>
      </c>
      <c r="GE214" s="664">
        <v>0</v>
      </c>
      <c r="GF214" s="664">
        <v>0.3</v>
      </c>
      <c r="GG214" s="664">
        <v>0.7</v>
      </c>
      <c r="GH214" s="664">
        <v>0</v>
      </c>
      <c r="GI214" s="187" t="s">
        <v>1054</v>
      </c>
    </row>
    <row r="215" spans="1:191" s="187" customFormat="1" x14ac:dyDescent="0.2">
      <c r="B215" s="429" t="s">
        <v>507</v>
      </c>
      <c r="C215" s="429" t="s">
        <v>506</v>
      </c>
      <c r="D215" s="208">
        <v>200193</v>
      </c>
      <c r="E215" s="208">
        <v>-12822</v>
      </c>
      <c r="F215" s="208">
        <v>187371</v>
      </c>
      <c r="G215" s="208">
        <v>-195156</v>
      </c>
      <c r="H215" s="208">
        <v>0</v>
      </c>
      <c r="I215" s="208">
        <v>-195156</v>
      </c>
      <c r="J215" s="208">
        <v>395349</v>
      </c>
      <c r="K215" s="208">
        <v>-12822</v>
      </c>
      <c r="L215" s="208">
        <v>382527</v>
      </c>
      <c r="M215" s="208">
        <v>88160</v>
      </c>
      <c r="N215" s="208">
        <v>88160</v>
      </c>
      <c r="O215" s="208">
        <v>0</v>
      </c>
      <c r="P215" s="208">
        <v>195380</v>
      </c>
      <c r="Q215" s="208">
        <v>131098</v>
      </c>
      <c r="R215" s="208">
        <v>64282</v>
      </c>
      <c r="S215" s="208">
        <v>92478</v>
      </c>
      <c r="T215" s="208">
        <v>0</v>
      </c>
      <c r="U215" s="208">
        <v>81921</v>
      </c>
      <c r="V215" s="208">
        <v>0</v>
      </c>
      <c r="W215" s="208">
        <v>10557</v>
      </c>
      <c r="X215" s="208">
        <v>0</v>
      </c>
      <c r="Y215" s="208">
        <v>0</v>
      </c>
      <c r="Z215" s="208">
        <v>0</v>
      </c>
      <c r="AA215" s="208">
        <v>0</v>
      </c>
      <c r="AB215" s="208">
        <v>0</v>
      </c>
      <c r="AC215" s="208">
        <v>0</v>
      </c>
      <c r="AD215" s="208">
        <v>0</v>
      </c>
      <c r="AE215" s="208">
        <v>0</v>
      </c>
      <c r="AF215" s="208">
        <v>0</v>
      </c>
      <c r="AG215" s="208">
        <v>0</v>
      </c>
      <c r="AH215" s="208">
        <v>0</v>
      </c>
      <c r="AI215" s="208">
        <v>0</v>
      </c>
      <c r="AJ215" s="208">
        <v>0</v>
      </c>
      <c r="AK215" s="208">
        <v>0</v>
      </c>
      <c r="AL215" s="208">
        <v>0</v>
      </c>
      <c r="AM215" s="208">
        <v>0</v>
      </c>
      <c r="AN215" s="208">
        <v>0</v>
      </c>
      <c r="AO215" s="208">
        <v>0</v>
      </c>
      <c r="AP215" s="208">
        <v>0</v>
      </c>
      <c r="AQ215" s="208">
        <v>0</v>
      </c>
      <c r="AR215" s="208">
        <v>0</v>
      </c>
      <c r="AS215" s="208">
        <v>0</v>
      </c>
      <c r="AT215" s="208">
        <v>0</v>
      </c>
      <c r="AU215" s="208">
        <v>0</v>
      </c>
      <c r="AV215" s="208">
        <v>0</v>
      </c>
      <c r="AW215" s="208">
        <v>0</v>
      </c>
      <c r="AX215" s="208">
        <v>0</v>
      </c>
      <c r="AY215" s="208">
        <v>0</v>
      </c>
      <c r="AZ215" s="208">
        <v>0</v>
      </c>
      <c r="BA215" s="208">
        <v>0</v>
      </c>
      <c r="BB215" s="208">
        <v>0</v>
      </c>
      <c r="BC215" s="208">
        <v>0</v>
      </c>
      <c r="BD215" s="208">
        <v>0</v>
      </c>
      <c r="BE215" s="208">
        <v>0</v>
      </c>
      <c r="BF215" s="208">
        <v>0</v>
      </c>
      <c r="BG215" s="208">
        <v>0</v>
      </c>
      <c r="BH215" s="208">
        <v>0</v>
      </c>
      <c r="BI215" s="208">
        <v>0</v>
      </c>
      <c r="BJ215" s="208">
        <v>0</v>
      </c>
      <c r="BK215" s="208">
        <v>0</v>
      </c>
      <c r="BL215" s="208">
        <v>0</v>
      </c>
      <c r="BM215" s="208">
        <v>0</v>
      </c>
      <c r="BN215" s="208">
        <v>0</v>
      </c>
      <c r="BO215" s="208">
        <v>829940.69444666663</v>
      </c>
      <c r="BP215" s="208">
        <v>186736.6562505</v>
      </c>
      <c r="BQ215" s="208">
        <v>20748.517361166669</v>
      </c>
      <c r="BR215" s="208">
        <v>29861</v>
      </c>
      <c r="BS215" s="208">
        <v>6719</v>
      </c>
      <c r="BT215" s="208">
        <v>747</v>
      </c>
      <c r="BU215" s="208">
        <v>823245</v>
      </c>
      <c r="BV215" s="208">
        <v>185230</v>
      </c>
      <c r="BW215" s="208">
        <v>20581</v>
      </c>
      <c r="BX215" s="208">
        <v>36557</v>
      </c>
      <c r="BY215" s="208">
        <v>8226</v>
      </c>
      <c r="BZ215" s="208">
        <v>915</v>
      </c>
      <c r="CA215" s="208">
        <v>7042.9858333333332</v>
      </c>
      <c r="CB215" s="208">
        <v>1584.6718124999998</v>
      </c>
      <c r="CC215" s="208">
        <v>176.07464583333334</v>
      </c>
      <c r="CD215" s="208">
        <v>7186</v>
      </c>
      <c r="CE215" s="208">
        <v>1617</v>
      </c>
      <c r="CF215" s="208">
        <v>180</v>
      </c>
      <c r="CG215" s="208">
        <v>-143</v>
      </c>
      <c r="CH215" s="208">
        <v>-32</v>
      </c>
      <c r="CI215" s="208">
        <v>-4</v>
      </c>
      <c r="CJ215" s="208">
        <v>18.003333333333334</v>
      </c>
      <c r="CK215" s="208">
        <v>4.0507499999999999</v>
      </c>
      <c r="CL215" s="208">
        <v>0.45008333333333334</v>
      </c>
      <c r="CM215" s="208">
        <v>0</v>
      </c>
      <c r="CN215" s="208">
        <v>0</v>
      </c>
      <c r="CO215" s="208">
        <v>0</v>
      </c>
      <c r="CP215" s="208">
        <v>0</v>
      </c>
      <c r="CQ215" s="208">
        <v>0</v>
      </c>
      <c r="CR215" s="208">
        <v>0</v>
      </c>
      <c r="CS215" s="208">
        <v>0</v>
      </c>
      <c r="CT215" s="208">
        <v>0</v>
      </c>
      <c r="CU215" s="208">
        <v>0</v>
      </c>
      <c r="CV215" s="208">
        <v>0</v>
      </c>
      <c r="CW215" s="208">
        <v>0</v>
      </c>
      <c r="CX215" s="208">
        <v>0</v>
      </c>
      <c r="CY215" s="208">
        <v>0</v>
      </c>
      <c r="CZ215" s="208">
        <v>0</v>
      </c>
      <c r="DA215" s="208">
        <v>0</v>
      </c>
      <c r="DB215" s="208">
        <v>107.20166666666667</v>
      </c>
      <c r="DC215" s="208">
        <v>24.120374999999999</v>
      </c>
      <c r="DD215" s="208">
        <v>2.6800416666666669</v>
      </c>
      <c r="DE215" s="208">
        <v>8039.8835916666676</v>
      </c>
      <c r="DF215" s="208">
        <v>1808.9738081250002</v>
      </c>
      <c r="DG215" s="208">
        <v>200.99708979166667</v>
      </c>
      <c r="DH215" s="208">
        <v>8732</v>
      </c>
      <c r="DI215" s="208">
        <v>1965</v>
      </c>
      <c r="DJ215" s="208">
        <v>218</v>
      </c>
      <c r="DK215" s="208">
        <v>-692</v>
      </c>
      <c r="DL215" s="208">
        <v>-156</v>
      </c>
      <c r="DM215" s="208">
        <v>-17</v>
      </c>
      <c r="DN215" s="208">
        <v>0</v>
      </c>
      <c r="DO215" s="208">
        <v>0</v>
      </c>
      <c r="DP215" s="208">
        <v>0</v>
      </c>
      <c r="DQ215" s="208">
        <v>0</v>
      </c>
      <c r="DR215" s="208">
        <v>0</v>
      </c>
      <c r="DS215" s="208">
        <v>0</v>
      </c>
      <c r="DT215" s="208">
        <v>0</v>
      </c>
      <c r="DU215" s="208">
        <v>0</v>
      </c>
      <c r="DV215" s="208">
        <v>0</v>
      </c>
      <c r="DW215" s="208">
        <v>6020.8875000000007</v>
      </c>
      <c r="DX215" s="208">
        <v>1354.6996875</v>
      </c>
      <c r="DY215" s="208">
        <v>150.5221875</v>
      </c>
      <c r="DZ215" s="208">
        <v>6138</v>
      </c>
      <c r="EA215" s="208">
        <v>1381</v>
      </c>
      <c r="EB215" s="208">
        <v>153</v>
      </c>
      <c r="EC215" s="208">
        <v>-117</v>
      </c>
      <c r="ED215" s="208">
        <v>-26</v>
      </c>
      <c r="EE215" s="208">
        <v>-2</v>
      </c>
      <c r="EF215" s="208">
        <v>18639.178333333333</v>
      </c>
      <c r="EG215" s="208">
        <v>4193.8151250000001</v>
      </c>
      <c r="EH215" s="208">
        <v>465.9794583333333</v>
      </c>
      <c r="EI215" s="208">
        <v>11.865833333333335</v>
      </c>
      <c r="EJ215" s="208">
        <v>2.6698124999999999</v>
      </c>
      <c r="EK215" s="208">
        <v>0.29664583333333333</v>
      </c>
      <c r="EL215" s="208">
        <v>20695</v>
      </c>
      <c r="EM215" s="208">
        <v>4656</v>
      </c>
      <c r="EN215" s="208">
        <v>517</v>
      </c>
      <c r="EO215" s="208">
        <v>-2044</v>
      </c>
      <c r="EP215" s="208">
        <v>-460</v>
      </c>
      <c r="EQ215" s="208">
        <v>-51</v>
      </c>
      <c r="ER215" s="208">
        <v>18586.395833333336</v>
      </c>
      <c r="ES215" s="208">
        <v>4181.9390624999996</v>
      </c>
      <c r="ET215" s="208">
        <v>464.65989583333334</v>
      </c>
      <c r="EU215" s="208">
        <v>20459</v>
      </c>
      <c r="EV215" s="208">
        <v>4603</v>
      </c>
      <c r="EW215" s="208">
        <v>511</v>
      </c>
      <c r="EX215" s="208">
        <v>-1873</v>
      </c>
      <c r="EY215" s="208">
        <v>-421</v>
      </c>
      <c r="EZ215" s="208">
        <v>-46</v>
      </c>
      <c r="FA215" s="208">
        <v>0</v>
      </c>
      <c r="FB215" s="208">
        <v>0</v>
      </c>
      <c r="FC215" s="208">
        <v>0</v>
      </c>
      <c r="FD215" s="208">
        <v>0</v>
      </c>
      <c r="FE215" s="208">
        <v>0</v>
      </c>
      <c r="FF215" s="208">
        <v>0</v>
      </c>
      <c r="FG215" s="208">
        <v>0</v>
      </c>
      <c r="FH215" s="208">
        <v>0</v>
      </c>
      <c r="FI215" s="208">
        <v>0</v>
      </c>
      <c r="FJ215" s="208">
        <v>144472.69833333333</v>
      </c>
      <c r="FK215" s="208">
        <v>31022.089312499997</v>
      </c>
      <c r="FL215" s="208">
        <v>3446.8988125000001</v>
      </c>
      <c r="FM215" s="208">
        <v>138920</v>
      </c>
      <c r="FN215" s="208">
        <v>30159</v>
      </c>
      <c r="FO215" s="208">
        <v>3351</v>
      </c>
      <c r="FP215" s="208">
        <v>5553</v>
      </c>
      <c r="FQ215" s="208">
        <v>863</v>
      </c>
      <c r="FR215" s="208">
        <v>96</v>
      </c>
      <c r="FS215" s="208">
        <v>0</v>
      </c>
      <c r="FT215" s="208">
        <v>0</v>
      </c>
      <c r="FU215" s="208">
        <v>0</v>
      </c>
      <c r="FV215" s="208">
        <v>0</v>
      </c>
      <c r="FW215" s="208">
        <v>0</v>
      </c>
      <c r="FX215" s="208">
        <v>0</v>
      </c>
      <c r="FY215" s="208">
        <v>0</v>
      </c>
      <c r="FZ215" s="208">
        <v>0</v>
      </c>
      <c r="GA215" s="208">
        <v>0</v>
      </c>
      <c r="GB215" s="208">
        <v>1062741</v>
      </c>
      <c r="GC215" s="208">
        <v>237634</v>
      </c>
      <c r="GD215" s="208">
        <v>26405</v>
      </c>
      <c r="GE215" s="664">
        <v>0.5</v>
      </c>
      <c r="GF215" s="664">
        <v>0.4</v>
      </c>
      <c r="GG215" s="664">
        <v>0.09</v>
      </c>
      <c r="GH215" s="664">
        <v>0.01</v>
      </c>
      <c r="GI215" s="187" t="s">
        <v>1054</v>
      </c>
    </row>
    <row r="216" spans="1:191" s="187" customFormat="1" x14ac:dyDescent="0.2">
      <c r="B216" s="429" t="s">
        <v>509</v>
      </c>
      <c r="C216" s="429" t="s">
        <v>508</v>
      </c>
      <c r="D216" s="208">
        <v>923963</v>
      </c>
      <c r="E216" s="208">
        <v>0</v>
      </c>
      <c r="F216" s="208">
        <v>923963</v>
      </c>
      <c r="G216" s="208">
        <v>907246</v>
      </c>
      <c r="H216" s="208">
        <v>0</v>
      </c>
      <c r="I216" s="208">
        <v>907246</v>
      </c>
      <c r="J216" s="208">
        <v>16717</v>
      </c>
      <c r="K216" s="208">
        <v>0</v>
      </c>
      <c r="L216" s="208">
        <v>16717</v>
      </c>
      <c r="M216" s="208">
        <v>290125</v>
      </c>
      <c r="N216" s="208">
        <v>290125</v>
      </c>
      <c r="O216" s="208">
        <v>0</v>
      </c>
      <c r="P216" s="208">
        <v>0</v>
      </c>
      <c r="Q216" s="208">
        <v>0</v>
      </c>
      <c r="R216" s="208">
        <v>0</v>
      </c>
      <c r="S216" s="208">
        <v>0</v>
      </c>
      <c r="T216" s="208">
        <v>0</v>
      </c>
      <c r="U216" s="208">
        <v>0</v>
      </c>
      <c r="V216" s="208">
        <v>0</v>
      </c>
      <c r="W216" s="208">
        <v>0</v>
      </c>
      <c r="X216" s="208">
        <v>0</v>
      </c>
      <c r="Y216" s="208">
        <v>0</v>
      </c>
      <c r="Z216" s="208">
        <v>0</v>
      </c>
      <c r="AA216" s="208">
        <v>0</v>
      </c>
      <c r="AB216" s="208">
        <v>0</v>
      </c>
      <c r="AC216" s="208">
        <v>0</v>
      </c>
      <c r="AD216" s="208">
        <v>0</v>
      </c>
      <c r="AE216" s="208">
        <v>0</v>
      </c>
      <c r="AF216" s="208">
        <v>0</v>
      </c>
      <c r="AG216" s="208">
        <v>0</v>
      </c>
      <c r="AH216" s="208">
        <v>0</v>
      </c>
      <c r="AI216" s="208">
        <v>0</v>
      </c>
      <c r="AJ216" s="208">
        <v>0</v>
      </c>
      <c r="AK216" s="208">
        <v>0</v>
      </c>
      <c r="AL216" s="208">
        <v>0</v>
      </c>
      <c r="AM216" s="208">
        <v>0</v>
      </c>
      <c r="AN216" s="208">
        <v>0</v>
      </c>
      <c r="AO216" s="208">
        <v>0</v>
      </c>
      <c r="AP216" s="208">
        <v>0</v>
      </c>
      <c r="AQ216" s="208">
        <v>0</v>
      </c>
      <c r="AR216" s="208">
        <v>0</v>
      </c>
      <c r="AS216" s="208">
        <v>0</v>
      </c>
      <c r="AT216" s="208">
        <v>0</v>
      </c>
      <c r="AU216" s="208">
        <v>0</v>
      </c>
      <c r="AV216" s="208">
        <v>0</v>
      </c>
      <c r="AW216" s="208">
        <v>0</v>
      </c>
      <c r="AX216" s="208">
        <v>0</v>
      </c>
      <c r="AY216" s="208">
        <v>0</v>
      </c>
      <c r="AZ216" s="208">
        <v>0</v>
      </c>
      <c r="BA216" s="208">
        <v>0</v>
      </c>
      <c r="BB216" s="208">
        <v>0</v>
      </c>
      <c r="BC216" s="208">
        <v>0</v>
      </c>
      <c r="BD216" s="208">
        <v>0</v>
      </c>
      <c r="BE216" s="208">
        <v>0</v>
      </c>
      <c r="BF216" s="208">
        <v>0</v>
      </c>
      <c r="BG216" s="208">
        <v>0</v>
      </c>
      <c r="BH216" s="208">
        <v>0</v>
      </c>
      <c r="BI216" s="208">
        <v>0</v>
      </c>
      <c r="BJ216" s="208">
        <v>0</v>
      </c>
      <c r="BK216" s="208">
        <v>0</v>
      </c>
      <c r="BL216" s="208">
        <v>0</v>
      </c>
      <c r="BM216" s="208">
        <v>0</v>
      </c>
      <c r="BN216" s="208">
        <v>0</v>
      </c>
      <c r="BO216" s="208">
        <v>2384925.8993173335</v>
      </c>
      <c r="BP216" s="208">
        <v>1341520.8183660002</v>
      </c>
      <c r="BQ216" s="208">
        <v>0</v>
      </c>
      <c r="BR216" s="208">
        <v>206722</v>
      </c>
      <c r="BS216" s="208">
        <v>116281</v>
      </c>
      <c r="BT216" s="208">
        <v>0</v>
      </c>
      <c r="BU216" s="208">
        <v>2308580</v>
      </c>
      <c r="BV216" s="208">
        <v>1298576</v>
      </c>
      <c r="BW216" s="208">
        <v>0</v>
      </c>
      <c r="BX216" s="208">
        <v>283068</v>
      </c>
      <c r="BY216" s="208">
        <v>159226</v>
      </c>
      <c r="BZ216" s="208">
        <v>0</v>
      </c>
      <c r="CA216" s="208">
        <v>0</v>
      </c>
      <c r="CB216" s="208">
        <v>0</v>
      </c>
      <c r="CC216" s="208">
        <v>0</v>
      </c>
      <c r="CD216" s="208">
        <v>0</v>
      </c>
      <c r="CE216" s="208">
        <v>0</v>
      </c>
      <c r="CF216" s="208">
        <v>0</v>
      </c>
      <c r="CG216" s="208">
        <v>0</v>
      </c>
      <c r="CH216" s="208">
        <v>0</v>
      </c>
      <c r="CI216" s="208">
        <v>0</v>
      </c>
      <c r="CJ216" s="208">
        <v>0</v>
      </c>
      <c r="CK216" s="208">
        <v>0</v>
      </c>
      <c r="CL216" s="208">
        <v>0</v>
      </c>
      <c r="CM216" s="208">
        <v>0</v>
      </c>
      <c r="CN216" s="208">
        <v>0</v>
      </c>
      <c r="CO216" s="208">
        <v>0</v>
      </c>
      <c r="CP216" s="208">
        <v>-2991.8266666666668</v>
      </c>
      <c r="CQ216" s="208">
        <v>-1682.9025000000001</v>
      </c>
      <c r="CR216" s="208">
        <v>0</v>
      </c>
      <c r="CS216" s="208">
        <v>0</v>
      </c>
      <c r="CT216" s="208">
        <v>0</v>
      </c>
      <c r="CU216" s="208">
        <v>0</v>
      </c>
      <c r="CV216" s="208">
        <v>0</v>
      </c>
      <c r="CW216" s="208">
        <v>0</v>
      </c>
      <c r="CX216" s="208">
        <v>0</v>
      </c>
      <c r="CY216" s="208">
        <v>0</v>
      </c>
      <c r="CZ216" s="208">
        <v>0</v>
      </c>
      <c r="DA216" s="208">
        <v>0</v>
      </c>
      <c r="DB216" s="208">
        <v>0</v>
      </c>
      <c r="DC216" s="208">
        <v>0</v>
      </c>
      <c r="DD216" s="208">
        <v>0</v>
      </c>
      <c r="DE216" s="208">
        <v>0</v>
      </c>
      <c r="DF216" s="208">
        <v>0</v>
      </c>
      <c r="DG216" s="208">
        <v>0</v>
      </c>
      <c r="DH216" s="208">
        <v>0</v>
      </c>
      <c r="DI216" s="208">
        <v>0</v>
      </c>
      <c r="DJ216" s="208">
        <v>0</v>
      </c>
      <c r="DK216" s="208">
        <v>0</v>
      </c>
      <c r="DL216" s="208">
        <v>0</v>
      </c>
      <c r="DM216" s="208">
        <v>0</v>
      </c>
      <c r="DN216" s="208">
        <v>0</v>
      </c>
      <c r="DO216" s="208">
        <v>0</v>
      </c>
      <c r="DP216" s="208">
        <v>0</v>
      </c>
      <c r="DQ216" s="208">
        <v>0</v>
      </c>
      <c r="DR216" s="208">
        <v>0</v>
      </c>
      <c r="DS216" s="208">
        <v>0</v>
      </c>
      <c r="DT216" s="208">
        <v>0</v>
      </c>
      <c r="DU216" s="208">
        <v>0</v>
      </c>
      <c r="DV216" s="208">
        <v>0</v>
      </c>
      <c r="DW216" s="208">
        <v>15171.9</v>
      </c>
      <c r="DX216" s="208">
        <v>8534.1937500000004</v>
      </c>
      <c r="DY216" s="208">
        <v>0</v>
      </c>
      <c r="DZ216" s="208">
        <v>16401</v>
      </c>
      <c r="EA216" s="208">
        <v>9226</v>
      </c>
      <c r="EB216" s="208">
        <v>0</v>
      </c>
      <c r="EC216" s="208">
        <v>-1229</v>
      </c>
      <c r="ED216" s="208">
        <v>-692</v>
      </c>
      <c r="EE216" s="208">
        <v>0</v>
      </c>
      <c r="EF216" s="208">
        <v>194390.82800000001</v>
      </c>
      <c r="EG216" s="208">
        <v>109344.84075</v>
      </c>
      <c r="EH216" s="208">
        <v>0</v>
      </c>
      <c r="EI216" s="208">
        <v>0</v>
      </c>
      <c r="EJ216" s="208">
        <v>0</v>
      </c>
      <c r="EK216" s="208">
        <v>0</v>
      </c>
      <c r="EL216" s="208">
        <v>211457</v>
      </c>
      <c r="EM216" s="208">
        <v>118945</v>
      </c>
      <c r="EN216" s="208">
        <v>0</v>
      </c>
      <c r="EO216" s="208">
        <v>-17066</v>
      </c>
      <c r="EP216" s="208">
        <v>-9600</v>
      </c>
      <c r="EQ216" s="208">
        <v>0</v>
      </c>
      <c r="ER216" s="208">
        <v>31810.253333333334</v>
      </c>
      <c r="ES216" s="208">
        <v>17893.267499999998</v>
      </c>
      <c r="ET216" s="208">
        <v>0</v>
      </c>
      <c r="EU216" s="208">
        <v>28150</v>
      </c>
      <c r="EV216" s="208">
        <v>15835</v>
      </c>
      <c r="EW216" s="208">
        <v>0</v>
      </c>
      <c r="EX216" s="208">
        <v>3660</v>
      </c>
      <c r="EY216" s="208">
        <v>2058</v>
      </c>
      <c r="EZ216" s="208">
        <v>0</v>
      </c>
      <c r="FA216" s="208">
        <v>0</v>
      </c>
      <c r="FB216" s="208">
        <v>0</v>
      </c>
      <c r="FC216" s="208">
        <v>0</v>
      </c>
      <c r="FD216" s="208">
        <v>0</v>
      </c>
      <c r="FE216" s="208">
        <v>0</v>
      </c>
      <c r="FF216" s="208">
        <v>0</v>
      </c>
      <c r="FG216" s="208">
        <v>0</v>
      </c>
      <c r="FH216" s="208">
        <v>0</v>
      </c>
      <c r="FI216" s="208">
        <v>0</v>
      </c>
      <c r="FJ216" s="208">
        <v>1338635.9946666665</v>
      </c>
      <c r="FK216" s="208">
        <v>752982.74699999986</v>
      </c>
      <c r="FL216" s="208">
        <v>0</v>
      </c>
      <c r="FM216" s="208">
        <v>1315319</v>
      </c>
      <c r="FN216" s="208">
        <v>739867</v>
      </c>
      <c r="FO216" s="208">
        <v>0</v>
      </c>
      <c r="FP216" s="208">
        <v>23317</v>
      </c>
      <c r="FQ216" s="208">
        <v>13116</v>
      </c>
      <c r="FR216" s="208">
        <v>0</v>
      </c>
      <c r="FS216" s="208">
        <v>0</v>
      </c>
      <c r="FT216" s="208">
        <v>0</v>
      </c>
      <c r="FU216" s="208">
        <v>0</v>
      </c>
      <c r="FV216" s="208">
        <v>0</v>
      </c>
      <c r="FW216" s="208">
        <v>0</v>
      </c>
      <c r="FX216" s="208">
        <v>0</v>
      </c>
      <c r="FY216" s="208">
        <v>0</v>
      </c>
      <c r="FZ216" s="208">
        <v>0</v>
      </c>
      <c r="GA216" s="208">
        <v>0</v>
      </c>
      <c r="GB216" s="208">
        <v>4168665</v>
      </c>
      <c r="GC216" s="208">
        <v>2344874</v>
      </c>
      <c r="GD216" s="208">
        <v>0</v>
      </c>
      <c r="GE216" s="664">
        <v>0</v>
      </c>
      <c r="GF216" s="664">
        <v>0.64</v>
      </c>
      <c r="GG216" s="664">
        <v>0.36</v>
      </c>
      <c r="GH216" s="664">
        <v>0</v>
      </c>
      <c r="GI216" s="187" t="s">
        <v>1055</v>
      </c>
    </row>
    <row r="217" spans="1:191" s="187" customFormat="1" x14ac:dyDescent="0.2">
      <c r="B217" s="429" t="s">
        <v>511</v>
      </c>
      <c r="C217" s="429" t="s">
        <v>510</v>
      </c>
      <c r="D217" s="208">
        <v>217891</v>
      </c>
      <c r="E217" s="208">
        <v>0</v>
      </c>
      <c r="F217" s="208">
        <v>217891</v>
      </c>
      <c r="G217" s="208">
        <v>237233</v>
      </c>
      <c r="H217" s="208">
        <v>0</v>
      </c>
      <c r="I217" s="208">
        <v>237233</v>
      </c>
      <c r="J217" s="208">
        <v>-19342</v>
      </c>
      <c r="K217" s="208">
        <v>0</v>
      </c>
      <c r="L217" s="208">
        <v>-19342</v>
      </c>
      <c r="M217" s="208">
        <v>98083</v>
      </c>
      <c r="N217" s="208">
        <v>98083</v>
      </c>
      <c r="O217" s="208">
        <v>0</v>
      </c>
      <c r="P217" s="208">
        <v>0</v>
      </c>
      <c r="Q217" s="208">
        <v>0</v>
      </c>
      <c r="R217" s="208">
        <v>0</v>
      </c>
      <c r="S217" s="208">
        <v>0</v>
      </c>
      <c r="T217" s="208">
        <v>0</v>
      </c>
      <c r="U217" s="208">
        <v>0</v>
      </c>
      <c r="V217" s="208">
        <v>0</v>
      </c>
      <c r="W217" s="208">
        <v>0</v>
      </c>
      <c r="X217" s="208">
        <v>0</v>
      </c>
      <c r="Y217" s="208">
        <v>0</v>
      </c>
      <c r="Z217" s="208">
        <v>0</v>
      </c>
      <c r="AA217" s="208">
        <v>0</v>
      </c>
      <c r="AB217" s="208">
        <v>0</v>
      </c>
      <c r="AC217" s="208">
        <v>0</v>
      </c>
      <c r="AD217" s="208">
        <v>0</v>
      </c>
      <c r="AE217" s="208">
        <v>0</v>
      </c>
      <c r="AF217" s="208">
        <v>0</v>
      </c>
      <c r="AG217" s="208">
        <v>0</v>
      </c>
      <c r="AH217" s="208">
        <v>0</v>
      </c>
      <c r="AI217" s="208">
        <v>0</v>
      </c>
      <c r="AJ217" s="208">
        <v>0</v>
      </c>
      <c r="AK217" s="208">
        <v>0</v>
      </c>
      <c r="AL217" s="208">
        <v>0</v>
      </c>
      <c r="AM217" s="208">
        <v>0</v>
      </c>
      <c r="AN217" s="208">
        <v>0</v>
      </c>
      <c r="AO217" s="208">
        <v>0</v>
      </c>
      <c r="AP217" s="208">
        <v>0</v>
      </c>
      <c r="AQ217" s="208">
        <v>0</v>
      </c>
      <c r="AR217" s="208">
        <v>0</v>
      </c>
      <c r="AS217" s="208">
        <v>0</v>
      </c>
      <c r="AT217" s="208">
        <v>0</v>
      </c>
      <c r="AU217" s="208">
        <v>0</v>
      </c>
      <c r="AV217" s="208">
        <v>0</v>
      </c>
      <c r="AW217" s="208">
        <v>0</v>
      </c>
      <c r="AX217" s="208">
        <v>0</v>
      </c>
      <c r="AY217" s="208">
        <v>0</v>
      </c>
      <c r="AZ217" s="208">
        <v>0</v>
      </c>
      <c r="BA217" s="208">
        <v>0</v>
      </c>
      <c r="BB217" s="208">
        <v>0</v>
      </c>
      <c r="BC217" s="208">
        <v>0</v>
      </c>
      <c r="BD217" s="208">
        <v>0</v>
      </c>
      <c r="BE217" s="208">
        <v>0</v>
      </c>
      <c r="BF217" s="208">
        <v>0</v>
      </c>
      <c r="BG217" s="208">
        <v>0</v>
      </c>
      <c r="BH217" s="208">
        <v>0</v>
      </c>
      <c r="BI217" s="208">
        <v>0</v>
      </c>
      <c r="BJ217" s="208">
        <v>0</v>
      </c>
      <c r="BK217" s="208">
        <v>0</v>
      </c>
      <c r="BL217" s="208">
        <v>0</v>
      </c>
      <c r="BM217" s="208">
        <v>0</v>
      </c>
      <c r="BN217" s="208">
        <v>0</v>
      </c>
      <c r="BO217" s="208">
        <v>801651.46921666677</v>
      </c>
      <c r="BP217" s="208">
        <v>180371.58057374999</v>
      </c>
      <c r="BQ217" s="208">
        <v>20041.286730416668</v>
      </c>
      <c r="BR217" s="208">
        <v>9342</v>
      </c>
      <c r="BS217" s="208">
        <v>2102</v>
      </c>
      <c r="BT217" s="208">
        <v>234</v>
      </c>
      <c r="BU217" s="208">
        <v>699915</v>
      </c>
      <c r="BV217" s="208">
        <v>157481</v>
      </c>
      <c r="BW217" s="208">
        <v>17498</v>
      </c>
      <c r="BX217" s="208">
        <v>111078</v>
      </c>
      <c r="BY217" s="208">
        <v>24993</v>
      </c>
      <c r="BZ217" s="208">
        <v>2777</v>
      </c>
      <c r="CA217" s="208">
        <v>32157.635833333337</v>
      </c>
      <c r="CB217" s="208">
        <v>7235.4680625000001</v>
      </c>
      <c r="CC217" s="208">
        <v>803.94089583333346</v>
      </c>
      <c r="CD217" s="208">
        <v>30936</v>
      </c>
      <c r="CE217" s="208">
        <v>6960</v>
      </c>
      <c r="CF217" s="208">
        <v>773</v>
      </c>
      <c r="CG217" s="208">
        <v>1222</v>
      </c>
      <c r="CH217" s="208">
        <v>275</v>
      </c>
      <c r="CI217" s="208">
        <v>31</v>
      </c>
      <c r="CJ217" s="208">
        <v>0</v>
      </c>
      <c r="CK217" s="208">
        <v>0</v>
      </c>
      <c r="CL217" s="208">
        <v>0</v>
      </c>
      <c r="CM217" s="208">
        <v>0</v>
      </c>
      <c r="CN217" s="208">
        <v>0</v>
      </c>
      <c r="CO217" s="208">
        <v>0</v>
      </c>
      <c r="CP217" s="208">
        <v>0</v>
      </c>
      <c r="CQ217" s="208">
        <v>0</v>
      </c>
      <c r="CR217" s="208">
        <v>0</v>
      </c>
      <c r="CS217" s="208">
        <v>0</v>
      </c>
      <c r="CT217" s="208">
        <v>0</v>
      </c>
      <c r="CU217" s="208">
        <v>0</v>
      </c>
      <c r="CV217" s="208">
        <v>0</v>
      </c>
      <c r="CW217" s="208">
        <v>0</v>
      </c>
      <c r="CX217" s="208">
        <v>0</v>
      </c>
      <c r="CY217" s="208">
        <v>0</v>
      </c>
      <c r="CZ217" s="208">
        <v>0</v>
      </c>
      <c r="DA217" s="208">
        <v>0</v>
      </c>
      <c r="DB217" s="208">
        <v>0</v>
      </c>
      <c r="DC217" s="208">
        <v>0</v>
      </c>
      <c r="DD217" s="208">
        <v>0</v>
      </c>
      <c r="DE217" s="208">
        <v>17467.734166666669</v>
      </c>
      <c r="DF217" s="208">
        <v>3930.2401875</v>
      </c>
      <c r="DG217" s="208">
        <v>436.69335416666672</v>
      </c>
      <c r="DH217" s="208">
        <v>18316</v>
      </c>
      <c r="DI217" s="208">
        <v>4121</v>
      </c>
      <c r="DJ217" s="208">
        <v>458</v>
      </c>
      <c r="DK217" s="208">
        <v>-848</v>
      </c>
      <c r="DL217" s="208">
        <v>-191</v>
      </c>
      <c r="DM217" s="208">
        <v>-21</v>
      </c>
      <c r="DN217" s="208">
        <v>0</v>
      </c>
      <c r="DO217" s="208">
        <v>0</v>
      </c>
      <c r="DP217" s="208">
        <v>0</v>
      </c>
      <c r="DQ217" s="208">
        <v>0</v>
      </c>
      <c r="DR217" s="208">
        <v>0</v>
      </c>
      <c r="DS217" s="208">
        <v>0</v>
      </c>
      <c r="DT217" s="208">
        <v>0</v>
      </c>
      <c r="DU217" s="208">
        <v>0</v>
      </c>
      <c r="DV217" s="208">
        <v>0</v>
      </c>
      <c r="DW217" s="208">
        <v>15011.506666666668</v>
      </c>
      <c r="DX217" s="208">
        <v>3377.5889999999999</v>
      </c>
      <c r="DY217" s="208">
        <v>375.28766666666672</v>
      </c>
      <c r="DZ217" s="208">
        <v>16046</v>
      </c>
      <c r="EA217" s="208">
        <v>3610</v>
      </c>
      <c r="EB217" s="208">
        <v>401</v>
      </c>
      <c r="EC217" s="208">
        <v>-1034</v>
      </c>
      <c r="ED217" s="208">
        <v>-232</v>
      </c>
      <c r="EE217" s="208">
        <v>-26</v>
      </c>
      <c r="EF217" s="208">
        <v>43757.101666666669</v>
      </c>
      <c r="EG217" s="208">
        <v>9845.3478749999995</v>
      </c>
      <c r="EH217" s="208">
        <v>1093.9275416666667</v>
      </c>
      <c r="EI217" s="208">
        <v>-10135.058333333334</v>
      </c>
      <c r="EJ217" s="208">
        <v>-2280.3881249999999</v>
      </c>
      <c r="EK217" s="208">
        <v>-253.37645833333332</v>
      </c>
      <c r="EL217" s="208">
        <v>43757</v>
      </c>
      <c r="EM217" s="208">
        <v>9845</v>
      </c>
      <c r="EN217" s="208">
        <v>1094</v>
      </c>
      <c r="EO217" s="208">
        <v>-10135</v>
      </c>
      <c r="EP217" s="208">
        <v>-2280</v>
      </c>
      <c r="EQ217" s="208">
        <v>-253</v>
      </c>
      <c r="ER217" s="208">
        <v>20790.576666666668</v>
      </c>
      <c r="ES217" s="208">
        <v>4677.8797499999991</v>
      </c>
      <c r="ET217" s="208">
        <v>519.76441666666665</v>
      </c>
      <c r="EU217" s="208">
        <v>22504</v>
      </c>
      <c r="EV217" s="208">
        <v>5063</v>
      </c>
      <c r="EW217" s="208">
        <v>563</v>
      </c>
      <c r="EX217" s="208">
        <v>-1713</v>
      </c>
      <c r="EY217" s="208">
        <v>-385</v>
      </c>
      <c r="EZ217" s="208">
        <v>-43</v>
      </c>
      <c r="FA217" s="208">
        <v>0</v>
      </c>
      <c r="FB217" s="208">
        <v>0</v>
      </c>
      <c r="FC217" s="208">
        <v>0</v>
      </c>
      <c r="FD217" s="208">
        <v>0</v>
      </c>
      <c r="FE217" s="208">
        <v>0</v>
      </c>
      <c r="FF217" s="208">
        <v>0</v>
      </c>
      <c r="FG217" s="208">
        <v>0</v>
      </c>
      <c r="FH217" s="208">
        <v>0</v>
      </c>
      <c r="FI217" s="208">
        <v>0</v>
      </c>
      <c r="FJ217" s="208">
        <v>108115.26916666667</v>
      </c>
      <c r="FK217" s="208">
        <v>24325.935562499995</v>
      </c>
      <c r="FL217" s="208">
        <v>2702.8817291666664</v>
      </c>
      <c r="FM217" s="208">
        <v>125465</v>
      </c>
      <c r="FN217" s="208">
        <v>28230</v>
      </c>
      <c r="FO217" s="208">
        <v>3137</v>
      </c>
      <c r="FP217" s="208">
        <v>-17350</v>
      </c>
      <c r="FQ217" s="208">
        <v>-3904</v>
      </c>
      <c r="FR217" s="208">
        <v>-434</v>
      </c>
      <c r="FS217" s="208">
        <v>0</v>
      </c>
      <c r="FT217" s="208">
        <v>0</v>
      </c>
      <c r="FU217" s="208">
        <v>0</v>
      </c>
      <c r="FV217" s="208">
        <v>0</v>
      </c>
      <c r="FW217" s="208">
        <v>0</v>
      </c>
      <c r="FX217" s="208">
        <v>0</v>
      </c>
      <c r="FY217" s="208">
        <v>0</v>
      </c>
      <c r="FZ217" s="208">
        <v>0</v>
      </c>
      <c r="GA217" s="208">
        <v>0</v>
      </c>
      <c r="GB217" s="208">
        <v>1038159</v>
      </c>
      <c r="GC217" s="208">
        <v>233586</v>
      </c>
      <c r="GD217" s="208">
        <v>25955</v>
      </c>
      <c r="GE217" s="664">
        <v>0.5</v>
      </c>
      <c r="GF217" s="664">
        <v>0.4</v>
      </c>
      <c r="GG217" s="664">
        <v>0.09</v>
      </c>
      <c r="GH217" s="664">
        <v>0.01</v>
      </c>
      <c r="GI217" s="187" t="s">
        <v>1054</v>
      </c>
    </row>
    <row r="218" spans="1:191" s="187" customFormat="1" x14ac:dyDescent="0.2">
      <c r="B218" s="429" t="s">
        <v>513</v>
      </c>
      <c r="C218" s="429" t="s">
        <v>512</v>
      </c>
      <c r="D218" s="208">
        <v>-1620795</v>
      </c>
      <c r="E218" s="208">
        <v>0</v>
      </c>
      <c r="F218" s="208">
        <v>-1620795</v>
      </c>
      <c r="G218" s="208">
        <v>-1702207</v>
      </c>
      <c r="H218" s="208">
        <v>0</v>
      </c>
      <c r="I218" s="208">
        <v>-1702207</v>
      </c>
      <c r="J218" s="208">
        <v>81412</v>
      </c>
      <c r="K218" s="208">
        <v>0</v>
      </c>
      <c r="L218" s="208">
        <v>81412</v>
      </c>
      <c r="M218" s="208">
        <v>278094</v>
      </c>
      <c r="N218" s="208">
        <v>278094</v>
      </c>
      <c r="O218" s="208">
        <v>0</v>
      </c>
      <c r="P218" s="208">
        <v>0</v>
      </c>
      <c r="Q218" s="208">
        <v>0</v>
      </c>
      <c r="R218" s="208">
        <v>0</v>
      </c>
      <c r="S218" s="208">
        <v>532579</v>
      </c>
      <c r="T218" s="208">
        <v>0</v>
      </c>
      <c r="U218" s="208">
        <v>509922</v>
      </c>
      <c r="V218" s="208">
        <v>0</v>
      </c>
      <c r="W218" s="208">
        <v>22657</v>
      </c>
      <c r="X218" s="208">
        <v>0</v>
      </c>
      <c r="Y218" s="208">
        <v>0</v>
      </c>
      <c r="Z218" s="208">
        <v>0</v>
      </c>
      <c r="AA218" s="208">
        <v>0</v>
      </c>
      <c r="AB218" s="208">
        <v>0</v>
      </c>
      <c r="AC218" s="208">
        <v>0</v>
      </c>
      <c r="AD218" s="208">
        <v>0</v>
      </c>
      <c r="AE218" s="208">
        <v>0</v>
      </c>
      <c r="AF218" s="208">
        <v>0</v>
      </c>
      <c r="AG218" s="208">
        <v>0</v>
      </c>
      <c r="AH218" s="208">
        <v>0</v>
      </c>
      <c r="AI218" s="208">
        <v>0</v>
      </c>
      <c r="AJ218" s="208">
        <v>0</v>
      </c>
      <c r="AK218" s="208">
        <v>0</v>
      </c>
      <c r="AL218" s="208">
        <v>0</v>
      </c>
      <c r="AM218" s="208">
        <v>0</v>
      </c>
      <c r="AN218" s="208">
        <v>0</v>
      </c>
      <c r="AO218" s="208">
        <v>0</v>
      </c>
      <c r="AP218" s="208">
        <v>0</v>
      </c>
      <c r="AQ218" s="208">
        <v>0</v>
      </c>
      <c r="AR218" s="208">
        <v>0</v>
      </c>
      <c r="AS218" s="208">
        <v>0</v>
      </c>
      <c r="AT218" s="208">
        <v>0</v>
      </c>
      <c r="AU218" s="208">
        <v>0</v>
      </c>
      <c r="AV218" s="208">
        <v>0</v>
      </c>
      <c r="AW218" s="208">
        <v>0</v>
      </c>
      <c r="AX218" s="208">
        <v>0</v>
      </c>
      <c r="AY218" s="208">
        <v>0</v>
      </c>
      <c r="AZ218" s="208">
        <v>0</v>
      </c>
      <c r="BA218" s="208">
        <v>0</v>
      </c>
      <c r="BB218" s="208">
        <v>0</v>
      </c>
      <c r="BC218" s="208">
        <v>0</v>
      </c>
      <c r="BD218" s="208">
        <v>0</v>
      </c>
      <c r="BE218" s="208">
        <v>0</v>
      </c>
      <c r="BF218" s="208">
        <v>0</v>
      </c>
      <c r="BG218" s="208">
        <v>0</v>
      </c>
      <c r="BH218" s="208">
        <v>0</v>
      </c>
      <c r="BI218" s="208">
        <v>0</v>
      </c>
      <c r="BJ218" s="208">
        <v>0</v>
      </c>
      <c r="BK218" s="208">
        <v>0</v>
      </c>
      <c r="BL218" s="208">
        <v>0</v>
      </c>
      <c r="BM218" s="208">
        <v>0</v>
      </c>
      <c r="BN218" s="208">
        <v>0</v>
      </c>
      <c r="BO218" s="208">
        <v>5648215.9344022498</v>
      </c>
      <c r="BP218" s="208">
        <v>0</v>
      </c>
      <c r="BQ218" s="208">
        <v>57052.686206083337</v>
      </c>
      <c r="BR218" s="208">
        <v>296610</v>
      </c>
      <c r="BS218" s="208">
        <v>0</v>
      </c>
      <c r="BT218" s="208">
        <v>2996</v>
      </c>
      <c r="BU218" s="208">
        <v>5538793</v>
      </c>
      <c r="BV218" s="208">
        <v>0</v>
      </c>
      <c r="BW218" s="208">
        <v>55947</v>
      </c>
      <c r="BX218" s="208">
        <v>406033</v>
      </c>
      <c r="BY218" s="208">
        <v>0</v>
      </c>
      <c r="BZ218" s="208">
        <v>4102</v>
      </c>
      <c r="CA218" s="208">
        <v>9859.5254999999997</v>
      </c>
      <c r="CB218" s="208">
        <v>0</v>
      </c>
      <c r="CC218" s="208">
        <v>99.591166666666666</v>
      </c>
      <c r="CD218" s="208">
        <v>7267</v>
      </c>
      <c r="CE218" s="208">
        <v>0</v>
      </c>
      <c r="CF218" s="208">
        <v>73</v>
      </c>
      <c r="CG218" s="208">
        <v>2593</v>
      </c>
      <c r="CH218" s="208">
        <v>0</v>
      </c>
      <c r="CI218" s="208">
        <v>27</v>
      </c>
      <c r="CJ218" s="208">
        <v>0</v>
      </c>
      <c r="CK218" s="208">
        <v>0</v>
      </c>
      <c r="CL218" s="208">
        <v>0</v>
      </c>
      <c r="CM218" s="208">
        <v>0</v>
      </c>
      <c r="CN218" s="208">
        <v>0</v>
      </c>
      <c r="CO218" s="208">
        <v>0</v>
      </c>
      <c r="CP218" s="208">
        <v>0</v>
      </c>
      <c r="CQ218" s="208">
        <v>0</v>
      </c>
      <c r="CR218" s="208">
        <v>0</v>
      </c>
      <c r="CS218" s="208">
        <v>0</v>
      </c>
      <c r="CT218" s="208">
        <v>0</v>
      </c>
      <c r="CU218" s="208">
        <v>0</v>
      </c>
      <c r="CV218" s="208">
        <v>0</v>
      </c>
      <c r="CW218" s="208">
        <v>0</v>
      </c>
      <c r="CX218" s="208">
        <v>0</v>
      </c>
      <c r="CY218" s="208">
        <v>0</v>
      </c>
      <c r="CZ218" s="208">
        <v>0</v>
      </c>
      <c r="DA218" s="208">
        <v>0</v>
      </c>
      <c r="DB218" s="208">
        <v>0</v>
      </c>
      <c r="DC218" s="208">
        <v>0</v>
      </c>
      <c r="DD218" s="208">
        <v>0</v>
      </c>
      <c r="DE218" s="208">
        <v>0</v>
      </c>
      <c r="DF218" s="208">
        <v>0</v>
      </c>
      <c r="DG218" s="208">
        <v>0</v>
      </c>
      <c r="DH218" s="208">
        <v>0</v>
      </c>
      <c r="DI218" s="208">
        <v>0</v>
      </c>
      <c r="DJ218" s="208">
        <v>0</v>
      </c>
      <c r="DK218" s="208">
        <v>0</v>
      </c>
      <c r="DL218" s="208">
        <v>0</v>
      </c>
      <c r="DM218" s="208">
        <v>0</v>
      </c>
      <c r="DN218" s="208">
        <v>0</v>
      </c>
      <c r="DO218" s="208">
        <v>0</v>
      </c>
      <c r="DP218" s="208">
        <v>0</v>
      </c>
      <c r="DQ218" s="208">
        <v>0</v>
      </c>
      <c r="DR218" s="208">
        <v>0</v>
      </c>
      <c r="DS218" s="208">
        <v>0</v>
      </c>
      <c r="DT218" s="208">
        <v>0</v>
      </c>
      <c r="DU218" s="208">
        <v>0</v>
      </c>
      <c r="DV218" s="208">
        <v>0</v>
      </c>
      <c r="DW218" s="208">
        <v>43545.5625</v>
      </c>
      <c r="DX218" s="208">
        <v>0</v>
      </c>
      <c r="DY218" s="208">
        <v>439.85416666666669</v>
      </c>
      <c r="DZ218" s="208">
        <v>32317</v>
      </c>
      <c r="EA218" s="208">
        <v>0</v>
      </c>
      <c r="EB218" s="208">
        <v>326</v>
      </c>
      <c r="EC218" s="208">
        <v>11229</v>
      </c>
      <c r="ED218" s="208">
        <v>0</v>
      </c>
      <c r="EE218" s="208">
        <v>114</v>
      </c>
      <c r="EF218" s="208">
        <v>127314.0598125</v>
      </c>
      <c r="EG218" s="208">
        <v>0</v>
      </c>
      <c r="EH218" s="208">
        <v>1286.0006041666666</v>
      </c>
      <c r="EI218" s="208">
        <v>-7799.7191249999996</v>
      </c>
      <c r="EJ218" s="208">
        <v>0</v>
      </c>
      <c r="EK218" s="208">
        <v>-78.785041666666672</v>
      </c>
      <c r="EL218" s="208">
        <v>127314</v>
      </c>
      <c r="EM218" s="208">
        <v>0</v>
      </c>
      <c r="EN218" s="208">
        <v>1286</v>
      </c>
      <c r="EO218" s="208">
        <v>-7800</v>
      </c>
      <c r="EP218" s="208">
        <v>0</v>
      </c>
      <c r="EQ218" s="208">
        <v>-79</v>
      </c>
      <c r="ER218" s="208">
        <v>61611.907499999994</v>
      </c>
      <c r="ES218" s="208">
        <v>0</v>
      </c>
      <c r="ET218" s="208">
        <v>622.34250000000009</v>
      </c>
      <c r="EU218" s="208">
        <v>60761</v>
      </c>
      <c r="EV218" s="208">
        <v>0</v>
      </c>
      <c r="EW218" s="208">
        <v>614</v>
      </c>
      <c r="EX218" s="208">
        <v>851</v>
      </c>
      <c r="EY218" s="208">
        <v>0</v>
      </c>
      <c r="EZ218" s="208">
        <v>8</v>
      </c>
      <c r="FA218" s="208">
        <v>0</v>
      </c>
      <c r="FB218" s="208">
        <v>0</v>
      </c>
      <c r="FC218" s="208">
        <v>0</v>
      </c>
      <c r="FD218" s="208">
        <v>0</v>
      </c>
      <c r="FE218" s="208">
        <v>0</v>
      </c>
      <c r="FF218" s="208">
        <v>0</v>
      </c>
      <c r="FG218" s="208">
        <v>0</v>
      </c>
      <c r="FH218" s="208">
        <v>0</v>
      </c>
      <c r="FI218" s="208">
        <v>0</v>
      </c>
      <c r="FJ218" s="208">
        <v>1386144.7574791666</v>
      </c>
      <c r="FK218" s="208">
        <v>0</v>
      </c>
      <c r="FL218" s="208">
        <v>13878.180020833333</v>
      </c>
      <c r="FM218" s="208">
        <v>1329488</v>
      </c>
      <c r="FN218" s="208">
        <v>0</v>
      </c>
      <c r="FO218" s="208">
        <v>13311</v>
      </c>
      <c r="FP218" s="208">
        <v>56657</v>
      </c>
      <c r="FQ218" s="208">
        <v>0</v>
      </c>
      <c r="FR218" s="208">
        <v>567</v>
      </c>
      <c r="FS218" s="208">
        <v>0</v>
      </c>
      <c r="FT218" s="208">
        <v>0</v>
      </c>
      <c r="FU218" s="208">
        <v>0</v>
      </c>
      <c r="FV218" s="208">
        <v>0</v>
      </c>
      <c r="FW218" s="208">
        <v>0</v>
      </c>
      <c r="FX218" s="208">
        <v>0</v>
      </c>
      <c r="FY218" s="208">
        <v>0</v>
      </c>
      <c r="FZ218" s="208">
        <v>0</v>
      </c>
      <c r="GA218" s="208">
        <v>0</v>
      </c>
      <c r="GB218" s="208">
        <v>7565503</v>
      </c>
      <c r="GC218" s="208">
        <v>0</v>
      </c>
      <c r="GD218" s="208">
        <v>76296</v>
      </c>
      <c r="GE218" s="664">
        <v>0</v>
      </c>
      <c r="GF218" s="664">
        <v>0.99</v>
      </c>
      <c r="GG218" s="664">
        <v>0</v>
      </c>
      <c r="GH218" s="664">
        <v>0.01</v>
      </c>
      <c r="GI218" s="187" t="s">
        <v>1056</v>
      </c>
    </row>
    <row r="219" spans="1:191" s="187" customFormat="1" x14ac:dyDescent="0.2">
      <c r="B219" s="429" t="s">
        <v>515</v>
      </c>
      <c r="C219" s="429" t="s">
        <v>514</v>
      </c>
      <c r="D219" s="208">
        <v>233363</v>
      </c>
      <c r="E219" s="208">
        <v>0</v>
      </c>
      <c r="F219" s="208">
        <v>233363</v>
      </c>
      <c r="G219" s="208">
        <v>157522</v>
      </c>
      <c r="H219" s="208">
        <v>0</v>
      </c>
      <c r="I219" s="208">
        <v>157522</v>
      </c>
      <c r="J219" s="208">
        <v>75841</v>
      </c>
      <c r="K219" s="208">
        <v>0</v>
      </c>
      <c r="L219" s="208">
        <v>75841</v>
      </c>
      <c r="M219" s="208">
        <v>86347</v>
      </c>
      <c r="N219" s="208">
        <v>86347</v>
      </c>
      <c r="O219" s="208">
        <v>0</v>
      </c>
      <c r="P219" s="208">
        <v>0</v>
      </c>
      <c r="Q219" s="208">
        <v>0</v>
      </c>
      <c r="R219" s="208">
        <v>0</v>
      </c>
      <c r="S219" s="208">
        <v>47421</v>
      </c>
      <c r="T219" s="208">
        <v>0</v>
      </c>
      <c r="U219" s="208">
        <v>47290</v>
      </c>
      <c r="V219" s="208">
        <v>0</v>
      </c>
      <c r="W219" s="208">
        <v>131</v>
      </c>
      <c r="X219" s="208">
        <v>0</v>
      </c>
      <c r="Y219" s="208">
        <v>0</v>
      </c>
      <c r="Z219" s="208">
        <v>0</v>
      </c>
      <c r="AA219" s="208">
        <v>0</v>
      </c>
      <c r="AB219" s="208">
        <v>0</v>
      </c>
      <c r="AC219" s="208">
        <v>0</v>
      </c>
      <c r="AD219" s="208">
        <v>0</v>
      </c>
      <c r="AE219" s="208">
        <v>0</v>
      </c>
      <c r="AF219" s="208">
        <v>0</v>
      </c>
      <c r="AG219" s="208">
        <v>0</v>
      </c>
      <c r="AH219" s="208">
        <v>0</v>
      </c>
      <c r="AI219" s="208">
        <v>0</v>
      </c>
      <c r="AJ219" s="208">
        <v>0</v>
      </c>
      <c r="AK219" s="208">
        <v>0</v>
      </c>
      <c r="AL219" s="208">
        <v>0</v>
      </c>
      <c r="AM219" s="208">
        <v>0</v>
      </c>
      <c r="AN219" s="208">
        <v>0</v>
      </c>
      <c r="AO219" s="208">
        <v>0</v>
      </c>
      <c r="AP219" s="208">
        <v>0</v>
      </c>
      <c r="AQ219" s="208">
        <v>0</v>
      </c>
      <c r="AR219" s="208">
        <v>0</v>
      </c>
      <c r="AS219" s="208">
        <v>0</v>
      </c>
      <c r="AT219" s="208">
        <v>0</v>
      </c>
      <c r="AU219" s="208">
        <v>0</v>
      </c>
      <c r="AV219" s="208">
        <v>0</v>
      </c>
      <c r="AW219" s="208">
        <v>0</v>
      </c>
      <c r="AX219" s="208">
        <v>0</v>
      </c>
      <c r="AY219" s="208">
        <v>0</v>
      </c>
      <c r="AZ219" s="208">
        <v>0</v>
      </c>
      <c r="BA219" s="208">
        <v>0</v>
      </c>
      <c r="BB219" s="208">
        <v>0</v>
      </c>
      <c r="BC219" s="208">
        <v>0</v>
      </c>
      <c r="BD219" s="208">
        <v>0</v>
      </c>
      <c r="BE219" s="208">
        <v>0</v>
      </c>
      <c r="BF219" s="208">
        <v>0</v>
      </c>
      <c r="BG219" s="208">
        <v>0</v>
      </c>
      <c r="BH219" s="208">
        <v>0</v>
      </c>
      <c r="BI219" s="208">
        <v>0</v>
      </c>
      <c r="BJ219" s="208">
        <v>0</v>
      </c>
      <c r="BK219" s="208">
        <v>0</v>
      </c>
      <c r="BL219" s="208">
        <v>0</v>
      </c>
      <c r="BM219" s="208">
        <v>0</v>
      </c>
      <c r="BN219" s="208">
        <v>0</v>
      </c>
      <c r="BO219" s="208">
        <v>1034024.4770150001</v>
      </c>
      <c r="BP219" s="208">
        <v>232655.50732837498</v>
      </c>
      <c r="BQ219" s="208">
        <v>25850.611925374997</v>
      </c>
      <c r="BR219" s="208">
        <v>48959</v>
      </c>
      <c r="BS219" s="208">
        <v>11016</v>
      </c>
      <c r="BT219" s="208">
        <v>1224</v>
      </c>
      <c r="BU219" s="208">
        <v>928336</v>
      </c>
      <c r="BV219" s="208">
        <v>208875</v>
      </c>
      <c r="BW219" s="208">
        <v>23208</v>
      </c>
      <c r="BX219" s="208">
        <v>154647</v>
      </c>
      <c r="BY219" s="208">
        <v>34797</v>
      </c>
      <c r="BZ219" s="208">
        <v>3867</v>
      </c>
      <c r="CA219" s="208">
        <v>5994.291666666667</v>
      </c>
      <c r="CB219" s="208">
        <v>1348.7156249999998</v>
      </c>
      <c r="CC219" s="208">
        <v>149.85729166666667</v>
      </c>
      <c r="CD219" s="208">
        <v>1127</v>
      </c>
      <c r="CE219" s="208">
        <v>254</v>
      </c>
      <c r="CF219" s="208">
        <v>28</v>
      </c>
      <c r="CG219" s="208">
        <v>4867</v>
      </c>
      <c r="CH219" s="208">
        <v>1095</v>
      </c>
      <c r="CI219" s="208">
        <v>122</v>
      </c>
      <c r="CJ219" s="208">
        <v>0</v>
      </c>
      <c r="CK219" s="208">
        <v>0</v>
      </c>
      <c r="CL219" s="208">
        <v>0</v>
      </c>
      <c r="CM219" s="208">
        <v>0</v>
      </c>
      <c r="CN219" s="208">
        <v>0</v>
      </c>
      <c r="CO219" s="208">
        <v>0</v>
      </c>
      <c r="CP219" s="208">
        <v>0</v>
      </c>
      <c r="CQ219" s="208">
        <v>0</v>
      </c>
      <c r="CR219" s="208">
        <v>0</v>
      </c>
      <c r="CS219" s="208">
        <v>0</v>
      </c>
      <c r="CT219" s="208">
        <v>0</v>
      </c>
      <c r="CU219" s="208">
        <v>0</v>
      </c>
      <c r="CV219" s="208">
        <v>0</v>
      </c>
      <c r="CW219" s="208">
        <v>0</v>
      </c>
      <c r="CX219" s="208">
        <v>0</v>
      </c>
      <c r="CY219" s="208">
        <v>0</v>
      </c>
      <c r="CZ219" s="208">
        <v>0</v>
      </c>
      <c r="DA219" s="208">
        <v>0</v>
      </c>
      <c r="DB219" s="208">
        <v>0</v>
      </c>
      <c r="DC219" s="208">
        <v>0</v>
      </c>
      <c r="DD219" s="208">
        <v>0</v>
      </c>
      <c r="DE219" s="208">
        <v>0</v>
      </c>
      <c r="DF219" s="208">
        <v>0</v>
      </c>
      <c r="DG219" s="208">
        <v>0</v>
      </c>
      <c r="DH219" s="208">
        <v>0</v>
      </c>
      <c r="DI219" s="208">
        <v>0</v>
      </c>
      <c r="DJ219" s="208">
        <v>0</v>
      </c>
      <c r="DK219" s="208">
        <v>0</v>
      </c>
      <c r="DL219" s="208">
        <v>0</v>
      </c>
      <c r="DM219" s="208">
        <v>0</v>
      </c>
      <c r="DN219" s="208">
        <v>0</v>
      </c>
      <c r="DO219" s="208">
        <v>0</v>
      </c>
      <c r="DP219" s="208">
        <v>0</v>
      </c>
      <c r="DQ219" s="208">
        <v>0</v>
      </c>
      <c r="DR219" s="208">
        <v>0</v>
      </c>
      <c r="DS219" s="208">
        <v>0</v>
      </c>
      <c r="DT219" s="208">
        <v>0</v>
      </c>
      <c r="DU219" s="208">
        <v>0</v>
      </c>
      <c r="DV219" s="208">
        <v>0</v>
      </c>
      <c r="DW219" s="208">
        <v>1500.0049999999997</v>
      </c>
      <c r="DX219" s="208">
        <v>337.50112499999994</v>
      </c>
      <c r="DY219" s="208">
        <v>37.500124999999997</v>
      </c>
      <c r="DZ219" s="208">
        <v>3449</v>
      </c>
      <c r="EA219" s="208">
        <v>776</v>
      </c>
      <c r="EB219" s="208">
        <v>86</v>
      </c>
      <c r="EC219" s="208">
        <v>-1949</v>
      </c>
      <c r="ED219" s="208">
        <v>-438</v>
      </c>
      <c r="EE219" s="208">
        <v>-48</v>
      </c>
      <c r="EF219" s="208">
        <v>23349.095833333336</v>
      </c>
      <c r="EG219" s="208">
        <v>5253.5465624999997</v>
      </c>
      <c r="EH219" s="208">
        <v>583.72739583333339</v>
      </c>
      <c r="EI219" s="208">
        <v>-1254.0958333333335</v>
      </c>
      <c r="EJ219" s="208">
        <v>-282.17156249999999</v>
      </c>
      <c r="EK219" s="208">
        <v>-31.352395833333336</v>
      </c>
      <c r="EL219" s="208">
        <v>24550</v>
      </c>
      <c r="EM219" s="208">
        <v>5524</v>
      </c>
      <c r="EN219" s="208">
        <v>614</v>
      </c>
      <c r="EO219" s="208">
        <v>-2455</v>
      </c>
      <c r="EP219" s="208">
        <v>-553</v>
      </c>
      <c r="EQ219" s="208">
        <v>-62</v>
      </c>
      <c r="ER219" s="208">
        <v>5624.814166666667</v>
      </c>
      <c r="ES219" s="208">
        <v>1265.5831874999999</v>
      </c>
      <c r="ET219" s="208">
        <v>140.62035416666666</v>
      </c>
      <c r="EU219" s="208">
        <v>4910</v>
      </c>
      <c r="EV219" s="208">
        <v>1105</v>
      </c>
      <c r="EW219" s="208">
        <v>123</v>
      </c>
      <c r="EX219" s="208">
        <v>715</v>
      </c>
      <c r="EY219" s="208">
        <v>161</v>
      </c>
      <c r="EZ219" s="208">
        <v>18</v>
      </c>
      <c r="FA219" s="208">
        <v>0</v>
      </c>
      <c r="FB219" s="208">
        <v>0</v>
      </c>
      <c r="FC219" s="208">
        <v>0</v>
      </c>
      <c r="FD219" s="208">
        <v>0</v>
      </c>
      <c r="FE219" s="208">
        <v>0</v>
      </c>
      <c r="FF219" s="208">
        <v>0</v>
      </c>
      <c r="FG219" s="208">
        <v>0</v>
      </c>
      <c r="FH219" s="208">
        <v>0</v>
      </c>
      <c r="FI219" s="208">
        <v>0</v>
      </c>
      <c r="FJ219" s="208">
        <v>147356.22586666667</v>
      </c>
      <c r="FK219" s="208">
        <v>32910.63628875</v>
      </c>
      <c r="FL219" s="208">
        <v>3656.7373654166668</v>
      </c>
      <c r="FM219" s="208">
        <v>156435</v>
      </c>
      <c r="FN219" s="208">
        <v>34954</v>
      </c>
      <c r="FO219" s="208">
        <v>3884</v>
      </c>
      <c r="FP219" s="208">
        <v>-9079</v>
      </c>
      <c r="FQ219" s="208">
        <v>-2043</v>
      </c>
      <c r="FR219" s="208">
        <v>-227</v>
      </c>
      <c r="FS219" s="208">
        <v>0</v>
      </c>
      <c r="FT219" s="208">
        <v>0</v>
      </c>
      <c r="FU219" s="208">
        <v>0</v>
      </c>
      <c r="FV219" s="208">
        <v>0</v>
      </c>
      <c r="FW219" s="208">
        <v>0</v>
      </c>
      <c r="FX219" s="208">
        <v>0</v>
      </c>
      <c r="FY219" s="208">
        <v>0</v>
      </c>
      <c r="FZ219" s="208">
        <v>0</v>
      </c>
      <c r="GA219" s="208">
        <v>0</v>
      </c>
      <c r="GB219" s="208">
        <v>1265553</v>
      </c>
      <c r="GC219" s="208">
        <v>284508</v>
      </c>
      <c r="GD219" s="208">
        <v>31614</v>
      </c>
      <c r="GE219" s="664">
        <v>0.5</v>
      </c>
      <c r="GF219" s="664">
        <v>0.4</v>
      </c>
      <c r="GG219" s="664">
        <v>0.09</v>
      </c>
      <c r="GH219" s="664">
        <v>0.01</v>
      </c>
      <c r="GI219" s="187" t="s">
        <v>1054</v>
      </c>
    </row>
    <row r="220" spans="1:191" s="187" customFormat="1" x14ac:dyDescent="0.2">
      <c r="A220" s="187" t="s">
        <v>1811</v>
      </c>
      <c r="B220" s="429" t="s">
        <v>517</v>
      </c>
      <c r="C220" s="429" t="s">
        <v>516</v>
      </c>
      <c r="D220" s="208">
        <v>-199854</v>
      </c>
      <c r="E220" s="208">
        <v>0</v>
      </c>
      <c r="F220" s="208">
        <v>-199854</v>
      </c>
      <c r="G220" s="208">
        <v>-139063</v>
      </c>
      <c r="H220" s="208">
        <v>0</v>
      </c>
      <c r="I220" s="208">
        <v>-139063</v>
      </c>
      <c r="J220" s="208">
        <v>-60791</v>
      </c>
      <c r="K220" s="208">
        <v>0</v>
      </c>
      <c r="L220" s="208">
        <v>-60791</v>
      </c>
      <c r="M220" s="208">
        <v>98149</v>
      </c>
      <c r="N220" s="208">
        <v>98149</v>
      </c>
      <c r="O220" s="208">
        <v>0</v>
      </c>
      <c r="P220" s="208">
        <v>0</v>
      </c>
      <c r="Q220" s="208">
        <v>0</v>
      </c>
      <c r="R220" s="208">
        <v>0</v>
      </c>
      <c r="S220" s="208">
        <v>163328</v>
      </c>
      <c r="T220" s="208">
        <v>0</v>
      </c>
      <c r="U220" s="208">
        <v>163936</v>
      </c>
      <c r="V220" s="208">
        <v>0</v>
      </c>
      <c r="W220" s="208">
        <v>-608</v>
      </c>
      <c r="X220" s="208">
        <v>0</v>
      </c>
      <c r="Y220" s="208">
        <v>0</v>
      </c>
      <c r="Z220" s="208">
        <v>0</v>
      </c>
      <c r="AA220" s="208">
        <v>0</v>
      </c>
      <c r="AB220" s="208">
        <v>0</v>
      </c>
      <c r="AC220" s="208">
        <v>0</v>
      </c>
      <c r="AD220" s="208">
        <v>0</v>
      </c>
      <c r="AE220" s="208">
        <v>0</v>
      </c>
      <c r="AF220" s="208">
        <v>0</v>
      </c>
      <c r="AG220" s="208">
        <v>0</v>
      </c>
      <c r="AH220" s="208">
        <v>0</v>
      </c>
      <c r="AI220" s="208">
        <v>0</v>
      </c>
      <c r="AJ220" s="208">
        <v>0</v>
      </c>
      <c r="AK220" s="208">
        <v>0</v>
      </c>
      <c r="AL220" s="208">
        <v>0</v>
      </c>
      <c r="AM220" s="208">
        <v>0</v>
      </c>
      <c r="AN220" s="208">
        <v>0</v>
      </c>
      <c r="AO220" s="208">
        <v>0</v>
      </c>
      <c r="AP220" s="208">
        <v>0</v>
      </c>
      <c r="AQ220" s="208">
        <v>0</v>
      </c>
      <c r="AR220" s="208">
        <v>0</v>
      </c>
      <c r="AS220" s="208">
        <v>0</v>
      </c>
      <c r="AT220" s="208">
        <v>0</v>
      </c>
      <c r="AU220" s="208">
        <v>0</v>
      </c>
      <c r="AV220" s="208">
        <v>0</v>
      </c>
      <c r="AW220" s="208">
        <v>0</v>
      </c>
      <c r="AX220" s="208">
        <v>0</v>
      </c>
      <c r="AY220" s="208">
        <v>0</v>
      </c>
      <c r="AZ220" s="208">
        <v>0</v>
      </c>
      <c r="BA220" s="208">
        <v>0</v>
      </c>
      <c r="BB220" s="208">
        <v>0</v>
      </c>
      <c r="BC220" s="208">
        <v>0</v>
      </c>
      <c r="BD220" s="208">
        <v>0</v>
      </c>
      <c r="BE220" s="208">
        <v>0</v>
      </c>
      <c r="BF220" s="208">
        <v>0</v>
      </c>
      <c r="BG220" s="208">
        <v>0</v>
      </c>
      <c r="BH220" s="208">
        <v>0</v>
      </c>
      <c r="BI220" s="208">
        <v>0</v>
      </c>
      <c r="BJ220" s="208">
        <v>0</v>
      </c>
      <c r="BK220" s="208">
        <v>0</v>
      </c>
      <c r="BL220" s="208">
        <v>0</v>
      </c>
      <c r="BM220" s="208">
        <v>0</v>
      </c>
      <c r="BN220" s="208">
        <v>0</v>
      </c>
      <c r="BO220" s="208">
        <v>838133.10514250014</v>
      </c>
      <c r="BP220" s="208">
        <v>188579.94865706252</v>
      </c>
      <c r="BQ220" s="208">
        <v>20953.327628562503</v>
      </c>
      <c r="BR220" s="208">
        <v>26160</v>
      </c>
      <c r="BS220" s="208">
        <v>5886</v>
      </c>
      <c r="BT220" s="208">
        <v>654</v>
      </c>
      <c r="BU220" s="208">
        <v>770779</v>
      </c>
      <c r="BV220" s="208">
        <v>173425</v>
      </c>
      <c r="BW220" s="208">
        <v>19269</v>
      </c>
      <c r="BX220" s="208">
        <v>93514</v>
      </c>
      <c r="BY220" s="208">
        <v>21041</v>
      </c>
      <c r="BZ220" s="208">
        <v>2338</v>
      </c>
      <c r="CA220" s="208">
        <v>1960.3175000000003</v>
      </c>
      <c r="CB220" s="208">
        <v>441.07143750000006</v>
      </c>
      <c r="CC220" s="208">
        <v>49.007937500000004</v>
      </c>
      <c r="CD220" s="208">
        <v>776</v>
      </c>
      <c r="CE220" s="208">
        <v>175</v>
      </c>
      <c r="CF220" s="208">
        <v>19</v>
      </c>
      <c r="CG220" s="208">
        <v>1184</v>
      </c>
      <c r="CH220" s="208">
        <v>266</v>
      </c>
      <c r="CI220" s="208">
        <v>30</v>
      </c>
      <c r="CJ220" s="208">
        <v>0</v>
      </c>
      <c r="CK220" s="208">
        <v>0</v>
      </c>
      <c r="CL220" s="208">
        <v>0</v>
      </c>
      <c r="CM220" s="208">
        <v>0</v>
      </c>
      <c r="CN220" s="208">
        <v>0</v>
      </c>
      <c r="CO220" s="208">
        <v>0</v>
      </c>
      <c r="CP220" s="208">
        <v>0</v>
      </c>
      <c r="CQ220" s="208">
        <v>0</v>
      </c>
      <c r="CR220" s="208">
        <v>0</v>
      </c>
      <c r="CS220" s="208">
        <v>0</v>
      </c>
      <c r="CT220" s="208">
        <v>0</v>
      </c>
      <c r="CU220" s="208">
        <v>0</v>
      </c>
      <c r="CV220" s="208">
        <v>0</v>
      </c>
      <c r="CW220" s="208">
        <v>0</v>
      </c>
      <c r="CX220" s="208">
        <v>0</v>
      </c>
      <c r="CY220" s="208">
        <v>0</v>
      </c>
      <c r="CZ220" s="208">
        <v>0</v>
      </c>
      <c r="DA220" s="208">
        <v>0</v>
      </c>
      <c r="DB220" s="208">
        <v>0</v>
      </c>
      <c r="DC220" s="208">
        <v>0</v>
      </c>
      <c r="DD220" s="208">
        <v>0</v>
      </c>
      <c r="DE220" s="208">
        <v>409.98500000000007</v>
      </c>
      <c r="DF220" s="208">
        <v>92.246625000000009</v>
      </c>
      <c r="DG220" s="208">
        <v>10.249625000000002</v>
      </c>
      <c r="DH220" s="208">
        <v>813</v>
      </c>
      <c r="DI220" s="208">
        <v>183</v>
      </c>
      <c r="DJ220" s="208">
        <v>20</v>
      </c>
      <c r="DK220" s="208">
        <v>-403</v>
      </c>
      <c r="DL220" s="208">
        <v>-91</v>
      </c>
      <c r="DM220" s="208">
        <v>-10</v>
      </c>
      <c r="DN220" s="208">
        <v>0</v>
      </c>
      <c r="DO220" s="208">
        <v>0</v>
      </c>
      <c r="DP220" s="208">
        <v>0</v>
      </c>
      <c r="DQ220" s="208">
        <v>0</v>
      </c>
      <c r="DR220" s="208">
        <v>0</v>
      </c>
      <c r="DS220" s="208">
        <v>0</v>
      </c>
      <c r="DT220" s="208">
        <v>0</v>
      </c>
      <c r="DU220" s="208">
        <v>0</v>
      </c>
      <c r="DV220" s="208">
        <v>0</v>
      </c>
      <c r="DW220" s="208">
        <v>2275.7850000000003</v>
      </c>
      <c r="DX220" s="208">
        <v>512.05162499999994</v>
      </c>
      <c r="DY220" s="208">
        <v>56.894625000000005</v>
      </c>
      <c r="DZ220" s="208">
        <v>982</v>
      </c>
      <c r="EA220" s="208">
        <v>221</v>
      </c>
      <c r="EB220" s="208">
        <v>25</v>
      </c>
      <c r="EC220" s="208">
        <v>1294</v>
      </c>
      <c r="ED220" s="208">
        <v>291</v>
      </c>
      <c r="EE220" s="208">
        <v>32</v>
      </c>
      <c r="EF220" s="208">
        <v>10008.625833333334</v>
      </c>
      <c r="EG220" s="208">
        <v>2251.9408125</v>
      </c>
      <c r="EH220" s="208">
        <v>250.21564583333333</v>
      </c>
      <c r="EI220" s="208">
        <v>-2403.0358333333334</v>
      </c>
      <c r="EJ220" s="208">
        <v>-540.68306250000001</v>
      </c>
      <c r="EK220" s="208">
        <v>-60.075895833333334</v>
      </c>
      <c r="EL220" s="208">
        <v>7570</v>
      </c>
      <c r="EM220" s="208">
        <v>1703</v>
      </c>
      <c r="EN220" s="208">
        <v>189</v>
      </c>
      <c r="EO220" s="208">
        <v>36</v>
      </c>
      <c r="EP220" s="208">
        <v>8</v>
      </c>
      <c r="EQ220" s="208">
        <v>1</v>
      </c>
      <c r="ER220" s="208">
        <v>11139.153333333334</v>
      </c>
      <c r="ES220" s="208">
        <v>2506.3094999999998</v>
      </c>
      <c r="ET220" s="208">
        <v>278.47883333333334</v>
      </c>
      <c r="EU220" s="208">
        <v>8593</v>
      </c>
      <c r="EV220" s="208">
        <v>1933</v>
      </c>
      <c r="EW220" s="208">
        <v>215</v>
      </c>
      <c r="EX220" s="208">
        <v>2546</v>
      </c>
      <c r="EY220" s="208">
        <v>573</v>
      </c>
      <c r="EZ220" s="208">
        <v>63</v>
      </c>
      <c r="FA220" s="208">
        <v>0</v>
      </c>
      <c r="FB220" s="208">
        <v>0</v>
      </c>
      <c r="FC220" s="208">
        <v>0</v>
      </c>
      <c r="FD220" s="208">
        <v>0</v>
      </c>
      <c r="FE220" s="208">
        <v>0</v>
      </c>
      <c r="FF220" s="208">
        <v>0</v>
      </c>
      <c r="FG220" s="208">
        <v>0</v>
      </c>
      <c r="FH220" s="208">
        <v>0</v>
      </c>
      <c r="FI220" s="208">
        <v>0</v>
      </c>
      <c r="FJ220" s="208">
        <v>119393.67916666665</v>
      </c>
      <c r="FK220" s="208">
        <v>26021.4178125</v>
      </c>
      <c r="FL220" s="208">
        <v>2891.2686458333333</v>
      </c>
      <c r="FM220" s="208">
        <v>111730</v>
      </c>
      <c r="FN220" s="208">
        <v>24294</v>
      </c>
      <c r="FO220" s="208">
        <v>2699</v>
      </c>
      <c r="FP220" s="208">
        <v>7664</v>
      </c>
      <c r="FQ220" s="208">
        <v>1727</v>
      </c>
      <c r="FR220" s="208">
        <v>192</v>
      </c>
      <c r="FS220" s="208">
        <v>0</v>
      </c>
      <c r="FT220" s="208">
        <v>0</v>
      </c>
      <c r="FU220" s="208">
        <v>0</v>
      </c>
      <c r="FV220" s="208">
        <v>0</v>
      </c>
      <c r="FW220" s="208">
        <v>0</v>
      </c>
      <c r="FX220" s="208">
        <v>0</v>
      </c>
      <c r="FY220" s="208">
        <v>0</v>
      </c>
      <c r="FZ220" s="208">
        <v>0</v>
      </c>
      <c r="GA220" s="208">
        <v>0</v>
      </c>
      <c r="GB220" s="208">
        <v>1007078</v>
      </c>
      <c r="GC220" s="208">
        <v>225749</v>
      </c>
      <c r="GD220" s="208">
        <v>25082</v>
      </c>
      <c r="GE220" s="664">
        <v>0.5</v>
      </c>
      <c r="GF220" s="664">
        <v>0.4</v>
      </c>
      <c r="GG220" s="664">
        <v>0.09</v>
      </c>
      <c r="GH220" s="664">
        <v>0.01</v>
      </c>
      <c r="GI220" s="187" t="s">
        <v>1054</v>
      </c>
    </row>
    <row r="221" spans="1:191" s="187" customFormat="1" x14ac:dyDescent="0.2">
      <c r="B221" s="429" t="s">
        <v>519</v>
      </c>
      <c r="C221" s="429" t="s">
        <v>518</v>
      </c>
      <c r="D221" s="208">
        <v>715146</v>
      </c>
      <c r="E221" s="208">
        <v>0</v>
      </c>
      <c r="F221" s="208">
        <v>715146</v>
      </c>
      <c r="G221" s="208">
        <v>742596</v>
      </c>
      <c r="H221" s="208">
        <v>0</v>
      </c>
      <c r="I221" s="208">
        <v>742596</v>
      </c>
      <c r="J221" s="208">
        <v>-27450</v>
      </c>
      <c r="K221" s="208">
        <v>0</v>
      </c>
      <c r="L221" s="208">
        <v>-27450</v>
      </c>
      <c r="M221" s="208">
        <v>147126</v>
      </c>
      <c r="N221" s="208">
        <v>147126</v>
      </c>
      <c r="O221" s="208">
        <v>0</v>
      </c>
      <c r="P221" s="208">
        <v>0</v>
      </c>
      <c r="Q221" s="208">
        <v>0</v>
      </c>
      <c r="R221" s="208">
        <v>0</v>
      </c>
      <c r="S221" s="208">
        <v>0</v>
      </c>
      <c r="T221" s="208">
        <v>0</v>
      </c>
      <c r="U221" s="208">
        <v>0</v>
      </c>
      <c r="V221" s="208">
        <v>0</v>
      </c>
      <c r="W221" s="208">
        <v>0</v>
      </c>
      <c r="X221" s="208">
        <v>0</v>
      </c>
      <c r="Y221" s="208">
        <v>0</v>
      </c>
      <c r="Z221" s="208">
        <v>0</v>
      </c>
      <c r="AA221" s="208">
        <v>0</v>
      </c>
      <c r="AB221" s="208">
        <v>0</v>
      </c>
      <c r="AC221" s="208">
        <v>0</v>
      </c>
      <c r="AD221" s="208">
        <v>0</v>
      </c>
      <c r="AE221" s="208">
        <v>0</v>
      </c>
      <c r="AF221" s="208">
        <v>0</v>
      </c>
      <c r="AG221" s="208">
        <v>0</v>
      </c>
      <c r="AH221" s="208">
        <v>0</v>
      </c>
      <c r="AI221" s="208">
        <v>0</v>
      </c>
      <c r="AJ221" s="208">
        <v>0</v>
      </c>
      <c r="AK221" s="208">
        <v>0</v>
      </c>
      <c r="AL221" s="208">
        <v>0</v>
      </c>
      <c r="AM221" s="208">
        <v>0</v>
      </c>
      <c r="AN221" s="208">
        <v>0</v>
      </c>
      <c r="AO221" s="208">
        <v>0</v>
      </c>
      <c r="AP221" s="208">
        <v>0</v>
      </c>
      <c r="AQ221" s="208">
        <v>0</v>
      </c>
      <c r="AR221" s="208">
        <v>0</v>
      </c>
      <c r="AS221" s="208">
        <v>0</v>
      </c>
      <c r="AT221" s="208">
        <v>0</v>
      </c>
      <c r="AU221" s="208">
        <v>0</v>
      </c>
      <c r="AV221" s="208">
        <v>0</v>
      </c>
      <c r="AW221" s="208">
        <v>0</v>
      </c>
      <c r="AX221" s="208">
        <v>0</v>
      </c>
      <c r="AY221" s="208">
        <v>0</v>
      </c>
      <c r="AZ221" s="208">
        <v>0</v>
      </c>
      <c r="BA221" s="208">
        <v>0</v>
      </c>
      <c r="BB221" s="208">
        <v>0</v>
      </c>
      <c r="BC221" s="208">
        <v>0</v>
      </c>
      <c r="BD221" s="208">
        <v>0</v>
      </c>
      <c r="BE221" s="208">
        <v>0</v>
      </c>
      <c r="BF221" s="208">
        <v>0</v>
      </c>
      <c r="BG221" s="208">
        <v>0</v>
      </c>
      <c r="BH221" s="208">
        <v>0</v>
      </c>
      <c r="BI221" s="208">
        <v>0</v>
      </c>
      <c r="BJ221" s="208">
        <v>0</v>
      </c>
      <c r="BK221" s="208">
        <v>0</v>
      </c>
      <c r="BL221" s="208">
        <v>0</v>
      </c>
      <c r="BM221" s="208">
        <v>0</v>
      </c>
      <c r="BN221" s="208">
        <v>0</v>
      </c>
      <c r="BO221" s="208">
        <v>1293870.5302196334</v>
      </c>
      <c r="BP221" s="208">
        <v>291120.86929941748</v>
      </c>
      <c r="BQ221" s="208">
        <v>32346.763255490838</v>
      </c>
      <c r="BR221" s="208">
        <v>48626</v>
      </c>
      <c r="BS221" s="208">
        <v>10941</v>
      </c>
      <c r="BT221" s="208">
        <v>1216</v>
      </c>
      <c r="BU221" s="208">
        <v>1213971</v>
      </c>
      <c r="BV221" s="208">
        <v>273143</v>
      </c>
      <c r="BW221" s="208">
        <v>30349</v>
      </c>
      <c r="BX221" s="208">
        <v>128526</v>
      </c>
      <c r="BY221" s="208">
        <v>28919</v>
      </c>
      <c r="BZ221" s="208">
        <v>3214</v>
      </c>
      <c r="CA221" s="208">
        <v>-1272.5819833333335</v>
      </c>
      <c r="CB221" s="208">
        <v>-286.33094624999995</v>
      </c>
      <c r="CC221" s="208">
        <v>-31.814549583333335</v>
      </c>
      <c r="CD221" s="208">
        <v>1409</v>
      </c>
      <c r="CE221" s="208">
        <v>317</v>
      </c>
      <c r="CF221" s="208">
        <v>35</v>
      </c>
      <c r="CG221" s="208">
        <v>-2682</v>
      </c>
      <c r="CH221" s="208">
        <v>-603</v>
      </c>
      <c r="CI221" s="208">
        <v>-67</v>
      </c>
      <c r="CJ221" s="208">
        <v>0</v>
      </c>
      <c r="CK221" s="208">
        <v>0</v>
      </c>
      <c r="CL221" s="208">
        <v>0</v>
      </c>
      <c r="CM221" s="208">
        <v>0</v>
      </c>
      <c r="CN221" s="208">
        <v>0</v>
      </c>
      <c r="CO221" s="208">
        <v>0</v>
      </c>
      <c r="CP221" s="208">
        <v>384.61666666666667</v>
      </c>
      <c r="CQ221" s="208">
        <v>86.538749999999993</v>
      </c>
      <c r="CR221" s="208">
        <v>9.6154166666666665</v>
      </c>
      <c r="CS221" s="208">
        <v>0</v>
      </c>
      <c r="CT221" s="208">
        <v>0</v>
      </c>
      <c r="CU221" s="208">
        <v>0</v>
      </c>
      <c r="CV221" s="208">
        <v>0</v>
      </c>
      <c r="CW221" s="208">
        <v>0</v>
      </c>
      <c r="CX221" s="208">
        <v>0</v>
      </c>
      <c r="CY221" s="208">
        <v>0</v>
      </c>
      <c r="CZ221" s="208">
        <v>0</v>
      </c>
      <c r="DA221" s="208">
        <v>0</v>
      </c>
      <c r="DB221" s="208">
        <v>106.7925</v>
      </c>
      <c r="DC221" s="208">
        <v>24.028312499999998</v>
      </c>
      <c r="DD221" s="208">
        <v>2.6698124999999999</v>
      </c>
      <c r="DE221" s="208">
        <v>14302.420833333332</v>
      </c>
      <c r="DF221" s="208">
        <v>3218.0446874999998</v>
      </c>
      <c r="DG221" s="208">
        <v>357.56052083333333</v>
      </c>
      <c r="DH221" s="208">
        <v>15530</v>
      </c>
      <c r="DI221" s="208">
        <v>3494</v>
      </c>
      <c r="DJ221" s="208">
        <v>388</v>
      </c>
      <c r="DK221" s="208">
        <v>-1228</v>
      </c>
      <c r="DL221" s="208">
        <v>-276</v>
      </c>
      <c r="DM221" s="208">
        <v>-30</v>
      </c>
      <c r="DN221" s="208">
        <v>0</v>
      </c>
      <c r="DO221" s="208">
        <v>0</v>
      </c>
      <c r="DP221" s="208">
        <v>0</v>
      </c>
      <c r="DQ221" s="208">
        <v>0</v>
      </c>
      <c r="DR221" s="208">
        <v>0</v>
      </c>
      <c r="DS221" s="208">
        <v>0</v>
      </c>
      <c r="DT221" s="208">
        <v>0</v>
      </c>
      <c r="DU221" s="208">
        <v>0</v>
      </c>
      <c r="DV221" s="208">
        <v>0</v>
      </c>
      <c r="DW221" s="208">
        <v>18147.769166666669</v>
      </c>
      <c r="DX221" s="208">
        <v>4083.2480625000003</v>
      </c>
      <c r="DY221" s="208">
        <v>453.69422916666673</v>
      </c>
      <c r="DZ221" s="208">
        <v>16366</v>
      </c>
      <c r="EA221" s="208">
        <v>3683</v>
      </c>
      <c r="EB221" s="208">
        <v>409</v>
      </c>
      <c r="EC221" s="208">
        <v>1782</v>
      </c>
      <c r="ED221" s="208">
        <v>400</v>
      </c>
      <c r="EE221" s="208">
        <v>45</v>
      </c>
      <c r="EF221" s="208">
        <v>26587.65</v>
      </c>
      <c r="EG221" s="208">
        <v>5982.2212499999996</v>
      </c>
      <c r="EH221" s="208">
        <v>664.69124999999997</v>
      </c>
      <c r="EI221" s="208">
        <v>-1949.2700000000002</v>
      </c>
      <c r="EJ221" s="208">
        <v>-438.58575000000002</v>
      </c>
      <c r="EK221" s="208">
        <v>-48.731750000000005</v>
      </c>
      <c r="EL221" s="208">
        <v>44031</v>
      </c>
      <c r="EM221" s="208">
        <v>9907</v>
      </c>
      <c r="EN221" s="208">
        <v>1101</v>
      </c>
      <c r="EO221" s="208">
        <v>-19393</v>
      </c>
      <c r="EP221" s="208">
        <v>-4363</v>
      </c>
      <c r="EQ221" s="208">
        <v>-485</v>
      </c>
      <c r="ER221" s="208">
        <v>14834.746666666668</v>
      </c>
      <c r="ES221" s="208">
        <v>3337.8179999999998</v>
      </c>
      <c r="ET221" s="208">
        <v>370.86866666666663</v>
      </c>
      <c r="EU221" s="208">
        <v>14731</v>
      </c>
      <c r="EV221" s="208">
        <v>3314</v>
      </c>
      <c r="EW221" s="208">
        <v>368</v>
      </c>
      <c r="EX221" s="208">
        <v>104</v>
      </c>
      <c r="EY221" s="208">
        <v>24</v>
      </c>
      <c r="EZ221" s="208">
        <v>3</v>
      </c>
      <c r="FA221" s="208">
        <v>0</v>
      </c>
      <c r="FB221" s="208">
        <v>0</v>
      </c>
      <c r="FC221" s="208">
        <v>0</v>
      </c>
      <c r="FD221" s="208">
        <v>0</v>
      </c>
      <c r="FE221" s="208">
        <v>0</v>
      </c>
      <c r="FF221" s="208">
        <v>0</v>
      </c>
      <c r="FG221" s="208">
        <v>0</v>
      </c>
      <c r="FH221" s="208">
        <v>0</v>
      </c>
      <c r="FI221" s="208">
        <v>0</v>
      </c>
      <c r="FJ221" s="208">
        <v>165207.5172</v>
      </c>
      <c r="FK221" s="208">
        <v>37171.691369999993</v>
      </c>
      <c r="FL221" s="208">
        <v>4130.1879299999991</v>
      </c>
      <c r="FM221" s="208">
        <v>163636</v>
      </c>
      <c r="FN221" s="208">
        <v>36818</v>
      </c>
      <c r="FO221" s="208">
        <v>4091</v>
      </c>
      <c r="FP221" s="208">
        <v>1572</v>
      </c>
      <c r="FQ221" s="208">
        <v>354</v>
      </c>
      <c r="FR221" s="208">
        <v>39</v>
      </c>
      <c r="FS221" s="208">
        <v>0</v>
      </c>
      <c r="FT221" s="208">
        <v>0</v>
      </c>
      <c r="FU221" s="208">
        <v>0</v>
      </c>
      <c r="FV221" s="208">
        <v>0</v>
      </c>
      <c r="FW221" s="208">
        <v>0</v>
      </c>
      <c r="FX221" s="208">
        <v>0</v>
      </c>
      <c r="FY221" s="208">
        <v>0</v>
      </c>
      <c r="FZ221" s="208">
        <v>0</v>
      </c>
      <c r="GA221" s="208">
        <v>0</v>
      </c>
      <c r="GB221" s="208">
        <v>1578848</v>
      </c>
      <c r="GC221" s="208">
        <v>355241</v>
      </c>
      <c r="GD221" s="208">
        <v>39473</v>
      </c>
      <c r="GE221" s="664">
        <v>0.5</v>
      </c>
      <c r="GF221" s="664">
        <v>0.4</v>
      </c>
      <c r="GG221" s="664">
        <v>0.09</v>
      </c>
      <c r="GH221" s="664">
        <v>0.01</v>
      </c>
      <c r="GI221" s="187" t="s">
        <v>1054</v>
      </c>
    </row>
    <row r="222" spans="1:191" s="187" customFormat="1" x14ac:dyDescent="0.2">
      <c r="B222" s="429" t="s">
        <v>521</v>
      </c>
      <c r="C222" s="429" t="s">
        <v>520</v>
      </c>
      <c r="D222" s="208">
        <v>-2778896</v>
      </c>
      <c r="E222" s="208">
        <v>6279</v>
      </c>
      <c r="F222" s="208">
        <v>-2772617</v>
      </c>
      <c r="G222" s="208">
        <v>-2646120</v>
      </c>
      <c r="H222" s="208">
        <v>6359</v>
      </c>
      <c r="I222" s="208">
        <v>-2639761</v>
      </c>
      <c r="J222" s="208">
        <v>-132776</v>
      </c>
      <c r="K222" s="208">
        <v>-80</v>
      </c>
      <c r="L222" s="208">
        <v>-132856</v>
      </c>
      <c r="M222" s="208">
        <v>299682</v>
      </c>
      <c r="N222" s="208">
        <v>299682</v>
      </c>
      <c r="O222" s="208">
        <v>0</v>
      </c>
      <c r="P222" s="208">
        <v>448887</v>
      </c>
      <c r="Q222" s="208">
        <v>432288</v>
      </c>
      <c r="R222" s="208">
        <v>16599</v>
      </c>
      <c r="S222" s="208">
        <v>91207</v>
      </c>
      <c r="T222" s="208">
        <v>0</v>
      </c>
      <c r="U222" s="208">
        <v>167756</v>
      </c>
      <c r="V222" s="208">
        <v>0</v>
      </c>
      <c r="W222" s="208">
        <v>-76549</v>
      </c>
      <c r="X222" s="208">
        <v>0</v>
      </c>
      <c r="Y222" s="208">
        <v>0</v>
      </c>
      <c r="Z222" s="208">
        <v>0</v>
      </c>
      <c r="AA222" s="208">
        <v>0</v>
      </c>
      <c r="AB222" s="208">
        <v>0</v>
      </c>
      <c r="AC222" s="208">
        <v>0</v>
      </c>
      <c r="AD222" s="208">
        <v>0</v>
      </c>
      <c r="AE222" s="208">
        <v>0</v>
      </c>
      <c r="AF222" s="208">
        <v>0</v>
      </c>
      <c r="AG222" s="208">
        <v>0</v>
      </c>
      <c r="AH222" s="208">
        <v>244749</v>
      </c>
      <c r="AI222" s="208">
        <v>244749.17916666667</v>
      </c>
      <c r="AJ222" s="208">
        <v>0</v>
      </c>
      <c r="AK222" s="208">
        <v>0</v>
      </c>
      <c r="AL222" s="208">
        <v>110502</v>
      </c>
      <c r="AM222" s="208">
        <v>110502</v>
      </c>
      <c r="AN222" s="208">
        <v>0</v>
      </c>
      <c r="AO222" s="208">
        <v>0</v>
      </c>
      <c r="AP222" s="208">
        <v>134247</v>
      </c>
      <c r="AQ222" s="208">
        <v>134247</v>
      </c>
      <c r="AR222" s="208">
        <v>0</v>
      </c>
      <c r="AS222" s="208">
        <v>0</v>
      </c>
      <c r="AT222" s="208">
        <v>0</v>
      </c>
      <c r="AU222" s="208">
        <v>0</v>
      </c>
      <c r="AV222" s="208">
        <v>0</v>
      </c>
      <c r="AW222" s="208">
        <v>0</v>
      </c>
      <c r="AX222" s="208">
        <v>0</v>
      </c>
      <c r="AY222" s="208">
        <v>0</v>
      </c>
      <c r="AZ222" s="208">
        <v>0</v>
      </c>
      <c r="BA222" s="208">
        <v>0</v>
      </c>
      <c r="BB222" s="208">
        <v>0</v>
      </c>
      <c r="BC222" s="208">
        <v>0</v>
      </c>
      <c r="BD222" s="208">
        <v>0</v>
      </c>
      <c r="BE222" s="208">
        <v>0</v>
      </c>
      <c r="BF222" s="208">
        <v>0</v>
      </c>
      <c r="BG222" s="208">
        <v>0</v>
      </c>
      <c r="BH222" s="208">
        <v>0</v>
      </c>
      <c r="BI222" s="208">
        <v>0</v>
      </c>
      <c r="BJ222" s="208">
        <v>0</v>
      </c>
      <c r="BK222" s="208">
        <v>0</v>
      </c>
      <c r="BL222" s="208">
        <v>0</v>
      </c>
      <c r="BM222" s="208">
        <v>0</v>
      </c>
      <c r="BN222" s="208">
        <v>0</v>
      </c>
      <c r="BO222" s="208">
        <v>2827938.6582229175</v>
      </c>
      <c r="BP222" s="208">
        <v>0</v>
      </c>
      <c r="BQ222" s="208">
        <v>57334.206047916668</v>
      </c>
      <c r="BR222" s="208">
        <v>134924</v>
      </c>
      <c r="BS222" s="208">
        <v>0</v>
      </c>
      <c r="BT222" s="208">
        <v>2588</v>
      </c>
      <c r="BU222" s="208">
        <v>2624139</v>
      </c>
      <c r="BV222" s="208">
        <v>0</v>
      </c>
      <c r="BW222" s="208">
        <v>53346</v>
      </c>
      <c r="BX222" s="208">
        <v>338724</v>
      </c>
      <c r="BY222" s="208">
        <v>0</v>
      </c>
      <c r="BZ222" s="208">
        <v>6576</v>
      </c>
      <c r="CA222" s="208">
        <v>16754.086125000002</v>
      </c>
      <c r="CB222" s="208">
        <v>0</v>
      </c>
      <c r="CC222" s="208">
        <v>341.92012499999998</v>
      </c>
      <c r="CD222" s="208">
        <v>14053</v>
      </c>
      <c r="CE222" s="208">
        <v>0</v>
      </c>
      <c r="CF222" s="208">
        <v>287</v>
      </c>
      <c r="CG222" s="208">
        <v>2701</v>
      </c>
      <c r="CH222" s="208">
        <v>0</v>
      </c>
      <c r="CI222" s="208">
        <v>55</v>
      </c>
      <c r="CJ222" s="208">
        <v>0</v>
      </c>
      <c r="CK222" s="208">
        <v>0</v>
      </c>
      <c r="CL222" s="208">
        <v>0</v>
      </c>
      <c r="CM222" s="208">
        <v>0</v>
      </c>
      <c r="CN222" s="208">
        <v>0</v>
      </c>
      <c r="CO222" s="208">
        <v>0</v>
      </c>
      <c r="CP222" s="208">
        <v>0</v>
      </c>
      <c r="CQ222" s="208">
        <v>0</v>
      </c>
      <c r="CR222" s="208">
        <v>0</v>
      </c>
      <c r="CS222" s="208">
        <v>0</v>
      </c>
      <c r="CT222" s="208">
        <v>0</v>
      </c>
      <c r="CU222" s="208">
        <v>0</v>
      </c>
      <c r="CV222" s="208">
        <v>0</v>
      </c>
      <c r="CW222" s="208">
        <v>0</v>
      </c>
      <c r="CX222" s="208">
        <v>0</v>
      </c>
      <c r="CY222" s="208">
        <v>0</v>
      </c>
      <c r="CZ222" s="208">
        <v>0</v>
      </c>
      <c r="DA222" s="208">
        <v>0</v>
      </c>
      <c r="DB222" s="208">
        <v>0</v>
      </c>
      <c r="DC222" s="208">
        <v>0</v>
      </c>
      <c r="DD222" s="208">
        <v>0</v>
      </c>
      <c r="DE222" s="208">
        <v>7027.7341458333331</v>
      </c>
      <c r="DF222" s="208">
        <v>0</v>
      </c>
      <c r="DG222" s="208">
        <v>143.42314583333334</v>
      </c>
      <c r="DH222" s="208">
        <v>6932</v>
      </c>
      <c r="DI222" s="208">
        <v>0</v>
      </c>
      <c r="DJ222" s="208">
        <v>141</v>
      </c>
      <c r="DK222" s="208">
        <v>96</v>
      </c>
      <c r="DL222" s="208">
        <v>0</v>
      </c>
      <c r="DM222" s="208">
        <v>2</v>
      </c>
      <c r="DN222" s="208">
        <v>0</v>
      </c>
      <c r="DO222" s="208">
        <v>0</v>
      </c>
      <c r="DP222" s="208">
        <v>0</v>
      </c>
      <c r="DQ222" s="208">
        <v>0</v>
      </c>
      <c r="DR222" s="208">
        <v>0</v>
      </c>
      <c r="DS222" s="208">
        <v>0</v>
      </c>
      <c r="DT222" s="208">
        <v>0</v>
      </c>
      <c r="DU222" s="208">
        <v>0</v>
      </c>
      <c r="DV222" s="208">
        <v>0</v>
      </c>
      <c r="DW222" s="208">
        <v>14991.764375000001</v>
      </c>
      <c r="DX222" s="208">
        <v>0</v>
      </c>
      <c r="DY222" s="208">
        <v>305.95437500000003</v>
      </c>
      <c r="DZ222" s="208">
        <v>9565</v>
      </c>
      <c r="EA222" s="208">
        <v>0</v>
      </c>
      <c r="EB222" s="208">
        <v>195</v>
      </c>
      <c r="EC222" s="208">
        <v>5427</v>
      </c>
      <c r="ED222" s="208">
        <v>0</v>
      </c>
      <c r="EE222" s="208">
        <v>111</v>
      </c>
      <c r="EF222" s="208">
        <v>24390.179499999998</v>
      </c>
      <c r="EG222" s="208">
        <v>0</v>
      </c>
      <c r="EH222" s="208">
        <v>357.24341666666669</v>
      </c>
      <c r="EI222" s="208">
        <v>119516.77522916665</v>
      </c>
      <c r="EJ222" s="208">
        <v>0</v>
      </c>
      <c r="EK222" s="208">
        <v>2164.7883124999998</v>
      </c>
      <c r="EL222" s="208">
        <v>1629</v>
      </c>
      <c r="EM222" s="208">
        <v>0</v>
      </c>
      <c r="EN222" s="208">
        <v>33</v>
      </c>
      <c r="EO222" s="208">
        <v>142278</v>
      </c>
      <c r="EP222" s="208">
        <v>0</v>
      </c>
      <c r="EQ222" s="208">
        <v>2489</v>
      </c>
      <c r="ER222" s="208">
        <v>30381.50470833333</v>
      </c>
      <c r="ES222" s="208">
        <v>0</v>
      </c>
      <c r="ET222" s="208">
        <v>620.03070833333334</v>
      </c>
      <c r="EU222" s="208">
        <v>27852</v>
      </c>
      <c r="EV222" s="208">
        <v>0</v>
      </c>
      <c r="EW222" s="208">
        <v>568</v>
      </c>
      <c r="EX222" s="208">
        <v>2530</v>
      </c>
      <c r="EY222" s="208">
        <v>0</v>
      </c>
      <c r="EZ222" s="208">
        <v>52</v>
      </c>
      <c r="FA222" s="208">
        <v>0</v>
      </c>
      <c r="FB222" s="208">
        <v>0</v>
      </c>
      <c r="FC222" s="208">
        <v>0</v>
      </c>
      <c r="FD222" s="208">
        <v>0</v>
      </c>
      <c r="FE222" s="208">
        <v>0</v>
      </c>
      <c r="FF222" s="208">
        <v>0</v>
      </c>
      <c r="FG222" s="208">
        <v>0</v>
      </c>
      <c r="FH222" s="208">
        <v>0</v>
      </c>
      <c r="FI222" s="208">
        <v>0</v>
      </c>
      <c r="FJ222" s="208">
        <v>821643.20791666652</v>
      </c>
      <c r="FK222" s="208">
        <v>0</v>
      </c>
      <c r="FL222" s="208">
        <v>16515.633750000001</v>
      </c>
      <c r="FM222" s="208">
        <v>802337</v>
      </c>
      <c r="FN222" s="208">
        <v>0</v>
      </c>
      <c r="FO222" s="208">
        <v>16042</v>
      </c>
      <c r="FP222" s="208">
        <v>19306</v>
      </c>
      <c r="FQ222" s="208">
        <v>0</v>
      </c>
      <c r="FR222" s="208">
        <v>474</v>
      </c>
      <c r="FS222" s="208">
        <v>0</v>
      </c>
      <c r="FT222" s="208">
        <v>0</v>
      </c>
      <c r="FU222" s="208">
        <v>0</v>
      </c>
      <c r="FV222" s="208">
        <v>0</v>
      </c>
      <c r="FW222" s="208">
        <v>0</v>
      </c>
      <c r="FX222" s="208">
        <v>0</v>
      </c>
      <c r="FY222" s="208">
        <v>0</v>
      </c>
      <c r="FZ222" s="208">
        <v>0</v>
      </c>
      <c r="GA222" s="208">
        <v>0</v>
      </c>
      <c r="GB222" s="208">
        <v>3997569</v>
      </c>
      <c r="GC222" s="208">
        <v>0</v>
      </c>
      <c r="GD222" s="208">
        <v>80371</v>
      </c>
      <c r="GE222" s="664">
        <v>0.5</v>
      </c>
      <c r="GF222" s="664">
        <v>0.49</v>
      </c>
      <c r="GG222" s="664">
        <v>0</v>
      </c>
      <c r="GH222" s="664">
        <v>0.01</v>
      </c>
      <c r="GI222" s="187" t="s">
        <v>1056</v>
      </c>
    </row>
    <row r="223" spans="1:191" s="187" customFormat="1" x14ac:dyDescent="0.2">
      <c r="B223" s="429" t="s">
        <v>523</v>
      </c>
      <c r="C223" s="429" t="s">
        <v>522</v>
      </c>
      <c r="D223" s="208">
        <v>-1478211</v>
      </c>
      <c r="E223" s="208">
        <v>0</v>
      </c>
      <c r="F223" s="208">
        <v>-1478211</v>
      </c>
      <c r="G223" s="208">
        <v>-1216304</v>
      </c>
      <c r="H223" s="208">
        <v>0</v>
      </c>
      <c r="I223" s="208">
        <v>-1216304</v>
      </c>
      <c r="J223" s="208">
        <v>-261907</v>
      </c>
      <c r="K223" s="208">
        <v>0</v>
      </c>
      <c r="L223" s="208">
        <v>-261907</v>
      </c>
      <c r="M223" s="208">
        <v>136235</v>
      </c>
      <c r="N223" s="208">
        <v>136235</v>
      </c>
      <c r="O223" s="208">
        <v>0</v>
      </c>
      <c r="P223" s="208">
        <v>0</v>
      </c>
      <c r="Q223" s="208">
        <v>0</v>
      </c>
      <c r="R223" s="208">
        <v>0</v>
      </c>
      <c r="S223" s="208">
        <v>0</v>
      </c>
      <c r="T223" s="208">
        <v>0</v>
      </c>
      <c r="U223" s="208">
        <v>0</v>
      </c>
      <c r="V223" s="208">
        <v>0</v>
      </c>
      <c r="W223" s="208">
        <v>0</v>
      </c>
      <c r="X223" s="208">
        <v>0</v>
      </c>
      <c r="Y223" s="208">
        <v>0</v>
      </c>
      <c r="Z223" s="208">
        <v>0</v>
      </c>
      <c r="AA223" s="208">
        <v>0</v>
      </c>
      <c r="AB223" s="208">
        <v>0</v>
      </c>
      <c r="AC223" s="208">
        <v>0</v>
      </c>
      <c r="AD223" s="208">
        <v>0</v>
      </c>
      <c r="AE223" s="208">
        <v>0</v>
      </c>
      <c r="AF223" s="208">
        <v>0</v>
      </c>
      <c r="AG223" s="208">
        <v>0</v>
      </c>
      <c r="AH223" s="208">
        <v>0</v>
      </c>
      <c r="AI223" s="208">
        <v>0</v>
      </c>
      <c r="AJ223" s="208">
        <v>0</v>
      </c>
      <c r="AK223" s="208">
        <v>0</v>
      </c>
      <c r="AL223" s="208">
        <v>0</v>
      </c>
      <c r="AM223" s="208">
        <v>0</v>
      </c>
      <c r="AN223" s="208">
        <v>0</v>
      </c>
      <c r="AO223" s="208">
        <v>0</v>
      </c>
      <c r="AP223" s="208">
        <v>0</v>
      </c>
      <c r="AQ223" s="208">
        <v>0</v>
      </c>
      <c r="AR223" s="208">
        <v>0</v>
      </c>
      <c r="AS223" s="208">
        <v>0</v>
      </c>
      <c r="AT223" s="208">
        <v>0</v>
      </c>
      <c r="AU223" s="208">
        <v>0</v>
      </c>
      <c r="AV223" s="208">
        <v>0</v>
      </c>
      <c r="AW223" s="208">
        <v>0</v>
      </c>
      <c r="AX223" s="208">
        <v>0</v>
      </c>
      <c r="AY223" s="208">
        <v>0</v>
      </c>
      <c r="AZ223" s="208">
        <v>0</v>
      </c>
      <c r="BA223" s="208">
        <v>0</v>
      </c>
      <c r="BB223" s="208">
        <v>0</v>
      </c>
      <c r="BC223" s="208">
        <v>0</v>
      </c>
      <c r="BD223" s="208">
        <v>0</v>
      </c>
      <c r="BE223" s="208">
        <v>0</v>
      </c>
      <c r="BF223" s="208">
        <v>0</v>
      </c>
      <c r="BG223" s="208">
        <v>0</v>
      </c>
      <c r="BH223" s="208">
        <v>0</v>
      </c>
      <c r="BI223" s="208">
        <v>0</v>
      </c>
      <c r="BJ223" s="208">
        <v>0</v>
      </c>
      <c r="BK223" s="208">
        <v>0</v>
      </c>
      <c r="BL223" s="208">
        <v>0</v>
      </c>
      <c r="BM223" s="208">
        <v>0</v>
      </c>
      <c r="BN223" s="208">
        <v>0</v>
      </c>
      <c r="BO223" s="208">
        <v>901507.05575000006</v>
      </c>
      <c r="BP223" s="208">
        <v>225376.76393750001</v>
      </c>
      <c r="BQ223" s="208">
        <v>0</v>
      </c>
      <c r="BR223" s="208">
        <v>80030</v>
      </c>
      <c r="BS223" s="208">
        <v>20008</v>
      </c>
      <c r="BT223" s="208">
        <v>0</v>
      </c>
      <c r="BU223" s="208">
        <v>880288</v>
      </c>
      <c r="BV223" s="208">
        <v>220072</v>
      </c>
      <c r="BW223" s="208">
        <v>0</v>
      </c>
      <c r="BX223" s="208">
        <v>101249</v>
      </c>
      <c r="BY223" s="208">
        <v>25313</v>
      </c>
      <c r="BZ223" s="208">
        <v>0</v>
      </c>
      <c r="CA223" s="208">
        <v>0</v>
      </c>
      <c r="CB223" s="208">
        <v>0</v>
      </c>
      <c r="CC223" s="208">
        <v>0</v>
      </c>
      <c r="CD223" s="208">
        <v>0</v>
      </c>
      <c r="CE223" s="208">
        <v>0</v>
      </c>
      <c r="CF223" s="208">
        <v>0</v>
      </c>
      <c r="CG223" s="208">
        <v>0</v>
      </c>
      <c r="CH223" s="208">
        <v>0</v>
      </c>
      <c r="CI223" s="208">
        <v>0</v>
      </c>
      <c r="CJ223" s="208">
        <v>-126.84166666666668</v>
      </c>
      <c r="CK223" s="208">
        <v>-31.710416666666671</v>
      </c>
      <c r="CL223" s="208">
        <v>0</v>
      </c>
      <c r="CM223" s="208">
        <v>0</v>
      </c>
      <c r="CN223" s="208">
        <v>0</v>
      </c>
      <c r="CO223" s="208">
        <v>0</v>
      </c>
      <c r="CP223" s="208">
        <v>0</v>
      </c>
      <c r="CQ223" s="208">
        <v>0</v>
      </c>
      <c r="CR223" s="208">
        <v>0</v>
      </c>
      <c r="CS223" s="208">
        <v>0</v>
      </c>
      <c r="CT223" s="208">
        <v>0</v>
      </c>
      <c r="CU223" s="208">
        <v>0</v>
      </c>
      <c r="CV223" s="208">
        <v>0</v>
      </c>
      <c r="CW223" s="208">
        <v>0</v>
      </c>
      <c r="CX223" s="208">
        <v>0</v>
      </c>
      <c r="CY223" s="208">
        <v>0</v>
      </c>
      <c r="CZ223" s="208">
        <v>0</v>
      </c>
      <c r="DA223" s="208">
        <v>0</v>
      </c>
      <c r="DB223" s="208">
        <v>0</v>
      </c>
      <c r="DC223" s="208">
        <v>0</v>
      </c>
      <c r="DD223" s="208">
        <v>0</v>
      </c>
      <c r="DE223" s="208">
        <v>3288.4724999999999</v>
      </c>
      <c r="DF223" s="208">
        <v>822.11812499999996</v>
      </c>
      <c r="DG223" s="208">
        <v>0</v>
      </c>
      <c r="DH223" s="208">
        <v>3731</v>
      </c>
      <c r="DI223" s="208">
        <v>933</v>
      </c>
      <c r="DJ223" s="208">
        <v>0</v>
      </c>
      <c r="DK223" s="208">
        <v>-443</v>
      </c>
      <c r="DL223" s="208">
        <v>-111</v>
      </c>
      <c r="DM223" s="208">
        <v>0</v>
      </c>
      <c r="DN223" s="208">
        <v>0</v>
      </c>
      <c r="DO223" s="208">
        <v>0</v>
      </c>
      <c r="DP223" s="208">
        <v>0</v>
      </c>
      <c r="DQ223" s="208">
        <v>0</v>
      </c>
      <c r="DR223" s="208">
        <v>0</v>
      </c>
      <c r="DS223" s="208">
        <v>0</v>
      </c>
      <c r="DT223" s="208">
        <v>0</v>
      </c>
      <c r="DU223" s="208">
        <v>0</v>
      </c>
      <c r="DV223" s="208">
        <v>0</v>
      </c>
      <c r="DW223" s="208">
        <v>8004.9366666666674</v>
      </c>
      <c r="DX223" s="208">
        <v>2001.2341666666669</v>
      </c>
      <c r="DY223" s="208">
        <v>0</v>
      </c>
      <c r="DZ223" s="208">
        <v>8005</v>
      </c>
      <c r="EA223" s="208">
        <v>2001</v>
      </c>
      <c r="EB223" s="208">
        <v>0</v>
      </c>
      <c r="EC223" s="208">
        <v>0</v>
      </c>
      <c r="ED223" s="208">
        <v>0</v>
      </c>
      <c r="EE223" s="208">
        <v>0</v>
      </c>
      <c r="EF223" s="208">
        <v>54126.612500000003</v>
      </c>
      <c r="EG223" s="208">
        <v>13531.653125000001</v>
      </c>
      <c r="EH223" s="208">
        <v>0</v>
      </c>
      <c r="EI223" s="208">
        <v>8965.6600000000017</v>
      </c>
      <c r="EJ223" s="208">
        <v>2241.4150000000004</v>
      </c>
      <c r="EK223" s="208">
        <v>0</v>
      </c>
      <c r="EL223" s="208">
        <v>55238</v>
      </c>
      <c r="EM223" s="208">
        <v>13809</v>
      </c>
      <c r="EN223" s="208">
        <v>0</v>
      </c>
      <c r="EO223" s="208">
        <v>7854</v>
      </c>
      <c r="EP223" s="208">
        <v>1964</v>
      </c>
      <c r="EQ223" s="208">
        <v>0</v>
      </c>
      <c r="ER223" s="208">
        <v>17200.548333333336</v>
      </c>
      <c r="ES223" s="208">
        <v>4300.137083333334</v>
      </c>
      <c r="ET223" s="208">
        <v>0</v>
      </c>
      <c r="EU223" s="208">
        <v>18204</v>
      </c>
      <c r="EV223" s="208">
        <v>4551</v>
      </c>
      <c r="EW223" s="208">
        <v>0</v>
      </c>
      <c r="EX223" s="208">
        <v>-1003</v>
      </c>
      <c r="EY223" s="208">
        <v>-251</v>
      </c>
      <c r="EZ223" s="208">
        <v>0</v>
      </c>
      <c r="FA223" s="208">
        <v>0</v>
      </c>
      <c r="FB223" s="208">
        <v>0</v>
      </c>
      <c r="FC223" s="208">
        <v>0</v>
      </c>
      <c r="FD223" s="208">
        <v>0</v>
      </c>
      <c r="FE223" s="208">
        <v>0</v>
      </c>
      <c r="FF223" s="208">
        <v>0</v>
      </c>
      <c r="FG223" s="208">
        <v>0</v>
      </c>
      <c r="FH223" s="208">
        <v>0</v>
      </c>
      <c r="FI223" s="208">
        <v>0</v>
      </c>
      <c r="FJ223" s="208">
        <v>457270.22000000003</v>
      </c>
      <c r="FK223" s="208">
        <v>114317.55500000001</v>
      </c>
      <c r="FL223" s="208">
        <v>0</v>
      </c>
      <c r="FM223" s="208">
        <v>447005</v>
      </c>
      <c r="FN223" s="208">
        <v>111751</v>
      </c>
      <c r="FO223" s="208">
        <v>0</v>
      </c>
      <c r="FP223" s="208">
        <v>10265</v>
      </c>
      <c r="FQ223" s="208">
        <v>2567</v>
      </c>
      <c r="FR223" s="208">
        <v>0</v>
      </c>
      <c r="FS223" s="208">
        <v>0</v>
      </c>
      <c r="FT223" s="208">
        <v>0</v>
      </c>
      <c r="FU223" s="208">
        <v>0</v>
      </c>
      <c r="FV223" s="208">
        <v>0</v>
      </c>
      <c r="FW223" s="208">
        <v>0</v>
      </c>
      <c r="FX223" s="208">
        <v>0</v>
      </c>
      <c r="FY223" s="208">
        <v>0</v>
      </c>
      <c r="FZ223" s="208">
        <v>0</v>
      </c>
      <c r="GA223" s="208">
        <v>0</v>
      </c>
      <c r="GB223" s="208">
        <v>1530267</v>
      </c>
      <c r="GC223" s="208">
        <v>382567</v>
      </c>
      <c r="GD223" s="208">
        <v>0</v>
      </c>
      <c r="GE223" s="664">
        <v>0.5</v>
      </c>
      <c r="GF223" s="664">
        <v>0.4</v>
      </c>
      <c r="GG223" s="664">
        <v>0.1</v>
      </c>
      <c r="GH223" s="664">
        <v>0</v>
      </c>
      <c r="GI223" s="187" t="s">
        <v>1054</v>
      </c>
    </row>
    <row r="224" spans="1:191" s="187" customFormat="1" x14ac:dyDescent="0.2">
      <c r="B224" s="429" t="s">
        <v>525</v>
      </c>
      <c r="C224" s="429" t="s">
        <v>524</v>
      </c>
      <c r="D224" s="208">
        <v>655289</v>
      </c>
      <c r="E224" s="208">
        <v>5037</v>
      </c>
      <c r="F224" s="208">
        <v>660326</v>
      </c>
      <c r="G224" s="208">
        <v>815237</v>
      </c>
      <c r="H224" s="208">
        <v>5037</v>
      </c>
      <c r="I224" s="208">
        <v>820274</v>
      </c>
      <c r="J224" s="208">
        <v>-159948</v>
      </c>
      <c r="K224" s="208">
        <v>0</v>
      </c>
      <c r="L224" s="208">
        <v>-159948</v>
      </c>
      <c r="M224" s="208">
        <v>131628</v>
      </c>
      <c r="N224" s="208">
        <v>131628</v>
      </c>
      <c r="O224" s="208">
        <v>0</v>
      </c>
      <c r="P224" s="208">
        <v>179274</v>
      </c>
      <c r="Q224" s="208">
        <v>0</v>
      </c>
      <c r="R224" s="208">
        <v>179274</v>
      </c>
      <c r="S224" s="208">
        <v>0</v>
      </c>
      <c r="T224" s="208">
        <v>0</v>
      </c>
      <c r="U224" s="208">
        <v>0</v>
      </c>
      <c r="V224" s="208">
        <v>0</v>
      </c>
      <c r="W224" s="208">
        <v>0</v>
      </c>
      <c r="X224" s="208">
        <v>0</v>
      </c>
      <c r="Y224" s="208">
        <v>0</v>
      </c>
      <c r="Z224" s="208">
        <v>0</v>
      </c>
      <c r="AA224" s="208">
        <v>0</v>
      </c>
      <c r="AB224" s="208">
        <v>0</v>
      </c>
      <c r="AC224" s="208">
        <v>0</v>
      </c>
      <c r="AD224" s="208">
        <v>0</v>
      </c>
      <c r="AE224" s="208">
        <v>0</v>
      </c>
      <c r="AF224" s="208">
        <v>0</v>
      </c>
      <c r="AG224" s="208">
        <v>0</v>
      </c>
      <c r="AH224" s="208">
        <v>0</v>
      </c>
      <c r="AI224" s="208">
        <v>0</v>
      </c>
      <c r="AJ224" s="208">
        <v>0</v>
      </c>
      <c r="AK224" s="208">
        <v>0</v>
      </c>
      <c r="AL224" s="208">
        <v>0</v>
      </c>
      <c r="AM224" s="208">
        <v>0</v>
      </c>
      <c r="AN224" s="208">
        <v>0</v>
      </c>
      <c r="AO224" s="208">
        <v>0</v>
      </c>
      <c r="AP224" s="208">
        <v>0</v>
      </c>
      <c r="AQ224" s="208">
        <v>0</v>
      </c>
      <c r="AR224" s="208">
        <v>0</v>
      </c>
      <c r="AS224" s="208">
        <v>0</v>
      </c>
      <c r="AT224" s="208">
        <v>0</v>
      </c>
      <c r="AU224" s="208">
        <v>0</v>
      </c>
      <c r="AV224" s="208">
        <v>0</v>
      </c>
      <c r="AW224" s="208">
        <v>0</v>
      </c>
      <c r="AX224" s="208">
        <v>0</v>
      </c>
      <c r="AY224" s="208">
        <v>0</v>
      </c>
      <c r="AZ224" s="208">
        <v>0</v>
      </c>
      <c r="BA224" s="208">
        <v>0</v>
      </c>
      <c r="BB224" s="208">
        <v>0</v>
      </c>
      <c r="BC224" s="208">
        <v>0</v>
      </c>
      <c r="BD224" s="208">
        <v>0</v>
      </c>
      <c r="BE224" s="208">
        <v>0</v>
      </c>
      <c r="BF224" s="208">
        <v>0</v>
      </c>
      <c r="BG224" s="208">
        <v>0</v>
      </c>
      <c r="BH224" s="208">
        <v>0</v>
      </c>
      <c r="BI224" s="208">
        <v>0</v>
      </c>
      <c r="BJ224" s="208">
        <v>0</v>
      </c>
      <c r="BK224" s="208">
        <v>0</v>
      </c>
      <c r="BL224" s="208">
        <v>0</v>
      </c>
      <c r="BM224" s="208">
        <v>0</v>
      </c>
      <c r="BN224" s="208">
        <v>0</v>
      </c>
      <c r="BO224" s="208">
        <v>488184.37921937497</v>
      </c>
      <c r="BP224" s="208">
        <v>1139096.8848452084</v>
      </c>
      <c r="BQ224" s="208">
        <v>0</v>
      </c>
      <c r="BR224" s="208">
        <v>52306</v>
      </c>
      <c r="BS224" s="208">
        <v>116585</v>
      </c>
      <c r="BT224" s="208">
        <v>0</v>
      </c>
      <c r="BU224" s="208">
        <v>488523</v>
      </c>
      <c r="BV224" s="208">
        <v>1139889</v>
      </c>
      <c r="BW224" s="208">
        <v>0</v>
      </c>
      <c r="BX224" s="208">
        <v>51967</v>
      </c>
      <c r="BY224" s="208">
        <v>115793</v>
      </c>
      <c r="BZ224" s="208">
        <v>0</v>
      </c>
      <c r="CA224" s="208">
        <v>0</v>
      </c>
      <c r="CB224" s="208">
        <v>0</v>
      </c>
      <c r="CC224" s="208">
        <v>0</v>
      </c>
      <c r="CD224" s="208">
        <v>0</v>
      </c>
      <c r="CE224" s="208">
        <v>0</v>
      </c>
      <c r="CF224" s="208">
        <v>0</v>
      </c>
      <c r="CG224" s="208">
        <v>0</v>
      </c>
      <c r="CH224" s="208">
        <v>0</v>
      </c>
      <c r="CI224" s="208">
        <v>0</v>
      </c>
      <c r="CJ224" s="208">
        <v>0</v>
      </c>
      <c r="CK224" s="208">
        <v>0</v>
      </c>
      <c r="CL224" s="208">
        <v>0</v>
      </c>
      <c r="CM224" s="208">
        <v>0</v>
      </c>
      <c r="CN224" s="208">
        <v>0</v>
      </c>
      <c r="CO224" s="208">
        <v>0</v>
      </c>
      <c r="CP224" s="208">
        <v>0</v>
      </c>
      <c r="CQ224" s="208">
        <v>0</v>
      </c>
      <c r="CR224" s="208">
        <v>0</v>
      </c>
      <c r="CS224" s="208">
        <v>0</v>
      </c>
      <c r="CT224" s="208">
        <v>0</v>
      </c>
      <c r="CU224" s="208">
        <v>0</v>
      </c>
      <c r="CV224" s="208">
        <v>0</v>
      </c>
      <c r="CW224" s="208">
        <v>0</v>
      </c>
      <c r="CX224" s="208">
        <v>0</v>
      </c>
      <c r="CY224" s="208">
        <v>0</v>
      </c>
      <c r="CZ224" s="208">
        <v>0</v>
      </c>
      <c r="DA224" s="208">
        <v>0</v>
      </c>
      <c r="DB224" s="208">
        <v>0</v>
      </c>
      <c r="DC224" s="208">
        <v>0</v>
      </c>
      <c r="DD224" s="208">
        <v>0</v>
      </c>
      <c r="DE224" s="208">
        <v>0</v>
      </c>
      <c r="DF224" s="208">
        <v>0</v>
      </c>
      <c r="DG224" s="208">
        <v>0</v>
      </c>
      <c r="DH224" s="208">
        <v>0</v>
      </c>
      <c r="DI224" s="208">
        <v>0</v>
      </c>
      <c r="DJ224" s="208">
        <v>0</v>
      </c>
      <c r="DK224" s="208">
        <v>0</v>
      </c>
      <c r="DL224" s="208">
        <v>0</v>
      </c>
      <c r="DM224" s="208">
        <v>0</v>
      </c>
      <c r="DN224" s="208">
        <v>0</v>
      </c>
      <c r="DO224" s="208">
        <v>0</v>
      </c>
      <c r="DP224" s="208">
        <v>0</v>
      </c>
      <c r="DQ224" s="208">
        <v>0</v>
      </c>
      <c r="DR224" s="208">
        <v>0</v>
      </c>
      <c r="DS224" s="208">
        <v>0</v>
      </c>
      <c r="DT224" s="208">
        <v>0</v>
      </c>
      <c r="DU224" s="208">
        <v>0</v>
      </c>
      <c r="DV224" s="208">
        <v>0</v>
      </c>
      <c r="DW224" s="208">
        <v>7185.4781249999996</v>
      </c>
      <c r="DX224" s="208">
        <v>16766.115624999999</v>
      </c>
      <c r="DY224" s="208">
        <v>0</v>
      </c>
      <c r="DZ224" s="208">
        <v>10028</v>
      </c>
      <c r="EA224" s="208">
        <v>23400</v>
      </c>
      <c r="EB224" s="208">
        <v>0</v>
      </c>
      <c r="EC224" s="208">
        <v>-2843</v>
      </c>
      <c r="ED224" s="208">
        <v>-6634</v>
      </c>
      <c r="EE224" s="208">
        <v>0</v>
      </c>
      <c r="EF224" s="208">
        <v>19438.383125</v>
      </c>
      <c r="EG224" s="208">
        <v>45356.22729166667</v>
      </c>
      <c r="EH224" s="208">
        <v>0</v>
      </c>
      <c r="EI224" s="208">
        <v>-44.803750000000001</v>
      </c>
      <c r="EJ224" s="208">
        <v>-104.54208333333332</v>
      </c>
      <c r="EK224" s="208">
        <v>0</v>
      </c>
      <c r="EL224" s="208">
        <v>22515</v>
      </c>
      <c r="EM224" s="208">
        <v>52537</v>
      </c>
      <c r="EN224" s="208">
        <v>0</v>
      </c>
      <c r="EO224" s="208">
        <v>-3121</v>
      </c>
      <c r="EP224" s="208">
        <v>-7285</v>
      </c>
      <c r="EQ224" s="208">
        <v>0</v>
      </c>
      <c r="ER224" s="208">
        <v>5667.3674999999994</v>
      </c>
      <c r="ES224" s="208">
        <v>13223.8575</v>
      </c>
      <c r="ET224" s="208">
        <v>0</v>
      </c>
      <c r="EU224" s="208">
        <v>6751</v>
      </c>
      <c r="EV224" s="208">
        <v>15753</v>
      </c>
      <c r="EW224" s="208">
        <v>0</v>
      </c>
      <c r="EX224" s="208">
        <v>-1084</v>
      </c>
      <c r="EY224" s="208">
        <v>-2529</v>
      </c>
      <c r="EZ224" s="208">
        <v>0</v>
      </c>
      <c r="FA224" s="208">
        <v>0</v>
      </c>
      <c r="FB224" s="208">
        <v>0</v>
      </c>
      <c r="FC224" s="208">
        <v>0</v>
      </c>
      <c r="FD224" s="208">
        <v>0</v>
      </c>
      <c r="FE224" s="208">
        <v>0</v>
      </c>
      <c r="FF224" s="208">
        <v>0</v>
      </c>
      <c r="FG224" s="208">
        <v>0</v>
      </c>
      <c r="FH224" s="208">
        <v>0</v>
      </c>
      <c r="FI224" s="208">
        <v>0</v>
      </c>
      <c r="FJ224" s="208">
        <v>491647.11062499991</v>
      </c>
      <c r="FK224" s="208">
        <v>1137590.4122916665</v>
      </c>
      <c r="FL224" s="208">
        <v>0</v>
      </c>
      <c r="FM224" s="208">
        <v>392683</v>
      </c>
      <c r="FN224" s="208">
        <v>916261</v>
      </c>
      <c r="FO224" s="208">
        <v>0</v>
      </c>
      <c r="FP224" s="208">
        <v>98964</v>
      </c>
      <c r="FQ224" s="208">
        <v>221329</v>
      </c>
      <c r="FR224" s="208">
        <v>0</v>
      </c>
      <c r="FS224" s="208">
        <v>0</v>
      </c>
      <c r="FT224" s="208">
        <v>0</v>
      </c>
      <c r="FU224" s="208">
        <v>0</v>
      </c>
      <c r="FV224" s="208">
        <v>0</v>
      </c>
      <c r="FW224" s="208">
        <v>0</v>
      </c>
      <c r="FX224" s="208">
        <v>0</v>
      </c>
      <c r="FY224" s="208">
        <v>0</v>
      </c>
      <c r="FZ224" s="208">
        <v>0</v>
      </c>
      <c r="GA224" s="208">
        <v>0</v>
      </c>
      <c r="GB224" s="208">
        <v>1064382</v>
      </c>
      <c r="GC224" s="208">
        <v>2468513</v>
      </c>
      <c r="GD224" s="208">
        <v>0</v>
      </c>
      <c r="GE224" s="664">
        <v>0</v>
      </c>
      <c r="GF224" s="664">
        <v>0.3</v>
      </c>
      <c r="GG224" s="664">
        <v>0.7</v>
      </c>
      <c r="GH224" s="664">
        <v>0</v>
      </c>
      <c r="GI224" s="187" t="s">
        <v>1054</v>
      </c>
    </row>
    <row r="225" spans="1:191" s="187" customFormat="1" x14ac:dyDescent="0.2">
      <c r="B225" s="429" t="s">
        <v>527</v>
      </c>
      <c r="C225" s="429" t="s">
        <v>526</v>
      </c>
      <c r="D225" s="208">
        <v>-2126889</v>
      </c>
      <c r="E225" s="208">
        <v>0</v>
      </c>
      <c r="F225" s="208">
        <v>-2126889</v>
      </c>
      <c r="G225" s="208">
        <v>-2064324</v>
      </c>
      <c r="H225" s="208">
        <v>0</v>
      </c>
      <c r="I225" s="208">
        <v>-2064324</v>
      </c>
      <c r="J225" s="208">
        <v>-62565</v>
      </c>
      <c r="K225" s="208">
        <v>0</v>
      </c>
      <c r="L225" s="208">
        <v>-62565</v>
      </c>
      <c r="M225" s="208">
        <v>111192</v>
      </c>
      <c r="N225" s="208">
        <v>111192</v>
      </c>
      <c r="O225" s="208">
        <v>0</v>
      </c>
      <c r="P225" s="208">
        <v>0</v>
      </c>
      <c r="Q225" s="208">
        <v>0</v>
      </c>
      <c r="R225" s="208">
        <v>0</v>
      </c>
      <c r="S225" s="208">
        <v>543164</v>
      </c>
      <c r="T225" s="208">
        <v>0</v>
      </c>
      <c r="U225" s="208">
        <v>160749</v>
      </c>
      <c r="V225" s="208">
        <v>0</v>
      </c>
      <c r="W225" s="208">
        <v>382415</v>
      </c>
      <c r="X225" s="208">
        <v>0</v>
      </c>
      <c r="Y225" s="208">
        <v>0</v>
      </c>
      <c r="Z225" s="208">
        <v>0</v>
      </c>
      <c r="AA225" s="208">
        <v>0</v>
      </c>
      <c r="AB225" s="208">
        <v>0</v>
      </c>
      <c r="AC225" s="208">
        <v>0</v>
      </c>
      <c r="AD225" s="208">
        <v>0</v>
      </c>
      <c r="AE225" s="208">
        <v>0</v>
      </c>
      <c r="AF225" s="208">
        <v>0</v>
      </c>
      <c r="AG225" s="208">
        <v>0</v>
      </c>
      <c r="AH225" s="208">
        <v>0</v>
      </c>
      <c r="AI225" s="208">
        <v>0</v>
      </c>
      <c r="AJ225" s="208">
        <v>0</v>
      </c>
      <c r="AK225" s="208">
        <v>0</v>
      </c>
      <c r="AL225" s="208">
        <v>0</v>
      </c>
      <c r="AM225" s="208">
        <v>0</v>
      </c>
      <c r="AN225" s="208">
        <v>0</v>
      </c>
      <c r="AO225" s="208">
        <v>0</v>
      </c>
      <c r="AP225" s="208">
        <v>0</v>
      </c>
      <c r="AQ225" s="208">
        <v>0</v>
      </c>
      <c r="AR225" s="208">
        <v>0</v>
      </c>
      <c r="AS225" s="208">
        <v>0</v>
      </c>
      <c r="AT225" s="208">
        <v>0</v>
      </c>
      <c r="AU225" s="208">
        <v>0</v>
      </c>
      <c r="AV225" s="208">
        <v>0</v>
      </c>
      <c r="AW225" s="208">
        <v>0</v>
      </c>
      <c r="AX225" s="208">
        <v>0</v>
      </c>
      <c r="AY225" s="208">
        <v>0</v>
      </c>
      <c r="AZ225" s="208">
        <v>0</v>
      </c>
      <c r="BA225" s="208">
        <v>0</v>
      </c>
      <c r="BB225" s="208">
        <v>0</v>
      </c>
      <c r="BC225" s="208">
        <v>0</v>
      </c>
      <c r="BD225" s="208">
        <v>0</v>
      </c>
      <c r="BE225" s="208">
        <v>0</v>
      </c>
      <c r="BF225" s="208">
        <v>0</v>
      </c>
      <c r="BG225" s="208">
        <v>0</v>
      </c>
      <c r="BH225" s="208">
        <v>0</v>
      </c>
      <c r="BI225" s="208">
        <v>0</v>
      </c>
      <c r="BJ225" s="208">
        <v>0</v>
      </c>
      <c r="BK225" s="208">
        <v>0</v>
      </c>
      <c r="BL225" s="208">
        <v>0</v>
      </c>
      <c r="BM225" s="208">
        <v>0</v>
      </c>
      <c r="BN225" s="208">
        <v>0</v>
      </c>
      <c r="BO225" s="208">
        <v>841726.50951</v>
      </c>
      <c r="BP225" s="208">
        <v>189388.46463975002</v>
      </c>
      <c r="BQ225" s="208">
        <v>21043.162737750004</v>
      </c>
      <c r="BR225" s="208">
        <v>55779</v>
      </c>
      <c r="BS225" s="208">
        <v>12550</v>
      </c>
      <c r="BT225" s="208">
        <v>1394</v>
      </c>
      <c r="BU225" s="208">
        <v>796914</v>
      </c>
      <c r="BV225" s="208">
        <v>179306</v>
      </c>
      <c r="BW225" s="208">
        <v>19923</v>
      </c>
      <c r="BX225" s="208">
        <v>100592</v>
      </c>
      <c r="BY225" s="208">
        <v>22632</v>
      </c>
      <c r="BZ225" s="208">
        <v>2514</v>
      </c>
      <c r="CA225" s="208">
        <v>2871.1224999999999</v>
      </c>
      <c r="CB225" s="208">
        <v>646.00256249999995</v>
      </c>
      <c r="CC225" s="208">
        <v>71.778062500000004</v>
      </c>
      <c r="CD225" s="208">
        <v>984</v>
      </c>
      <c r="CE225" s="208">
        <v>222</v>
      </c>
      <c r="CF225" s="208">
        <v>25</v>
      </c>
      <c r="CG225" s="208">
        <v>1887</v>
      </c>
      <c r="CH225" s="208">
        <v>424</v>
      </c>
      <c r="CI225" s="208">
        <v>47</v>
      </c>
      <c r="CJ225" s="208">
        <v>0</v>
      </c>
      <c r="CK225" s="208">
        <v>0</v>
      </c>
      <c r="CL225" s="208">
        <v>0</v>
      </c>
      <c r="CM225" s="208">
        <v>-1815.4724999999999</v>
      </c>
      <c r="CN225" s="208">
        <v>-408.48131249999994</v>
      </c>
      <c r="CO225" s="208">
        <v>-45.386812499999998</v>
      </c>
      <c r="CP225" s="208">
        <v>0</v>
      </c>
      <c r="CQ225" s="208">
        <v>0</v>
      </c>
      <c r="CR225" s="208">
        <v>0</v>
      </c>
      <c r="CS225" s="208">
        <v>0</v>
      </c>
      <c r="CT225" s="208">
        <v>0</v>
      </c>
      <c r="CU225" s="208">
        <v>0</v>
      </c>
      <c r="CV225" s="208">
        <v>0</v>
      </c>
      <c r="CW225" s="208">
        <v>0</v>
      </c>
      <c r="CX225" s="208">
        <v>0</v>
      </c>
      <c r="CY225" s="208">
        <v>0</v>
      </c>
      <c r="CZ225" s="208">
        <v>0</v>
      </c>
      <c r="DA225" s="208">
        <v>0</v>
      </c>
      <c r="DB225" s="208">
        <v>0</v>
      </c>
      <c r="DC225" s="208">
        <v>0</v>
      </c>
      <c r="DD225" s="208">
        <v>0</v>
      </c>
      <c r="DE225" s="208">
        <v>2445.5891666666671</v>
      </c>
      <c r="DF225" s="208">
        <v>550.25756249999995</v>
      </c>
      <c r="DG225" s="208">
        <v>61.139729166666676</v>
      </c>
      <c r="DH225" s="208">
        <v>0</v>
      </c>
      <c r="DI225" s="208">
        <v>0</v>
      </c>
      <c r="DJ225" s="208">
        <v>0</v>
      </c>
      <c r="DK225" s="208">
        <v>2446</v>
      </c>
      <c r="DL225" s="208">
        <v>550</v>
      </c>
      <c r="DM225" s="208">
        <v>61</v>
      </c>
      <c r="DN225" s="208">
        <v>0</v>
      </c>
      <c r="DO225" s="208">
        <v>0</v>
      </c>
      <c r="DP225" s="208">
        <v>0</v>
      </c>
      <c r="DQ225" s="208">
        <v>0</v>
      </c>
      <c r="DR225" s="208">
        <v>0</v>
      </c>
      <c r="DS225" s="208">
        <v>0</v>
      </c>
      <c r="DT225" s="208">
        <v>0</v>
      </c>
      <c r="DU225" s="208">
        <v>0</v>
      </c>
      <c r="DV225" s="208">
        <v>0</v>
      </c>
      <c r="DW225" s="208">
        <v>12488.585000000001</v>
      </c>
      <c r="DX225" s="208">
        <v>2809.9316249999997</v>
      </c>
      <c r="DY225" s="208">
        <v>312.21462499999996</v>
      </c>
      <c r="DZ225" s="208">
        <v>262</v>
      </c>
      <c r="EA225" s="208">
        <v>59</v>
      </c>
      <c r="EB225" s="208">
        <v>7</v>
      </c>
      <c r="EC225" s="208">
        <v>12227</v>
      </c>
      <c r="ED225" s="208">
        <v>2751</v>
      </c>
      <c r="EE225" s="208">
        <v>305</v>
      </c>
      <c r="EF225" s="208">
        <v>52974.808333333342</v>
      </c>
      <c r="EG225" s="208">
        <v>11919.331875</v>
      </c>
      <c r="EH225" s="208">
        <v>1324.3702083333335</v>
      </c>
      <c r="EI225" s="208">
        <v>-4465.6449999999995</v>
      </c>
      <c r="EJ225" s="208">
        <v>-1004.7701249999999</v>
      </c>
      <c r="EK225" s="208">
        <v>-111.64112499999999</v>
      </c>
      <c r="EL225" s="208">
        <v>26492</v>
      </c>
      <c r="EM225" s="208">
        <v>5960</v>
      </c>
      <c r="EN225" s="208">
        <v>662</v>
      </c>
      <c r="EO225" s="208">
        <v>22017</v>
      </c>
      <c r="EP225" s="208">
        <v>4955</v>
      </c>
      <c r="EQ225" s="208">
        <v>551</v>
      </c>
      <c r="ER225" s="208">
        <v>12884.249166666668</v>
      </c>
      <c r="ES225" s="208">
        <v>2898.9560624999999</v>
      </c>
      <c r="ET225" s="208">
        <v>322.10622916666671</v>
      </c>
      <c r="EU225" s="208">
        <v>10228</v>
      </c>
      <c r="EV225" s="208">
        <v>2302</v>
      </c>
      <c r="EW225" s="208">
        <v>256</v>
      </c>
      <c r="EX225" s="208">
        <v>2656</v>
      </c>
      <c r="EY225" s="208">
        <v>597</v>
      </c>
      <c r="EZ225" s="208">
        <v>66</v>
      </c>
      <c r="FA225" s="208">
        <v>0</v>
      </c>
      <c r="FB225" s="208">
        <v>0</v>
      </c>
      <c r="FC225" s="208">
        <v>0</v>
      </c>
      <c r="FD225" s="208">
        <v>0</v>
      </c>
      <c r="FE225" s="208">
        <v>0</v>
      </c>
      <c r="FF225" s="208">
        <v>0</v>
      </c>
      <c r="FG225" s="208">
        <v>0</v>
      </c>
      <c r="FH225" s="208">
        <v>0</v>
      </c>
      <c r="FI225" s="208">
        <v>0</v>
      </c>
      <c r="FJ225" s="208">
        <v>254872.81416666668</v>
      </c>
      <c r="FK225" s="208">
        <v>54545.693812499994</v>
      </c>
      <c r="FL225" s="208">
        <v>6060.6326458333333</v>
      </c>
      <c r="FM225" s="208">
        <v>234249</v>
      </c>
      <c r="FN225" s="208">
        <v>51877</v>
      </c>
      <c r="FO225" s="208">
        <v>5764</v>
      </c>
      <c r="FP225" s="208">
        <v>20624</v>
      </c>
      <c r="FQ225" s="208">
        <v>2669</v>
      </c>
      <c r="FR225" s="208">
        <v>297</v>
      </c>
      <c r="FS225" s="208">
        <v>0</v>
      </c>
      <c r="FT225" s="208">
        <v>0</v>
      </c>
      <c r="FU225" s="208">
        <v>0</v>
      </c>
      <c r="FV225" s="208">
        <v>0</v>
      </c>
      <c r="FW225" s="208">
        <v>0</v>
      </c>
      <c r="FX225" s="208">
        <v>0</v>
      </c>
      <c r="FY225" s="208">
        <v>0</v>
      </c>
      <c r="FZ225" s="208">
        <v>0</v>
      </c>
      <c r="GA225" s="208">
        <v>0</v>
      </c>
      <c r="GB225" s="208">
        <v>1229763</v>
      </c>
      <c r="GC225" s="208">
        <v>273895</v>
      </c>
      <c r="GD225" s="208">
        <v>30432</v>
      </c>
      <c r="GE225" s="664">
        <v>0.5</v>
      </c>
      <c r="GF225" s="664">
        <v>0.4</v>
      </c>
      <c r="GG225" s="664">
        <v>0.09</v>
      </c>
      <c r="GH225" s="664">
        <v>0.01</v>
      </c>
      <c r="GI225" s="187" t="s">
        <v>1054</v>
      </c>
    </row>
    <row r="226" spans="1:191" s="187" customFormat="1" x14ac:dyDescent="0.2">
      <c r="B226" s="429" t="s">
        <v>529</v>
      </c>
      <c r="C226" s="429" t="s">
        <v>528</v>
      </c>
      <c r="D226" s="208">
        <v>229899</v>
      </c>
      <c r="E226" s="208">
        <v>0</v>
      </c>
      <c r="F226" s="208">
        <v>229899</v>
      </c>
      <c r="G226" s="208">
        <v>135098</v>
      </c>
      <c r="H226" s="208">
        <v>0</v>
      </c>
      <c r="I226" s="208">
        <v>135098</v>
      </c>
      <c r="J226" s="208">
        <v>94801</v>
      </c>
      <c r="K226" s="208">
        <v>0</v>
      </c>
      <c r="L226" s="208">
        <v>94801</v>
      </c>
      <c r="M226" s="208">
        <v>119115</v>
      </c>
      <c r="N226" s="208">
        <v>119115</v>
      </c>
      <c r="O226" s="208">
        <v>0</v>
      </c>
      <c r="P226" s="208">
        <v>0</v>
      </c>
      <c r="Q226" s="208">
        <v>0</v>
      </c>
      <c r="R226" s="208">
        <v>0</v>
      </c>
      <c r="S226" s="208">
        <v>0</v>
      </c>
      <c r="T226" s="208">
        <v>0</v>
      </c>
      <c r="U226" s="208">
        <v>0</v>
      </c>
      <c r="V226" s="208">
        <v>0</v>
      </c>
      <c r="W226" s="208">
        <v>0</v>
      </c>
      <c r="X226" s="208">
        <v>0</v>
      </c>
      <c r="Y226" s="208">
        <v>0</v>
      </c>
      <c r="Z226" s="208">
        <v>0</v>
      </c>
      <c r="AA226" s="208">
        <v>0</v>
      </c>
      <c r="AB226" s="208">
        <v>0</v>
      </c>
      <c r="AC226" s="208">
        <v>0</v>
      </c>
      <c r="AD226" s="208">
        <v>0</v>
      </c>
      <c r="AE226" s="208">
        <v>0</v>
      </c>
      <c r="AF226" s="208">
        <v>0</v>
      </c>
      <c r="AG226" s="208">
        <v>0</v>
      </c>
      <c r="AH226" s="208">
        <v>0</v>
      </c>
      <c r="AI226" s="208">
        <v>0</v>
      </c>
      <c r="AJ226" s="208">
        <v>0</v>
      </c>
      <c r="AK226" s="208">
        <v>0</v>
      </c>
      <c r="AL226" s="208">
        <v>0</v>
      </c>
      <c r="AM226" s="208">
        <v>0</v>
      </c>
      <c r="AN226" s="208">
        <v>0</v>
      </c>
      <c r="AO226" s="208">
        <v>0</v>
      </c>
      <c r="AP226" s="208">
        <v>0</v>
      </c>
      <c r="AQ226" s="208">
        <v>0</v>
      </c>
      <c r="AR226" s="208">
        <v>0</v>
      </c>
      <c r="AS226" s="208">
        <v>0</v>
      </c>
      <c r="AT226" s="208">
        <v>0</v>
      </c>
      <c r="AU226" s="208">
        <v>0</v>
      </c>
      <c r="AV226" s="208">
        <v>0</v>
      </c>
      <c r="AW226" s="208">
        <v>0</v>
      </c>
      <c r="AX226" s="208">
        <v>0</v>
      </c>
      <c r="AY226" s="208">
        <v>0</v>
      </c>
      <c r="AZ226" s="208">
        <v>0</v>
      </c>
      <c r="BA226" s="208">
        <v>0</v>
      </c>
      <c r="BB226" s="208">
        <v>0</v>
      </c>
      <c r="BC226" s="208">
        <v>0</v>
      </c>
      <c r="BD226" s="208">
        <v>0</v>
      </c>
      <c r="BE226" s="208">
        <v>0</v>
      </c>
      <c r="BF226" s="208">
        <v>0</v>
      </c>
      <c r="BG226" s="208">
        <v>0</v>
      </c>
      <c r="BH226" s="208">
        <v>0</v>
      </c>
      <c r="BI226" s="208">
        <v>0</v>
      </c>
      <c r="BJ226" s="208">
        <v>0</v>
      </c>
      <c r="BK226" s="208">
        <v>0</v>
      </c>
      <c r="BL226" s="208">
        <v>0</v>
      </c>
      <c r="BM226" s="208">
        <v>0</v>
      </c>
      <c r="BN226" s="208">
        <v>0</v>
      </c>
      <c r="BO226" s="208">
        <v>652219.90687416669</v>
      </c>
      <c r="BP226" s="208">
        <v>146749.47904668748</v>
      </c>
      <c r="BQ226" s="208">
        <v>16305.497671854166</v>
      </c>
      <c r="BR226" s="208">
        <v>68395</v>
      </c>
      <c r="BS226" s="208">
        <v>15389</v>
      </c>
      <c r="BT226" s="208">
        <v>1710</v>
      </c>
      <c r="BU226" s="208">
        <v>617396</v>
      </c>
      <c r="BV226" s="208">
        <v>138914</v>
      </c>
      <c r="BW226" s="208">
        <v>15435</v>
      </c>
      <c r="BX226" s="208">
        <v>103219</v>
      </c>
      <c r="BY226" s="208">
        <v>23224</v>
      </c>
      <c r="BZ226" s="208">
        <v>2580</v>
      </c>
      <c r="CA226" s="208">
        <v>2862.5299999999997</v>
      </c>
      <c r="CB226" s="208">
        <v>644.0692499999999</v>
      </c>
      <c r="CC226" s="208">
        <v>71.563249999999996</v>
      </c>
      <c r="CD226" s="208">
        <v>1408</v>
      </c>
      <c r="CE226" s="208">
        <v>317</v>
      </c>
      <c r="CF226" s="208">
        <v>35</v>
      </c>
      <c r="CG226" s="208">
        <v>1455</v>
      </c>
      <c r="CH226" s="208">
        <v>327</v>
      </c>
      <c r="CI226" s="208">
        <v>37</v>
      </c>
      <c r="CJ226" s="208">
        <v>0</v>
      </c>
      <c r="CK226" s="208">
        <v>0</v>
      </c>
      <c r="CL226" s="208">
        <v>0</v>
      </c>
      <c r="CM226" s="208">
        <v>0</v>
      </c>
      <c r="CN226" s="208">
        <v>0</v>
      </c>
      <c r="CO226" s="208">
        <v>0</v>
      </c>
      <c r="CP226" s="208">
        <v>-85.925000000000011</v>
      </c>
      <c r="CQ226" s="208">
        <v>-19.333124999999999</v>
      </c>
      <c r="CR226" s="208">
        <v>-2.1481249999999998</v>
      </c>
      <c r="CS226" s="208">
        <v>0</v>
      </c>
      <c r="CT226" s="208">
        <v>0</v>
      </c>
      <c r="CU226" s="208">
        <v>0</v>
      </c>
      <c r="CV226" s="208">
        <v>0</v>
      </c>
      <c r="CW226" s="208">
        <v>0</v>
      </c>
      <c r="CX226" s="208">
        <v>0</v>
      </c>
      <c r="CY226" s="208">
        <v>0</v>
      </c>
      <c r="CZ226" s="208">
        <v>0</v>
      </c>
      <c r="DA226" s="208">
        <v>0</v>
      </c>
      <c r="DB226" s="208">
        <v>0</v>
      </c>
      <c r="DC226" s="208">
        <v>0</v>
      </c>
      <c r="DD226" s="208">
        <v>0</v>
      </c>
      <c r="DE226" s="208">
        <v>0</v>
      </c>
      <c r="DF226" s="208">
        <v>0</v>
      </c>
      <c r="DG226" s="208">
        <v>0</v>
      </c>
      <c r="DH226" s="208">
        <v>0</v>
      </c>
      <c r="DI226" s="208">
        <v>0</v>
      </c>
      <c r="DJ226" s="208">
        <v>0</v>
      </c>
      <c r="DK226" s="208">
        <v>0</v>
      </c>
      <c r="DL226" s="208">
        <v>0</v>
      </c>
      <c r="DM226" s="208">
        <v>0</v>
      </c>
      <c r="DN226" s="208">
        <v>0</v>
      </c>
      <c r="DO226" s="208">
        <v>0</v>
      </c>
      <c r="DP226" s="208">
        <v>0</v>
      </c>
      <c r="DQ226" s="208">
        <v>0</v>
      </c>
      <c r="DR226" s="208">
        <v>0</v>
      </c>
      <c r="DS226" s="208">
        <v>0</v>
      </c>
      <c r="DT226" s="208">
        <v>0</v>
      </c>
      <c r="DU226" s="208">
        <v>0</v>
      </c>
      <c r="DV226" s="208">
        <v>0</v>
      </c>
      <c r="DW226" s="208">
        <v>14760.6875</v>
      </c>
      <c r="DX226" s="208">
        <v>3321.1546874999995</v>
      </c>
      <c r="DY226" s="208">
        <v>369.01718749999998</v>
      </c>
      <c r="DZ226" s="208">
        <v>9329</v>
      </c>
      <c r="EA226" s="208">
        <v>2099</v>
      </c>
      <c r="EB226" s="208">
        <v>233</v>
      </c>
      <c r="EC226" s="208">
        <v>5432</v>
      </c>
      <c r="ED226" s="208">
        <v>1222</v>
      </c>
      <c r="EE226" s="208">
        <v>136</v>
      </c>
      <c r="EF226" s="208">
        <v>61356.178333333337</v>
      </c>
      <c r="EG226" s="208">
        <v>13805.140125</v>
      </c>
      <c r="EH226" s="208">
        <v>1533.9044583333334</v>
      </c>
      <c r="EI226" s="208">
        <v>-51.325866666666663</v>
      </c>
      <c r="EJ226" s="208">
        <v>-11.548319999999999</v>
      </c>
      <c r="EK226" s="208">
        <v>-1.2831466666666667</v>
      </c>
      <c r="EL226" s="208">
        <v>61784</v>
      </c>
      <c r="EM226" s="208">
        <v>13901</v>
      </c>
      <c r="EN226" s="208">
        <v>1545</v>
      </c>
      <c r="EO226" s="208">
        <v>-479</v>
      </c>
      <c r="EP226" s="208">
        <v>-107</v>
      </c>
      <c r="EQ226" s="208">
        <v>-12</v>
      </c>
      <c r="ER226" s="208">
        <v>8252.8916666666664</v>
      </c>
      <c r="ES226" s="208">
        <v>1856.900625</v>
      </c>
      <c r="ET226" s="208">
        <v>206.32229166666667</v>
      </c>
      <c r="EU226" s="208">
        <v>6956</v>
      </c>
      <c r="EV226" s="208">
        <v>1565</v>
      </c>
      <c r="EW226" s="208">
        <v>174</v>
      </c>
      <c r="EX226" s="208">
        <v>1297</v>
      </c>
      <c r="EY226" s="208">
        <v>292</v>
      </c>
      <c r="EZ226" s="208">
        <v>32</v>
      </c>
      <c r="FA226" s="208">
        <v>0</v>
      </c>
      <c r="FB226" s="208">
        <v>0</v>
      </c>
      <c r="FC226" s="208">
        <v>0</v>
      </c>
      <c r="FD226" s="208">
        <v>0</v>
      </c>
      <c r="FE226" s="208">
        <v>0</v>
      </c>
      <c r="FF226" s="208">
        <v>0</v>
      </c>
      <c r="FG226" s="208">
        <v>0</v>
      </c>
      <c r="FH226" s="208">
        <v>0</v>
      </c>
      <c r="FI226" s="208">
        <v>0</v>
      </c>
      <c r="FJ226" s="208">
        <v>441058.06249999994</v>
      </c>
      <c r="FK226" s="208">
        <v>99238.064062499994</v>
      </c>
      <c r="FL226" s="208">
        <v>11026.451562499999</v>
      </c>
      <c r="FM226" s="208">
        <v>453693</v>
      </c>
      <c r="FN226" s="208">
        <v>102081</v>
      </c>
      <c r="FO226" s="208">
        <v>11342</v>
      </c>
      <c r="FP226" s="208">
        <v>-12635</v>
      </c>
      <c r="FQ226" s="208">
        <v>-2843</v>
      </c>
      <c r="FR226" s="208">
        <v>-316</v>
      </c>
      <c r="FS226" s="208">
        <v>0</v>
      </c>
      <c r="FT226" s="208">
        <v>0</v>
      </c>
      <c r="FU226" s="208">
        <v>0</v>
      </c>
      <c r="FV226" s="208">
        <v>0</v>
      </c>
      <c r="FW226" s="208">
        <v>0</v>
      </c>
      <c r="FX226" s="208">
        <v>0</v>
      </c>
      <c r="FY226" s="208">
        <v>0</v>
      </c>
      <c r="FZ226" s="208">
        <v>0</v>
      </c>
      <c r="GA226" s="208">
        <v>0</v>
      </c>
      <c r="GB226" s="208">
        <v>1248769</v>
      </c>
      <c r="GC226" s="208">
        <v>280972</v>
      </c>
      <c r="GD226" s="208">
        <v>31219</v>
      </c>
      <c r="GE226" s="664">
        <v>0.5</v>
      </c>
      <c r="GF226" s="664">
        <v>0.4</v>
      </c>
      <c r="GG226" s="664">
        <v>0.09</v>
      </c>
      <c r="GH226" s="664">
        <v>0.01</v>
      </c>
      <c r="GI226" s="187" t="s">
        <v>1054</v>
      </c>
    </row>
    <row r="227" spans="1:191" s="187" customFormat="1" x14ac:dyDescent="0.2">
      <c r="B227" s="429" t="s">
        <v>531</v>
      </c>
      <c r="C227" s="429" t="s">
        <v>530</v>
      </c>
      <c r="D227" s="208">
        <v>533230</v>
      </c>
      <c r="E227" s="208">
        <v>0</v>
      </c>
      <c r="F227" s="208">
        <v>533230</v>
      </c>
      <c r="G227" s="208">
        <v>538162</v>
      </c>
      <c r="H227" s="208">
        <v>0</v>
      </c>
      <c r="I227" s="208">
        <v>538162</v>
      </c>
      <c r="J227" s="208">
        <v>-4932</v>
      </c>
      <c r="K227" s="208">
        <v>0</v>
      </c>
      <c r="L227" s="208">
        <v>-4932</v>
      </c>
      <c r="M227" s="208">
        <v>57760</v>
      </c>
      <c r="N227" s="208">
        <v>57760</v>
      </c>
      <c r="O227" s="208">
        <v>0</v>
      </c>
      <c r="P227" s="208">
        <v>0</v>
      </c>
      <c r="Q227" s="208">
        <v>0</v>
      </c>
      <c r="R227" s="208">
        <v>0</v>
      </c>
      <c r="S227" s="208">
        <v>44576</v>
      </c>
      <c r="T227" s="208">
        <v>0</v>
      </c>
      <c r="U227" s="208">
        <v>44577</v>
      </c>
      <c r="V227" s="208">
        <v>0</v>
      </c>
      <c r="W227" s="208">
        <v>-1</v>
      </c>
      <c r="X227" s="208">
        <v>0</v>
      </c>
      <c r="Y227" s="208">
        <v>0</v>
      </c>
      <c r="Z227" s="208">
        <v>0</v>
      </c>
      <c r="AA227" s="208">
        <v>0</v>
      </c>
      <c r="AB227" s="208">
        <v>0</v>
      </c>
      <c r="AC227" s="208">
        <v>0</v>
      </c>
      <c r="AD227" s="208">
        <v>0</v>
      </c>
      <c r="AE227" s="208">
        <v>0</v>
      </c>
      <c r="AF227" s="208">
        <v>0</v>
      </c>
      <c r="AG227" s="208">
        <v>0</v>
      </c>
      <c r="AH227" s="208">
        <v>0</v>
      </c>
      <c r="AI227" s="208">
        <v>0</v>
      </c>
      <c r="AJ227" s="208">
        <v>0</v>
      </c>
      <c r="AK227" s="208">
        <v>0</v>
      </c>
      <c r="AL227" s="208">
        <v>0</v>
      </c>
      <c r="AM227" s="208">
        <v>0</v>
      </c>
      <c r="AN227" s="208">
        <v>0</v>
      </c>
      <c r="AO227" s="208">
        <v>0</v>
      </c>
      <c r="AP227" s="208">
        <v>0</v>
      </c>
      <c r="AQ227" s="208">
        <v>0</v>
      </c>
      <c r="AR227" s="208">
        <v>0</v>
      </c>
      <c r="AS227" s="208">
        <v>0</v>
      </c>
      <c r="AT227" s="208">
        <v>0</v>
      </c>
      <c r="AU227" s="208">
        <v>0</v>
      </c>
      <c r="AV227" s="208">
        <v>0</v>
      </c>
      <c r="AW227" s="208">
        <v>0</v>
      </c>
      <c r="AX227" s="208">
        <v>0</v>
      </c>
      <c r="AY227" s="208">
        <v>0</v>
      </c>
      <c r="AZ227" s="208">
        <v>0</v>
      </c>
      <c r="BA227" s="208">
        <v>0</v>
      </c>
      <c r="BB227" s="208">
        <v>0</v>
      </c>
      <c r="BC227" s="208">
        <v>0</v>
      </c>
      <c r="BD227" s="208">
        <v>0</v>
      </c>
      <c r="BE227" s="208">
        <v>0</v>
      </c>
      <c r="BF227" s="208">
        <v>0</v>
      </c>
      <c r="BG227" s="208">
        <v>0</v>
      </c>
      <c r="BH227" s="208">
        <v>0</v>
      </c>
      <c r="BI227" s="208">
        <v>0</v>
      </c>
      <c r="BJ227" s="208">
        <v>0</v>
      </c>
      <c r="BK227" s="208">
        <v>0</v>
      </c>
      <c r="BL227" s="208">
        <v>0</v>
      </c>
      <c r="BM227" s="208">
        <v>0</v>
      </c>
      <c r="BN227" s="208">
        <v>0</v>
      </c>
      <c r="BO227" s="208">
        <v>599923.32481958333</v>
      </c>
      <c r="BP227" s="208">
        <v>0</v>
      </c>
      <c r="BQ227" s="208">
        <v>12243.333159583337</v>
      </c>
      <c r="BR227" s="208">
        <v>27318</v>
      </c>
      <c r="BS227" s="208">
        <v>0</v>
      </c>
      <c r="BT227" s="208">
        <v>558</v>
      </c>
      <c r="BU227" s="208">
        <v>532287</v>
      </c>
      <c r="BV227" s="208">
        <v>0</v>
      </c>
      <c r="BW227" s="208">
        <v>10863</v>
      </c>
      <c r="BX227" s="208">
        <v>94954</v>
      </c>
      <c r="BY227" s="208">
        <v>0</v>
      </c>
      <c r="BZ227" s="208">
        <v>1938</v>
      </c>
      <c r="CA227" s="208">
        <v>1477.6235833333333</v>
      </c>
      <c r="CB227" s="208">
        <v>0</v>
      </c>
      <c r="CC227" s="208">
        <v>30.155583333333336</v>
      </c>
      <c r="CD227" s="208">
        <v>0</v>
      </c>
      <c r="CE227" s="208">
        <v>0</v>
      </c>
      <c r="CF227" s="208">
        <v>0</v>
      </c>
      <c r="CG227" s="208">
        <v>1478</v>
      </c>
      <c r="CH227" s="208">
        <v>0</v>
      </c>
      <c r="CI227" s="208">
        <v>30</v>
      </c>
      <c r="CJ227" s="208">
        <v>0</v>
      </c>
      <c r="CK227" s="208">
        <v>0</v>
      </c>
      <c r="CL227" s="208">
        <v>0</v>
      </c>
      <c r="CM227" s="208">
        <v>0</v>
      </c>
      <c r="CN227" s="208">
        <v>0</v>
      </c>
      <c r="CO227" s="208">
        <v>0</v>
      </c>
      <c r="CP227" s="208">
        <v>0</v>
      </c>
      <c r="CQ227" s="208">
        <v>0</v>
      </c>
      <c r="CR227" s="208">
        <v>0</v>
      </c>
      <c r="CS227" s="208">
        <v>0</v>
      </c>
      <c r="CT227" s="208">
        <v>0</v>
      </c>
      <c r="CU227" s="208">
        <v>0</v>
      </c>
      <c r="CV227" s="208">
        <v>0</v>
      </c>
      <c r="CW227" s="208">
        <v>0</v>
      </c>
      <c r="CX227" s="208">
        <v>0</v>
      </c>
      <c r="CY227" s="208">
        <v>0</v>
      </c>
      <c r="CZ227" s="208">
        <v>0</v>
      </c>
      <c r="DA227" s="208">
        <v>0</v>
      </c>
      <c r="DB227" s="208">
        <v>0</v>
      </c>
      <c r="DC227" s="208">
        <v>0</v>
      </c>
      <c r="DD227" s="208">
        <v>0</v>
      </c>
      <c r="DE227" s="208">
        <v>0</v>
      </c>
      <c r="DF227" s="208">
        <v>0</v>
      </c>
      <c r="DG227" s="208">
        <v>0</v>
      </c>
      <c r="DH227" s="208">
        <v>4945</v>
      </c>
      <c r="DI227" s="208">
        <v>0</v>
      </c>
      <c r="DJ227" s="208">
        <v>101</v>
      </c>
      <c r="DK227" s="208">
        <v>-4945</v>
      </c>
      <c r="DL227" s="208">
        <v>0</v>
      </c>
      <c r="DM227" s="208">
        <v>-101</v>
      </c>
      <c r="DN227" s="208">
        <v>0</v>
      </c>
      <c r="DO227" s="208">
        <v>0</v>
      </c>
      <c r="DP227" s="208">
        <v>0</v>
      </c>
      <c r="DQ227" s="208">
        <v>0</v>
      </c>
      <c r="DR227" s="208">
        <v>0</v>
      </c>
      <c r="DS227" s="208">
        <v>0</v>
      </c>
      <c r="DT227" s="208">
        <v>0</v>
      </c>
      <c r="DU227" s="208">
        <v>0</v>
      </c>
      <c r="DV227" s="208">
        <v>0</v>
      </c>
      <c r="DW227" s="208">
        <v>9394.0370416666665</v>
      </c>
      <c r="DX227" s="208">
        <v>0</v>
      </c>
      <c r="DY227" s="208">
        <v>191.71504166666665</v>
      </c>
      <c r="DZ227" s="208">
        <v>11732</v>
      </c>
      <c r="EA227" s="208">
        <v>0</v>
      </c>
      <c r="EB227" s="208">
        <v>239</v>
      </c>
      <c r="EC227" s="208">
        <v>-2338</v>
      </c>
      <c r="ED227" s="208">
        <v>0</v>
      </c>
      <c r="EE227" s="208">
        <v>-47</v>
      </c>
      <c r="EF227" s="208">
        <v>46613.811270833328</v>
      </c>
      <c r="EG227" s="208">
        <v>0</v>
      </c>
      <c r="EH227" s="208">
        <v>951.3022708333333</v>
      </c>
      <c r="EI227" s="208">
        <v>882.66456249999999</v>
      </c>
      <c r="EJ227" s="208">
        <v>0</v>
      </c>
      <c r="EK227" s="208">
        <v>18.013562500000003</v>
      </c>
      <c r="EL227" s="208">
        <v>46615</v>
      </c>
      <c r="EM227" s="208">
        <v>0</v>
      </c>
      <c r="EN227" s="208">
        <v>951</v>
      </c>
      <c r="EO227" s="208">
        <v>881</v>
      </c>
      <c r="EP227" s="208">
        <v>0</v>
      </c>
      <c r="EQ227" s="208">
        <v>18</v>
      </c>
      <c r="ER227" s="208">
        <v>12192.900708333334</v>
      </c>
      <c r="ES227" s="208">
        <v>0</v>
      </c>
      <c r="ET227" s="208">
        <v>248.83470833333334</v>
      </c>
      <c r="EU227" s="208">
        <v>13779</v>
      </c>
      <c r="EV227" s="208">
        <v>0</v>
      </c>
      <c r="EW227" s="208">
        <v>281</v>
      </c>
      <c r="EX227" s="208">
        <v>-1586</v>
      </c>
      <c r="EY227" s="208">
        <v>0</v>
      </c>
      <c r="EZ227" s="208">
        <v>-32</v>
      </c>
      <c r="FA227" s="208">
        <v>0</v>
      </c>
      <c r="FB227" s="208">
        <v>0</v>
      </c>
      <c r="FC227" s="208">
        <v>0</v>
      </c>
      <c r="FD227" s="208">
        <v>0</v>
      </c>
      <c r="FE227" s="208">
        <v>0</v>
      </c>
      <c r="FF227" s="208">
        <v>0</v>
      </c>
      <c r="FG227" s="208">
        <v>0</v>
      </c>
      <c r="FH227" s="208">
        <v>0</v>
      </c>
      <c r="FI227" s="208">
        <v>0</v>
      </c>
      <c r="FJ227" s="208">
        <v>127108.34354166665</v>
      </c>
      <c r="FK227" s="208">
        <v>0</v>
      </c>
      <c r="FL227" s="208">
        <v>2573.2002083333332</v>
      </c>
      <c r="FM227" s="208">
        <v>127094</v>
      </c>
      <c r="FN227" s="208">
        <v>0</v>
      </c>
      <c r="FO227" s="208">
        <v>2573</v>
      </c>
      <c r="FP227" s="208">
        <v>14</v>
      </c>
      <c r="FQ227" s="208">
        <v>0</v>
      </c>
      <c r="FR227" s="208">
        <v>0</v>
      </c>
      <c r="FS227" s="208">
        <v>0</v>
      </c>
      <c r="FT227" s="208">
        <v>0</v>
      </c>
      <c r="FU227" s="208">
        <v>0</v>
      </c>
      <c r="FV227" s="208">
        <v>0</v>
      </c>
      <c r="FW227" s="208">
        <v>0</v>
      </c>
      <c r="FX227" s="208">
        <v>0</v>
      </c>
      <c r="FY227" s="208">
        <v>0</v>
      </c>
      <c r="FZ227" s="208">
        <v>0</v>
      </c>
      <c r="GA227" s="208">
        <v>0</v>
      </c>
      <c r="GB227" s="208">
        <v>824911</v>
      </c>
      <c r="GC227" s="208">
        <v>0</v>
      </c>
      <c r="GD227" s="208">
        <v>16814</v>
      </c>
      <c r="GE227" s="664">
        <v>0.5</v>
      </c>
      <c r="GF227" s="664">
        <v>0.49</v>
      </c>
      <c r="GG227" s="664">
        <v>0</v>
      </c>
      <c r="GH227" s="664">
        <v>0.01</v>
      </c>
      <c r="GI227" s="187" t="s">
        <v>742</v>
      </c>
    </row>
    <row r="228" spans="1:191" s="187" customFormat="1" x14ac:dyDescent="0.2">
      <c r="B228" s="429" t="s">
        <v>533</v>
      </c>
      <c r="C228" s="429" t="s">
        <v>532</v>
      </c>
      <c r="D228" s="208">
        <v>473998</v>
      </c>
      <c r="E228" s="208">
        <v>0</v>
      </c>
      <c r="F228" s="208">
        <v>473998</v>
      </c>
      <c r="G228" s="208">
        <v>744000</v>
      </c>
      <c r="H228" s="208">
        <v>0</v>
      </c>
      <c r="I228" s="208">
        <v>744000</v>
      </c>
      <c r="J228" s="208">
        <v>-270002</v>
      </c>
      <c r="K228" s="208">
        <v>0</v>
      </c>
      <c r="L228" s="208">
        <v>-270002</v>
      </c>
      <c r="M228" s="208">
        <v>109934</v>
      </c>
      <c r="N228" s="208">
        <v>109934</v>
      </c>
      <c r="O228" s="208">
        <v>0</v>
      </c>
      <c r="P228" s="208">
        <v>0</v>
      </c>
      <c r="Q228" s="208">
        <v>0</v>
      </c>
      <c r="R228" s="208">
        <v>0</v>
      </c>
      <c r="S228" s="208">
        <v>26950</v>
      </c>
      <c r="T228" s="208">
        <v>0</v>
      </c>
      <c r="U228" s="208">
        <v>31120</v>
      </c>
      <c r="V228" s="208">
        <v>0</v>
      </c>
      <c r="W228" s="208">
        <v>-4170</v>
      </c>
      <c r="X228" s="208">
        <v>0</v>
      </c>
      <c r="Y228" s="208">
        <v>0</v>
      </c>
      <c r="Z228" s="208">
        <v>0</v>
      </c>
      <c r="AA228" s="208">
        <v>0</v>
      </c>
      <c r="AB228" s="208">
        <v>0</v>
      </c>
      <c r="AC228" s="208">
        <v>0</v>
      </c>
      <c r="AD228" s="208">
        <v>0</v>
      </c>
      <c r="AE228" s="208">
        <v>0</v>
      </c>
      <c r="AF228" s="208">
        <v>0</v>
      </c>
      <c r="AG228" s="208">
        <v>0</v>
      </c>
      <c r="AH228" s="208">
        <v>0</v>
      </c>
      <c r="AI228" s="208">
        <v>0</v>
      </c>
      <c r="AJ228" s="208">
        <v>0</v>
      </c>
      <c r="AK228" s="208">
        <v>0</v>
      </c>
      <c r="AL228" s="208">
        <v>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0</v>
      </c>
      <c r="BM228" s="208">
        <v>0</v>
      </c>
      <c r="BN228" s="208">
        <v>0</v>
      </c>
      <c r="BO228" s="208">
        <v>917234.50179166684</v>
      </c>
      <c r="BP228" s="208">
        <v>206377.762903125</v>
      </c>
      <c r="BQ228" s="208">
        <v>22930.862544791667</v>
      </c>
      <c r="BR228" s="208">
        <v>46298</v>
      </c>
      <c r="BS228" s="208">
        <v>10417</v>
      </c>
      <c r="BT228" s="208">
        <v>1157</v>
      </c>
      <c r="BU228" s="208">
        <v>975420</v>
      </c>
      <c r="BV228" s="208">
        <v>219470</v>
      </c>
      <c r="BW228" s="208">
        <v>24386</v>
      </c>
      <c r="BX228" s="208">
        <v>-11887</v>
      </c>
      <c r="BY228" s="208">
        <v>-2675</v>
      </c>
      <c r="BZ228" s="208">
        <v>-298</v>
      </c>
      <c r="CA228" s="208">
        <v>6417.7791666666672</v>
      </c>
      <c r="CB228" s="208">
        <v>1444.0003125000001</v>
      </c>
      <c r="CC228" s="208">
        <v>160.4444791666667</v>
      </c>
      <c r="CD228" s="208">
        <v>6138</v>
      </c>
      <c r="CE228" s="208">
        <v>1381</v>
      </c>
      <c r="CF228" s="208">
        <v>153</v>
      </c>
      <c r="CG228" s="208">
        <v>280</v>
      </c>
      <c r="CH228" s="208">
        <v>63</v>
      </c>
      <c r="CI228" s="208">
        <v>7</v>
      </c>
      <c r="CJ228" s="208">
        <v>0</v>
      </c>
      <c r="CK228" s="208">
        <v>0</v>
      </c>
      <c r="CL228" s="208">
        <v>0</v>
      </c>
      <c r="CM228" s="208">
        <v>0</v>
      </c>
      <c r="CN228" s="208">
        <v>0</v>
      </c>
      <c r="CO228" s="208">
        <v>0</v>
      </c>
      <c r="CP228" s="208">
        <v>-1022.9166666666666</v>
      </c>
      <c r="CQ228" s="208">
        <v>-230.15624999999997</v>
      </c>
      <c r="CR228" s="208">
        <v>-25.572916666666664</v>
      </c>
      <c r="CS228" s="208">
        <v>0</v>
      </c>
      <c r="CT228" s="208">
        <v>0</v>
      </c>
      <c r="CU228" s="208">
        <v>0</v>
      </c>
      <c r="CV228" s="208">
        <v>0</v>
      </c>
      <c r="CW228" s="208">
        <v>0</v>
      </c>
      <c r="CX228" s="208">
        <v>0</v>
      </c>
      <c r="CY228" s="208">
        <v>0</v>
      </c>
      <c r="CZ228" s="208">
        <v>0</v>
      </c>
      <c r="DA228" s="208">
        <v>0</v>
      </c>
      <c r="DB228" s="208">
        <v>0</v>
      </c>
      <c r="DC228" s="208">
        <v>0</v>
      </c>
      <c r="DD228" s="208">
        <v>0</v>
      </c>
      <c r="DE228" s="208">
        <v>13639.161666666667</v>
      </c>
      <c r="DF228" s="208">
        <v>3068.8113749999993</v>
      </c>
      <c r="DG228" s="208">
        <v>340.9790416666666</v>
      </c>
      <c r="DH228" s="208">
        <v>16776</v>
      </c>
      <c r="DI228" s="208">
        <v>3775</v>
      </c>
      <c r="DJ228" s="208">
        <v>419</v>
      </c>
      <c r="DK228" s="208">
        <v>-3137</v>
      </c>
      <c r="DL228" s="208">
        <v>-706</v>
      </c>
      <c r="DM228" s="208">
        <v>-78</v>
      </c>
      <c r="DN228" s="208">
        <v>613.75</v>
      </c>
      <c r="DO228" s="208">
        <v>138.09375</v>
      </c>
      <c r="DP228" s="208">
        <v>15.34375</v>
      </c>
      <c r="DQ228" s="208">
        <v>614</v>
      </c>
      <c r="DR228" s="208">
        <v>138</v>
      </c>
      <c r="DS228" s="208">
        <v>15</v>
      </c>
      <c r="DT228" s="208">
        <v>0</v>
      </c>
      <c r="DU228" s="208">
        <v>0</v>
      </c>
      <c r="DV228" s="208">
        <v>0</v>
      </c>
      <c r="DW228" s="208">
        <v>12979.994166666667</v>
      </c>
      <c r="DX228" s="208">
        <v>2920.4986875</v>
      </c>
      <c r="DY228" s="208">
        <v>324.49985416666669</v>
      </c>
      <c r="DZ228" s="208">
        <v>7119</v>
      </c>
      <c r="EA228" s="208">
        <v>1602</v>
      </c>
      <c r="EB228" s="208">
        <v>178</v>
      </c>
      <c r="EC228" s="208">
        <v>5861</v>
      </c>
      <c r="ED228" s="208">
        <v>1318</v>
      </c>
      <c r="EE228" s="208">
        <v>146</v>
      </c>
      <c r="EF228" s="208">
        <v>43107.345000000001</v>
      </c>
      <c r="EG228" s="208">
        <v>9699.1526250000006</v>
      </c>
      <c r="EH228" s="208">
        <v>1077.6836250000001</v>
      </c>
      <c r="EI228" s="208">
        <v>2.4550000000000001</v>
      </c>
      <c r="EJ228" s="208">
        <v>0.55237499999999995</v>
      </c>
      <c r="EK228" s="208">
        <v>6.1375000000000006E-2</v>
      </c>
      <c r="EL228" s="208">
        <v>44599</v>
      </c>
      <c r="EM228" s="208">
        <v>10035</v>
      </c>
      <c r="EN228" s="208">
        <v>1115</v>
      </c>
      <c r="EO228" s="208">
        <v>-1489</v>
      </c>
      <c r="EP228" s="208">
        <v>-335</v>
      </c>
      <c r="EQ228" s="208">
        <v>-37</v>
      </c>
      <c r="ER228" s="208">
        <v>20422.326666666668</v>
      </c>
      <c r="ES228" s="208">
        <v>4595.0234999999993</v>
      </c>
      <c r="ET228" s="208">
        <v>510.55816666666669</v>
      </c>
      <c r="EU228" s="208">
        <v>23322</v>
      </c>
      <c r="EV228" s="208">
        <v>5248</v>
      </c>
      <c r="EW228" s="208">
        <v>583</v>
      </c>
      <c r="EX228" s="208">
        <v>-2900</v>
      </c>
      <c r="EY228" s="208">
        <v>-653</v>
      </c>
      <c r="EZ228" s="208">
        <v>-72</v>
      </c>
      <c r="FA228" s="208">
        <v>0</v>
      </c>
      <c r="FB228" s="208">
        <v>0</v>
      </c>
      <c r="FC228" s="208">
        <v>0</v>
      </c>
      <c r="FD228" s="208">
        <v>0</v>
      </c>
      <c r="FE228" s="208">
        <v>0</v>
      </c>
      <c r="FF228" s="208">
        <v>0</v>
      </c>
      <c r="FG228" s="208">
        <v>0</v>
      </c>
      <c r="FH228" s="208">
        <v>0</v>
      </c>
      <c r="FI228" s="208">
        <v>0</v>
      </c>
      <c r="FJ228" s="208">
        <v>161797.28583333333</v>
      </c>
      <c r="FK228" s="208">
        <v>36265.428374999996</v>
      </c>
      <c r="FL228" s="208">
        <v>4029.4920416666664</v>
      </c>
      <c r="FM228" s="208">
        <v>158784</v>
      </c>
      <c r="FN228" s="208">
        <v>35566</v>
      </c>
      <c r="FO228" s="208">
        <v>3952</v>
      </c>
      <c r="FP228" s="208">
        <v>3013</v>
      </c>
      <c r="FQ228" s="208">
        <v>699</v>
      </c>
      <c r="FR228" s="208">
        <v>77</v>
      </c>
      <c r="FS228" s="208">
        <v>0</v>
      </c>
      <c r="FT228" s="208">
        <v>0</v>
      </c>
      <c r="FU228" s="208">
        <v>0</v>
      </c>
      <c r="FV228" s="208">
        <v>0</v>
      </c>
      <c r="FW228" s="208">
        <v>0</v>
      </c>
      <c r="FX228" s="208">
        <v>0</v>
      </c>
      <c r="FY228" s="208">
        <v>0</v>
      </c>
      <c r="FZ228" s="208">
        <v>0</v>
      </c>
      <c r="GA228" s="208">
        <v>0</v>
      </c>
      <c r="GB228" s="208">
        <v>1221489</v>
      </c>
      <c r="GC228" s="208">
        <v>274696</v>
      </c>
      <c r="GD228" s="208">
        <v>30520</v>
      </c>
      <c r="GE228" s="664">
        <v>0.5</v>
      </c>
      <c r="GF228" s="664">
        <v>0.4</v>
      </c>
      <c r="GG228" s="664">
        <v>0.09</v>
      </c>
      <c r="GH228" s="664">
        <v>0.01</v>
      </c>
      <c r="GI228" s="187" t="s">
        <v>1054</v>
      </c>
    </row>
    <row r="229" spans="1:191" s="187" customFormat="1" x14ac:dyDescent="0.2">
      <c r="B229" s="429" t="s">
        <v>535</v>
      </c>
      <c r="C229" s="429" t="s">
        <v>534</v>
      </c>
      <c r="D229" s="208">
        <v>-2329090</v>
      </c>
      <c r="E229" s="208">
        <v>0</v>
      </c>
      <c r="F229" s="208">
        <v>-2329090</v>
      </c>
      <c r="G229" s="208">
        <v>-4052721</v>
      </c>
      <c r="H229" s="208">
        <v>0</v>
      </c>
      <c r="I229" s="208">
        <v>-4052721</v>
      </c>
      <c r="J229" s="208">
        <v>1723631</v>
      </c>
      <c r="K229" s="208">
        <v>0</v>
      </c>
      <c r="L229" s="208">
        <v>1723631</v>
      </c>
      <c r="M229" s="208">
        <v>448986</v>
      </c>
      <c r="N229" s="208">
        <v>448986</v>
      </c>
      <c r="O229" s="208">
        <v>0</v>
      </c>
      <c r="P229" s="208">
        <v>0</v>
      </c>
      <c r="Q229" s="208">
        <v>0</v>
      </c>
      <c r="R229" s="208">
        <v>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0</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0</v>
      </c>
      <c r="BM229" s="208">
        <v>0</v>
      </c>
      <c r="BN229" s="208">
        <v>0</v>
      </c>
      <c r="BO229" s="208">
        <v>6167376.038661751</v>
      </c>
      <c r="BP229" s="208">
        <v>0</v>
      </c>
      <c r="BQ229" s="208">
        <v>62296.72766325</v>
      </c>
      <c r="BR229" s="208">
        <v>399035</v>
      </c>
      <c r="BS229" s="208">
        <v>0</v>
      </c>
      <c r="BT229" s="208">
        <v>4031</v>
      </c>
      <c r="BU229" s="208">
        <v>4954114</v>
      </c>
      <c r="BV229" s="208">
        <v>0</v>
      </c>
      <c r="BW229" s="208">
        <v>50042</v>
      </c>
      <c r="BX229" s="208">
        <v>1612297</v>
      </c>
      <c r="BY229" s="208">
        <v>0</v>
      </c>
      <c r="BZ229" s="208">
        <v>16286</v>
      </c>
      <c r="CA229" s="208">
        <v>18486.610312500001</v>
      </c>
      <c r="CB229" s="208">
        <v>0</v>
      </c>
      <c r="CC229" s="208">
        <v>186.73343750000001</v>
      </c>
      <c r="CD229" s="208">
        <v>0</v>
      </c>
      <c r="CE229" s="208">
        <v>0</v>
      </c>
      <c r="CF229" s="208">
        <v>0</v>
      </c>
      <c r="CG229" s="208">
        <v>18487</v>
      </c>
      <c r="CH229" s="208">
        <v>0</v>
      </c>
      <c r="CI229" s="208">
        <v>187</v>
      </c>
      <c r="CJ229" s="208">
        <v>-517.48331250000001</v>
      </c>
      <c r="CK229" s="208">
        <v>0</v>
      </c>
      <c r="CL229" s="208">
        <v>-5.2271041666666669</v>
      </c>
      <c r="CM229" s="208">
        <v>0</v>
      </c>
      <c r="CN229" s="208">
        <v>0</v>
      </c>
      <c r="CO229" s="208">
        <v>0</v>
      </c>
      <c r="CP229" s="208">
        <v>-10369.92</v>
      </c>
      <c r="CQ229" s="208">
        <v>0</v>
      </c>
      <c r="CR229" s="208">
        <v>-104.74666666666667</v>
      </c>
      <c r="CS229" s="208">
        <v>0</v>
      </c>
      <c r="CT229" s="208">
        <v>0</v>
      </c>
      <c r="CU229" s="208">
        <v>0</v>
      </c>
      <c r="CV229" s="208">
        <v>0</v>
      </c>
      <c r="CW229" s="208">
        <v>0</v>
      </c>
      <c r="CX229" s="208">
        <v>0</v>
      </c>
      <c r="CY229" s="208">
        <v>0</v>
      </c>
      <c r="CZ229" s="208">
        <v>0</v>
      </c>
      <c r="DA229" s="208">
        <v>0</v>
      </c>
      <c r="DB229" s="208">
        <v>0</v>
      </c>
      <c r="DC229" s="208">
        <v>0</v>
      </c>
      <c r="DD229" s="208">
        <v>0</v>
      </c>
      <c r="DE229" s="208">
        <v>0</v>
      </c>
      <c r="DF229" s="208">
        <v>0</v>
      </c>
      <c r="DG229" s="208">
        <v>0</v>
      </c>
      <c r="DH229" s="208">
        <v>0</v>
      </c>
      <c r="DI229" s="208">
        <v>0</v>
      </c>
      <c r="DJ229" s="208">
        <v>0</v>
      </c>
      <c r="DK229" s="208">
        <v>0</v>
      </c>
      <c r="DL229" s="208">
        <v>0</v>
      </c>
      <c r="DM229" s="208">
        <v>0</v>
      </c>
      <c r="DN229" s="208">
        <v>0</v>
      </c>
      <c r="DO229" s="208">
        <v>0</v>
      </c>
      <c r="DP229" s="208">
        <v>0</v>
      </c>
      <c r="DQ229" s="208">
        <v>0</v>
      </c>
      <c r="DR229" s="208">
        <v>0</v>
      </c>
      <c r="DS229" s="208">
        <v>0</v>
      </c>
      <c r="DT229" s="208">
        <v>0</v>
      </c>
      <c r="DU229" s="208">
        <v>0</v>
      </c>
      <c r="DV229" s="208">
        <v>0</v>
      </c>
      <c r="DW229" s="208">
        <v>7972.8886874999998</v>
      </c>
      <c r="DX229" s="208">
        <v>0</v>
      </c>
      <c r="DY229" s="208">
        <v>80.534229166666663</v>
      </c>
      <c r="DZ229" s="208">
        <v>8024</v>
      </c>
      <c r="EA229" s="208">
        <v>0</v>
      </c>
      <c r="EB229" s="208">
        <v>81</v>
      </c>
      <c r="EC229" s="208">
        <v>-51</v>
      </c>
      <c r="ED229" s="208">
        <v>0</v>
      </c>
      <c r="EE229" s="208">
        <v>0</v>
      </c>
      <c r="EF229" s="208">
        <v>124820.82318750001</v>
      </c>
      <c r="EG229" s="208">
        <v>0</v>
      </c>
      <c r="EH229" s="208">
        <v>1260.8163958333334</v>
      </c>
      <c r="EI229" s="208">
        <v>-8775.9498750000002</v>
      </c>
      <c r="EJ229" s="208">
        <v>0</v>
      </c>
      <c r="EK229" s="208">
        <v>-88.645958333333326</v>
      </c>
      <c r="EL229" s="208">
        <v>142789</v>
      </c>
      <c r="EM229" s="208">
        <v>0</v>
      </c>
      <c r="EN229" s="208">
        <v>1442</v>
      </c>
      <c r="EO229" s="208">
        <v>-26744</v>
      </c>
      <c r="EP229" s="208">
        <v>0</v>
      </c>
      <c r="EQ229" s="208">
        <v>-270</v>
      </c>
      <c r="ER229" s="208">
        <v>45179.027437499994</v>
      </c>
      <c r="ES229" s="208">
        <v>0</v>
      </c>
      <c r="ET229" s="208">
        <v>456.35381249999995</v>
      </c>
      <c r="EU229" s="208">
        <v>57644</v>
      </c>
      <c r="EV229" s="208">
        <v>0</v>
      </c>
      <c r="EW229" s="208">
        <v>582</v>
      </c>
      <c r="EX229" s="208">
        <v>-12465</v>
      </c>
      <c r="EY229" s="208">
        <v>0</v>
      </c>
      <c r="EZ229" s="208">
        <v>-126</v>
      </c>
      <c r="FA229" s="208">
        <v>0</v>
      </c>
      <c r="FB229" s="208">
        <v>0</v>
      </c>
      <c r="FC229" s="208">
        <v>0</v>
      </c>
      <c r="FD229" s="208">
        <v>0</v>
      </c>
      <c r="FE229" s="208">
        <v>0</v>
      </c>
      <c r="FF229" s="208">
        <v>0</v>
      </c>
      <c r="FG229" s="208">
        <v>0</v>
      </c>
      <c r="FH229" s="208">
        <v>0</v>
      </c>
      <c r="FI229" s="208">
        <v>0</v>
      </c>
      <c r="FJ229" s="208">
        <v>2043132.4773749998</v>
      </c>
      <c r="FK229" s="208">
        <v>0</v>
      </c>
      <c r="FL229" s="208">
        <v>20637.701791666666</v>
      </c>
      <c r="FM229" s="208">
        <v>2052953</v>
      </c>
      <c r="FN229" s="208">
        <v>0</v>
      </c>
      <c r="FO229" s="208">
        <v>20737</v>
      </c>
      <c r="FP229" s="208">
        <v>-9821</v>
      </c>
      <c r="FQ229" s="208">
        <v>0</v>
      </c>
      <c r="FR229" s="208">
        <v>-99</v>
      </c>
      <c r="FS229" s="208">
        <v>0</v>
      </c>
      <c r="FT229" s="208">
        <v>0</v>
      </c>
      <c r="FU229" s="208">
        <v>0</v>
      </c>
      <c r="FV229" s="208">
        <v>0</v>
      </c>
      <c r="FW229" s="208">
        <v>0</v>
      </c>
      <c r="FX229" s="208">
        <v>0</v>
      </c>
      <c r="FY229" s="208">
        <v>0</v>
      </c>
      <c r="FZ229" s="208">
        <v>0</v>
      </c>
      <c r="GA229" s="208">
        <v>0</v>
      </c>
      <c r="GB229" s="208">
        <v>8786340</v>
      </c>
      <c r="GC229" s="208">
        <v>0</v>
      </c>
      <c r="GD229" s="208">
        <v>88752</v>
      </c>
      <c r="GE229" s="664">
        <v>0</v>
      </c>
      <c r="GF229" s="664">
        <v>0.99</v>
      </c>
      <c r="GG229" s="664">
        <v>0</v>
      </c>
      <c r="GH229" s="664">
        <v>0.01</v>
      </c>
      <c r="GI229" s="187" t="s">
        <v>1056</v>
      </c>
    </row>
    <row r="230" spans="1:191" s="187" customFormat="1" x14ac:dyDescent="0.2">
      <c r="B230" s="429" t="s">
        <v>537</v>
      </c>
      <c r="C230" s="429" t="s">
        <v>536</v>
      </c>
      <c r="D230" s="208">
        <v>-993991</v>
      </c>
      <c r="E230" s="208">
        <v>0</v>
      </c>
      <c r="F230" s="208">
        <v>-993991</v>
      </c>
      <c r="G230" s="208">
        <v>-3064520</v>
      </c>
      <c r="H230" s="208">
        <v>0</v>
      </c>
      <c r="I230" s="208">
        <v>-3064520</v>
      </c>
      <c r="J230" s="208">
        <v>2070529</v>
      </c>
      <c r="K230" s="208">
        <v>0</v>
      </c>
      <c r="L230" s="208">
        <v>2070529</v>
      </c>
      <c r="M230" s="208">
        <v>441022</v>
      </c>
      <c r="N230" s="208">
        <v>441022</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0</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0</v>
      </c>
      <c r="BM230" s="208">
        <v>0</v>
      </c>
      <c r="BN230" s="208">
        <v>0</v>
      </c>
      <c r="BO230" s="208">
        <v>9240913.4567371886</v>
      </c>
      <c r="BP230" s="208">
        <v>0</v>
      </c>
      <c r="BQ230" s="208">
        <v>93342.560169062519</v>
      </c>
      <c r="BR230" s="208">
        <v>492110</v>
      </c>
      <c r="BS230" s="208">
        <v>0</v>
      </c>
      <c r="BT230" s="208">
        <v>4971</v>
      </c>
      <c r="BU230" s="208">
        <v>9360724</v>
      </c>
      <c r="BV230" s="208">
        <v>0</v>
      </c>
      <c r="BW230" s="208">
        <v>94553</v>
      </c>
      <c r="BX230" s="208">
        <v>372299</v>
      </c>
      <c r="BY230" s="208">
        <v>0</v>
      </c>
      <c r="BZ230" s="208">
        <v>3761</v>
      </c>
      <c r="CA230" s="208">
        <v>32187.259500000004</v>
      </c>
      <c r="CB230" s="208">
        <v>0</v>
      </c>
      <c r="CC230" s="208">
        <v>325.12383333333332</v>
      </c>
      <c r="CD230" s="208">
        <v>45774</v>
      </c>
      <c r="CE230" s="208">
        <v>0</v>
      </c>
      <c r="CF230" s="208">
        <v>462</v>
      </c>
      <c r="CG230" s="208">
        <v>-13587</v>
      </c>
      <c r="CH230" s="208">
        <v>0</v>
      </c>
      <c r="CI230" s="208">
        <v>-137</v>
      </c>
      <c r="CJ230" s="208">
        <v>0</v>
      </c>
      <c r="CK230" s="208">
        <v>0</v>
      </c>
      <c r="CL230" s="208">
        <v>0</v>
      </c>
      <c r="CM230" s="208">
        <v>-19402.0798125</v>
      </c>
      <c r="CN230" s="208">
        <v>0</v>
      </c>
      <c r="CO230" s="208">
        <v>-195.98060416666667</v>
      </c>
      <c r="CP230" s="208">
        <v>-2803.1190000000001</v>
      </c>
      <c r="CQ230" s="208">
        <v>0</v>
      </c>
      <c r="CR230" s="208">
        <v>-28.314333333333334</v>
      </c>
      <c r="CS230" s="208">
        <v>0</v>
      </c>
      <c r="CT230" s="208">
        <v>0</v>
      </c>
      <c r="CU230" s="208">
        <v>0</v>
      </c>
      <c r="CV230" s="208">
        <v>0</v>
      </c>
      <c r="CW230" s="208">
        <v>0</v>
      </c>
      <c r="CX230" s="208">
        <v>0</v>
      </c>
      <c r="CY230" s="208">
        <v>0</v>
      </c>
      <c r="CZ230" s="208">
        <v>0</v>
      </c>
      <c r="DA230" s="208">
        <v>0</v>
      </c>
      <c r="DB230" s="208">
        <v>0</v>
      </c>
      <c r="DC230" s="208">
        <v>0</v>
      </c>
      <c r="DD230" s="208">
        <v>0</v>
      </c>
      <c r="DE230" s="208">
        <v>0</v>
      </c>
      <c r="DF230" s="208">
        <v>0</v>
      </c>
      <c r="DG230" s="208">
        <v>0</v>
      </c>
      <c r="DH230" s="208">
        <v>0</v>
      </c>
      <c r="DI230" s="208">
        <v>0</v>
      </c>
      <c r="DJ230" s="208">
        <v>0</v>
      </c>
      <c r="DK230" s="208">
        <v>0</v>
      </c>
      <c r="DL230" s="208">
        <v>0</v>
      </c>
      <c r="DM230" s="208">
        <v>0</v>
      </c>
      <c r="DN230" s="208">
        <v>1519.03125</v>
      </c>
      <c r="DO230" s="208">
        <v>0</v>
      </c>
      <c r="DP230" s="208">
        <v>15.34375</v>
      </c>
      <c r="DQ230" s="208">
        <v>1519</v>
      </c>
      <c r="DR230" s="208">
        <v>0</v>
      </c>
      <c r="DS230" s="208">
        <v>15</v>
      </c>
      <c r="DT230" s="208">
        <v>0</v>
      </c>
      <c r="DU230" s="208">
        <v>0</v>
      </c>
      <c r="DV230" s="208">
        <v>0</v>
      </c>
      <c r="DW230" s="208">
        <v>36219.781125000001</v>
      </c>
      <c r="DX230" s="208">
        <v>0</v>
      </c>
      <c r="DY230" s="208">
        <v>365.85637500000001</v>
      </c>
      <c r="DZ230" s="208">
        <v>45571</v>
      </c>
      <c r="EA230" s="208">
        <v>0</v>
      </c>
      <c r="EB230" s="208">
        <v>460</v>
      </c>
      <c r="EC230" s="208">
        <v>-9351</v>
      </c>
      <c r="ED230" s="208">
        <v>0</v>
      </c>
      <c r="EE230" s="208">
        <v>-94</v>
      </c>
      <c r="EF230" s="208">
        <v>157350.37106249999</v>
      </c>
      <c r="EG230" s="208">
        <v>0</v>
      </c>
      <c r="EH230" s="208">
        <v>1589.3976874999998</v>
      </c>
      <c r="EI230" s="208">
        <v>-17584.30575</v>
      </c>
      <c r="EJ230" s="208">
        <v>0</v>
      </c>
      <c r="EK230" s="208">
        <v>-177.61924999999999</v>
      </c>
      <c r="EL230" s="208">
        <v>162030</v>
      </c>
      <c r="EM230" s="208">
        <v>0</v>
      </c>
      <c r="EN230" s="208">
        <v>1637</v>
      </c>
      <c r="EO230" s="208">
        <v>-22264</v>
      </c>
      <c r="EP230" s="208">
        <v>0</v>
      </c>
      <c r="EQ230" s="208">
        <v>-225</v>
      </c>
      <c r="ER230" s="208">
        <v>36404.090250000001</v>
      </c>
      <c r="ES230" s="208">
        <v>0</v>
      </c>
      <c r="ET230" s="208">
        <v>367.71808333333331</v>
      </c>
      <c r="EU230" s="208">
        <v>35444</v>
      </c>
      <c r="EV230" s="208">
        <v>0</v>
      </c>
      <c r="EW230" s="208">
        <v>358</v>
      </c>
      <c r="EX230" s="208">
        <v>960</v>
      </c>
      <c r="EY230" s="208">
        <v>0</v>
      </c>
      <c r="EZ230" s="208">
        <v>10</v>
      </c>
      <c r="FA230" s="208">
        <v>0</v>
      </c>
      <c r="FB230" s="208">
        <v>0</v>
      </c>
      <c r="FC230" s="208">
        <v>0</v>
      </c>
      <c r="FD230" s="208">
        <v>0</v>
      </c>
      <c r="FE230" s="208">
        <v>0</v>
      </c>
      <c r="FF230" s="208">
        <v>0</v>
      </c>
      <c r="FG230" s="208">
        <v>0</v>
      </c>
      <c r="FH230" s="208">
        <v>0</v>
      </c>
      <c r="FI230" s="208">
        <v>0</v>
      </c>
      <c r="FJ230" s="208">
        <v>2201298.2474999996</v>
      </c>
      <c r="FK230" s="208">
        <v>0</v>
      </c>
      <c r="FL230" s="208">
        <v>22235.335833333334</v>
      </c>
      <c r="FM230" s="208">
        <v>2202186</v>
      </c>
      <c r="FN230" s="208">
        <v>0</v>
      </c>
      <c r="FO230" s="208">
        <v>22244</v>
      </c>
      <c r="FP230" s="208">
        <v>-888</v>
      </c>
      <c r="FQ230" s="208">
        <v>0</v>
      </c>
      <c r="FR230" s="208">
        <v>-9</v>
      </c>
      <c r="FS230" s="208">
        <v>0</v>
      </c>
      <c r="FT230" s="208">
        <v>0</v>
      </c>
      <c r="FU230" s="208">
        <v>0</v>
      </c>
      <c r="FV230" s="208">
        <v>0</v>
      </c>
      <c r="FW230" s="208">
        <v>0</v>
      </c>
      <c r="FX230" s="208">
        <v>0</v>
      </c>
      <c r="FY230" s="208">
        <v>0</v>
      </c>
      <c r="FZ230" s="208">
        <v>0</v>
      </c>
      <c r="GA230" s="208">
        <v>0</v>
      </c>
      <c r="GB230" s="208">
        <v>12158212</v>
      </c>
      <c r="GC230" s="208">
        <v>0</v>
      </c>
      <c r="GD230" s="208">
        <v>122810</v>
      </c>
      <c r="GE230" s="664">
        <v>0</v>
      </c>
      <c r="GF230" s="664">
        <v>0.99</v>
      </c>
      <c r="GG230" s="664">
        <v>0</v>
      </c>
      <c r="GH230" s="664">
        <v>0.01</v>
      </c>
      <c r="GI230" s="187" t="s">
        <v>1056</v>
      </c>
    </row>
    <row r="231" spans="1:191" s="187" customFormat="1" x14ac:dyDescent="0.2">
      <c r="B231" s="429" t="s">
        <v>539</v>
      </c>
      <c r="C231" s="429" t="s">
        <v>538</v>
      </c>
      <c r="D231" s="208">
        <v>2207664</v>
      </c>
      <c r="E231" s="208">
        <v>0</v>
      </c>
      <c r="F231" s="208">
        <v>2207664</v>
      </c>
      <c r="G231" s="208">
        <v>2266050</v>
      </c>
      <c r="H231" s="208">
        <v>0</v>
      </c>
      <c r="I231" s="208">
        <v>2266050</v>
      </c>
      <c r="J231" s="208">
        <v>-58386</v>
      </c>
      <c r="K231" s="208">
        <v>0</v>
      </c>
      <c r="L231" s="208">
        <v>-58386</v>
      </c>
      <c r="M231" s="208">
        <v>260038</v>
      </c>
      <c r="N231" s="208">
        <v>260038</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0</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0</v>
      </c>
      <c r="BM231" s="208">
        <v>0</v>
      </c>
      <c r="BN231" s="208">
        <v>0</v>
      </c>
      <c r="BO231" s="208">
        <v>2207326.6531483335</v>
      </c>
      <c r="BP231" s="208">
        <v>496648.49695837498</v>
      </c>
      <c r="BQ231" s="208">
        <v>55183.166328708336</v>
      </c>
      <c r="BR231" s="208">
        <v>93271</v>
      </c>
      <c r="BS231" s="208">
        <v>20986</v>
      </c>
      <c r="BT231" s="208">
        <v>2332</v>
      </c>
      <c r="BU231" s="208">
        <v>2022061</v>
      </c>
      <c r="BV231" s="208">
        <v>454963</v>
      </c>
      <c r="BW231" s="208">
        <v>50551</v>
      </c>
      <c r="BX231" s="208">
        <v>278537</v>
      </c>
      <c r="BY231" s="208">
        <v>62671</v>
      </c>
      <c r="BZ231" s="208">
        <v>6964</v>
      </c>
      <c r="CA231" s="208">
        <v>26366.364483333331</v>
      </c>
      <c r="CB231" s="208">
        <v>5932.43200875</v>
      </c>
      <c r="CC231" s="208">
        <v>659.15911208333341</v>
      </c>
      <c r="CD231" s="208">
        <v>12153</v>
      </c>
      <c r="CE231" s="208">
        <v>2734</v>
      </c>
      <c r="CF231" s="208">
        <v>304</v>
      </c>
      <c r="CG231" s="208">
        <v>14213</v>
      </c>
      <c r="CH231" s="208">
        <v>3198</v>
      </c>
      <c r="CI231" s="208">
        <v>355</v>
      </c>
      <c r="CJ231" s="208">
        <v>0</v>
      </c>
      <c r="CK231" s="208">
        <v>0</v>
      </c>
      <c r="CL231" s="208">
        <v>0</v>
      </c>
      <c r="CM231" s="208">
        <v>0</v>
      </c>
      <c r="CN231" s="208">
        <v>0</v>
      </c>
      <c r="CO231" s="208">
        <v>0</v>
      </c>
      <c r="CP231" s="208">
        <v>-2458.6825000000003</v>
      </c>
      <c r="CQ231" s="208">
        <v>-553.20356249999998</v>
      </c>
      <c r="CR231" s="208">
        <v>-61.467062500000004</v>
      </c>
      <c r="CS231" s="208">
        <v>0</v>
      </c>
      <c r="CT231" s="208">
        <v>0</v>
      </c>
      <c r="CU231" s="208">
        <v>0</v>
      </c>
      <c r="CV231" s="208">
        <v>0</v>
      </c>
      <c r="CW231" s="208">
        <v>0</v>
      </c>
      <c r="CX231" s="208">
        <v>0</v>
      </c>
      <c r="CY231" s="208">
        <v>0</v>
      </c>
      <c r="CZ231" s="208">
        <v>0</v>
      </c>
      <c r="DA231" s="208">
        <v>0</v>
      </c>
      <c r="DB231" s="208">
        <v>0</v>
      </c>
      <c r="DC231" s="208">
        <v>0</v>
      </c>
      <c r="DD231" s="208">
        <v>0</v>
      </c>
      <c r="DE231" s="208">
        <v>11748.811666666668</v>
      </c>
      <c r="DF231" s="208">
        <v>2643.4826250000001</v>
      </c>
      <c r="DG231" s="208">
        <v>293.7202916666667</v>
      </c>
      <c r="DH231" s="208">
        <v>11882</v>
      </c>
      <c r="DI231" s="208">
        <v>2673</v>
      </c>
      <c r="DJ231" s="208">
        <v>297</v>
      </c>
      <c r="DK231" s="208">
        <v>-133</v>
      </c>
      <c r="DL231" s="208">
        <v>-30</v>
      </c>
      <c r="DM231" s="208">
        <v>-3</v>
      </c>
      <c r="DN231" s="208">
        <v>227.08750000000001</v>
      </c>
      <c r="DO231" s="208">
        <v>51.094687499999999</v>
      </c>
      <c r="DP231" s="208">
        <v>5.6771875000000005</v>
      </c>
      <c r="DQ231" s="208">
        <v>0</v>
      </c>
      <c r="DR231" s="208">
        <v>0</v>
      </c>
      <c r="DS231" s="208">
        <v>0</v>
      </c>
      <c r="DT231" s="208">
        <v>227</v>
      </c>
      <c r="DU231" s="208">
        <v>51</v>
      </c>
      <c r="DV231" s="208">
        <v>6</v>
      </c>
      <c r="DW231" s="208">
        <v>28073.334166666667</v>
      </c>
      <c r="DX231" s="208">
        <v>6316.5001874999998</v>
      </c>
      <c r="DY231" s="208">
        <v>701.83335416666671</v>
      </c>
      <c r="DZ231" s="208">
        <v>34713</v>
      </c>
      <c r="EA231" s="208">
        <v>7810</v>
      </c>
      <c r="EB231" s="208">
        <v>868</v>
      </c>
      <c r="EC231" s="208">
        <v>-6640</v>
      </c>
      <c r="ED231" s="208">
        <v>-1493</v>
      </c>
      <c r="EE231" s="208">
        <v>-166</v>
      </c>
      <c r="EF231" s="208">
        <v>109173.44083333336</v>
      </c>
      <c r="EG231" s="208">
        <v>24564.024187500003</v>
      </c>
      <c r="EH231" s="208">
        <v>2729.3360208333338</v>
      </c>
      <c r="EI231" s="208">
        <v>-20520.935833333337</v>
      </c>
      <c r="EJ231" s="208">
        <v>-4617.2105624999995</v>
      </c>
      <c r="EK231" s="208">
        <v>-513.02339583333332</v>
      </c>
      <c r="EL231" s="208">
        <v>122750</v>
      </c>
      <c r="EM231" s="208">
        <v>27619</v>
      </c>
      <c r="EN231" s="208">
        <v>3069</v>
      </c>
      <c r="EO231" s="208">
        <v>-34097</v>
      </c>
      <c r="EP231" s="208">
        <v>-7672</v>
      </c>
      <c r="EQ231" s="208">
        <v>-853</v>
      </c>
      <c r="ER231" s="208">
        <v>33730.472500000003</v>
      </c>
      <c r="ES231" s="208">
        <v>7589.3563124999991</v>
      </c>
      <c r="ET231" s="208">
        <v>843.26181249999991</v>
      </c>
      <c r="EU231" s="208">
        <v>39558</v>
      </c>
      <c r="EV231" s="208">
        <v>8901</v>
      </c>
      <c r="EW231" s="208">
        <v>989</v>
      </c>
      <c r="EX231" s="208">
        <v>-5828</v>
      </c>
      <c r="EY231" s="208">
        <v>-1312</v>
      </c>
      <c r="EZ231" s="208">
        <v>-146</v>
      </c>
      <c r="FA231" s="208">
        <v>0</v>
      </c>
      <c r="FB231" s="208">
        <v>0</v>
      </c>
      <c r="FC231" s="208">
        <v>0</v>
      </c>
      <c r="FD231" s="208">
        <v>0</v>
      </c>
      <c r="FE231" s="208">
        <v>0</v>
      </c>
      <c r="FF231" s="208">
        <v>0</v>
      </c>
      <c r="FG231" s="208">
        <v>0</v>
      </c>
      <c r="FH231" s="208">
        <v>0</v>
      </c>
      <c r="FI231" s="208">
        <v>0</v>
      </c>
      <c r="FJ231" s="208">
        <v>331223.35583333333</v>
      </c>
      <c r="FK231" s="208">
        <v>74525.255062499986</v>
      </c>
      <c r="FL231" s="208">
        <v>8280.5838958333334</v>
      </c>
      <c r="FM231" s="208">
        <v>337825</v>
      </c>
      <c r="FN231" s="208">
        <v>76011</v>
      </c>
      <c r="FO231" s="208">
        <v>8446</v>
      </c>
      <c r="FP231" s="208">
        <v>-6602</v>
      </c>
      <c r="FQ231" s="208">
        <v>-1486</v>
      </c>
      <c r="FR231" s="208">
        <v>-165</v>
      </c>
      <c r="FS231" s="208">
        <v>0</v>
      </c>
      <c r="FT231" s="208">
        <v>0</v>
      </c>
      <c r="FU231" s="208">
        <v>0</v>
      </c>
      <c r="FV231" s="208">
        <v>0</v>
      </c>
      <c r="FW231" s="208">
        <v>0</v>
      </c>
      <c r="FX231" s="208">
        <v>0</v>
      </c>
      <c r="FY231" s="208">
        <v>0</v>
      </c>
      <c r="FZ231" s="208">
        <v>0</v>
      </c>
      <c r="GA231" s="208">
        <v>0</v>
      </c>
      <c r="GB231" s="208">
        <v>2818159</v>
      </c>
      <c r="GC231" s="208">
        <v>634085</v>
      </c>
      <c r="GD231" s="208">
        <v>70455</v>
      </c>
      <c r="GE231" s="664">
        <v>0.5</v>
      </c>
      <c r="GF231" s="664">
        <v>0.4</v>
      </c>
      <c r="GG231" s="664">
        <v>0.09</v>
      </c>
      <c r="GH231" s="664">
        <v>0.01</v>
      </c>
      <c r="GI231" s="187" t="s">
        <v>1054</v>
      </c>
    </row>
    <row r="232" spans="1:191" s="187" customFormat="1" x14ac:dyDescent="0.2">
      <c r="B232" s="429" t="s">
        <v>541</v>
      </c>
      <c r="C232" s="429" t="s">
        <v>540</v>
      </c>
      <c r="D232" s="208">
        <v>-23611</v>
      </c>
      <c r="E232" s="208">
        <v>0</v>
      </c>
      <c r="F232" s="208">
        <v>-23611</v>
      </c>
      <c r="G232" s="208">
        <v>-58128</v>
      </c>
      <c r="H232" s="208">
        <v>0</v>
      </c>
      <c r="I232" s="208">
        <v>-58128</v>
      </c>
      <c r="J232" s="208">
        <v>34517</v>
      </c>
      <c r="K232" s="208">
        <v>0</v>
      </c>
      <c r="L232" s="208">
        <v>34517</v>
      </c>
      <c r="M232" s="208">
        <v>164734</v>
      </c>
      <c r="N232" s="208">
        <v>164734</v>
      </c>
      <c r="O232" s="208">
        <v>0</v>
      </c>
      <c r="P232" s="208">
        <v>0</v>
      </c>
      <c r="Q232" s="208">
        <v>0</v>
      </c>
      <c r="R232" s="208">
        <v>0</v>
      </c>
      <c r="S232" s="208">
        <v>252287</v>
      </c>
      <c r="T232" s="208">
        <v>0</v>
      </c>
      <c r="U232" s="208">
        <v>226285</v>
      </c>
      <c r="V232" s="208">
        <v>0</v>
      </c>
      <c r="W232" s="208">
        <v>26002</v>
      </c>
      <c r="X232" s="208">
        <v>0</v>
      </c>
      <c r="Y232" s="208">
        <v>0</v>
      </c>
      <c r="Z232" s="208">
        <v>0</v>
      </c>
      <c r="AA232" s="208">
        <v>0</v>
      </c>
      <c r="AB232" s="208">
        <v>0</v>
      </c>
      <c r="AC232" s="208">
        <v>0</v>
      </c>
      <c r="AD232" s="208">
        <v>0</v>
      </c>
      <c r="AE232" s="208">
        <v>0</v>
      </c>
      <c r="AF232" s="208">
        <v>0</v>
      </c>
      <c r="AG232" s="208">
        <v>0</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0</v>
      </c>
      <c r="BM232" s="208">
        <v>0</v>
      </c>
      <c r="BN232" s="208">
        <v>0</v>
      </c>
      <c r="BO232" s="208">
        <v>1257425.1410758335</v>
      </c>
      <c r="BP232" s="208">
        <v>282920.65674206248</v>
      </c>
      <c r="BQ232" s="208">
        <v>31435.628526895838</v>
      </c>
      <c r="BR232" s="208">
        <v>82032</v>
      </c>
      <c r="BS232" s="208">
        <v>18457</v>
      </c>
      <c r="BT232" s="208">
        <v>2051</v>
      </c>
      <c r="BU232" s="208">
        <v>1250987</v>
      </c>
      <c r="BV232" s="208">
        <v>280673</v>
      </c>
      <c r="BW232" s="208">
        <v>31186</v>
      </c>
      <c r="BX232" s="208">
        <v>88470</v>
      </c>
      <c r="BY232" s="208">
        <v>20705</v>
      </c>
      <c r="BZ232" s="208">
        <v>2301</v>
      </c>
      <c r="CA232" s="208">
        <v>3652.6308333333336</v>
      </c>
      <c r="CB232" s="208">
        <v>821.84193749999997</v>
      </c>
      <c r="CC232" s="208">
        <v>91.315770833333332</v>
      </c>
      <c r="CD232" s="208">
        <v>1336</v>
      </c>
      <c r="CE232" s="208">
        <v>301</v>
      </c>
      <c r="CF232" s="208">
        <v>33</v>
      </c>
      <c r="CG232" s="208">
        <v>2317</v>
      </c>
      <c r="CH232" s="208">
        <v>521</v>
      </c>
      <c r="CI232" s="208">
        <v>58</v>
      </c>
      <c r="CJ232" s="208">
        <v>0</v>
      </c>
      <c r="CK232" s="208">
        <v>0</v>
      </c>
      <c r="CL232" s="208">
        <v>0</v>
      </c>
      <c r="CM232" s="208">
        <v>0</v>
      </c>
      <c r="CN232" s="208">
        <v>0</v>
      </c>
      <c r="CO232" s="208">
        <v>0</v>
      </c>
      <c r="CP232" s="208">
        <v>0</v>
      </c>
      <c r="CQ232" s="208">
        <v>0</v>
      </c>
      <c r="CR232" s="208">
        <v>0</v>
      </c>
      <c r="CS232" s="208">
        <v>0</v>
      </c>
      <c r="CT232" s="208">
        <v>0</v>
      </c>
      <c r="CU232" s="208">
        <v>0</v>
      </c>
      <c r="CV232" s="208">
        <v>0</v>
      </c>
      <c r="CW232" s="208">
        <v>0</v>
      </c>
      <c r="CX232" s="208">
        <v>0</v>
      </c>
      <c r="CY232" s="208">
        <v>0</v>
      </c>
      <c r="CZ232" s="208">
        <v>0</v>
      </c>
      <c r="DA232" s="208">
        <v>0</v>
      </c>
      <c r="DB232" s="208">
        <v>0</v>
      </c>
      <c r="DC232" s="208">
        <v>0</v>
      </c>
      <c r="DD232" s="208">
        <v>0</v>
      </c>
      <c r="DE232" s="208">
        <v>24899.837500000001</v>
      </c>
      <c r="DF232" s="208">
        <v>5602.4634375000005</v>
      </c>
      <c r="DG232" s="208">
        <v>622.49593750000008</v>
      </c>
      <c r="DH232" s="208">
        <v>23523</v>
      </c>
      <c r="DI232" s="208">
        <v>5292</v>
      </c>
      <c r="DJ232" s="208">
        <v>588</v>
      </c>
      <c r="DK232" s="208">
        <v>1377</v>
      </c>
      <c r="DL232" s="208">
        <v>310</v>
      </c>
      <c r="DM232" s="208">
        <v>34</v>
      </c>
      <c r="DN232" s="208">
        <v>0</v>
      </c>
      <c r="DO232" s="208">
        <v>0</v>
      </c>
      <c r="DP232" s="208">
        <v>0</v>
      </c>
      <c r="DQ232" s="208">
        <v>0</v>
      </c>
      <c r="DR232" s="208">
        <v>0</v>
      </c>
      <c r="DS232" s="208">
        <v>0</v>
      </c>
      <c r="DT232" s="208">
        <v>0</v>
      </c>
      <c r="DU232" s="208">
        <v>0</v>
      </c>
      <c r="DV232" s="208">
        <v>0</v>
      </c>
      <c r="DW232" s="208">
        <v>20322.899166666666</v>
      </c>
      <c r="DX232" s="208">
        <v>4572.6523124999994</v>
      </c>
      <c r="DY232" s="208">
        <v>508.07247916666665</v>
      </c>
      <c r="DZ232" s="208">
        <v>18821</v>
      </c>
      <c r="EA232" s="208">
        <v>4235</v>
      </c>
      <c r="EB232" s="208">
        <v>471</v>
      </c>
      <c r="EC232" s="208">
        <v>1502</v>
      </c>
      <c r="ED232" s="208">
        <v>338</v>
      </c>
      <c r="EE232" s="208">
        <v>37</v>
      </c>
      <c r="EF232" s="208">
        <v>60052.573333333334</v>
      </c>
      <c r="EG232" s="208">
        <v>13511.828999999998</v>
      </c>
      <c r="EH232" s="208">
        <v>1501.3143333333333</v>
      </c>
      <c r="EI232" s="208">
        <v>-3966.0525000000002</v>
      </c>
      <c r="EJ232" s="208">
        <v>-892.36181250000004</v>
      </c>
      <c r="EK232" s="208">
        <v>-99.151312500000003</v>
      </c>
      <c r="EL232" s="208">
        <v>60557</v>
      </c>
      <c r="EM232" s="208">
        <v>13625</v>
      </c>
      <c r="EN232" s="208">
        <v>1514</v>
      </c>
      <c r="EO232" s="208">
        <v>-4470</v>
      </c>
      <c r="EP232" s="208">
        <v>-1006</v>
      </c>
      <c r="EQ232" s="208">
        <v>-112</v>
      </c>
      <c r="ER232" s="208">
        <v>20676.010000000002</v>
      </c>
      <c r="ES232" s="208">
        <v>4652.102249999999</v>
      </c>
      <c r="ET232" s="208">
        <v>516.90025000000003</v>
      </c>
      <c r="EU232" s="208">
        <v>21277</v>
      </c>
      <c r="EV232" s="208">
        <v>4787</v>
      </c>
      <c r="EW232" s="208">
        <v>532</v>
      </c>
      <c r="EX232" s="208">
        <v>-601</v>
      </c>
      <c r="EY232" s="208">
        <v>-135</v>
      </c>
      <c r="EZ232" s="208">
        <v>-15</v>
      </c>
      <c r="FA232" s="208">
        <v>0</v>
      </c>
      <c r="FB232" s="208">
        <v>0</v>
      </c>
      <c r="FC232" s="208">
        <v>0</v>
      </c>
      <c r="FD232" s="208">
        <v>0</v>
      </c>
      <c r="FE232" s="208">
        <v>0</v>
      </c>
      <c r="FF232" s="208">
        <v>0</v>
      </c>
      <c r="FG232" s="208">
        <v>0</v>
      </c>
      <c r="FH232" s="208">
        <v>0</v>
      </c>
      <c r="FI232" s="208">
        <v>0</v>
      </c>
      <c r="FJ232" s="208">
        <v>374239.84125</v>
      </c>
      <c r="FK232" s="208">
        <v>82903.109437499996</v>
      </c>
      <c r="FL232" s="208">
        <v>9211.4566041666676</v>
      </c>
      <c r="FM232" s="208">
        <v>368373</v>
      </c>
      <c r="FN232" s="208">
        <v>81717</v>
      </c>
      <c r="FO232" s="208">
        <v>9080</v>
      </c>
      <c r="FP232" s="208">
        <v>5867</v>
      </c>
      <c r="FQ232" s="208">
        <v>1186</v>
      </c>
      <c r="FR232" s="208">
        <v>131</v>
      </c>
      <c r="FS232" s="208">
        <v>0</v>
      </c>
      <c r="FT232" s="208">
        <v>0</v>
      </c>
      <c r="FU232" s="208">
        <v>0</v>
      </c>
      <c r="FV232" s="208">
        <v>0</v>
      </c>
      <c r="FW232" s="208">
        <v>0</v>
      </c>
      <c r="FX232" s="208">
        <v>0</v>
      </c>
      <c r="FY232" s="208">
        <v>0</v>
      </c>
      <c r="FZ232" s="208">
        <v>0</v>
      </c>
      <c r="GA232" s="208">
        <v>0</v>
      </c>
      <c r="GB232" s="208">
        <v>1839336</v>
      </c>
      <c r="GC232" s="208">
        <v>412550</v>
      </c>
      <c r="GD232" s="208">
        <v>45838</v>
      </c>
      <c r="GE232" s="664">
        <v>0.5</v>
      </c>
      <c r="GF232" s="664">
        <v>0.4</v>
      </c>
      <c r="GG232" s="664">
        <v>0.09</v>
      </c>
      <c r="GH232" s="664">
        <v>0.01</v>
      </c>
      <c r="GI232" s="187" t="s">
        <v>1054</v>
      </c>
    </row>
    <row r="233" spans="1:191" s="187" customFormat="1" x14ac:dyDescent="0.2">
      <c r="B233" s="429" t="s">
        <v>543</v>
      </c>
      <c r="C233" s="429" t="s">
        <v>542</v>
      </c>
      <c r="D233" s="208">
        <v>-413475</v>
      </c>
      <c r="E233" s="208">
        <v>0</v>
      </c>
      <c r="F233" s="208">
        <v>-413475</v>
      </c>
      <c r="G233" s="208">
        <v>-670971</v>
      </c>
      <c r="H233" s="208">
        <v>0</v>
      </c>
      <c r="I233" s="208">
        <v>-670971</v>
      </c>
      <c r="J233" s="208">
        <v>257496</v>
      </c>
      <c r="K233" s="208">
        <v>0</v>
      </c>
      <c r="L233" s="208">
        <v>257496</v>
      </c>
      <c r="M233" s="208">
        <v>318969</v>
      </c>
      <c r="N233" s="208">
        <v>318969</v>
      </c>
      <c r="O233" s="208">
        <v>0</v>
      </c>
      <c r="P233" s="208">
        <v>0</v>
      </c>
      <c r="Q233" s="208">
        <v>0</v>
      </c>
      <c r="R233" s="208">
        <v>0</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0</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0</v>
      </c>
      <c r="BM233" s="208">
        <v>0</v>
      </c>
      <c r="BN233" s="208">
        <v>0</v>
      </c>
      <c r="BO233" s="208">
        <v>6091571.1031848751</v>
      </c>
      <c r="BP233" s="208">
        <v>0</v>
      </c>
      <c r="BQ233" s="208">
        <v>61531.021244291682</v>
      </c>
      <c r="BR233" s="208">
        <v>324949</v>
      </c>
      <c r="BS233" s="208">
        <v>0</v>
      </c>
      <c r="BT233" s="208">
        <v>3282</v>
      </c>
      <c r="BU233" s="208">
        <v>5881371</v>
      </c>
      <c r="BV233" s="208">
        <v>0</v>
      </c>
      <c r="BW233" s="208">
        <v>59408</v>
      </c>
      <c r="BX233" s="208">
        <v>535149</v>
      </c>
      <c r="BY233" s="208">
        <v>0</v>
      </c>
      <c r="BZ233" s="208">
        <v>5405</v>
      </c>
      <c r="CA233" s="208">
        <v>16346.801625</v>
      </c>
      <c r="CB233" s="208">
        <v>0</v>
      </c>
      <c r="CC233" s="208">
        <v>165.11920833333335</v>
      </c>
      <c r="CD233" s="208">
        <v>0</v>
      </c>
      <c r="CE233" s="208">
        <v>0</v>
      </c>
      <c r="CF233" s="208">
        <v>0</v>
      </c>
      <c r="CG233" s="208">
        <v>16347</v>
      </c>
      <c r="CH233" s="208">
        <v>0</v>
      </c>
      <c r="CI233" s="208">
        <v>165</v>
      </c>
      <c r="CJ233" s="208">
        <v>0</v>
      </c>
      <c r="CK233" s="208">
        <v>0</v>
      </c>
      <c r="CL233" s="208">
        <v>0</v>
      </c>
      <c r="CM233" s="208">
        <v>0</v>
      </c>
      <c r="CN233" s="208">
        <v>0</v>
      </c>
      <c r="CO233" s="208">
        <v>0</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829.39106249999998</v>
      </c>
      <c r="DF233" s="208">
        <v>0</v>
      </c>
      <c r="DG233" s="208">
        <v>8.3776875000000004</v>
      </c>
      <c r="DH233" s="208">
        <v>0</v>
      </c>
      <c r="DI233" s="208">
        <v>0</v>
      </c>
      <c r="DJ233" s="208">
        <v>0</v>
      </c>
      <c r="DK233" s="208">
        <v>829</v>
      </c>
      <c r="DL233" s="208">
        <v>0</v>
      </c>
      <c r="DM233" s="208">
        <v>8</v>
      </c>
      <c r="DN233" s="208">
        <v>2409.1835625000003</v>
      </c>
      <c r="DO233" s="208">
        <v>0</v>
      </c>
      <c r="DP233" s="208">
        <v>24.335187500000004</v>
      </c>
      <c r="DQ233" s="208">
        <v>3038</v>
      </c>
      <c r="DR233" s="208">
        <v>0</v>
      </c>
      <c r="DS233" s="208">
        <v>31</v>
      </c>
      <c r="DT233" s="208">
        <v>-629</v>
      </c>
      <c r="DU233" s="208">
        <v>0</v>
      </c>
      <c r="DV233" s="208">
        <v>-7</v>
      </c>
      <c r="DW233" s="208">
        <v>36796.0003125</v>
      </c>
      <c r="DX233" s="208">
        <v>0</v>
      </c>
      <c r="DY233" s="208">
        <v>371.67677083333331</v>
      </c>
      <c r="DZ233" s="208">
        <v>3504</v>
      </c>
      <c r="EA233" s="208">
        <v>0</v>
      </c>
      <c r="EB233" s="208">
        <v>35</v>
      </c>
      <c r="EC233" s="208">
        <v>33292</v>
      </c>
      <c r="ED233" s="208">
        <v>0</v>
      </c>
      <c r="EE233" s="208">
        <v>337</v>
      </c>
      <c r="EF233" s="208">
        <v>271387.08506250003</v>
      </c>
      <c r="EG233" s="208">
        <v>0</v>
      </c>
      <c r="EH233" s="208">
        <v>2741.2836875000003</v>
      </c>
      <c r="EI233" s="208">
        <v>-13992.3031875</v>
      </c>
      <c r="EJ233" s="208">
        <v>0</v>
      </c>
      <c r="EK233" s="208">
        <v>-141.33639583333334</v>
      </c>
      <c r="EL233" s="208">
        <v>265831</v>
      </c>
      <c r="EM233" s="208">
        <v>0</v>
      </c>
      <c r="EN233" s="208">
        <v>2685</v>
      </c>
      <c r="EO233" s="208">
        <v>-8436</v>
      </c>
      <c r="EP233" s="208">
        <v>0</v>
      </c>
      <c r="EQ233" s="208">
        <v>-85</v>
      </c>
      <c r="ER233" s="208">
        <v>46919.83724999999</v>
      </c>
      <c r="ES233" s="208">
        <v>0</v>
      </c>
      <c r="ET233" s="208">
        <v>473.93774999999999</v>
      </c>
      <c r="EU233" s="208">
        <v>51647</v>
      </c>
      <c r="EV233" s="208">
        <v>0</v>
      </c>
      <c r="EW233" s="208">
        <v>522</v>
      </c>
      <c r="EX233" s="208">
        <v>-4727</v>
      </c>
      <c r="EY233" s="208">
        <v>0</v>
      </c>
      <c r="EZ233" s="208">
        <v>-48</v>
      </c>
      <c r="FA233" s="208">
        <v>0</v>
      </c>
      <c r="FB233" s="208">
        <v>0</v>
      </c>
      <c r="FC233" s="208">
        <v>0</v>
      </c>
      <c r="FD233" s="208">
        <v>0</v>
      </c>
      <c r="FE233" s="208">
        <v>0</v>
      </c>
      <c r="FF233" s="208">
        <v>0</v>
      </c>
      <c r="FG233" s="208">
        <v>0</v>
      </c>
      <c r="FH233" s="208">
        <v>0</v>
      </c>
      <c r="FI233" s="208">
        <v>0</v>
      </c>
      <c r="FJ233" s="208">
        <v>1515297.1040624999</v>
      </c>
      <c r="FK233" s="208">
        <v>0</v>
      </c>
      <c r="FL233" s="208">
        <v>15306.031354166667</v>
      </c>
      <c r="FM233" s="208">
        <v>1522793</v>
      </c>
      <c r="FN233" s="208">
        <v>0</v>
      </c>
      <c r="FO233" s="208">
        <v>15382</v>
      </c>
      <c r="FP233" s="208">
        <v>-7496</v>
      </c>
      <c r="FQ233" s="208">
        <v>0</v>
      </c>
      <c r="FR233" s="208">
        <v>-76</v>
      </c>
      <c r="FS233" s="208">
        <v>0</v>
      </c>
      <c r="FT233" s="208">
        <v>0</v>
      </c>
      <c r="FU233" s="208">
        <v>0</v>
      </c>
      <c r="FV233" s="208">
        <v>0</v>
      </c>
      <c r="FW233" s="208">
        <v>0</v>
      </c>
      <c r="FX233" s="208">
        <v>0</v>
      </c>
      <c r="FY233" s="208">
        <v>0</v>
      </c>
      <c r="FZ233" s="208">
        <v>0</v>
      </c>
      <c r="GA233" s="208">
        <v>0</v>
      </c>
      <c r="GB233" s="208">
        <v>8292513</v>
      </c>
      <c r="GC233" s="208">
        <v>0</v>
      </c>
      <c r="GD233" s="208">
        <v>83762</v>
      </c>
      <c r="GE233" s="664">
        <v>0</v>
      </c>
      <c r="GF233" s="664">
        <v>0.99</v>
      </c>
      <c r="GG233" s="664">
        <v>0</v>
      </c>
      <c r="GH233" s="664">
        <v>0.01</v>
      </c>
      <c r="GI233" s="187" t="s">
        <v>1056</v>
      </c>
    </row>
    <row r="234" spans="1:191" s="187" customFormat="1" x14ac:dyDescent="0.2">
      <c r="B234" s="429" t="s">
        <v>545</v>
      </c>
      <c r="C234" s="429" t="s">
        <v>544</v>
      </c>
      <c r="D234" s="208">
        <v>-2082293</v>
      </c>
      <c r="E234" s="208">
        <v>0</v>
      </c>
      <c r="F234" s="208">
        <v>-2082293</v>
      </c>
      <c r="G234" s="208">
        <v>-4425035</v>
      </c>
      <c r="H234" s="208">
        <v>0</v>
      </c>
      <c r="I234" s="208">
        <v>-4425035</v>
      </c>
      <c r="J234" s="208">
        <v>2342742</v>
      </c>
      <c r="K234" s="208">
        <v>0</v>
      </c>
      <c r="L234" s="208">
        <v>2342742</v>
      </c>
      <c r="M234" s="208">
        <v>111131</v>
      </c>
      <c r="N234" s="208">
        <v>111131</v>
      </c>
      <c r="O234" s="208">
        <v>0</v>
      </c>
      <c r="P234" s="208">
        <v>0</v>
      </c>
      <c r="Q234" s="208">
        <v>0</v>
      </c>
      <c r="R234" s="208">
        <v>0</v>
      </c>
      <c r="S234" s="208">
        <v>8343583</v>
      </c>
      <c r="T234" s="208">
        <v>0</v>
      </c>
      <c r="U234" s="208">
        <v>7819988</v>
      </c>
      <c r="V234" s="208">
        <v>0</v>
      </c>
      <c r="W234" s="208">
        <v>523595</v>
      </c>
      <c r="X234" s="208">
        <v>0</v>
      </c>
      <c r="Y234" s="208">
        <v>0</v>
      </c>
      <c r="Z234" s="208">
        <v>0</v>
      </c>
      <c r="AA234" s="208">
        <v>0</v>
      </c>
      <c r="AB234" s="208">
        <v>0</v>
      </c>
      <c r="AC234" s="208">
        <v>0</v>
      </c>
      <c r="AD234" s="208">
        <v>0</v>
      </c>
      <c r="AE234" s="208">
        <v>0</v>
      </c>
      <c r="AF234" s="208">
        <v>0</v>
      </c>
      <c r="AG234" s="208">
        <v>0</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0</v>
      </c>
      <c r="BM234" s="208">
        <v>0</v>
      </c>
      <c r="BN234" s="208">
        <v>0</v>
      </c>
      <c r="BO234" s="208">
        <v>827375.75095416687</v>
      </c>
      <c r="BP234" s="208">
        <v>186159.54396468753</v>
      </c>
      <c r="BQ234" s="208">
        <v>20684.393773854172</v>
      </c>
      <c r="BR234" s="208">
        <v>51092</v>
      </c>
      <c r="BS234" s="208">
        <v>11496</v>
      </c>
      <c r="BT234" s="208">
        <v>1277</v>
      </c>
      <c r="BU234" s="208">
        <v>743028</v>
      </c>
      <c r="BV234" s="208">
        <v>167181</v>
      </c>
      <c r="BW234" s="208">
        <v>18576</v>
      </c>
      <c r="BX234" s="208">
        <v>135440</v>
      </c>
      <c r="BY234" s="208">
        <v>30475</v>
      </c>
      <c r="BZ234" s="208">
        <v>3385</v>
      </c>
      <c r="CA234" s="208">
        <v>6108.4491666666672</v>
      </c>
      <c r="CB234" s="208">
        <v>1374.4010625000001</v>
      </c>
      <c r="CC234" s="208">
        <v>152.71122916666667</v>
      </c>
      <c r="CD234" s="208">
        <v>3477</v>
      </c>
      <c r="CE234" s="208">
        <v>782</v>
      </c>
      <c r="CF234" s="208">
        <v>87</v>
      </c>
      <c r="CG234" s="208">
        <v>2631</v>
      </c>
      <c r="CH234" s="208">
        <v>592</v>
      </c>
      <c r="CI234" s="208">
        <v>66</v>
      </c>
      <c r="CJ234" s="208">
        <v>0</v>
      </c>
      <c r="CK234" s="208">
        <v>0</v>
      </c>
      <c r="CL234" s="208">
        <v>0</v>
      </c>
      <c r="CM234" s="208">
        <v>0</v>
      </c>
      <c r="CN234" s="208">
        <v>0</v>
      </c>
      <c r="CO234" s="208">
        <v>0</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5045.4341666666669</v>
      </c>
      <c r="DF234" s="208">
        <v>1135.2226874999999</v>
      </c>
      <c r="DG234" s="208">
        <v>126.13585416666668</v>
      </c>
      <c r="DH234" s="208">
        <v>5046</v>
      </c>
      <c r="DI234" s="208">
        <v>1135</v>
      </c>
      <c r="DJ234" s="208">
        <v>126</v>
      </c>
      <c r="DK234" s="208">
        <v>-1</v>
      </c>
      <c r="DL234" s="208">
        <v>0</v>
      </c>
      <c r="DM234" s="208">
        <v>0</v>
      </c>
      <c r="DN234" s="208">
        <v>613.75</v>
      </c>
      <c r="DO234" s="208">
        <v>138.09375</v>
      </c>
      <c r="DP234" s="208">
        <v>15.34375</v>
      </c>
      <c r="DQ234" s="208">
        <v>614</v>
      </c>
      <c r="DR234" s="208">
        <v>138</v>
      </c>
      <c r="DS234" s="208">
        <v>15</v>
      </c>
      <c r="DT234" s="208">
        <v>0</v>
      </c>
      <c r="DU234" s="208">
        <v>0</v>
      </c>
      <c r="DV234" s="208">
        <v>0</v>
      </c>
      <c r="DW234" s="208">
        <v>10780.314166666667</v>
      </c>
      <c r="DX234" s="208">
        <v>2425.5706875000001</v>
      </c>
      <c r="DY234" s="208">
        <v>269.50785416666668</v>
      </c>
      <c r="DZ234" s="208">
        <v>13125</v>
      </c>
      <c r="EA234" s="208">
        <v>2953</v>
      </c>
      <c r="EB234" s="208">
        <v>328</v>
      </c>
      <c r="EC234" s="208">
        <v>-2345</v>
      </c>
      <c r="ED234" s="208">
        <v>-527</v>
      </c>
      <c r="EE234" s="208">
        <v>-58</v>
      </c>
      <c r="EF234" s="208">
        <v>33535.300000000003</v>
      </c>
      <c r="EG234" s="208">
        <v>7545.4425000000001</v>
      </c>
      <c r="EH234" s="208">
        <v>838.38250000000005</v>
      </c>
      <c r="EI234" s="208">
        <v>-2905.9016666666666</v>
      </c>
      <c r="EJ234" s="208">
        <v>-653.82787499999995</v>
      </c>
      <c r="EK234" s="208">
        <v>-72.647541666666669</v>
      </c>
      <c r="EL234" s="208">
        <v>27803</v>
      </c>
      <c r="EM234" s="208">
        <v>6256</v>
      </c>
      <c r="EN234" s="208">
        <v>695</v>
      </c>
      <c r="EO234" s="208">
        <v>2826</v>
      </c>
      <c r="EP234" s="208">
        <v>636</v>
      </c>
      <c r="EQ234" s="208">
        <v>71</v>
      </c>
      <c r="ER234" s="208">
        <v>17876.491666666669</v>
      </c>
      <c r="ES234" s="208">
        <v>4022.2106249999997</v>
      </c>
      <c r="ET234" s="208">
        <v>446.9122916666667</v>
      </c>
      <c r="EU234" s="208">
        <v>18003</v>
      </c>
      <c r="EV234" s="208">
        <v>4051</v>
      </c>
      <c r="EW234" s="208">
        <v>450</v>
      </c>
      <c r="EX234" s="208">
        <v>-127</v>
      </c>
      <c r="EY234" s="208">
        <v>-29</v>
      </c>
      <c r="EZ234" s="208">
        <v>-3</v>
      </c>
      <c r="FA234" s="208">
        <v>0</v>
      </c>
      <c r="FB234" s="208">
        <v>0</v>
      </c>
      <c r="FC234" s="208">
        <v>0</v>
      </c>
      <c r="FD234" s="208">
        <v>0</v>
      </c>
      <c r="FE234" s="208">
        <v>0</v>
      </c>
      <c r="FF234" s="208">
        <v>0</v>
      </c>
      <c r="FG234" s="208">
        <v>0</v>
      </c>
      <c r="FH234" s="208">
        <v>0</v>
      </c>
      <c r="FI234" s="208">
        <v>0</v>
      </c>
      <c r="FJ234" s="208">
        <v>446138.89374999999</v>
      </c>
      <c r="FK234" s="208">
        <v>57359.651249999995</v>
      </c>
      <c r="FL234" s="208">
        <v>6373.2945833333333</v>
      </c>
      <c r="FM234" s="208">
        <v>439845</v>
      </c>
      <c r="FN234" s="208">
        <v>58643</v>
      </c>
      <c r="FO234" s="208">
        <v>6516</v>
      </c>
      <c r="FP234" s="208">
        <v>6294</v>
      </c>
      <c r="FQ234" s="208">
        <v>-1283</v>
      </c>
      <c r="FR234" s="208">
        <v>-143</v>
      </c>
      <c r="FS234" s="208">
        <v>0</v>
      </c>
      <c r="FT234" s="208">
        <v>0</v>
      </c>
      <c r="FU234" s="208">
        <v>0</v>
      </c>
      <c r="FV234" s="208">
        <v>0</v>
      </c>
      <c r="FW234" s="208">
        <v>0</v>
      </c>
      <c r="FX234" s="208">
        <v>0</v>
      </c>
      <c r="FY234" s="208">
        <v>0</v>
      </c>
      <c r="FZ234" s="208">
        <v>0</v>
      </c>
      <c r="GA234" s="208">
        <v>0</v>
      </c>
      <c r="GB234" s="208">
        <v>1395659</v>
      </c>
      <c r="GC234" s="208">
        <v>271002</v>
      </c>
      <c r="GD234" s="208">
        <v>30110</v>
      </c>
      <c r="GE234" s="664">
        <v>0.5</v>
      </c>
      <c r="GF234" s="664">
        <v>0.4</v>
      </c>
      <c r="GG234" s="664">
        <v>0.09</v>
      </c>
      <c r="GH234" s="664">
        <v>0.01</v>
      </c>
      <c r="GI234" s="187" t="s">
        <v>1054</v>
      </c>
    </row>
    <row r="235" spans="1:191" s="187" customFormat="1" x14ac:dyDescent="0.2">
      <c r="B235" s="429" t="s">
        <v>547</v>
      </c>
      <c r="C235" s="429" t="s">
        <v>546</v>
      </c>
      <c r="D235" s="208">
        <v>530285</v>
      </c>
      <c r="E235" s="208">
        <v>0</v>
      </c>
      <c r="F235" s="208">
        <v>530285</v>
      </c>
      <c r="G235" s="208">
        <v>363465</v>
      </c>
      <c r="H235" s="208">
        <v>0</v>
      </c>
      <c r="I235" s="208">
        <v>363465</v>
      </c>
      <c r="J235" s="208">
        <v>166820</v>
      </c>
      <c r="K235" s="208">
        <v>0</v>
      </c>
      <c r="L235" s="208">
        <v>166820</v>
      </c>
      <c r="M235" s="208">
        <v>163466</v>
      </c>
      <c r="N235" s="208">
        <v>163466</v>
      </c>
      <c r="O235" s="208">
        <v>0</v>
      </c>
      <c r="P235" s="208">
        <v>0</v>
      </c>
      <c r="Q235" s="208">
        <v>0</v>
      </c>
      <c r="R235" s="208">
        <v>0</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0</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0</v>
      </c>
      <c r="BM235" s="208">
        <v>0</v>
      </c>
      <c r="BN235" s="208">
        <v>0</v>
      </c>
      <c r="BO235" s="208">
        <v>1162103.898065275</v>
      </c>
      <c r="BP235" s="208">
        <v>1714103.2496462802</v>
      </c>
      <c r="BQ235" s="208">
        <v>29052.597451631871</v>
      </c>
      <c r="BR235" s="208">
        <v>89428</v>
      </c>
      <c r="BS235" s="208">
        <v>131907</v>
      </c>
      <c r="BT235" s="208">
        <v>2236</v>
      </c>
      <c r="BU235" s="208">
        <v>1197398</v>
      </c>
      <c r="BV235" s="208">
        <v>1766162</v>
      </c>
      <c r="BW235" s="208">
        <v>29935</v>
      </c>
      <c r="BX235" s="208">
        <v>54134</v>
      </c>
      <c r="BY235" s="208">
        <v>79848</v>
      </c>
      <c r="BZ235" s="208">
        <v>1354</v>
      </c>
      <c r="CA235" s="208">
        <v>11740.628333333334</v>
      </c>
      <c r="CB235" s="208">
        <v>17317.426791666665</v>
      </c>
      <c r="CC235" s="208">
        <v>293.51570833333335</v>
      </c>
      <c r="CD235" s="208">
        <v>4620</v>
      </c>
      <c r="CE235" s="208">
        <v>6814</v>
      </c>
      <c r="CF235" s="208">
        <v>115</v>
      </c>
      <c r="CG235" s="208">
        <v>7121</v>
      </c>
      <c r="CH235" s="208">
        <v>10503</v>
      </c>
      <c r="CI235" s="208">
        <v>179</v>
      </c>
      <c r="CJ235" s="208">
        <v>0</v>
      </c>
      <c r="CK235" s="208">
        <v>0</v>
      </c>
      <c r="CL235" s="208">
        <v>0</v>
      </c>
      <c r="CM235" s="208">
        <v>0</v>
      </c>
      <c r="CN235" s="208">
        <v>0</v>
      </c>
      <c r="CO235" s="208">
        <v>0</v>
      </c>
      <c r="CP235" s="208">
        <v>-702.53916666666669</v>
      </c>
      <c r="CQ235" s="208">
        <v>-1036.2452708333333</v>
      </c>
      <c r="CR235" s="208">
        <v>-17.563479166666667</v>
      </c>
      <c r="CS235" s="208">
        <v>0</v>
      </c>
      <c r="CT235" s="208">
        <v>0</v>
      </c>
      <c r="CU235" s="208">
        <v>0</v>
      </c>
      <c r="CV235" s="208">
        <v>0</v>
      </c>
      <c r="CW235" s="208">
        <v>0</v>
      </c>
      <c r="CX235" s="208">
        <v>0</v>
      </c>
      <c r="CY235" s="208">
        <v>0</v>
      </c>
      <c r="CZ235" s="208">
        <v>0</v>
      </c>
      <c r="DA235" s="208">
        <v>0</v>
      </c>
      <c r="DB235" s="208">
        <v>0</v>
      </c>
      <c r="DC235" s="208">
        <v>0</v>
      </c>
      <c r="DD235" s="208">
        <v>0</v>
      </c>
      <c r="DE235" s="208">
        <v>5201.3266666666677</v>
      </c>
      <c r="DF235" s="208">
        <v>7671.9568333333336</v>
      </c>
      <c r="DG235" s="208">
        <v>130.03316666666669</v>
      </c>
      <c r="DH235" s="208">
        <v>6005</v>
      </c>
      <c r="DI235" s="208">
        <v>8858</v>
      </c>
      <c r="DJ235" s="208">
        <v>150</v>
      </c>
      <c r="DK235" s="208">
        <v>-804</v>
      </c>
      <c r="DL235" s="208">
        <v>-1186</v>
      </c>
      <c r="DM235" s="208">
        <v>-20</v>
      </c>
      <c r="DN235" s="208">
        <v>613.75</v>
      </c>
      <c r="DO235" s="208">
        <v>905.28125</v>
      </c>
      <c r="DP235" s="208">
        <v>15.34375</v>
      </c>
      <c r="DQ235" s="208">
        <v>614</v>
      </c>
      <c r="DR235" s="208">
        <v>905</v>
      </c>
      <c r="DS235" s="208">
        <v>15</v>
      </c>
      <c r="DT235" s="208">
        <v>0</v>
      </c>
      <c r="DU235" s="208">
        <v>0</v>
      </c>
      <c r="DV235" s="208">
        <v>0</v>
      </c>
      <c r="DW235" s="208">
        <v>13056.917500000001</v>
      </c>
      <c r="DX235" s="208">
        <v>19258.953312499998</v>
      </c>
      <c r="DY235" s="208">
        <v>326.42293749999999</v>
      </c>
      <c r="DZ235" s="208">
        <v>10627</v>
      </c>
      <c r="EA235" s="208">
        <v>15676</v>
      </c>
      <c r="EB235" s="208">
        <v>266</v>
      </c>
      <c r="EC235" s="208">
        <v>2430</v>
      </c>
      <c r="ED235" s="208">
        <v>3583</v>
      </c>
      <c r="EE235" s="208">
        <v>60</v>
      </c>
      <c r="EF235" s="208">
        <v>50322.180833333339</v>
      </c>
      <c r="EG235" s="208">
        <v>74225.21672916667</v>
      </c>
      <c r="EH235" s="208">
        <v>1258.0545208333333</v>
      </c>
      <c r="EI235" s="208">
        <v>-778.23500000000013</v>
      </c>
      <c r="EJ235" s="208">
        <v>-1147.8966250000001</v>
      </c>
      <c r="EK235" s="208">
        <v>-19.455875000000002</v>
      </c>
      <c r="EL235" s="208">
        <v>44298</v>
      </c>
      <c r="EM235" s="208">
        <v>65340</v>
      </c>
      <c r="EN235" s="208">
        <v>1107</v>
      </c>
      <c r="EO235" s="208">
        <v>5246</v>
      </c>
      <c r="EP235" s="208">
        <v>7737</v>
      </c>
      <c r="EQ235" s="208">
        <v>132</v>
      </c>
      <c r="ER235" s="208">
        <v>25312.686666666668</v>
      </c>
      <c r="ES235" s="208">
        <v>37336.212833333338</v>
      </c>
      <c r="ET235" s="208">
        <v>632.81716666666671</v>
      </c>
      <c r="EU235" s="208">
        <v>18180</v>
      </c>
      <c r="EV235" s="208">
        <v>26815</v>
      </c>
      <c r="EW235" s="208">
        <v>454</v>
      </c>
      <c r="EX235" s="208">
        <v>7133</v>
      </c>
      <c r="EY235" s="208">
        <v>10521</v>
      </c>
      <c r="EZ235" s="208">
        <v>179</v>
      </c>
      <c r="FA235" s="208">
        <v>0</v>
      </c>
      <c r="FB235" s="208">
        <v>0</v>
      </c>
      <c r="FC235" s="208">
        <v>0</v>
      </c>
      <c r="FD235" s="208">
        <v>0</v>
      </c>
      <c r="FE235" s="208">
        <v>0</v>
      </c>
      <c r="FF235" s="208">
        <v>0</v>
      </c>
      <c r="FG235" s="208">
        <v>0</v>
      </c>
      <c r="FH235" s="208">
        <v>0</v>
      </c>
      <c r="FI235" s="208">
        <v>0</v>
      </c>
      <c r="FJ235" s="208">
        <v>327695.27999999997</v>
      </c>
      <c r="FK235" s="208">
        <v>483350.53799999994</v>
      </c>
      <c r="FL235" s="208">
        <v>8192.3819999999996</v>
      </c>
      <c r="FM235" s="208">
        <v>318640</v>
      </c>
      <c r="FN235" s="208">
        <v>469994</v>
      </c>
      <c r="FO235" s="208">
        <v>7966</v>
      </c>
      <c r="FP235" s="208">
        <v>9055</v>
      </c>
      <c r="FQ235" s="208">
        <v>13357</v>
      </c>
      <c r="FR235" s="208">
        <v>226</v>
      </c>
      <c r="FS235" s="208">
        <v>0</v>
      </c>
      <c r="FT235" s="208">
        <v>0</v>
      </c>
      <c r="FU235" s="208">
        <v>0</v>
      </c>
      <c r="FV235" s="208">
        <v>0</v>
      </c>
      <c r="FW235" s="208">
        <v>0</v>
      </c>
      <c r="FX235" s="208">
        <v>0</v>
      </c>
      <c r="FY235" s="208">
        <v>0</v>
      </c>
      <c r="FZ235" s="208">
        <v>0</v>
      </c>
      <c r="GA235" s="208">
        <v>0</v>
      </c>
      <c r="GB235" s="208">
        <v>1683994</v>
      </c>
      <c r="GC235" s="208">
        <v>2483891</v>
      </c>
      <c r="GD235" s="208">
        <v>42100</v>
      </c>
      <c r="GE235" s="664">
        <v>0</v>
      </c>
      <c r="GF235" s="664">
        <v>0.4</v>
      </c>
      <c r="GG235" s="664">
        <v>0.59</v>
      </c>
      <c r="GH235" s="664">
        <v>0.01</v>
      </c>
      <c r="GI235" s="187" t="s">
        <v>1054</v>
      </c>
    </row>
    <row r="236" spans="1:191" s="187" customFormat="1" x14ac:dyDescent="0.2">
      <c r="B236" s="429" t="s">
        <v>549</v>
      </c>
      <c r="C236" s="429" t="s">
        <v>548</v>
      </c>
      <c r="D236" s="208">
        <v>-5258742</v>
      </c>
      <c r="E236" s="208">
        <v>-112962</v>
      </c>
      <c r="F236" s="208">
        <v>-5371704</v>
      </c>
      <c r="G236" s="208">
        <v>-8650071</v>
      </c>
      <c r="H236" s="208">
        <v>-113785</v>
      </c>
      <c r="I236" s="208">
        <v>-8763856</v>
      </c>
      <c r="J236" s="208">
        <v>3391329</v>
      </c>
      <c r="K236" s="208">
        <v>823</v>
      </c>
      <c r="L236" s="208">
        <v>3392152</v>
      </c>
      <c r="M236" s="208">
        <v>751904</v>
      </c>
      <c r="N236" s="208">
        <v>751904</v>
      </c>
      <c r="O236" s="208">
        <v>0</v>
      </c>
      <c r="P236" s="208">
        <v>607256</v>
      </c>
      <c r="Q236" s="208">
        <v>581110</v>
      </c>
      <c r="R236" s="208">
        <v>26146</v>
      </c>
      <c r="S236" s="208">
        <v>1538824</v>
      </c>
      <c r="T236" s="208">
        <v>0</v>
      </c>
      <c r="U236" s="208">
        <v>1104320</v>
      </c>
      <c r="V236" s="208">
        <v>0</v>
      </c>
      <c r="W236" s="208">
        <v>434504</v>
      </c>
      <c r="X236" s="208">
        <v>0</v>
      </c>
      <c r="Y236" s="208">
        <v>0</v>
      </c>
      <c r="Z236" s="208">
        <v>0</v>
      </c>
      <c r="AA236" s="208">
        <v>0</v>
      </c>
      <c r="AB236" s="208">
        <v>0</v>
      </c>
      <c r="AC236" s="208">
        <v>0</v>
      </c>
      <c r="AD236" s="208">
        <v>0</v>
      </c>
      <c r="AE236" s="208">
        <v>0</v>
      </c>
      <c r="AF236" s="208">
        <v>0</v>
      </c>
      <c r="AG236" s="208">
        <v>0</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0</v>
      </c>
      <c r="BM236" s="208">
        <v>0</v>
      </c>
      <c r="BN236" s="208">
        <v>0</v>
      </c>
      <c r="BO236" s="208">
        <v>6144088.6398834996</v>
      </c>
      <c r="BP236" s="208">
        <v>0</v>
      </c>
      <c r="BQ236" s="208">
        <v>125295.25308316668</v>
      </c>
      <c r="BR236" s="208">
        <v>390849</v>
      </c>
      <c r="BS236" s="208">
        <v>0</v>
      </c>
      <c r="BT236" s="208">
        <v>7944</v>
      </c>
      <c r="BU236" s="208">
        <v>5881764</v>
      </c>
      <c r="BV236" s="208">
        <v>0</v>
      </c>
      <c r="BW236" s="208">
        <v>119516</v>
      </c>
      <c r="BX236" s="208">
        <v>653174</v>
      </c>
      <c r="BY236" s="208">
        <v>0</v>
      </c>
      <c r="BZ236" s="208">
        <v>13723</v>
      </c>
      <c r="CA236" s="208">
        <v>25215.335687499995</v>
      </c>
      <c r="CB236" s="208">
        <v>0</v>
      </c>
      <c r="CC236" s="208">
        <v>514.59868749999998</v>
      </c>
      <c r="CD236" s="208">
        <v>1261</v>
      </c>
      <c r="CE236" s="208">
        <v>0</v>
      </c>
      <c r="CF236" s="208">
        <v>0</v>
      </c>
      <c r="CG236" s="208">
        <v>23954</v>
      </c>
      <c r="CH236" s="208">
        <v>0</v>
      </c>
      <c r="CI236" s="208">
        <v>515</v>
      </c>
      <c r="CJ236" s="208">
        <v>0</v>
      </c>
      <c r="CK236" s="208">
        <v>0</v>
      </c>
      <c r="CL236" s="208">
        <v>0</v>
      </c>
      <c r="CM236" s="208">
        <v>0</v>
      </c>
      <c r="CN236" s="208">
        <v>0</v>
      </c>
      <c r="CO236" s="208">
        <v>0</v>
      </c>
      <c r="CP236" s="208">
        <v>81.700354166666671</v>
      </c>
      <c r="CQ236" s="208">
        <v>0</v>
      </c>
      <c r="CR236" s="208">
        <v>1.6673541666666669</v>
      </c>
      <c r="CS236" s="208">
        <v>0</v>
      </c>
      <c r="CT236" s="208">
        <v>0</v>
      </c>
      <c r="CU236" s="208">
        <v>0</v>
      </c>
      <c r="CV236" s="208">
        <v>0</v>
      </c>
      <c r="CW236" s="208">
        <v>0</v>
      </c>
      <c r="CX236" s="208">
        <v>0</v>
      </c>
      <c r="CY236" s="208">
        <v>0</v>
      </c>
      <c r="CZ236" s="208">
        <v>0</v>
      </c>
      <c r="DA236" s="208">
        <v>0</v>
      </c>
      <c r="DB236" s="208">
        <v>-13150.248416666665</v>
      </c>
      <c r="DC236" s="208">
        <v>0</v>
      </c>
      <c r="DD236" s="208">
        <v>-268.37241666666665</v>
      </c>
      <c r="DE236" s="208">
        <v>0</v>
      </c>
      <c r="DF236" s="208">
        <v>0</v>
      </c>
      <c r="DG236" s="208">
        <v>0</v>
      </c>
      <c r="DH236" s="208">
        <v>0</v>
      </c>
      <c r="DI236" s="208">
        <v>0</v>
      </c>
      <c r="DJ236" s="208">
        <v>0</v>
      </c>
      <c r="DK236" s="208">
        <v>0</v>
      </c>
      <c r="DL236" s="208">
        <v>0</v>
      </c>
      <c r="DM236" s="208">
        <v>0</v>
      </c>
      <c r="DN236" s="208">
        <v>0</v>
      </c>
      <c r="DO236" s="208">
        <v>0</v>
      </c>
      <c r="DP236" s="208">
        <v>0</v>
      </c>
      <c r="DQ236" s="208">
        <v>0</v>
      </c>
      <c r="DR236" s="208">
        <v>0</v>
      </c>
      <c r="DS236" s="208">
        <v>0</v>
      </c>
      <c r="DT236" s="208">
        <v>0</v>
      </c>
      <c r="DU236" s="208">
        <v>0</v>
      </c>
      <c r="DV236" s="208">
        <v>0</v>
      </c>
      <c r="DW236" s="208">
        <v>27952.548166666667</v>
      </c>
      <c r="DX236" s="208">
        <v>0</v>
      </c>
      <c r="DY236" s="208">
        <v>570.46016666666662</v>
      </c>
      <c r="DZ236" s="208">
        <v>36034</v>
      </c>
      <c r="EA236" s="208">
        <v>0</v>
      </c>
      <c r="EB236" s="208">
        <v>735</v>
      </c>
      <c r="EC236" s="208">
        <v>-8081</v>
      </c>
      <c r="ED236" s="208">
        <v>0</v>
      </c>
      <c r="EE236" s="208">
        <v>-165</v>
      </c>
      <c r="EF236" s="208">
        <v>157354.88212499997</v>
      </c>
      <c r="EG236" s="208">
        <v>0</v>
      </c>
      <c r="EH236" s="208">
        <v>3211.3241249999996</v>
      </c>
      <c r="EI236" s="208">
        <v>10691.218124999999</v>
      </c>
      <c r="EJ236" s="208">
        <v>0</v>
      </c>
      <c r="EK236" s="208">
        <v>218.18812500000001</v>
      </c>
      <c r="EL236" s="208">
        <v>227057</v>
      </c>
      <c r="EM236" s="208">
        <v>0</v>
      </c>
      <c r="EN236" s="208">
        <v>4634</v>
      </c>
      <c r="EO236" s="208">
        <v>-59011</v>
      </c>
      <c r="EP236" s="208">
        <v>0</v>
      </c>
      <c r="EQ236" s="208">
        <v>-1204</v>
      </c>
      <c r="ER236" s="208">
        <v>87309.108541666676</v>
      </c>
      <c r="ES236" s="208">
        <v>0</v>
      </c>
      <c r="ET236" s="208">
        <v>1781.8185416666668</v>
      </c>
      <c r="EU236" s="208">
        <v>100508</v>
      </c>
      <c r="EV236" s="208">
        <v>0</v>
      </c>
      <c r="EW236" s="208">
        <v>2030</v>
      </c>
      <c r="EX236" s="208">
        <v>-13199</v>
      </c>
      <c r="EY236" s="208">
        <v>0</v>
      </c>
      <c r="EZ236" s="208">
        <v>-248</v>
      </c>
      <c r="FA236" s="208">
        <v>0</v>
      </c>
      <c r="FB236" s="208">
        <v>0</v>
      </c>
      <c r="FC236" s="208">
        <v>0</v>
      </c>
      <c r="FD236" s="208">
        <v>0</v>
      </c>
      <c r="FE236" s="208">
        <v>0</v>
      </c>
      <c r="FF236" s="208">
        <v>0</v>
      </c>
      <c r="FG236" s="208">
        <v>0</v>
      </c>
      <c r="FH236" s="208">
        <v>0</v>
      </c>
      <c r="FI236" s="208">
        <v>0</v>
      </c>
      <c r="FJ236" s="208">
        <v>2475686.5157291666</v>
      </c>
      <c r="FK236" s="208">
        <v>0</v>
      </c>
      <c r="FL236" s="208">
        <v>49520.520729166667</v>
      </c>
      <c r="FM236" s="208">
        <v>2293712</v>
      </c>
      <c r="FN236" s="208">
        <v>0</v>
      </c>
      <c r="FO236" s="208">
        <v>46022</v>
      </c>
      <c r="FP236" s="208">
        <v>181975</v>
      </c>
      <c r="FQ236" s="208">
        <v>0</v>
      </c>
      <c r="FR236" s="208">
        <v>3499</v>
      </c>
      <c r="FS236" s="208">
        <v>0</v>
      </c>
      <c r="FT236" s="208">
        <v>0</v>
      </c>
      <c r="FU236" s="208">
        <v>0</v>
      </c>
      <c r="FV236" s="208">
        <v>0</v>
      </c>
      <c r="FW236" s="208">
        <v>0</v>
      </c>
      <c r="FX236" s="208">
        <v>0</v>
      </c>
      <c r="FY236" s="208">
        <v>0</v>
      </c>
      <c r="FZ236" s="208">
        <v>0</v>
      </c>
      <c r="GA236" s="208">
        <v>0</v>
      </c>
      <c r="GB236" s="208">
        <v>9306080</v>
      </c>
      <c r="GC236" s="208">
        <v>0</v>
      </c>
      <c r="GD236" s="208">
        <v>188790</v>
      </c>
      <c r="GE236" s="664">
        <v>0.5</v>
      </c>
      <c r="GF236" s="664">
        <v>0.49</v>
      </c>
      <c r="GG236" s="664">
        <v>0</v>
      </c>
      <c r="GH236" s="664">
        <v>0.01</v>
      </c>
      <c r="GI236" s="187" t="s">
        <v>1056</v>
      </c>
    </row>
    <row r="237" spans="1:191" s="187" customFormat="1" x14ac:dyDescent="0.2">
      <c r="B237" s="429" t="s">
        <v>552</v>
      </c>
      <c r="C237" s="429" t="s">
        <v>551</v>
      </c>
      <c r="D237" s="208">
        <v>4036985</v>
      </c>
      <c r="E237" s="208">
        <v>0</v>
      </c>
      <c r="F237" s="208">
        <v>4036985</v>
      </c>
      <c r="G237" s="208">
        <v>3916442</v>
      </c>
      <c r="H237" s="208">
        <v>0</v>
      </c>
      <c r="I237" s="208">
        <v>3916442</v>
      </c>
      <c r="J237" s="208">
        <v>120543</v>
      </c>
      <c r="K237" s="208">
        <v>0</v>
      </c>
      <c r="L237" s="208">
        <v>120543</v>
      </c>
      <c r="M237" s="208">
        <v>460982</v>
      </c>
      <c r="N237" s="208">
        <v>460982</v>
      </c>
      <c r="O237" s="208">
        <v>0</v>
      </c>
      <c r="P237" s="208">
        <v>0</v>
      </c>
      <c r="Q237" s="208">
        <v>0</v>
      </c>
      <c r="R237" s="208">
        <v>0</v>
      </c>
      <c r="S237" s="208">
        <v>1183158</v>
      </c>
      <c r="T237" s="208">
        <v>0</v>
      </c>
      <c r="U237" s="208">
        <v>479648</v>
      </c>
      <c r="V237" s="208">
        <v>0</v>
      </c>
      <c r="W237" s="208">
        <v>703510</v>
      </c>
      <c r="X237" s="208">
        <v>0</v>
      </c>
      <c r="Y237" s="208">
        <v>0</v>
      </c>
      <c r="Z237" s="208">
        <v>0</v>
      </c>
      <c r="AA237" s="208">
        <v>0</v>
      </c>
      <c r="AB237" s="208">
        <v>0</v>
      </c>
      <c r="AC237" s="208">
        <v>0</v>
      </c>
      <c r="AD237" s="208">
        <v>0</v>
      </c>
      <c r="AE237" s="208">
        <v>0</v>
      </c>
      <c r="AF237" s="208">
        <v>0</v>
      </c>
      <c r="AG237" s="208">
        <v>0</v>
      </c>
      <c r="AH237" s="208">
        <v>0</v>
      </c>
      <c r="AI237" s="208">
        <v>0</v>
      </c>
      <c r="AJ237" s="208">
        <v>0</v>
      </c>
      <c r="AK237" s="208">
        <v>0</v>
      </c>
      <c r="AL237" s="208">
        <v>0</v>
      </c>
      <c r="AM237" s="208">
        <v>0</v>
      </c>
      <c r="AN237" s="208">
        <v>0</v>
      </c>
      <c r="AO237" s="208">
        <v>0</v>
      </c>
      <c r="AP237" s="208">
        <v>0</v>
      </c>
      <c r="AQ237" s="208">
        <v>0</v>
      </c>
      <c r="AR237" s="208">
        <v>0</v>
      </c>
      <c r="AS237" s="208">
        <v>0</v>
      </c>
      <c r="AT237" s="208">
        <v>0</v>
      </c>
      <c r="AU237" s="208">
        <v>0</v>
      </c>
      <c r="AV237" s="208">
        <v>0</v>
      </c>
      <c r="AW237" s="208">
        <v>0</v>
      </c>
      <c r="AX237" s="208">
        <v>0</v>
      </c>
      <c r="AY237" s="208">
        <v>0</v>
      </c>
      <c r="AZ237" s="208">
        <v>0</v>
      </c>
      <c r="BA237" s="208">
        <v>0</v>
      </c>
      <c r="BB237" s="208">
        <v>0</v>
      </c>
      <c r="BC237" s="208">
        <v>0</v>
      </c>
      <c r="BD237" s="208">
        <v>0</v>
      </c>
      <c r="BE237" s="208">
        <v>0</v>
      </c>
      <c r="BF237" s="208">
        <v>0</v>
      </c>
      <c r="BG237" s="208">
        <v>0</v>
      </c>
      <c r="BH237" s="208">
        <v>0</v>
      </c>
      <c r="BI237" s="208">
        <v>0</v>
      </c>
      <c r="BJ237" s="208">
        <v>0</v>
      </c>
      <c r="BK237" s="208">
        <v>0</v>
      </c>
      <c r="BL237" s="208">
        <v>0</v>
      </c>
      <c r="BM237" s="208">
        <v>0</v>
      </c>
      <c r="BN237" s="208">
        <v>0</v>
      </c>
      <c r="BO237" s="208">
        <v>4486423.3653330011</v>
      </c>
      <c r="BP237" s="208">
        <v>0</v>
      </c>
      <c r="BQ237" s="208">
        <v>91559.660517000026</v>
      </c>
      <c r="BR237" s="208">
        <v>247326</v>
      </c>
      <c r="BS237" s="208">
        <v>0</v>
      </c>
      <c r="BT237" s="208">
        <v>5047</v>
      </c>
      <c r="BU237" s="208">
        <v>4265161</v>
      </c>
      <c r="BV237" s="208">
        <v>0</v>
      </c>
      <c r="BW237" s="208">
        <v>87044</v>
      </c>
      <c r="BX237" s="208">
        <v>468588</v>
      </c>
      <c r="BY237" s="208">
        <v>0</v>
      </c>
      <c r="BZ237" s="208">
        <v>9563</v>
      </c>
      <c r="CA237" s="208">
        <v>20802.514104166668</v>
      </c>
      <c r="CB237" s="208">
        <v>0</v>
      </c>
      <c r="CC237" s="208">
        <v>424.54110416666668</v>
      </c>
      <c r="CD237" s="208">
        <v>16726</v>
      </c>
      <c r="CE237" s="208">
        <v>0</v>
      </c>
      <c r="CF237" s="208">
        <v>341</v>
      </c>
      <c r="CG237" s="208">
        <v>4077</v>
      </c>
      <c r="CH237" s="208">
        <v>0</v>
      </c>
      <c r="CI237" s="208">
        <v>84</v>
      </c>
      <c r="CJ237" s="208">
        <v>0</v>
      </c>
      <c r="CK237" s="208">
        <v>0</v>
      </c>
      <c r="CL237" s="208">
        <v>0</v>
      </c>
      <c r="CM237" s="208">
        <v>0</v>
      </c>
      <c r="CN237" s="208">
        <v>0</v>
      </c>
      <c r="CO237" s="208">
        <v>0</v>
      </c>
      <c r="CP237" s="208">
        <v>0</v>
      </c>
      <c r="CQ237" s="208">
        <v>0</v>
      </c>
      <c r="CR237" s="208">
        <v>0</v>
      </c>
      <c r="CS237" s="208">
        <v>0</v>
      </c>
      <c r="CT237" s="208">
        <v>0</v>
      </c>
      <c r="CU237" s="208">
        <v>0</v>
      </c>
      <c r="CV237" s="208">
        <v>0</v>
      </c>
      <c r="CW237" s="208">
        <v>0</v>
      </c>
      <c r="CX237" s="208">
        <v>0</v>
      </c>
      <c r="CY237" s="208">
        <v>0</v>
      </c>
      <c r="CZ237" s="208">
        <v>0</v>
      </c>
      <c r="DA237" s="208">
        <v>0</v>
      </c>
      <c r="DB237" s="208">
        <v>0</v>
      </c>
      <c r="DC237" s="208">
        <v>0</v>
      </c>
      <c r="DD237" s="208">
        <v>0</v>
      </c>
      <c r="DE237" s="208">
        <v>16514.498583333334</v>
      </c>
      <c r="DF237" s="208">
        <v>0</v>
      </c>
      <c r="DG237" s="208">
        <v>337.03058333333337</v>
      </c>
      <c r="DH237" s="208">
        <v>17315</v>
      </c>
      <c r="DI237" s="208">
        <v>0</v>
      </c>
      <c r="DJ237" s="208">
        <v>353</v>
      </c>
      <c r="DK237" s="208">
        <v>-801</v>
      </c>
      <c r="DL237" s="208">
        <v>0</v>
      </c>
      <c r="DM237" s="208">
        <v>-16</v>
      </c>
      <c r="DN237" s="208">
        <v>4132.1332499999999</v>
      </c>
      <c r="DO237" s="208">
        <v>0</v>
      </c>
      <c r="DP237" s="208">
        <v>84.329250000000002</v>
      </c>
      <c r="DQ237" s="208">
        <v>0</v>
      </c>
      <c r="DR237" s="208">
        <v>0</v>
      </c>
      <c r="DS237" s="208">
        <v>0</v>
      </c>
      <c r="DT237" s="208">
        <v>4132</v>
      </c>
      <c r="DU237" s="208">
        <v>0</v>
      </c>
      <c r="DV237" s="208">
        <v>84</v>
      </c>
      <c r="DW237" s="208">
        <v>94900.224270833321</v>
      </c>
      <c r="DX237" s="208">
        <v>0</v>
      </c>
      <c r="DY237" s="208">
        <v>1936.7392708333332</v>
      </c>
      <c r="DZ237" s="208">
        <v>100575</v>
      </c>
      <c r="EA237" s="208">
        <v>0</v>
      </c>
      <c r="EB237" s="208">
        <v>2053</v>
      </c>
      <c r="EC237" s="208">
        <v>-5675</v>
      </c>
      <c r="ED237" s="208">
        <v>0</v>
      </c>
      <c r="EE237" s="208">
        <v>-116</v>
      </c>
      <c r="EF237" s="208">
        <v>318507.07641666668</v>
      </c>
      <c r="EG237" s="208">
        <v>0</v>
      </c>
      <c r="EH237" s="208">
        <v>6500.144416666667</v>
      </c>
      <c r="EI237" s="208">
        <v>-1857.0540624999999</v>
      </c>
      <c r="EJ237" s="208">
        <v>0</v>
      </c>
      <c r="EK237" s="208">
        <v>-37.899062499999999</v>
      </c>
      <c r="EL237" s="208">
        <v>318280</v>
      </c>
      <c r="EM237" s="208">
        <v>0</v>
      </c>
      <c r="EN237" s="208">
        <v>6496</v>
      </c>
      <c r="EO237" s="208">
        <v>-1630</v>
      </c>
      <c r="EP237" s="208">
        <v>0</v>
      </c>
      <c r="EQ237" s="208">
        <v>-34</v>
      </c>
      <c r="ER237" s="208">
        <v>95181.413833333339</v>
      </c>
      <c r="ES237" s="208">
        <v>0</v>
      </c>
      <c r="ET237" s="208">
        <v>1942.4778333333334</v>
      </c>
      <c r="EU237" s="208">
        <v>87715</v>
      </c>
      <c r="EV237" s="208">
        <v>0</v>
      </c>
      <c r="EW237" s="208">
        <v>1790</v>
      </c>
      <c r="EX237" s="208">
        <v>7466</v>
      </c>
      <c r="EY237" s="208">
        <v>0</v>
      </c>
      <c r="EZ237" s="208">
        <v>152</v>
      </c>
      <c r="FA237" s="208">
        <v>0</v>
      </c>
      <c r="FB237" s="208">
        <v>0</v>
      </c>
      <c r="FC237" s="208">
        <v>0</v>
      </c>
      <c r="FD237" s="208">
        <v>0</v>
      </c>
      <c r="FE237" s="208">
        <v>0</v>
      </c>
      <c r="FF237" s="208">
        <v>0</v>
      </c>
      <c r="FG237" s="208">
        <v>0</v>
      </c>
      <c r="FH237" s="208">
        <v>0</v>
      </c>
      <c r="FI237" s="208">
        <v>0</v>
      </c>
      <c r="FJ237" s="208">
        <v>927747.14908333332</v>
      </c>
      <c r="FK237" s="208">
        <v>0</v>
      </c>
      <c r="FL237" s="208">
        <v>18380.267583333334</v>
      </c>
      <c r="FM237" s="208">
        <v>934759</v>
      </c>
      <c r="FN237" s="208">
        <v>0</v>
      </c>
      <c r="FO237" s="208">
        <v>18852</v>
      </c>
      <c r="FP237" s="208">
        <v>-7012</v>
      </c>
      <c r="FQ237" s="208">
        <v>0</v>
      </c>
      <c r="FR237" s="208">
        <v>-472</v>
      </c>
      <c r="FS237" s="208">
        <v>0</v>
      </c>
      <c r="FT237" s="208">
        <v>0</v>
      </c>
      <c r="FU237" s="208">
        <v>0</v>
      </c>
      <c r="FV237" s="208">
        <v>0</v>
      </c>
      <c r="FW237" s="208">
        <v>0</v>
      </c>
      <c r="FX237" s="208">
        <v>0</v>
      </c>
      <c r="FY237" s="208">
        <v>0</v>
      </c>
      <c r="FZ237" s="208">
        <v>0</v>
      </c>
      <c r="GA237" s="208">
        <v>0</v>
      </c>
      <c r="GB237" s="208">
        <v>6209676</v>
      </c>
      <c r="GC237" s="208">
        <v>0</v>
      </c>
      <c r="GD237" s="208">
        <v>126174</v>
      </c>
      <c r="GE237" s="664">
        <v>0.5</v>
      </c>
      <c r="GF237" s="664">
        <v>0.49</v>
      </c>
      <c r="GG237" s="664">
        <v>0</v>
      </c>
      <c r="GH237" s="664">
        <v>0.01</v>
      </c>
      <c r="GI237" s="187" t="s">
        <v>742</v>
      </c>
    </row>
    <row r="238" spans="1:191" s="187" customFormat="1" x14ac:dyDescent="0.2">
      <c r="A238" s="187" t="s">
        <v>1811</v>
      </c>
      <c r="B238" s="429" t="s">
        <v>554</v>
      </c>
      <c r="C238" s="429" t="s">
        <v>553</v>
      </c>
      <c r="D238" s="208">
        <v>-2317355</v>
      </c>
      <c r="E238" s="208">
        <v>0</v>
      </c>
      <c r="F238" s="208">
        <v>-2317355</v>
      </c>
      <c r="G238" s="208">
        <v>-1176149</v>
      </c>
      <c r="H238" s="208">
        <v>0</v>
      </c>
      <c r="I238" s="208">
        <v>-1176149</v>
      </c>
      <c r="J238" s="208">
        <v>-1141206</v>
      </c>
      <c r="K238" s="208">
        <v>0</v>
      </c>
      <c r="L238" s="208">
        <v>-1141206</v>
      </c>
      <c r="M238" s="208">
        <v>205422</v>
      </c>
      <c r="N238" s="208">
        <v>205422</v>
      </c>
      <c r="O238" s="208">
        <v>0</v>
      </c>
      <c r="P238" s="208">
        <v>0</v>
      </c>
      <c r="Q238" s="208">
        <v>0</v>
      </c>
      <c r="R238" s="208">
        <v>0</v>
      </c>
      <c r="S238" s="208">
        <v>0</v>
      </c>
      <c r="T238" s="208">
        <v>0</v>
      </c>
      <c r="U238" s="208">
        <v>0</v>
      </c>
      <c r="V238" s="208">
        <v>0</v>
      </c>
      <c r="W238" s="208">
        <v>0</v>
      </c>
      <c r="X238" s="208">
        <v>0</v>
      </c>
      <c r="Y238" s="208">
        <v>0</v>
      </c>
      <c r="Z238" s="208">
        <v>0</v>
      </c>
      <c r="AA238" s="208">
        <v>0</v>
      </c>
      <c r="AB238" s="208">
        <v>0</v>
      </c>
      <c r="AC238" s="208">
        <v>0</v>
      </c>
      <c r="AD238" s="208">
        <v>0</v>
      </c>
      <c r="AE238" s="208">
        <v>0</v>
      </c>
      <c r="AF238" s="208">
        <v>0</v>
      </c>
      <c r="AG238" s="208">
        <v>0</v>
      </c>
      <c r="AH238" s="208">
        <v>0</v>
      </c>
      <c r="AI238" s="208">
        <v>0</v>
      </c>
      <c r="AJ238" s="208">
        <v>0</v>
      </c>
      <c r="AK238" s="208">
        <v>0</v>
      </c>
      <c r="AL238" s="208">
        <v>0</v>
      </c>
      <c r="AM238" s="208">
        <v>0</v>
      </c>
      <c r="AN238" s="208">
        <v>0</v>
      </c>
      <c r="AO238" s="208">
        <v>0</v>
      </c>
      <c r="AP238" s="208">
        <v>0</v>
      </c>
      <c r="AQ238" s="208">
        <v>0</v>
      </c>
      <c r="AR238" s="208">
        <v>0</v>
      </c>
      <c r="AS238" s="208">
        <v>0</v>
      </c>
      <c r="AT238" s="208">
        <v>0</v>
      </c>
      <c r="AU238" s="208">
        <v>0</v>
      </c>
      <c r="AV238" s="208">
        <v>0</v>
      </c>
      <c r="AW238" s="208">
        <v>0</v>
      </c>
      <c r="AX238" s="208">
        <v>0</v>
      </c>
      <c r="AY238" s="208">
        <v>0</v>
      </c>
      <c r="AZ238" s="208">
        <v>0</v>
      </c>
      <c r="BA238" s="208">
        <v>0</v>
      </c>
      <c r="BB238" s="208">
        <v>0</v>
      </c>
      <c r="BC238" s="208">
        <v>0</v>
      </c>
      <c r="BD238" s="208">
        <v>0</v>
      </c>
      <c r="BE238" s="208">
        <v>0</v>
      </c>
      <c r="BF238" s="208">
        <v>0</v>
      </c>
      <c r="BG238" s="208">
        <v>0</v>
      </c>
      <c r="BH238" s="208">
        <v>0</v>
      </c>
      <c r="BI238" s="208">
        <v>0</v>
      </c>
      <c r="BJ238" s="208">
        <v>0</v>
      </c>
      <c r="BK238" s="208">
        <v>0</v>
      </c>
      <c r="BL238" s="208">
        <v>0</v>
      </c>
      <c r="BM238" s="208">
        <v>0</v>
      </c>
      <c r="BN238" s="208">
        <v>0</v>
      </c>
      <c r="BO238" s="208">
        <v>2243759.1697001248</v>
      </c>
      <c r="BP238" s="208">
        <v>0</v>
      </c>
      <c r="BQ238" s="208">
        <v>22664.234037375005</v>
      </c>
      <c r="BR238" s="208">
        <v>271430</v>
      </c>
      <c r="BS238" s="208">
        <v>0</v>
      </c>
      <c r="BT238" s="208">
        <v>2742</v>
      </c>
      <c r="BU238" s="208">
        <v>2039789</v>
      </c>
      <c r="BV238" s="208">
        <v>0</v>
      </c>
      <c r="BW238" s="208">
        <v>20604</v>
      </c>
      <c r="BX238" s="208">
        <v>475400</v>
      </c>
      <c r="BY238" s="208">
        <v>0</v>
      </c>
      <c r="BZ238" s="208">
        <v>4802</v>
      </c>
      <c r="CA238" s="208">
        <v>7194.1320000000005</v>
      </c>
      <c r="CB238" s="208">
        <v>0</v>
      </c>
      <c r="CC238" s="208">
        <v>72.668000000000006</v>
      </c>
      <c r="CD238" s="208">
        <v>7194</v>
      </c>
      <c r="CE238" s="208">
        <v>0</v>
      </c>
      <c r="CF238" s="208">
        <v>73</v>
      </c>
      <c r="CG238" s="208">
        <v>0</v>
      </c>
      <c r="CH238" s="208">
        <v>0</v>
      </c>
      <c r="CI238" s="208">
        <v>0</v>
      </c>
      <c r="CJ238" s="208">
        <v>0</v>
      </c>
      <c r="CK238" s="208">
        <v>0</v>
      </c>
      <c r="CL238" s="208">
        <v>0</v>
      </c>
      <c r="CM238" s="208">
        <v>0</v>
      </c>
      <c r="CN238" s="208">
        <v>0</v>
      </c>
      <c r="CO238" s="208">
        <v>0</v>
      </c>
      <c r="CP238" s="208">
        <v>0</v>
      </c>
      <c r="CQ238" s="208">
        <v>0</v>
      </c>
      <c r="CR238" s="208">
        <v>0</v>
      </c>
      <c r="CS238" s="208">
        <v>0</v>
      </c>
      <c r="CT238" s="208">
        <v>0</v>
      </c>
      <c r="CU238" s="208">
        <v>0</v>
      </c>
      <c r="CV238" s="208">
        <v>0</v>
      </c>
      <c r="CW238" s="208">
        <v>0</v>
      </c>
      <c r="CX238" s="208">
        <v>0</v>
      </c>
      <c r="CY238" s="208">
        <v>0</v>
      </c>
      <c r="CZ238" s="208">
        <v>0</v>
      </c>
      <c r="DA238" s="208">
        <v>0</v>
      </c>
      <c r="DB238" s="208">
        <v>0</v>
      </c>
      <c r="DC238" s="208">
        <v>0</v>
      </c>
      <c r="DD238" s="208">
        <v>0</v>
      </c>
      <c r="DE238" s="208">
        <v>0</v>
      </c>
      <c r="DF238" s="208">
        <v>0</v>
      </c>
      <c r="DG238" s="208">
        <v>0</v>
      </c>
      <c r="DH238" s="208">
        <v>0</v>
      </c>
      <c r="DI238" s="208">
        <v>0</v>
      </c>
      <c r="DJ238" s="208">
        <v>0</v>
      </c>
      <c r="DK238" s="208">
        <v>0</v>
      </c>
      <c r="DL238" s="208">
        <v>0</v>
      </c>
      <c r="DM238" s="208">
        <v>0</v>
      </c>
      <c r="DN238" s="208">
        <v>2405.1328125</v>
      </c>
      <c r="DO238" s="208">
        <v>0</v>
      </c>
      <c r="DP238" s="208">
        <v>24.294270833333336</v>
      </c>
      <c r="DQ238" s="208">
        <v>0</v>
      </c>
      <c r="DR238" s="208">
        <v>0</v>
      </c>
      <c r="DS238" s="208">
        <v>0</v>
      </c>
      <c r="DT238" s="208">
        <v>2405</v>
      </c>
      <c r="DU238" s="208">
        <v>0</v>
      </c>
      <c r="DV238" s="208">
        <v>24</v>
      </c>
      <c r="DW238" s="208">
        <v>21358.592062500004</v>
      </c>
      <c r="DX238" s="208">
        <v>0</v>
      </c>
      <c r="DY238" s="208">
        <v>215.74335416666668</v>
      </c>
      <c r="DZ238" s="208">
        <v>16686</v>
      </c>
      <c r="EA238" s="208">
        <v>0</v>
      </c>
      <c r="EB238" s="208">
        <v>169</v>
      </c>
      <c r="EC238" s="208">
        <v>4673</v>
      </c>
      <c r="ED238" s="208">
        <v>0</v>
      </c>
      <c r="EE238" s="208">
        <v>47</v>
      </c>
      <c r="EF238" s="208">
        <v>132145.59187500001</v>
      </c>
      <c r="EG238" s="208">
        <v>0</v>
      </c>
      <c r="EH238" s="208">
        <v>1334.8039583333334</v>
      </c>
      <c r="EI238" s="208">
        <v>-1396.4960625000001</v>
      </c>
      <c r="EJ238" s="208">
        <v>0</v>
      </c>
      <c r="EK238" s="208">
        <v>-14.106020833333334</v>
      </c>
      <c r="EL238" s="208">
        <v>172121</v>
      </c>
      <c r="EM238" s="208">
        <v>0</v>
      </c>
      <c r="EN238" s="208">
        <v>1739</v>
      </c>
      <c r="EO238" s="208">
        <v>-41372</v>
      </c>
      <c r="EP238" s="208">
        <v>0</v>
      </c>
      <c r="EQ238" s="208">
        <v>-418</v>
      </c>
      <c r="ER238" s="208">
        <v>11902.1161875</v>
      </c>
      <c r="ES238" s="208">
        <v>0</v>
      </c>
      <c r="ET238" s="208">
        <v>120.22339583333333</v>
      </c>
      <c r="EU238" s="208">
        <v>11422</v>
      </c>
      <c r="EV238" s="208">
        <v>0</v>
      </c>
      <c r="EW238" s="208">
        <v>115</v>
      </c>
      <c r="EX238" s="208">
        <v>480</v>
      </c>
      <c r="EY238" s="208">
        <v>0</v>
      </c>
      <c r="EZ238" s="208">
        <v>5</v>
      </c>
      <c r="FA238" s="208">
        <v>0</v>
      </c>
      <c r="FB238" s="208">
        <v>0</v>
      </c>
      <c r="FC238" s="208">
        <v>0</v>
      </c>
      <c r="FD238" s="208">
        <v>0</v>
      </c>
      <c r="FE238" s="208">
        <v>0</v>
      </c>
      <c r="FF238" s="208">
        <v>0</v>
      </c>
      <c r="FG238" s="208">
        <v>0</v>
      </c>
      <c r="FH238" s="208">
        <v>0</v>
      </c>
      <c r="FI238" s="208">
        <v>0</v>
      </c>
      <c r="FJ238" s="208">
        <v>2316152.1281249998</v>
      </c>
      <c r="FK238" s="208">
        <v>0</v>
      </c>
      <c r="FL238" s="208">
        <v>23395.476041666665</v>
      </c>
      <c r="FM238" s="208">
        <v>2325474</v>
      </c>
      <c r="FN238" s="208">
        <v>0</v>
      </c>
      <c r="FO238" s="208">
        <v>23490</v>
      </c>
      <c r="FP238" s="208">
        <v>-9322</v>
      </c>
      <c r="FQ238" s="208">
        <v>0</v>
      </c>
      <c r="FR238" s="208">
        <v>-95</v>
      </c>
      <c r="FS238" s="208">
        <v>0</v>
      </c>
      <c r="FT238" s="208">
        <v>0</v>
      </c>
      <c r="FU238" s="208">
        <v>0</v>
      </c>
      <c r="FV238" s="208">
        <v>0</v>
      </c>
      <c r="FW238" s="208">
        <v>0</v>
      </c>
      <c r="FX238" s="208">
        <v>0</v>
      </c>
      <c r="FY238" s="208">
        <v>0</v>
      </c>
      <c r="FZ238" s="208">
        <v>0</v>
      </c>
      <c r="GA238" s="208">
        <v>0</v>
      </c>
      <c r="GB238" s="208">
        <v>5004951</v>
      </c>
      <c r="GC238" s="208">
        <v>0</v>
      </c>
      <c r="GD238" s="208">
        <v>50555</v>
      </c>
      <c r="GE238" s="664">
        <v>0</v>
      </c>
      <c r="GF238" s="664">
        <v>0.99</v>
      </c>
      <c r="GG238" s="664">
        <v>0</v>
      </c>
      <c r="GH238" s="664">
        <v>0.01</v>
      </c>
      <c r="GI238" s="187" t="s">
        <v>742</v>
      </c>
    </row>
    <row r="239" spans="1:191" s="187" customFormat="1" x14ac:dyDescent="0.2">
      <c r="B239" s="429" t="s">
        <v>556</v>
      </c>
      <c r="C239" s="429" t="s">
        <v>555</v>
      </c>
      <c r="D239" s="208">
        <v>-3025306</v>
      </c>
      <c r="E239" s="208">
        <v>0</v>
      </c>
      <c r="F239" s="208">
        <v>-3025306</v>
      </c>
      <c r="G239" s="208">
        <v>-2669817</v>
      </c>
      <c r="H239" s="208">
        <v>0</v>
      </c>
      <c r="I239" s="208">
        <v>-2669817</v>
      </c>
      <c r="J239" s="208">
        <v>-355489</v>
      </c>
      <c r="K239" s="208">
        <v>0</v>
      </c>
      <c r="L239" s="208">
        <v>-355489</v>
      </c>
      <c r="M239" s="208">
        <v>252086</v>
      </c>
      <c r="N239" s="208">
        <v>252086</v>
      </c>
      <c r="O239" s="208">
        <v>0</v>
      </c>
      <c r="P239" s="208">
        <v>0</v>
      </c>
      <c r="Q239" s="208">
        <v>0</v>
      </c>
      <c r="R239" s="208">
        <v>0</v>
      </c>
      <c r="S239" s="208">
        <v>0</v>
      </c>
      <c r="T239" s="208">
        <v>0</v>
      </c>
      <c r="U239" s="208">
        <v>0</v>
      </c>
      <c r="V239" s="208">
        <v>0</v>
      </c>
      <c r="W239" s="208">
        <v>0</v>
      </c>
      <c r="X239" s="208">
        <v>0</v>
      </c>
      <c r="Y239" s="208">
        <v>0</v>
      </c>
      <c r="Z239" s="208">
        <v>0</v>
      </c>
      <c r="AA239" s="208">
        <v>0</v>
      </c>
      <c r="AB239" s="208">
        <v>0</v>
      </c>
      <c r="AC239" s="208">
        <v>0</v>
      </c>
      <c r="AD239" s="208">
        <v>0</v>
      </c>
      <c r="AE239" s="208">
        <v>0</v>
      </c>
      <c r="AF239" s="208">
        <v>0</v>
      </c>
      <c r="AG239" s="208">
        <v>0</v>
      </c>
      <c r="AH239" s="208">
        <v>0</v>
      </c>
      <c r="AI239" s="208">
        <v>0</v>
      </c>
      <c r="AJ239" s="208">
        <v>0</v>
      </c>
      <c r="AK239" s="208">
        <v>0</v>
      </c>
      <c r="AL239" s="208">
        <v>0</v>
      </c>
      <c r="AM239" s="208">
        <v>0</v>
      </c>
      <c r="AN239" s="208">
        <v>0</v>
      </c>
      <c r="AO239" s="208">
        <v>0</v>
      </c>
      <c r="AP239" s="208">
        <v>0</v>
      </c>
      <c r="AQ239" s="208">
        <v>0</v>
      </c>
      <c r="AR239" s="208">
        <v>0</v>
      </c>
      <c r="AS239" s="208">
        <v>0</v>
      </c>
      <c r="AT239" s="208">
        <v>0</v>
      </c>
      <c r="AU239" s="208">
        <v>0</v>
      </c>
      <c r="AV239" s="208">
        <v>0</v>
      </c>
      <c r="AW239" s="208">
        <v>0</v>
      </c>
      <c r="AX239" s="208">
        <v>0</v>
      </c>
      <c r="AY239" s="208">
        <v>0</v>
      </c>
      <c r="AZ239" s="208">
        <v>0</v>
      </c>
      <c r="BA239" s="208">
        <v>0</v>
      </c>
      <c r="BB239" s="208">
        <v>0</v>
      </c>
      <c r="BC239" s="208">
        <v>0</v>
      </c>
      <c r="BD239" s="208">
        <v>0</v>
      </c>
      <c r="BE239" s="208">
        <v>0</v>
      </c>
      <c r="BF239" s="208">
        <v>0</v>
      </c>
      <c r="BG239" s="208">
        <v>0</v>
      </c>
      <c r="BH239" s="208">
        <v>0</v>
      </c>
      <c r="BI239" s="208">
        <v>0</v>
      </c>
      <c r="BJ239" s="208">
        <v>0</v>
      </c>
      <c r="BK239" s="208">
        <v>0</v>
      </c>
      <c r="BL239" s="208">
        <v>0</v>
      </c>
      <c r="BM239" s="208">
        <v>0</v>
      </c>
      <c r="BN239" s="208">
        <v>0</v>
      </c>
      <c r="BO239" s="208">
        <v>2816793.4489365001</v>
      </c>
      <c r="BP239" s="208">
        <v>0</v>
      </c>
      <c r="BQ239" s="208">
        <v>28452.459080166671</v>
      </c>
      <c r="BR239" s="208">
        <v>340870</v>
      </c>
      <c r="BS239" s="208">
        <v>0</v>
      </c>
      <c r="BT239" s="208">
        <v>3443</v>
      </c>
      <c r="BU239" s="208">
        <v>2851498</v>
      </c>
      <c r="BV239" s="208">
        <v>0</v>
      </c>
      <c r="BW239" s="208">
        <v>28803</v>
      </c>
      <c r="BX239" s="208">
        <v>306165</v>
      </c>
      <c r="BY239" s="208">
        <v>0</v>
      </c>
      <c r="BZ239" s="208">
        <v>3092</v>
      </c>
      <c r="CA239" s="208">
        <v>4034.5469999999996</v>
      </c>
      <c r="CB239" s="208">
        <v>0</v>
      </c>
      <c r="CC239" s="208">
        <v>40.752999999999986</v>
      </c>
      <c r="CD239" s="208">
        <v>10127</v>
      </c>
      <c r="CE239" s="208">
        <v>0</v>
      </c>
      <c r="CF239" s="208">
        <v>102</v>
      </c>
      <c r="CG239" s="208">
        <v>-6092</v>
      </c>
      <c r="CH239" s="208">
        <v>0</v>
      </c>
      <c r="CI239" s="208">
        <v>-61</v>
      </c>
      <c r="CJ239" s="208">
        <v>-2559.0613125</v>
      </c>
      <c r="CK239" s="208">
        <v>0</v>
      </c>
      <c r="CL239" s="208">
        <v>-25.849104166666667</v>
      </c>
      <c r="CM239" s="208">
        <v>0</v>
      </c>
      <c r="CN239" s="208">
        <v>0</v>
      </c>
      <c r="CO239" s="208">
        <v>0</v>
      </c>
      <c r="CP239" s="208">
        <v>-3083.6334375000001</v>
      </c>
      <c r="CQ239" s="208">
        <v>0</v>
      </c>
      <c r="CR239" s="208">
        <v>-31.147812500000001</v>
      </c>
      <c r="CS239" s="208">
        <v>0</v>
      </c>
      <c r="CT239" s="208">
        <v>0</v>
      </c>
      <c r="CU239" s="208">
        <v>0</v>
      </c>
      <c r="CV239" s="208">
        <v>0</v>
      </c>
      <c r="CW239" s="208">
        <v>0</v>
      </c>
      <c r="CX239" s="208">
        <v>0</v>
      </c>
      <c r="CY239" s="208">
        <v>0</v>
      </c>
      <c r="CZ239" s="208">
        <v>0</v>
      </c>
      <c r="DA239" s="208">
        <v>0</v>
      </c>
      <c r="DB239" s="208">
        <v>0</v>
      </c>
      <c r="DC239" s="208">
        <v>0</v>
      </c>
      <c r="DD239" s="208">
        <v>0</v>
      </c>
      <c r="DE239" s="208">
        <v>1201.0473749999999</v>
      </c>
      <c r="DF239" s="208">
        <v>0</v>
      </c>
      <c r="DG239" s="208">
        <v>12.131791666666667</v>
      </c>
      <c r="DH239" s="208">
        <v>1201</v>
      </c>
      <c r="DI239" s="208">
        <v>0</v>
      </c>
      <c r="DJ239" s="208">
        <v>12</v>
      </c>
      <c r="DK239" s="208">
        <v>0</v>
      </c>
      <c r="DL239" s="208">
        <v>0</v>
      </c>
      <c r="DM239" s="208">
        <v>0</v>
      </c>
      <c r="DN239" s="208">
        <v>0</v>
      </c>
      <c r="DO239" s="208">
        <v>0</v>
      </c>
      <c r="DP239" s="208">
        <v>0</v>
      </c>
      <c r="DQ239" s="208">
        <v>0</v>
      </c>
      <c r="DR239" s="208">
        <v>0</v>
      </c>
      <c r="DS239" s="208">
        <v>0</v>
      </c>
      <c r="DT239" s="208">
        <v>0</v>
      </c>
      <c r="DU239" s="208">
        <v>0</v>
      </c>
      <c r="DV239" s="208">
        <v>0</v>
      </c>
      <c r="DW239" s="208">
        <v>19125.616124999997</v>
      </c>
      <c r="DX239" s="208">
        <v>0</v>
      </c>
      <c r="DY239" s="208">
        <v>193.18804166666666</v>
      </c>
      <c r="DZ239" s="208">
        <v>9794</v>
      </c>
      <c r="EA239" s="208">
        <v>0</v>
      </c>
      <c r="EB239" s="208">
        <v>99</v>
      </c>
      <c r="EC239" s="208">
        <v>9332</v>
      </c>
      <c r="ED239" s="208">
        <v>0</v>
      </c>
      <c r="EE239" s="208">
        <v>94</v>
      </c>
      <c r="EF239" s="208">
        <v>111942.47624999999</v>
      </c>
      <c r="EG239" s="208">
        <v>0</v>
      </c>
      <c r="EH239" s="208">
        <v>1130.7320833333333</v>
      </c>
      <c r="EI239" s="208">
        <v>0</v>
      </c>
      <c r="EJ239" s="208">
        <v>0</v>
      </c>
      <c r="EK239" s="208">
        <v>0</v>
      </c>
      <c r="EL239" s="208">
        <v>111942</v>
      </c>
      <c r="EM239" s="208">
        <v>0</v>
      </c>
      <c r="EN239" s="208">
        <v>1131</v>
      </c>
      <c r="EO239" s="208">
        <v>0</v>
      </c>
      <c r="EP239" s="208">
        <v>0</v>
      </c>
      <c r="EQ239" s="208">
        <v>0</v>
      </c>
      <c r="ER239" s="208">
        <v>19948.9310625</v>
      </c>
      <c r="ES239" s="208">
        <v>0</v>
      </c>
      <c r="ET239" s="208">
        <v>201.50435416666667</v>
      </c>
      <c r="EU239" s="208">
        <v>23292</v>
      </c>
      <c r="EV239" s="208">
        <v>0</v>
      </c>
      <c r="EW239" s="208">
        <v>235</v>
      </c>
      <c r="EX239" s="208">
        <v>-3343</v>
      </c>
      <c r="EY239" s="208">
        <v>0</v>
      </c>
      <c r="EZ239" s="208">
        <v>-33</v>
      </c>
      <c r="FA239" s="208">
        <v>0</v>
      </c>
      <c r="FB239" s="208">
        <v>0</v>
      </c>
      <c r="FC239" s="208">
        <v>0</v>
      </c>
      <c r="FD239" s="208">
        <v>0</v>
      </c>
      <c r="FE239" s="208">
        <v>0</v>
      </c>
      <c r="FF239" s="208">
        <v>0</v>
      </c>
      <c r="FG239" s="208">
        <v>0</v>
      </c>
      <c r="FH239" s="208">
        <v>0</v>
      </c>
      <c r="FI239" s="208">
        <v>0</v>
      </c>
      <c r="FJ239" s="208">
        <v>2610438.8825625</v>
      </c>
      <c r="FK239" s="208">
        <v>0</v>
      </c>
      <c r="FL239" s="208">
        <v>26368.069520833331</v>
      </c>
      <c r="FM239" s="208">
        <v>2559379</v>
      </c>
      <c r="FN239" s="208">
        <v>0</v>
      </c>
      <c r="FO239" s="208">
        <v>25852</v>
      </c>
      <c r="FP239" s="208">
        <v>51060</v>
      </c>
      <c r="FQ239" s="208">
        <v>0</v>
      </c>
      <c r="FR239" s="208">
        <v>516</v>
      </c>
      <c r="FS239" s="208">
        <v>0</v>
      </c>
      <c r="FT239" s="208">
        <v>0</v>
      </c>
      <c r="FU239" s="208">
        <v>0</v>
      </c>
      <c r="FV239" s="208">
        <v>0</v>
      </c>
      <c r="FW239" s="208">
        <v>0</v>
      </c>
      <c r="FX239" s="208">
        <v>0</v>
      </c>
      <c r="FY239" s="208">
        <v>0</v>
      </c>
      <c r="FZ239" s="208">
        <v>0</v>
      </c>
      <c r="GA239" s="208">
        <v>0</v>
      </c>
      <c r="GB239" s="208">
        <v>5918712</v>
      </c>
      <c r="GC239" s="208">
        <v>0</v>
      </c>
      <c r="GD239" s="208">
        <v>59785</v>
      </c>
      <c r="GE239" s="664">
        <v>0</v>
      </c>
      <c r="GF239" s="664">
        <v>0.99</v>
      </c>
      <c r="GG239" s="664">
        <v>0</v>
      </c>
      <c r="GH239" s="664">
        <v>0.01</v>
      </c>
      <c r="GI239" s="187" t="s">
        <v>1056</v>
      </c>
    </row>
    <row r="240" spans="1:191" s="187" customFormat="1" x14ac:dyDescent="0.2">
      <c r="A240" s="188"/>
      <c r="B240" s="429" t="s">
        <v>558</v>
      </c>
      <c r="C240" s="429" t="s">
        <v>557</v>
      </c>
      <c r="D240" s="208">
        <v>644272</v>
      </c>
      <c r="E240" s="208">
        <v>0</v>
      </c>
      <c r="F240" s="208">
        <v>644272</v>
      </c>
      <c r="G240" s="208">
        <v>299050</v>
      </c>
      <c r="H240" s="208">
        <v>0</v>
      </c>
      <c r="I240" s="208">
        <v>299050</v>
      </c>
      <c r="J240" s="208">
        <v>345222</v>
      </c>
      <c r="K240" s="208">
        <v>0</v>
      </c>
      <c r="L240" s="208">
        <v>345222</v>
      </c>
      <c r="M240" s="208">
        <v>95879</v>
      </c>
      <c r="N240" s="208">
        <v>95879</v>
      </c>
      <c r="O240" s="208">
        <v>0</v>
      </c>
      <c r="P240" s="208">
        <v>0</v>
      </c>
      <c r="Q240" s="208">
        <v>0</v>
      </c>
      <c r="R240" s="208">
        <v>0</v>
      </c>
      <c r="S240" s="208">
        <v>0</v>
      </c>
      <c r="T240" s="208">
        <v>0</v>
      </c>
      <c r="U240" s="208">
        <v>0</v>
      </c>
      <c r="V240" s="208">
        <v>0</v>
      </c>
      <c r="W240" s="208">
        <v>0</v>
      </c>
      <c r="X240" s="208">
        <v>0</v>
      </c>
      <c r="Y240" s="208">
        <v>0</v>
      </c>
      <c r="Z240" s="208">
        <v>0</v>
      </c>
      <c r="AA240" s="208">
        <v>0</v>
      </c>
      <c r="AB240" s="208">
        <v>0</v>
      </c>
      <c r="AC240" s="208">
        <v>0</v>
      </c>
      <c r="AD240" s="208">
        <v>0</v>
      </c>
      <c r="AE240" s="208">
        <v>0</v>
      </c>
      <c r="AF240" s="208">
        <v>0</v>
      </c>
      <c r="AG240" s="208">
        <v>0</v>
      </c>
      <c r="AH240" s="208">
        <v>0</v>
      </c>
      <c r="AI240" s="208">
        <v>0</v>
      </c>
      <c r="AJ240" s="208">
        <v>0</v>
      </c>
      <c r="AK240" s="208">
        <v>0</v>
      </c>
      <c r="AL240" s="208">
        <v>0</v>
      </c>
      <c r="AM240" s="208">
        <v>0</v>
      </c>
      <c r="AN240" s="208">
        <v>0</v>
      </c>
      <c r="AO240" s="208">
        <v>0</v>
      </c>
      <c r="AP240" s="208">
        <v>0</v>
      </c>
      <c r="AQ240" s="208">
        <v>0</v>
      </c>
      <c r="AR240" s="208">
        <v>0</v>
      </c>
      <c r="AS240" s="208">
        <v>0</v>
      </c>
      <c r="AT240" s="208">
        <v>0</v>
      </c>
      <c r="AU240" s="208">
        <v>0</v>
      </c>
      <c r="AV240" s="208">
        <v>0</v>
      </c>
      <c r="AW240" s="208">
        <v>0</v>
      </c>
      <c r="AX240" s="208">
        <v>0</v>
      </c>
      <c r="AY240" s="208">
        <v>0</v>
      </c>
      <c r="AZ240" s="208">
        <v>0</v>
      </c>
      <c r="BA240" s="208">
        <v>0</v>
      </c>
      <c r="BB240" s="208">
        <v>0</v>
      </c>
      <c r="BC240" s="208">
        <v>0</v>
      </c>
      <c r="BD240" s="208">
        <v>0</v>
      </c>
      <c r="BE240" s="208">
        <v>0</v>
      </c>
      <c r="BF240" s="208">
        <v>0</v>
      </c>
      <c r="BG240" s="208">
        <v>0</v>
      </c>
      <c r="BH240" s="208">
        <v>0</v>
      </c>
      <c r="BI240" s="208">
        <v>0</v>
      </c>
      <c r="BJ240" s="208">
        <v>0</v>
      </c>
      <c r="BK240" s="208">
        <v>0</v>
      </c>
      <c r="BL240" s="208">
        <v>0</v>
      </c>
      <c r="BM240" s="208">
        <v>0</v>
      </c>
      <c r="BN240" s="208">
        <v>0</v>
      </c>
      <c r="BO240" s="208">
        <v>540923.48392333335</v>
      </c>
      <c r="BP240" s="208">
        <v>121707.78388274998</v>
      </c>
      <c r="BQ240" s="208">
        <v>13523.087098083332</v>
      </c>
      <c r="BR240" s="208">
        <v>65734</v>
      </c>
      <c r="BS240" s="208">
        <v>14790</v>
      </c>
      <c r="BT240" s="208">
        <v>1643</v>
      </c>
      <c r="BU240" s="208">
        <v>490439</v>
      </c>
      <c r="BV240" s="208">
        <v>110349</v>
      </c>
      <c r="BW240" s="208">
        <v>12261</v>
      </c>
      <c r="BX240" s="208">
        <v>116218</v>
      </c>
      <c r="BY240" s="208">
        <v>26149</v>
      </c>
      <c r="BZ240" s="208">
        <v>2905</v>
      </c>
      <c r="CA240" s="208">
        <v>628.48</v>
      </c>
      <c r="CB240" s="208">
        <v>141.40799999999999</v>
      </c>
      <c r="CC240" s="208">
        <v>15.712000000000002</v>
      </c>
      <c r="CD240" s="208">
        <v>629</v>
      </c>
      <c r="CE240" s="208">
        <v>141</v>
      </c>
      <c r="CF240" s="208">
        <v>16</v>
      </c>
      <c r="CG240" s="208">
        <v>-1</v>
      </c>
      <c r="CH240" s="208">
        <v>0</v>
      </c>
      <c r="CI240" s="208">
        <v>0</v>
      </c>
      <c r="CJ240" s="208">
        <v>0</v>
      </c>
      <c r="CK240" s="208">
        <v>0</v>
      </c>
      <c r="CL240" s="208">
        <v>0</v>
      </c>
      <c r="CM240" s="208">
        <v>0</v>
      </c>
      <c r="CN240" s="208">
        <v>0</v>
      </c>
      <c r="CO240" s="208">
        <v>0</v>
      </c>
      <c r="CP240" s="208">
        <v>0</v>
      </c>
      <c r="CQ240" s="208">
        <v>0</v>
      </c>
      <c r="CR240" s="208">
        <v>0</v>
      </c>
      <c r="CS240" s="208">
        <v>0</v>
      </c>
      <c r="CT240" s="208">
        <v>0</v>
      </c>
      <c r="CU240" s="208">
        <v>0</v>
      </c>
      <c r="CV240" s="208">
        <v>0</v>
      </c>
      <c r="CW240" s="208">
        <v>0</v>
      </c>
      <c r="CX240" s="208">
        <v>0</v>
      </c>
      <c r="CY240" s="208">
        <v>0</v>
      </c>
      <c r="CZ240" s="208">
        <v>0</v>
      </c>
      <c r="DA240" s="208">
        <v>0</v>
      </c>
      <c r="DB240" s="208">
        <v>0</v>
      </c>
      <c r="DC240" s="208">
        <v>0</v>
      </c>
      <c r="DD240" s="208">
        <v>0</v>
      </c>
      <c r="DE240" s="208">
        <v>0</v>
      </c>
      <c r="DF240" s="208">
        <v>0</v>
      </c>
      <c r="DG240" s="208">
        <v>0</v>
      </c>
      <c r="DH240" s="208">
        <v>0</v>
      </c>
      <c r="DI240" s="208">
        <v>0</v>
      </c>
      <c r="DJ240" s="208">
        <v>0</v>
      </c>
      <c r="DK240" s="208">
        <v>0</v>
      </c>
      <c r="DL240" s="208">
        <v>0</v>
      </c>
      <c r="DM240" s="208">
        <v>0</v>
      </c>
      <c r="DN240" s="208">
        <v>0</v>
      </c>
      <c r="DO240" s="208">
        <v>0</v>
      </c>
      <c r="DP240" s="208">
        <v>0</v>
      </c>
      <c r="DQ240" s="208">
        <v>0</v>
      </c>
      <c r="DR240" s="208">
        <v>0</v>
      </c>
      <c r="DS240" s="208">
        <v>0</v>
      </c>
      <c r="DT240" s="208">
        <v>0</v>
      </c>
      <c r="DU240" s="208">
        <v>0</v>
      </c>
      <c r="DV240" s="208">
        <v>0</v>
      </c>
      <c r="DW240" s="208">
        <v>2815.0666666666666</v>
      </c>
      <c r="DX240" s="208">
        <v>633.39</v>
      </c>
      <c r="DY240" s="208">
        <v>70.376666666666665</v>
      </c>
      <c r="DZ240" s="208">
        <v>2647</v>
      </c>
      <c r="EA240" s="208">
        <v>595</v>
      </c>
      <c r="EB240" s="208">
        <v>66</v>
      </c>
      <c r="EC240" s="208">
        <v>168</v>
      </c>
      <c r="ED240" s="208">
        <v>38</v>
      </c>
      <c r="EE240" s="208">
        <v>4</v>
      </c>
      <c r="EF240" s="208">
        <v>26241.904166666671</v>
      </c>
      <c r="EG240" s="208">
        <v>5904.4284375000007</v>
      </c>
      <c r="EH240" s="208">
        <v>656.0476041666667</v>
      </c>
      <c r="EI240" s="208">
        <v>1087.1558333333332</v>
      </c>
      <c r="EJ240" s="208">
        <v>244.61006249999997</v>
      </c>
      <c r="EK240" s="208">
        <v>27.178895833333332</v>
      </c>
      <c r="EL240" s="208">
        <v>32563</v>
      </c>
      <c r="EM240" s="208">
        <v>7327</v>
      </c>
      <c r="EN240" s="208">
        <v>814</v>
      </c>
      <c r="EO240" s="208">
        <v>-5234</v>
      </c>
      <c r="EP240" s="208">
        <v>-1178</v>
      </c>
      <c r="EQ240" s="208">
        <v>-131</v>
      </c>
      <c r="ER240" s="208">
        <v>12512.725833333334</v>
      </c>
      <c r="ES240" s="208">
        <v>2815.3633125000001</v>
      </c>
      <c r="ET240" s="208">
        <v>312.8181458333334</v>
      </c>
      <c r="EU240" s="208">
        <v>12275</v>
      </c>
      <c r="EV240" s="208">
        <v>2762</v>
      </c>
      <c r="EW240" s="208">
        <v>307</v>
      </c>
      <c r="EX240" s="208">
        <v>238</v>
      </c>
      <c r="EY240" s="208">
        <v>53</v>
      </c>
      <c r="EZ240" s="208">
        <v>6</v>
      </c>
      <c r="FA240" s="208">
        <v>0</v>
      </c>
      <c r="FB240" s="208">
        <v>0</v>
      </c>
      <c r="FC240" s="208">
        <v>0</v>
      </c>
      <c r="FD240" s="208">
        <v>0</v>
      </c>
      <c r="FE240" s="208">
        <v>0</v>
      </c>
      <c r="FF240" s="208">
        <v>0</v>
      </c>
      <c r="FG240" s="208">
        <v>0</v>
      </c>
      <c r="FH240" s="208">
        <v>0</v>
      </c>
      <c r="FI240" s="208">
        <v>0</v>
      </c>
      <c r="FJ240" s="208">
        <v>297873.40916666668</v>
      </c>
      <c r="FK240" s="208">
        <v>67021.517062500003</v>
      </c>
      <c r="FL240" s="208">
        <v>7446.8352291666661</v>
      </c>
      <c r="FM240" s="208">
        <v>297245</v>
      </c>
      <c r="FN240" s="208">
        <v>66880</v>
      </c>
      <c r="FO240" s="208">
        <v>7431</v>
      </c>
      <c r="FP240" s="208">
        <v>628</v>
      </c>
      <c r="FQ240" s="208">
        <v>142</v>
      </c>
      <c r="FR240" s="208">
        <v>16</v>
      </c>
      <c r="FS240" s="208">
        <v>0</v>
      </c>
      <c r="FT240" s="208">
        <v>0</v>
      </c>
      <c r="FU240" s="208">
        <v>0</v>
      </c>
      <c r="FV240" s="208">
        <v>0</v>
      </c>
      <c r="FW240" s="208">
        <v>0</v>
      </c>
      <c r="FX240" s="208">
        <v>0</v>
      </c>
      <c r="FY240" s="208">
        <v>0</v>
      </c>
      <c r="FZ240" s="208">
        <v>0</v>
      </c>
      <c r="GA240" s="208">
        <v>0</v>
      </c>
      <c r="GB240" s="208">
        <v>947815</v>
      </c>
      <c r="GC240" s="208">
        <v>213258</v>
      </c>
      <c r="GD240" s="208">
        <v>23695</v>
      </c>
      <c r="GE240" s="664">
        <v>0.5</v>
      </c>
      <c r="GF240" s="664">
        <v>0.4</v>
      </c>
      <c r="GG240" s="664">
        <v>0.09</v>
      </c>
      <c r="GH240" s="664">
        <v>0.01</v>
      </c>
      <c r="GI240" s="187" t="s">
        <v>1054</v>
      </c>
    </row>
    <row r="241" spans="1:191" s="187" customFormat="1" x14ac:dyDescent="0.2">
      <c r="B241" s="429" t="s">
        <v>560</v>
      </c>
      <c r="C241" s="429" t="s">
        <v>559</v>
      </c>
      <c r="D241" s="208">
        <v>-168692</v>
      </c>
      <c r="E241" s="208">
        <v>0</v>
      </c>
      <c r="F241" s="208">
        <v>-168692</v>
      </c>
      <c r="G241" s="208">
        <v>-112340</v>
      </c>
      <c r="H241" s="208">
        <v>0</v>
      </c>
      <c r="I241" s="208">
        <v>-112340</v>
      </c>
      <c r="J241" s="208">
        <v>-56352</v>
      </c>
      <c r="K241" s="208">
        <v>0</v>
      </c>
      <c r="L241" s="208">
        <v>-56352</v>
      </c>
      <c r="M241" s="208">
        <v>230781</v>
      </c>
      <c r="N241" s="208">
        <v>230781</v>
      </c>
      <c r="O241" s="208">
        <v>0</v>
      </c>
      <c r="P241" s="208">
        <v>752412</v>
      </c>
      <c r="Q241" s="208">
        <v>675164</v>
      </c>
      <c r="R241" s="208">
        <v>77248</v>
      </c>
      <c r="S241" s="208">
        <v>834462</v>
      </c>
      <c r="T241" s="208">
        <v>0</v>
      </c>
      <c r="U241" s="208">
        <v>851408</v>
      </c>
      <c r="V241" s="208">
        <v>0</v>
      </c>
      <c r="W241" s="208">
        <v>-16946</v>
      </c>
      <c r="X241" s="208">
        <v>0</v>
      </c>
      <c r="Y241" s="208">
        <v>0</v>
      </c>
      <c r="Z241" s="208">
        <v>0</v>
      </c>
      <c r="AA241" s="208">
        <v>0</v>
      </c>
      <c r="AB241" s="208">
        <v>0</v>
      </c>
      <c r="AC241" s="208">
        <v>0</v>
      </c>
      <c r="AD241" s="208">
        <v>0</v>
      </c>
      <c r="AE241" s="208">
        <v>0</v>
      </c>
      <c r="AF241" s="208">
        <v>0</v>
      </c>
      <c r="AG241" s="208">
        <v>0</v>
      </c>
      <c r="AH241" s="208">
        <v>0</v>
      </c>
      <c r="AI241" s="208">
        <v>0</v>
      </c>
      <c r="AJ241" s="208">
        <v>0</v>
      </c>
      <c r="AK241" s="208">
        <v>0</v>
      </c>
      <c r="AL241" s="208">
        <v>0</v>
      </c>
      <c r="AM241" s="208">
        <v>0</v>
      </c>
      <c r="AN241" s="208">
        <v>0</v>
      </c>
      <c r="AO241" s="208">
        <v>0</v>
      </c>
      <c r="AP241" s="208">
        <v>0</v>
      </c>
      <c r="AQ241" s="208">
        <v>0</v>
      </c>
      <c r="AR241" s="208">
        <v>0</v>
      </c>
      <c r="AS241" s="208">
        <v>0</v>
      </c>
      <c r="AT241" s="208">
        <v>0</v>
      </c>
      <c r="AU241" s="208">
        <v>0</v>
      </c>
      <c r="AV241" s="208">
        <v>0</v>
      </c>
      <c r="AW241" s="208">
        <v>0</v>
      </c>
      <c r="AX241" s="208">
        <v>0</v>
      </c>
      <c r="AY241" s="208">
        <v>0</v>
      </c>
      <c r="AZ241" s="208">
        <v>0</v>
      </c>
      <c r="BA241" s="208">
        <v>0</v>
      </c>
      <c r="BB241" s="208">
        <v>0</v>
      </c>
      <c r="BC241" s="208">
        <v>0</v>
      </c>
      <c r="BD241" s="208">
        <v>0</v>
      </c>
      <c r="BE241" s="208">
        <v>0</v>
      </c>
      <c r="BF241" s="208">
        <v>0</v>
      </c>
      <c r="BG241" s="208">
        <v>0</v>
      </c>
      <c r="BH241" s="208">
        <v>0</v>
      </c>
      <c r="BI241" s="208">
        <v>0</v>
      </c>
      <c r="BJ241" s="208">
        <v>0</v>
      </c>
      <c r="BK241" s="208">
        <v>0</v>
      </c>
      <c r="BL241" s="208">
        <v>0</v>
      </c>
      <c r="BM241" s="208">
        <v>0</v>
      </c>
      <c r="BN241" s="208">
        <v>0</v>
      </c>
      <c r="BO241" s="208">
        <v>1396053.4620066667</v>
      </c>
      <c r="BP241" s="208">
        <v>314112.02895149996</v>
      </c>
      <c r="BQ241" s="208">
        <v>34901.336550166663</v>
      </c>
      <c r="BR241" s="208">
        <v>139402</v>
      </c>
      <c r="BS241" s="208">
        <v>31003</v>
      </c>
      <c r="BT241" s="208">
        <v>3445</v>
      </c>
      <c r="BU241" s="208">
        <v>1288759</v>
      </c>
      <c r="BV241" s="208">
        <v>289971</v>
      </c>
      <c r="BW241" s="208">
        <v>32219</v>
      </c>
      <c r="BX241" s="208">
        <v>246696</v>
      </c>
      <c r="BY241" s="208">
        <v>55144</v>
      </c>
      <c r="BZ241" s="208">
        <v>6127</v>
      </c>
      <c r="CA241" s="208">
        <v>2694.3625000000002</v>
      </c>
      <c r="CB241" s="208">
        <v>606.2315625</v>
      </c>
      <c r="CC241" s="208">
        <v>67.359062500000007</v>
      </c>
      <c r="CD241" s="208">
        <v>4500</v>
      </c>
      <c r="CE241" s="208">
        <v>1013</v>
      </c>
      <c r="CF241" s="208">
        <v>113</v>
      </c>
      <c r="CG241" s="208">
        <v>-1806</v>
      </c>
      <c r="CH241" s="208">
        <v>-407</v>
      </c>
      <c r="CI241" s="208">
        <v>-46</v>
      </c>
      <c r="CJ241" s="208">
        <v>-436.99</v>
      </c>
      <c r="CK241" s="208">
        <v>-98.322749999999985</v>
      </c>
      <c r="CL241" s="208">
        <v>-10.92475</v>
      </c>
      <c r="CM241" s="208">
        <v>0</v>
      </c>
      <c r="CN241" s="208">
        <v>0</v>
      </c>
      <c r="CO241" s="208">
        <v>0</v>
      </c>
      <c r="CP241" s="208">
        <v>0</v>
      </c>
      <c r="CQ241" s="208">
        <v>0</v>
      </c>
      <c r="CR241" s="208">
        <v>0</v>
      </c>
      <c r="CS241" s="208">
        <v>0</v>
      </c>
      <c r="CT241" s="208">
        <v>0</v>
      </c>
      <c r="CU241" s="208">
        <v>0</v>
      </c>
      <c r="CV241" s="208">
        <v>0</v>
      </c>
      <c r="CW241" s="208">
        <v>0</v>
      </c>
      <c r="CX241" s="208">
        <v>0</v>
      </c>
      <c r="CY241" s="208">
        <v>0</v>
      </c>
      <c r="CZ241" s="208">
        <v>0</v>
      </c>
      <c r="DA241" s="208">
        <v>0</v>
      </c>
      <c r="DB241" s="208">
        <v>543.78250000000003</v>
      </c>
      <c r="DC241" s="208">
        <v>122.3510625</v>
      </c>
      <c r="DD241" s="208">
        <v>13.5945625</v>
      </c>
      <c r="DE241" s="208">
        <v>19555.302500000002</v>
      </c>
      <c r="DF241" s="208">
        <v>4399.9430625000005</v>
      </c>
      <c r="DG241" s="208">
        <v>488.88256250000001</v>
      </c>
      <c r="DH241" s="208">
        <v>21141</v>
      </c>
      <c r="DI241" s="208">
        <v>4757</v>
      </c>
      <c r="DJ241" s="208">
        <v>529</v>
      </c>
      <c r="DK241" s="208">
        <v>-1586</v>
      </c>
      <c r="DL241" s="208">
        <v>-357</v>
      </c>
      <c r="DM241" s="208">
        <v>-40</v>
      </c>
      <c r="DN241" s="208">
        <v>865.79666666666662</v>
      </c>
      <c r="DO241" s="208">
        <v>194.80425</v>
      </c>
      <c r="DP241" s="208">
        <v>21.644916666666667</v>
      </c>
      <c r="DQ241" s="208">
        <v>614</v>
      </c>
      <c r="DR241" s="208">
        <v>138</v>
      </c>
      <c r="DS241" s="208">
        <v>15</v>
      </c>
      <c r="DT241" s="208">
        <v>252</v>
      </c>
      <c r="DU241" s="208">
        <v>57</v>
      </c>
      <c r="DV241" s="208">
        <v>7</v>
      </c>
      <c r="DW241" s="208">
        <v>19894.501666666667</v>
      </c>
      <c r="DX241" s="208">
        <v>4476.2628750000003</v>
      </c>
      <c r="DY241" s="208">
        <v>497.36254166666669</v>
      </c>
      <c r="DZ241" s="208">
        <v>15656</v>
      </c>
      <c r="EA241" s="208">
        <v>3523</v>
      </c>
      <c r="EB241" s="208">
        <v>391</v>
      </c>
      <c r="EC241" s="208">
        <v>4239</v>
      </c>
      <c r="ED241" s="208">
        <v>953</v>
      </c>
      <c r="EE241" s="208">
        <v>106</v>
      </c>
      <c r="EF241" s="208">
        <v>87273.204166666663</v>
      </c>
      <c r="EG241" s="208">
        <v>19636.470937499998</v>
      </c>
      <c r="EH241" s="208">
        <v>2181.8301041666664</v>
      </c>
      <c r="EI241" s="208">
        <v>-3838.3925000000004</v>
      </c>
      <c r="EJ241" s="208">
        <v>-863.63831249999998</v>
      </c>
      <c r="EK241" s="208">
        <v>-95.959812500000012</v>
      </c>
      <c r="EL241" s="208">
        <v>98436</v>
      </c>
      <c r="EM241" s="208">
        <v>22148</v>
      </c>
      <c r="EN241" s="208">
        <v>2461</v>
      </c>
      <c r="EO241" s="208">
        <v>-15001</v>
      </c>
      <c r="EP241" s="208">
        <v>-3375</v>
      </c>
      <c r="EQ241" s="208">
        <v>-375</v>
      </c>
      <c r="ER241" s="208">
        <v>30428.497500000005</v>
      </c>
      <c r="ES241" s="208">
        <v>6846.4119375</v>
      </c>
      <c r="ET241" s="208">
        <v>760.71243750000008</v>
      </c>
      <c r="EU241" s="208">
        <v>24550</v>
      </c>
      <c r="EV241" s="208">
        <v>5524</v>
      </c>
      <c r="EW241" s="208">
        <v>614</v>
      </c>
      <c r="EX241" s="208">
        <v>5878</v>
      </c>
      <c r="EY241" s="208">
        <v>1322</v>
      </c>
      <c r="EZ241" s="208">
        <v>147</v>
      </c>
      <c r="FA241" s="208">
        <v>0</v>
      </c>
      <c r="FB241" s="208">
        <v>0</v>
      </c>
      <c r="FC241" s="208">
        <v>0</v>
      </c>
      <c r="FD241" s="208">
        <v>0</v>
      </c>
      <c r="FE241" s="208">
        <v>0</v>
      </c>
      <c r="FF241" s="208">
        <v>0</v>
      </c>
      <c r="FG241" s="208">
        <v>0</v>
      </c>
      <c r="FH241" s="208">
        <v>0</v>
      </c>
      <c r="FI241" s="208">
        <v>0</v>
      </c>
      <c r="FJ241" s="208">
        <v>823356.67333333334</v>
      </c>
      <c r="FK241" s="208">
        <v>177072.93243749999</v>
      </c>
      <c r="FL241" s="208">
        <v>19674.770270833335</v>
      </c>
      <c r="FM241" s="208">
        <v>774445</v>
      </c>
      <c r="FN241" s="208">
        <v>166379</v>
      </c>
      <c r="FO241" s="208">
        <v>18487</v>
      </c>
      <c r="FP241" s="208">
        <v>48912</v>
      </c>
      <c r="FQ241" s="208">
        <v>10694</v>
      </c>
      <c r="FR241" s="208">
        <v>1188</v>
      </c>
      <c r="FS241" s="208">
        <v>0</v>
      </c>
      <c r="FT241" s="208">
        <v>0</v>
      </c>
      <c r="FU241" s="208">
        <v>0</v>
      </c>
      <c r="FV241" s="208">
        <v>0</v>
      </c>
      <c r="FW241" s="208">
        <v>0</v>
      </c>
      <c r="FX241" s="208">
        <v>0</v>
      </c>
      <c r="FY241" s="208">
        <v>0</v>
      </c>
      <c r="FZ241" s="208">
        <v>0</v>
      </c>
      <c r="GA241" s="208">
        <v>0</v>
      </c>
      <c r="GB241" s="208">
        <v>2515792</v>
      </c>
      <c r="GC241" s="208">
        <v>557507</v>
      </c>
      <c r="GD241" s="208">
        <v>61946</v>
      </c>
      <c r="GE241" s="664">
        <v>0.5</v>
      </c>
      <c r="GF241" s="664">
        <v>0.4</v>
      </c>
      <c r="GG241" s="664">
        <v>0.09</v>
      </c>
      <c r="GH241" s="664">
        <v>0.01</v>
      </c>
      <c r="GI241" s="187" t="s">
        <v>1054</v>
      </c>
    </row>
    <row r="242" spans="1:191" s="187" customFormat="1" x14ac:dyDescent="0.2">
      <c r="A242" s="188"/>
      <c r="B242" s="429" t="s">
        <v>562</v>
      </c>
      <c r="C242" s="429" t="s">
        <v>561</v>
      </c>
      <c r="D242" s="208">
        <v>770797</v>
      </c>
      <c r="E242" s="208">
        <v>0</v>
      </c>
      <c r="F242" s="208">
        <v>770797</v>
      </c>
      <c r="G242" s="208">
        <v>872733</v>
      </c>
      <c r="H242" s="208">
        <v>0</v>
      </c>
      <c r="I242" s="208">
        <v>872733</v>
      </c>
      <c r="J242" s="208">
        <v>-101936</v>
      </c>
      <c r="K242" s="208">
        <v>0</v>
      </c>
      <c r="L242" s="208">
        <v>-101936</v>
      </c>
      <c r="M242" s="208">
        <v>91363</v>
      </c>
      <c r="N242" s="208">
        <v>91363</v>
      </c>
      <c r="O242" s="208">
        <v>0</v>
      </c>
      <c r="P242" s="208">
        <v>0</v>
      </c>
      <c r="Q242" s="208">
        <v>0</v>
      </c>
      <c r="R242" s="208">
        <v>0</v>
      </c>
      <c r="S242" s="208">
        <v>0</v>
      </c>
      <c r="T242" s="208">
        <v>0</v>
      </c>
      <c r="U242" s="208">
        <v>0</v>
      </c>
      <c r="V242" s="208">
        <v>0</v>
      </c>
      <c r="W242" s="208">
        <v>0</v>
      </c>
      <c r="X242" s="208">
        <v>0</v>
      </c>
      <c r="Y242" s="208">
        <v>0</v>
      </c>
      <c r="Z242" s="208">
        <v>0</v>
      </c>
      <c r="AA242" s="208">
        <v>0</v>
      </c>
      <c r="AB242" s="208">
        <v>0</v>
      </c>
      <c r="AC242" s="208">
        <v>0</v>
      </c>
      <c r="AD242" s="208">
        <v>0</v>
      </c>
      <c r="AE242" s="208">
        <v>0</v>
      </c>
      <c r="AF242" s="208">
        <v>0</v>
      </c>
      <c r="AG242" s="208">
        <v>0</v>
      </c>
      <c r="AH242" s="208">
        <v>0</v>
      </c>
      <c r="AI242" s="208">
        <v>0</v>
      </c>
      <c r="AJ242" s="208">
        <v>0</v>
      </c>
      <c r="AK242" s="208">
        <v>0</v>
      </c>
      <c r="AL242" s="208">
        <v>0</v>
      </c>
      <c r="AM242" s="208">
        <v>0</v>
      </c>
      <c r="AN242" s="208">
        <v>0</v>
      </c>
      <c r="AO242" s="208">
        <v>0</v>
      </c>
      <c r="AP242" s="208">
        <v>0</v>
      </c>
      <c r="AQ242" s="208">
        <v>0</v>
      </c>
      <c r="AR242" s="208">
        <v>0</v>
      </c>
      <c r="AS242" s="208">
        <v>0</v>
      </c>
      <c r="AT242" s="208">
        <v>0</v>
      </c>
      <c r="AU242" s="208">
        <v>0</v>
      </c>
      <c r="AV242" s="208">
        <v>0</v>
      </c>
      <c r="AW242" s="208">
        <v>0</v>
      </c>
      <c r="AX242" s="208">
        <v>0</v>
      </c>
      <c r="AY242" s="208">
        <v>0</v>
      </c>
      <c r="AZ242" s="208">
        <v>0</v>
      </c>
      <c r="BA242" s="208">
        <v>0</v>
      </c>
      <c r="BB242" s="208">
        <v>0</v>
      </c>
      <c r="BC242" s="208">
        <v>0</v>
      </c>
      <c r="BD242" s="208">
        <v>0</v>
      </c>
      <c r="BE242" s="208">
        <v>0</v>
      </c>
      <c r="BF242" s="208">
        <v>0</v>
      </c>
      <c r="BG242" s="208">
        <v>0</v>
      </c>
      <c r="BH242" s="208">
        <v>0</v>
      </c>
      <c r="BI242" s="208">
        <v>0</v>
      </c>
      <c r="BJ242" s="208">
        <v>0</v>
      </c>
      <c r="BK242" s="208">
        <v>0</v>
      </c>
      <c r="BL242" s="208">
        <v>0</v>
      </c>
      <c r="BM242" s="208">
        <v>0</v>
      </c>
      <c r="BN242" s="208">
        <v>0</v>
      </c>
      <c r="BO242" s="208">
        <v>884198.97330208332</v>
      </c>
      <c r="BP242" s="208">
        <v>866514.99383604166</v>
      </c>
      <c r="BQ242" s="208">
        <v>17683.979466041666</v>
      </c>
      <c r="BR242" s="208">
        <v>49556</v>
      </c>
      <c r="BS242" s="208">
        <v>48565</v>
      </c>
      <c r="BT242" s="208">
        <v>991</v>
      </c>
      <c r="BU242" s="208">
        <v>807347</v>
      </c>
      <c r="BV242" s="208">
        <v>791199</v>
      </c>
      <c r="BW242" s="208">
        <v>16147</v>
      </c>
      <c r="BX242" s="208">
        <v>126408</v>
      </c>
      <c r="BY242" s="208">
        <v>123881</v>
      </c>
      <c r="BZ242" s="208">
        <v>2528</v>
      </c>
      <c r="CA242" s="208">
        <v>1107.3072916666665</v>
      </c>
      <c r="CB242" s="208">
        <v>1085.1611458333332</v>
      </c>
      <c r="CC242" s="208">
        <v>22.146145833333335</v>
      </c>
      <c r="CD242" s="208">
        <v>1301</v>
      </c>
      <c r="CE242" s="208">
        <v>1275</v>
      </c>
      <c r="CF242" s="208">
        <v>26</v>
      </c>
      <c r="CG242" s="208">
        <v>-194</v>
      </c>
      <c r="CH242" s="208">
        <v>-190</v>
      </c>
      <c r="CI242" s="208">
        <v>-4</v>
      </c>
      <c r="CJ242" s="208">
        <v>0</v>
      </c>
      <c r="CK242" s="208">
        <v>0</v>
      </c>
      <c r="CL242" s="208">
        <v>0</v>
      </c>
      <c r="CM242" s="208">
        <v>0</v>
      </c>
      <c r="CN242" s="208">
        <v>0</v>
      </c>
      <c r="CO242" s="208">
        <v>0</v>
      </c>
      <c r="CP242" s="208">
        <v>0</v>
      </c>
      <c r="CQ242" s="208">
        <v>0</v>
      </c>
      <c r="CR242" s="208">
        <v>0</v>
      </c>
      <c r="CS242" s="208">
        <v>0</v>
      </c>
      <c r="CT242" s="208">
        <v>0</v>
      </c>
      <c r="CU242" s="208">
        <v>0</v>
      </c>
      <c r="CV242" s="208">
        <v>0</v>
      </c>
      <c r="CW242" s="208">
        <v>0</v>
      </c>
      <c r="CX242" s="208">
        <v>0</v>
      </c>
      <c r="CY242" s="208">
        <v>0</v>
      </c>
      <c r="CZ242" s="208">
        <v>0</v>
      </c>
      <c r="DA242" s="208">
        <v>0</v>
      </c>
      <c r="DB242" s="208">
        <v>0</v>
      </c>
      <c r="DC242" s="208">
        <v>0</v>
      </c>
      <c r="DD242" s="208">
        <v>0</v>
      </c>
      <c r="DE242" s="208">
        <v>11196.631020833333</v>
      </c>
      <c r="DF242" s="208">
        <v>10972.698400416666</v>
      </c>
      <c r="DG242" s="208">
        <v>223.93262041666665</v>
      </c>
      <c r="DH242" s="208">
        <v>12394</v>
      </c>
      <c r="DI242" s="208">
        <v>12147</v>
      </c>
      <c r="DJ242" s="208">
        <v>248</v>
      </c>
      <c r="DK242" s="208">
        <v>-1197</v>
      </c>
      <c r="DL242" s="208">
        <v>-1174</v>
      </c>
      <c r="DM242" s="208">
        <v>-24</v>
      </c>
      <c r="DN242" s="208">
        <v>0</v>
      </c>
      <c r="DO242" s="208">
        <v>0</v>
      </c>
      <c r="DP242" s="208">
        <v>0</v>
      </c>
      <c r="DQ242" s="208">
        <v>0</v>
      </c>
      <c r="DR242" s="208">
        <v>0</v>
      </c>
      <c r="DS242" s="208">
        <v>0</v>
      </c>
      <c r="DT242" s="208">
        <v>0</v>
      </c>
      <c r="DU242" s="208">
        <v>0</v>
      </c>
      <c r="DV242" s="208">
        <v>0</v>
      </c>
      <c r="DW242" s="208">
        <v>22538.434375000001</v>
      </c>
      <c r="DX242" s="208">
        <v>22087.665687499997</v>
      </c>
      <c r="DY242" s="208">
        <v>450.76868750000006</v>
      </c>
      <c r="DZ242" s="208">
        <v>24246</v>
      </c>
      <c r="EA242" s="208">
        <v>23762</v>
      </c>
      <c r="EB242" s="208">
        <v>485</v>
      </c>
      <c r="EC242" s="208">
        <v>-1708</v>
      </c>
      <c r="ED242" s="208">
        <v>-1674</v>
      </c>
      <c r="EE242" s="208">
        <v>-34</v>
      </c>
      <c r="EF242" s="208">
        <v>45122.9</v>
      </c>
      <c r="EG242" s="208">
        <v>44220.442000000003</v>
      </c>
      <c r="EH242" s="208">
        <v>902.45800000000008</v>
      </c>
      <c r="EI242" s="208">
        <v>-4115.0863437500002</v>
      </c>
      <c r="EJ242" s="208">
        <v>-4032.7846168750002</v>
      </c>
      <c r="EK242" s="208">
        <v>-82.301726875</v>
      </c>
      <c r="EL242" s="208">
        <v>50098</v>
      </c>
      <c r="EM242" s="208">
        <v>49096</v>
      </c>
      <c r="EN242" s="208">
        <v>1002</v>
      </c>
      <c r="EO242" s="208">
        <v>-9090</v>
      </c>
      <c r="EP242" s="208">
        <v>-8908</v>
      </c>
      <c r="EQ242" s="208">
        <v>-182</v>
      </c>
      <c r="ER242" s="208">
        <v>19333.319354166666</v>
      </c>
      <c r="ES242" s="208">
        <v>18946.65296708333</v>
      </c>
      <c r="ET242" s="208">
        <v>386.66638708333329</v>
      </c>
      <c r="EU242" s="208">
        <v>16877</v>
      </c>
      <c r="EV242" s="208">
        <v>16541</v>
      </c>
      <c r="EW242" s="208">
        <v>338</v>
      </c>
      <c r="EX242" s="208">
        <v>2456</v>
      </c>
      <c r="EY242" s="208">
        <v>2406</v>
      </c>
      <c r="EZ242" s="208">
        <v>49</v>
      </c>
      <c r="FA242" s="208">
        <v>0</v>
      </c>
      <c r="FB242" s="208">
        <v>0</v>
      </c>
      <c r="FC242" s="208">
        <v>0</v>
      </c>
      <c r="FD242" s="208">
        <v>0</v>
      </c>
      <c r="FE242" s="208">
        <v>0</v>
      </c>
      <c r="FF242" s="208">
        <v>0</v>
      </c>
      <c r="FG242" s="208">
        <v>0</v>
      </c>
      <c r="FH242" s="208">
        <v>0</v>
      </c>
      <c r="FI242" s="208">
        <v>0</v>
      </c>
      <c r="FJ242" s="208">
        <v>294795.00416666665</v>
      </c>
      <c r="FK242" s="208">
        <v>288899.10408333328</v>
      </c>
      <c r="FL242" s="208">
        <v>5895.900083333333</v>
      </c>
      <c r="FM242" s="208">
        <v>305666</v>
      </c>
      <c r="FN242" s="208">
        <v>299553</v>
      </c>
      <c r="FO242" s="208">
        <v>6113</v>
      </c>
      <c r="FP242" s="208">
        <v>-10871</v>
      </c>
      <c r="FQ242" s="208">
        <v>-10654</v>
      </c>
      <c r="FR242" s="208">
        <v>-217</v>
      </c>
      <c r="FS242" s="208">
        <v>0</v>
      </c>
      <c r="FT242" s="208">
        <v>0</v>
      </c>
      <c r="FU242" s="208">
        <v>0</v>
      </c>
      <c r="FV242" s="208">
        <v>0</v>
      </c>
      <c r="FW242" s="208">
        <v>0</v>
      </c>
      <c r="FX242" s="208">
        <v>0</v>
      </c>
      <c r="FY242" s="208">
        <v>0</v>
      </c>
      <c r="FZ242" s="208">
        <v>0</v>
      </c>
      <c r="GA242" s="208">
        <v>0</v>
      </c>
      <c r="GB242" s="208">
        <v>1323733</v>
      </c>
      <c r="GC242" s="208">
        <v>1297259</v>
      </c>
      <c r="GD242" s="208">
        <v>26475</v>
      </c>
      <c r="GE242" s="664">
        <v>0</v>
      </c>
      <c r="GF242" s="664">
        <v>0.5</v>
      </c>
      <c r="GG242" s="664">
        <v>0.49</v>
      </c>
      <c r="GH242" s="664">
        <v>0.01</v>
      </c>
      <c r="GI242" s="187" t="s">
        <v>1054</v>
      </c>
    </row>
    <row r="243" spans="1:191" s="187" customFormat="1" x14ac:dyDescent="0.2">
      <c r="B243" s="429" t="s">
        <v>564</v>
      </c>
      <c r="C243" s="429" t="s">
        <v>563</v>
      </c>
      <c r="D243" s="208">
        <v>-3763375</v>
      </c>
      <c r="E243" s="208">
        <v>-153009</v>
      </c>
      <c r="F243" s="208">
        <v>-3916384</v>
      </c>
      <c r="G243" s="208">
        <v>-4281352</v>
      </c>
      <c r="H243" s="208">
        <v>-130600</v>
      </c>
      <c r="I243" s="208">
        <v>-4411952</v>
      </c>
      <c r="J243" s="208">
        <v>517977</v>
      </c>
      <c r="K243" s="208">
        <v>-22409</v>
      </c>
      <c r="L243" s="208">
        <v>495568</v>
      </c>
      <c r="M243" s="208">
        <v>336021</v>
      </c>
      <c r="N243" s="208">
        <v>336021</v>
      </c>
      <c r="O243" s="208">
        <v>0</v>
      </c>
      <c r="P243" s="208">
        <v>11800334</v>
      </c>
      <c r="Q243" s="208">
        <v>10726201</v>
      </c>
      <c r="R243" s="208">
        <v>1074133</v>
      </c>
      <c r="S243" s="208">
        <v>575649</v>
      </c>
      <c r="T243" s="208">
        <v>0</v>
      </c>
      <c r="U243" s="208">
        <v>610094</v>
      </c>
      <c r="V243" s="208">
        <v>0</v>
      </c>
      <c r="W243" s="208">
        <v>-34445</v>
      </c>
      <c r="X243" s="208">
        <v>0</v>
      </c>
      <c r="Y243" s="208">
        <v>0</v>
      </c>
      <c r="Z243" s="208">
        <v>0</v>
      </c>
      <c r="AA243" s="208">
        <v>0</v>
      </c>
      <c r="AB243" s="208">
        <v>0</v>
      </c>
      <c r="AC243" s="208">
        <v>0</v>
      </c>
      <c r="AD243" s="208">
        <v>0</v>
      </c>
      <c r="AE243" s="208">
        <v>0</v>
      </c>
      <c r="AF243" s="208">
        <v>0</v>
      </c>
      <c r="AG243" s="208">
        <v>0</v>
      </c>
      <c r="AH243" s="208">
        <v>0</v>
      </c>
      <c r="AI243" s="208">
        <v>0</v>
      </c>
      <c r="AJ243" s="208">
        <v>0</v>
      </c>
      <c r="AK243" s="208">
        <v>0</v>
      </c>
      <c r="AL243" s="208">
        <v>0</v>
      </c>
      <c r="AM243" s="208">
        <v>0</v>
      </c>
      <c r="AN243" s="208">
        <v>0</v>
      </c>
      <c r="AO243" s="208">
        <v>0</v>
      </c>
      <c r="AP243" s="208">
        <v>0</v>
      </c>
      <c r="AQ243" s="208">
        <v>0</v>
      </c>
      <c r="AR243" s="208">
        <v>0</v>
      </c>
      <c r="AS243" s="208">
        <v>0</v>
      </c>
      <c r="AT243" s="208">
        <v>0</v>
      </c>
      <c r="AU243" s="208">
        <v>0</v>
      </c>
      <c r="AV243" s="208">
        <v>0</v>
      </c>
      <c r="AW243" s="208">
        <v>0</v>
      </c>
      <c r="AX243" s="208">
        <v>0</v>
      </c>
      <c r="AY243" s="208">
        <v>0</v>
      </c>
      <c r="AZ243" s="208">
        <v>0</v>
      </c>
      <c r="BA243" s="208">
        <v>0</v>
      </c>
      <c r="BB243" s="208">
        <v>0</v>
      </c>
      <c r="BC243" s="208">
        <v>0</v>
      </c>
      <c r="BD243" s="208">
        <v>0</v>
      </c>
      <c r="BE243" s="208">
        <v>0</v>
      </c>
      <c r="BF243" s="208">
        <v>0</v>
      </c>
      <c r="BG243" s="208">
        <v>0</v>
      </c>
      <c r="BH243" s="208">
        <v>0</v>
      </c>
      <c r="BI243" s="208">
        <v>0</v>
      </c>
      <c r="BJ243" s="208">
        <v>0</v>
      </c>
      <c r="BK243" s="208">
        <v>0</v>
      </c>
      <c r="BL243" s="208">
        <v>0</v>
      </c>
      <c r="BM243" s="208">
        <v>0</v>
      </c>
      <c r="BN243" s="208">
        <v>0</v>
      </c>
      <c r="BO243" s="208">
        <v>4328332.6245358335</v>
      </c>
      <c r="BP243" s="208">
        <v>229744.77819062505</v>
      </c>
      <c r="BQ243" s="208">
        <v>45948.955638125008</v>
      </c>
      <c r="BR243" s="208">
        <v>95616</v>
      </c>
      <c r="BS243" s="208">
        <v>4997</v>
      </c>
      <c r="BT243" s="208">
        <v>999</v>
      </c>
      <c r="BU243" s="208">
        <v>3965166</v>
      </c>
      <c r="BV243" s="208">
        <v>210414</v>
      </c>
      <c r="BW243" s="208">
        <v>42083</v>
      </c>
      <c r="BX243" s="208">
        <v>458783</v>
      </c>
      <c r="BY243" s="208">
        <v>24328</v>
      </c>
      <c r="BZ243" s="208">
        <v>4865</v>
      </c>
      <c r="CA243" s="208">
        <v>34857.808499999999</v>
      </c>
      <c r="CB243" s="208">
        <v>1854.1387500000003</v>
      </c>
      <c r="CC243" s="208">
        <v>370.82775000000004</v>
      </c>
      <c r="CD243" s="208">
        <v>14800</v>
      </c>
      <c r="CE243" s="208">
        <v>787</v>
      </c>
      <c r="CF243" s="208">
        <v>157</v>
      </c>
      <c r="CG243" s="208">
        <v>20058</v>
      </c>
      <c r="CH243" s="208">
        <v>1067</v>
      </c>
      <c r="CI243" s="208">
        <v>214</v>
      </c>
      <c r="CJ243" s="208">
        <v>0</v>
      </c>
      <c r="CK243" s="208">
        <v>0</v>
      </c>
      <c r="CL243" s="208">
        <v>0</v>
      </c>
      <c r="CM243" s="208">
        <v>0</v>
      </c>
      <c r="CN243" s="208">
        <v>0</v>
      </c>
      <c r="CO243" s="208">
        <v>0</v>
      </c>
      <c r="CP243" s="208">
        <v>0</v>
      </c>
      <c r="CQ243" s="208">
        <v>0</v>
      </c>
      <c r="CR243" s="208">
        <v>0</v>
      </c>
      <c r="CS243" s="208">
        <v>0</v>
      </c>
      <c r="CT243" s="208">
        <v>0</v>
      </c>
      <c r="CU243" s="208">
        <v>0</v>
      </c>
      <c r="CV243" s="208">
        <v>0</v>
      </c>
      <c r="CW243" s="208">
        <v>0</v>
      </c>
      <c r="CX243" s="208">
        <v>0</v>
      </c>
      <c r="CY243" s="208">
        <v>0</v>
      </c>
      <c r="CZ243" s="208">
        <v>0</v>
      </c>
      <c r="DA243" s="208">
        <v>0</v>
      </c>
      <c r="DB243" s="208">
        <v>0</v>
      </c>
      <c r="DC243" s="208">
        <v>0</v>
      </c>
      <c r="DD243" s="208">
        <v>0</v>
      </c>
      <c r="DE243" s="208">
        <v>19212.564041666665</v>
      </c>
      <c r="DF243" s="208">
        <v>1021.9448958333334</v>
      </c>
      <c r="DG243" s="208">
        <v>204.38897916666664</v>
      </c>
      <c r="DH243" s="208">
        <v>0</v>
      </c>
      <c r="DI243" s="208">
        <v>0</v>
      </c>
      <c r="DJ243" s="208">
        <v>0</v>
      </c>
      <c r="DK243" s="208">
        <v>19213</v>
      </c>
      <c r="DL243" s="208">
        <v>1022</v>
      </c>
      <c r="DM243" s="208">
        <v>204</v>
      </c>
      <c r="DN243" s="208">
        <v>0</v>
      </c>
      <c r="DO243" s="208">
        <v>0</v>
      </c>
      <c r="DP243" s="208">
        <v>0</v>
      </c>
      <c r="DQ243" s="208">
        <v>0</v>
      </c>
      <c r="DR243" s="208">
        <v>0</v>
      </c>
      <c r="DS243" s="208">
        <v>0</v>
      </c>
      <c r="DT243" s="208">
        <v>0</v>
      </c>
      <c r="DU243" s="208">
        <v>0</v>
      </c>
      <c r="DV243" s="208">
        <v>0</v>
      </c>
      <c r="DW243" s="208">
        <v>25461.623333333333</v>
      </c>
      <c r="DX243" s="208">
        <v>1354.3416666666667</v>
      </c>
      <c r="DY243" s="208">
        <v>270.86833333333334</v>
      </c>
      <c r="DZ243" s="208">
        <v>28789</v>
      </c>
      <c r="EA243" s="208">
        <v>1531</v>
      </c>
      <c r="EB243" s="208">
        <v>306</v>
      </c>
      <c r="EC243" s="208">
        <v>-3327</v>
      </c>
      <c r="ED243" s="208">
        <v>-177</v>
      </c>
      <c r="EE243" s="208">
        <v>-35</v>
      </c>
      <c r="EF243" s="208">
        <v>169160.75208333333</v>
      </c>
      <c r="EG243" s="208">
        <v>8416.046875</v>
      </c>
      <c r="EH243" s="208">
        <v>1683.2093750000001</v>
      </c>
      <c r="EI243" s="208">
        <v>97822.441458333327</v>
      </c>
      <c r="EJ243" s="208">
        <v>5203.3213541666664</v>
      </c>
      <c r="EK243" s="208">
        <v>1040.6642708333334</v>
      </c>
      <c r="EL243" s="208">
        <v>161450</v>
      </c>
      <c r="EM243" s="208">
        <v>8588</v>
      </c>
      <c r="EN243" s="208">
        <v>1718</v>
      </c>
      <c r="EO243" s="208">
        <v>105533</v>
      </c>
      <c r="EP243" s="208">
        <v>5031</v>
      </c>
      <c r="EQ243" s="208">
        <v>1006</v>
      </c>
      <c r="ER243" s="208">
        <v>76541.601291666666</v>
      </c>
      <c r="ES243" s="208">
        <v>4071.3617708333336</v>
      </c>
      <c r="ET243" s="208">
        <v>814.27235416666667</v>
      </c>
      <c r="EU243" s="208">
        <v>74007</v>
      </c>
      <c r="EV243" s="208">
        <v>3937</v>
      </c>
      <c r="EW243" s="208">
        <v>787</v>
      </c>
      <c r="EX243" s="208">
        <v>2535</v>
      </c>
      <c r="EY243" s="208">
        <v>134</v>
      </c>
      <c r="EZ243" s="208">
        <v>27</v>
      </c>
      <c r="FA243" s="208">
        <v>0</v>
      </c>
      <c r="FB243" s="208">
        <v>0</v>
      </c>
      <c r="FC243" s="208">
        <v>0</v>
      </c>
      <c r="FD243" s="208">
        <v>0</v>
      </c>
      <c r="FE243" s="208">
        <v>0</v>
      </c>
      <c r="FF243" s="208">
        <v>0</v>
      </c>
      <c r="FG243" s="208">
        <v>0</v>
      </c>
      <c r="FH243" s="208">
        <v>0</v>
      </c>
      <c r="FI243" s="208">
        <v>0</v>
      </c>
      <c r="FJ243" s="208">
        <v>3124146.305958333</v>
      </c>
      <c r="FK243" s="208">
        <v>151092.02281249998</v>
      </c>
      <c r="FL243" s="208">
        <v>30218.4045625</v>
      </c>
      <c r="FM243" s="208">
        <v>3068503</v>
      </c>
      <c r="FN243" s="208">
        <v>149400</v>
      </c>
      <c r="FO243" s="208">
        <v>29880</v>
      </c>
      <c r="FP243" s="208">
        <v>55643</v>
      </c>
      <c r="FQ243" s="208">
        <v>1692</v>
      </c>
      <c r="FR243" s="208">
        <v>338</v>
      </c>
      <c r="FS243" s="208">
        <v>0</v>
      </c>
      <c r="FT243" s="208">
        <v>0</v>
      </c>
      <c r="FU243" s="208">
        <v>0</v>
      </c>
      <c r="FV243" s="208">
        <v>0</v>
      </c>
      <c r="FW243" s="208">
        <v>0</v>
      </c>
      <c r="FX243" s="208">
        <v>0</v>
      </c>
      <c r="FY243" s="208">
        <v>0</v>
      </c>
      <c r="FZ243" s="208">
        <v>0</v>
      </c>
      <c r="GA243" s="208">
        <v>0</v>
      </c>
      <c r="GB243" s="208">
        <v>7971153</v>
      </c>
      <c r="GC243" s="208">
        <v>407754</v>
      </c>
      <c r="GD243" s="208">
        <v>81550</v>
      </c>
      <c r="GE243" s="664">
        <v>0</v>
      </c>
      <c r="GF243" s="664">
        <v>0.94</v>
      </c>
      <c r="GG243" s="664">
        <v>0.05</v>
      </c>
      <c r="GH243" s="664">
        <v>0.01</v>
      </c>
      <c r="GI243" s="187" t="s">
        <v>742</v>
      </c>
    </row>
    <row r="244" spans="1:191" s="187" customFormat="1" x14ac:dyDescent="0.2">
      <c r="B244" s="429" t="s">
        <v>566</v>
      </c>
      <c r="C244" s="429" t="s">
        <v>565</v>
      </c>
      <c r="D244" s="208">
        <v>-98502</v>
      </c>
      <c r="E244" s="208">
        <v>0</v>
      </c>
      <c r="F244" s="208">
        <v>-98502</v>
      </c>
      <c r="G244" s="208">
        <v>-81716</v>
      </c>
      <c r="H244" s="208">
        <v>0</v>
      </c>
      <c r="I244" s="208">
        <v>-81716</v>
      </c>
      <c r="J244" s="208">
        <v>-16786</v>
      </c>
      <c r="K244" s="208">
        <v>0</v>
      </c>
      <c r="L244" s="208">
        <v>-16786</v>
      </c>
      <c r="M244" s="208">
        <v>205447</v>
      </c>
      <c r="N244" s="208">
        <v>205447</v>
      </c>
      <c r="O244" s="208">
        <v>0</v>
      </c>
      <c r="P244" s="208">
        <v>0</v>
      </c>
      <c r="Q244" s="208">
        <v>0</v>
      </c>
      <c r="R244" s="208">
        <v>0</v>
      </c>
      <c r="S244" s="208">
        <v>0</v>
      </c>
      <c r="T244" s="208">
        <v>0</v>
      </c>
      <c r="U244" s="208">
        <v>0</v>
      </c>
      <c r="V244" s="208">
        <v>0</v>
      </c>
      <c r="W244" s="208">
        <v>0</v>
      </c>
      <c r="X244" s="208">
        <v>0</v>
      </c>
      <c r="Y244" s="208">
        <v>0</v>
      </c>
      <c r="Z244" s="208">
        <v>0</v>
      </c>
      <c r="AA244" s="208">
        <v>0</v>
      </c>
      <c r="AB244" s="208">
        <v>0</v>
      </c>
      <c r="AC244" s="208">
        <v>0</v>
      </c>
      <c r="AD244" s="208">
        <v>0</v>
      </c>
      <c r="AE244" s="208">
        <v>0</v>
      </c>
      <c r="AF244" s="208">
        <v>0</v>
      </c>
      <c r="AG244" s="208">
        <v>0</v>
      </c>
      <c r="AH244" s="208">
        <v>0</v>
      </c>
      <c r="AI244" s="208">
        <v>0</v>
      </c>
      <c r="AJ244" s="208">
        <v>0</v>
      </c>
      <c r="AK244" s="208">
        <v>0</v>
      </c>
      <c r="AL244" s="208">
        <v>0</v>
      </c>
      <c r="AM244" s="208">
        <v>0</v>
      </c>
      <c r="AN244" s="208">
        <v>0</v>
      </c>
      <c r="AO244" s="208">
        <v>0</v>
      </c>
      <c r="AP244" s="208">
        <v>0</v>
      </c>
      <c r="AQ244" s="208">
        <v>0</v>
      </c>
      <c r="AR244" s="208">
        <v>0</v>
      </c>
      <c r="AS244" s="208">
        <v>0</v>
      </c>
      <c r="AT244" s="208">
        <v>0</v>
      </c>
      <c r="AU244" s="208">
        <v>0</v>
      </c>
      <c r="AV244" s="208">
        <v>0</v>
      </c>
      <c r="AW244" s="208">
        <v>0</v>
      </c>
      <c r="AX244" s="208">
        <v>0</v>
      </c>
      <c r="AY244" s="208">
        <v>0</v>
      </c>
      <c r="AZ244" s="208">
        <v>0</v>
      </c>
      <c r="BA244" s="208">
        <v>0</v>
      </c>
      <c r="BB244" s="208">
        <v>0</v>
      </c>
      <c r="BC244" s="208">
        <v>0</v>
      </c>
      <c r="BD244" s="208">
        <v>0</v>
      </c>
      <c r="BE244" s="208">
        <v>0</v>
      </c>
      <c r="BF244" s="208">
        <v>0</v>
      </c>
      <c r="BG244" s="208">
        <v>0</v>
      </c>
      <c r="BH244" s="208">
        <v>0</v>
      </c>
      <c r="BI244" s="208">
        <v>0</v>
      </c>
      <c r="BJ244" s="208">
        <v>0</v>
      </c>
      <c r="BK244" s="208">
        <v>0</v>
      </c>
      <c r="BL244" s="208">
        <v>0</v>
      </c>
      <c r="BM244" s="208">
        <v>0</v>
      </c>
      <c r="BN244" s="208">
        <v>0</v>
      </c>
      <c r="BO244" s="208">
        <v>1895628.2868250001</v>
      </c>
      <c r="BP244" s="208">
        <v>2796051.7230668752</v>
      </c>
      <c r="BQ244" s="208">
        <v>47390.707170624999</v>
      </c>
      <c r="BR244" s="208">
        <v>87689</v>
      </c>
      <c r="BS244" s="208">
        <v>129341</v>
      </c>
      <c r="BT244" s="208">
        <v>2192</v>
      </c>
      <c r="BU244" s="208">
        <v>1916520</v>
      </c>
      <c r="BV244" s="208">
        <v>2826866</v>
      </c>
      <c r="BW244" s="208">
        <v>47913</v>
      </c>
      <c r="BX244" s="208">
        <v>66797</v>
      </c>
      <c r="BY244" s="208">
        <v>98527</v>
      </c>
      <c r="BZ244" s="208">
        <v>1670</v>
      </c>
      <c r="CA244" s="208">
        <v>0</v>
      </c>
      <c r="CB244" s="208">
        <v>0</v>
      </c>
      <c r="CC244" s="208">
        <v>0</v>
      </c>
      <c r="CD244" s="208">
        <v>0</v>
      </c>
      <c r="CE244" s="208">
        <v>0</v>
      </c>
      <c r="CF244" s="208">
        <v>0</v>
      </c>
      <c r="CG244" s="208">
        <v>0</v>
      </c>
      <c r="CH244" s="208">
        <v>0</v>
      </c>
      <c r="CI244" s="208">
        <v>0</v>
      </c>
      <c r="CJ244" s="208">
        <v>0</v>
      </c>
      <c r="CK244" s="208">
        <v>0</v>
      </c>
      <c r="CL244" s="208">
        <v>0</v>
      </c>
      <c r="CM244" s="208">
        <v>0</v>
      </c>
      <c r="CN244" s="208">
        <v>0</v>
      </c>
      <c r="CO244" s="208">
        <v>0</v>
      </c>
      <c r="CP244" s="208">
        <v>265.14000000000004</v>
      </c>
      <c r="CQ244" s="208">
        <v>391.08150000000001</v>
      </c>
      <c r="CR244" s="208">
        <v>6.6285000000000007</v>
      </c>
      <c r="CS244" s="208">
        <v>0</v>
      </c>
      <c r="CT244" s="208">
        <v>0</v>
      </c>
      <c r="CU244" s="208">
        <v>0</v>
      </c>
      <c r="CV244" s="208">
        <v>0</v>
      </c>
      <c r="CW244" s="208">
        <v>0</v>
      </c>
      <c r="CX244" s="208">
        <v>0</v>
      </c>
      <c r="CY244" s="208">
        <v>0</v>
      </c>
      <c r="CZ244" s="208">
        <v>0</v>
      </c>
      <c r="DA244" s="208">
        <v>0</v>
      </c>
      <c r="DB244" s="208">
        <v>0</v>
      </c>
      <c r="DC244" s="208">
        <v>0</v>
      </c>
      <c r="DD244" s="208">
        <v>0</v>
      </c>
      <c r="DE244" s="208">
        <v>15952.999166666668</v>
      </c>
      <c r="DF244" s="208">
        <v>23530.673770833331</v>
      </c>
      <c r="DG244" s="208">
        <v>398.82497916666671</v>
      </c>
      <c r="DH244" s="208">
        <v>15952</v>
      </c>
      <c r="DI244" s="208">
        <v>23531</v>
      </c>
      <c r="DJ244" s="208">
        <v>399</v>
      </c>
      <c r="DK244" s="208">
        <v>1</v>
      </c>
      <c r="DL244" s="208">
        <v>0</v>
      </c>
      <c r="DM244" s="208">
        <v>0</v>
      </c>
      <c r="DN244" s="208">
        <v>3065.0675000000001</v>
      </c>
      <c r="DO244" s="208">
        <v>4520.9745624999996</v>
      </c>
      <c r="DP244" s="208">
        <v>76.626687500000003</v>
      </c>
      <c r="DQ244" s="208">
        <v>2456</v>
      </c>
      <c r="DR244" s="208">
        <v>3621</v>
      </c>
      <c r="DS244" s="208">
        <v>61</v>
      </c>
      <c r="DT244" s="208">
        <v>609</v>
      </c>
      <c r="DU244" s="208">
        <v>900</v>
      </c>
      <c r="DV244" s="208">
        <v>16</v>
      </c>
      <c r="DW244" s="208">
        <v>11745.9475</v>
      </c>
      <c r="DX244" s="208">
        <v>17325.272562499998</v>
      </c>
      <c r="DY244" s="208">
        <v>293.64868749999999</v>
      </c>
      <c r="DZ244" s="208">
        <v>16367</v>
      </c>
      <c r="EA244" s="208">
        <v>24141</v>
      </c>
      <c r="EB244" s="208">
        <v>409</v>
      </c>
      <c r="EC244" s="208">
        <v>-4621</v>
      </c>
      <c r="ED244" s="208">
        <v>-6816</v>
      </c>
      <c r="EE244" s="208">
        <v>-115</v>
      </c>
      <c r="EF244" s="208">
        <v>60987.11</v>
      </c>
      <c r="EG244" s="208">
        <v>89955.987249999991</v>
      </c>
      <c r="EH244" s="208">
        <v>1524.6777500000001</v>
      </c>
      <c r="EI244" s="208">
        <v>245.5</v>
      </c>
      <c r="EJ244" s="208">
        <v>362.11249999999995</v>
      </c>
      <c r="EK244" s="208">
        <v>6.1375000000000002</v>
      </c>
      <c r="EL244" s="208">
        <v>60966</v>
      </c>
      <c r="EM244" s="208">
        <v>89925</v>
      </c>
      <c r="EN244" s="208">
        <v>1524</v>
      </c>
      <c r="EO244" s="208">
        <v>267</v>
      </c>
      <c r="EP244" s="208">
        <v>393</v>
      </c>
      <c r="EQ244" s="208">
        <v>7</v>
      </c>
      <c r="ER244" s="208">
        <v>24148.607500000002</v>
      </c>
      <c r="ES244" s="208">
        <v>35619.196062499999</v>
      </c>
      <c r="ET244" s="208">
        <v>603.71518749999996</v>
      </c>
      <c r="EU244" s="208">
        <v>20459</v>
      </c>
      <c r="EV244" s="208">
        <v>30176</v>
      </c>
      <c r="EW244" s="208">
        <v>511</v>
      </c>
      <c r="EX244" s="208">
        <v>3690</v>
      </c>
      <c r="EY244" s="208">
        <v>5443</v>
      </c>
      <c r="EZ244" s="208">
        <v>93</v>
      </c>
      <c r="FA244" s="208">
        <v>0</v>
      </c>
      <c r="FB244" s="208">
        <v>0</v>
      </c>
      <c r="FC244" s="208">
        <v>0</v>
      </c>
      <c r="FD244" s="208">
        <v>0</v>
      </c>
      <c r="FE244" s="208">
        <v>0</v>
      </c>
      <c r="FF244" s="208">
        <v>0</v>
      </c>
      <c r="FG244" s="208">
        <v>0</v>
      </c>
      <c r="FH244" s="208">
        <v>0</v>
      </c>
      <c r="FI244" s="208">
        <v>0</v>
      </c>
      <c r="FJ244" s="208">
        <v>284481.47749999998</v>
      </c>
      <c r="FK244" s="208">
        <v>419610.17931249988</v>
      </c>
      <c r="FL244" s="208">
        <v>7112.0369374999991</v>
      </c>
      <c r="FM244" s="208">
        <v>256435</v>
      </c>
      <c r="FN244" s="208">
        <v>378241</v>
      </c>
      <c r="FO244" s="208">
        <v>6411</v>
      </c>
      <c r="FP244" s="208">
        <v>28046</v>
      </c>
      <c r="FQ244" s="208">
        <v>41369</v>
      </c>
      <c r="FR244" s="208">
        <v>701</v>
      </c>
      <c r="FS244" s="208">
        <v>0</v>
      </c>
      <c r="FT244" s="208">
        <v>0</v>
      </c>
      <c r="FU244" s="208">
        <v>0</v>
      </c>
      <c r="FV244" s="208">
        <v>0</v>
      </c>
      <c r="FW244" s="208">
        <v>0</v>
      </c>
      <c r="FX244" s="208">
        <v>0</v>
      </c>
      <c r="FY244" s="208">
        <v>0</v>
      </c>
      <c r="FZ244" s="208">
        <v>0</v>
      </c>
      <c r="GA244" s="208">
        <v>0</v>
      </c>
      <c r="GB244" s="208">
        <v>2384209</v>
      </c>
      <c r="GC244" s="208">
        <v>3516708</v>
      </c>
      <c r="GD244" s="208">
        <v>59607</v>
      </c>
      <c r="GE244" s="664">
        <v>0</v>
      </c>
      <c r="GF244" s="664">
        <v>0.4</v>
      </c>
      <c r="GG244" s="664">
        <v>0.59</v>
      </c>
      <c r="GH244" s="664">
        <v>0.01</v>
      </c>
      <c r="GI244" s="187" t="s">
        <v>1054</v>
      </c>
    </row>
    <row r="245" spans="1:191" s="187" customFormat="1" x14ac:dyDescent="0.2">
      <c r="B245" s="429" t="s">
        <v>568</v>
      </c>
      <c r="C245" s="429" t="s">
        <v>567</v>
      </c>
      <c r="D245" s="208">
        <v>-2062449</v>
      </c>
      <c r="E245" s="208">
        <v>0</v>
      </c>
      <c r="F245" s="208">
        <v>-2062449</v>
      </c>
      <c r="G245" s="208">
        <v>-2100512</v>
      </c>
      <c r="H245" s="208">
        <v>0</v>
      </c>
      <c r="I245" s="208">
        <v>-2100512</v>
      </c>
      <c r="J245" s="208">
        <v>38063</v>
      </c>
      <c r="K245" s="208">
        <v>0</v>
      </c>
      <c r="L245" s="208">
        <v>38063</v>
      </c>
      <c r="M245" s="208">
        <v>105629</v>
      </c>
      <c r="N245" s="208">
        <v>105629</v>
      </c>
      <c r="O245" s="208">
        <v>0</v>
      </c>
      <c r="P245" s="208">
        <v>0</v>
      </c>
      <c r="Q245" s="208">
        <v>0</v>
      </c>
      <c r="R245" s="208">
        <v>0</v>
      </c>
      <c r="S245" s="208">
        <v>250007</v>
      </c>
      <c r="T245" s="208">
        <v>52258</v>
      </c>
      <c r="U245" s="208">
        <v>263524</v>
      </c>
      <c r="V245" s="208">
        <v>52258</v>
      </c>
      <c r="W245" s="208">
        <v>-13517</v>
      </c>
      <c r="X245" s="208">
        <v>0</v>
      </c>
      <c r="Y245" s="208">
        <v>0</v>
      </c>
      <c r="Z245" s="208">
        <v>0</v>
      </c>
      <c r="AA245" s="208">
        <v>0</v>
      </c>
      <c r="AB245" s="208">
        <v>0</v>
      </c>
      <c r="AC245" s="208">
        <v>0</v>
      </c>
      <c r="AD245" s="208">
        <v>0</v>
      </c>
      <c r="AE245" s="208">
        <v>0</v>
      </c>
      <c r="AF245" s="208">
        <v>0</v>
      </c>
      <c r="AG245" s="208">
        <v>0</v>
      </c>
      <c r="AH245" s="208">
        <v>0</v>
      </c>
      <c r="AI245" s="208">
        <v>0</v>
      </c>
      <c r="AJ245" s="208">
        <v>0</v>
      </c>
      <c r="AK245" s="208">
        <v>0</v>
      </c>
      <c r="AL245" s="208">
        <v>0</v>
      </c>
      <c r="AM245" s="208">
        <v>0</v>
      </c>
      <c r="AN245" s="208">
        <v>0</v>
      </c>
      <c r="AO245" s="208">
        <v>0</v>
      </c>
      <c r="AP245" s="208">
        <v>0</v>
      </c>
      <c r="AQ245" s="208">
        <v>0</v>
      </c>
      <c r="AR245" s="208">
        <v>0</v>
      </c>
      <c r="AS245" s="208">
        <v>0</v>
      </c>
      <c r="AT245" s="208">
        <v>0</v>
      </c>
      <c r="AU245" s="208">
        <v>0</v>
      </c>
      <c r="AV245" s="208">
        <v>0</v>
      </c>
      <c r="AW245" s="208">
        <v>0</v>
      </c>
      <c r="AX245" s="208">
        <v>0</v>
      </c>
      <c r="AY245" s="208">
        <v>0</v>
      </c>
      <c r="AZ245" s="208">
        <v>0</v>
      </c>
      <c r="BA245" s="208">
        <v>0</v>
      </c>
      <c r="BB245" s="208">
        <v>0</v>
      </c>
      <c r="BC245" s="208">
        <v>0</v>
      </c>
      <c r="BD245" s="208">
        <v>0</v>
      </c>
      <c r="BE245" s="208">
        <v>0</v>
      </c>
      <c r="BF245" s="208">
        <v>0</v>
      </c>
      <c r="BG245" s="208">
        <v>0</v>
      </c>
      <c r="BH245" s="208">
        <v>0</v>
      </c>
      <c r="BI245" s="208">
        <v>0</v>
      </c>
      <c r="BJ245" s="208">
        <v>0</v>
      </c>
      <c r="BK245" s="208">
        <v>0</v>
      </c>
      <c r="BL245" s="208">
        <v>0</v>
      </c>
      <c r="BM245" s="208">
        <v>0</v>
      </c>
      <c r="BN245" s="208">
        <v>0</v>
      </c>
      <c r="BO245" s="208">
        <v>1065469.4439425</v>
      </c>
      <c r="BP245" s="208">
        <v>710312.96262833336</v>
      </c>
      <c r="BQ245" s="208">
        <v>0</v>
      </c>
      <c r="BR245" s="208">
        <v>74784</v>
      </c>
      <c r="BS245" s="208">
        <v>49856</v>
      </c>
      <c r="BT245" s="208">
        <v>0</v>
      </c>
      <c r="BU245" s="208">
        <v>1010030</v>
      </c>
      <c r="BV245" s="208">
        <v>673354</v>
      </c>
      <c r="BW245" s="208">
        <v>0</v>
      </c>
      <c r="BX245" s="208">
        <v>130223</v>
      </c>
      <c r="BY245" s="208">
        <v>86815</v>
      </c>
      <c r="BZ245" s="208">
        <v>0</v>
      </c>
      <c r="CA245" s="208">
        <v>6479.9724999999999</v>
      </c>
      <c r="CB245" s="208">
        <v>4319.9816666666666</v>
      </c>
      <c r="CC245" s="208">
        <v>0</v>
      </c>
      <c r="CD245" s="208">
        <v>0</v>
      </c>
      <c r="CE245" s="208">
        <v>0</v>
      </c>
      <c r="CF245" s="208">
        <v>0</v>
      </c>
      <c r="CG245" s="208">
        <v>6480</v>
      </c>
      <c r="CH245" s="208">
        <v>4320</v>
      </c>
      <c r="CI245" s="208">
        <v>0</v>
      </c>
      <c r="CJ245" s="208">
        <v>0</v>
      </c>
      <c r="CK245" s="208">
        <v>0</v>
      </c>
      <c r="CL245" s="208">
        <v>0</v>
      </c>
      <c r="CM245" s="208">
        <v>0</v>
      </c>
      <c r="CN245" s="208">
        <v>0</v>
      </c>
      <c r="CO245" s="208">
        <v>0</v>
      </c>
      <c r="CP245" s="208">
        <v>-366.40875</v>
      </c>
      <c r="CQ245" s="208">
        <v>-244.27250000000001</v>
      </c>
      <c r="CR245" s="208">
        <v>0</v>
      </c>
      <c r="CS245" s="208">
        <v>0</v>
      </c>
      <c r="CT245" s="208">
        <v>0</v>
      </c>
      <c r="CU245" s="208">
        <v>0</v>
      </c>
      <c r="CV245" s="208">
        <v>0</v>
      </c>
      <c r="CW245" s="208">
        <v>0</v>
      </c>
      <c r="CX245" s="208">
        <v>0</v>
      </c>
      <c r="CY245" s="208">
        <v>0</v>
      </c>
      <c r="CZ245" s="208">
        <v>0</v>
      </c>
      <c r="DA245" s="208">
        <v>0</v>
      </c>
      <c r="DB245" s="208">
        <v>0</v>
      </c>
      <c r="DC245" s="208">
        <v>0</v>
      </c>
      <c r="DD245" s="208">
        <v>0</v>
      </c>
      <c r="DE245" s="208">
        <v>17412.087500000001</v>
      </c>
      <c r="DF245" s="208">
        <v>11608.058333333334</v>
      </c>
      <c r="DG245" s="208">
        <v>0</v>
      </c>
      <c r="DH245" s="208">
        <v>17619</v>
      </c>
      <c r="DI245" s="208">
        <v>11746</v>
      </c>
      <c r="DJ245" s="208">
        <v>0</v>
      </c>
      <c r="DK245" s="208">
        <v>-207</v>
      </c>
      <c r="DL245" s="208">
        <v>-138</v>
      </c>
      <c r="DM245" s="208">
        <v>0</v>
      </c>
      <c r="DN245" s="208">
        <v>920.625</v>
      </c>
      <c r="DO245" s="208">
        <v>613.75</v>
      </c>
      <c r="DP245" s="208">
        <v>0</v>
      </c>
      <c r="DQ245" s="208">
        <v>920</v>
      </c>
      <c r="DR245" s="208">
        <v>614</v>
      </c>
      <c r="DS245" s="208">
        <v>0</v>
      </c>
      <c r="DT245" s="208">
        <v>1</v>
      </c>
      <c r="DU245" s="208">
        <v>0</v>
      </c>
      <c r="DV245" s="208">
        <v>0</v>
      </c>
      <c r="DW245" s="208">
        <v>20213.856249999997</v>
      </c>
      <c r="DX245" s="208">
        <v>13475.904166666669</v>
      </c>
      <c r="DY245" s="208">
        <v>0</v>
      </c>
      <c r="DZ245" s="208">
        <v>21406</v>
      </c>
      <c r="EA245" s="208">
        <v>14271</v>
      </c>
      <c r="EB245" s="208">
        <v>0</v>
      </c>
      <c r="EC245" s="208">
        <v>-1192</v>
      </c>
      <c r="ED245" s="208">
        <v>-795</v>
      </c>
      <c r="EE245" s="208">
        <v>0</v>
      </c>
      <c r="EF245" s="208">
        <v>49456.588750000003</v>
      </c>
      <c r="EG245" s="208">
        <v>32971.059166666666</v>
      </c>
      <c r="EH245" s="208">
        <v>0</v>
      </c>
      <c r="EI245" s="208">
        <v>43648.058750000004</v>
      </c>
      <c r="EJ245" s="208">
        <v>29098.705833333337</v>
      </c>
      <c r="EK245" s="208">
        <v>0</v>
      </c>
      <c r="EL245" s="208">
        <v>51284</v>
      </c>
      <c r="EM245" s="208">
        <v>34190</v>
      </c>
      <c r="EN245" s="208">
        <v>0</v>
      </c>
      <c r="EO245" s="208">
        <v>41821</v>
      </c>
      <c r="EP245" s="208">
        <v>27880</v>
      </c>
      <c r="EQ245" s="208">
        <v>0</v>
      </c>
      <c r="ER245" s="208">
        <v>12708.921249999999</v>
      </c>
      <c r="ES245" s="208">
        <v>8472.6141666666681</v>
      </c>
      <c r="ET245" s="208">
        <v>0</v>
      </c>
      <c r="EU245" s="208">
        <v>11661</v>
      </c>
      <c r="EV245" s="208">
        <v>7774</v>
      </c>
      <c r="EW245" s="208">
        <v>0</v>
      </c>
      <c r="EX245" s="208">
        <v>1048</v>
      </c>
      <c r="EY245" s="208">
        <v>699</v>
      </c>
      <c r="EZ245" s="208">
        <v>0</v>
      </c>
      <c r="FA245" s="208">
        <v>0</v>
      </c>
      <c r="FB245" s="208">
        <v>0</v>
      </c>
      <c r="FC245" s="208">
        <v>0</v>
      </c>
      <c r="FD245" s="208">
        <v>0</v>
      </c>
      <c r="FE245" s="208">
        <v>0</v>
      </c>
      <c r="FF245" s="208">
        <v>0</v>
      </c>
      <c r="FG245" s="208">
        <v>0</v>
      </c>
      <c r="FH245" s="208">
        <v>0</v>
      </c>
      <c r="FI245" s="208">
        <v>0</v>
      </c>
      <c r="FJ245" s="208">
        <v>354497.78833333327</v>
      </c>
      <c r="FK245" s="208">
        <v>233709.88666666669</v>
      </c>
      <c r="FL245" s="208">
        <v>0</v>
      </c>
      <c r="FM245" s="208">
        <v>325476</v>
      </c>
      <c r="FN245" s="208">
        <v>214155</v>
      </c>
      <c r="FO245" s="208">
        <v>0</v>
      </c>
      <c r="FP245" s="208">
        <v>29022</v>
      </c>
      <c r="FQ245" s="208">
        <v>19555</v>
      </c>
      <c r="FR245" s="208">
        <v>0</v>
      </c>
      <c r="FS245" s="208">
        <v>0</v>
      </c>
      <c r="FT245" s="208">
        <v>0</v>
      </c>
      <c r="FU245" s="208">
        <v>0</v>
      </c>
      <c r="FV245" s="208">
        <v>0</v>
      </c>
      <c r="FW245" s="208">
        <v>0</v>
      </c>
      <c r="FX245" s="208">
        <v>0</v>
      </c>
      <c r="FY245" s="208">
        <v>0</v>
      </c>
      <c r="FZ245" s="208">
        <v>0</v>
      </c>
      <c r="GA245" s="208">
        <v>0</v>
      </c>
      <c r="GB245" s="208">
        <v>1645226</v>
      </c>
      <c r="GC245" s="208">
        <v>1094196</v>
      </c>
      <c r="GD245" s="208">
        <v>0</v>
      </c>
      <c r="GE245" s="664">
        <v>0</v>
      </c>
      <c r="GF245" s="664">
        <v>0.6</v>
      </c>
      <c r="GG245" s="664">
        <v>0.4</v>
      </c>
      <c r="GH245" s="664">
        <v>0</v>
      </c>
      <c r="GI245" s="187" t="s">
        <v>1054</v>
      </c>
    </row>
    <row r="246" spans="1:191" s="187" customFormat="1" x14ac:dyDescent="0.2">
      <c r="B246" s="429" t="s">
        <v>570</v>
      </c>
      <c r="C246" s="429" t="s">
        <v>569</v>
      </c>
      <c r="D246" s="208">
        <v>90548</v>
      </c>
      <c r="E246" s="208">
        <v>0</v>
      </c>
      <c r="F246" s="208">
        <v>90548</v>
      </c>
      <c r="G246" s="208">
        <v>50410</v>
      </c>
      <c r="H246" s="208">
        <v>0</v>
      </c>
      <c r="I246" s="208">
        <v>50410</v>
      </c>
      <c r="J246" s="208">
        <v>40138</v>
      </c>
      <c r="K246" s="208">
        <v>0</v>
      </c>
      <c r="L246" s="208">
        <v>40138</v>
      </c>
      <c r="M246" s="208">
        <v>177094</v>
      </c>
      <c r="N246" s="208">
        <v>177094</v>
      </c>
      <c r="O246" s="208">
        <v>0</v>
      </c>
      <c r="P246" s="208">
        <v>0</v>
      </c>
      <c r="Q246" s="208">
        <v>0</v>
      </c>
      <c r="R246" s="208">
        <v>0</v>
      </c>
      <c r="S246" s="208">
        <v>0</v>
      </c>
      <c r="T246" s="208">
        <v>0</v>
      </c>
      <c r="U246" s="208">
        <v>0</v>
      </c>
      <c r="V246" s="208">
        <v>0</v>
      </c>
      <c r="W246" s="208">
        <v>0</v>
      </c>
      <c r="X246" s="208">
        <v>0</v>
      </c>
      <c r="Y246" s="208">
        <v>0</v>
      </c>
      <c r="Z246" s="208">
        <v>0</v>
      </c>
      <c r="AA246" s="208">
        <v>0</v>
      </c>
      <c r="AB246" s="208">
        <v>0</v>
      </c>
      <c r="AC246" s="208">
        <v>0</v>
      </c>
      <c r="AD246" s="208">
        <v>0</v>
      </c>
      <c r="AE246" s="208">
        <v>0</v>
      </c>
      <c r="AF246" s="208">
        <v>0</v>
      </c>
      <c r="AG246" s="208">
        <v>0</v>
      </c>
      <c r="AH246" s="208">
        <v>0</v>
      </c>
      <c r="AI246" s="208">
        <v>0</v>
      </c>
      <c r="AJ246" s="208">
        <v>0</v>
      </c>
      <c r="AK246" s="208">
        <v>0</v>
      </c>
      <c r="AL246" s="208">
        <v>0</v>
      </c>
      <c r="AM246" s="208">
        <v>0</v>
      </c>
      <c r="AN246" s="208">
        <v>0</v>
      </c>
      <c r="AO246" s="208">
        <v>0</v>
      </c>
      <c r="AP246" s="208">
        <v>0</v>
      </c>
      <c r="AQ246" s="208">
        <v>0</v>
      </c>
      <c r="AR246" s="208">
        <v>0</v>
      </c>
      <c r="AS246" s="208">
        <v>0</v>
      </c>
      <c r="AT246" s="208">
        <v>0</v>
      </c>
      <c r="AU246" s="208">
        <v>0</v>
      </c>
      <c r="AV246" s="208">
        <v>0</v>
      </c>
      <c r="AW246" s="208">
        <v>0</v>
      </c>
      <c r="AX246" s="208">
        <v>0</v>
      </c>
      <c r="AY246" s="208">
        <v>0</v>
      </c>
      <c r="AZ246" s="208">
        <v>0</v>
      </c>
      <c r="BA246" s="208">
        <v>0</v>
      </c>
      <c r="BB246" s="208">
        <v>0</v>
      </c>
      <c r="BC246" s="208">
        <v>0</v>
      </c>
      <c r="BD246" s="208">
        <v>0</v>
      </c>
      <c r="BE246" s="208">
        <v>0</v>
      </c>
      <c r="BF246" s="208">
        <v>0</v>
      </c>
      <c r="BG246" s="208">
        <v>0</v>
      </c>
      <c r="BH246" s="208">
        <v>0</v>
      </c>
      <c r="BI246" s="208">
        <v>0</v>
      </c>
      <c r="BJ246" s="208">
        <v>0</v>
      </c>
      <c r="BK246" s="208">
        <v>0</v>
      </c>
      <c r="BL246" s="208">
        <v>0</v>
      </c>
      <c r="BM246" s="208">
        <v>0</v>
      </c>
      <c r="BN246" s="208">
        <v>0</v>
      </c>
      <c r="BO246" s="208">
        <v>2027092.6732787497</v>
      </c>
      <c r="BP246" s="208">
        <v>1351395.1155191667</v>
      </c>
      <c r="BQ246" s="208">
        <v>0</v>
      </c>
      <c r="BR246" s="208">
        <v>157224</v>
      </c>
      <c r="BS246" s="208">
        <v>104816</v>
      </c>
      <c r="BT246" s="208">
        <v>0</v>
      </c>
      <c r="BU246" s="208">
        <v>1950018</v>
      </c>
      <c r="BV246" s="208">
        <v>1300012</v>
      </c>
      <c r="BW246" s="208">
        <v>0</v>
      </c>
      <c r="BX246" s="208">
        <v>234299</v>
      </c>
      <c r="BY246" s="208">
        <v>156199</v>
      </c>
      <c r="BZ246" s="208">
        <v>0</v>
      </c>
      <c r="CA246" s="208">
        <v>0</v>
      </c>
      <c r="CB246" s="208">
        <v>0</v>
      </c>
      <c r="CC246" s="208">
        <v>0</v>
      </c>
      <c r="CD246" s="208">
        <v>0</v>
      </c>
      <c r="CE246" s="208">
        <v>0</v>
      </c>
      <c r="CF246" s="208">
        <v>0</v>
      </c>
      <c r="CG246" s="208">
        <v>0</v>
      </c>
      <c r="CH246" s="208">
        <v>0</v>
      </c>
      <c r="CI246" s="208">
        <v>0</v>
      </c>
      <c r="CJ246" s="208">
        <v>0</v>
      </c>
      <c r="CK246" s="208">
        <v>0</v>
      </c>
      <c r="CL246" s="208">
        <v>0</v>
      </c>
      <c r="CM246" s="208">
        <v>-1889.1224999999999</v>
      </c>
      <c r="CN246" s="208">
        <v>-1259.415</v>
      </c>
      <c r="CO246" s="208">
        <v>0</v>
      </c>
      <c r="CP246" s="208">
        <v>-1268.6212499999999</v>
      </c>
      <c r="CQ246" s="208">
        <v>-845.74750000000006</v>
      </c>
      <c r="CR246" s="208">
        <v>0</v>
      </c>
      <c r="CS246" s="208">
        <v>0</v>
      </c>
      <c r="CT246" s="208">
        <v>0</v>
      </c>
      <c r="CU246" s="208">
        <v>0</v>
      </c>
      <c r="CV246" s="208">
        <v>0</v>
      </c>
      <c r="CW246" s="208">
        <v>0</v>
      </c>
      <c r="CX246" s="208">
        <v>0</v>
      </c>
      <c r="CY246" s="208">
        <v>0</v>
      </c>
      <c r="CZ246" s="208">
        <v>0</v>
      </c>
      <c r="DA246" s="208">
        <v>0</v>
      </c>
      <c r="DB246" s="208">
        <v>0</v>
      </c>
      <c r="DC246" s="208">
        <v>0</v>
      </c>
      <c r="DD246" s="208">
        <v>0</v>
      </c>
      <c r="DE246" s="208">
        <v>27766.05</v>
      </c>
      <c r="DF246" s="208">
        <v>18510.7</v>
      </c>
      <c r="DG246" s="208">
        <v>0</v>
      </c>
      <c r="DH246" s="208">
        <v>28569</v>
      </c>
      <c r="DI246" s="208">
        <v>19045</v>
      </c>
      <c r="DJ246" s="208">
        <v>0</v>
      </c>
      <c r="DK246" s="208">
        <v>-803</v>
      </c>
      <c r="DL246" s="208">
        <v>-534</v>
      </c>
      <c r="DM246" s="208">
        <v>0</v>
      </c>
      <c r="DN246" s="208">
        <v>1841.25</v>
      </c>
      <c r="DO246" s="208">
        <v>1227.5</v>
      </c>
      <c r="DP246" s="208">
        <v>0</v>
      </c>
      <c r="DQ246" s="208">
        <v>1841</v>
      </c>
      <c r="DR246" s="208">
        <v>1228</v>
      </c>
      <c r="DS246" s="208">
        <v>0</v>
      </c>
      <c r="DT246" s="208">
        <v>0</v>
      </c>
      <c r="DU246" s="208">
        <v>-1</v>
      </c>
      <c r="DV246" s="208">
        <v>0</v>
      </c>
      <c r="DW246" s="208">
        <v>13354.936087499998</v>
      </c>
      <c r="DX246" s="208">
        <v>8903.2907250000007</v>
      </c>
      <c r="DY246" s="208">
        <v>0</v>
      </c>
      <c r="DZ246" s="208">
        <v>15630</v>
      </c>
      <c r="EA246" s="208">
        <v>10420</v>
      </c>
      <c r="EB246" s="208">
        <v>0</v>
      </c>
      <c r="EC246" s="208">
        <v>-2275</v>
      </c>
      <c r="ED246" s="208">
        <v>-1517</v>
      </c>
      <c r="EE246" s="208">
        <v>0</v>
      </c>
      <c r="EF246" s="208">
        <v>73074.916249999995</v>
      </c>
      <c r="EG246" s="208">
        <v>48716.61083333334</v>
      </c>
      <c r="EH246" s="208">
        <v>0</v>
      </c>
      <c r="EI246" s="208">
        <v>0</v>
      </c>
      <c r="EJ246" s="208">
        <v>0</v>
      </c>
      <c r="EK246" s="208">
        <v>0</v>
      </c>
      <c r="EL246" s="208">
        <v>98949</v>
      </c>
      <c r="EM246" s="208">
        <v>65966</v>
      </c>
      <c r="EN246" s="208">
        <v>0</v>
      </c>
      <c r="EO246" s="208">
        <v>-25874</v>
      </c>
      <c r="EP246" s="208">
        <v>-17249</v>
      </c>
      <c r="EQ246" s="208">
        <v>0</v>
      </c>
      <c r="ER246" s="208">
        <v>31892.450824999996</v>
      </c>
      <c r="ES246" s="208">
        <v>21261.633883333336</v>
      </c>
      <c r="ET246" s="208">
        <v>0</v>
      </c>
      <c r="EU246" s="208">
        <v>34894</v>
      </c>
      <c r="EV246" s="208">
        <v>23263</v>
      </c>
      <c r="EW246" s="208">
        <v>0</v>
      </c>
      <c r="EX246" s="208">
        <v>-3002</v>
      </c>
      <c r="EY246" s="208">
        <v>-2001</v>
      </c>
      <c r="EZ246" s="208">
        <v>0</v>
      </c>
      <c r="FA246" s="208">
        <v>0</v>
      </c>
      <c r="FB246" s="208">
        <v>0</v>
      </c>
      <c r="FC246" s="208">
        <v>0</v>
      </c>
      <c r="FD246" s="208">
        <v>0</v>
      </c>
      <c r="FE246" s="208">
        <v>0</v>
      </c>
      <c r="FF246" s="208">
        <v>0</v>
      </c>
      <c r="FG246" s="208">
        <v>0</v>
      </c>
      <c r="FH246" s="208">
        <v>0</v>
      </c>
      <c r="FI246" s="208">
        <v>0</v>
      </c>
      <c r="FJ246" s="208">
        <v>592052.64249999996</v>
      </c>
      <c r="FK246" s="208">
        <v>394701.76166666666</v>
      </c>
      <c r="FL246" s="208">
        <v>0</v>
      </c>
      <c r="FM246" s="208">
        <v>561054</v>
      </c>
      <c r="FN246" s="208">
        <v>374036</v>
      </c>
      <c r="FO246" s="208">
        <v>0</v>
      </c>
      <c r="FP246" s="208">
        <v>30999</v>
      </c>
      <c r="FQ246" s="208">
        <v>20666</v>
      </c>
      <c r="FR246" s="208">
        <v>0</v>
      </c>
      <c r="FS246" s="208">
        <v>0</v>
      </c>
      <c r="FT246" s="208">
        <v>0</v>
      </c>
      <c r="FU246" s="208">
        <v>0</v>
      </c>
      <c r="FV246" s="208">
        <v>0</v>
      </c>
      <c r="FW246" s="208">
        <v>0</v>
      </c>
      <c r="FX246" s="208">
        <v>0</v>
      </c>
      <c r="FY246" s="208">
        <v>0</v>
      </c>
      <c r="FZ246" s="208">
        <v>0</v>
      </c>
      <c r="GA246" s="208">
        <v>0</v>
      </c>
      <c r="GB246" s="208">
        <v>2921141</v>
      </c>
      <c r="GC246" s="208">
        <v>1947429</v>
      </c>
      <c r="GD246" s="208">
        <v>0</v>
      </c>
      <c r="GE246" s="664">
        <v>0</v>
      </c>
      <c r="GF246" s="664">
        <v>0.6</v>
      </c>
      <c r="GG246" s="664">
        <v>0.4</v>
      </c>
      <c r="GH246" s="664">
        <v>0</v>
      </c>
      <c r="GI246" s="187" t="s">
        <v>1054</v>
      </c>
    </row>
    <row r="247" spans="1:191" s="187" customFormat="1" x14ac:dyDescent="0.2">
      <c r="B247" s="429" t="s">
        <v>572</v>
      </c>
      <c r="C247" s="429" t="s">
        <v>571</v>
      </c>
      <c r="D247" s="208">
        <v>1181948</v>
      </c>
      <c r="E247" s="208">
        <v>0</v>
      </c>
      <c r="F247" s="208">
        <v>1181948</v>
      </c>
      <c r="G247" s="208">
        <v>927252</v>
      </c>
      <c r="H247" s="208">
        <v>0</v>
      </c>
      <c r="I247" s="208">
        <v>927252</v>
      </c>
      <c r="J247" s="208">
        <v>254696</v>
      </c>
      <c r="K247" s="208">
        <v>0</v>
      </c>
      <c r="L247" s="208">
        <v>254696</v>
      </c>
      <c r="M247" s="208">
        <v>299947</v>
      </c>
      <c r="N247" s="208">
        <v>299947</v>
      </c>
      <c r="O247" s="208">
        <v>0</v>
      </c>
      <c r="P247" s="208">
        <v>0</v>
      </c>
      <c r="Q247" s="208">
        <v>0</v>
      </c>
      <c r="R247" s="208">
        <v>0</v>
      </c>
      <c r="S247" s="208">
        <v>0</v>
      </c>
      <c r="T247" s="208">
        <v>0</v>
      </c>
      <c r="U247" s="208">
        <v>0</v>
      </c>
      <c r="V247" s="208">
        <v>0</v>
      </c>
      <c r="W247" s="208">
        <v>0</v>
      </c>
      <c r="X247" s="208">
        <v>0</v>
      </c>
      <c r="Y247" s="208">
        <v>0</v>
      </c>
      <c r="Z247" s="208">
        <v>0</v>
      </c>
      <c r="AA247" s="208">
        <v>0</v>
      </c>
      <c r="AB247" s="208">
        <v>0</v>
      </c>
      <c r="AC247" s="208">
        <v>0</v>
      </c>
      <c r="AD247" s="208">
        <v>0</v>
      </c>
      <c r="AE247" s="208">
        <v>0</v>
      </c>
      <c r="AF247" s="208">
        <v>0</v>
      </c>
      <c r="AG247" s="208">
        <v>0</v>
      </c>
      <c r="AH247" s="208">
        <v>0</v>
      </c>
      <c r="AI247" s="208">
        <v>0</v>
      </c>
      <c r="AJ247" s="208">
        <v>0</v>
      </c>
      <c r="AK247" s="208">
        <v>0</v>
      </c>
      <c r="AL247" s="208">
        <v>0</v>
      </c>
      <c r="AM247" s="208">
        <v>0</v>
      </c>
      <c r="AN247" s="208">
        <v>0</v>
      </c>
      <c r="AO247" s="208">
        <v>0</v>
      </c>
      <c r="AP247" s="208">
        <v>0</v>
      </c>
      <c r="AQ247" s="208">
        <v>0</v>
      </c>
      <c r="AR247" s="208">
        <v>0</v>
      </c>
      <c r="AS247" s="208">
        <v>0</v>
      </c>
      <c r="AT247" s="208">
        <v>0</v>
      </c>
      <c r="AU247" s="208">
        <v>0</v>
      </c>
      <c r="AV247" s="208">
        <v>0</v>
      </c>
      <c r="AW247" s="208">
        <v>0</v>
      </c>
      <c r="AX247" s="208">
        <v>0</v>
      </c>
      <c r="AY247" s="208">
        <v>0</v>
      </c>
      <c r="AZ247" s="208">
        <v>0</v>
      </c>
      <c r="BA247" s="208">
        <v>0</v>
      </c>
      <c r="BB247" s="208">
        <v>0</v>
      </c>
      <c r="BC247" s="208">
        <v>0</v>
      </c>
      <c r="BD247" s="208">
        <v>0</v>
      </c>
      <c r="BE247" s="208">
        <v>0</v>
      </c>
      <c r="BF247" s="208">
        <v>0</v>
      </c>
      <c r="BG247" s="208">
        <v>0</v>
      </c>
      <c r="BH247" s="208">
        <v>0</v>
      </c>
      <c r="BI247" s="208">
        <v>0</v>
      </c>
      <c r="BJ247" s="208">
        <v>0</v>
      </c>
      <c r="BK247" s="208">
        <v>0</v>
      </c>
      <c r="BL247" s="208">
        <v>0</v>
      </c>
      <c r="BM247" s="208">
        <v>0</v>
      </c>
      <c r="BN247" s="208">
        <v>0</v>
      </c>
      <c r="BO247" s="208">
        <v>2593989.1723791668</v>
      </c>
      <c r="BP247" s="208">
        <v>648497.2930947917</v>
      </c>
      <c r="BQ247" s="208">
        <v>0</v>
      </c>
      <c r="BR247" s="208">
        <v>128423</v>
      </c>
      <c r="BS247" s="208">
        <v>32106</v>
      </c>
      <c r="BT247" s="208">
        <v>0</v>
      </c>
      <c r="BU247" s="208">
        <v>2407142</v>
      </c>
      <c r="BV247" s="208">
        <v>601786</v>
      </c>
      <c r="BW247" s="208">
        <v>0</v>
      </c>
      <c r="BX247" s="208">
        <v>315270</v>
      </c>
      <c r="BY247" s="208">
        <v>78817</v>
      </c>
      <c r="BZ247" s="208">
        <v>0</v>
      </c>
      <c r="CA247" s="208">
        <v>0</v>
      </c>
      <c r="CB247" s="208">
        <v>0</v>
      </c>
      <c r="CC247" s="208">
        <v>0</v>
      </c>
      <c r="CD247" s="208">
        <v>0</v>
      </c>
      <c r="CE247" s="208">
        <v>0</v>
      </c>
      <c r="CF247" s="208">
        <v>0</v>
      </c>
      <c r="CG247" s="208">
        <v>0</v>
      </c>
      <c r="CH247" s="208">
        <v>0</v>
      </c>
      <c r="CI247" s="208">
        <v>0</v>
      </c>
      <c r="CJ247" s="208">
        <v>0</v>
      </c>
      <c r="CK247" s="208">
        <v>0</v>
      </c>
      <c r="CL247" s="208">
        <v>0</v>
      </c>
      <c r="CM247" s="208">
        <v>0</v>
      </c>
      <c r="CN247" s="208">
        <v>0</v>
      </c>
      <c r="CO247" s="208">
        <v>0</v>
      </c>
      <c r="CP247" s="208">
        <v>153.84666666666669</v>
      </c>
      <c r="CQ247" s="208">
        <v>38.461666666666673</v>
      </c>
      <c r="CR247" s="208">
        <v>0</v>
      </c>
      <c r="CS247" s="208">
        <v>-12465.671666666669</v>
      </c>
      <c r="CT247" s="208">
        <v>-3116.4179166666672</v>
      </c>
      <c r="CU247" s="208">
        <v>0</v>
      </c>
      <c r="CV247" s="208">
        <v>0</v>
      </c>
      <c r="CW247" s="208">
        <v>0</v>
      </c>
      <c r="CX247" s="208">
        <v>0</v>
      </c>
      <c r="CY247" s="208">
        <v>-12466</v>
      </c>
      <c r="CZ247" s="208">
        <v>-3116</v>
      </c>
      <c r="DA247" s="208">
        <v>0</v>
      </c>
      <c r="DB247" s="208">
        <v>0</v>
      </c>
      <c r="DC247" s="208">
        <v>0</v>
      </c>
      <c r="DD247" s="208">
        <v>0</v>
      </c>
      <c r="DE247" s="208">
        <v>8180.4691666666668</v>
      </c>
      <c r="DF247" s="208">
        <v>2045.1172916666667</v>
      </c>
      <c r="DG247" s="208">
        <v>0</v>
      </c>
      <c r="DH247" s="208">
        <v>8538</v>
      </c>
      <c r="DI247" s="208">
        <v>2135</v>
      </c>
      <c r="DJ247" s="208">
        <v>0</v>
      </c>
      <c r="DK247" s="208">
        <v>-358</v>
      </c>
      <c r="DL247" s="208">
        <v>-90</v>
      </c>
      <c r="DM247" s="208">
        <v>0</v>
      </c>
      <c r="DN247" s="208">
        <v>613.75</v>
      </c>
      <c r="DO247" s="208">
        <v>153.4375</v>
      </c>
      <c r="DP247" s="208">
        <v>0</v>
      </c>
      <c r="DQ247" s="208">
        <v>614</v>
      </c>
      <c r="DR247" s="208">
        <v>153</v>
      </c>
      <c r="DS247" s="208">
        <v>0</v>
      </c>
      <c r="DT247" s="208">
        <v>0</v>
      </c>
      <c r="DU247" s="208">
        <v>0</v>
      </c>
      <c r="DV247" s="208">
        <v>0</v>
      </c>
      <c r="DW247" s="208">
        <v>17622.808333333334</v>
      </c>
      <c r="DX247" s="208">
        <v>4405.7020833333336</v>
      </c>
      <c r="DY247" s="208">
        <v>0</v>
      </c>
      <c r="DZ247" s="208">
        <v>12914</v>
      </c>
      <c r="EA247" s="208">
        <v>3228</v>
      </c>
      <c r="EB247" s="208">
        <v>0</v>
      </c>
      <c r="EC247" s="208">
        <v>4709</v>
      </c>
      <c r="ED247" s="208">
        <v>1178</v>
      </c>
      <c r="EE247" s="208">
        <v>0</v>
      </c>
      <c r="EF247" s="208">
        <v>63805.450000000004</v>
      </c>
      <c r="EG247" s="208">
        <v>15951.362500000001</v>
      </c>
      <c r="EH247" s="208">
        <v>0</v>
      </c>
      <c r="EI247" s="208">
        <v>0</v>
      </c>
      <c r="EJ247" s="208">
        <v>0</v>
      </c>
      <c r="EK247" s="208">
        <v>0</v>
      </c>
      <c r="EL247" s="208">
        <v>68258</v>
      </c>
      <c r="EM247" s="208">
        <v>17065</v>
      </c>
      <c r="EN247" s="208">
        <v>0</v>
      </c>
      <c r="EO247" s="208">
        <v>-4453</v>
      </c>
      <c r="EP247" s="208">
        <v>-1114</v>
      </c>
      <c r="EQ247" s="208">
        <v>0</v>
      </c>
      <c r="ER247" s="208">
        <v>48633.55</v>
      </c>
      <c r="ES247" s="208">
        <v>12158.387500000001</v>
      </c>
      <c r="ET247" s="208">
        <v>0</v>
      </c>
      <c r="EU247" s="208">
        <v>51555</v>
      </c>
      <c r="EV247" s="208">
        <v>12889</v>
      </c>
      <c r="EW247" s="208">
        <v>0</v>
      </c>
      <c r="EX247" s="208">
        <v>-2921</v>
      </c>
      <c r="EY247" s="208">
        <v>-731</v>
      </c>
      <c r="EZ247" s="208">
        <v>0</v>
      </c>
      <c r="FA247" s="208">
        <v>0</v>
      </c>
      <c r="FB247" s="208">
        <v>0</v>
      </c>
      <c r="FC247" s="208">
        <v>0</v>
      </c>
      <c r="FD247" s="208">
        <v>0</v>
      </c>
      <c r="FE247" s="208">
        <v>0</v>
      </c>
      <c r="FF247" s="208">
        <v>0</v>
      </c>
      <c r="FG247" s="208">
        <v>0</v>
      </c>
      <c r="FH247" s="208">
        <v>0</v>
      </c>
      <c r="FI247" s="208">
        <v>0</v>
      </c>
      <c r="FJ247" s="208">
        <v>399752.92499999999</v>
      </c>
      <c r="FK247" s="208">
        <v>99938.231249999997</v>
      </c>
      <c r="FL247" s="208">
        <v>0</v>
      </c>
      <c r="FM247" s="208">
        <v>391925</v>
      </c>
      <c r="FN247" s="208">
        <v>97981</v>
      </c>
      <c r="FO247" s="208">
        <v>0</v>
      </c>
      <c r="FP247" s="208">
        <v>7828</v>
      </c>
      <c r="FQ247" s="208">
        <v>1957</v>
      </c>
      <c r="FR247" s="208">
        <v>0</v>
      </c>
      <c r="FS247" s="208">
        <v>0</v>
      </c>
      <c r="FT247" s="208">
        <v>0</v>
      </c>
      <c r="FU247" s="208">
        <v>0</v>
      </c>
      <c r="FV247" s="208">
        <v>0</v>
      </c>
      <c r="FW247" s="208">
        <v>0</v>
      </c>
      <c r="FX247" s="208">
        <v>0</v>
      </c>
      <c r="FY247" s="208">
        <v>0</v>
      </c>
      <c r="FZ247" s="208">
        <v>0</v>
      </c>
      <c r="GA247" s="208">
        <v>0</v>
      </c>
      <c r="GB247" s="208">
        <v>3248709</v>
      </c>
      <c r="GC247" s="208">
        <v>812176</v>
      </c>
      <c r="GD247" s="208">
        <v>0</v>
      </c>
      <c r="GE247" s="664">
        <v>0.5</v>
      </c>
      <c r="GF247" s="664">
        <v>0.4</v>
      </c>
      <c r="GG247" s="664">
        <v>0.1</v>
      </c>
      <c r="GH247" s="664">
        <v>0</v>
      </c>
      <c r="GI247" s="187" t="s">
        <v>1054</v>
      </c>
    </row>
    <row r="248" spans="1:191" s="187" customFormat="1" x14ac:dyDescent="0.2">
      <c r="B248" s="429" t="s">
        <v>574</v>
      </c>
      <c r="C248" s="429" t="s">
        <v>573</v>
      </c>
      <c r="D248" s="208">
        <v>-26690</v>
      </c>
      <c r="E248" s="208">
        <v>-3778</v>
      </c>
      <c r="F248" s="208">
        <v>-30468</v>
      </c>
      <c r="G248" s="208">
        <v>88727</v>
      </c>
      <c r="H248" s="208">
        <v>-3778</v>
      </c>
      <c r="I248" s="208">
        <v>84949</v>
      </c>
      <c r="J248" s="208">
        <v>-115417</v>
      </c>
      <c r="K248" s="208">
        <v>0</v>
      </c>
      <c r="L248" s="208">
        <v>-115417</v>
      </c>
      <c r="M248" s="208">
        <v>164243</v>
      </c>
      <c r="N248" s="208">
        <v>164243</v>
      </c>
      <c r="O248" s="208">
        <v>0</v>
      </c>
      <c r="P248" s="208">
        <v>0</v>
      </c>
      <c r="Q248" s="208">
        <v>0</v>
      </c>
      <c r="R248" s="208">
        <v>0</v>
      </c>
      <c r="S248" s="208">
        <v>158783</v>
      </c>
      <c r="T248" s="208">
        <v>0</v>
      </c>
      <c r="U248" s="208">
        <v>136282</v>
      </c>
      <c r="V248" s="208">
        <v>0</v>
      </c>
      <c r="W248" s="208">
        <v>22501</v>
      </c>
      <c r="X248" s="208">
        <v>0</v>
      </c>
      <c r="Y248" s="208">
        <v>0</v>
      </c>
      <c r="Z248" s="208">
        <v>0</v>
      </c>
      <c r="AA248" s="208">
        <v>0</v>
      </c>
      <c r="AB248" s="208">
        <v>0</v>
      </c>
      <c r="AC248" s="208">
        <v>0</v>
      </c>
      <c r="AD248" s="208">
        <v>0</v>
      </c>
      <c r="AE248" s="208">
        <v>0</v>
      </c>
      <c r="AF248" s="208">
        <v>0</v>
      </c>
      <c r="AG248" s="208">
        <v>0</v>
      </c>
      <c r="AH248" s="208">
        <v>272462</v>
      </c>
      <c r="AI248" s="208">
        <v>272462.03750000003</v>
      </c>
      <c r="AJ248" s="208">
        <v>0</v>
      </c>
      <c r="AK248" s="208">
        <v>0</v>
      </c>
      <c r="AL248" s="208">
        <v>337257</v>
      </c>
      <c r="AM248" s="208">
        <v>337257</v>
      </c>
      <c r="AN248" s="208">
        <v>0</v>
      </c>
      <c r="AO248" s="208">
        <v>0</v>
      </c>
      <c r="AP248" s="208">
        <v>-64795</v>
      </c>
      <c r="AQ248" s="208">
        <v>-64795</v>
      </c>
      <c r="AR248" s="208">
        <v>0</v>
      </c>
      <c r="AS248" s="208">
        <v>0</v>
      </c>
      <c r="AT248" s="208">
        <v>0</v>
      </c>
      <c r="AU248" s="208">
        <v>0</v>
      </c>
      <c r="AV248" s="208">
        <v>0</v>
      </c>
      <c r="AW248" s="208">
        <v>0</v>
      </c>
      <c r="AX248" s="208">
        <v>0</v>
      </c>
      <c r="AY248" s="208">
        <v>0</v>
      </c>
      <c r="AZ248" s="208">
        <v>0</v>
      </c>
      <c r="BA248" s="208">
        <v>0</v>
      </c>
      <c r="BB248" s="208">
        <v>0</v>
      </c>
      <c r="BC248" s="208">
        <v>0</v>
      </c>
      <c r="BD248" s="208">
        <v>0</v>
      </c>
      <c r="BE248" s="208">
        <v>0</v>
      </c>
      <c r="BF248" s="208">
        <v>0</v>
      </c>
      <c r="BG248" s="208">
        <v>0</v>
      </c>
      <c r="BH248" s="208">
        <v>0</v>
      </c>
      <c r="BI248" s="208">
        <v>0</v>
      </c>
      <c r="BJ248" s="208">
        <v>0</v>
      </c>
      <c r="BK248" s="208">
        <v>0</v>
      </c>
      <c r="BL248" s="208">
        <v>0</v>
      </c>
      <c r="BM248" s="208">
        <v>0</v>
      </c>
      <c r="BN248" s="208">
        <v>0</v>
      </c>
      <c r="BO248" s="208">
        <v>1266057.9290170004</v>
      </c>
      <c r="BP248" s="208">
        <v>315811.38175183343</v>
      </c>
      <c r="BQ248" s="208">
        <v>0</v>
      </c>
      <c r="BR248" s="208">
        <v>70569</v>
      </c>
      <c r="BS248" s="208">
        <v>17409</v>
      </c>
      <c r="BT248" s="208">
        <v>0</v>
      </c>
      <c r="BU248" s="208">
        <v>1152892</v>
      </c>
      <c r="BV248" s="208">
        <v>288223</v>
      </c>
      <c r="BW248" s="208">
        <v>0</v>
      </c>
      <c r="BX248" s="208">
        <v>183735</v>
      </c>
      <c r="BY248" s="208">
        <v>44997</v>
      </c>
      <c r="BZ248" s="208">
        <v>0</v>
      </c>
      <c r="CA248" s="208">
        <v>15014.779999999999</v>
      </c>
      <c r="CB248" s="208">
        <v>3753.6949999999997</v>
      </c>
      <c r="CC248" s="208">
        <v>0</v>
      </c>
      <c r="CD248" s="208">
        <v>0</v>
      </c>
      <c r="CE248" s="208">
        <v>0</v>
      </c>
      <c r="CF248" s="208">
        <v>0</v>
      </c>
      <c r="CG248" s="208">
        <v>15015</v>
      </c>
      <c r="CH248" s="208">
        <v>3754</v>
      </c>
      <c r="CI248" s="208">
        <v>0</v>
      </c>
      <c r="CJ248" s="208">
        <v>0</v>
      </c>
      <c r="CK248" s="208">
        <v>0</v>
      </c>
      <c r="CL248" s="208">
        <v>0</v>
      </c>
      <c r="CM248" s="208">
        <v>0</v>
      </c>
      <c r="CN248" s="208">
        <v>0</v>
      </c>
      <c r="CO248" s="208">
        <v>0</v>
      </c>
      <c r="CP248" s="208">
        <v>-1022.9166666666666</v>
      </c>
      <c r="CQ248" s="208">
        <v>-255.72916666666666</v>
      </c>
      <c r="CR248" s="208">
        <v>0</v>
      </c>
      <c r="CS248" s="208">
        <v>0</v>
      </c>
      <c r="CT248" s="208">
        <v>0</v>
      </c>
      <c r="CU248" s="208">
        <v>0</v>
      </c>
      <c r="CV248" s="208">
        <v>0</v>
      </c>
      <c r="CW248" s="208">
        <v>0</v>
      </c>
      <c r="CX248" s="208">
        <v>0</v>
      </c>
      <c r="CY248" s="208">
        <v>0</v>
      </c>
      <c r="CZ248" s="208">
        <v>0</v>
      </c>
      <c r="DA248" s="208">
        <v>0</v>
      </c>
      <c r="DB248" s="208">
        <v>520.86916666666673</v>
      </c>
      <c r="DC248" s="208">
        <v>130.21729166666668</v>
      </c>
      <c r="DD248" s="208">
        <v>0</v>
      </c>
      <c r="DE248" s="208">
        <v>31395.767500000002</v>
      </c>
      <c r="DF248" s="208">
        <v>7848.9418750000004</v>
      </c>
      <c r="DG248" s="208">
        <v>0</v>
      </c>
      <c r="DH248" s="208">
        <v>31314</v>
      </c>
      <c r="DI248" s="208">
        <v>7829</v>
      </c>
      <c r="DJ248" s="208">
        <v>0</v>
      </c>
      <c r="DK248" s="208">
        <v>82</v>
      </c>
      <c r="DL248" s="208">
        <v>20</v>
      </c>
      <c r="DM248" s="208">
        <v>0</v>
      </c>
      <c r="DN248" s="208">
        <v>613.75</v>
      </c>
      <c r="DO248" s="208">
        <v>153.4375</v>
      </c>
      <c r="DP248" s="208">
        <v>0</v>
      </c>
      <c r="DQ248" s="208">
        <v>1227</v>
      </c>
      <c r="DR248" s="208">
        <v>307</v>
      </c>
      <c r="DS248" s="208">
        <v>0</v>
      </c>
      <c r="DT248" s="208">
        <v>-613</v>
      </c>
      <c r="DU248" s="208">
        <v>-154</v>
      </c>
      <c r="DV248" s="208">
        <v>0</v>
      </c>
      <c r="DW248" s="208">
        <v>13400.167416666667</v>
      </c>
      <c r="DX248" s="208">
        <v>3350.0418541666668</v>
      </c>
      <c r="DY248" s="208">
        <v>0</v>
      </c>
      <c r="DZ248" s="208">
        <v>13418</v>
      </c>
      <c r="EA248" s="208">
        <v>3355</v>
      </c>
      <c r="EB248" s="208">
        <v>0</v>
      </c>
      <c r="EC248" s="208">
        <v>-18</v>
      </c>
      <c r="ED248" s="208">
        <v>-5</v>
      </c>
      <c r="EE248" s="208">
        <v>0</v>
      </c>
      <c r="EF248" s="208">
        <v>47968.654166666674</v>
      </c>
      <c r="EG248" s="208">
        <v>11992.163541666669</v>
      </c>
      <c r="EH248" s="208">
        <v>0</v>
      </c>
      <c r="EI248" s="208">
        <v>-184.29275833333335</v>
      </c>
      <c r="EJ248" s="208">
        <v>-46.073189583333338</v>
      </c>
      <c r="EK248" s="208">
        <v>0</v>
      </c>
      <c r="EL248" s="208">
        <v>46645</v>
      </c>
      <c r="EM248" s="208">
        <v>11661</v>
      </c>
      <c r="EN248" s="208">
        <v>0</v>
      </c>
      <c r="EO248" s="208">
        <v>1139</v>
      </c>
      <c r="EP248" s="208">
        <v>285</v>
      </c>
      <c r="EQ248" s="208">
        <v>0</v>
      </c>
      <c r="ER248" s="208">
        <v>20314.846766666666</v>
      </c>
      <c r="ES248" s="208">
        <v>5078.7116916666664</v>
      </c>
      <c r="ET248" s="208">
        <v>0</v>
      </c>
      <c r="EU248" s="208">
        <v>20458</v>
      </c>
      <c r="EV248" s="208">
        <v>5115</v>
      </c>
      <c r="EW248" s="208">
        <v>0</v>
      </c>
      <c r="EX248" s="208">
        <v>-143</v>
      </c>
      <c r="EY248" s="208">
        <v>-36</v>
      </c>
      <c r="EZ248" s="208">
        <v>0</v>
      </c>
      <c r="FA248" s="208">
        <v>0</v>
      </c>
      <c r="FB248" s="208">
        <v>0</v>
      </c>
      <c r="FC248" s="208">
        <v>0</v>
      </c>
      <c r="FD248" s="208">
        <v>0</v>
      </c>
      <c r="FE248" s="208">
        <v>0</v>
      </c>
      <c r="FF248" s="208">
        <v>0</v>
      </c>
      <c r="FG248" s="208">
        <v>0</v>
      </c>
      <c r="FH248" s="208">
        <v>0</v>
      </c>
      <c r="FI248" s="208">
        <v>0</v>
      </c>
      <c r="FJ248" s="208">
        <v>262488.32958333334</v>
      </c>
      <c r="FK248" s="208">
        <v>64712.388125000005</v>
      </c>
      <c r="FL248" s="208">
        <v>0</v>
      </c>
      <c r="FM248" s="208">
        <v>286344</v>
      </c>
      <c r="FN248" s="208">
        <v>68873</v>
      </c>
      <c r="FO248" s="208">
        <v>0</v>
      </c>
      <c r="FP248" s="208">
        <v>-23856</v>
      </c>
      <c r="FQ248" s="208">
        <v>-4161</v>
      </c>
      <c r="FR248" s="208">
        <v>0</v>
      </c>
      <c r="FS248" s="208">
        <v>0</v>
      </c>
      <c r="FT248" s="208">
        <v>0</v>
      </c>
      <c r="FU248" s="208">
        <v>0</v>
      </c>
      <c r="FV248" s="208">
        <v>0</v>
      </c>
      <c r="FW248" s="208">
        <v>0</v>
      </c>
      <c r="FX248" s="208">
        <v>0</v>
      </c>
      <c r="FY248" s="208">
        <v>0</v>
      </c>
      <c r="FZ248" s="208">
        <v>0</v>
      </c>
      <c r="GA248" s="208">
        <v>0</v>
      </c>
      <c r="GB248" s="208">
        <v>1727138</v>
      </c>
      <c r="GC248" s="208">
        <v>429937</v>
      </c>
      <c r="GD248" s="208">
        <v>0</v>
      </c>
      <c r="GE248" s="664">
        <v>0.5</v>
      </c>
      <c r="GF248" s="664">
        <v>0.4</v>
      </c>
      <c r="GG248" s="664">
        <v>0.1</v>
      </c>
      <c r="GH248" s="664">
        <v>0</v>
      </c>
      <c r="GI248" s="187" t="s">
        <v>1054</v>
      </c>
    </row>
    <row r="249" spans="1:191" s="187" customFormat="1" x14ac:dyDescent="0.2">
      <c r="B249" s="429" t="s">
        <v>576</v>
      </c>
      <c r="C249" s="429" t="s">
        <v>575</v>
      </c>
      <c r="D249" s="208">
        <v>330952</v>
      </c>
      <c r="E249" s="208">
        <v>0</v>
      </c>
      <c r="F249" s="208">
        <v>330952</v>
      </c>
      <c r="G249" s="208">
        <v>221417</v>
      </c>
      <c r="H249" s="208">
        <v>0</v>
      </c>
      <c r="I249" s="208">
        <v>221417</v>
      </c>
      <c r="J249" s="208">
        <v>109535</v>
      </c>
      <c r="K249" s="208">
        <v>0</v>
      </c>
      <c r="L249" s="208">
        <v>109535</v>
      </c>
      <c r="M249" s="208">
        <v>108286</v>
      </c>
      <c r="N249" s="208">
        <v>108286</v>
      </c>
      <c r="O249" s="208">
        <v>0</v>
      </c>
      <c r="P249" s="208">
        <v>0</v>
      </c>
      <c r="Q249" s="208">
        <v>0</v>
      </c>
      <c r="R249" s="208">
        <v>0</v>
      </c>
      <c r="S249" s="208">
        <v>377645</v>
      </c>
      <c r="T249" s="208">
        <v>0</v>
      </c>
      <c r="U249" s="208">
        <v>259195</v>
      </c>
      <c r="V249" s="208">
        <v>0</v>
      </c>
      <c r="W249" s="208">
        <v>118450</v>
      </c>
      <c r="X249" s="208">
        <v>0</v>
      </c>
      <c r="Y249" s="208">
        <v>0</v>
      </c>
      <c r="Z249" s="208">
        <v>0</v>
      </c>
      <c r="AA249" s="208">
        <v>0</v>
      </c>
      <c r="AB249" s="208">
        <v>0</v>
      </c>
      <c r="AC249" s="208">
        <v>0</v>
      </c>
      <c r="AD249" s="208">
        <v>0</v>
      </c>
      <c r="AE249" s="208">
        <v>0</v>
      </c>
      <c r="AF249" s="208">
        <v>0</v>
      </c>
      <c r="AG249" s="208">
        <v>0</v>
      </c>
      <c r="AH249" s="208">
        <v>0</v>
      </c>
      <c r="AI249" s="208">
        <v>0</v>
      </c>
      <c r="AJ249" s="208">
        <v>0</v>
      </c>
      <c r="AK249" s="208">
        <v>0</v>
      </c>
      <c r="AL249" s="208">
        <v>0</v>
      </c>
      <c r="AM249" s="208">
        <v>0</v>
      </c>
      <c r="AN249" s="208">
        <v>0</v>
      </c>
      <c r="AO249" s="208">
        <v>0</v>
      </c>
      <c r="AP249" s="208">
        <v>0</v>
      </c>
      <c r="AQ249" s="208">
        <v>0</v>
      </c>
      <c r="AR249" s="208">
        <v>0</v>
      </c>
      <c r="AS249" s="208">
        <v>0</v>
      </c>
      <c r="AT249" s="208">
        <v>0</v>
      </c>
      <c r="AU249" s="208">
        <v>0</v>
      </c>
      <c r="AV249" s="208">
        <v>0</v>
      </c>
      <c r="AW249" s="208">
        <v>0</v>
      </c>
      <c r="AX249" s="208">
        <v>0</v>
      </c>
      <c r="AY249" s="208">
        <v>0</v>
      </c>
      <c r="AZ249" s="208">
        <v>0</v>
      </c>
      <c r="BA249" s="208">
        <v>0</v>
      </c>
      <c r="BB249" s="208">
        <v>0</v>
      </c>
      <c r="BC249" s="208">
        <v>0</v>
      </c>
      <c r="BD249" s="208">
        <v>0</v>
      </c>
      <c r="BE249" s="208">
        <v>0</v>
      </c>
      <c r="BF249" s="208">
        <v>0</v>
      </c>
      <c r="BG249" s="208">
        <v>0</v>
      </c>
      <c r="BH249" s="208">
        <v>0</v>
      </c>
      <c r="BI249" s="208">
        <v>0</v>
      </c>
      <c r="BJ249" s="208">
        <v>0</v>
      </c>
      <c r="BK249" s="208">
        <v>0</v>
      </c>
      <c r="BL249" s="208">
        <v>0</v>
      </c>
      <c r="BM249" s="208">
        <v>0</v>
      </c>
      <c r="BN249" s="208">
        <v>0</v>
      </c>
      <c r="BO249" s="208">
        <v>936332.44679333351</v>
      </c>
      <c r="BP249" s="208">
        <v>234083.11169833338</v>
      </c>
      <c r="BQ249" s="208">
        <v>0</v>
      </c>
      <c r="BR249" s="208">
        <v>51125</v>
      </c>
      <c r="BS249" s="208">
        <v>12781</v>
      </c>
      <c r="BT249" s="208">
        <v>0</v>
      </c>
      <c r="BU249" s="208">
        <v>846671</v>
      </c>
      <c r="BV249" s="208">
        <v>211668</v>
      </c>
      <c r="BW249" s="208">
        <v>0</v>
      </c>
      <c r="BX249" s="208">
        <v>140786</v>
      </c>
      <c r="BY249" s="208">
        <v>35196</v>
      </c>
      <c r="BZ249" s="208">
        <v>0</v>
      </c>
      <c r="CA249" s="208">
        <v>0</v>
      </c>
      <c r="CB249" s="208">
        <v>0</v>
      </c>
      <c r="CC249" s="208">
        <v>0</v>
      </c>
      <c r="CD249" s="208">
        <v>0</v>
      </c>
      <c r="CE249" s="208">
        <v>0</v>
      </c>
      <c r="CF249" s="208">
        <v>0</v>
      </c>
      <c r="CG249" s="208">
        <v>0</v>
      </c>
      <c r="CH249" s="208">
        <v>0</v>
      </c>
      <c r="CI249" s="208">
        <v>0</v>
      </c>
      <c r="CJ249" s="208">
        <v>0</v>
      </c>
      <c r="CK249" s="208">
        <v>0</v>
      </c>
      <c r="CL249" s="208">
        <v>0</v>
      </c>
      <c r="CM249" s="208">
        <v>0</v>
      </c>
      <c r="CN249" s="208">
        <v>0</v>
      </c>
      <c r="CO249" s="208">
        <v>0</v>
      </c>
      <c r="CP249" s="208">
        <v>0</v>
      </c>
      <c r="CQ249" s="208">
        <v>0</v>
      </c>
      <c r="CR249" s="208">
        <v>0</v>
      </c>
      <c r="CS249" s="208">
        <v>0</v>
      </c>
      <c r="CT249" s="208">
        <v>0</v>
      </c>
      <c r="CU249" s="208">
        <v>0</v>
      </c>
      <c r="CV249" s="208">
        <v>0</v>
      </c>
      <c r="CW249" s="208">
        <v>0</v>
      </c>
      <c r="CX249" s="208">
        <v>0</v>
      </c>
      <c r="CY249" s="208">
        <v>0</v>
      </c>
      <c r="CZ249" s="208">
        <v>0</v>
      </c>
      <c r="DA249" s="208">
        <v>0</v>
      </c>
      <c r="DB249" s="208">
        <v>0</v>
      </c>
      <c r="DC249" s="208">
        <v>0</v>
      </c>
      <c r="DD249" s="208">
        <v>0</v>
      </c>
      <c r="DE249" s="208">
        <v>33095.445833333339</v>
      </c>
      <c r="DF249" s="208">
        <v>8273.8614583333347</v>
      </c>
      <c r="DG249" s="208">
        <v>0</v>
      </c>
      <c r="DH249" s="208">
        <v>29751</v>
      </c>
      <c r="DI249" s="208">
        <v>7438</v>
      </c>
      <c r="DJ249" s="208">
        <v>0</v>
      </c>
      <c r="DK249" s="208">
        <v>3344</v>
      </c>
      <c r="DL249" s="208">
        <v>836</v>
      </c>
      <c r="DM249" s="208">
        <v>0</v>
      </c>
      <c r="DN249" s="208">
        <v>0</v>
      </c>
      <c r="DO249" s="208">
        <v>0</v>
      </c>
      <c r="DP249" s="208">
        <v>0</v>
      </c>
      <c r="DQ249" s="208">
        <v>0</v>
      </c>
      <c r="DR249" s="208">
        <v>0</v>
      </c>
      <c r="DS249" s="208">
        <v>0</v>
      </c>
      <c r="DT249" s="208">
        <v>0</v>
      </c>
      <c r="DU249" s="208">
        <v>0</v>
      </c>
      <c r="DV249" s="208">
        <v>0</v>
      </c>
      <c r="DW249" s="208">
        <v>13383.023333333333</v>
      </c>
      <c r="DX249" s="208">
        <v>3345.7558333333332</v>
      </c>
      <c r="DY249" s="208">
        <v>0</v>
      </c>
      <c r="DZ249" s="208">
        <v>13427</v>
      </c>
      <c r="EA249" s="208">
        <v>3357</v>
      </c>
      <c r="EB249" s="208">
        <v>0</v>
      </c>
      <c r="EC249" s="208">
        <v>-44</v>
      </c>
      <c r="ED249" s="208">
        <v>-11</v>
      </c>
      <c r="EE249" s="208">
        <v>0</v>
      </c>
      <c r="EF249" s="208">
        <v>17516.424999999999</v>
      </c>
      <c r="EG249" s="208">
        <v>4379.1062499999998</v>
      </c>
      <c r="EH249" s="208">
        <v>0</v>
      </c>
      <c r="EI249" s="208">
        <v>-6236.1091666666671</v>
      </c>
      <c r="EJ249" s="208">
        <v>-1559.0272916666668</v>
      </c>
      <c r="EK249" s="208">
        <v>0</v>
      </c>
      <c r="EL249" s="208">
        <v>23322</v>
      </c>
      <c r="EM249" s="208">
        <v>5831</v>
      </c>
      <c r="EN249" s="208">
        <v>0</v>
      </c>
      <c r="EO249" s="208">
        <v>-12042</v>
      </c>
      <c r="EP249" s="208">
        <v>-3011</v>
      </c>
      <c r="EQ249" s="208">
        <v>0</v>
      </c>
      <c r="ER249" s="208">
        <v>18995.5625</v>
      </c>
      <c r="ES249" s="208">
        <v>4748.890625</v>
      </c>
      <c r="ET249" s="208">
        <v>0</v>
      </c>
      <c r="EU249" s="208">
        <v>17594</v>
      </c>
      <c r="EV249" s="208">
        <v>4399</v>
      </c>
      <c r="EW249" s="208">
        <v>0</v>
      </c>
      <c r="EX249" s="208">
        <v>1402</v>
      </c>
      <c r="EY249" s="208">
        <v>350</v>
      </c>
      <c r="EZ249" s="208">
        <v>0</v>
      </c>
      <c r="FA249" s="208">
        <v>0</v>
      </c>
      <c r="FB249" s="208">
        <v>0</v>
      </c>
      <c r="FC249" s="208">
        <v>0</v>
      </c>
      <c r="FD249" s="208">
        <v>0</v>
      </c>
      <c r="FE249" s="208">
        <v>0</v>
      </c>
      <c r="FF249" s="208">
        <v>0</v>
      </c>
      <c r="FG249" s="208">
        <v>0</v>
      </c>
      <c r="FH249" s="208">
        <v>0</v>
      </c>
      <c r="FI249" s="208">
        <v>0</v>
      </c>
      <c r="FJ249" s="208">
        <v>232151.12708333333</v>
      </c>
      <c r="FK249" s="208">
        <v>55874.190624999996</v>
      </c>
      <c r="FL249" s="208">
        <v>0</v>
      </c>
      <c r="FM249" s="208">
        <v>221536</v>
      </c>
      <c r="FN249" s="208">
        <v>53899</v>
      </c>
      <c r="FO249" s="208">
        <v>0</v>
      </c>
      <c r="FP249" s="208">
        <v>10615</v>
      </c>
      <c r="FQ249" s="208">
        <v>1975</v>
      </c>
      <c r="FR249" s="208">
        <v>0</v>
      </c>
      <c r="FS249" s="208">
        <v>0</v>
      </c>
      <c r="FT249" s="208">
        <v>0</v>
      </c>
      <c r="FU249" s="208">
        <v>0</v>
      </c>
      <c r="FV249" s="208">
        <v>0</v>
      </c>
      <c r="FW249" s="208">
        <v>0</v>
      </c>
      <c r="FX249" s="208">
        <v>0</v>
      </c>
      <c r="FY249" s="208">
        <v>0</v>
      </c>
      <c r="FZ249" s="208">
        <v>0</v>
      </c>
      <c r="GA249" s="208">
        <v>0</v>
      </c>
      <c r="GB249" s="208">
        <v>1296362</v>
      </c>
      <c r="GC249" s="208">
        <v>321927</v>
      </c>
      <c r="GD249" s="208">
        <v>0</v>
      </c>
      <c r="GE249" s="664">
        <v>0.5</v>
      </c>
      <c r="GF249" s="664">
        <v>0.4</v>
      </c>
      <c r="GG249" s="664">
        <v>0.1</v>
      </c>
      <c r="GH249" s="664">
        <v>0</v>
      </c>
      <c r="GI249" s="187" t="s">
        <v>1054</v>
      </c>
    </row>
    <row r="250" spans="1:191" s="187" customFormat="1" x14ac:dyDescent="0.2">
      <c r="B250" s="429" t="s">
        <v>578</v>
      </c>
      <c r="C250" s="429" t="s">
        <v>577</v>
      </c>
      <c r="D250" s="208">
        <v>781781</v>
      </c>
      <c r="E250" s="208">
        <v>0</v>
      </c>
      <c r="F250" s="208">
        <v>781781</v>
      </c>
      <c r="G250" s="208">
        <v>745728</v>
      </c>
      <c r="H250" s="208">
        <v>0</v>
      </c>
      <c r="I250" s="208">
        <v>745728</v>
      </c>
      <c r="J250" s="208">
        <v>36053</v>
      </c>
      <c r="K250" s="208">
        <v>0</v>
      </c>
      <c r="L250" s="208">
        <v>36053</v>
      </c>
      <c r="M250" s="208">
        <v>183354</v>
      </c>
      <c r="N250" s="208">
        <v>183354</v>
      </c>
      <c r="O250" s="208">
        <v>0</v>
      </c>
      <c r="P250" s="208">
        <v>49709</v>
      </c>
      <c r="Q250" s="208">
        <v>37726</v>
      </c>
      <c r="R250" s="208">
        <v>11983</v>
      </c>
      <c r="S250" s="208">
        <v>87112</v>
      </c>
      <c r="T250" s="208">
        <v>0</v>
      </c>
      <c r="U250" s="208">
        <v>87112</v>
      </c>
      <c r="V250" s="208">
        <v>0</v>
      </c>
      <c r="W250" s="208">
        <v>0</v>
      </c>
      <c r="X250" s="208">
        <v>0</v>
      </c>
      <c r="Y250" s="208">
        <v>0</v>
      </c>
      <c r="Z250" s="208">
        <v>0</v>
      </c>
      <c r="AA250" s="208">
        <v>0</v>
      </c>
      <c r="AB250" s="208">
        <v>0</v>
      </c>
      <c r="AC250" s="208">
        <v>0</v>
      </c>
      <c r="AD250" s="208">
        <v>0</v>
      </c>
      <c r="AE250" s="208">
        <v>0</v>
      </c>
      <c r="AF250" s="208">
        <v>0</v>
      </c>
      <c r="AG250" s="208">
        <v>0</v>
      </c>
      <c r="AH250" s="208">
        <v>0</v>
      </c>
      <c r="AI250" s="208">
        <v>0</v>
      </c>
      <c r="AJ250" s="208">
        <v>0</v>
      </c>
      <c r="AK250" s="208">
        <v>0</v>
      </c>
      <c r="AL250" s="208">
        <v>0</v>
      </c>
      <c r="AM250" s="208">
        <v>0</v>
      </c>
      <c r="AN250" s="208">
        <v>0</v>
      </c>
      <c r="AO250" s="208">
        <v>0</v>
      </c>
      <c r="AP250" s="208">
        <v>0</v>
      </c>
      <c r="AQ250" s="208">
        <v>0</v>
      </c>
      <c r="AR250" s="208">
        <v>0</v>
      </c>
      <c r="AS250" s="208">
        <v>0</v>
      </c>
      <c r="AT250" s="208">
        <v>0</v>
      </c>
      <c r="AU250" s="208">
        <v>0</v>
      </c>
      <c r="AV250" s="208">
        <v>0</v>
      </c>
      <c r="AW250" s="208">
        <v>0</v>
      </c>
      <c r="AX250" s="208">
        <v>0</v>
      </c>
      <c r="AY250" s="208">
        <v>0</v>
      </c>
      <c r="AZ250" s="208">
        <v>0</v>
      </c>
      <c r="BA250" s="208">
        <v>0</v>
      </c>
      <c r="BB250" s="208">
        <v>0</v>
      </c>
      <c r="BC250" s="208">
        <v>0</v>
      </c>
      <c r="BD250" s="208">
        <v>0</v>
      </c>
      <c r="BE250" s="208">
        <v>0</v>
      </c>
      <c r="BF250" s="208">
        <v>0</v>
      </c>
      <c r="BG250" s="208">
        <v>0</v>
      </c>
      <c r="BH250" s="208">
        <v>0</v>
      </c>
      <c r="BI250" s="208">
        <v>0</v>
      </c>
      <c r="BJ250" s="208">
        <v>0</v>
      </c>
      <c r="BK250" s="208">
        <v>0</v>
      </c>
      <c r="BL250" s="208">
        <v>0</v>
      </c>
      <c r="BM250" s="208">
        <v>0</v>
      </c>
      <c r="BN250" s="208">
        <v>0</v>
      </c>
      <c r="BO250" s="208">
        <v>1217082.8949000004</v>
      </c>
      <c r="BP250" s="208">
        <v>304270.72372500011</v>
      </c>
      <c r="BQ250" s="208">
        <v>0</v>
      </c>
      <c r="BR250" s="208">
        <v>106553</v>
      </c>
      <c r="BS250" s="208">
        <v>26638</v>
      </c>
      <c r="BT250" s="208">
        <v>0</v>
      </c>
      <c r="BU250" s="208">
        <v>1220969</v>
      </c>
      <c r="BV250" s="208">
        <v>305242</v>
      </c>
      <c r="BW250" s="208">
        <v>0</v>
      </c>
      <c r="BX250" s="208">
        <v>102667</v>
      </c>
      <c r="BY250" s="208">
        <v>25667</v>
      </c>
      <c r="BZ250" s="208">
        <v>0</v>
      </c>
      <c r="CA250" s="208">
        <v>0</v>
      </c>
      <c r="CB250" s="208">
        <v>0</v>
      </c>
      <c r="CC250" s="208">
        <v>0</v>
      </c>
      <c r="CD250" s="208">
        <v>0</v>
      </c>
      <c r="CE250" s="208">
        <v>0</v>
      </c>
      <c r="CF250" s="208">
        <v>0</v>
      </c>
      <c r="CG250" s="208">
        <v>0</v>
      </c>
      <c r="CH250" s="208">
        <v>0</v>
      </c>
      <c r="CI250" s="208">
        <v>0</v>
      </c>
      <c r="CJ250" s="208">
        <v>0</v>
      </c>
      <c r="CK250" s="208">
        <v>0</v>
      </c>
      <c r="CL250" s="208">
        <v>0</v>
      </c>
      <c r="CM250" s="208">
        <v>0</v>
      </c>
      <c r="CN250" s="208">
        <v>0</v>
      </c>
      <c r="CO250" s="208">
        <v>0</v>
      </c>
      <c r="CP250" s="208">
        <v>-851.47583333333341</v>
      </c>
      <c r="CQ250" s="208">
        <v>-212.86895833333335</v>
      </c>
      <c r="CR250" s="208">
        <v>0</v>
      </c>
      <c r="CS250" s="208">
        <v>-333.47083333333336</v>
      </c>
      <c r="CT250" s="208">
        <v>-83.36770833333334</v>
      </c>
      <c r="CU250" s="208">
        <v>0</v>
      </c>
      <c r="CV250" s="208">
        <v>0</v>
      </c>
      <c r="CW250" s="208">
        <v>0</v>
      </c>
      <c r="CX250" s="208">
        <v>0</v>
      </c>
      <c r="CY250" s="208">
        <v>-333</v>
      </c>
      <c r="CZ250" s="208">
        <v>-83</v>
      </c>
      <c r="DA250" s="208">
        <v>0</v>
      </c>
      <c r="DB250" s="208">
        <v>0</v>
      </c>
      <c r="DC250" s="208">
        <v>0</v>
      </c>
      <c r="DD250" s="208">
        <v>0</v>
      </c>
      <c r="DE250" s="208">
        <v>16211.592499999999</v>
      </c>
      <c r="DF250" s="208">
        <v>4052.8981249999997</v>
      </c>
      <c r="DG250" s="208">
        <v>0</v>
      </c>
      <c r="DH250" s="208">
        <v>16211</v>
      </c>
      <c r="DI250" s="208">
        <v>4053</v>
      </c>
      <c r="DJ250" s="208">
        <v>0</v>
      </c>
      <c r="DK250" s="208">
        <v>1</v>
      </c>
      <c r="DL250" s="208">
        <v>0</v>
      </c>
      <c r="DM250" s="208">
        <v>0</v>
      </c>
      <c r="DN250" s="208">
        <v>142.79916666666665</v>
      </c>
      <c r="DO250" s="208">
        <v>35.699791666666663</v>
      </c>
      <c r="DP250" s="208">
        <v>0</v>
      </c>
      <c r="DQ250" s="208">
        <v>614</v>
      </c>
      <c r="DR250" s="208">
        <v>153</v>
      </c>
      <c r="DS250" s="208">
        <v>0</v>
      </c>
      <c r="DT250" s="208">
        <v>-471</v>
      </c>
      <c r="DU250" s="208">
        <v>-117</v>
      </c>
      <c r="DV250" s="208">
        <v>0</v>
      </c>
      <c r="DW250" s="208">
        <v>18319.619166666667</v>
      </c>
      <c r="DX250" s="208">
        <v>4579.9047916666668</v>
      </c>
      <c r="DY250" s="208">
        <v>0</v>
      </c>
      <c r="DZ250" s="208">
        <v>18765</v>
      </c>
      <c r="EA250" s="208">
        <v>4691</v>
      </c>
      <c r="EB250" s="208">
        <v>0</v>
      </c>
      <c r="EC250" s="208">
        <v>-445</v>
      </c>
      <c r="ED250" s="208">
        <v>-111</v>
      </c>
      <c r="EE250" s="208">
        <v>0</v>
      </c>
      <c r="EF250" s="208">
        <v>70660.219166666662</v>
      </c>
      <c r="EG250" s="208">
        <v>17665.054791666666</v>
      </c>
      <c r="EH250" s="208">
        <v>0</v>
      </c>
      <c r="EI250" s="208">
        <v>0</v>
      </c>
      <c r="EJ250" s="208">
        <v>0</v>
      </c>
      <c r="EK250" s="208">
        <v>0</v>
      </c>
      <c r="EL250" s="208">
        <v>74730</v>
      </c>
      <c r="EM250" s="208">
        <v>18683</v>
      </c>
      <c r="EN250" s="208">
        <v>0</v>
      </c>
      <c r="EO250" s="208">
        <v>-4070</v>
      </c>
      <c r="EP250" s="208">
        <v>-1018</v>
      </c>
      <c r="EQ250" s="208">
        <v>0</v>
      </c>
      <c r="ER250" s="208">
        <v>31070.889166666671</v>
      </c>
      <c r="ES250" s="208">
        <v>7767.7222916666678</v>
      </c>
      <c r="ET250" s="208">
        <v>0</v>
      </c>
      <c r="EU250" s="208">
        <v>27005</v>
      </c>
      <c r="EV250" s="208">
        <v>6751</v>
      </c>
      <c r="EW250" s="208">
        <v>0</v>
      </c>
      <c r="EX250" s="208">
        <v>4066</v>
      </c>
      <c r="EY250" s="208">
        <v>1017</v>
      </c>
      <c r="EZ250" s="208">
        <v>0</v>
      </c>
      <c r="FA250" s="208">
        <v>0</v>
      </c>
      <c r="FB250" s="208">
        <v>0</v>
      </c>
      <c r="FC250" s="208">
        <v>0</v>
      </c>
      <c r="FD250" s="208">
        <v>0</v>
      </c>
      <c r="FE250" s="208">
        <v>0</v>
      </c>
      <c r="FF250" s="208">
        <v>0</v>
      </c>
      <c r="FG250" s="208">
        <v>0</v>
      </c>
      <c r="FH250" s="208">
        <v>0</v>
      </c>
      <c r="FI250" s="208">
        <v>0</v>
      </c>
      <c r="FJ250" s="208">
        <v>403795.5395833333</v>
      </c>
      <c r="FK250" s="208">
        <v>100165.01458333332</v>
      </c>
      <c r="FL250" s="208">
        <v>0</v>
      </c>
      <c r="FM250" s="208">
        <v>402424</v>
      </c>
      <c r="FN250" s="208">
        <v>99891</v>
      </c>
      <c r="FO250" s="208">
        <v>0</v>
      </c>
      <c r="FP250" s="208">
        <v>1372</v>
      </c>
      <c r="FQ250" s="208">
        <v>274</v>
      </c>
      <c r="FR250" s="208">
        <v>0</v>
      </c>
      <c r="FS250" s="208">
        <v>0</v>
      </c>
      <c r="FT250" s="208">
        <v>0</v>
      </c>
      <c r="FU250" s="208">
        <v>0</v>
      </c>
      <c r="FV250" s="208">
        <v>0</v>
      </c>
      <c r="FW250" s="208">
        <v>0</v>
      </c>
      <c r="FX250" s="208">
        <v>0</v>
      </c>
      <c r="FY250" s="208">
        <v>0</v>
      </c>
      <c r="FZ250" s="208">
        <v>0</v>
      </c>
      <c r="GA250" s="208">
        <v>0</v>
      </c>
      <c r="GB250" s="208">
        <v>1862654</v>
      </c>
      <c r="GC250" s="208">
        <v>464880</v>
      </c>
      <c r="GD250" s="208">
        <v>0</v>
      </c>
      <c r="GE250" s="664">
        <v>0.5</v>
      </c>
      <c r="GF250" s="664">
        <v>0.4</v>
      </c>
      <c r="GG250" s="664">
        <v>0.1</v>
      </c>
      <c r="GH250" s="664">
        <v>0</v>
      </c>
      <c r="GI250" s="187" t="s">
        <v>1054</v>
      </c>
    </row>
    <row r="251" spans="1:191" s="187" customFormat="1" x14ac:dyDescent="0.2">
      <c r="B251" s="429" t="s">
        <v>580</v>
      </c>
      <c r="C251" s="429" t="s">
        <v>579</v>
      </c>
      <c r="D251" s="208">
        <v>-908845</v>
      </c>
      <c r="E251" s="208">
        <v>-3917</v>
      </c>
      <c r="F251" s="208">
        <v>-912762</v>
      </c>
      <c r="G251" s="208">
        <v>-1453214</v>
      </c>
      <c r="H251" s="208">
        <v>0</v>
      </c>
      <c r="I251" s="208">
        <v>-1453214</v>
      </c>
      <c r="J251" s="208">
        <v>544369</v>
      </c>
      <c r="K251" s="208">
        <v>-3917</v>
      </c>
      <c r="L251" s="208">
        <v>540452</v>
      </c>
      <c r="M251" s="208">
        <v>123602</v>
      </c>
      <c r="N251" s="208">
        <v>123602</v>
      </c>
      <c r="O251" s="208">
        <v>0</v>
      </c>
      <c r="P251" s="208">
        <v>418171</v>
      </c>
      <c r="Q251" s="208">
        <v>0</v>
      </c>
      <c r="R251" s="208">
        <v>418171</v>
      </c>
      <c r="S251" s="208">
        <v>78211</v>
      </c>
      <c r="T251" s="208">
        <v>0</v>
      </c>
      <c r="U251" s="208">
        <v>15356</v>
      </c>
      <c r="V251" s="208">
        <v>0</v>
      </c>
      <c r="W251" s="208">
        <v>62855</v>
      </c>
      <c r="X251" s="208">
        <v>0</v>
      </c>
      <c r="Y251" s="208">
        <v>0</v>
      </c>
      <c r="Z251" s="208">
        <v>0</v>
      </c>
      <c r="AA251" s="208">
        <v>0</v>
      </c>
      <c r="AB251" s="208">
        <v>0</v>
      </c>
      <c r="AC251" s="208">
        <v>0</v>
      </c>
      <c r="AD251" s="208">
        <v>0</v>
      </c>
      <c r="AE251" s="208">
        <v>0</v>
      </c>
      <c r="AF251" s="208">
        <v>0</v>
      </c>
      <c r="AG251" s="208">
        <v>0</v>
      </c>
      <c r="AH251" s="208">
        <v>0</v>
      </c>
      <c r="AI251" s="208">
        <v>0</v>
      </c>
      <c r="AJ251" s="208">
        <v>0</v>
      </c>
      <c r="AK251" s="208">
        <v>0</v>
      </c>
      <c r="AL251" s="208">
        <v>0</v>
      </c>
      <c r="AM251" s="208">
        <v>0</v>
      </c>
      <c r="AN251" s="208">
        <v>0</v>
      </c>
      <c r="AO251" s="208">
        <v>0</v>
      </c>
      <c r="AP251" s="208">
        <v>0</v>
      </c>
      <c r="AQ251" s="208">
        <v>0</v>
      </c>
      <c r="AR251" s="208">
        <v>0</v>
      </c>
      <c r="AS251" s="208">
        <v>0</v>
      </c>
      <c r="AT251" s="208">
        <v>0</v>
      </c>
      <c r="AU251" s="208">
        <v>0</v>
      </c>
      <c r="AV251" s="208">
        <v>0</v>
      </c>
      <c r="AW251" s="208">
        <v>0</v>
      </c>
      <c r="AX251" s="208">
        <v>0</v>
      </c>
      <c r="AY251" s="208">
        <v>0</v>
      </c>
      <c r="AZ251" s="208">
        <v>0</v>
      </c>
      <c r="BA251" s="208">
        <v>0</v>
      </c>
      <c r="BB251" s="208">
        <v>0</v>
      </c>
      <c r="BC251" s="208">
        <v>0</v>
      </c>
      <c r="BD251" s="208">
        <v>0</v>
      </c>
      <c r="BE251" s="208">
        <v>0</v>
      </c>
      <c r="BF251" s="208">
        <v>0</v>
      </c>
      <c r="BG251" s="208">
        <v>0</v>
      </c>
      <c r="BH251" s="208">
        <v>0</v>
      </c>
      <c r="BI251" s="208">
        <v>0</v>
      </c>
      <c r="BJ251" s="208">
        <v>0</v>
      </c>
      <c r="BK251" s="208">
        <v>0</v>
      </c>
      <c r="BL251" s="208">
        <v>0</v>
      </c>
      <c r="BM251" s="208">
        <v>0</v>
      </c>
      <c r="BN251" s="208">
        <v>0</v>
      </c>
      <c r="BO251" s="208">
        <v>1033017.5170300003</v>
      </c>
      <c r="BP251" s="208">
        <v>232428.94133175001</v>
      </c>
      <c r="BQ251" s="208">
        <v>25825.43792575</v>
      </c>
      <c r="BR251" s="208">
        <v>68224</v>
      </c>
      <c r="BS251" s="208">
        <v>15350</v>
      </c>
      <c r="BT251" s="208">
        <v>1706</v>
      </c>
      <c r="BU251" s="208">
        <v>978984</v>
      </c>
      <c r="BV251" s="208">
        <v>220271</v>
      </c>
      <c r="BW251" s="208">
        <v>24475</v>
      </c>
      <c r="BX251" s="208">
        <v>122258</v>
      </c>
      <c r="BY251" s="208">
        <v>27508</v>
      </c>
      <c r="BZ251" s="208">
        <v>3056</v>
      </c>
      <c r="CA251" s="208">
        <v>1669.4</v>
      </c>
      <c r="CB251" s="208">
        <v>375.61500000000001</v>
      </c>
      <c r="CC251" s="208">
        <v>41.734999999999999</v>
      </c>
      <c r="CD251" s="208">
        <v>3515</v>
      </c>
      <c r="CE251" s="208">
        <v>791</v>
      </c>
      <c r="CF251" s="208">
        <v>88</v>
      </c>
      <c r="CG251" s="208">
        <v>-1846</v>
      </c>
      <c r="CH251" s="208">
        <v>-415</v>
      </c>
      <c r="CI251" s="208">
        <v>-46</v>
      </c>
      <c r="CJ251" s="208">
        <v>-15276.237500000001</v>
      </c>
      <c r="CK251" s="208">
        <v>-3437.1534374999997</v>
      </c>
      <c r="CL251" s="208">
        <v>-381.90593749999999</v>
      </c>
      <c r="CM251" s="208">
        <v>0</v>
      </c>
      <c r="CN251" s="208">
        <v>0</v>
      </c>
      <c r="CO251" s="208">
        <v>0</v>
      </c>
      <c r="CP251" s="208">
        <v>0</v>
      </c>
      <c r="CQ251" s="208">
        <v>0</v>
      </c>
      <c r="CR251" s="208">
        <v>0</v>
      </c>
      <c r="CS251" s="208">
        <v>0</v>
      </c>
      <c r="CT251" s="208">
        <v>0</v>
      </c>
      <c r="CU251" s="208">
        <v>0</v>
      </c>
      <c r="CV251" s="208">
        <v>0</v>
      </c>
      <c r="CW251" s="208">
        <v>0</v>
      </c>
      <c r="CX251" s="208">
        <v>0</v>
      </c>
      <c r="CY251" s="208">
        <v>0</v>
      </c>
      <c r="CZ251" s="208">
        <v>0</v>
      </c>
      <c r="DA251" s="208">
        <v>0</v>
      </c>
      <c r="DB251" s="208">
        <v>0</v>
      </c>
      <c r="DC251" s="208">
        <v>0</v>
      </c>
      <c r="DD251" s="208">
        <v>0</v>
      </c>
      <c r="DE251" s="208">
        <v>1744.6866666666665</v>
      </c>
      <c r="DF251" s="208">
        <v>392.55449999999996</v>
      </c>
      <c r="DG251" s="208">
        <v>43.617166666666662</v>
      </c>
      <c r="DH251" s="208">
        <v>1090</v>
      </c>
      <c r="DI251" s="208">
        <v>245</v>
      </c>
      <c r="DJ251" s="208">
        <v>27</v>
      </c>
      <c r="DK251" s="208">
        <v>655</v>
      </c>
      <c r="DL251" s="208">
        <v>148</v>
      </c>
      <c r="DM251" s="208">
        <v>17</v>
      </c>
      <c r="DN251" s="208">
        <v>0</v>
      </c>
      <c r="DO251" s="208">
        <v>0</v>
      </c>
      <c r="DP251" s="208">
        <v>0</v>
      </c>
      <c r="DQ251" s="208">
        <v>0</v>
      </c>
      <c r="DR251" s="208">
        <v>0</v>
      </c>
      <c r="DS251" s="208">
        <v>0</v>
      </c>
      <c r="DT251" s="208">
        <v>0</v>
      </c>
      <c r="DU251" s="208">
        <v>0</v>
      </c>
      <c r="DV251" s="208">
        <v>0</v>
      </c>
      <c r="DW251" s="208">
        <v>1851.8883333333335</v>
      </c>
      <c r="DX251" s="208">
        <v>416.67487499999999</v>
      </c>
      <c r="DY251" s="208">
        <v>46.297208333333344</v>
      </c>
      <c r="DZ251" s="208">
        <v>3839</v>
      </c>
      <c r="EA251" s="208">
        <v>864</v>
      </c>
      <c r="EB251" s="208">
        <v>96</v>
      </c>
      <c r="EC251" s="208">
        <v>-1987</v>
      </c>
      <c r="ED251" s="208">
        <v>-447</v>
      </c>
      <c r="EE251" s="208">
        <v>-50</v>
      </c>
      <c r="EF251" s="208">
        <v>12434.984166666667</v>
      </c>
      <c r="EG251" s="208">
        <v>2797.8714375</v>
      </c>
      <c r="EH251" s="208">
        <v>310.87460416666664</v>
      </c>
      <c r="EI251" s="208">
        <v>-788.05500000000006</v>
      </c>
      <c r="EJ251" s="208">
        <v>-177.312375</v>
      </c>
      <c r="EK251" s="208">
        <v>-19.701375000000002</v>
      </c>
      <c r="EL251" s="208">
        <v>14321</v>
      </c>
      <c r="EM251" s="208">
        <v>3222</v>
      </c>
      <c r="EN251" s="208">
        <v>358</v>
      </c>
      <c r="EO251" s="208">
        <v>-2674</v>
      </c>
      <c r="EP251" s="208">
        <v>-601</v>
      </c>
      <c r="EQ251" s="208">
        <v>-67</v>
      </c>
      <c r="ER251" s="208">
        <v>15178.855833333333</v>
      </c>
      <c r="ES251" s="208">
        <v>3415.2425624999996</v>
      </c>
      <c r="ET251" s="208">
        <v>379.4713958333333</v>
      </c>
      <c r="EU251" s="208">
        <v>12684</v>
      </c>
      <c r="EV251" s="208">
        <v>2854</v>
      </c>
      <c r="EW251" s="208">
        <v>317</v>
      </c>
      <c r="EX251" s="208">
        <v>2495</v>
      </c>
      <c r="EY251" s="208">
        <v>561</v>
      </c>
      <c r="EZ251" s="208">
        <v>62</v>
      </c>
      <c r="FA251" s="208">
        <v>0</v>
      </c>
      <c r="FB251" s="208">
        <v>0</v>
      </c>
      <c r="FC251" s="208">
        <v>0</v>
      </c>
      <c r="FD251" s="208">
        <v>0</v>
      </c>
      <c r="FE251" s="208">
        <v>0</v>
      </c>
      <c r="FF251" s="208">
        <v>0</v>
      </c>
      <c r="FG251" s="208">
        <v>0</v>
      </c>
      <c r="FH251" s="208">
        <v>0</v>
      </c>
      <c r="FI251" s="208">
        <v>0</v>
      </c>
      <c r="FJ251" s="208">
        <v>320272.11333333334</v>
      </c>
      <c r="FK251" s="208">
        <v>69501.755812499992</v>
      </c>
      <c r="FL251" s="208">
        <v>7722.4173124999998</v>
      </c>
      <c r="FM251" s="208">
        <v>311707</v>
      </c>
      <c r="FN251" s="208">
        <v>70055</v>
      </c>
      <c r="FO251" s="208">
        <v>7784</v>
      </c>
      <c r="FP251" s="208">
        <v>8565</v>
      </c>
      <c r="FQ251" s="208">
        <v>-553</v>
      </c>
      <c r="FR251" s="208">
        <v>-62</v>
      </c>
      <c r="FS251" s="208">
        <v>0</v>
      </c>
      <c r="FT251" s="208">
        <v>0</v>
      </c>
      <c r="FU251" s="208">
        <v>0</v>
      </c>
      <c r="FV251" s="208">
        <v>0</v>
      </c>
      <c r="FW251" s="208">
        <v>0</v>
      </c>
      <c r="FX251" s="208">
        <v>0</v>
      </c>
      <c r="FY251" s="208">
        <v>0</v>
      </c>
      <c r="FZ251" s="208">
        <v>0</v>
      </c>
      <c r="GA251" s="208">
        <v>0</v>
      </c>
      <c r="GB251" s="208">
        <v>1438330</v>
      </c>
      <c r="GC251" s="208">
        <v>321066</v>
      </c>
      <c r="GD251" s="208">
        <v>35673</v>
      </c>
      <c r="GE251" s="664">
        <v>0.5</v>
      </c>
      <c r="GF251" s="664">
        <v>0.4</v>
      </c>
      <c r="GG251" s="664">
        <v>0.09</v>
      </c>
      <c r="GH251" s="664">
        <v>0.01</v>
      </c>
      <c r="GI251" s="187" t="s">
        <v>1054</v>
      </c>
    </row>
    <row r="252" spans="1:191" s="187" customFormat="1" x14ac:dyDescent="0.2">
      <c r="B252" s="429" t="s">
        <v>582</v>
      </c>
      <c r="C252" s="429" t="s">
        <v>581</v>
      </c>
      <c r="D252" s="208">
        <v>-615389</v>
      </c>
      <c r="E252" s="208">
        <v>0</v>
      </c>
      <c r="F252" s="208">
        <v>-615389</v>
      </c>
      <c r="G252" s="208">
        <v>-687711</v>
      </c>
      <c r="H252" s="208">
        <v>0</v>
      </c>
      <c r="I252" s="208">
        <v>-687711</v>
      </c>
      <c r="J252" s="208">
        <v>72322</v>
      </c>
      <c r="K252" s="208">
        <v>0</v>
      </c>
      <c r="L252" s="208">
        <v>72322</v>
      </c>
      <c r="M252" s="208">
        <v>223484</v>
      </c>
      <c r="N252" s="208">
        <v>223484</v>
      </c>
      <c r="O252" s="208">
        <v>0</v>
      </c>
      <c r="P252" s="208">
        <v>0</v>
      </c>
      <c r="Q252" s="208">
        <v>0</v>
      </c>
      <c r="R252" s="208">
        <v>0</v>
      </c>
      <c r="S252" s="208">
        <v>484965</v>
      </c>
      <c r="T252" s="208">
        <v>0</v>
      </c>
      <c r="U252" s="208">
        <v>273784</v>
      </c>
      <c r="V252" s="208">
        <v>0</v>
      </c>
      <c r="W252" s="208">
        <v>211181</v>
      </c>
      <c r="X252" s="208">
        <v>0</v>
      </c>
      <c r="Y252" s="208">
        <v>0</v>
      </c>
      <c r="Z252" s="208">
        <v>0</v>
      </c>
      <c r="AA252" s="208">
        <v>0</v>
      </c>
      <c r="AB252" s="208">
        <v>0</v>
      </c>
      <c r="AC252" s="208">
        <v>0</v>
      </c>
      <c r="AD252" s="208">
        <v>0</v>
      </c>
      <c r="AE252" s="208">
        <v>0</v>
      </c>
      <c r="AF252" s="208">
        <v>0</v>
      </c>
      <c r="AG252" s="208">
        <v>0</v>
      </c>
      <c r="AH252" s="208">
        <v>0</v>
      </c>
      <c r="AI252" s="208">
        <v>0</v>
      </c>
      <c r="AJ252" s="208">
        <v>0</v>
      </c>
      <c r="AK252" s="208">
        <v>0</v>
      </c>
      <c r="AL252" s="208">
        <v>0</v>
      </c>
      <c r="AM252" s="208">
        <v>0</v>
      </c>
      <c r="AN252" s="208">
        <v>0</v>
      </c>
      <c r="AO252" s="208">
        <v>0</v>
      </c>
      <c r="AP252" s="208">
        <v>0</v>
      </c>
      <c r="AQ252" s="208">
        <v>0</v>
      </c>
      <c r="AR252" s="208">
        <v>0</v>
      </c>
      <c r="AS252" s="208">
        <v>0</v>
      </c>
      <c r="AT252" s="208">
        <v>0</v>
      </c>
      <c r="AU252" s="208">
        <v>0</v>
      </c>
      <c r="AV252" s="208">
        <v>0</v>
      </c>
      <c r="AW252" s="208">
        <v>0</v>
      </c>
      <c r="AX252" s="208">
        <v>0</v>
      </c>
      <c r="AY252" s="208">
        <v>0</v>
      </c>
      <c r="AZ252" s="208">
        <v>0</v>
      </c>
      <c r="BA252" s="208">
        <v>0</v>
      </c>
      <c r="BB252" s="208">
        <v>0</v>
      </c>
      <c r="BC252" s="208">
        <v>0</v>
      </c>
      <c r="BD252" s="208">
        <v>0</v>
      </c>
      <c r="BE252" s="208">
        <v>0</v>
      </c>
      <c r="BF252" s="208">
        <v>0</v>
      </c>
      <c r="BG252" s="208">
        <v>0</v>
      </c>
      <c r="BH252" s="208">
        <v>0</v>
      </c>
      <c r="BI252" s="208">
        <v>0</v>
      </c>
      <c r="BJ252" s="208">
        <v>0</v>
      </c>
      <c r="BK252" s="208">
        <v>0</v>
      </c>
      <c r="BL252" s="208">
        <v>0</v>
      </c>
      <c r="BM252" s="208">
        <v>0</v>
      </c>
      <c r="BN252" s="208">
        <v>0</v>
      </c>
      <c r="BO252" s="208">
        <v>1784328.4364895835</v>
      </c>
      <c r="BP252" s="208">
        <v>401473.89821015624</v>
      </c>
      <c r="BQ252" s="208">
        <v>44608.210912239585</v>
      </c>
      <c r="BR252" s="208">
        <v>107134</v>
      </c>
      <c r="BS252" s="208">
        <v>24105</v>
      </c>
      <c r="BT252" s="208">
        <v>2678</v>
      </c>
      <c r="BU252" s="208">
        <v>1661370</v>
      </c>
      <c r="BV252" s="208">
        <v>373808</v>
      </c>
      <c r="BW252" s="208">
        <v>41534</v>
      </c>
      <c r="BX252" s="208">
        <v>230092</v>
      </c>
      <c r="BY252" s="208">
        <v>51771</v>
      </c>
      <c r="BZ252" s="208">
        <v>5752</v>
      </c>
      <c r="CA252" s="208">
        <v>8306.5947916666664</v>
      </c>
      <c r="CB252" s="208">
        <v>1868.9838281249999</v>
      </c>
      <c r="CC252" s="208">
        <v>207.66486979166669</v>
      </c>
      <c r="CD252" s="208">
        <v>7004</v>
      </c>
      <c r="CE252" s="208">
        <v>1576</v>
      </c>
      <c r="CF252" s="208">
        <v>175</v>
      </c>
      <c r="CG252" s="208">
        <v>1303</v>
      </c>
      <c r="CH252" s="208">
        <v>293</v>
      </c>
      <c r="CI252" s="208">
        <v>33</v>
      </c>
      <c r="CJ252" s="208">
        <v>0</v>
      </c>
      <c r="CK252" s="208">
        <v>0</v>
      </c>
      <c r="CL252" s="208">
        <v>0</v>
      </c>
      <c r="CM252" s="208">
        <v>0</v>
      </c>
      <c r="CN252" s="208">
        <v>0</v>
      </c>
      <c r="CO252" s="208">
        <v>0</v>
      </c>
      <c r="CP252" s="208">
        <v>-856.79500000000007</v>
      </c>
      <c r="CQ252" s="208">
        <v>-192.778875</v>
      </c>
      <c r="CR252" s="208">
        <v>-21.419875000000001</v>
      </c>
      <c r="CS252" s="208">
        <v>0</v>
      </c>
      <c r="CT252" s="208">
        <v>0</v>
      </c>
      <c r="CU252" s="208">
        <v>0</v>
      </c>
      <c r="CV252" s="208">
        <v>0</v>
      </c>
      <c r="CW252" s="208">
        <v>0</v>
      </c>
      <c r="CX252" s="208">
        <v>0</v>
      </c>
      <c r="CY252" s="208">
        <v>0</v>
      </c>
      <c r="CZ252" s="208">
        <v>0</v>
      </c>
      <c r="DA252" s="208">
        <v>0</v>
      </c>
      <c r="DB252" s="208">
        <v>0</v>
      </c>
      <c r="DC252" s="208">
        <v>0</v>
      </c>
      <c r="DD252" s="208">
        <v>0</v>
      </c>
      <c r="DE252" s="208">
        <v>29290.195833333331</v>
      </c>
      <c r="DF252" s="208">
        <v>6590.2940624999992</v>
      </c>
      <c r="DG252" s="208">
        <v>732.25489583333331</v>
      </c>
      <c r="DH252" s="208">
        <v>29995</v>
      </c>
      <c r="DI252" s="208">
        <v>6749</v>
      </c>
      <c r="DJ252" s="208">
        <v>750</v>
      </c>
      <c r="DK252" s="208">
        <v>-705</v>
      </c>
      <c r="DL252" s="208">
        <v>-159</v>
      </c>
      <c r="DM252" s="208">
        <v>-18</v>
      </c>
      <c r="DN252" s="208">
        <v>613.75</v>
      </c>
      <c r="DO252" s="208">
        <v>138.09375</v>
      </c>
      <c r="DP252" s="208">
        <v>15.34375</v>
      </c>
      <c r="DQ252" s="208">
        <v>614</v>
      </c>
      <c r="DR252" s="208">
        <v>138</v>
      </c>
      <c r="DS252" s="208">
        <v>15</v>
      </c>
      <c r="DT252" s="208">
        <v>0</v>
      </c>
      <c r="DU252" s="208">
        <v>0</v>
      </c>
      <c r="DV252" s="208">
        <v>0</v>
      </c>
      <c r="DW252" s="208">
        <v>16159.219166666668</v>
      </c>
      <c r="DX252" s="208">
        <v>3635.8243124999999</v>
      </c>
      <c r="DY252" s="208">
        <v>403.98047916666667</v>
      </c>
      <c r="DZ252" s="208">
        <v>7611</v>
      </c>
      <c r="EA252" s="208">
        <v>1712</v>
      </c>
      <c r="EB252" s="208">
        <v>190</v>
      </c>
      <c r="EC252" s="208">
        <v>8548</v>
      </c>
      <c r="ED252" s="208">
        <v>1924</v>
      </c>
      <c r="EE252" s="208">
        <v>214</v>
      </c>
      <c r="EF252" s="208">
        <v>70860.710833333331</v>
      </c>
      <c r="EG252" s="208">
        <v>15943.659937499999</v>
      </c>
      <c r="EH252" s="208">
        <v>1771.5177708333333</v>
      </c>
      <c r="EI252" s="208">
        <v>615.79583333333335</v>
      </c>
      <c r="EJ252" s="208">
        <v>138.55406249999999</v>
      </c>
      <c r="EK252" s="208">
        <v>15.394895833333333</v>
      </c>
      <c r="EL252" s="208">
        <v>104338</v>
      </c>
      <c r="EM252" s="208">
        <v>23476</v>
      </c>
      <c r="EN252" s="208">
        <v>2608</v>
      </c>
      <c r="EO252" s="208">
        <v>-32861</v>
      </c>
      <c r="EP252" s="208">
        <v>-7394</v>
      </c>
      <c r="EQ252" s="208">
        <v>-821</v>
      </c>
      <c r="ER252" s="208">
        <v>35775.487500000003</v>
      </c>
      <c r="ES252" s="208">
        <v>8049.4846874999985</v>
      </c>
      <c r="ET252" s="208">
        <v>894.38718749999987</v>
      </c>
      <c r="EU252" s="208">
        <v>34371</v>
      </c>
      <c r="EV252" s="208">
        <v>7733</v>
      </c>
      <c r="EW252" s="208">
        <v>859</v>
      </c>
      <c r="EX252" s="208">
        <v>1404</v>
      </c>
      <c r="EY252" s="208">
        <v>316</v>
      </c>
      <c r="EZ252" s="208">
        <v>35</v>
      </c>
      <c r="FA252" s="208">
        <v>0</v>
      </c>
      <c r="FB252" s="208">
        <v>0</v>
      </c>
      <c r="FC252" s="208">
        <v>0</v>
      </c>
      <c r="FD252" s="208">
        <v>0</v>
      </c>
      <c r="FE252" s="208">
        <v>0</v>
      </c>
      <c r="FF252" s="208">
        <v>0</v>
      </c>
      <c r="FG252" s="208">
        <v>0</v>
      </c>
      <c r="FH252" s="208">
        <v>0</v>
      </c>
      <c r="FI252" s="208">
        <v>0</v>
      </c>
      <c r="FJ252" s="208">
        <v>414725.46958333335</v>
      </c>
      <c r="FK252" s="208">
        <v>90812.629874999999</v>
      </c>
      <c r="FL252" s="208">
        <v>10090.292208333334</v>
      </c>
      <c r="FM252" s="208">
        <v>387613</v>
      </c>
      <c r="FN252" s="208">
        <v>85801</v>
      </c>
      <c r="FO252" s="208">
        <v>9533</v>
      </c>
      <c r="FP252" s="208">
        <v>27112</v>
      </c>
      <c r="FQ252" s="208">
        <v>5012</v>
      </c>
      <c r="FR252" s="208">
        <v>557</v>
      </c>
      <c r="FS252" s="208">
        <v>0</v>
      </c>
      <c r="FT252" s="208">
        <v>0</v>
      </c>
      <c r="FU252" s="208">
        <v>0</v>
      </c>
      <c r="FV252" s="208">
        <v>0</v>
      </c>
      <c r="FW252" s="208">
        <v>0</v>
      </c>
      <c r="FX252" s="208">
        <v>0</v>
      </c>
      <c r="FY252" s="208">
        <v>0</v>
      </c>
      <c r="FZ252" s="208">
        <v>0</v>
      </c>
      <c r="GA252" s="208">
        <v>0</v>
      </c>
      <c r="GB252" s="208">
        <v>2466952</v>
      </c>
      <c r="GC252" s="208">
        <v>552564</v>
      </c>
      <c r="GD252" s="208">
        <v>61395</v>
      </c>
      <c r="GE252" s="664">
        <v>0.5</v>
      </c>
      <c r="GF252" s="664">
        <v>0.4</v>
      </c>
      <c r="GG252" s="664">
        <v>0.09</v>
      </c>
      <c r="GH252" s="664">
        <v>0.01</v>
      </c>
      <c r="GI252" s="187" t="s">
        <v>1054</v>
      </c>
    </row>
    <row r="253" spans="1:191" s="187" customFormat="1" x14ac:dyDescent="0.2">
      <c r="B253" s="429" t="s">
        <v>584</v>
      </c>
      <c r="C253" s="429" t="s">
        <v>583</v>
      </c>
      <c r="D253" s="208">
        <v>240016</v>
      </c>
      <c r="E253" s="208">
        <v>-47359</v>
      </c>
      <c r="F253" s="208">
        <v>192657</v>
      </c>
      <c r="G253" s="208">
        <v>203507</v>
      </c>
      <c r="H253" s="208">
        <v>-42537</v>
      </c>
      <c r="I253" s="208">
        <v>160970</v>
      </c>
      <c r="J253" s="208">
        <v>36509</v>
      </c>
      <c r="K253" s="208">
        <v>-4822</v>
      </c>
      <c r="L253" s="208">
        <v>31687</v>
      </c>
      <c r="M253" s="208">
        <v>106045</v>
      </c>
      <c r="N253" s="208">
        <v>106045</v>
      </c>
      <c r="O253" s="208">
        <v>0</v>
      </c>
      <c r="P253" s="208">
        <v>2915909</v>
      </c>
      <c r="Q253" s="208">
        <v>3115785</v>
      </c>
      <c r="R253" s="208">
        <v>-199876</v>
      </c>
      <c r="S253" s="208">
        <v>41779</v>
      </c>
      <c r="T253" s="208">
        <v>191038</v>
      </c>
      <c r="U253" s="208">
        <v>14664</v>
      </c>
      <c r="V253" s="208">
        <v>191037</v>
      </c>
      <c r="W253" s="208">
        <v>27115</v>
      </c>
      <c r="X253" s="208">
        <v>1</v>
      </c>
      <c r="Y253" s="208">
        <v>0</v>
      </c>
      <c r="Z253" s="208">
        <v>0</v>
      </c>
      <c r="AA253" s="208">
        <v>0</v>
      </c>
      <c r="AB253" s="208">
        <v>0</v>
      </c>
      <c r="AC253" s="208">
        <v>0</v>
      </c>
      <c r="AD253" s="208">
        <v>0</v>
      </c>
      <c r="AE253" s="208">
        <v>0</v>
      </c>
      <c r="AF253" s="208">
        <v>0</v>
      </c>
      <c r="AG253" s="208">
        <v>0</v>
      </c>
      <c r="AH253" s="208">
        <v>164875</v>
      </c>
      <c r="AI253" s="208">
        <v>164874.73125000001</v>
      </c>
      <c r="AJ253" s="208">
        <v>0</v>
      </c>
      <c r="AK253" s="208">
        <v>0</v>
      </c>
      <c r="AL253" s="208">
        <v>52387</v>
      </c>
      <c r="AM253" s="208">
        <v>52387</v>
      </c>
      <c r="AN253" s="208">
        <v>0</v>
      </c>
      <c r="AO253" s="208">
        <v>0</v>
      </c>
      <c r="AP253" s="208">
        <v>112488</v>
      </c>
      <c r="AQ253" s="208">
        <v>112488</v>
      </c>
      <c r="AR253" s="208">
        <v>0</v>
      </c>
      <c r="AS253" s="208">
        <v>0</v>
      </c>
      <c r="AT253" s="208">
        <v>0</v>
      </c>
      <c r="AU253" s="208">
        <v>0</v>
      </c>
      <c r="AV253" s="208">
        <v>0</v>
      </c>
      <c r="AW253" s="208">
        <v>0</v>
      </c>
      <c r="AX253" s="208">
        <v>0</v>
      </c>
      <c r="AY253" s="208">
        <v>0</v>
      </c>
      <c r="AZ253" s="208">
        <v>0</v>
      </c>
      <c r="BA253" s="208">
        <v>0</v>
      </c>
      <c r="BB253" s="208">
        <v>0</v>
      </c>
      <c r="BC253" s="208">
        <v>0</v>
      </c>
      <c r="BD253" s="208">
        <v>0</v>
      </c>
      <c r="BE253" s="208">
        <v>0</v>
      </c>
      <c r="BF253" s="208">
        <v>0</v>
      </c>
      <c r="BG253" s="208">
        <v>0</v>
      </c>
      <c r="BH253" s="208">
        <v>0</v>
      </c>
      <c r="BI253" s="208">
        <v>0</v>
      </c>
      <c r="BJ253" s="208">
        <v>0</v>
      </c>
      <c r="BK253" s="208">
        <v>0</v>
      </c>
      <c r="BL253" s="208">
        <v>0</v>
      </c>
      <c r="BM253" s="208">
        <v>0</v>
      </c>
      <c r="BN253" s="208">
        <v>0</v>
      </c>
      <c r="BO253" s="208">
        <v>933103.62752000021</v>
      </c>
      <c r="BP253" s="208">
        <v>209948.31619200006</v>
      </c>
      <c r="BQ253" s="208">
        <v>23327.590688</v>
      </c>
      <c r="BR253" s="208">
        <v>42859</v>
      </c>
      <c r="BS253" s="208">
        <v>9643</v>
      </c>
      <c r="BT253" s="208">
        <v>1071</v>
      </c>
      <c r="BU253" s="208">
        <v>850082</v>
      </c>
      <c r="BV253" s="208">
        <v>191268</v>
      </c>
      <c r="BW253" s="208">
        <v>21252</v>
      </c>
      <c r="BX253" s="208">
        <v>125881</v>
      </c>
      <c r="BY253" s="208">
        <v>28323</v>
      </c>
      <c r="BZ253" s="208">
        <v>3147</v>
      </c>
      <c r="CA253" s="208">
        <v>0</v>
      </c>
      <c r="CB253" s="208">
        <v>0</v>
      </c>
      <c r="CC253" s="208">
        <v>0</v>
      </c>
      <c r="CD253" s="208">
        <v>0</v>
      </c>
      <c r="CE253" s="208">
        <v>0</v>
      </c>
      <c r="CF253" s="208">
        <v>0</v>
      </c>
      <c r="CG253" s="208">
        <v>0</v>
      </c>
      <c r="CH253" s="208">
        <v>0</v>
      </c>
      <c r="CI253" s="208">
        <v>0</v>
      </c>
      <c r="CJ253" s="208">
        <v>0</v>
      </c>
      <c r="CK253" s="208">
        <v>0</v>
      </c>
      <c r="CL253" s="208">
        <v>0</v>
      </c>
      <c r="CM253" s="208">
        <v>0</v>
      </c>
      <c r="CN253" s="208">
        <v>0</v>
      </c>
      <c r="CO253" s="208">
        <v>0</v>
      </c>
      <c r="CP253" s="208">
        <v>0</v>
      </c>
      <c r="CQ253" s="208">
        <v>0</v>
      </c>
      <c r="CR253" s="208">
        <v>0</v>
      </c>
      <c r="CS253" s="208">
        <v>0</v>
      </c>
      <c r="CT253" s="208">
        <v>0</v>
      </c>
      <c r="CU253" s="208">
        <v>0</v>
      </c>
      <c r="CV253" s="208">
        <v>0</v>
      </c>
      <c r="CW253" s="208">
        <v>0</v>
      </c>
      <c r="CX253" s="208">
        <v>0</v>
      </c>
      <c r="CY253" s="208">
        <v>0</v>
      </c>
      <c r="CZ253" s="208">
        <v>0</v>
      </c>
      <c r="DA253" s="208">
        <v>0</v>
      </c>
      <c r="DB253" s="208">
        <v>0</v>
      </c>
      <c r="DC253" s="208">
        <v>0</v>
      </c>
      <c r="DD253" s="208">
        <v>0</v>
      </c>
      <c r="DE253" s="208">
        <v>2839.2075000000004</v>
      </c>
      <c r="DF253" s="208">
        <v>638.82168749999994</v>
      </c>
      <c r="DG253" s="208">
        <v>70.9801875</v>
      </c>
      <c r="DH253" s="208">
        <v>2839</v>
      </c>
      <c r="DI253" s="208">
        <v>639</v>
      </c>
      <c r="DJ253" s="208">
        <v>71</v>
      </c>
      <c r="DK253" s="208">
        <v>0</v>
      </c>
      <c r="DL253" s="208">
        <v>0</v>
      </c>
      <c r="DM253" s="208">
        <v>0</v>
      </c>
      <c r="DN253" s="208">
        <v>0</v>
      </c>
      <c r="DO253" s="208">
        <v>0</v>
      </c>
      <c r="DP253" s="208">
        <v>0</v>
      </c>
      <c r="DQ253" s="208">
        <v>0</v>
      </c>
      <c r="DR253" s="208">
        <v>0</v>
      </c>
      <c r="DS253" s="208">
        <v>0</v>
      </c>
      <c r="DT253" s="208">
        <v>0</v>
      </c>
      <c r="DU253" s="208">
        <v>0</v>
      </c>
      <c r="DV253" s="208">
        <v>0</v>
      </c>
      <c r="DW253" s="208">
        <v>7142.8225000000011</v>
      </c>
      <c r="DX253" s="208">
        <v>1607.1350625</v>
      </c>
      <c r="DY253" s="208">
        <v>178.57056250000002</v>
      </c>
      <c r="DZ253" s="208">
        <v>7298</v>
      </c>
      <c r="EA253" s="208">
        <v>1642</v>
      </c>
      <c r="EB253" s="208">
        <v>182</v>
      </c>
      <c r="EC253" s="208">
        <v>-155</v>
      </c>
      <c r="ED253" s="208">
        <v>-35</v>
      </c>
      <c r="EE253" s="208">
        <v>-3</v>
      </c>
      <c r="EF253" s="208">
        <v>32083.576666666668</v>
      </c>
      <c r="EG253" s="208">
        <v>7218.8047499999993</v>
      </c>
      <c r="EH253" s="208">
        <v>802.08941666666669</v>
      </c>
      <c r="EI253" s="208">
        <v>-43.780833333333334</v>
      </c>
      <c r="EJ253" s="208">
        <v>-9.8506874999999994</v>
      </c>
      <c r="EK253" s="208">
        <v>-1.0945208333333334</v>
      </c>
      <c r="EL253" s="208">
        <v>29140</v>
      </c>
      <c r="EM253" s="208">
        <v>6557</v>
      </c>
      <c r="EN253" s="208">
        <v>729</v>
      </c>
      <c r="EO253" s="208">
        <v>2900</v>
      </c>
      <c r="EP253" s="208">
        <v>652</v>
      </c>
      <c r="EQ253" s="208">
        <v>72</v>
      </c>
      <c r="ER253" s="208">
        <v>21457.338300000003</v>
      </c>
      <c r="ES253" s="208">
        <v>4827.9011174999996</v>
      </c>
      <c r="ET253" s="208">
        <v>536.43345749999992</v>
      </c>
      <c r="EU253" s="208">
        <v>20049</v>
      </c>
      <c r="EV253" s="208">
        <v>4511</v>
      </c>
      <c r="EW253" s="208">
        <v>501</v>
      </c>
      <c r="EX253" s="208">
        <v>1408</v>
      </c>
      <c r="EY253" s="208">
        <v>317</v>
      </c>
      <c r="EZ253" s="208">
        <v>35</v>
      </c>
      <c r="FA253" s="208">
        <v>0</v>
      </c>
      <c r="FB253" s="208">
        <v>0</v>
      </c>
      <c r="FC253" s="208">
        <v>0</v>
      </c>
      <c r="FD253" s="208">
        <v>0</v>
      </c>
      <c r="FE253" s="208">
        <v>0</v>
      </c>
      <c r="FF253" s="208">
        <v>0</v>
      </c>
      <c r="FG253" s="208">
        <v>0</v>
      </c>
      <c r="FH253" s="208">
        <v>0</v>
      </c>
      <c r="FI253" s="208">
        <v>0</v>
      </c>
      <c r="FJ253" s="208">
        <v>269359.42916666664</v>
      </c>
      <c r="FK253" s="208">
        <v>49733.246979166659</v>
      </c>
      <c r="FL253" s="208">
        <v>5039.4769791666668</v>
      </c>
      <c r="FM253" s="208">
        <v>274084</v>
      </c>
      <c r="FN253" s="208">
        <v>49635</v>
      </c>
      <c r="FO253" s="208">
        <v>5029</v>
      </c>
      <c r="FP253" s="208">
        <v>-4725</v>
      </c>
      <c r="FQ253" s="208">
        <v>98</v>
      </c>
      <c r="FR253" s="208">
        <v>10</v>
      </c>
      <c r="FS253" s="208">
        <v>0</v>
      </c>
      <c r="FT253" s="208">
        <v>0</v>
      </c>
      <c r="FU253" s="208">
        <v>0</v>
      </c>
      <c r="FV253" s="208">
        <v>0</v>
      </c>
      <c r="FW253" s="208">
        <v>0</v>
      </c>
      <c r="FX253" s="208">
        <v>0</v>
      </c>
      <c r="FY253" s="208">
        <v>0</v>
      </c>
      <c r="FZ253" s="208">
        <v>0</v>
      </c>
      <c r="GA253" s="208">
        <v>0</v>
      </c>
      <c r="GB253" s="208">
        <v>1308801</v>
      </c>
      <c r="GC253" s="208">
        <v>283607</v>
      </c>
      <c r="GD253" s="208">
        <v>31025</v>
      </c>
      <c r="GE253" s="664">
        <v>0.5</v>
      </c>
      <c r="GF253" s="664">
        <v>0.4</v>
      </c>
      <c r="GG253" s="664">
        <v>0.09</v>
      </c>
      <c r="GH253" s="664">
        <v>0.01</v>
      </c>
      <c r="GI253" s="187" t="s">
        <v>1054</v>
      </c>
    </row>
    <row r="254" spans="1:191" s="187" customFormat="1" x14ac:dyDescent="0.2">
      <c r="B254" s="429" t="s">
        <v>586</v>
      </c>
      <c r="C254" s="429" t="s">
        <v>585</v>
      </c>
      <c r="D254" s="208">
        <v>-976092</v>
      </c>
      <c r="E254" s="208">
        <v>0</v>
      </c>
      <c r="F254" s="208">
        <v>-976092</v>
      </c>
      <c r="G254" s="208">
        <v>-1142340</v>
      </c>
      <c r="H254" s="208">
        <v>0</v>
      </c>
      <c r="I254" s="208">
        <v>-1142340</v>
      </c>
      <c r="J254" s="208">
        <v>166248</v>
      </c>
      <c r="K254" s="208">
        <v>0</v>
      </c>
      <c r="L254" s="208">
        <v>166248</v>
      </c>
      <c r="M254" s="208">
        <v>149091</v>
      </c>
      <c r="N254" s="208">
        <v>149091</v>
      </c>
      <c r="O254" s="208">
        <v>0</v>
      </c>
      <c r="P254" s="208">
        <v>0</v>
      </c>
      <c r="Q254" s="208">
        <v>0</v>
      </c>
      <c r="R254" s="208">
        <v>0</v>
      </c>
      <c r="S254" s="208">
        <v>0</v>
      </c>
      <c r="T254" s="208">
        <v>0</v>
      </c>
      <c r="U254" s="208">
        <v>0</v>
      </c>
      <c r="V254" s="208">
        <v>0</v>
      </c>
      <c r="W254" s="208">
        <v>0</v>
      </c>
      <c r="X254" s="208">
        <v>0</v>
      </c>
      <c r="Y254" s="208">
        <v>0</v>
      </c>
      <c r="Z254" s="208">
        <v>0</v>
      </c>
      <c r="AA254" s="208">
        <v>0</v>
      </c>
      <c r="AB254" s="208">
        <v>0</v>
      </c>
      <c r="AC254" s="208">
        <v>0</v>
      </c>
      <c r="AD254" s="208">
        <v>0</v>
      </c>
      <c r="AE254" s="208">
        <v>0</v>
      </c>
      <c r="AF254" s="208">
        <v>0</v>
      </c>
      <c r="AG254" s="208">
        <v>0</v>
      </c>
      <c r="AH254" s="208">
        <v>0</v>
      </c>
      <c r="AI254" s="208">
        <v>0</v>
      </c>
      <c r="AJ254" s="208">
        <v>0</v>
      </c>
      <c r="AK254" s="208">
        <v>0</v>
      </c>
      <c r="AL254" s="208">
        <v>0</v>
      </c>
      <c r="AM254" s="208">
        <v>0</v>
      </c>
      <c r="AN254" s="208">
        <v>0</v>
      </c>
      <c r="AO254" s="208">
        <v>0</v>
      </c>
      <c r="AP254" s="208">
        <v>0</v>
      </c>
      <c r="AQ254" s="208">
        <v>0</v>
      </c>
      <c r="AR254" s="208">
        <v>0</v>
      </c>
      <c r="AS254" s="208">
        <v>0</v>
      </c>
      <c r="AT254" s="208">
        <v>0</v>
      </c>
      <c r="AU254" s="208">
        <v>0</v>
      </c>
      <c r="AV254" s="208">
        <v>0</v>
      </c>
      <c r="AW254" s="208">
        <v>0</v>
      </c>
      <c r="AX254" s="208">
        <v>0</v>
      </c>
      <c r="AY254" s="208">
        <v>0</v>
      </c>
      <c r="AZ254" s="208">
        <v>0</v>
      </c>
      <c r="BA254" s="208">
        <v>0</v>
      </c>
      <c r="BB254" s="208">
        <v>0</v>
      </c>
      <c r="BC254" s="208">
        <v>0</v>
      </c>
      <c r="BD254" s="208">
        <v>0</v>
      </c>
      <c r="BE254" s="208">
        <v>0</v>
      </c>
      <c r="BF254" s="208">
        <v>0</v>
      </c>
      <c r="BG254" s="208">
        <v>0</v>
      </c>
      <c r="BH254" s="208">
        <v>0</v>
      </c>
      <c r="BI254" s="208">
        <v>0</v>
      </c>
      <c r="BJ254" s="208">
        <v>0</v>
      </c>
      <c r="BK254" s="208">
        <v>0</v>
      </c>
      <c r="BL254" s="208">
        <v>0</v>
      </c>
      <c r="BM254" s="208">
        <v>0</v>
      </c>
      <c r="BN254" s="208">
        <v>0</v>
      </c>
      <c r="BO254" s="208">
        <v>1339656.3827117917</v>
      </c>
      <c r="BP254" s="208">
        <v>0</v>
      </c>
      <c r="BQ254" s="208">
        <v>27339.926177791669</v>
      </c>
      <c r="BR254" s="208">
        <v>79552</v>
      </c>
      <c r="BS254" s="208">
        <v>0</v>
      </c>
      <c r="BT254" s="208">
        <v>1624</v>
      </c>
      <c r="BU254" s="208">
        <v>1299642</v>
      </c>
      <c r="BV254" s="208">
        <v>0</v>
      </c>
      <c r="BW254" s="208">
        <v>26523</v>
      </c>
      <c r="BX254" s="208">
        <v>119566</v>
      </c>
      <c r="BY254" s="208">
        <v>0</v>
      </c>
      <c r="BZ254" s="208">
        <v>2441</v>
      </c>
      <c r="CA254" s="208">
        <v>9974.4604166666668</v>
      </c>
      <c r="CB254" s="208">
        <v>0</v>
      </c>
      <c r="CC254" s="208">
        <v>203.5604166666667</v>
      </c>
      <c r="CD254" s="208">
        <v>0</v>
      </c>
      <c r="CE254" s="208">
        <v>0</v>
      </c>
      <c r="CF254" s="208">
        <v>0</v>
      </c>
      <c r="CG254" s="208">
        <v>9974</v>
      </c>
      <c r="CH254" s="208">
        <v>0</v>
      </c>
      <c r="CI254" s="208">
        <v>204</v>
      </c>
      <c r="CJ254" s="208">
        <v>0</v>
      </c>
      <c r="CK254" s="208">
        <v>0</v>
      </c>
      <c r="CL254" s="208">
        <v>0</v>
      </c>
      <c r="CM254" s="208">
        <v>0</v>
      </c>
      <c r="CN254" s="208">
        <v>0</v>
      </c>
      <c r="CO254" s="208">
        <v>0</v>
      </c>
      <c r="CP254" s="208">
        <v>-1314.7241041666668</v>
      </c>
      <c r="CQ254" s="208">
        <v>0</v>
      </c>
      <c r="CR254" s="208">
        <v>-26.83110416666667</v>
      </c>
      <c r="CS254" s="208">
        <v>0</v>
      </c>
      <c r="CT254" s="208">
        <v>0</v>
      </c>
      <c r="CU254" s="208">
        <v>0</v>
      </c>
      <c r="CV254" s="208">
        <v>0</v>
      </c>
      <c r="CW254" s="208">
        <v>0</v>
      </c>
      <c r="CX254" s="208">
        <v>0</v>
      </c>
      <c r="CY254" s="208">
        <v>0</v>
      </c>
      <c r="CZ254" s="208">
        <v>0</v>
      </c>
      <c r="DA254" s="208">
        <v>0</v>
      </c>
      <c r="DB254" s="208">
        <v>0</v>
      </c>
      <c r="DC254" s="208">
        <v>0</v>
      </c>
      <c r="DD254" s="208">
        <v>0</v>
      </c>
      <c r="DE254" s="208">
        <v>0</v>
      </c>
      <c r="DF254" s="208">
        <v>0</v>
      </c>
      <c r="DG254" s="208">
        <v>0</v>
      </c>
      <c r="DH254" s="208">
        <v>0</v>
      </c>
      <c r="DI254" s="208">
        <v>0</v>
      </c>
      <c r="DJ254" s="208">
        <v>0</v>
      </c>
      <c r="DK254" s="208">
        <v>0</v>
      </c>
      <c r="DL254" s="208">
        <v>0</v>
      </c>
      <c r="DM254" s="208">
        <v>0</v>
      </c>
      <c r="DN254" s="208">
        <v>0</v>
      </c>
      <c r="DO254" s="208">
        <v>0</v>
      </c>
      <c r="DP254" s="208">
        <v>0</v>
      </c>
      <c r="DQ254" s="208">
        <v>0</v>
      </c>
      <c r="DR254" s="208">
        <v>0</v>
      </c>
      <c r="DS254" s="208">
        <v>0</v>
      </c>
      <c r="DT254" s="208">
        <v>0</v>
      </c>
      <c r="DU254" s="208">
        <v>0</v>
      </c>
      <c r="DV254" s="208">
        <v>0</v>
      </c>
      <c r="DW254" s="208">
        <v>5447.3585833333327</v>
      </c>
      <c r="DX254" s="208">
        <v>0</v>
      </c>
      <c r="DY254" s="208">
        <v>111.17058333333333</v>
      </c>
      <c r="DZ254" s="208">
        <v>9524</v>
      </c>
      <c r="EA254" s="208">
        <v>0</v>
      </c>
      <c r="EB254" s="208">
        <v>194</v>
      </c>
      <c r="EC254" s="208">
        <v>-4077</v>
      </c>
      <c r="ED254" s="208">
        <v>0</v>
      </c>
      <c r="EE254" s="208">
        <v>-83</v>
      </c>
      <c r="EF254" s="208">
        <v>48376.133020833331</v>
      </c>
      <c r="EG254" s="208">
        <v>0</v>
      </c>
      <c r="EH254" s="208">
        <v>987.26802083333325</v>
      </c>
      <c r="EI254" s="208">
        <v>-3826.8846874999999</v>
      </c>
      <c r="EJ254" s="208">
        <v>0</v>
      </c>
      <c r="EK254" s="208">
        <v>-78.099687500000002</v>
      </c>
      <c r="EL254" s="208">
        <v>53131</v>
      </c>
      <c r="EM254" s="208">
        <v>0</v>
      </c>
      <c r="EN254" s="208">
        <v>1084</v>
      </c>
      <c r="EO254" s="208">
        <v>-8582</v>
      </c>
      <c r="EP254" s="208">
        <v>0</v>
      </c>
      <c r="EQ254" s="208">
        <v>-175</v>
      </c>
      <c r="ER254" s="208">
        <v>25437.881437500004</v>
      </c>
      <c r="ES254" s="208">
        <v>0</v>
      </c>
      <c r="ET254" s="208">
        <v>519.14043750000008</v>
      </c>
      <c r="EU254" s="208">
        <v>37592</v>
      </c>
      <c r="EV254" s="208">
        <v>0</v>
      </c>
      <c r="EW254" s="208">
        <v>767</v>
      </c>
      <c r="EX254" s="208">
        <v>-12154</v>
      </c>
      <c r="EY254" s="208">
        <v>0</v>
      </c>
      <c r="EZ254" s="208">
        <v>-248</v>
      </c>
      <c r="FA254" s="208">
        <v>0</v>
      </c>
      <c r="FB254" s="208">
        <v>0</v>
      </c>
      <c r="FC254" s="208">
        <v>0</v>
      </c>
      <c r="FD254" s="208">
        <v>0</v>
      </c>
      <c r="FE254" s="208">
        <v>0</v>
      </c>
      <c r="FF254" s="208">
        <v>0</v>
      </c>
      <c r="FG254" s="208">
        <v>0</v>
      </c>
      <c r="FH254" s="208">
        <v>0</v>
      </c>
      <c r="FI254" s="208">
        <v>0</v>
      </c>
      <c r="FJ254" s="208">
        <v>319359.54370833328</v>
      </c>
      <c r="FK254" s="208">
        <v>0</v>
      </c>
      <c r="FL254" s="208">
        <v>6517.5417083333332</v>
      </c>
      <c r="FM254" s="208">
        <v>332000</v>
      </c>
      <c r="FN254" s="208">
        <v>0</v>
      </c>
      <c r="FO254" s="208">
        <v>6775</v>
      </c>
      <c r="FP254" s="208">
        <v>-12640</v>
      </c>
      <c r="FQ254" s="208">
        <v>0</v>
      </c>
      <c r="FR254" s="208">
        <v>-257</v>
      </c>
      <c r="FS254" s="208">
        <v>0</v>
      </c>
      <c r="FT254" s="208">
        <v>0</v>
      </c>
      <c r="FU254" s="208">
        <v>0</v>
      </c>
      <c r="FV254" s="208">
        <v>0</v>
      </c>
      <c r="FW254" s="208">
        <v>0</v>
      </c>
      <c r="FX254" s="208">
        <v>0</v>
      </c>
      <c r="FY254" s="208">
        <v>0</v>
      </c>
      <c r="FZ254" s="208">
        <v>0</v>
      </c>
      <c r="GA254" s="208">
        <v>0</v>
      </c>
      <c r="GB254" s="208">
        <v>1822661</v>
      </c>
      <c r="GC254" s="208">
        <v>0</v>
      </c>
      <c r="GD254" s="208">
        <v>37198</v>
      </c>
      <c r="GE254" s="664">
        <v>0.5</v>
      </c>
      <c r="GF254" s="664">
        <v>0.49</v>
      </c>
      <c r="GG254" s="664">
        <v>0</v>
      </c>
      <c r="GH254" s="664">
        <v>0.01</v>
      </c>
      <c r="GI254" s="187" t="s">
        <v>1056</v>
      </c>
    </row>
    <row r="255" spans="1:191" s="187" customFormat="1" x14ac:dyDescent="0.2">
      <c r="B255" s="429" t="s">
        <v>588</v>
      </c>
      <c r="C255" s="429" t="s">
        <v>587</v>
      </c>
      <c r="D255" s="208">
        <v>-2304655</v>
      </c>
      <c r="E255" s="208">
        <v>0</v>
      </c>
      <c r="F255" s="208">
        <v>-2304655</v>
      </c>
      <c r="G255" s="208">
        <v>-2023852</v>
      </c>
      <c r="H255" s="208">
        <v>0</v>
      </c>
      <c r="I255" s="208">
        <v>-2023852</v>
      </c>
      <c r="J255" s="208">
        <v>-280803</v>
      </c>
      <c r="K255" s="208">
        <v>0</v>
      </c>
      <c r="L255" s="208">
        <v>-280803</v>
      </c>
      <c r="M255" s="208">
        <v>311121</v>
      </c>
      <c r="N255" s="208">
        <v>311121</v>
      </c>
      <c r="O255" s="208">
        <v>0</v>
      </c>
      <c r="P255" s="208">
        <v>0</v>
      </c>
      <c r="Q255" s="208">
        <v>0</v>
      </c>
      <c r="R255" s="208">
        <v>0</v>
      </c>
      <c r="S255" s="208">
        <v>0</v>
      </c>
      <c r="T255" s="208">
        <v>0</v>
      </c>
      <c r="U255" s="208">
        <v>0</v>
      </c>
      <c r="V255" s="208">
        <v>0</v>
      </c>
      <c r="W255" s="208">
        <v>0</v>
      </c>
      <c r="X255" s="208">
        <v>0</v>
      </c>
      <c r="Y255" s="208">
        <v>0</v>
      </c>
      <c r="Z255" s="208">
        <v>0</v>
      </c>
      <c r="AA255" s="208">
        <v>0</v>
      </c>
      <c r="AB255" s="208">
        <v>0</v>
      </c>
      <c r="AC255" s="208">
        <v>0</v>
      </c>
      <c r="AD255" s="208">
        <v>0</v>
      </c>
      <c r="AE255" s="208">
        <v>0</v>
      </c>
      <c r="AF255" s="208">
        <v>0</v>
      </c>
      <c r="AG255" s="208">
        <v>0</v>
      </c>
      <c r="AH255" s="208">
        <v>0</v>
      </c>
      <c r="AI255" s="208">
        <v>0</v>
      </c>
      <c r="AJ255" s="208">
        <v>0</v>
      </c>
      <c r="AK255" s="208">
        <v>0</v>
      </c>
      <c r="AL255" s="208">
        <v>0</v>
      </c>
      <c r="AM255" s="208">
        <v>0</v>
      </c>
      <c r="AN255" s="208">
        <v>0</v>
      </c>
      <c r="AO255" s="208">
        <v>0</v>
      </c>
      <c r="AP255" s="208">
        <v>0</v>
      </c>
      <c r="AQ255" s="208">
        <v>0</v>
      </c>
      <c r="AR255" s="208">
        <v>0</v>
      </c>
      <c r="AS255" s="208">
        <v>0</v>
      </c>
      <c r="AT255" s="208">
        <v>0</v>
      </c>
      <c r="AU255" s="208">
        <v>0</v>
      </c>
      <c r="AV255" s="208">
        <v>0</v>
      </c>
      <c r="AW255" s="208">
        <v>0</v>
      </c>
      <c r="AX255" s="208">
        <v>0</v>
      </c>
      <c r="AY255" s="208">
        <v>0</v>
      </c>
      <c r="AZ255" s="208">
        <v>0</v>
      </c>
      <c r="BA255" s="208">
        <v>0</v>
      </c>
      <c r="BB255" s="208">
        <v>0</v>
      </c>
      <c r="BC255" s="208">
        <v>0</v>
      </c>
      <c r="BD255" s="208">
        <v>0</v>
      </c>
      <c r="BE255" s="208">
        <v>0</v>
      </c>
      <c r="BF255" s="208">
        <v>0</v>
      </c>
      <c r="BG255" s="208">
        <v>0</v>
      </c>
      <c r="BH255" s="208">
        <v>0</v>
      </c>
      <c r="BI255" s="208">
        <v>0</v>
      </c>
      <c r="BJ255" s="208">
        <v>0</v>
      </c>
      <c r="BK255" s="208">
        <v>0</v>
      </c>
      <c r="BL255" s="208">
        <v>0</v>
      </c>
      <c r="BM255" s="208">
        <v>0</v>
      </c>
      <c r="BN255" s="208">
        <v>0</v>
      </c>
      <c r="BO255" s="208">
        <v>4388725.8938902495</v>
      </c>
      <c r="BP255" s="208">
        <v>0</v>
      </c>
      <c r="BQ255" s="208">
        <v>44330.564584750005</v>
      </c>
      <c r="BR255" s="208">
        <v>396365</v>
      </c>
      <c r="BS255" s="208">
        <v>0</v>
      </c>
      <c r="BT255" s="208">
        <v>4004</v>
      </c>
      <c r="BU255" s="208">
        <v>4250556</v>
      </c>
      <c r="BV255" s="208">
        <v>0</v>
      </c>
      <c r="BW255" s="208">
        <v>42935</v>
      </c>
      <c r="BX255" s="208">
        <v>534535</v>
      </c>
      <c r="BY255" s="208">
        <v>0</v>
      </c>
      <c r="BZ255" s="208">
        <v>5400</v>
      </c>
      <c r="CA255" s="208">
        <v>17501.265374999999</v>
      </c>
      <c r="CB255" s="208">
        <v>0</v>
      </c>
      <c r="CC255" s="208">
        <v>176.78045833333334</v>
      </c>
      <c r="CD255" s="208">
        <v>3605</v>
      </c>
      <c r="CE255" s="208">
        <v>0</v>
      </c>
      <c r="CF255" s="208">
        <v>36</v>
      </c>
      <c r="CG255" s="208">
        <v>13896</v>
      </c>
      <c r="CH255" s="208">
        <v>0</v>
      </c>
      <c r="CI255" s="208">
        <v>141</v>
      </c>
      <c r="CJ255" s="208">
        <v>0</v>
      </c>
      <c r="CK255" s="208">
        <v>0</v>
      </c>
      <c r="CL255" s="208">
        <v>0</v>
      </c>
      <c r="CM255" s="208">
        <v>0</v>
      </c>
      <c r="CN255" s="208">
        <v>0</v>
      </c>
      <c r="CO255" s="208">
        <v>0</v>
      </c>
      <c r="CP255" s="208">
        <v>-1481.5618125000001</v>
      </c>
      <c r="CQ255" s="208">
        <v>0</v>
      </c>
      <c r="CR255" s="208">
        <v>-14.965270833333335</v>
      </c>
      <c r="CS255" s="208">
        <v>0</v>
      </c>
      <c r="CT255" s="208">
        <v>0</v>
      </c>
      <c r="CU255" s="208">
        <v>0</v>
      </c>
      <c r="CV255" s="208">
        <v>0</v>
      </c>
      <c r="CW255" s="208">
        <v>0</v>
      </c>
      <c r="CX255" s="208">
        <v>0</v>
      </c>
      <c r="CY255" s="208">
        <v>0</v>
      </c>
      <c r="CZ255" s="208">
        <v>0</v>
      </c>
      <c r="DA255" s="208">
        <v>0</v>
      </c>
      <c r="DB255" s="208">
        <v>0</v>
      </c>
      <c r="DC255" s="208">
        <v>0</v>
      </c>
      <c r="DD255" s="208">
        <v>0</v>
      </c>
      <c r="DE255" s="208">
        <v>0</v>
      </c>
      <c r="DF255" s="208">
        <v>0</v>
      </c>
      <c r="DG255" s="208">
        <v>0</v>
      </c>
      <c r="DH255" s="208">
        <v>0</v>
      </c>
      <c r="DI255" s="208">
        <v>0</v>
      </c>
      <c r="DJ255" s="208">
        <v>0</v>
      </c>
      <c r="DK255" s="208">
        <v>0</v>
      </c>
      <c r="DL255" s="208">
        <v>0</v>
      </c>
      <c r="DM255" s="208">
        <v>0</v>
      </c>
      <c r="DN255" s="208">
        <v>0</v>
      </c>
      <c r="DO255" s="208">
        <v>0</v>
      </c>
      <c r="DP255" s="208">
        <v>0</v>
      </c>
      <c r="DQ255" s="208">
        <v>0</v>
      </c>
      <c r="DR255" s="208">
        <v>0</v>
      </c>
      <c r="DS255" s="208">
        <v>0</v>
      </c>
      <c r="DT255" s="208">
        <v>0</v>
      </c>
      <c r="DU255" s="208">
        <v>0</v>
      </c>
      <c r="DV255" s="208">
        <v>0</v>
      </c>
      <c r="DW255" s="208">
        <v>23642.202375000001</v>
      </c>
      <c r="DX255" s="208">
        <v>0</v>
      </c>
      <c r="DY255" s="208">
        <v>238.81012500000003</v>
      </c>
      <c r="DZ255" s="208">
        <v>13931</v>
      </c>
      <c r="EA255" s="208">
        <v>0</v>
      </c>
      <c r="EB255" s="208">
        <v>141</v>
      </c>
      <c r="EC255" s="208">
        <v>9711</v>
      </c>
      <c r="ED255" s="208">
        <v>0</v>
      </c>
      <c r="EE255" s="208">
        <v>98</v>
      </c>
      <c r="EF255" s="208">
        <v>150226.1145</v>
      </c>
      <c r="EG255" s="208">
        <v>0</v>
      </c>
      <c r="EH255" s="208">
        <v>1517.4354999999998</v>
      </c>
      <c r="EI255" s="208">
        <v>-13914.32625</v>
      </c>
      <c r="EJ255" s="208">
        <v>0</v>
      </c>
      <c r="EK255" s="208">
        <v>-140.54875000000001</v>
      </c>
      <c r="EL255" s="208">
        <v>202537</v>
      </c>
      <c r="EM255" s="208">
        <v>0</v>
      </c>
      <c r="EN255" s="208">
        <v>2046</v>
      </c>
      <c r="EO255" s="208">
        <v>-66225</v>
      </c>
      <c r="EP255" s="208">
        <v>0</v>
      </c>
      <c r="EQ255" s="208">
        <v>-669</v>
      </c>
      <c r="ER255" s="208">
        <v>68862.75</v>
      </c>
      <c r="ES255" s="208">
        <v>0</v>
      </c>
      <c r="ET255" s="208">
        <v>695.58333333333337</v>
      </c>
      <c r="EU255" s="208">
        <v>91142</v>
      </c>
      <c r="EV255" s="208">
        <v>0</v>
      </c>
      <c r="EW255" s="208">
        <v>921</v>
      </c>
      <c r="EX255" s="208">
        <v>-22279</v>
      </c>
      <c r="EY255" s="208">
        <v>0</v>
      </c>
      <c r="EZ255" s="208">
        <v>-225</v>
      </c>
      <c r="FA255" s="208">
        <v>0</v>
      </c>
      <c r="FB255" s="208">
        <v>0</v>
      </c>
      <c r="FC255" s="208">
        <v>0</v>
      </c>
      <c r="FD255" s="208">
        <v>0</v>
      </c>
      <c r="FE255" s="208">
        <v>0</v>
      </c>
      <c r="FF255" s="208">
        <v>0</v>
      </c>
      <c r="FG255" s="208">
        <v>0</v>
      </c>
      <c r="FH255" s="208">
        <v>0</v>
      </c>
      <c r="FI255" s="208">
        <v>0</v>
      </c>
      <c r="FJ255" s="208">
        <v>2464615.6342499997</v>
      </c>
      <c r="FK255" s="208">
        <v>0</v>
      </c>
      <c r="FL255" s="208">
        <v>24895.107416666666</v>
      </c>
      <c r="FM255" s="208">
        <v>2390711</v>
      </c>
      <c r="FN255" s="208">
        <v>0</v>
      </c>
      <c r="FO255" s="208">
        <v>24149</v>
      </c>
      <c r="FP255" s="208">
        <v>73905</v>
      </c>
      <c r="FQ255" s="208">
        <v>0</v>
      </c>
      <c r="FR255" s="208">
        <v>746</v>
      </c>
      <c r="FS255" s="208">
        <v>0</v>
      </c>
      <c r="FT255" s="208">
        <v>0</v>
      </c>
      <c r="FU255" s="208">
        <v>0</v>
      </c>
      <c r="FV255" s="208">
        <v>0</v>
      </c>
      <c r="FW255" s="208">
        <v>0</v>
      </c>
      <c r="FX255" s="208">
        <v>0</v>
      </c>
      <c r="FY255" s="208">
        <v>0</v>
      </c>
      <c r="FZ255" s="208">
        <v>0</v>
      </c>
      <c r="GA255" s="208">
        <v>0</v>
      </c>
      <c r="GB255" s="208">
        <v>7494543</v>
      </c>
      <c r="GC255" s="208">
        <v>0</v>
      </c>
      <c r="GD255" s="208">
        <v>75703</v>
      </c>
      <c r="GE255" s="664">
        <v>0</v>
      </c>
      <c r="GF255" s="664">
        <v>0.99</v>
      </c>
      <c r="GG255" s="664">
        <v>0</v>
      </c>
      <c r="GH255" s="664">
        <v>0.01</v>
      </c>
      <c r="GI255" s="187" t="s">
        <v>742</v>
      </c>
    </row>
    <row r="256" spans="1:191" s="187" customFormat="1" x14ac:dyDescent="0.2">
      <c r="B256" s="429" t="s">
        <v>590</v>
      </c>
      <c r="C256" s="429" t="s">
        <v>589</v>
      </c>
      <c r="D256" s="208">
        <v>-1509944</v>
      </c>
      <c r="E256" s="208">
        <v>0</v>
      </c>
      <c r="F256" s="208">
        <v>-1509944</v>
      </c>
      <c r="G256" s="208">
        <v>-912104</v>
      </c>
      <c r="H256" s="208">
        <v>0</v>
      </c>
      <c r="I256" s="208">
        <v>-912104</v>
      </c>
      <c r="J256" s="208">
        <v>-597840</v>
      </c>
      <c r="K256" s="208">
        <v>0</v>
      </c>
      <c r="L256" s="208">
        <v>-597840</v>
      </c>
      <c r="M256" s="208">
        <v>232831</v>
      </c>
      <c r="N256" s="208">
        <v>232831</v>
      </c>
      <c r="O256" s="208">
        <v>0</v>
      </c>
      <c r="P256" s="208">
        <v>0</v>
      </c>
      <c r="Q256" s="208">
        <v>0</v>
      </c>
      <c r="R256" s="208">
        <v>0</v>
      </c>
      <c r="S256" s="208">
        <v>0</v>
      </c>
      <c r="T256" s="208">
        <v>0</v>
      </c>
      <c r="U256" s="208">
        <v>0</v>
      </c>
      <c r="V256" s="208">
        <v>0</v>
      </c>
      <c r="W256" s="208">
        <v>0</v>
      </c>
      <c r="X256" s="208">
        <v>0</v>
      </c>
      <c r="Y256" s="208">
        <v>0</v>
      </c>
      <c r="Z256" s="208">
        <v>0</v>
      </c>
      <c r="AA256" s="208">
        <v>0</v>
      </c>
      <c r="AB256" s="208">
        <v>0</v>
      </c>
      <c r="AC256" s="208">
        <v>0</v>
      </c>
      <c r="AD256" s="208">
        <v>0</v>
      </c>
      <c r="AE256" s="208">
        <v>0</v>
      </c>
      <c r="AF256" s="208">
        <v>0</v>
      </c>
      <c r="AG256" s="208">
        <v>0</v>
      </c>
      <c r="AH256" s="208">
        <v>0</v>
      </c>
      <c r="AI256" s="208">
        <v>0</v>
      </c>
      <c r="AJ256" s="208">
        <v>0</v>
      </c>
      <c r="AK256" s="208">
        <v>0</v>
      </c>
      <c r="AL256" s="208">
        <v>0</v>
      </c>
      <c r="AM256" s="208">
        <v>0</v>
      </c>
      <c r="AN256" s="208">
        <v>0</v>
      </c>
      <c r="AO256" s="208">
        <v>0</v>
      </c>
      <c r="AP256" s="208">
        <v>0</v>
      </c>
      <c r="AQ256" s="208">
        <v>0</v>
      </c>
      <c r="AR256" s="208">
        <v>0</v>
      </c>
      <c r="AS256" s="208">
        <v>0</v>
      </c>
      <c r="AT256" s="208">
        <v>0</v>
      </c>
      <c r="AU256" s="208">
        <v>0</v>
      </c>
      <c r="AV256" s="208">
        <v>0</v>
      </c>
      <c r="AW256" s="208">
        <v>0</v>
      </c>
      <c r="AX256" s="208">
        <v>0</v>
      </c>
      <c r="AY256" s="208">
        <v>0</v>
      </c>
      <c r="AZ256" s="208">
        <v>0</v>
      </c>
      <c r="BA256" s="208">
        <v>0</v>
      </c>
      <c r="BB256" s="208">
        <v>0</v>
      </c>
      <c r="BC256" s="208">
        <v>0</v>
      </c>
      <c r="BD256" s="208">
        <v>0</v>
      </c>
      <c r="BE256" s="208">
        <v>0</v>
      </c>
      <c r="BF256" s="208">
        <v>0</v>
      </c>
      <c r="BG256" s="208">
        <v>0</v>
      </c>
      <c r="BH256" s="208">
        <v>0</v>
      </c>
      <c r="BI256" s="208">
        <v>0</v>
      </c>
      <c r="BJ256" s="208">
        <v>0</v>
      </c>
      <c r="BK256" s="208">
        <v>0</v>
      </c>
      <c r="BL256" s="208">
        <v>0</v>
      </c>
      <c r="BM256" s="208">
        <v>0</v>
      </c>
      <c r="BN256" s="208">
        <v>0</v>
      </c>
      <c r="BO256" s="208">
        <v>2469762.1133640003</v>
      </c>
      <c r="BP256" s="208">
        <v>0</v>
      </c>
      <c r="BQ256" s="208">
        <v>50403.308435999999</v>
      </c>
      <c r="BR256" s="208">
        <v>122811</v>
      </c>
      <c r="BS256" s="208">
        <v>0</v>
      </c>
      <c r="BT256" s="208">
        <v>2506</v>
      </c>
      <c r="BU256" s="208">
        <v>2452695</v>
      </c>
      <c r="BV256" s="208">
        <v>0</v>
      </c>
      <c r="BW256" s="208">
        <v>50055</v>
      </c>
      <c r="BX256" s="208">
        <v>139878</v>
      </c>
      <c r="BY256" s="208">
        <v>0</v>
      </c>
      <c r="BZ256" s="208">
        <v>2854</v>
      </c>
      <c r="CA256" s="208">
        <v>25250.922958333333</v>
      </c>
      <c r="CB256" s="208">
        <v>0</v>
      </c>
      <c r="CC256" s="208">
        <v>515.32495833333337</v>
      </c>
      <c r="CD256" s="208">
        <v>5443</v>
      </c>
      <c r="CE256" s="208">
        <v>0</v>
      </c>
      <c r="CF256" s="208">
        <v>111</v>
      </c>
      <c r="CG256" s="208">
        <v>19808</v>
      </c>
      <c r="CH256" s="208">
        <v>0</v>
      </c>
      <c r="CI256" s="208">
        <v>404</v>
      </c>
      <c r="CJ256" s="208">
        <v>0</v>
      </c>
      <c r="CK256" s="208">
        <v>0</v>
      </c>
      <c r="CL256" s="208">
        <v>0</v>
      </c>
      <c r="CM256" s="208">
        <v>0</v>
      </c>
      <c r="CN256" s="208">
        <v>0</v>
      </c>
      <c r="CO256" s="208">
        <v>0</v>
      </c>
      <c r="CP256" s="208">
        <v>-1026.5173333333335</v>
      </c>
      <c r="CQ256" s="208">
        <v>0</v>
      </c>
      <c r="CR256" s="208">
        <v>-20.949333333333335</v>
      </c>
      <c r="CS256" s="208">
        <v>0</v>
      </c>
      <c r="CT256" s="208">
        <v>0</v>
      </c>
      <c r="CU256" s="208">
        <v>0</v>
      </c>
      <c r="CV256" s="208">
        <v>0</v>
      </c>
      <c r="CW256" s="208">
        <v>0</v>
      </c>
      <c r="CX256" s="208">
        <v>0</v>
      </c>
      <c r="CY256" s="208">
        <v>0</v>
      </c>
      <c r="CZ256" s="208">
        <v>0</v>
      </c>
      <c r="DA256" s="208">
        <v>0</v>
      </c>
      <c r="DB256" s="208">
        <v>0</v>
      </c>
      <c r="DC256" s="208">
        <v>0</v>
      </c>
      <c r="DD256" s="208">
        <v>0</v>
      </c>
      <c r="DE256" s="208">
        <v>0</v>
      </c>
      <c r="DF256" s="208">
        <v>0</v>
      </c>
      <c r="DG256" s="208">
        <v>0</v>
      </c>
      <c r="DH256" s="208">
        <v>0</v>
      </c>
      <c r="DI256" s="208">
        <v>0</v>
      </c>
      <c r="DJ256" s="208">
        <v>0</v>
      </c>
      <c r="DK256" s="208">
        <v>0</v>
      </c>
      <c r="DL256" s="208">
        <v>0</v>
      </c>
      <c r="DM256" s="208">
        <v>0</v>
      </c>
      <c r="DN256" s="208">
        <v>0</v>
      </c>
      <c r="DO256" s="208">
        <v>0</v>
      </c>
      <c r="DP256" s="208">
        <v>0</v>
      </c>
      <c r="DQ256" s="208">
        <v>0</v>
      </c>
      <c r="DR256" s="208">
        <v>0</v>
      </c>
      <c r="DS256" s="208">
        <v>0</v>
      </c>
      <c r="DT256" s="208">
        <v>0</v>
      </c>
      <c r="DU256" s="208">
        <v>0</v>
      </c>
      <c r="DV256" s="208">
        <v>0</v>
      </c>
      <c r="DW256" s="208">
        <v>8897.8201666666664</v>
      </c>
      <c r="DX256" s="208">
        <v>0</v>
      </c>
      <c r="DY256" s="208">
        <v>181.58816666666667</v>
      </c>
      <c r="DZ256" s="208">
        <v>5013</v>
      </c>
      <c r="EA256" s="208">
        <v>0</v>
      </c>
      <c r="EB256" s="208">
        <v>102</v>
      </c>
      <c r="EC256" s="208">
        <v>3885</v>
      </c>
      <c r="ED256" s="208">
        <v>0</v>
      </c>
      <c r="EE256" s="208">
        <v>80</v>
      </c>
      <c r="EF256" s="208">
        <v>77379.758749999994</v>
      </c>
      <c r="EG256" s="208">
        <v>0</v>
      </c>
      <c r="EH256" s="208">
        <v>1579.17875</v>
      </c>
      <c r="EI256" s="208">
        <v>0</v>
      </c>
      <c r="EJ256" s="208">
        <v>0</v>
      </c>
      <c r="EK256" s="208">
        <v>0</v>
      </c>
      <c r="EL256" s="208">
        <v>78474</v>
      </c>
      <c r="EM256" s="208">
        <v>0</v>
      </c>
      <c r="EN256" s="208">
        <v>1602</v>
      </c>
      <c r="EO256" s="208">
        <v>-1094</v>
      </c>
      <c r="EP256" s="208">
        <v>0</v>
      </c>
      <c r="EQ256" s="208">
        <v>-23</v>
      </c>
      <c r="ER256" s="208">
        <v>12989.353854166666</v>
      </c>
      <c r="ES256" s="208">
        <v>0</v>
      </c>
      <c r="ET256" s="208">
        <v>265.08885416666669</v>
      </c>
      <c r="EU256" s="208">
        <v>9524</v>
      </c>
      <c r="EV256" s="208">
        <v>0</v>
      </c>
      <c r="EW256" s="208">
        <v>194</v>
      </c>
      <c r="EX256" s="208">
        <v>3465</v>
      </c>
      <c r="EY256" s="208">
        <v>0</v>
      </c>
      <c r="EZ256" s="208">
        <v>71</v>
      </c>
      <c r="FA256" s="208">
        <v>0</v>
      </c>
      <c r="FB256" s="208">
        <v>0</v>
      </c>
      <c r="FC256" s="208">
        <v>0</v>
      </c>
      <c r="FD256" s="208">
        <v>0</v>
      </c>
      <c r="FE256" s="208">
        <v>0</v>
      </c>
      <c r="FF256" s="208">
        <v>0</v>
      </c>
      <c r="FG256" s="208">
        <v>0</v>
      </c>
      <c r="FH256" s="208">
        <v>0</v>
      </c>
      <c r="FI256" s="208">
        <v>0</v>
      </c>
      <c r="FJ256" s="208">
        <v>484897.04404166661</v>
      </c>
      <c r="FK256" s="208">
        <v>0</v>
      </c>
      <c r="FL256" s="208">
        <v>9895.8580416666664</v>
      </c>
      <c r="FM256" s="208">
        <v>480545</v>
      </c>
      <c r="FN256" s="208">
        <v>0</v>
      </c>
      <c r="FO256" s="208">
        <v>9807</v>
      </c>
      <c r="FP256" s="208">
        <v>4352</v>
      </c>
      <c r="FQ256" s="208">
        <v>0</v>
      </c>
      <c r="FR256" s="208">
        <v>89</v>
      </c>
      <c r="FS256" s="208">
        <v>0</v>
      </c>
      <c r="FT256" s="208">
        <v>0</v>
      </c>
      <c r="FU256" s="208">
        <v>0</v>
      </c>
      <c r="FV256" s="208">
        <v>0</v>
      </c>
      <c r="FW256" s="208">
        <v>0</v>
      </c>
      <c r="FX256" s="208">
        <v>0</v>
      </c>
      <c r="FY256" s="208">
        <v>0</v>
      </c>
      <c r="FZ256" s="208">
        <v>0</v>
      </c>
      <c r="GA256" s="208">
        <v>0</v>
      </c>
      <c r="GB256" s="208">
        <v>3200961</v>
      </c>
      <c r="GC256" s="208">
        <v>0</v>
      </c>
      <c r="GD256" s="208">
        <v>65325</v>
      </c>
      <c r="GE256" s="664">
        <v>0.5</v>
      </c>
      <c r="GF256" s="664">
        <v>0.49</v>
      </c>
      <c r="GG256" s="664">
        <v>0</v>
      </c>
      <c r="GH256" s="664">
        <v>0.01</v>
      </c>
      <c r="GI256" s="187" t="s">
        <v>742</v>
      </c>
    </row>
    <row r="257" spans="1:191" s="187" customFormat="1" x14ac:dyDescent="0.2">
      <c r="B257" s="429" t="s">
        <v>592</v>
      </c>
      <c r="C257" s="429" t="s">
        <v>591</v>
      </c>
      <c r="D257" s="208">
        <v>15807271</v>
      </c>
      <c r="E257" s="208">
        <v>0</v>
      </c>
      <c r="F257" s="208">
        <v>15807271</v>
      </c>
      <c r="G257" s="208">
        <v>15858615</v>
      </c>
      <c r="H257" s="208">
        <v>0</v>
      </c>
      <c r="I257" s="208">
        <v>15858615</v>
      </c>
      <c r="J257" s="208">
        <v>-51344</v>
      </c>
      <c r="K257" s="208">
        <v>0</v>
      </c>
      <c r="L257" s="208">
        <v>-51344</v>
      </c>
      <c r="M257" s="208">
        <v>719814</v>
      </c>
      <c r="N257" s="208">
        <v>719814</v>
      </c>
      <c r="O257" s="208">
        <v>0</v>
      </c>
      <c r="P257" s="208">
        <v>0</v>
      </c>
      <c r="Q257" s="208">
        <v>0</v>
      </c>
      <c r="R257" s="208">
        <v>0</v>
      </c>
      <c r="S257" s="208">
        <v>0</v>
      </c>
      <c r="T257" s="208">
        <v>0</v>
      </c>
      <c r="U257" s="208">
        <v>0</v>
      </c>
      <c r="V257" s="208">
        <v>0</v>
      </c>
      <c r="W257" s="208">
        <v>0</v>
      </c>
      <c r="X257" s="208">
        <v>0</v>
      </c>
      <c r="Y257" s="208">
        <v>0</v>
      </c>
      <c r="Z257" s="208">
        <v>0</v>
      </c>
      <c r="AA257" s="208">
        <v>0</v>
      </c>
      <c r="AB257" s="208">
        <v>0</v>
      </c>
      <c r="AC257" s="208">
        <v>0</v>
      </c>
      <c r="AD257" s="208">
        <v>0</v>
      </c>
      <c r="AE257" s="208">
        <v>0</v>
      </c>
      <c r="AF257" s="208">
        <v>0</v>
      </c>
      <c r="AG257" s="208">
        <v>0</v>
      </c>
      <c r="AH257" s="208">
        <v>0</v>
      </c>
      <c r="AI257" s="208">
        <v>0</v>
      </c>
      <c r="AJ257" s="208">
        <v>0</v>
      </c>
      <c r="AK257" s="208">
        <v>0</v>
      </c>
      <c r="AL257" s="208">
        <v>0</v>
      </c>
      <c r="AM257" s="208">
        <v>0</v>
      </c>
      <c r="AN257" s="208">
        <v>0</v>
      </c>
      <c r="AO257" s="208">
        <v>0</v>
      </c>
      <c r="AP257" s="208">
        <v>0</v>
      </c>
      <c r="AQ257" s="208">
        <v>0</v>
      </c>
      <c r="AR257" s="208">
        <v>0</v>
      </c>
      <c r="AS257" s="208">
        <v>0</v>
      </c>
      <c r="AT257" s="208">
        <v>0</v>
      </c>
      <c r="AU257" s="208">
        <v>0</v>
      </c>
      <c r="AV257" s="208">
        <v>0</v>
      </c>
      <c r="AW257" s="208">
        <v>0</v>
      </c>
      <c r="AX257" s="208">
        <v>0</v>
      </c>
      <c r="AY257" s="208">
        <v>0</v>
      </c>
      <c r="AZ257" s="208">
        <v>0</v>
      </c>
      <c r="BA257" s="208">
        <v>0</v>
      </c>
      <c r="BB257" s="208">
        <v>0</v>
      </c>
      <c r="BC257" s="208">
        <v>0</v>
      </c>
      <c r="BD257" s="208">
        <v>0</v>
      </c>
      <c r="BE257" s="208">
        <v>0</v>
      </c>
      <c r="BF257" s="208">
        <v>0</v>
      </c>
      <c r="BG257" s="208">
        <v>0</v>
      </c>
      <c r="BH257" s="208">
        <v>0</v>
      </c>
      <c r="BI257" s="208">
        <v>0</v>
      </c>
      <c r="BJ257" s="208">
        <v>0</v>
      </c>
      <c r="BK257" s="208">
        <v>0</v>
      </c>
      <c r="BL257" s="208">
        <v>0</v>
      </c>
      <c r="BM257" s="208">
        <v>0</v>
      </c>
      <c r="BN257" s="208">
        <v>0</v>
      </c>
      <c r="BO257" s="208">
        <v>4262478.879246667</v>
      </c>
      <c r="BP257" s="208">
        <v>2397644.3695762502</v>
      </c>
      <c r="BQ257" s="208">
        <v>0</v>
      </c>
      <c r="BR257" s="208">
        <v>406086</v>
      </c>
      <c r="BS257" s="208">
        <v>228423</v>
      </c>
      <c r="BT257" s="208">
        <v>0</v>
      </c>
      <c r="BU257" s="208">
        <v>4115105</v>
      </c>
      <c r="BV257" s="208">
        <v>2314747</v>
      </c>
      <c r="BW257" s="208">
        <v>0</v>
      </c>
      <c r="BX257" s="208">
        <v>553460</v>
      </c>
      <c r="BY257" s="208">
        <v>311320</v>
      </c>
      <c r="BZ257" s="208">
        <v>0</v>
      </c>
      <c r="CA257" s="208">
        <v>34834.158666666663</v>
      </c>
      <c r="CB257" s="208">
        <v>19594.214249999997</v>
      </c>
      <c r="CC257" s="208">
        <v>0</v>
      </c>
      <c r="CD257" s="208">
        <v>0</v>
      </c>
      <c r="CE257" s="208">
        <v>0</v>
      </c>
      <c r="CF257" s="208">
        <v>0</v>
      </c>
      <c r="CG257" s="208">
        <v>34834</v>
      </c>
      <c r="CH257" s="208">
        <v>19594</v>
      </c>
      <c r="CI257" s="208">
        <v>0</v>
      </c>
      <c r="CJ257" s="208">
        <v>0</v>
      </c>
      <c r="CK257" s="208">
        <v>0</v>
      </c>
      <c r="CL257" s="208">
        <v>0</v>
      </c>
      <c r="CM257" s="208">
        <v>0</v>
      </c>
      <c r="CN257" s="208">
        <v>0</v>
      </c>
      <c r="CO257" s="208">
        <v>0</v>
      </c>
      <c r="CP257" s="208">
        <v>-210.80266666666668</v>
      </c>
      <c r="CQ257" s="208">
        <v>-118.5765</v>
      </c>
      <c r="CR257" s="208">
        <v>0</v>
      </c>
      <c r="CS257" s="208">
        <v>0</v>
      </c>
      <c r="CT257" s="208">
        <v>0</v>
      </c>
      <c r="CU257" s="208">
        <v>0</v>
      </c>
      <c r="CV257" s="208">
        <v>0</v>
      </c>
      <c r="CW257" s="208">
        <v>0</v>
      </c>
      <c r="CX257" s="208">
        <v>0</v>
      </c>
      <c r="CY257" s="208">
        <v>0</v>
      </c>
      <c r="CZ257" s="208">
        <v>0</v>
      </c>
      <c r="DA257" s="208">
        <v>0</v>
      </c>
      <c r="DB257" s="208">
        <v>888.38266666666664</v>
      </c>
      <c r="DC257" s="208">
        <v>499.71524999999997</v>
      </c>
      <c r="DD257" s="208">
        <v>0</v>
      </c>
      <c r="DE257" s="208">
        <v>0</v>
      </c>
      <c r="DF257" s="208">
        <v>0</v>
      </c>
      <c r="DG257" s="208">
        <v>0</v>
      </c>
      <c r="DH257" s="208">
        <v>0</v>
      </c>
      <c r="DI257" s="208">
        <v>0</v>
      </c>
      <c r="DJ257" s="208">
        <v>0</v>
      </c>
      <c r="DK257" s="208">
        <v>0</v>
      </c>
      <c r="DL257" s="208">
        <v>0</v>
      </c>
      <c r="DM257" s="208">
        <v>0</v>
      </c>
      <c r="DN257" s="208">
        <v>0</v>
      </c>
      <c r="DO257" s="208">
        <v>0</v>
      </c>
      <c r="DP257" s="208">
        <v>0</v>
      </c>
      <c r="DQ257" s="208">
        <v>0</v>
      </c>
      <c r="DR257" s="208">
        <v>0</v>
      </c>
      <c r="DS257" s="208">
        <v>0</v>
      </c>
      <c r="DT257" s="208">
        <v>0</v>
      </c>
      <c r="DU257" s="208">
        <v>0</v>
      </c>
      <c r="DV257" s="208">
        <v>0</v>
      </c>
      <c r="DW257" s="208">
        <v>295813.75200000004</v>
      </c>
      <c r="DX257" s="208">
        <v>166395.23549999998</v>
      </c>
      <c r="DY257" s="208">
        <v>0</v>
      </c>
      <c r="DZ257" s="208">
        <v>401360</v>
      </c>
      <c r="EA257" s="208">
        <v>225765</v>
      </c>
      <c r="EB257" s="208">
        <v>0</v>
      </c>
      <c r="EC257" s="208">
        <v>-105546</v>
      </c>
      <c r="ED257" s="208">
        <v>-59370</v>
      </c>
      <c r="EE257" s="208">
        <v>0</v>
      </c>
      <c r="EF257" s="208">
        <v>1237601.5066666668</v>
      </c>
      <c r="EG257" s="208">
        <v>696150.84750000003</v>
      </c>
      <c r="EH257" s="208">
        <v>0</v>
      </c>
      <c r="EI257" s="208">
        <v>35988.990666666672</v>
      </c>
      <c r="EJ257" s="208">
        <v>20243.807250000002</v>
      </c>
      <c r="EK257" s="208">
        <v>0</v>
      </c>
      <c r="EL257" s="208">
        <v>1243867</v>
      </c>
      <c r="EM257" s="208">
        <v>699675</v>
      </c>
      <c r="EN257" s="208">
        <v>0</v>
      </c>
      <c r="EO257" s="208">
        <v>29723</v>
      </c>
      <c r="EP257" s="208">
        <v>16720</v>
      </c>
      <c r="EQ257" s="208">
        <v>0</v>
      </c>
      <c r="ER257" s="208">
        <v>66808.733333333337</v>
      </c>
      <c r="ES257" s="208">
        <v>37579.912499999999</v>
      </c>
      <c r="ET257" s="208">
        <v>0</v>
      </c>
      <c r="EU257" s="208">
        <v>74926</v>
      </c>
      <c r="EV257" s="208">
        <v>42145</v>
      </c>
      <c r="EW257" s="208">
        <v>0</v>
      </c>
      <c r="EX257" s="208">
        <v>-8117</v>
      </c>
      <c r="EY257" s="208">
        <v>-4565</v>
      </c>
      <c r="EZ257" s="208">
        <v>0</v>
      </c>
      <c r="FA257" s="208">
        <v>0</v>
      </c>
      <c r="FB257" s="208">
        <v>0</v>
      </c>
      <c r="FC257" s="208">
        <v>0</v>
      </c>
      <c r="FD257" s="208">
        <v>0</v>
      </c>
      <c r="FE257" s="208">
        <v>0</v>
      </c>
      <c r="FF257" s="208">
        <v>0</v>
      </c>
      <c r="FG257" s="208">
        <v>0</v>
      </c>
      <c r="FH257" s="208">
        <v>0</v>
      </c>
      <c r="FI257" s="208">
        <v>0</v>
      </c>
      <c r="FJ257" s="208">
        <v>4448544.1880000001</v>
      </c>
      <c r="FK257" s="208">
        <v>2502306.1057499996</v>
      </c>
      <c r="FL257" s="208">
        <v>0</v>
      </c>
      <c r="FM257" s="208">
        <v>4826405</v>
      </c>
      <c r="FN257" s="208">
        <v>2714853</v>
      </c>
      <c r="FO257" s="208">
        <v>0</v>
      </c>
      <c r="FP257" s="208">
        <v>-377861</v>
      </c>
      <c r="FQ257" s="208">
        <v>-212547</v>
      </c>
      <c r="FR257" s="208">
        <v>0</v>
      </c>
      <c r="FS257" s="208">
        <v>0</v>
      </c>
      <c r="FT257" s="208">
        <v>0</v>
      </c>
      <c r="FU257" s="208">
        <v>0</v>
      </c>
      <c r="FV257" s="208">
        <v>0</v>
      </c>
      <c r="FW257" s="208">
        <v>0</v>
      </c>
      <c r="FX257" s="208">
        <v>0</v>
      </c>
      <c r="FY257" s="208">
        <v>0</v>
      </c>
      <c r="FZ257" s="208">
        <v>0</v>
      </c>
      <c r="GA257" s="208">
        <v>0</v>
      </c>
      <c r="GB257" s="208">
        <v>10788834</v>
      </c>
      <c r="GC257" s="208">
        <v>6068718</v>
      </c>
      <c r="GD257" s="208">
        <v>0</v>
      </c>
      <c r="GE257" s="664">
        <v>0</v>
      </c>
      <c r="GF257" s="664">
        <v>0.64</v>
      </c>
      <c r="GG257" s="664">
        <v>0.36</v>
      </c>
      <c r="GH257" s="664">
        <v>0</v>
      </c>
      <c r="GI257" s="187" t="s">
        <v>1057</v>
      </c>
    </row>
    <row r="258" spans="1:191" s="187" customFormat="1" x14ac:dyDescent="0.2">
      <c r="A258" s="187" t="s">
        <v>1811</v>
      </c>
      <c r="B258" s="429" t="s">
        <v>594</v>
      </c>
      <c r="C258" s="429" t="s">
        <v>593</v>
      </c>
      <c r="D258" s="208">
        <v>493148</v>
      </c>
      <c r="E258" s="208">
        <v>0</v>
      </c>
      <c r="F258" s="208">
        <v>493148</v>
      </c>
      <c r="G258" s="208">
        <v>491435</v>
      </c>
      <c r="H258" s="208">
        <v>0</v>
      </c>
      <c r="I258" s="208">
        <v>491435</v>
      </c>
      <c r="J258" s="208">
        <v>1713</v>
      </c>
      <c r="K258" s="208">
        <v>0</v>
      </c>
      <c r="L258" s="208">
        <v>1713</v>
      </c>
      <c r="M258" s="208">
        <v>126315</v>
      </c>
      <c r="N258" s="208">
        <v>126315</v>
      </c>
      <c r="O258" s="208">
        <v>0</v>
      </c>
      <c r="P258" s="208">
        <v>0</v>
      </c>
      <c r="Q258" s="208">
        <v>0</v>
      </c>
      <c r="R258" s="208">
        <v>0</v>
      </c>
      <c r="S258" s="208">
        <v>0</v>
      </c>
      <c r="T258" s="208">
        <v>0</v>
      </c>
      <c r="U258" s="208">
        <v>0</v>
      </c>
      <c r="V258" s="208">
        <v>0</v>
      </c>
      <c r="W258" s="208">
        <v>0</v>
      </c>
      <c r="X258" s="208">
        <v>0</v>
      </c>
      <c r="Y258" s="208">
        <v>0</v>
      </c>
      <c r="Z258" s="208">
        <v>0</v>
      </c>
      <c r="AA258" s="208">
        <v>0</v>
      </c>
      <c r="AB258" s="208">
        <v>0</v>
      </c>
      <c r="AC258" s="208">
        <v>0</v>
      </c>
      <c r="AD258" s="208">
        <v>0</v>
      </c>
      <c r="AE258" s="208">
        <v>0</v>
      </c>
      <c r="AF258" s="208">
        <v>0</v>
      </c>
      <c r="AG258" s="208">
        <v>0</v>
      </c>
      <c r="AH258" s="208">
        <v>0</v>
      </c>
      <c r="AI258" s="208">
        <v>0</v>
      </c>
      <c r="AJ258" s="208">
        <v>0</v>
      </c>
      <c r="AK258" s="208">
        <v>0</v>
      </c>
      <c r="AL258" s="208">
        <v>0</v>
      </c>
      <c r="AM258" s="208">
        <v>0</v>
      </c>
      <c r="AN258" s="208">
        <v>0</v>
      </c>
      <c r="AO258" s="208">
        <v>0</v>
      </c>
      <c r="AP258" s="208">
        <v>0</v>
      </c>
      <c r="AQ258" s="208">
        <v>0</v>
      </c>
      <c r="AR258" s="208">
        <v>0</v>
      </c>
      <c r="AS258" s="208">
        <v>0</v>
      </c>
      <c r="AT258" s="208">
        <v>0</v>
      </c>
      <c r="AU258" s="208">
        <v>0</v>
      </c>
      <c r="AV258" s="208">
        <v>0</v>
      </c>
      <c r="AW258" s="208">
        <v>0</v>
      </c>
      <c r="AX258" s="208">
        <v>0</v>
      </c>
      <c r="AY258" s="208">
        <v>0</v>
      </c>
      <c r="AZ258" s="208">
        <v>0</v>
      </c>
      <c r="BA258" s="208">
        <v>0</v>
      </c>
      <c r="BB258" s="208">
        <v>0</v>
      </c>
      <c r="BC258" s="208">
        <v>0</v>
      </c>
      <c r="BD258" s="208">
        <v>0</v>
      </c>
      <c r="BE258" s="208">
        <v>0</v>
      </c>
      <c r="BF258" s="208">
        <v>0</v>
      </c>
      <c r="BG258" s="208">
        <v>0</v>
      </c>
      <c r="BH258" s="208">
        <v>0</v>
      </c>
      <c r="BI258" s="208">
        <v>0</v>
      </c>
      <c r="BJ258" s="208">
        <v>0</v>
      </c>
      <c r="BK258" s="208">
        <v>0</v>
      </c>
      <c r="BL258" s="208">
        <v>0</v>
      </c>
      <c r="BM258" s="208">
        <v>0</v>
      </c>
      <c r="BN258" s="208">
        <v>0</v>
      </c>
      <c r="BO258" s="208">
        <v>526664.62338250002</v>
      </c>
      <c r="BP258" s="208">
        <v>1228884.1212258332</v>
      </c>
      <c r="BQ258" s="208">
        <v>0</v>
      </c>
      <c r="BR258" s="208">
        <v>51241</v>
      </c>
      <c r="BS258" s="208">
        <v>119563</v>
      </c>
      <c r="BT258" s="208">
        <v>0</v>
      </c>
      <c r="BU258" s="208">
        <v>449999</v>
      </c>
      <c r="BV258" s="208">
        <v>1049997</v>
      </c>
      <c r="BW258" s="208">
        <v>0</v>
      </c>
      <c r="BX258" s="208">
        <v>127907</v>
      </c>
      <c r="BY258" s="208">
        <v>298450</v>
      </c>
      <c r="BZ258" s="208">
        <v>0</v>
      </c>
      <c r="CA258" s="208">
        <v>0</v>
      </c>
      <c r="CB258" s="208">
        <v>0</v>
      </c>
      <c r="CC258" s="208">
        <v>0</v>
      </c>
      <c r="CD258" s="208">
        <v>0</v>
      </c>
      <c r="CE258" s="208">
        <v>0</v>
      </c>
      <c r="CF258" s="208">
        <v>0</v>
      </c>
      <c r="CG258" s="208">
        <v>0</v>
      </c>
      <c r="CH258" s="208">
        <v>0</v>
      </c>
      <c r="CI258" s="208">
        <v>0</v>
      </c>
      <c r="CJ258" s="208">
        <v>0</v>
      </c>
      <c r="CK258" s="208">
        <v>0</v>
      </c>
      <c r="CL258" s="208">
        <v>0</v>
      </c>
      <c r="CM258" s="208">
        <v>0</v>
      </c>
      <c r="CN258" s="208">
        <v>0</v>
      </c>
      <c r="CO258" s="208">
        <v>0</v>
      </c>
      <c r="CP258" s="208">
        <v>0</v>
      </c>
      <c r="CQ258" s="208">
        <v>0</v>
      </c>
      <c r="CR258" s="208">
        <v>0</v>
      </c>
      <c r="CS258" s="208">
        <v>0</v>
      </c>
      <c r="CT258" s="208">
        <v>0</v>
      </c>
      <c r="CU258" s="208">
        <v>0</v>
      </c>
      <c r="CV258" s="208">
        <v>0</v>
      </c>
      <c r="CW258" s="208">
        <v>0</v>
      </c>
      <c r="CX258" s="208">
        <v>0</v>
      </c>
      <c r="CY258" s="208">
        <v>0</v>
      </c>
      <c r="CZ258" s="208">
        <v>0</v>
      </c>
      <c r="DA258" s="208">
        <v>0</v>
      </c>
      <c r="DB258" s="208">
        <v>0</v>
      </c>
      <c r="DC258" s="208">
        <v>0</v>
      </c>
      <c r="DD258" s="208">
        <v>0</v>
      </c>
      <c r="DE258" s="208">
        <v>0</v>
      </c>
      <c r="DF258" s="208">
        <v>0</v>
      </c>
      <c r="DG258" s="208">
        <v>0</v>
      </c>
      <c r="DH258" s="208">
        <v>0</v>
      </c>
      <c r="DI258" s="208">
        <v>0</v>
      </c>
      <c r="DJ258" s="208">
        <v>0</v>
      </c>
      <c r="DK258" s="208">
        <v>0</v>
      </c>
      <c r="DL258" s="208">
        <v>0</v>
      </c>
      <c r="DM258" s="208">
        <v>0</v>
      </c>
      <c r="DN258" s="208">
        <v>0</v>
      </c>
      <c r="DO258" s="208">
        <v>0</v>
      </c>
      <c r="DP258" s="208">
        <v>0</v>
      </c>
      <c r="DQ258" s="208">
        <v>0</v>
      </c>
      <c r="DR258" s="208">
        <v>0</v>
      </c>
      <c r="DS258" s="208">
        <v>0</v>
      </c>
      <c r="DT258" s="208">
        <v>0</v>
      </c>
      <c r="DU258" s="208">
        <v>0</v>
      </c>
      <c r="DV258" s="208">
        <v>0</v>
      </c>
      <c r="DW258" s="208">
        <v>5490.9143750000003</v>
      </c>
      <c r="DX258" s="208">
        <v>12812.133541666666</v>
      </c>
      <c r="DY258" s="208">
        <v>0</v>
      </c>
      <c r="DZ258" s="208">
        <v>12275</v>
      </c>
      <c r="EA258" s="208">
        <v>28642</v>
      </c>
      <c r="EB258" s="208">
        <v>0</v>
      </c>
      <c r="EC258" s="208">
        <v>-6784</v>
      </c>
      <c r="ED258" s="208">
        <v>-15830</v>
      </c>
      <c r="EE258" s="208">
        <v>0</v>
      </c>
      <c r="EF258" s="208">
        <v>45543.318749999999</v>
      </c>
      <c r="EG258" s="208">
        <v>106267.74374999999</v>
      </c>
      <c r="EH258" s="208">
        <v>0</v>
      </c>
      <c r="EI258" s="208">
        <v>-316.08125000000001</v>
      </c>
      <c r="EJ258" s="208">
        <v>-737.52291666666667</v>
      </c>
      <c r="EK258" s="208">
        <v>0</v>
      </c>
      <c r="EL258" s="208">
        <v>52783</v>
      </c>
      <c r="EM258" s="208">
        <v>123159</v>
      </c>
      <c r="EN258" s="208">
        <v>0</v>
      </c>
      <c r="EO258" s="208">
        <v>-7556</v>
      </c>
      <c r="EP258" s="208">
        <v>-17629</v>
      </c>
      <c r="EQ258" s="208">
        <v>0</v>
      </c>
      <c r="ER258" s="208">
        <v>9840.253749999998</v>
      </c>
      <c r="ES258" s="208">
        <v>22960.592083333333</v>
      </c>
      <c r="ET258" s="208">
        <v>0</v>
      </c>
      <c r="EU258" s="208">
        <v>10741</v>
      </c>
      <c r="EV258" s="208">
        <v>25061</v>
      </c>
      <c r="EW258" s="208">
        <v>0</v>
      </c>
      <c r="EX258" s="208">
        <v>-901</v>
      </c>
      <c r="EY258" s="208">
        <v>-2100</v>
      </c>
      <c r="EZ258" s="208">
        <v>0</v>
      </c>
      <c r="FA258" s="208">
        <v>0</v>
      </c>
      <c r="FB258" s="208">
        <v>0</v>
      </c>
      <c r="FC258" s="208">
        <v>0</v>
      </c>
      <c r="FD258" s="208">
        <v>0</v>
      </c>
      <c r="FE258" s="208">
        <v>0</v>
      </c>
      <c r="FF258" s="208">
        <v>0</v>
      </c>
      <c r="FG258" s="208">
        <v>0</v>
      </c>
      <c r="FH258" s="208">
        <v>0</v>
      </c>
      <c r="FI258" s="208">
        <v>0</v>
      </c>
      <c r="FJ258" s="208">
        <v>353030.09499999997</v>
      </c>
      <c r="FK258" s="208">
        <v>823736.88833333319</v>
      </c>
      <c r="FL258" s="208">
        <v>0</v>
      </c>
      <c r="FM258" s="208">
        <v>323421</v>
      </c>
      <c r="FN258" s="208">
        <v>754648</v>
      </c>
      <c r="FO258" s="208">
        <v>0</v>
      </c>
      <c r="FP258" s="208">
        <v>29609</v>
      </c>
      <c r="FQ258" s="208">
        <v>69089</v>
      </c>
      <c r="FR258" s="208">
        <v>0</v>
      </c>
      <c r="FS258" s="208">
        <v>0</v>
      </c>
      <c r="FT258" s="208">
        <v>0</v>
      </c>
      <c r="FU258" s="208">
        <v>0</v>
      </c>
      <c r="FV258" s="208">
        <v>0</v>
      </c>
      <c r="FW258" s="208">
        <v>0</v>
      </c>
      <c r="FX258" s="208">
        <v>0</v>
      </c>
      <c r="FY258" s="208">
        <v>0</v>
      </c>
      <c r="FZ258" s="208">
        <v>0</v>
      </c>
      <c r="GA258" s="208">
        <v>0</v>
      </c>
      <c r="GB258" s="208">
        <v>991494</v>
      </c>
      <c r="GC258" s="208">
        <v>2313487</v>
      </c>
      <c r="GD258" s="208">
        <v>0</v>
      </c>
      <c r="GE258" s="664">
        <v>0</v>
      </c>
      <c r="GF258" s="664">
        <v>0.3</v>
      </c>
      <c r="GG258" s="664">
        <v>0.7</v>
      </c>
      <c r="GH258" s="664">
        <v>0</v>
      </c>
      <c r="GI258" s="187" t="s">
        <v>1054</v>
      </c>
    </row>
    <row r="259" spans="1:191" s="187" customFormat="1" x14ac:dyDescent="0.2">
      <c r="B259" s="429" t="s">
        <v>596</v>
      </c>
      <c r="C259" s="429" t="s">
        <v>595</v>
      </c>
      <c r="D259" s="208">
        <v>119202</v>
      </c>
      <c r="E259" s="208">
        <v>115928</v>
      </c>
      <c r="F259" s="208">
        <v>235130</v>
      </c>
      <c r="G259" s="208">
        <v>-714983</v>
      </c>
      <c r="H259" s="208">
        <v>-96405</v>
      </c>
      <c r="I259" s="208">
        <v>-811388</v>
      </c>
      <c r="J259" s="208">
        <v>834185</v>
      </c>
      <c r="K259" s="208">
        <v>212333</v>
      </c>
      <c r="L259" s="208">
        <v>1046518</v>
      </c>
      <c r="M259" s="208">
        <v>187737</v>
      </c>
      <c r="N259" s="208">
        <v>187737</v>
      </c>
      <c r="O259" s="208">
        <v>0</v>
      </c>
      <c r="P259" s="208">
        <v>257499</v>
      </c>
      <c r="Q259" s="208">
        <v>42643</v>
      </c>
      <c r="R259" s="208">
        <v>214856</v>
      </c>
      <c r="S259" s="208">
        <v>0</v>
      </c>
      <c r="T259" s="208">
        <v>0</v>
      </c>
      <c r="U259" s="208">
        <v>0</v>
      </c>
      <c r="V259" s="208">
        <v>0</v>
      </c>
      <c r="W259" s="208">
        <v>0</v>
      </c>
      <c r="X259" s="208">
        <v>0</v>
      </c>
      <c r="Y259" s="208">
        <v>0</v>
      </c>
      <c r="Z259" s="208">
        <v>0</v>
      </c>
      <c r="AA259" s="208">
        <v>0</v>
      </c>
      <c r="AB259" s="208">
        <v>0</v>
      </c>
      <c r="AC259" s="208">
        <v>0</v>
      </c>
      <c r="AD259" s="208">
        <v>0</v>
      </c>
      <c r="AE259" s="208">
        <v>0</v>
      </c>
      <c r="AF259" s="208">
        <v>0</v>
      </c>
      <c r="AG259" s="208">
        <v>0</v>
      </c>
      <c r="AH259" s="208">
        <v>0</v>
      </c>
      <c r="AI259" s="208">
        <v>0</v>
      </c>
      <c r="AJ259" s="208">
        <v>0</v>
      </c>
      <c r="AK259" s="208">
        <v>0</v>
      </c>
      <c r="AL259" s="208">
        <v>0</v>
      </c>
      <c r="AM259" s="208">
        <v>0</v>
      </c>
      <c r="AN259" s="208">
        <v>0</v>
      </c>
      <c r="AO259" s="208">
        <v>0</v>
      </c>
      <c r="AP259" s="208">
        <v>0</v>
      </c>
      <c r="AQ259" s="208">
        <v>0</v>
      </c>
      <c r="AR259" s="208">
        <v>0</v>
      </c>
      <c r="AS259" s="208">
        <v>0</v>
      </c>
      <c r="AT259" s="208">
        <v>0</v>
      </c>
      <c r="AU259" s="208">
        <v>0</v>
      </c>
      <c r="AV259" s="208">
        <v>0</v>
      </c>
      <c r="AW259" s="208">
        <v>0</v>
      </c>
      <c r="AX259" s="208">
        <v>0</v>
      </c>
      <c r="AY259" s="208">
        <v>0</v>
      </c>
      <c r="AZ259" s="208">
        <v>0</v>
      </c>
      <c r="BA259" s="208">
        <v>0</v>
      </c>
      <c r="BB259" s="208">
        <v>0</v>
      </c>
      <c r="BC259" s="208">
        <v>0</v>
      </c>
      <c r="BD259" s="208">
        <v>0</v>
      </c>
      <c r="BE259" s="208">
        <v>0</v>
      </c>
      <c r="BF259" s="208">
        <v>0</v>
      </c>
      <c r="BG259" s="208">
        <v>0</v>
      </c>
      <c r="BH259" s="208">
        <v>0</v>
      </c>
      <c r="BI259" s="208">
        <v>0</v>
      </c>
      <c r="BJ259" s="208">
        <v>0</v>
      </c>
      <c r="BK259" s="208">
        <v>0</v>
      </c>
      <c r="BL259" s="208">
        <v>0</v>
      </c>
      <c r="BM259" s="208">
        <v>0</v>
      </c>
      <c r="BN259" s="208">
        <v>0</v>
      </c>
      <c r="BO259" s="208">
        <v>1075663.0634366665</v>
      </c>
      <c r="BP259" s="208">
        <v>262819.43825499999</v>
      </c>
      <c r="BQ259" s="208">
        <v>0</v>
      </c>
      <c r="BR259" s="208">
        <v>0</v>
      </c>
      <c r="BS259" s="208">
        <v>0</v>
      </c>
      <c r="BT259" s="208">
        <v>0</v>
      </c>
      <c r="BU259" s="208">
        <v>995240</v>
      </c>
      <c r="BV259" s="208">
        <v>248810</v>
      </c>
      <c r="BW259" s="208">
        <v>0</v>
      </c>
      <c r="BX259" s="208">
        <v>80423</v>
      </c>
      <c r="BY259" s="208">
        <v>14009</v>
      </c>
      <c r="BZ259" s="208">
        <v>0</v>
      </c>
      <c r="CA259" s="208">
        <v>0</v>
      </c>
      <c r="CB259" s="208">
        <v>0</v>
      </c>
      <c r="CC259" s="208">
        <v>0</v>
      </c>
      <c r="CD259" s="208">
        <v>0</v>
      </c>
      <c r="CE259" s="208">
        <v>0</v>
      </c>
      <c r="CF259" s="208">
        <v>0</v>
      </c>
      <c r="CG259" s="208">
        <v>0</v>
      </c>
      <c r="CH259" s="208">
        <v>0</v>
      </c>
      <c r="CI259" s="208">
        <v>0</v>
      </c>
      <c r="CJ259" s="208">
        <v>0</v>
      </c>
      <c r="CK259" s="208">
        <v>0</v>
      </c>
      <c r="CL259" s="208">
        <v>0</v>
      </c>
      <c r="CM259" s="208">
        <v>0</v>
      </c>
      <c r="CN259" s="208">
        <v>0</v>
      </c>
      <c r="CO259" s="208">
        <v>0</v>
      </c>
      <c r="CP259" s="208">
        <v>-2619.8941666666669</v>
      </c>
      <c r="CQ259" s="208">
        <v>-654.97354166666673</v>
      </c>
      <c r="CR259" s="208">
        <v>0</v>
      </c>
      <c r="CS259" s="208">
        <v>0</v>
      </c>
      <c r="CT259" s="208">
        <v>0</v>
      </c>
      <c r="CU259" s="208">
        <v>0</v>
      </c>
      <c r="CV259" s="208">
        <v>0</v>
      </c>
      <c r="CW259" s="208">
        <v>0</v>
      </c>
      <c r="CX259" s="208">
        <v>0</v>
      </c>
      <c r="CY259" s="208">
        <v>0</v>
      </c>
      <c r="CZ259" s="208">
        <v>0</v>
      </c>
      <c r="DA259" s="208">
        <v>0</v>
      </c>
      <c r="DB259" s="208">
        <v>0</v>
      </c>
      <c r="DC259" s="208">
        <v>0</v>
      </c>
      <c r="DD259" s="208">
        <v>0</v>
      </c>
      <c r="DE259" s="208">
        <v>0</v>
      </c>
      <c r="DF259" s="208">
        <v>0</v>
      </c>
      <c r="DG259" s="208">
        <v>0</v>
      </c>
      <c r="DH259" s="208">
        <v>0</v>
      </c>
      <c r="DI259" s="208">
        <v>0</v>
      </c>
      <c r="DJ259" s="208">
        <v>0</v>
      </c>
      <c r="DK259" s="208">
        <v>0</v>
      </c>
      <c r="DL259" s="208">
        <v>0</v>
      </c>
      <c r="DM259" s="208">
        <v>0</v>
      </c>
      <c r="DN259" s="208">
        <v>613.75</v>
      </c>
      <c r="DO259" s="208">
        <v>153.4375</v>
      </c>
      <c r="DP259" s="208">
        <v>0</v>
      </c>
      <c r="DQ259" s="208">
        <v>614</v>
      </c>
      <c r="DR259" s="208">
        <v>153</v>
      </c>
      <c r="DS259" s="208">
        <v>0</v>
      </c>
      <c r="DT259" s="208">
        <v>0</v>
      </c>
      <c r="DU259" s="208">
        <v>0</v>
      </c>
      <c r="DV259" s="208">
        <v>0</v>
      </c>
      <c r="DW259" s="208">
        <v>5991.8366666666661</v>
      </c>
      <c r="DX259" s="208">
        <v>1497.9591666666665</v>
      </c>
      <c r="DY259" s="208">
        <v>0</v>
      </c>
      <c r="DZ259" s="208">
        <v>5744</v>
      </c>
      <c r="EA259" s="208">
        <v>1436</v>
      </c>
      <c r="EB259" s="208">
        <v>0</v>
      </c>
      <c r="EC259" s="208">
        <v>248</v>
      </c>
      <c r="ED259" s="208">
        <v>62</v>
      </c>
      <c r="EE259" s="208">
        <v>0</v>
      </c>
      <c r="EF259" s="208">
        <v>47537.392500000002</v>
      </c>
      <c r="EG259" s="208">
        <v>11884.348125</v>
      </c>
      <c r="EH259" s="208">
        <v>0</v>
      </c>
      <c r="EI259" s="208">
        <v>-496.72833333333341</v>
      </c>
      <c r="EJ259" s="208">
        <v>-124.18208333333335</v>
      </c>
      <c r="EK259" s="208">
        <v>0</v>
      </c>
      <c r="EL259" s="208">
        <v>49444</v>
      </c>
      <c r="EM259" s="208">
        <v>12361</v>
      </c>
      <c r="EN259" s="208">
        <v>0</v>
      </c>
      <c r="EO259" s="208">
        <v>-2403</v>
      </c>
      <c r="EP259" s="208">
        <v>-601</v>
      </c>
      <c r="EQ259" s="208">
        <v>0</v>
      </c>
      <c r="ER259" s="208">
        <v>19885.500000000004</v>
      </c>
      <c r="ES259" s="208">
        <v>4971.3750000000009</v>
      </c>
      <c r="ET259" s="208">
        <v>0</v>
      </c>
      <c r="EU259" s="208">
        <v>23322</v>
      </c>
      <c r="EV259" s="208">
        <v>5831</v>
      </c>
      <c r="EW259" s="208">
        <v>0</v>
      </c>
      <c r="EX259" s="208">
        <v>-3437</v>
      </c>
      <c r="EY259" s="208">
        <v>-860</v>
      </c>
      <c r="EZ259" s="208">
        <v>0</v>
      </c>
      <c r="FA259" s="208">
        <v>0</v>
      </c>
      <c r="FB259" s="208">
        <v>0</v>
      </c>
      <c r="FC259" s="208">
        <v>0</v>
      </c>
      <c r="FD259" s="208">
        <v>0</v>
      </c>
      <c r="FE259" s="208">
        <v>0</v>
      </c>
      <c r="FF259" s="208">
        <v>0</v>
      </c>
      <c r="FG259" s="208">
        <v>0</v>
      </c>
      <c r="FH259" s="208">
        <v>0</v>
      </c>
      <c r="FI259" s="208">
        <v>0</v>
      </c>
      <c r="FJ259" s="208">
        <v>509289.41708333336</v>
      </c>
      <c r="FK259" s="208">
        <v>125847.09958333334</v>
      </c>
      <c r="FL259" s="208">
        <v>0</v>
      </c>
      <c r="FM259" s="208">
        <v>557711</v>
      </c>
      <c r="FN259" s="208">
        <v>139184</v>
      </c>
      <c r="FO259" s="208">
        <v>0</v>
      </c>
      <c r="FP259" s="208">
        <v>-48422</v>
      </c>
      <c r="FQ259" s="208">
        <v>-13337</v>
      </c>
      <c r="FR259" s="208">
        <v>0</v>
      </c>
      <c r="FS259" s="208">
        <v>0</v>
      </c>
      <c r="FT259" s="208">
        <v>0</v>
      </c>
      <c r="FU259" s="208">
        <v>0</v>
      </c>
      <c r="FV259" s="208">
        <v>0</v>
      </c>
      <c r="FW259" s="208">
        <v>0</v>
      </c>
      <c r="FX259" s="208">
        <v>0</v>
      </c>
      <c r="FY259" s="208">
        <v>0</v>
      </c>
      <c r="FZ259" s="208">
        <v>0</v>
      </c>
      <c r="GA259" s="208">
        <v>0</v>
      </c>
      <c r="GB259" s="208">
        <v>1655864</v>
      </c>
      <c r="GC259" s="208">
        <v>406393</v>
      </c>
      <c r="GD259" s="208">
        <v>0</v>
      </c>
      <c r="GE259" s="664">
        <v>0.5</v>
      </c>
      <c r="GF259" s="664">
        <v>0.4</v>
      </c>
      <c r="GG259" s="664">
        <v>0.1</v>
      </c>
      <c r="GH259" s="664">
        <v>0</v>
      </c>
      <c r="GI259" s="187" t="s">
        <v>1054</v>
      </c>
    </row>
    <row r="260" spans="1:191" s="187" customFormat="1" x14ac:dyDescent="0.2">
      <c r="B260" s="429" t="s">
        <v>598</v>
      </c>
      <c r="C260" s="429" t="s">
        <v>597</v>
      </c>
      <c r="D260" s="208">
        <v>-226856</v>
      </c>
      <c r="E260" s="208">
        <v>0</v>
      </c>
      <c r="F260" s="208">
        <v>-226856</v>
      </c>
      <c r="G260" s="208">
        <v>-300227</v>
      </c>
      <c r="H260" s="208">
        <v>0</v>
      </c>
      <c r="I260" s="208">
        <v>-300227</v>
      </c>
      <c r="J260" s="208">
        <v>73371</v>
      </c>
      <c r="K260" s="208">
        <v>0</v>
      </c>
      <c r="L260" s="208">
        <v>73371</v>
      </c>
      <c r="M260" s="208">
        <v>169942</v>
      </c>
      <c r="N260" s="208">
        <v>157226</v>
      </c>
      <c r="O260" s="208">
        <v>12716</v>
      </c>
      <c r="P260" s="208">
        <v>0</v>
      </c>
      <c r="Q260" s="208">
        <v>0</v>
      </c>
      <c r="R260" s="208">
        <v>0</v>
      </c>
      <c r="S260" s="208">
        <v>422348</v>
      </c>
      <c r="T260" s="208">
        <v>0</v>
      </c>
      <c r="U260" s="208">
        <v>227766</v>
      </c>
      <c r="V260" s="208">
        <v>0</v>
      </c>
      <c r="W260" s="208">
        <v>194582</v>
      </c>
      <c r="X260" s="208">
        <v>0</v>
      </c>
      <c r="Y260" s="208">
        <v>0</v>
      </c>
      <c r="Z260" s="208">
        <v>0</v>
      </c>
      <c r="AA260" s="208">
        <v>0</v>
      </c>
      <c r="AB260" s="208">
        <v>0</v>
      </c>
      <c r="AC260" s="208">
        <v>0</v>
      </c>
      <c r="AD260" s="208">
        <v>0</v>
      </c>
      <c r="AE260" s="208">
        <v>0</v>
      </c>
      <c r="AF260" s="208">
        <v>0</v>
      </c>
      <c r="AG260" s="208">
        <v>0</v>
      </c>
      <c r="AH260" s="208">
        <v>0</v>
      </c>
      <c r="AI260" s="208">
        <v>0</v>
      </c>
      <c r="AJ260" s="208">
        <v>0</v>
      </c>
      <c r="AK260" s="208">
        <v>0</v>
      </c>
      <c r="AL260" s="208">
        <v>0</v>
      </c>
      <c r="AM260" s="208">
        <v>0</v>
      </c>
      <c r="AN260" s="208">
        <v>0</v>
      </c>
      <c r="AO260" s="208">
        <v>0</v>
      </c>
      <c r="AP260" s="208">
        <v>0</v>
      </c>
      <c r="AQ260" s="208">
        <v>0</v>
      </c>
      <c r="AR260" s="208">
        <v>0</v>
      </c>
      <c r="AS260" s="208">
        <v>0</v>
      </c>
      <c r="AT260" s="208">
        <v>0</v>
      </c>
      <c r="AU260" s="208">
        <v>0</v>
      </c>
      <c r="AV260" s="208">
        <v>0</v>
      </c>
      <c r="AW260" s="208">
        <v>0</v>
      </c>
      <c r="AX260" s="208">
        <v>0</v>
      </c>
      <c r="AY260" s="208">
        <v>0</v>
      </c>
      <c r="AZ260" s="208">
        <v>0</v>
      </c>
      <c r="BA260" s="208">
        <v>0</v>
      </c>
      <c r="BB260" s="208">
        <v>0</v>
      </c>
      <c r="BC260" s="208">
        <v>0</v>
      </c>
      <c r="BD260" s="208">
        <v>0</v>
      </c>
      <c r="BE260" s="208">
        <v>0</v>
      </c>
      <c r="BF260" s="208">
        <v>0</v>
      </c>
      <c r="BG260" s="208">
        <v>0</v>
      </c>
      <c r="BH260" s="208">
        <v>0</v>
      </c>
      <c r="BI260" s="208">
        <v>0</v>
      </c>
      <c r="BJ260" s="208">
        <v>0</v>
      </c>
      <c r="BK260" s="208">
        <v>0</v>
      </c>
      <c r="BL260" s="208">
        <v>0</v>
      </c>
      <c r="BM260" s="208">
        <v>0</v>
      </c>
      <c r="BN260" s="208">
        <v>0</v>
      </c>
      <c r="BO260" s="208">
        <v>2187995.7597433333</v>
      </c>
      <c r="BP260" s="208">
        <v>546998.93993583333</v>
      </c>
      <c r="BQ260" s="208">
        <v>0</v>
      </c>
      <c r="BR260" s="208">
        <v>205733</v>
      </c>
      <c r="BS260" s="208">
        <v>51433</v>
      </c>
      <c r="BT260" s="208">
        <v>0</v>
      </c>
      <c r="BU260" s="208">
        <v>2022094</v>
      </c>
      <c r="BV260" s="208">
        <v>505524</v>
      </c>
      <c r="BW260" s="208">
        <v>0</v>
      </c>
      <c r="BX260" s="208">
        <v>371635</v>
      </c>
      <c r="BY260" s="208">
        <v>92908</v>
      </c>
      <c r="BZ260" s="208">
        <v>0</v>
      </c>
      <c r="CA260" s="208">
        <v>0</v>
      </c>
      <c r="CB260" s="208">
        <v>0</v>
      </c>
      <c r="CC260" s="208">
        <v>0</v>
      </c>
      <c r="CD260" s="208">
        <v>0</v>
      </c>
      <c r="CE260" s="208">
        <v>0</v>
      </c>
      <c r="CF260" s="208">
        <v>0</v>
      </c>
      <c r="CG260" s="208">
        <v>0</v>
      </c>
      <c r="CH260" s="208">
        <v>0</v>
      </c>
      <c r="CI260" s="208">
        <v>0</v>
      </c>
      <c r="CJ260" s="208">
        <v>0</v>
      </c>
      <c r="CK260" s="208">
        <v>0</v>
      </c>
      <c r="CL260" s="208">
        <v>0</v>
      </c>
      <c r="CM260" s="208">
        <v>0</v>
      </c>
      <c r="CN260" s="208">
        <v>0</v>
      </c>
      <c r="CO260" s="208">
        <v>0</v>
      </c>
      <c r="CP260" s="208">
        <v>0</v>
      </c>
      <c r="CQ260" s="208">
        <v>0</v>
      </c>
      <c r="CR260" s="208">
        <v>0</v>
      </c>
      <c r="CS260" s="208">
        <v>0</v>
      </c>
      <c r="CT260" s="208">
        <v>0</v>
      </c>
      <c r="CU260" s="208">
        <v>0</v>
      </c>
      <c r="CV260" s="208">
        <v>0</v>
      </c>
      <c r="CW260" s="208">
        <v>0</v>
      </c>
      <c r="CX260" s="208">
        <v>0</v>
      </c>
      <c r="CY260" s="208">
        <v>0</v>
      </c>
      <c r="CZ260" s="208">
        <v>0</v>
      </c>
      <c r="DA260" s="208">
        <v>0</v>
      </c>
      <c r="DB260" s="208">
        <v>0</v>
      </c>
      <c r="DC260" s="208">
        <v>0</v>
      </c>
      <c r="DD260" s="208">
        <v>0</v>
      </c>
      <c r="DE260" s="208">
        <v>37981.305000000008</v>
      </c>
      <c r="DF260" s="208">
        <v>9495.3262500000019</v>
      </c>
      <c r="DG260" s="208">
        <v>0</v>
      </c>
      <c r="DH260" s="208">
        <v>31930</v>
      </c>
      <c r="DI260" s="208">
        <v>7983</v>
      </c>
      <c r="DJ260" s="208">
        <v>0</v>
      </c>
      <c r="DK260" s="208">
        <v>6051</v>
      </c>
      <c r="DL260" s="208">
        <v>1512</v>
      </c>
      <c r="DM260" s="208">
        <v>0</v>
      </c>
      <c r="DN260" s="208">
        <v>3009.0116666666668</v>
      </c>
      <c r="DO260" s="208">
        <v>752.25291666666669</v>
      </c>
      <c r="DP260" s="208">
        <v>0</v>
      </c>
      <c r="DQ260" s="208">
        <v>3358</v>
      </c>
      <c r="DR260" s="208">
        <v>840</v>
      </c>
      <c r="DS260" s="208">
        <v>0</v>
      </c>
      <c r="DT260" s="208">
        <v>-349</v>
      </c>
      <c r="DU260" s="208">
        <v>-88</v>
      </c>
      <c r="DV260" s="208">
        <v>0</v>
      </c>
      <c r="DW260" s="208">
        <v>8576.1333333333332</v>
      </c>
      <c r="DX260" s="208">
        <v>2144.0333333333333</v>
      </c>
      <c r="DY260" s="208">
        <v>0</v>
      </c>
      <c r="DZ260" s="208">
        <v>10079</v>
      </c>
      <c r="EA260" s="208">
        <v>2520</v>
      </c>
      <c r="EB260" s="208">
        <v>0</v>
      </c>
      <c r="EC260" s="208">
        <v>-1503</v>
      </c>
      <c r="ED260" s="208">
        <v>-376</v>
      </c>
      <c r="EE260" s="208">
        <v>0</v>
      </c>
      <c r="EF260" s="208">
        <v>72341.485000000001</v>
      </c>
      <c r="EG260" s="208">
        <v>18085.37125</v>
      </c>
      <c r="EH260" s="208">
        <v>0</v>
      </c>
      <c r="EI260" s="208">
        <v>24337.233333333337</v>
      </c>
      <c r="EJ260" s="208">
        <v>6084.3083333333343</v>
      </c>
      <c r="EK260" s="208">
        <v>0</v>
      </c>
      <c r="EL260" s="208">
        <v>83138</v>
      </c>
      <c r="EM260" s="208">
        <v>20785</v>
      </c>
      <c r="EN260" s="208">
        <v>0</v>
      </c>
      <c r="EO260" s="208">
        <v>13541</v>
      </c>
      <c r="EP260" s="208">
        <v>3385</v>
      </c>
      <c r="EQ260" s="208">
        <v>0</v>
      </c>
      <c r="ER260" s="208">
        <v>26323.328333333335</v>
      </c>
      <c r="ES260" s="208">
        <v>6580.8320833333337</v>
      </c>
      <c r="ET260" s="208">
        <v>0</v>
      </c>
      <c r="EU260" s="208">
        <v>21962</v>
      </c>
      <c r="EV260" s="208">
        <v>5490</v>
      </c>
      <c r="EW260" s="208">
        <v>0</v>
      </c>
      <c r="EX260" s="208">
        <v>4361</v>
      </c>
      <c r="EY260" s="208">
        <v>1091</v>
      </c>
      <c r="EZ260" s="208">
        <v>0</v>
      </c>
      <c r="FA260" s="208">
        <v>0</v>
      </c>
      <c r="FB260" s="208">
        <v>0</v>
      </c>
      <c r="FC260" s="208">
        <v>0</v>
      </c>
      <c r="FD260" s="208">
        <v>0</v>
      </c>
      <c r="FE260" s="208">
        <v>0</v>
      </c>
      <c r="FF260" s="208">
        <v>0</v>
      </c>
      <c r="FG260" s="208">
        <v>0</v>
      </c>
      <c r="FH260" s="208">
        <v>0</v>
      </c>
      <c r="FI260" s="208">
        <v>0</v>
      </c>
      <c r="FJ260" s="208">
        <v>832924.07</v>
      </c>
      <c r="FK260" s="208">
        <v>205811.31541666665</v>
      </c>
      <c r="FL260" s="208">
        <v>0</v>
      </c>
      <c r="FM260" s="208">
        <v>843349</v>
      </c>
      <c r="FN260" s="208">
        <v>209532</v>
      </c>
      <c r="FO260" s="208">
        <v>0</v>
      </c>
      <c r="FP260" s="208">
        <v>-10425</v>
      </c>
      <c r="FQ260" s="208">
        <v>-3721</v>
      </c>
      <c r="FR260" s="208">
        <v>0</v>
      </c>
      <c r="FS260" s="208">
        <v>0</v>
      </c>
      <c r="FT260" s="208">
        <v>0</v>
      </c>
      <c r="FU260" s="208">
        <v>0</v>
      </c>
      <c r="FV260" s="208">
        <v>0</v>
      </c>
      <c r="FW260" s="208">
        <v>0</v>
      </c>
      <c r="FX260" s="208">
        <v>0</v>
      </c>
      <c r="FY260" s="208">
        <v>0</v>
      </c>
      <c r="FZ260" s="208">
        <v>0</v>
      </c>
      <c r="GA260" s="208">
        <v>0</v>
      </c>
      <c r="GB260" s="208">
        <v>3399220</v>
      </c>
      <c r="GC260" s="208">
        <v>847384</v>
      </c>
      <c r="GD260" s="208">
        <v>0</v>
      </c>
      <c r="GE260" s="664">
        <v>0</v>
      </c>
      <c r="GF260" s="664">
        <v>0.8</v>
      </c>
      <c r="GG260" s="664">
        <v>0.2</v>
      </c>
      <c r="GH260" s="664">
        <v>0</v>
      </c>
      <c r="GI260" s="187" t="s">
        <v>1054</v>
      </c>
    </row>
    <row r="261" spans="1:191" s="187" customFormat="1" x14ac:dyDescent="0.2">
      <c r="B261" s="429" t="s">
        <v>600</v>
      </c>
      <c r="C261" s="429" t="s">
        <v>599</v>
      </c>
      <c r="D261" s="208">
        <v>-1590694</v>
      </c>
      <c r="E261" s="208">
        <v>0</v>
      </c>
      <c r="F261" s="208">
        <v>-1590694</v>
      </c>
      <c r="G261" s="208">
        <v>-1566713</v>
      </c>
      <c r="H261" s="208">
        <v>0</v>
      </c>
      <c r="I261" s="208">
        <v>-1566713</v>
      </c>
      <c r="J261" s="208">
        <v>-23981</v>
      </c>
      <c r="K261" s="208">
        <v>0</v>
      </c>
      <c r="L261" s="208">
        <v>-23981</v>
      </c>
      <c r="M261" s="208">
        <v>189442</v>
      </c>
      <c r="N261" s="208">
        <v>189442</v>
      </c>
      <c r="O261" s="208">
        <v>0</v>
      </c>
      <c r="P261" s="208">
        <v>0</v>
      </c>
      <c r="Q261" s="208">
        <v>0</v>
      </c>
      <c r="R261" s="208">
        <v>0</v>
      </c>
      <c r="S261" s="208">
        <v>0</v>
      </c>
      <c r="T261" s="208">
        <v>0</v>
      </c>
      <c r="U261" s="208">
        <v>0</v>
      </c>
      <c r="V261" s="208">
        <v>0</v>
      </c>
      <c r="W261" s="208">
        <v>0</v>
      </c>
      <c r="X261" s="208">
        <v>0</v>
      </c>
      <c r="Y261" s="208">
        <v>0</v>
      </c>
      <c r="Z261" s="208">
        <v>0</v>
      </c>
      <c r="AA261" s="208">
        <v>0</v>
      </c>
      <c r="AB261" s="208">
        <v>0</v>
      </c>
      <c r="AC261" s="208">
        <v>0</v>
      </c>
      <c r="AD261" s="208">
        <v>0</v>
      </c>
      <c r="AE261" s="208">
        <v>0</v>
      </c>
      <c r="AF261" s="208">
        <v>0</v>
      </c>
      <c r="AG261" s="208">
        <v>0</v>
      </c>
      <c r="AH261" s="208">
        <v>0</v>
      </c>
      <c r="AI261" s="208">
        <v>0</v>
      </c>
      <c r="AJ261" s="208">
        <v>0</v>
      </c>
      <c r="AK261" s="208">
        <v>0</v>
      </c>
      <c r="AL261" s="208">
        <v>0</v>
      </c>
      <c r="AM261" s="208">
        <v>0</v>
      </c>
      <c r="AN261" s="208">
        <v>0</v>
      </c>
      <c r="AO261" s="208">
        <v>0</v>
      </c>
      <c r="AP261" s="208">
        <v>0</v>
      </c>
      <c r="AQ261" s="208">
        <v>0</v>
      </c>
      <c r="AR261" s="208">
        <v>0</v>
      </c>
      <c r="AS261" s="208">
        <v>0</v>
      </c>
      <c r="AT261" s="208">
        <v>0</v>
      </c>
      <c r="AU261" s="208">
        <v>0</v>
      </c>
      <c r="AV261" s="208">
        <v>0</v>
      </c>
      <c r="AW261" s="208">
        <v>0</v>
      </c>
      <c r="AX261" s="208">
        <v>0</v>
      </c>
      <c r="AY261" s="208">
        <v>0</v>
      </c>
      <c r="AZ261" s="208">
        <v>0</v>
      </c>
      <c r="BA261" s="208">
        <v>0</v>
      </c>
      <c r="BB261" s="208">
        <v>0</v>
      </c>
      <c r="BC261" s="208">
        <v>0</v>
      </c>
      <c r="BD261" s="208">
        <v>0</v>
      </c>
      <c r="BE261" s="208">
        <v>0</v>
      </c>
      <c r="BF261" s="208">
        <v>0</v>
      </c>
      <c r="BG261" s="208">
        <v>0</v>
      </c>
      <c r="BH261" s="208">
        <v>0</v>
      </c>
      <c r="BI261" s="208">
        <v>0</v>
      </c>
      <c r="BJ261" s="208">
        <v>0</v>
      </c>
      <c r="BK261" s="208">
        <v>0</v>
      </c>
      <c r="BL261" s="208">
        <v>0</v>
      </c>
      <c r="BM261" s="208">
        <v>0</v>
      </c>
      <c r="BN261" s="208">
        <v>0</v>
      </c>
      <c r="BO261" s="208">
        <v>3557484.1652377509</v>
      </c>
      <c r="BP261" s="208">
        <v>0</v>
      </c>
      <c r="BQ261" s="208">
        <v>35934.183487250011</v>
      </c>
      <c r="BR261" s="208">
        <v>229129</v>
      </c>
      <c r="BS261" s="208">
        <v>0</v>
      </c>
      <c r="BT261" s="208">
        <v>2314</v>
      </c>
      <c r="BU261" s="208">
        <v>3353439</v>
      </c>
      <c r="BV261" s="208">
        <v>0</v>
      </c>
      <c r="BW261" s="208">
        <v>33873</v>
      </c>
      <c r="BX261" s="208">
        <v>433174</v>
      </c>
      <c r="BY261" s="208">
        <v>0</v>
      </c>
      <c r="BZ261" s="208">
        <v>4375</v>
      </c>
      <c r="CA261" s="208">
        <v>5460.4110000000001</v>
      </c>
      <c r="CB261" s="208">
        <v>0</v>
      </c>
      <c r="CC261" s="208">
        <v>55.155666666666669</v>
      </c>
      <c r="CD261" s="208">
        <v>3937</v>
      </c>
      <c r="CE261" s="208">
        <v>0</v>
      </c>
      <c r="CF261" s="208">
        <v>40</v>
      </c>
      <c r="CG261" s="208">
        <v>1523</v>
      </c>
      <c r="CH261" s="208">
        <v>0</v>
      </c>
      <c r="CI261" s="208">
        <v>15</v>
      </c>
      <c r="CJ261" s="208">
        <v>0</v>
      </c>
      <c r="CK261" s="208">
        <v>0</v>
      </c>
      <c r="CL261" s="208">
        <v>0</v>
      </c>
      <c r="CM261" s="208">
        <v>0</v>
      </c>
      <c r="CN261" s="208">
        <v>0</v>
      </c>
      <c r="CO261" s="208">
        <v>0</v>
      </c>
      <c r="CP261" s="208">
        <v>0</v>
      </c>
      <c r="CQ261" s="208">
        <v>0</v>
      </c>
      <c r="CR261" s="208">
        <v>0</v>
      </c>
      <c r="CS261" s="208">
        <v>0</v>
      </c>
      <c r="CT261" s="208">
        <v>0</v>
      </c>
      <c r="CU261" s="208">
        <v>0</v>
      </c>
      <c r="CV261" s="208">
        <v>0</v>
      </c>
      <c r="CW261" s="208">
        <v>0</v>
      </c>
      <c r="CX261" s="208">
        <v>0</v>
      </c>
      <c r="CY261" s="208">
        <v>0</v>
      </c>
      <c r="CZ261" s="208">
        <v>0</v>
      </c>
      <c r="DA261" s="208">
        <v>0</v>
      </c>
      <c r="DB261" s="208">
        <v>0</v>
      </c>
      <c r="DC261" s="208">
        <v>0</v>
      </c>
      <c r="DD261" s="208">
        <v>0</v>
      </c>
      <c r="DE261" s="208">
        <v>0</v>
      </c>
      <c r="DF261" s="208">
        <v>0</v>
      </c>
      <c r="DG261" s="208">
        <v>0</v>
      </c>
      <c r="DH261" s="208">
        <v>0</v>
      </c>
      <c r="DI261" s="208">
        <v>0</v>
      </c>
      <c r="DJ261" s="208">
        <v>0</v>
      </c>
      <c r="DK261" s="208">
        <v>0</v>
      </c>
      <c r="DL261" s="208">
        <v>0</v>
      </c>
      <c r="DM261" s="208">
        <v>0</v>
      </c>
      <c r="DN261" s="208">
        <v>0</v>
      </c>
      <c r="DO261" s="208">
        <v>0</v>
      </c>
      <c r="DP261" s="208">
        <v>0</v>
      </c>
      <c r="DQ261" s="208">
        <v>0</v>
      </c>
      <c r="DR261" s="208">
        <v>0</v>
      </c>
      <c r="DS261" s="208">
        <v>0</v>
      </c>
      <c r="DT261" s="208">
        <v>0</v>
      </c>
      <c r="DU261" s="208">
        <v>0</v>
      </c>
      <c r="DV261" s="208">
        <v>0</v>
      </c>
      <c r="DW261" s="208">
        <v>22640.654437499998</v>
      </c>
      <c r="DX261" s="208">
        <v>0</v>
      </c>
      <c r="DY261" s="208">
        <v>228.69347916666666</v>
      </c>
      <c r="DZ261" s="208">
        <v>26424</v>
      </c>
      <c r="EA261" s="208">
        <v>0</v>
      </c>
      <c r="EB261" s="208">
        <v>267</v>
      </c>
      <c r="EC261" s="208">
        <v>-3783</v>
      </c>
      <c r="ED261" s="208">
        <v>0</v>
      </c>
      <c r="EE261" s="208">
        <v>-38</v>
      </c>
      <c r="EF261" s="208">
        <v>113881.7728125</v>
      </c>
      <c r="EG261" s="208">
        <v>0</v>
      </c>
      <c r="EH261" s="208">
        <v>1150.3209375000001</v>
      </c>
      <c r="EI261" s="208">
        <v>-4519.6243125000001</v>
      </c>
      <c r="EJ261" s="208">
        <v>0</v>
      </c>
      <c r="EK261" s="208">
        <v>-45.652770833333335</v>
      </c>
      <c r="EL261" s="208">
        <v>113421</v>
      </c>
      <c r="EM261" s="208">
        <v>0</v>
      </c>
      <c r="EN261" s="208">
        <v>1146</v>
      </c>
      <c r="EO261" s="208">
        <v>-4059</v>
      </c>
      <c r="EP261" s="208">
        <v>0</v>
      </c>
      <c r="EQ261" s="208">
        <v>-41</v>
      </c>
      <c r="ER261" s="208">
        <v>52504.808812499999</v>
      </c>
      <c r="ES261" s="208">
        <v>0</v>
      </c>
      <c r="ET261" s="208">
        <v>530.35160416666668</v>
      </c>
      <c r="EU261" s="208">
        <v>48609</v>
      </c>
      <c r="EV261" s="208">
        <v>0</v>
      </c>
      <c r="EW261" s="208">
        <v>491</v>
      </c>
      <c r="EX261" s="208">
        <v>3896</v>
      </c>
      <c r="EY261" s="208">
        <v>0</v>
      </c>
      <c r="EZ261" s="208">
        <v>39</v>
      </c>
      <c r="FA261" s="208">
        <v>0</v>
      </c>
      <c r="FB261" s="208">
        <v>0</v>
      </c>
      <c r="FC261" s="208">
        <v>0</v>
      </c>
      <c r="FD261" s="208">
        <v>0</v>
      </c>
      <c r="FE261" s="208">
        <v>0</v>
      </c>
      <c r="FF261" s="208">
        <v>0</v>
      </c>
      <c r="FG261" s="208">
        <v>0</v>
      </c>
      <c r="FH261" s="208">
        <v>0</v>
      </c>
      <c r="FI261" s="208">
        <v>0</v>
      </c>
      <c r="FJ261" s="208">
        <v>1089300.2236875</v>
      </c>
      <c r="FK261" s="208">
        <v>0</v>
      </c>
      <c r="FL261" s="208">
        <v>11003.0325625</v>
      </c>
      <c r="FM261" s="208">
        <v>1062944</v>
      </c>
      <c r="FN261" s="208">
        <v>0</v>
      </c>
      <c r="FO261" s="208">
        <v>10737</v>
      </c>
      <c r="FP261" s="208">
        <v>26356</v>
      </c>
      <c r="FQ261" s="208">
        <v>0</v>
      </c>
      <c r="FR261" s="208">
        <v>266</v>
      </c>
      <c r="FS261" s="208">
        <v>0</v>
      </c>
      <c r="FT261" s="208">
        <v>0</v>
      </c>
      <c r="FU261" s="208">
        <v>0</v>
      </c>
      <c r="FV261" s="208">
        <v>0</v>
      </c>
      <c r="FW261" s="208">
        <v>0</v>
      </c>
      <c r="FX261" s="208">
        <v>0</v>
      </c>
      <c r="FY261" s="208">
        <v>0</v>
      </c>
      <c r="FZ261" s="208">
        <v>0</v>
      </c>
      <c r="GA261" s="208">
        <v>0</v>
      </c>
      <c r="GB261" s="208">
        <v>5065881</v>
      </c>
      <c r="GC261" s="208">
        <v>0</v>
      </c>
      <c r="GD261" s="208">
        <v>51169</v>
      </c>
      <c r="GE261" s="664">
        <v>0</v>
      </c>
      <c r="GF261" s="664">
        <v>0.99</v>
      </c>
      <c r="GG261" s="664">
        <v>0</v>
      </c>
      <c r="GH261" s="664">
        <v>0.01</v>
      </c>
      <c r="GI261" s="187" t="s">
        <v>1056</v>
      </c>
    </row>
    <row r="262" spans="1:191" s="187" customFormat="1" x14ac:dyDescent="0.2">
      <c r="B262" s="429" t="s">
        <v>602</v>
      </c>
      <c r="C262" s="429" t="s">
        <v>601</v>
      </c>
      <c r="D262" s="208">
        <v>88530</v>
      </c>
      <c r="E262" s="208">
        <v>0</v>
      </c>
      <c r="F262" s="208">
        <v>88530</v>
      </c>
      <c r="G262" s="208">
        <v>-237669</v>
      </c>
      <c r="H262" s="208">
        <v>0</v>
      </c>
      <c r="I262" s="208">
        <v>-237669</v>
      </c>
      <c r="J262" s="208">
        <v>326199</v>
      </c>
      <c r="K262" s="208">
        <v>0</v>
      </c>
      <c r="L262" s="208">
        <v>326199</v>
      </c>
      <c r="M262" s="208">
        <v>167669</v>
      </c>
      <c r="N262" s="208">
        <v>167669</v>
      </c>
      <c r="O262" s="208">
        <v>0</v>
      </c>
      <c r="P262" s="208">
        <v>0</v>
      </c>
      <c r="Q262" s="208">
        <v>0</v>
      </c>
      <c r="R262" s="208">
        <v>0</v>
      </c>
      <c r="S262" s="208">
        <v>0</v>
      </c>
      <c r="T262" s="208">
        <v>0</v>
      </c>
      <c r="U262" s="208">
        <v>0</v>
      </c>
      <c r="V262" s="208">
        <v>0</v>
      </c>
      <c r="W262" s="208">
        <v>0</v>
      </c>
      <c r="X262" s="208">
        <v>0</v>
      </c>
      <c r="Y262" s="208">
        <v>0</v>
      </c>
      <c r="Z262" s="208">
        <v>0</v>
      </c>
      <c r="AA262" s="208">
        <v>0</v>
      </c>
      <c r="AB262" s="208">
        <v>0</v>
      </c>
      <c r="AC262" s="208">
        <v>0</v>
      </c>
      <c r="AD262" s="208">
        <v>0</v>
      </c>
      <c r="AE262" s="208">
        <v>0</v>
      </c>
      <c r="AF262" s="208">
        <v>0</v>
      </c>
      <c r="AG262" s="208">
        <v>0</v>
      </c>
      <c r="AH262" s="208">
        <v>0</v>
      </c>
      <c r="AI262" s="208">
        <v>0</v>
      </c>
      <c r="AJ262" s="208">
        <v>0</v>
      </c>
      <c r="AK262" s="208">
        <v>0</v>
      </c>
      <c r="AL262" s="208">
        <v>0</v>
      </c>
      <c r="AM262" s="208">
        <v>0</v>
      </c>
      <c r="AN262" s="208">
        <v>0</v>
      </c>
      <c r="AO262" s="208">
        <v>0</v>
      </c>
      <c r="AP262" s="208">
        <v>0</v>
      </c>
      <c r="AQ262" s="208">
        <v>0</v>
      </c>
      <c r="AR262" s="208">
        <v>0</v>
      </c>
      <c r="AS262" s="208">
        <v>0</v>
      </c>
      <c r="AT262" s="208">
        <v>0</v>
      </c>
      <c r="AU262" s="208">
        <v>0</v>
      </c>
      <c r="AV262" s="208">
        <v>0</v>
      </c>
      <c r="AW262" s="208">
        <v>0</v>
      </c>
      <c r="AX262" s="208">
        <v>0</v>
      </c>
      <c r="AY262" s="208">
        <v>0</v>
      </c>
      <c r="AZ262" s="208">
        <v>0</v>
      </c>
      <c r="BA262" s="208">
        <v>0</v>
      </c>
      <c r="BB262" s="208">
        <v>0</v>
      </c>
      <c r="BC262" s="208">
        <v>0</v>
      </c>
      <c r="BD262" s="208">
        <v>0</v>
      </c>
      <c r="BE262" s="208">
        <v>0</v>
      </c>
      <c r="BF262" s="208">
        <v>0</v>
      </c>
      <c r="BG262" s="208">
        <v>0</v>
      </c>
      <c r="BH262" s="208">
        <v>0</v>
      </c>
      <c r="BI262" s="208">
        <v>0</v>
      </c>
      <c r="BJ262" s="208">
        <v>0</v>
      </c>
      <c r="BK262" s="208">
        <v>0</v>
      </c>
      <c r="BL262" s="208">
        <v>0</v>
      </c>
      <c r="BM262" s="208">
        <v>0</v>
      </c>
      <c r="BN262" s="208">
        <v>0</v>
      </c>
      <c r="BO262" s="208">
        <v>1247782.7910133332</v>
      </c>
      <c r="BP262" s="208">
        <v>280751.12797800003</v>
      </c>
      <c r="BQ262" s="208">
        <v>31194.569775333341</v>
      </c>
      <c r="BR262" s="208">
        <v>93309</v>
      </c>
      <c r="BS262" s="208">
        <v>20994</v>
      </c>
      <c r="BT262" s="208">
        <v>2333</v>
      </c>
      <c r="BU262" s="208">
        <v>1159737</v>
      </c>
      <c r="BV262" s="208">
        <v>260941</v>
      </c>
      <c r="BW262" s="208">
        <v>28993</v>
      </c>
      <c r="BX262" s="208">
        <v>181355</v>
      </c>
      <c r="BY262" s="208">
        <v>40804</v>
      </c>
      <c r="BZ262" s="208">
        <v>4535</v>
      </c>
      <c r="CA262" s="208">
        <v>887.48250000000007</v>
      </c>
      <c r="CB262" s="208">
        <v>199.68356249999999</v>
      </c>
      <c r="CC262" s="208">
        <v>22.187062500000003</v>
      </c>
      <c r="CD262" s="208">
        <v>0</v>
      </c>
      <c r="CE262" s="208">
        <v>0</v>
      </c>
      <c r="CF262" s="208">
        <v>0</v>
      </c>
      <c r="CG262" s="208">
        <v>887</v>
      </c>
      <c r="CH262" s="208">
        <v>200</v>
      </c>
      <c r="CI262" s="208">
        <v>22</v>
      </c>
      <c r="CJ262" s="208">
        <v>0</v>
      </c>
      <c r="CK262" s="208">
        <v>0</v>
      </c>
      <c r="CL262" s="208">
        <v>0</v>
      </c>
      <c r="CM262" s="208">
        <v>0</v>
      </c>
      <c r="CN262" s="208">
        <v>0</v>
      </c>
      <c r="CO262" s="208">
        <v>0</v>
      </c>
      <c r="CP262" s="208">
        <v>-139.11666666666667</v>
      </c>
      <c r="CQ262" s="208">
        <v>-31.30125</v>
      </c>
      <c r="CR262" s="208">
        <v>-3.4779166666666668</v>
      </c>
      <c r="CS262" s="208">
        <v>0</v>
      </c>
      <c r="CT262" s="208">
        <v>0</v>
      </c>
      <c r="CU262" s="208">
        <v>0</v>
      </c>
      <c r="CV262" s="208">
        <v>0</v>
      </c>
      <c r="CW262" s="208">
        <v>0</v>
      </c>
      <c r="CX262" s="208">
        <v>0</v>
      </c>
      <c r="CY262" s="208">
        <v>0</v>
      </c>
      <c r="CZ262" s="208">
        <v>0</v>
      </c>
      <c r="DA262" s="208">
        <v>0</v>
      </c>
      <c r="DB262" s="208">
        <v>0</v>
      </c>
      <c r="DC262" s="208">
        <v>0</v>
      </c>
      <c r="DD262" s="208">
        <v>0</v>
      </c>
      <c r="DE262" s="208">
        <v>5748.9225999999999</v>
      </c>
      <c r="DF262" s="208">
        <v>1293.5075849999998</v>
      </c>
      <c r="DG262" s="208">
        <v>143.72306499999999</v>
      </c>
      <c r="DH262" s="208">
        <v>6744</v>
      </c>
      <c r="DI262" s="208">
        <v>1518</v>
      </c>
      <c r="DJ262" s="208">
        <v>169</v>
      </c>
      <c r="DK262" s="208">
        <v>-995</v>
      </c>
      <c r="DL262" s="208">
        <v>-224</v>
      </c>
      <c r="DM262" s="208">
        <v>-25</v>
      </c>
      <c r="DN262" s="208">
        <v>613.75</v>
      </c>
      <c r="DO262" s="208">
        <v>138.09375</v>
      </c>
      <c r="DP262" s="208">
        <v>15.34375</v>
      </c>
      <c r="DQ262" s="208">
        <v>614</v>
      </c>
      <c r="DR262" s="208">
        <v>138</v>
      </c>
      <c r="DS262" s="208">
        <v>15</v>
      </c>
      <c r="DT262" s="208">
        <v>0</v>
      </c>
      <c r="DU262" s="208">
        <v>0</v>
      </c>
      <c r="DV262" s="208">
        <v>0</v>
      </c>
      <c r="DW262" s="208">
        <v>10696.844166666668</v>
      </c>
      <c r="DX262" s="208">
        <v>2406.7899374999997</v>
      </c>
      <c r="DY262" s="208">
        <v>267.42110416666668</v>
      </c>
      <c r="DZ262" s="208">
        <v>13001</v>
      </c>
      <c r="EA262" s="208">
        <v>2925</v>
      </c>
      <c r="EB262" s="208">
        <v>325</v>
      </c>
      <c r="EC262" s="208">
        <v>-2304</v>
      </c>
      <c r="ED262" s="208">
        <v>-518</v>
      </c>
      <c r="EE262" s="208">
        <v>-58</v>
      </c>
      <c r="EF262" s="208">
        <v>74002.29250000001</v>
      </c>
      <c r="EG262" s="208">
        <v>16650.515812500002</v>
      </c>
      <c r="EH262" s="208">
        <v>1850.0573125000001</v>
      </c>
      <c r="EI262" s="208">
        <v>-209.90250000000003</v>
      </c>
      <c r="EJ262" s="208">
        <v>-47.2280625</v>
      </c>
      <c r="EK262" s="208">
        <v>-5.2475624999999999</v>
      </c>
      <c r="EL262" s="208">
        <v>74002</v>
      </c>
      <c r="EM262" s="208">
        <v>16651</v>
      </c>
      <c r="EN262" s="208">
        <v>1850</v>
      </c>
      <c r="EO262" s="208">
        <v>-210</v>
      </c>
      <c r="EP262" s="208">
        <v>-48</v>
      </c>
      <c r="EQ262" s="208">
        <v>-5</v>
      </c>
      <c r="ER262" s="208">
        <v>22372.005833333336</v>
      </c>
      <c r="ES262" s="208">
        <v>5033.7013125000003</v>
      </c>
      <c r="ET262" s="208">
        <v>559.30014583333332</v>
      </c>
      <c r="EU262" s="208">
        <v>32651</v>
      </c>
      <c r="EV262" s="208">
        <v>7346</v>
      </c>
      <c r="EW262" s="208">
        <v>816</v>
      </c>
      <c r="EX262" s="208">
        <v>-10279</v>
      </c>
      <c r="EY262" s="208">
        <v>-2312</v>
      </c>
      <c r="EZ262" s="208">
        <v>-257</v>
      </c>
      <c r="FA262" s="208">
        <v>0</v>
      </c>
      <c r="FB262" s="208">
        <v>0</v>
      </c>
      <c r="FC262" s="208">
        <v>0</v>
      </c>
      <c r="FD262" s="208">
        <v>0</v>
      </c>
      <c r="FE262" s="208">
        <v>0</v>
      </c>
      <c r="FF262" s="208">
        <v>0</v>
      </c>
      <c r="FG262" s="208">
        <v>0</v>
      </c>
      <c r="FH262" s="208">
        <v>0</v>
      </c>
      <c r="FI262" s="208">
        <v>0</v>
      </c>
      <c r="FJ262" s="208">
        <v>404908.15750000003</v>
      </c>
      <c r="FK262" s="208">
        <v>91104.335437499991</v>
      </c>
      <c r="FL262" s="208">
        <v>10122.703937499999</v>
      </c>
      <c r="FM262" s="208">
        <v>445386</v>
      </c>
      <c r="FN262" s="208">
        <v>100212</v>
      </c>
      <c r="FO262" s="208">
        <v>11135</v>
      </c>
      <c r="FP262" s="208">
        <v>-40478</v>
      </c>
      <c r="FQ262" s="208">
        <v>-9108</v>
      </c>
      <c r="FR262" s="208">
        <v>-1012</v>
      </c>
      <c r="FS262" s="208">
        <v>0</v>
      </c>
      <c r="FT262" s="208">
        <v>0</v>
      </c>
      <c r="FU262" s="208">
        <v>0</v>
      </c>
      <c r="FV262" s="208">
        <v>0</v>
      </c>
      <c r="FW262" s="208">
        <v>0</v>
      </c>
      <c r="FX262" s="208">
        <v>0</v>
      </c>
      <c r="FY262" s="208">
        <v>0</v>
      </c>
      <c r="FZ262" s="208">
        <v>0</v>
      </c>
      <c r="GA262" s="208">
        <v>0</v>
      </c>
      <c r="GB262" s="208">
        <v>1859972</v>
      </c>
      <c r="GC262" s="208">
        <v>418495</v>
      </c>
      <c r="GD262" s="208">
        <v>46500</v>
      </c>
      <c r="GE262" s="664">
        <v>0.5</v>
      </c>
      <c r="GF262" s="664">
        <v>0.4</v>
      </c>
      <c r="GG262" s="664">
        <v>0.09</v>
      </c>
      <c r="GH262" s="664">
        <v>0.01</v>
      </c>
      <c r="GI262" s="187" t="s">
        <v>1054</v>
      </c>
    </row>
    <row r="263" spans="1:191" s="187" customFormat="1" x14ac:dyDescent="0.2">
      <c r="B263" s="429" t="s">
        <v>604</v>
      </c>
      <c r="C263" s="429" t="s">
        <v>603</v>
      </c>
      <c r="D263" s="208">
        <v>1145743</v>
      </c>
      <c r="E263" s="208">
        <v>0</v>
      </c>
      <c r="F263" s="208">
        <v>1145743</v>
      </c>
      <c r="G263" s="208">
        <v>1103846</v>
      </c>
      <c r="H263" s="208">
        <v>0</v>
      </c>
      <c r="I263" s="208">
        <v>1103846</v>
      </c>
      <c r="J263" s="208">
        <v>41897</v>
      </c>
      <c r="K263" s="208">
        <v>0</v>
      </c>
      <c r="L263" s="208">
        <v>41897</v>
      </c>
      <c r="M263" s="208">
        <v>114939</v>
      </c>
      <c r="N263" s="208">
        <v>114939</v>
      </c>
      <c r="O263" s="208">
        <v>0</v>
      </c>
      <c r="P263" s="208">
        <v>0</v>
      </c>
      <c r="Q263" s="208">
        <v>0</v>
      </c>
      <c r="R263" s="208">
        <v>0</v>
      </c>
      <c r="S263" s="208">
        <v>0</v>
      </c>
      <c r="T263" s="208">
        <v>0</v>
      </c>
      <c r="U263" s="208">
        <v>0</v>
      </c>
      <c r="V263" s="208">
        <v>0</v>
      </c>
      <c r="W263" s="208">
        <v>0</v>
      </c>
      <c r="X263" s="208">
        <v>0</v>
      </c>
      <c r="Y263" s="208">
        <v>0</v>
      </c>
      <c r="Z263" s="208">
        <v>0</v>
      </c>
      <c r="AA263" s="208">
        <v>0</v>
      </c>
      <c r="AB263" s="208">
        <v>0</v>
      </c>
      <c r="AC263" s="208">
        <v>0</v>
      </c>
      <c r="AD263" s="208">
        <v>0</v>
      </c>
      <c r="AE263" s="208">
        <v>0</v>
      </c>
      <c r="AF263" s="208">
        <v>0</v>
      </c>
      <c r="AG263" s="208">
        <v>0</v>
      </c>
      <c r="AH263" s="208">
        <v>0</v>
      </c>
      <c r="AI263" s="208">
        <v>0</v>
      </c>
      <c r="AJ263" s="208">
        <v>0</v>
      </c>
      <c r="AK263" s="208">
        <v>0</v>
      </c>
      <c r="AL263" s="208">
        <v>0</v>
      </c>
      <c r="AM263" s="208">
        <v>0</v>
      </c>
      <c r="AN263" s="208">
        <v>0</v>
      </c>
      <c r="AO263" s="208">
        <v>0</v>
      </c>
      <c r="AP263" s="208">
        <v>0</v>
      </c>
      <c r="AQ263" s="208">
        <v>0</v>
      </c>
      <c r="AR263" s="208">
        <v>0</v>
      </c>
      <c r="AS263" s="208">
        <v>0</v>
      </c>
      <c r="AT263" s="208">
        <v>0</v>
      </c>
      <c r="AU263" s="208">
        <v>0</v>
      </c>
      <c r="AV263" s="208">
        <v>0</v>
      </c>
      <c r="AW263" s="208">
        <v>0</v>
      </c>
      <c r="AX263" s="208">
        <v>0</v>
      </c>
      <c r="AY263" s="208">
        <v>0</v>
      </c>
      <c r="AZ263" s="208">
        <v>0</v>
      </c>
      <c r="BA263" s="208">
        <v>0</v>
      </c>
      <c r="BB263" s="208">
        <v>0</v>
      </c>
      <c r="BC263" s="208">
        <v>0</v>
      </c>
      <c r="BD263" s="208">
        <v>0</v>
      </c>
      <c r="BE263" s="208">
        <v>0</v>
      </c>
      <c r="BF263" s="208">
        <v>0</v>
      </c>
      <c r="BG263" s="208">
        <v>0</v>
      </c>
      <c r="BH263" s="208">
        <v>0</v>
      </c>
      <c r="BI263" s="208">
        <v>0</v>
      </c>
      <c r="BJ263" s="208">
        <v>0</v>
      </c>
      <c r="BK263" s="208">
        <v>0</v>
      </c>
      <c r="BL263" s="208">
        <v>0</v>
      </c>
      <c r="BM263" s="208">
        <v>0</v>
      </c>
      <c r="BN263" s="208">
        <v>0</v>
      </c>
      <c r="BO263" s="208">
        <v>975390.80775666703</v>
      </c>
      <c r="BP263" s="208">
        <v>219462.93174525001</v>
      </c>
      <c r="BQ263" s="208">
        <v>24384.770193916665</v>
      </c>
      <c r="BR263" s="208">
        <v>39424</v>
      </c>
      <c r="BS263" s="208">
        <v>8870</v>
      </c>
      <c r="BT263" s="208">
        <v>986</v>
      </c>
      <c r="BU263" s="208">
        <v>916290</v>
      </c>
      <c r="BV263" s="208">
        <v>206165</v>
      </c>
      <c r="BW263" s="208">
        <v>22907</v>
      </c>
      <c r="BX263" s="208">
        <v>98525</v>
      </c>
      <c r="BY263" s="208">
        <v>22168</v>
      </c>
      <c r="BZ263" s="208">
        <v>2464</v>
      </c>
      <c r="CA263" s="208">
        <v>0</v>
      </c>
      <c r="CB263" s="208">
        <v>0</v>
      </c>
      <c r="CC263" s="208">
        <v>0</v>
      </c>
      <c r="CD263" s="208">
        <v>0</v>
      </c>
      <c r="CE263" s="208">
        <v>0</v>
      </c>
      <c r="CF263" s="208">
        <v>0</v>
      </c>
      <c r="CG263" s="208">
        <v>0</v>
      </c>
      <c r="CH263" s="208">
        <v>0</v>
      </c>
      <c r="CI263" s="208">
        <v>0</v>
      </c>
      <c r="CJ263" s="208">
        <v>0</v>
      </c>
      <c r="CK263" s="208">
        <v>0</v>
      </c>
      <c r="CL263" s="208">
        <v>0</v>
      </c>
      <c r="CM263" s="208">
        <v>0</v>
      </c>
      <c r="CN263" s="208">
        <v>0</v>
      </c>
      <c r="CO263" s="208">
        <v>0</v>
      </c>
      <c r="CP263" s="208">
        <v>-227.49666666666667</v>
      </c>
      <c r="CQ263" s="208">
        <v>-51.186749999999996</v>
      </c>
      <c r="CR263" s="208">
        <v>-5.6874166666666666</v>
      </c>
      <c r="CS263" s="208">
        <v>0</v>
      </c>
      <c r="CT263" s="208">
        <v>0</v>
      </c>
      <c r="CU263" s="208">
        <v>0</v>
      </c>
      <c r="CV263" s="208">
        <v>0</v>
      </c>
      <c r="CW263" s="208">
        <v>0</v>
      </c>
      <c r="CX263" s="208">
        <v>0</v>
      </c>
      <c r="CY263" s="208">
        <v>0</v>
      </c>
      <c r="CZ263" s="208">
        <v>0</v>
      </c>
      <c r="DA263" s="208">
        <v>0</v>
      </c>
      <c r="DB263" s="208">
        <v>0</v>
      </c>
      <c r="DC263" s="208">
        <v>0</v>
      </c>
      <c r="DD263" s="208">
        <v>0</v>
      </c>
      <c r="DE263" s="208">
        <v>4099.8500000000004</v>
      </c>
      <c r="DF263" s="208">
        <v>922.46624999999995</v>
      </c>
      <c r="DG263" s="208">
        <v>102.49625</v>
      </c>
      <c r="DH263" s="208">
        <v>1348</v>
      </c>
      <c r="DI263" s="208">
        <v>304</v>
      </c>
      <c r="DJ263" s="208">
        <v>34</v>
      </c>
      <c r="DK263" s="208">
        <v>2752</v>
      </c>
      <c r="DL263" s="208">
        <v>618</v>
      </c>
      <c r="DM263" s="208">
        <v>68</v>
      </c>
      <c r="DN263" s="208">
        <v>0</v>
      </c>
      <c r="DO263" s="208">
        <v>0</v>
      </c>
      <c r="DP263" s="208">
        <v>0</v>
      </c>
      <c r="DQ263" s="208">
        <v>614</v>
      </c>
      <c r="DR263" s="208">
        <v>138</v>
      </c>
      <c r="DS263" s="208">
        <v>15</v>
      </c>
      <c r="DT263" s="208">
        <v>-614</v>
      </c>
      <c r="DU263" s="208">
        <v>-138</v>
      </c>
      <c r="DV263" s="208">
        <v>-15</v>
      </c>
      <c r="DW263" s="208">
        <v>28342.156666666669</v>
      </c>
      <c r="DX263" s="208">
        <v>6376.9852499999997</v>
      </c>
      <c r="DY263" s="208">
        <v>708.55391666666674</v>
      </c>
      <c r="DZ263" s="208">
        <v>22450</v>
      </c>
      <c r="EA263" s="208">
        <v>5051</v>
      </c>
      <c r="EB263" s="208">
        <v>561</v>
      </c>
      <c r="EC263" s="208">
        <v>5892</v>
      </c>
      <c r="ED263" s="208">
        <v>1326</v>
      </c>
      <c r="EE263" s="208">
        <v>148</v>
      </c>
      <c r="EF263" s="208">
        <v>41597.520000000004</v>
      </c>
      <c r="EG263" s="208">
        <v>9359.4419999999991</v>
      </c>
      <c r="EH263" s="208">
        <v>1039.9380000000001</v>
      </c>
      <c r="EI263" s="208">
        <v>-4039.2933333333335</v>
      </c>
      <c r="EJ263" s="208">
        <v>-908.84100000000001</v>
      </c>
      <c r="EK263" s="208">
        <v>-100.98233333333334</v>
      </c>
      <c r="EL263" s="208">
        <v>66695</v>
      </c>
      <c r="EM263" s="208">
        <v>15006</v>
      </c>
      <c r="EN263" s="208">
        <v>1667</v>
      </c>
      <c r="EO263" s="208">
        <v>-29137</v>
      </c>
      <c r="EP263" s="208">
        <v>-6555</v>
      </c>
      <c r="EQ263" s="208">
        <v>-728</v>
      </c>
      <c r="ER263" s="208">
        <v>22196.882500000003</v>
      </c>
      <c r="ES263" s="208">
        <v>4994.2985625000001</v>
      </c>
      <c r="ET263" s="208">
        <v>554.92206250000004</v>
      </c>
      <c r="EU263" s="208">
        <v>23932</v>
      </c>
      <c r="EV263" s="208">
        <v>5385</v>
      </c>
      <c r="EW263" s="208">
        <v>598</v>
      </c>
      <c r="EX263" s="208">
        <v>-1735</v>
      </c>
      <c r="EY263" s="208">
        <v>-391</v>
      </c>
      <c r="EZ263" s="208">
        <v>-43</v>
      </c>
      <c r="FA263" s="208">
        <v>0</v>
      </c>
      <c r="FB263" s="208">
        <v>0</v>
      </c>
      <c r="FC263" s="208">
        <v>0</v>
      </c>
      <c r="FD263" s="208">
        <v>0</v>
      </c>
      <c r="FE263" s="208">
        <v>0</v>
      </c>
      <c r="FF263" s="208">
        <v>0</v>
      </c>
      <c r="FG263" s="208">
        <v>0</v>
      </c>
      <c r="FH263" s="208">
        <v>0</v>
      </c>
      <c r="FI263" s="208">
        <v>0</v>
      </c>
      <c r="FJ263" s="208">
        <v>179604.5625</v>
      </c>
      <c r="FK263" s="208">
        <v>40411.026562499996</v>
      </c>
      <c r="FL263" s="208">
        <v>4490.1140624999998</v>
      </c>
      <c r="FM263" s="208">
        <v>184228</v>
      </c>
      <c r="FN263" s="208">
        <v>41451</v>
      </c>
      <c r="FO263" s="208">
        <v>4606</v>
      </c>
      <c r="FP263" s="208">
        <v>-4623</v>
      </c>
      <c r="FQ263" s="208">
        <v>-1040</v>
      </c>
      <c r="FR263" s="208">
        <v>-116</v>
      </c>
      <c r="FS263" s="208">
        <v>0</v>
      </c>
      <c r="FT263" s="208">
        <v>0</v>
      </c>
      <c r="FU263" s="208">
        <v>0</v>
      </c>
      <c r="FV263" s="208">
        <v>0</v>
      </c>
      <c r="FW263" s="208">
        <v>0</v>
      </c>
      <c r="FX263" s="208">
        <v>0</v>
      </c>
      <c r="FY263" s="208">
        <v>0</v>
      </c>
      <c r="FZ263" s="208">
        <v>0</v>
      </c>
      <c r="GA263" s="208">
        <v>0</v>
      </c>
      <c r="GB263" s="208">
        <v>1286391</v>
      </c>
      <c r="GC263" s="208">
        <v>289436</v>
      </c>
      <c r="GD263" s="208">
        <v>32160</v>
      </c>
      <c r="GE263" s="664">
        <v>0.5</v>
      </c>
      <c r="GF263" s="664">
        <v>0.4</v>
      </c>
      <c r="GG263" s="664">
        <v>0.09</v>
      </c>
      <c r="GH263" s="664">
        <v>0.01</v>
      </c>
      <c r="GI263" s="187" t="s">
        <v>1054</v>
      </c>
    </row>
    <row r="264" spans="1:191" s="187" customFormat="1" x14ac:dyDescent="0.2">
      <c r="A264" s="188"/>
      <c r="B264" s="429" t="s">
        <v>606</v>
      </c>
      <c r="C264" s="429" t="s">
        <v>605</v>
      </c>
      <c r="D264" s="208">
        <v>-1624660</v>
      </c>
      <c r="E264" s="208">
        <v>0</v>
      </c>
      <c r="F264" s="208">
        <v>-1624660</v>
      </c>
      <c r="G264" s="208">
        <v>-1369218</v>
      </c>
      <c r="H264" s="208">
        <v>0</v>
      </c>
      <c r="I264" s="208">
        <v>-1369218</v>
      </c>
      <c r="J264" s="208">
        <v>-255442</v>
      </c>
      <c r="K264" s="208">
        <v>0</v>
      </c>
      <c r="L264" s="208">
        <v>-255442</v>
      </c>
      <c r="M264" s="208">
        <v>107068</v>
      </c>
      <c r="N264" s="208">
        <v>107068</v>
      </c>
      <c r="O264" s="208">
        <v>0</v>
      </c>
      <c r="P264" s="208">
        <v>0</v>
      </c>
      <c r="Q264" s="208">
        <v>0</v>
      </c>
      <c r="R264" s="208">
        <v>0</v>
      </c>
      <c r="S264" s="208">
        <v>0</v>
      </c>
      <c r="T264" s="208">
        <v>0</v>
      </c>
      <c r="U264" s="208">
        <v>0</v>
      </c>
      <c r="V264" s="208">
        <v>0</v>
      </c>
      <c r="W264" s="208">
        <v>0</v>
      </c>
      <c r="X264" s="208">
        <v>0</v>
      </c>
      <c r="Y264" s="208">
        <v>0</v>
      </c>
      <c r="Z264" s="208">
        <v>0</v>
      </c>
      <c r="AA264" s="208">
        <v>0</v>
      </c>
      <c r="AB264" s="208">
        <v>0</v>
      </c>
      <c r="AC264" s="208">
        <v>0</v>
      </c>
      <c r="AD264" s="208">
        <v>0</v>
      </c>
      <c r="AE264" s="208">
        <v>0</v>
      </c>
      <c r="AF264" s="208">
        <v>0</v>
      </c>
      <c r="AG264" s="208">
        <v>0</v>
      </c>
      <c r="AH264" s="208">
        <v>0</v>
      </c>
      <c r="AI264" s="208">
        <v>0</v>
      </c>
      <c r="AJ264" s="208">
        <v>0</v>
      </c>
      <c r="AK264" s="208">
        <v>0</v>
      </c>
      <c r="AL264" s="208">
        <v>0</v>
      </c>
      <c r="AM264" s="208">
        <v>0</v>
      </c>
      <c r="AN264" s="208">
        <v>0</v>
      </c>
      <c r="AO264" s="208">
        <v>0</v>
      </c>
      <c r="AP264" s="208">
        <v>0</v>
      </c>
      <c r="AQ264" s="208">
        <v>0</v>
      </c>
      <c r="AR264" s="208">
        <v>0</v>
      </c>
      <c r="AS264" s="208">
        <v>0</v>
      </c>
      <c r="AT264" s="208">
        <v>0</v>
      </c>
      <c r="AU264" s="208">
        <v>0</v>
      </c>
      <c r="AV264" s="208">
        <v>0</v>
      </c>
      <c r="AW264" s="208">
        <v>0</v>
      </c>
      <c r="AX264" s="208">
        <v>0</v>
      </c>
      <c r="AY264" s="208">
        <v>0</v>
      </c>
      <c r="AZ264" s="208">
        <v>0</v>
      </c>
      <c r="BA264" s="208">
        <v>0</v>
      </c>
      <c r="BB264" s="208">
        <v>0</v>
      </c>
      <c r="BC264" s="208">
        <v>0</v>
      </c>
      <c r="BD264" s="208">
        <v>0</v>
      </c>
      <c r="BE264" s="208">
        <v>0</v>
      </c>
      <c r="BF264" s="208">
        <v>0</v>
      </c>
      <c r="BG264" s="208">
        <v>0</v>
      </c>
      <c r="BH264" s="208">
        <v>0</v>
      </c>
      <c r="BI264" s="208">
        <v>0</v>
      </c>
      <c r="BJ264" s="208">
        <v>0</v>
      </c>
      <c r="BK264" s="208">
        <v>0</v>
      </c>
      <c r="BL264" s="208">
        <v>0</v>
      </c>
      <c r="BM264" s="208">
        <v>0</v>
      </c>
      <c r="BN264" s="208">
        <v>0</v>
      </c>
      <c r="BO264" s="208">
        <v>583516.87303666666</v>
      </c>
      <c r="BP264" s="208">
        <v>145879.21825916666</v>
      </c>
      <c r="BQ264" s="208">
        <v>0</v>
      </c>
      <c r="BR264" s="208">
        <v>61040</v>
      </c>
      <c r="BS264" s="208">
        <v>15260</v>
      </c>
      <c r="BT264" s="208">
        <v>0</v>
      </c>
      <c r="BU264" s="208">
        <v>534068</v>
      </c>
      <c r="BV264" s="208">
        <v>133517</v>
      </c>
      <c r="BW264" s="208">
        <v>0</v>
      </c>
      <c r="BX264" s="208">
        <v>110489</v>
      </c>
      <c r="BY264" s="208">
        <v>27622</v>
      </c>
      <c r="BZ264" s="208">
        <v>0</v>
      </c>
      <c r="CA264" s="208">
        <v>0</v>
      </c>
      <c r="CB264" s="208">
        <v>0</v>
      </c>
      <c r="CC264" s="208">
        <v>0</v>
      </c>
      <c r="CD264" s="208">
        <v>0</v>
      </c>
      <c r="CE264" s="208">
        <v>0</v>
      </c>
      <c r="CF264" s="208">
        <v>0</v>
      </c>
      <c r="CG264" s="208">
        <v>0</v>
      </c>
      <c r="CH264" s="208">
        <v>0</v>
      </c>
      <c r="CI264" s="208">
        <v>0</v>
      </c>
      <c r="CJ264" s="208">
        <v>0</v>
      </c>
      <c r="CK264" s="208">
        <v>0</v>
      </c>
      <c r="CL264" s="208">
        <v>0</v>
      </c>
      <c r="CM264" s="208">
        <v>0</v>
      </c>
      <c r="CN264" s="208">
        <v>0</v>
      </c>
      <c r="CO264" s="208">
        <v>0</v>
      </c>
      <c r="CP264" s="208">
        <v>0</v>
      </c>
      <c r="CQ264" s="208">
        <v>0</v>
      </c>
      <c r="CR264" s="208">
        <v>0</v>
      </c>
      <c r="CS264" s="208">
        <v>0</v>
      </c>
      <c r="CT264" s="208">
        <v>0</v>
      </c>
      <c r="CU264" s="208">
        <v>0</v>
      </c>
      <c r="CV264" s="208">
        <v>0</v>
      </c>
      <c r="CW264" s="208">
        <v>0</v>
      </c>
      <c r="CX264" s="208">
        <v>0</v>
      </c>
      <c r="CY264" s="208">
        <v>0</v>
      </c>
      <c r="CZ264" s="208">
        <v>0</v>
      </c>
      <c r="DA264" s="208">
        <v>0</v>
      </c>
      <c r="DB264" s="208">
        <v>0</v>
      </c>
      <c r="DC264" s="208">
        <v>0</v>
      </c>
      <c r="DD264" s="208">
        <v>0</v>
      </c>
      <c r="DE264" s="208">
        <v>0</v>
      </c>
      <c r="DF264" s="208">
        <v>0</v>
      </c>
      <c r="DG264" s="208">
        <v>0</v>
      </c>
      <c r="DH264" s="208">
        <v>0</v>
      </c>
      <c r="DI264" s="208">
        <v>0</v>
      </c>
      <c r="DJ264" s="208">
        <v>0</v>
      </c>
      <c r="DK264" s="208">
        <v>0</v>
      </c>
      <c r="DL264" s="208">
        <v>0</v>
      </c>
      <c r="DM264" s="208">
        <v>0</v>
      </c>
      <c r="DN264" s="208">
        <v>0</v>
      </c>
      <c r="DO264" s="208">
        <v>0</v>
      </c>
      <c r="DP264" s="208">
        <v>0</v>
      </c>
      <c r="DQ264" s="208">
        <v>0</v>
      </c>
      <c r="DR264" s="208">
        <v>0</v>
      </c>
      <c r="DS264" s="208">
        <v>0</v>
      </c>
      <c r="DT264" s="208">
        <v>0</v>
      </c>
      <c r="DU264" s="208">
        <v>0</v>
      </c>
      <c r="DV264" s="208">
        <v>0</v>
      </c>
      <c r="DW264" s="208">
        <v>862.93250000000012</v>
      </c>
      <c r="DX264" s="208">
        <v>215.73312500000003</v>
      </c>
      <c r="DY264" s="208">
        <v>0</v>
      </c>
      <c r="DZ264" s="208">
        <v>1088</v>
      </c>
      <c r="EA264" s="208">
        <v>272</v>
      </c>
      <c r="EB264" s="208">
        <v>0</v>
      </c>
      <c r="EC264" s="208">
        <v>-225</v>
      </c>
      <c r="ED264" s="208">
        <v>-56</v>
      </c>
      <c r="EE264" s="208">
        <v>0</v>
      </c>
      <c r="EF264" s="208">
        <v>14730</v>
      </c>
      <c r="EG264" s="208">
        <v>3682.5</v>
      </c>
      <c r="EH264" s="208">
        <v>0</v>
      </c>
      <c r="EI264" s="208">
        <v>0</v>
      </c>
      <c r="EJ264" s="208">
        <v>0</v>
      </c>
      <c r="EK264" s="208">
        <v>0</v>
      </c>
      <c r="EL264" s="208">
        <v>14730</v>
      </c>
      <c r="EM264" s="208">
        <v>3683</v>
      </c>
      <c r="EN264" s="208">
        <v>0</v>
      </c>
      <c r="EO264" s="208">
        <v>0</v>
      </c>
      <c r="EP264" s="208">
        <v>-1</v>
      </c>
      <c r="EQ264" s="208">
        <v>0</v>
      </c>
      <c r="ER264" s="208">
        <v>5775.3875000000007</v>
      </c>
      <c r="ES264" s="208">
        <v>1443.8468750000002</v>
      </c>
      <c r="ET264" s="208">
        <v>0</v>
      </c>
      <c r="EU264" s="208">
        <v>5319</v>
      </c>
      <c r="EV264" s="208">
        <v>1330</v>
      </c>
      <c r="EW264" s="208">
        <v>0</v>
      </c>
      <c r="EX264" s="208">
        <v>456</v>
      </c>
      <c r="EY264" s="208">
        <v>114</v>
      </c>
      <c r="EZ264" s="208">
        <v>0</v>
      </c>
      <c r="FA264" s="208">
        <v>0</v>
      </c>
      <c r="FB264" s="208">
        <v>0</v>
      </c>
      <c r="FC264" s="208">
        <v>0</v>
      </c>
      <c r="FD264" s="208">
        <v>0</v>
      </c>
      <c r="FE264" s="208">
        <v>0</v>
      </c>
      <c r="FF264" s="208">
        <v>0</v>
      </c>
      <c r="FG264" s="208">
        <v>0</v>
      </c>
      <c r="FH264" s="208">
        <v>0</v>
      </c>
      <c r="FI264" s="208">
        <v>0</v>
      </c>
      <c r="FJ264" s="208">
        <v>400077.33333333331</v>
      </c>
      <c r="FK264" s="208">
        <v>100019.33333333333</v>
      </c>
      <c r="FL264" s="208">
        <v>0</v>
      </c>
      <c r="FM264" s="208">
        <v>400657</v>
      </c>
      <c r="FN264" s="208">
        <v>100164</v>
      </c>
      <c r="FO264" s="208">
        <v>0</v>
      </c>
      <c r="FP264" s="208">
        <v>-580</v>
      </c>
      <c r="FQ264" s="208">
        <v>-145</v>
      </c>
      <c r="FR264" s="208">
        <v>0</v>
      </c>
      <c r="FS264" s="208">
        <v>0</v>
      </c>
      <c r="FT264" s="208">
        <v>0</v>
      </c>
      <c r="FU264" s="208">
        <v>0</v>
      </c>
      <c r="FV264" s="208">
        <v>0</v>
      </c>
      <c r="FW264" s="208">
        <v>0</v>
      </c>
      <c r="FX264" s="208">
        <v>0</v>
      </c>
      <c r="FY264" s="208">
        <v>0</v>
      </c>
      <c r="FZ264" s="208">
        <v>0</v>
      </c>
      <c r="GA264" s="208">
        <v>0</v>
      </c>
      <c r="GB264" s="208">
        <v>1066002</v>
      </c>
      <c r="GC264" s="208">
        <v>266501</v>
      </c>
      <c r="GD264" s="208">
        <v>0</v>
      </c>
      <c r="GE264" s="664">
        <v>0.5</v>
      </c>
      <c r="GF264" s="664">
        <v>0.4</v>
      </c>
      <c r="GG264" s="664">
        <v>0.1</v>
      </c>
      <c r="GH264" s="664">
        <v>0</v>
      </c>
      <c r="GI264" s="187" t="s">
        <v>1054</v>
      </c>
    </row>
    <row r="265" spans="1:191" s="187" customFormat="1" x14ac:dyDescent="0.2">
      <c r="B265" s="429" t="s">
        <v>608</v>
      </c>
      <c r="C265" s="429" t="s">
        <v>607</v>
      </c>
      <c r="D265" s="208">
        <v>-4724744</v>
      </c>
      <c r="E265" s="208">
        <v>0</v>
      </c>
      <c r="F265" s="208">
        <v>-4724744</v>
      </c>
      <c r="G265" s="208">
        <v>-5102398</v>
      </c>
      <c r="H265" s="208">
        <v>0</v>
      </c>
      <c r="I265" s="208">
        <v>-5102398</v>
      </c>
      <c r="J265" s="208">
        <v>377654</v>
      </c>
      <c r="K265" s="208">
        <v>0</v>
      </c>
      <c r="L265" s="208">
        <v>377654</v>
      </c>
      <c r="M265" s="208">
        <v>429558</v>
      </c>
      <c r="N265" s="208">
        <v>429558</v>
      </c>
      <c r="O265" s="208">
        <v>0</v>
      </c>
      <c r="P265" s="208">
        <v>0</v>
      </c>
      <c r="Q265" s="208">
        <v>0</v>
      </c>
      <c r="R265" s="208">
        <v>0</v>
      </c>
      <c r="S265" s="208">
        <v>0</v>
      </c>
      <c r="T265" s="208">
        <v>0</v>
      </c>
      <c r="U265" s="208">
        <v>0</v>
      </c>
      <c r="V265" s="208">
        <v>0</v>
      </c>
      <c r="W265" s="208">
        <v>0</v>
      </c>
      <c r="X265" s="208">
        <v>0</v>
      </c>
      <c r="Y265" s="208">
        <v>0</v>
      </c>
      <c r="Z265" s="208">
        <v>0</v>
      </c>
      <c r="AA265" s="208">
        <v>0</v>
      </c>
      <c r="AB265" s="208">
        <v>0</v>
      </c>
      <c r="AC265" s="208">
        <v>0</v>
      </c>
      <c r="AD265" s="208">
        <v>0</v>
      </c>
      <c r="AE265" s="208">
        <v>0</v>
      </c>
      <c r="AF265" s="208">
        <v>0</v>
      </c>
      <c r="AG265" s="208">
        <v>0</v>
      </c>
      <c r="AH265" s="208">
        <v>0</v>
      </c>
      <c r="AI265" s="208">
        <v>0</v>
      </c>
      <c r="AJ265" s="208">
        <v>0</v>
      </c>
      <c r="AK265" s="208">
        <v>0</v>
      </c>
      <c r="AL265" s="208">
        <v>0</v>
      </c>
      <c r="AM265" s="208">
        <v>0</v>
      </c>
      <c r="AN265" s="208">
        <v>0</v>
      </c>
      <c r="AO265" s="208">
        <v>0</v>
      </c>
      <c r="AP265" s="208">
        <v>0</v>
      </c>
      <c r="AQ265" s="208">
        <v>0</v>
      </c>
      <c r="AR265" s="208">
        <v>0</v>
      </c>
      <c r="AS265" s="208">
        <v>0</v>
      </c>
      <c r="AT265" s="208">
        <v>0</v>
      </c>
      <c r="AU265" s="208">
        <v>0</v>
      </c>
      <c r="AV265" s="208">
        <v>0</v>
      </c>
      <c r="AW265" s="208">
        <v>0</v>
      </c>
      <c r="AX265" s="208">
        <v>0</v>
      </c>
      <c r="AY265" s="208">
        <v>0</v>
      </c>
      <c r="AZ265" s="208">
        <v>0</v>
      </c>
      <c r="BA265" s="208">
        <v>0</v>
      </c>
      <c r="BB265" s="208">
        <v>0</v>
      </c>
      <c r="BC265" s="208">
        <v>0</v>
      </c>
      <c r="BD265" s="208">
        <v>0</v>
      </c>
      <c r="BE265" s="208">
        <v>0</v>
      </c>
      <c r="BF265" s="208">
        <v>0</v>
      </c>
      <c r="BG265" s="208">
        <v>0</v>
      </c>
      <c r="BH265" s="208">
        <v>0</v>
      </c>
      <c r="BI265" s="208">
        <v>0</v>
      </c>
      <c r="BJ265" s="208">
        <v>0</v>
      </c>
      <c r="BK265" s="208">
        <v>0</v>
      </c>
      <c r="BL265" s="208">
        <v>0</v>
      </c>
      <c r="BM265" s="208">
        <v>0</v>
      </c>
      <c r="BN265" s="208">
        <v>0</v>
      </c>
      <c r="BO265" s="208">
        <v>7911331.7446267512</v>
      </c>
      <c r="BP265" s="208">
        <v>0</v>
      </c>
      <c r="BQ265" s="208">
        <v>79912.441864916676</v>
      </c>
      <c r="BR265" s="208">
        <v>460039</v>
      </c>
      <c r="BS265" s="208">
        <v>0</v>
      </c>
      <c r="BT265" s="208">
        <v>4647</v>
      </c>
      <c r="BU265" s="208">
        <v>7609476</v>
      </c>
      <c r="BV265" s="208">
        <v>0</v>
      </c>
      <c r="BW265" s="208">
        <v>76863</v>
      </c>
      <c r="BX265" s="208">
        <v>761895</v>
      </c>
      <c r="BY265" s="208">
        <v>0</v>
      </c>
      <c r="BZ265" s="208">
        <v>7696</v>
      </c>
      <c r="CA265" s="208">
        <v>38276.549437499998</v>
      </c>
      <c r="CB265" s="208">
        <v>0</v>
      </c>
      <c r="CC265" s="208">
        <v>386.63181249999997</v>
      </c>
      <c r="CD265" s="208">
        <v>38251</v>
      </c>
      <c r="CE265" s="208">
        <v>0</v>
      </c>
      <c r="CF265" s="208">
        <v>386</v>
      </c>
      <c r="CG265" s="208">
        <v>26</v>
      </c>
      <c r="CH265" s="208">
        <v>0</v>
      </c>
      <c r="CI265" s="208">
        <v>1</v>
      </c>
      <c r="CJ265" s="208">
        <v>0</v>
      </c>
      <c r="CK265" s="208">
        <v>0</v>
      </c>
      <c r="CL265" s="208">
        <v>0</v>
      </c>
      <c r="CM265" s="208">
        <v>2762.6115</v>
      </c>
      <c r="CN265" s="208">
        <v>0</v>
      </c>
      <c r="CO265" s="208">
        <v>27.90516666666667</v>
      </c>
      <c r="CP265" s="208">
        <v>0</v>
      </c>
      <c r="CQ265" s="208">
        <v>0</v>
      </c>
      <c r="CR265" s="208">
        <v>0</v>
      </c>
      <c r="CS265" s="208">
        <v>0</v>
      </c>
      <c r="CT265" s="208">
        <v>0</v>
      </c>
      <c r="CU265" s="208">
        <v>0</v>
      </c>
      <c r="CV265" s="208">
        <v>0</v>
      </c>
      <c r="CW265" s="208">
        <v>0</v>
      </c>
      <c r="CX265" s="208">
        <v>0</v>
      </c>
      <c r="CY265" s="208">
        <v>0</v>
      </c>
      <c r="CZ265" s="208">
        <v>0</v>
      </c>
      <c r="DA265" s="208">
        <v>0</v>
      </c>
      <c r="DB265" s="208">
        <v>0</v>
      </c>
      <c r="DC265" s="208">
        <v>0</v>
      </c>
      <c r="DD265" s="208">
        <v>0</v>
      </c>
      <c r="DE265" s="208">
        <v>0</v>
      </c>
      <c r="DF265" s="208">
        <v>0</v>
      </c>
      <c r="DG265" s="208">
        <v>0</v>
      </c>
      <c r="DH265" s="208">
        <v>0</v>
      </c>
      <c r="DI265" s="208">
        <v>0</v>
      </c>
      <c r="DJ265" s="208">
        <v>0</v>
      </c>
      <c r="DK265" s="208">
        <v>0</v>
      </c>
      <c r="DL265" s="208">
        <v>0</v>
      </c>
      <c r="DM265" s="208">
        <v>0</v>
      </c>
      <c r="DN265" s="208">
        <v>0</v>
      </c>
      <c r="DO265" s="208">
        <v>0</v>
      </c>
      <c r="DP265" s="208">
        <v>0</v>
      </c>
      <c r="DQ265" s="208">
        <v>0</v>
      </c>
      <c r="DR265" s="208">
        <v>0</v>
      </c>
      <c r="DS265" s="208">
        <v>0</v>
      </c>
      <c r="DT265" s="208">
        <v>0</v>
      </c>
      <c r="DU265" s="208">
        <v>0</v>
      </c>
      <c r="DV265" s="208">
        <v>0</v>
      </c>
      <c r="DW265" s="208">
        <v>18381.290812499999</v>
      </c>
      <c r="DX265" s="208">
        <v>0</v>
      </c>
      <c r="DY265" s="208">
        <v>185.66960416666666</v>
      </c>
      <c r="DZ265" s="208">
        <v>31733</v>
      </c>
      <c r="EA265" s="208">
        <v>0</v>
      </c>
      <c r="EB265" s="208">
        <v>321</v>
      </c>
      <c r="EC265" s="208">
        <v>-13352</v>
      </c>
      <c r="ED265" s="208">
        <v>0</v>
      </c>
      <c r="EE265" s="208">
        <v>-135</v>
      </c>
      <c r="EF265" s="208">
        <v>165249.33356249999</v>
      </c>
      <c r="EG265" s="208">
        <v>0</v>
      </c>
      <c r="EH265" s="208">
        <v>1669.1851875</v>
      </c>
      <c r="EI265" s="208">
        <v>-1165.6033124999999</v>
      </c>
      <c r="EJ265" s="208">
        <v>0</v>
      </c>
      <c r="EK265" s="208">
        <v>-11.773770833333334</v>
      </c>
      <c r="EL265" s="208">
        <v>165699</v>
      </c>
      <c r="EM265" s="208">
        <v>0</v>
      </c>
      <c r="EN265" s="208">
        <v>1674</v>
      </c>
      <c r="EO265" s="208">
        <v>-1615</v>
      </c>
      <c r="EP265" s="208">
        <v>0</v>
      </c>
      <c r="EQ265" s="208">
        <v>-17</v>
      </c>
      <c r="ER265" s="208">
        <v>73067.428499999995</v>
      </c>
      <c r="ES265" s="208">
        <v>0</v>
      </c>
      <c r="ET265" s="208">
        <v>738.05483333333336</v>
      </c>
      <c r="EU265" s="208">
        <v>104791</v>
      </c>
      <c r="EV265" s="208">
        <v>0</v>
      </c>
      <c r="EW265" s="208">
        <v>1059</v>
      </c>
      <c r="EX265" s="208">
        <v>-31724</v>
      </c>
      <c r="EY265" s="208">
        <v>0</v>
      </c>
      <c r="EZ265" s="208">
        <v>-321</v>
      </c>
      <c r="FA265" s="208">
        <v>0</v>
      </c>
      <c r="FB265" s="208">
        <v>0</v>
      </c>
      <c r="FC265" s="208">
        <v>0</v>
      </c>
      <c r="FD265" s="208">
        <v>0</v>
      </c>
      <c r="FE265" s="208">
        <v>0</v>
      </c>
      <c r="FF265" s="208">
        <v>0</v>
      </c>
      <c r="FG265" s="208">
        <v>0</v>
      </c>
      <c r="FH265" s="208">
        <v>0</v>
      </c>
      <c r="FI265" s="208">
        <v>0</v>
      </c>
      <c r="FJ265" s="208">
        <v>1863637.0994999998</v>
      </c>
      <c r="FK265" s="208">
        <v>0</v>
      </c>
      <c r="FL265" s="208">
        <v>18824.617166666663</v>
      </c>
      <c r="FM265" s="208">
        <v>1836259</v>
      </c>
      <c r="FN265" s="208">
        <v>0</v>
      </c>
      <c r="FO265" s="208">
        <v>18548</v>
      </c>
      <c r="FP265" s="208">
        <v>27378</v>
      </c>
      <c r="FQ265" s="208">
        <v>0</v>
      </c>
      <c r="FR265" s="208">
        <v>277</v>
      </c>
      <c r="FS265" s="208">
        <v>0</v>
      </c>
      <c r="FT265" s="208">
        <v>0</v>
      </c>
      <c r="FU265" s="208">
        <v>0</v>
      </c>
      <c r="FV265" s="208">
        <v>0</v>
      </c>
      <c r="FW265" s="208">
        <v>0</v>
      </c>
      <c r="FX265" s="208">
        <v>0</v>
      </c>
      <c r="FY265" s="208">
        <v>0</v>
      </c>
      <c r="FZ265" s="208">
        <v>0</v>
      </c>
      <c r="GA265" s="208">
        <v>0</v>
      </c>
      <c r="GB265" s="208">
        <v>10531579</v>
      </c>
      <c r="GC265" s="208">
        <v>0</v>
      </c>
      <c r="GD265" s="208">
        <v>106380</v>
      </c>
      <c r="GE265" s="664">
        <v>0</v>
      </c>
      <c r="GF265" s="664">
        <v>0.99</v>
      </c>
      <c r="GG265" s="664">
        <v>0</v>
      </c>
      <c r="GH265" s="664">
        <v>0.01</v>
      </c>
      <c r="GI265" s="187" t="s">
        <v>1056</v>
      </c>
    </row>
    <row r="266" spans="1:191" s="187" customFormat="1" x14ac:dyDescent="0.2">
      <c r="B266" s="429" t="s">
        <v>610</v>
      </c>
      <c r="C266" s="429" t="s">
        <v>609</v>
      </c>
      <c r="D266" s="208">
        <v>-2255491</v>
      </c>
      <c r="E266" s="208">
        <v>-54836</v>
      </c>
      <c r="F266" s="208">
        <v>-2310327</v>
      </c>
      <c r="G266" s="208">
        <v>-2483174</v>
      </c>
      <c r="H266" s="208">
        <v>-57725</v>
      </c>
      <c r="I266" s="208">
        <v>-2540899</v>
      </c>
      <c r="J266" s="208">
        <v>227683</v>
      </c>
      <c r="K266" s="208">
        <v>2889</v>
      </c>
      <c r="L266" s="208">
        <v>230572</v>
      </c>
      <c r="M266" s="208">
        <v>241023</v>
      </c>
      <c r="N266" s="208">
        <v>241023</v>
      </c>
      <c r="O266" s="208">
        <v>0</v>
      </c>
      <c r="P266" s="208">
        <v>115024</v>
      </c>
      <c r="Q266" s="208">
        <v>158884</v>
      </c>
      <c r="R266" s="208">
        <v>-43860</v>
      </c>
      <c r="S266" s="208">
        <v>110533</v>
      </c>
      <c r="T266" s="208">
        <v>0</v>
      </c>
      <c r="U266" s="208">
        <v>97299</v>
      </c>
      <c r="V266" s="208">
        <v>0</v>
      </c>
      <c r="W266" s="208">
        <v>13234</v>
      </c>
      <c r="X266" s="208">
        <v>0</v>
      </c>
      <c r="Y266" s="208">
        <v>0</v>
      </c>
      <c r="Z266" s="208">
        <v>0</v>
      </c>
      <c r="AA266" s="208">
        <v>0</v>
      </c>
      <c r="AB266" s="208">
        <v>0</v>
      </c>
      <c r="AC266" s="208">
        <v>0</v>
      </c>
      <c r="AD266" s="208">
        <v>0</v>
      </c>
      <c r="AE266" s="208">
        <v>0</v>
      </c>
      <c r="AF266" s="208">
        <v>0</v>
      </c>
      <c r="AG266" s="208">
        <v>0</v>
      </c>
      <c r="AH266" s="208">
        <v>83480</v>
      </c>
      <c r="AI266" s="208">
        <v>83019.885979166676</v>
      </c>
      <c r="AJ266" s="208">
        <v>0</v>
      </c>
      <c r="AK266" s="208">
        <v>459.83172916666672</v>
      </c>
      <c r="AL266" s="208">
        <v>28844</v>
      </c>
      <c r="AM266" s="208">
        <v>28321</v>
      </c>
      <c r="AN266" s="208">
        <v>0</v>
      </c>
      <c r="AO266" s="208">
        <v>523</v>
      </c>
      <c r="AP266" s="208">
        <v>54636</v>
      </c>
      <c r="AQ266" s="208">
        <v>54699</v>
      </c>
      <c r="AR266" s="208">
        <v>0</v>
      </c>
      <c r="AS266" s="208">
        <v>-63</v>
      </c>
      <c r="AT266" s="208">
        <v>24196</v>
      </c>
      <c r="AU266" s="208">
        <v>23712.079999999998</v>
      </c>
      <c r="AV266" s="208">
        <v>0</v>
      </c>
      <c r="AW266" s="208">
        <v>483.92</v>
      </c>
      <c r="AX266" s="208">
        <v>0</v>
      </c>
      <c r="AY266" s="208">
        <v>0</v>
      </c>
      <c r="AZ266" s="208">
        <v>0</v>
      </c>
      <c r="BA266" s="208">
        <v>0</v>
      </c>
      <c r="BB266" s="208">
        <v>24196</v>
      </c>
      <c r="BC266" s="208">
        <v>23712</v>
      </c>
      <c r="BD266" s="208">
        <v>0</v>
      </c>
      <c r="BE266" s="208">
        <v>484</v>
      </c>
      <c r="BF266" s="208">
        <v>0</v>
      </c>
      <c r="BG266" s="208">
        <v>0</v>
      </c>
      <c r="BH266" s="208">
        <v>0</v>
      </c>
      <c r="BI266" s="208">
        <v>0</v>
      </c>
      <c r="BJ266" s="208">
        <v>0</v>
      </c>
      <c r="BK266" s="208">
        <v>0</v>
      </c>
      <c r="BL266" s="208">
        <v>23712</v>
      </c>
      <c r="BM266" s="208">
        <v>0</v>
      </c>
      <c r="BN266" s="208">
        <v>484</v>
      </c>
      <c r="BO266" s="208">
        <v>1699579.9096521458</v>
      </c>
      <c r="BP266" s="208">
        <v>0</v>
      </c>
      <c r="BQ266" s="208">
        <v>33468.717505145833</v>
      </c>
      <c r="BR266" s="208">
        <v>146527</v>
      </c>
      <c r="BS266" s="208">
        <v>0</v>
      </c>
      <c r="BT266" s="208">
        <v>2959</v>
      </c>
      <c r="BU266" s="208">
        <v>1566871</v>
      </c>
      <c r="BV266" s="208">
        <v>0</v>
      </c>
      <c r="BW266" s="208">
        <v>31454</v>
      </c>
      <c r="BX266" s="208">
        <v>279236</v>
      </c>
      <c r="BY266" s="208">
        <v>0</v>
      </c>
      <c r="BZ266" s="208">
        <v>4974</v>
      </c>
      <c r="CA266" s="208">
        <v>0</v>
      </c>
      <c r="CB266" s="208">
        <v>0</v>
      </c>
      <c r="CC266" s="208">
        <v>0</v>
      </c>
      <c r="CD266" s="208">
        <v>0</v>
      </c>
      <c r="CE266" s="208">
        <v>0</v>
      </c>
      <c r="CF266" s="208">
        <v>0</v>
      </c>
      <c r="CG266" s="208">
        <v>0</v>
      </c>
      <c r="CH266" s="208">
        <v>0</v>
      </c>
      <c r="CI266" s="208">
        <v>0</v>
      </c>
      <c r="CJ266" s="208">
        <v>0</v>
      </c>
      <c r="CK266" s="208">
        <v>0</v>
      </c>
      <c r="CL266" s="208">
        <v>0</v>
      </c>
      <c r="CM266" s="208">
        <v>0</v>
      </c>
      <c r="CN266" s="208">
        <v>0</v>
      </c>
      <c r="CO266" s="208">
        <v>0</v>
      </c>
      <c r="CP266" s="208">
        <v>-1907.6782083333333</v>
      </c>
      <c r="CQ266" s="208">
        <v>0</v>
      </c>
      <c r="CR266" s="208">
        <v>-38.932208333333335</v>
      </c>
      <c r="CS266" s="208">
        <v>0</v>
      </c>
      <c r="CT266" s="208">
        <v>0</v>
      </c>
      <c r="CU266" s="208">
        <v>0</v>
      </c>
      <c r="CV266" s="208">
        <v>0</v>
      </c>
      <c r="CW266" s="208">
        <v>0</v>
      </c>
      <c r="CX266" s="208">
        <v>0</v>
      </c>
      <c r="CY266" s="208">
        <v>0</v>
      </c>
      <c r="CZ266" s="208">
        <v>0</v>
      </c>
      <c r="DA266" s="208">
        <v>0</v>
      </c>
      <c r="DB266" s="208">
        <v>0</v>
      </c>
      <c r="DC266" s="208">
        <v>0</v>
      </c>
      <c r="DD266" s="208">
        <v>0</v>
      </c>
      <c r="DE266" s="208">
        <v>4509.5588124999995</v>
      </c>
      <c r="DF266" s="208">
        <v>0</v>
      </c>
      <c r="DG266" s="208">
        <v>92.031812500000001</v>
      </c>
      <c r="DH266" s="208">
        <v>4510</v>
      </c>
      <c r="DI266" s="208">
        <v>0</v>
      </c>
      <c r="DJ266" s="208">
        <v>92</v>
      </c>
      <c r="DK266" s="208">
        <v>0</v>
      </c>
      <c r="DL266" s="208">
        <v>0</v>
      </c>
      <c r="DM266" s="208">
        <v>0</v>
      </c>
      <c r="DN266" s="208">
        <v>0</v>
      </c>
      <c r="DO266" s="208">
        <v>0</v>
      </c>
      <c r="DP266" s="208">
        <v>0</v>
      </c>
      <c r="DQ266" s="208">
        <v>0</v>
      </c>
      <c r="DR266" s="208">
        <v>0</v>
      </c>
      <c r="DS266" s="208">
        <v>0</v>
      </c>
      <c r="DT266" s="208">
        <v>0</v>
      </c>
      <c r="DU266" s="208">
        <v>0</v>
      </c>
      <c r="DV266" s="208">
        <v>0</v>
      </c>
      <c r="DW266" s="208">
        <v>11034.560104166667</v>
      </c>
      <c r="DX266" s="208">
        <v>0</v>
      </c>
      <c r="DY266" s="208">
        <v>225.19510416666668</v>
      </c>
      <c r="DZ266" s="208">
        <v>12530</v>
      </c>
      <c r="EA266" s="208">
        <v>0</v>
      </c>
      <c r="EB266" s="208">
        <v>256</v>
      </c>
      <c r="EC266" s="208">
        <v>-1495</v>
      </c>
      <c r="ED266" s="208">
        <v>0</v>
      </c>
      <c r="EE266" s="208">
        <v>-31</v>
      </c>
      <c r="EF266" s="208">
        <v>57979.182625000001</v>
      </c>
      <c r="EG266" s="208">
        <v>0</v>
      </c>
      <c r="EH266" s="208">
        <v>1183.2486249999999</v>
      </c>
      <c r="EI266" s="208">
        <v>-3953.1944374999998</v>
      </c>
      <c r="EJ266" s="208">
        <v>0</v>
      </c>
      <c r="EK266" s="208">
        <v>-80.677437499999996</v>
      </c>
      <c r="EL266" s="208">
        <v>58644</v>
      </c>
      <c r="EM266" s="208">
        <v>0</v>
      </c>
      <c r="EN266" s="208">
        <v>1197</v>
      </c>
      <c r="EO266" s="208">
        <v>-4618</v>
      </c>
      <c r="EP266" s="208">
        <v>0</v>
      </c>
      <c r="EQ266" s="208">
        <v>-94</v>
      </c>
      <c r="ER266" s="208">
        <v>32878.127187500002</v>
      </c>
      <c r="ES266" s="208">
        <v>0</v>
      </c>
      <c r="ET266" s="208">
        <v>670.98218750000012</v>
      </c>
      <c r="EU266" s="208">
        <v>37592</v>
      </c>
      <c r="EV266" s="208">
        <v>0</v>
      </c>
      <c r="EW266" s="208">
        <v>767</v>
      </c>
      <c r="EX266" s="208">
        <v>-4714</v>
      </c>
      <c r="EY266" s="208">
        <v>0</v>
      </c>
      <c r="EZ266" s="208">
        <v>-96</v>
      </c>
      <c r="FA266" s="208">
        <v>0</v>
      </c>
      <c r="FB266" s="208">
        <v>0</v>
      </c>
      <c r="FC266" s="208">
        <v>0</v>
      </c>
      <c r="FD266" s="208">
        <v>0</v>
      </c>
      <c r="FE266" s="208">
        <v>0</v>
      </c>
      <c r="FF266" s="208">
        <v>0</v>
      </c>
      <c r="FG266" s="208">
        <v>0</v>
      </c>
      <c r="FH266" s="208">
        <v>0</v>
      </c>
      <c r="FI266" s="208">
        <v>0</v>
      </c>
      <c r="FJ266" s="208">
        <v>887182.21395833336</v>
      </c>
      <c r="FK266" s="208">
        <v>0</v>
      </c>
      <c r="FL266" s="208">
        <v>18000.269375</v>
      </c>
      <c r="FM266" s="208">
        <v>889697</v>
      </c>
      <c r="FN266" s="208">
        <v>0</v>
      </c>
      <c r="FO266" s="208">
        <v>18036</v>
      </c>
      <c r="FP266" s="208">
        <v>-2515</v>
      </c>
      <c r="FQ266" s="208">
        <v>0</v>
      </c>
      <c r="FR266" s="208">
        <v>-36</v>
      </c>
      <c r="FS266" s="208">
        <v>0</v>
      </c>
      <c r="FT266" s="208">
        <v>0</v>
      </c>
      <c r="FU266" s="208">
        <v>0</v>
      </c>
      <c r="FV266" s="208">
        <v>0</v>
      </c>
      <c r="FW266" s="208">
        <v>0</v>
      </c>
      <c r="FX266" s="208">
        <v>0</v>
      </c>
      <c r="FY266" s="208">
        <v>0</v>
      </c>
      <c r="FZ266" s="208">
        <v>0</v>
      </c>
      <c r="GA266" s="208">
        <v>0</v>
      </c>
      <c r="GB266" s="208">
        <v>2833830</v>
      </c>
      <c r="GC266" s="208">
        <v>0</v>
      </c>
      <c r="GD266" s="208">
        <v>56479</v>
      </c>
      <c r="GE266" s="664">
        <v>0.5</v>
      </c>
      <c r="GF266" s="664">
        <v>0.49</v>
      </c>
      <c r="GG266" s="664">
        <v>0</v>
      </c>
      <c r="GH266" s="664">
        <v>0.01</v>
      </c>
      <c r="GI266" s="187" t="s">
        <v>742</v>
      </c>
    </row>
    <row r="267" spans="1:191" s="187" customFormat="1" x14ac:dyDescent="0.2">
      <c r="B267" s="429" t="s">
        <v>612</v>
      </c>
      <c r="C267" s="429" t="s">
        <v>611</v>
      </c>
      <c r="D267" s="208">
        <v>80135</v>
      </c>
      <c r="E267" s="208">
        <v>4555</v>
      </c>
      <c r="F267" s="208">
        <v>84690</v>
      </c>
      <c r="G267" s="208">
        <v>-484049</v>
      </c>
      <c r="H267" s="208">
        <v>0</v>
      </c>
      <c r="I267" s="208">
        <v>-484049</v>
      </c>
      <c r="J267" s="208">
        <v>564184</v>
      </c>
      <c r="K267" s="208">
        <v>4555</v>
      </c>
      <c r="L267" s="208">
        <v>568739</v>
      </c>
      <c r="M267" s="208">
        <v>358822</v>
      </c>
      <c r="N267" s="208">
        <v>358822</v>
      </c>
      <c r="O267" s="208">
        <v>0</v>
      </c>
      <c r="P267" s="208">
        <v>504668</v>
      </c>
      <c r="Q267" s="208">
        <v>427337</v>
      </c>
      <c r="R267" s="208">
        <v>77331</v>
      </c>
      <c r="S267" s="208">
        <v>0</v>
      </c>
      <c r="T267" s="208">
        <v>0</v>
      </c>
      <c r="U267" s="208">
        <v>0</v>
      </c>
      <c r="V267" s="208">
        <v>0</v>
      </c>
      <c r="W267" s="208">
        <v>0</v>
      </c>
      <c r="X267" s="208">
        <v>0</v>
      </c>
      <c r="Y267" s="208">
        <v>0</v>
      </c>
      <c r="Z267" s="208">
        <v>0</v>
      </c>
      <c r="AA267" s="208">
        <v>0</v>
      </c>
      <c r="AB267" s="208">
        <v>0</v>
      </c>
      <c r="AC267" s="208">
        <v>0</v>
      </c>
      <c r="AD267" s="208">
        <v>0</v>
      </c>
      <c r="AE267" s="208">
        <v>0</v>
      </c>
      <c r="AF267" s="208">
        <v>0</v>
      </c>
      <c r="AG267" s="208">
        <v>0</v>
      </c>
      <c r="AH267" s="208">
        <v>67071</v>
      </c>
      <c r="AI267" s="208">
        <v>67070.600000000006</v>
      </c>
      <c r="AJ267" s="208">
        <v>0</v>
      </c>
      <c r="AK267" s="208">
        <v>0</v>
      </c>
      <c r="AL267" s="208">
        <v>0</v>
      </c>
      <c r="AM267" s="208">
        <v>0</v>
      </c>
      <c r="AN267" s="208">
        <v>0</v>
      </c>
      <c r="AO267" s="208">
        <v>0</v>
      </c>
      <c r="AP267" s="208">
        <v>67071</v>
      </c>
      <c r="AQ267" s="208">
        <v>67071</v>
      </c>
      <c r="AR267" s="208">
        <v>0</v>
      </c>
      <c r="AS267" s="208">
        <v>0</v>
      </c>
      <c r="AT267" s="208">
        <v>0</v>
      </c>
      <c r="AU267" s="208">
        <v>0</v>
      </c>
      <c r="AV267" s="208">
        <v>0</v>
      </c>
      <c r="AW267" s="208">
        <v>0</v>
      </c>
      <c r="AX267" s="208">
        <v>0</v>
      </c>
      <c r="AY267" s="208">
        <v>0</v>
      </c>
      <c r="AZ267" s="208">
        <v>0</v>
      </c>
      <c r="BA267" s="208">
        <v>0</v>
      </c>
      <c r="BB267" s="208">
        <v>0</v>
      </c>
      <c r="BC267" s="208">
        <v>0</v>
      </c>
      <c r="BD267" s="208">
        <v>0</v>
      </c>
      <c r="BE267" s="208">
        <v>0</v>
      </c>
      <c r="BF267" s="208">
        <v>0</v>
      </c>
      <c r="BG267" s="208">
        <v>0</v>
      </c>
      <c r="BH267" s="208">
        <v>0</v>
      </c>
      <c r="BI267" s="208">
        <v>0</v>
      </c>
      <c r="BJ267" s="208">
        <v>0</v>
      </c>
      <c r="BK267" s="208">
        <v>0</v>
      </c>
      <c r="BL267" s="208">
        <v>0</v>
      </c>
      <c r="BM267" s="208">
        <v>0</v>
      </c>
      <c r="BN267" s="208">
        <v>0</v>
      </c>
      <c r="BO267" s="208">
        <v>3346701.1636120845</v>
      </c>
      <c r="BP267" s="208">
        <v>0</v>
      </c>
      <c r="BQ267" s="208">
        <v>67657.609117083339</v>
      </c>
      <c r="BR267" s="208">
        <v>168206</v>
      </c>
      <c r="BS267" s="208">
        <v>0</v>
      </c>
      <c r="BT267" s="208">
        <v>3433</v>
      </c>
      <c r="BU267" s="208">
        <v>3016318</v>
      </c>
      <c r="BV267" s="208">
        <v>0</v>
      </c>
      <c r="BW267" s="208">
        <v>61558</v>
      </c>
      <c r="BX267" s="208">
        <v>498589</v>
      </c>
      <c r="BY267" s="208">
        <v>0</v>
      </c>
      <c r="BZ267" s="208">
        <v>9533</v>
      </c>
      <c r="CA267" s="208">
        <v>5058.4047500000006</v>
      </c>
      <c r="CB267" s="208">
        <v>0</v>
      </c>
      <c r="CC267" s="208">
        <v>103.23275</v>
      </c>
      <c r="CD267" s="208">
        <v>3634</v>
      </c>
      <c r="CE267" s="208">
        <v>0</v>
      </c>
      <c r="CF267" s="208">
        <v>74</v>
      </c>
      <c r="CG267" s="208">
        <v>1424</v>
      </c>
      <c r="CH267" s="208">
        <v>0</v>
      </c>
      <c r="CI267" s="208">
        <v>29</v>
      </c>
      <c r="CJ267" s="208">
        <v>-2328.7107083333335</v>
      </c>
      <c r="CK267" s="208">
        <v>0</v>
      </c>
      <c r="CL267" s="208">
        <v>-47.524708333333336</v>
      </c>
      <c r="CM267" s="208">
        <v>-3579.7787083333333</v>
      </c>
      <c r="CN267" s="208">
        <v>0</v>
      </c>
      <c r="CO267" s="208">
        <v>-73.056708333333333</v>
      </c>
      <c r="CP267" s="208">
        <v>-2449.5069374999998</v>
      </c>
      <c r="CQ267" s="208">
        <v>0</v>
      </c>
      <c r="CR267" s="208">
        <v>-49.989937499999996</v>
      </c>
      <c r="CS267" s="208">
        <v>0</v>
      </c>
      <c r="CT267" s="208">
        <v>0</v>
      </c>
      <c r="CU267" s="208">
        <v>0</v>
      </c>
      <c r="CV267" s="208">
        <v>0</v>
      </c>
      <c r="CW267" s="208">
        <v>0</v>
      </c>
      <c r="CX267" s="208">
        <v>0</v>
      </c>
      <c r="CY267" s="208">
        <v>0</v>
      </c>
      <c r="CZ267" s="208">
        <v>0</v>
      </c>
      <c r="DA267" s="208">
        <v>0</v>
      </c>
      <c r="DB267" s="208">
        <v>0</v>
      </c>
      <c r="DC267" s="208">
        <v>0</v>
      </c>
      <c r="DD267" s="208">
        <v>0</v>
      </c>
      <c r="DE267" s="208">
        <v>0</v>
      </c>
      <c r="DF267" s="208">
        <v>0</v>
      </c>
      <c r="DG267" s="208">
        <v>0</v>
      </c>
      <c r="DH267" s="208">
        <v>0</v>
      </c>
      <c r="DI267" s="208">
        <v>0</v>
      </c>
      <c r="DJ267" s="208">
        <v>0</v>
      </c>
      <c r="DK267" s="208">
        <v>0</v>
      </c>
      <c r="DL267" s="208">
        <v>0</v>
      </c>
      <c r="DM267" s="208">
        <v>0</v>
      </c>
      <c r="DN267" s="208">
        <v>751.84375</v>
      </c>
      <c r="DO267" s="208">
        <v>0</v>
      </c>
      <c r="DP267" s="208">
        <v>15.34375</v>
      </c>
      <c r="DQ267" s="208">
        <v>752</v>
      </c>
      <c r="DR267" s="208">
        <v>0</v>
      </c>
      <c r="DS267" s="208">
        <v>15</v>
      </c>
      <c r="DT267" s="208">
        <v>0</v>
      </c>
      <c r="DU267" s="208">
        <v>0</v>
      </c>
      <c r="DV267" s="208">
        <v>0</v>
      </c>
      <c r="DW267" s="208">
        <v>15018.329520833331</v>
      </c>
      <c r="DX267" s="208">
        <v>0</v>
      </c>
      <c r="DY267" s="208">
        <v>306.49652083333331</v>
      </c>
      <c r="DZ267" s="208">
        <v>15335</v>
      </c>
      <c r="EA267" s="208">
        <v>0</v>
      </c>
      <c r="EB267" s="208">
        <v>313</v>
      </c>
      <c r="EC267" s="208">
        <v>-317</v>
      </c>
      <c r="ED267" s="208">
        <v>0</v>
      </c>
      <c r="EE267" s="208">
        <v>-7</v>
      </c>
      <c r="EF267" s="208">
        <v>123555.41389583334</v>
      </c>
      <c r="EG267" s="208">
        <v>0</v>
      </c>
      <c r="EH267" s="208">
        <v>2487.8663125000003</v>
      </c>
      <c r="EI267" s="208">
        <v>20880.705854166667</v>
      </c>
      <c r="EJ267" s="208">
        <v>0</v>
      </c>
      <c r="EK267" s="208">
        <v>426.13685416666669</v>
      </c>
      <c r="EL267" s="208">
        <v>137337</v>
      </c>
      <c r="EM267" s="208">
        <v>0</v>
      </c>
      <c r="EN267" s="208">
        <v>2803</v>
      </c>
      <c r="EO267" s="208">
        <v>7099</v>
      </c>
      <c r="EP267" s="208">
        <v>0</v>
      </c>
      <c r="EQ267" s="208">
        <v>111</v>
      </c>
      <c r="ER267" s="208">
        <v>45106.113937499998</v>
      </c>
      <c r="ES267" s="208">
        <v>0</v>
      </c>
      <c r="ET267" s="208">
        <v>920.53293749999989</v>
      </c>
      <c r="EU267" s="208">
        <v>49697</v>
      </c>
      <c r="EV267" s="208">
        <v>0</v>
      </c>
      <c r="EW267" s="208">
        <v>1014</v>
      </c>
      <c r="EX267" s="208">
        <v>-4591</v>
      </c>
      <c r="EY267" s="208">
        <v>0</v>
      </c>
      <c r="EZ267" s="208">
        <v>-93</v>
      </c>
      <c r="FA267" s="208">
        <v>0</v>
      </c>
      <c r="FB267" s="208">
        <v>0</v>
      </c>
      <c r="FC267" s="208">
        <v>0</v>
      </c>
      <c r="FD267" s="208">
        <v>0</v>
      </c>
      <c r="FE267" s="208">
        <v>0</v>
      </c>
      <c r="FF267" s="208">
        <v>0</v>
      </c>
      <c r="FG267" s="208">
        <v>0</v>
      </c>
      <c r="FH267" s="208">
        <v>0</v>
      </c>
      <c r="FI267" s="208">
        <v>0</v>
      </c>
      <c r="FJ267" s="208">
        <v>1025619.3701874999</v>
      </c>
      <c r="FK267" s="208">
        <v>0</v>
      </c>
      <c r="FL267" s="208">
        <v>20694.980854166664</v>
      </c>
      <c r="FM267" s="208">
        <v>1053174</v>
      </c>
      <c r="FN267" s="208">
        <v>0</v>
      </c>
      <c r="FO267" s="208">
        <v>21293</v>
      </c>
      <c r="FP267" s="208">
        <v>-27555</v>
      </c>
      <c r="FQ267" s="208">
        <v>0</v>
      </c>
      <c r="FR267" s="208">
        <v>-598</v>
      </c>
      <c r="FS267" s="208">
        <v>0</v>
      </c>
      <c r="FT267" s="208">
        <v>0</v>
      </c>
      <c r="FU267" s="208">
        <v>0</v>
      </c>
      <c r="FV267" s="208">
        <v>0</v>
      </c>
      <c r="FW267" s="208">
        <v>0</v>
      </c>
      <c r="FX267" s="208">
        <v>0</v>
      </c>
      <c r="FY267" s="208">
        <v>0</v>
      </c>
      <c r="FZ267" s="208">
        <v>0</v>
      </c>
      <c r="GA267" s="208">
        <v>0</v>
      </c>
      <c r="GB267" s="208">
        <v>4742537</v>
      </c>
      <c r="GC267" s="208">
        <v>0</v>
      </c>
      <c r="GD267" s="208">
        <v>95874</v>
      </c>
      <c r="GE267" s="664">
        <v>0.5</v>
      </c>
      <c r="GF267" s="664">
        <v>0.49</v>
      </c>
      <c r="GG267" s="664">
        <v>0</v>
      </c>
      <c r="GH267" s="664">
        <v>0.01</v>
      </c>
      <c r="GI267" s="187" t="s">
        <v>742</v>
      </c>
    </row>
    <row r="268" spans="1:191" s="187" customFormat="1" x14ac:dyDescent="0.2">
      <c r="B268" s="429" t="s">
        <v>614</v>
      </c>
      <c r="C268" s="429" t="s">
        <v>613</v>
      </c>
      <c r="D268" s="208">
        <v>-102099</v>
      </c>
      <c r="E268" s="208">
        <v>0</v>
      </c>
      <c r="F268" s="208">
        <v>-102099</v>
      </c>
      <c r="G268" s="208">
        <v>-73302.959999999963</v>
      </c>
      <c r="H268" s="208">
        <v>0</v>
      </c>
      <c r="I268" s="208">
        <v>-73302.959999999963</v>
      </c>
      <c r="J268" s="208">
        <v>-28796.040000000037</v>
      </c>
      <c r="K268" s="208">
        <v>0</v>
      </c>
      <c r="L268" s="208">
        <v>-28796.040000000037</v>
      </c>
      <c r="M268" s="208">
        <v>218788</v>
      </c>
      <c r="N268" s="208">
        <v>218788</v>
      </c>
      <c r="O268" s="208">
        <v>0</v>
      </c>
      <c r="P268" s="208">
        <v>0</v>
      </c>
      <c r="Q268" s="208">
        <v>0</v>
      </c>
      <c r="R268" s="208">
        <v>0</v>
      </c>
      <c r="S268" s="208">
        <v>32846</v>
      </c>
      <c r="T268" s="208">
        <v>0</v>
      </c>
      <c r="U268" s="208">
        <v>32092</v>
      </c>
      <c r="V268" s="208">
        <v>0</v>
      </c>
      <c r="W268" s="208">
        <v>754</v>
      </c>
      <c r="X268" s="208">
        <v>0</v>
      </c>
      <c r="Y268" s="208">
        <v>0</v>
      </c>
      <c r="Z268" s="208">
        <v>0</v>
      </c>
      <c r="AA268" s="208">
        <v>0</v>
      </c>
      <c r="AB268" s="208">
        <v>0</v>
      </c>
      <c r="AC268" s="208">
        <v>0</v>
      </c>
      <c r="AD268" s="208">
        <v>0</v>
      </c>
      <c r="AE268" s="208">
        <v>0</v>
      </c>
      <c r="AF268" s="208">
        <v>0</v>
      </c>
      <c r="AG268" s="208">
        <v>0</v>
      </c>
      <c r="AH268" s="208">
        <v>0</v>
      </c>
      <c r="AI268" s="208">
        <v>0</v>
      </c>
      <c r="AJ268" s="208">
        <v>0</v>
      </c>
      <c r="AK268" s="208">
        <v>0</v>
      </c>
      <c r="AL268" s="208">
        <v>0</v>
      </c>
      <c r="AM268" s="208">
        <v>0</v>
      </c>
      <c r="AN268" s="208">
        <v>0</v>
      </c>
      <c r="AO268" s="208">
        <v>0</v>
      </c>
      <c r="AP268" s="208">
        <v>0</v>
      </c>
      <c r="AQ268" s="208">
        <v>0</v>
      </c>
      <c r="AR268" s="208">
        <v>0</v>
      </c>
      <c r="AS268" s="208">
        <v>0</v>
      </c>
      <c r="AT268" s="208">
        <v>0</v>
      </c>
      <c r="AU268" s="208">
        <v>0</v>
      </c>
      <c r="AV268" s="208">
        <v>0</v>
      </c>
      <c r="AW268" s="208">
        <v>0</v>
      </c>
      <c r="AX268" s="208">
        <v>0</v>
      </c>
      <c r="AY268" s="208">
        <v>0</v>
      </c>
      <c r="AZ268" s="208">
        <v>0</v>
      </c>
      <c r="BA268" s="208">
        <v>0</v>
      </c>
      <c r="BB268" s="208">
        <v>0</v>
      </c>
      <c r="BC268" s="208">
        <v>0</v>
      </c>
      <c r="BD268" s="208">
        <v>0</v>
      </c>
      <c r="BE268" s="208">
        <v>0</v>
      </c>
      <c r="BF268" s="208">
        <v>0</v>
      </c>
      <c r="BG268" s="208">
        <v>0</v>
      </c>
      <c r="BH268" s="208">
        <v>0</v>
      </c>
      <c r="BI268" s="208">
        <v>0</v>
      </c>
      <c r="BJ268" s="208">
        <v>0</v>
      </c>
      <c r="BK268" s="208">
        <v>0</v>
      </c>
      <c r="BL268" s="208">
        <v>0</v>
      </c>
      <c r="BM268" s="208">
        <v>0</v>
      </c>
      <c r="BN268" s="208">
        <v>0</v>
      </c>
      <c r="BO268" s="208">
        <v>1680450.7409641587</v>
      </c>
      <c r="BP268" s="208">
        <v>420112.68524103967</v>
      </c>
      <c r="BQ268" s="208">
        <v>0</v>
      </c>
      <c r="BR268" s="208">
        <v>127109</v>
      </c>
      <c r="BS268" s="208">
        <v>31777</v>
      </c>
      <c r="BT268" s="208">
        <v>0</v>
      </c>
      <c r="BU268" s="208">
        <v>1617872</v>
      </c>
      <c r="BV268" s="208">
        <v>404468</v>
      </c>
      <c r="BW268" s="208">
        <v>0</v>
      </c>
      <c r="BX268" s="208">
        <v>189688</v>
      </c>
      <c r="BY268" s="208">
        <v>47422</v>
      </c>
      <c r="BZ268" s="208">
        <v>0</v>
      </c>
      <c r="CA268" s="208">
        <v>0</v>
      </c>
      <c r="CB268" s="208">
        <v>0</v>
      </c>
      <c r="CC268" s="208">
        <v>0</v>
      </c>
      <c r="CD268" s="208">
        <v>0</v>
      </c>
      <c r="CE268" s="208">
        <v>0</v>
      </c>
      <c r="CF268" s="208">
        <v>0</v>
      </c>
      <c r="CG268" s="208">
        <v>0</v>
      </c>
      <c r="CH268" s="208">
        <v>0</v>
      </c>
      <c r="CI268" s="208">
        <v>0</v>
      </c>
      <c r="CJ268" s="208">
        <v>0</v>
      </c>
      <c r="CK268" s="208">
        <v>0</v>
      </c>
      <c r="CL268" s="208">
        <v>0</v>
      </c>
      <c r="CM268" s="208">
        <v>0</v>
      </c>
      <c r="CN268" s="208">
        <v>0</v>
      </c>
      <c r="CO268" s="208">
        <v>0</v>
      </c>
      <c r="CP268" s="208">
        <v>-583.56577500000003</v>
      </c>
      <c r="CQ268" s="208">
        <v>-145.89144375000001</v>
      </c>
      <c r="CR268" s="208">
        <v>0</v>
      </c>
      <c r="CS268" s="208">
        <v>0</v>
      </c>
      <c r="CT268" s="208">
        <v>0</v>
      </c>
      <c r="CU268" s="208">
        <v>0</v>
      </c>
      <c r="CV268" s="208">
        <v>0</v>
      </c>
      <c r="CW268" s="208">
        <v>0</v>
      </c>
      <c r="CX268" s="208">
        <v>0</v>
      </c>
      <c r="CY268" s="208">
        <v>0</v>
      </c>
      <c r="CZ268" s="208">
        <v>0</v>
      </c>
      <c r="DA268" s="208">
        <v>0</v>
      </c>
      <c r="DB268" s="208">
        <v>86.514200000000002</v>
      </c>
      <c r="DC268" s="208">
        <v>21.628550000000001</v>
      </c>
      <c r="DD268" s="208">
        <v>0</v>
      </c>
      <c r="DE268" s="208">
        <v>0</v>
      </c>
      <c r="DF268" s="208">
        <v>0</v>
      </c>
      <c r="DG268" s="208">
        <v>0</v>
      </c>
      <c r="DH268" s="208">
        <v>14047</v>
      </c>
      <c r="DI268" s="208">
        <v>3512</v>
      </c>
      <c r="DJ268" s="208">
        <v>0</v>
      </c>
      <c r="DK268" s="208">
        <v>-14047</v>
      </c>
      <c r="DL268" s="208">
        <v>-3512</v>
      </c>
      <c r="DM268" s="208">
        <v>0</v>
      </c>
      <c r="DN268" s="208">
        <v>613.75</v>
      </c>
      <c r="DO268" s="208">
        <v>153.4375</v>
      </c>
      <c r="DP268" s="208">
        <v>0</v>
      </c>
      <c r="DQ268" s="208">
        <v>1227</v>
      </c>
      <c r="DR268" s="208">
        <v>307</v>
      </c>
      <c r="DS268" s="208">
        <v>0</v>
      </c>
      <c r="DT268" s="208">
        <v>-613</v>
      </c>
      <c r="DU268" s="208">
        <v>-154</v>
      </c>
      <c r="DV268" s="208">
        <v>0</v>
      </c>
      <c r="DW268" s="208">
        <v>9802.2053416666677</v>
      </c>
      <c r="DX268" s="208">
        <v>2450.5513354166669</v>
      </c>
      <c r="DY268" s="208">
        <v>0</v>
      </c>
      <c r="DZ268" s="208">
        <v>14047</v>
      </c>
      <c r="EA268" s="208">
        <v>3512</v>
      </c>
      <c r="EB268" s="208">
        <v>0</v>
      </c>
      <c r="EC268" s="208">
        <v>-4245</v>
      </c>
      <c r="ED268" s="208">
        <v>-1061</v>
      </c>
      <c r="EE268" s="208">
        <v>0</v>
      </c>
      <c r="EF268" s="208">
        <v>72864.277250000014</v>
      </c>
      <c r="EG268" s="208">
        <v>18216.069312500003</v>
      </c>
      <c r="EH268" s="208">
        <v>0</v>
      </c>
      <c r="EI268" s="208">
        <v>0</v>
      </c>
      <c r="EJ268" s="208">
        <v>0</v>
      </c>
      <c r="EK268" s="208">
        <v>0</v>
      </c>
      <c r="EL268" s="208">
        <v>75696</v>
      </c>
      <c r="EM268" s="208">
        <v>18924</v>
      </c>
      <c r="EN268" s="208">
        <v>0</v>
      </c>
      <c r="EO268" s="208">
        <v>-2832</v>
      </c>
      <c r="EP268" s="208">
        <v>-708</v>
      </c>
      <c r="EQ268" s="208">
        <v>0</v>
      </c>
      <c r="ER268" s="208">
        <v>30201.512291666666</v>
      </c>
      <c r="ES268" s="208">
        <v>7550.3780729166665</v>
      </c>
      <c r="ET268" s="208">
        <v>0</v>
      </c>
      <c r="EU268" s="208">
        <v>29178</v>
      </c>
      <c r="EV268" s="208">
        <v>7295</v>
      </c>
      <c r="EW268" s="208">
        <v>0</v>
      </c>
      <c r="EX268" s="208">
        <v>1024</v>
      </c>
      <c r="EY268" s="208">
        <v>255</v>
      </c>
      <c r="EZ268" s="208">
        <v>0</v>
      </c>
      <c r="FA268" s="208">
        <v>0</v>
      </c>
      <c r="FB268" s="208">
        <v>0</v>
      </c>
      <c r="FC268" s="208">
        <v>0</v>
      </c>
      <c r="FD268" s="208">
        <v>0</v>
      </c>
      <c r="FE268" s="208">
        <v>0</v>
      </c>
      <c r="FF268" s="208">
        <v>0</v>
      </c>
      <c r="FG268" s="208">
        <v>0</v>
      </c>
      <c r="FH268" s="208">
        <v>0</v>
      </c>
      <c r="FI268" s="208">
        <v>0</v>
      </c>
      <c r="FJ268" s="208">
        <v>475734.77031666663</v>
      </c>
      <c r="FK268" s="208">
        <v>118745.51237083333</v>
      </c>
      <c r="FL268" s="208">
        <v>0</v>
      </c>
      <c r="FM268" s="208">
        <v>522986</v>
      </c>
      <c r="FN268" s="208">
        <v>130563</v>
      </c>
      <c r="FO268" s="208">
        <v>0</v>
      </c>
      <c r="FP268" s="208">
        <v>-47251</v>
      </c>
      <c r="FQ268" s="208">
        <v>-11817</v>
      </c>
      <c r="FR268" s="208">
        <v>0</v>
      </c>
      <c r="FS268" s="208">
        <v>0</v>
      </c>
      <c r="FT268" s="208">
        <v>0</v>
      </c>
      <c r="FU268" s="208">
        <v>0</v>
      </c>
      <c r="FV268" s="208">
        <v>0</v>
      </c>
      <c r="FW268" s="208">
        <v>0</v>
      </c>
      <c r="FX268" s="208">
        <v>0</v>
      </c>
      <c r="FY268" s="208">
        <v>0</v>
      </c>
      <c r="FZ268" s="208">
        <v>0</v>
      </c>
      <c r="GA268" s="208">
        <v>0</v>
      </c>
      <c r="GB268" s="208">
        <v>2396280</v>
      </c>
      <c r="GC268" s="208">
        <v>598882</v>
      </c>
      <c r="GD268" s="208">
        <v>0</v>
      </c>
      <c r="GE268" s="664">
        <v>0.5</v>
      </c>
      <c r="GF268" s="664">
        <v>0.4</v>
      </c>
      <c r="GG268" s="664">
        <v>0.1</v>
      </c>
      <c r="GH268" s="664">
        <v>0</v>
      </c>
      <c r="GI268" s="187" t="s">
        <v>1054</v>
      </c>
    </row>
    <row r="269" spans="1:191" s="187" customFormat="1" x14ac:dyDescent="0.2">
      <c r="B269" s="429" t="s">
        <v>616</v>
      </c>
      <c r="C269" s="429" t="s">
        <v>615</v>
      </c>
      <c r="D269" s="208">
        <v>155400</v>
      </c>
      <c r="E269" s="208">
        <v>0</v>
      </c>
      <c r="F269" s="208">
        <v>155400</v>
      </c>
      <c r="G269" s="208">
        <v>276365</v>
      </c>
      <c r="H269" s="208">
        <v>0</v>
      </c>
      <c r="I269" s="208">
        <v>276365</v>
      </c>
      <c r="J269" s="208">
        <v>-120965</v>
      </c>
      <c r="K269" s="208">
        <v>0</v>
      </c>
      <c r="L269" s="208">
        <v>-120965</v>
      </c>
      <c r="M269" s="208">
        <v>156928</v>
      </c>
      <c r="N269" s="208">
        <v>156928</v>
      </c>
      <c r="O269" s="208">
        <v>0</v>
      </c>
      <c r="P269" s="208">
        <v>0</v>
      </c>
      <c r="Q269" s="208">
        <v>0</v>
      </c>
      <c r="R269" s="208">
        <v>0</v>
      </c>
      <c r="S269" s="208">
        <v>105970</v>
      </c>
      <c r="T269" s="208">
        <v>0</v>
      </c>
      <c r="U269" s="208">
        <v>102657</v>
      </c>
      <c r="V269" s="208">
        <v>0</v>
      </c>
      <c r="W269" s="208">
        <v>3313</v>
      </c>
      <c r="X269" s="208">
        <v>0</v>
      </c>
      <c r="Y269" s="208">
        <v>0</v>
      </c>
      <c r="Z269" s="208">
        <v>0</v>
      </c>
      <c r="AA269" s="208">
        <v>0</v>
      </c>
      <c r="AB269" s="208">
        <v>0</v>
      </c>
      <c r="AC269" s="208">
        <v>0</v>
      </c>
      <c r="AD269" s="208">
        <v>0</v>
      </c>
      <c r="AE269" s="208">
        <v>0</v>
      </c>
      <c r="AF269" s="208">
        <v>0</v>
      </c>
      <c r="AG269" s="208">
        <v>0</v>
      </c>
      <c r="AH269" s="208">
        <v>0</v>
      </c>
      <c r="AI269" s="208">
        <v>0</v>
      </c>
      <c r="AJ269" s="208">
        <v>0</v>
      </c>
      <c r="AK269" s="208">
        <v>0</v>
      </c>
      <c r="AL269" s="208">
        <v>0</v>
      </c>
      <c r="AM269" s="208">
        <v>0</v>
      </c>
      <c r="AN269" s="208">
        <v>0</v>
      </c>
      <c r="AO269" s="208">
        <v>0</v>
      </c>
      <c r="AP269" s="208">
        <v>0</v>
      </c>
      <c r="AQ269" s="208">
        <v>0</v>
      </c>
      <c r="AR269" s="208">
        <v>0</v>
      </c>
      <c r="AS269" s="208">
        <v>0</v>
      </c>
      <c r="AT269" s="208">
        <v>0</v>
      </c>
      <c r="AU269" s="208">
        <v>0</v>
      </c>
      <c r="AV269" s="208">
        <v>0</v>
      </c>
      <c r="AW269" s="208">
        <v>0</v>
      </c>
      <c r="AX269" s="208">
        <v>0</v>
      </c>
      <c r="AY269" s="208">
        <v>0</v>
      </c>
      <c r="AZ269" s="208">
        <v>0</v>
      </c>
      <c r="BA269" s="208">
        <v>0</v>
      </c>
      <c r="BB269" s="208">
        <v>0</v>
      </c>
      <c r="BC269" s="208">
        <v>0</v>
      </c>
      <c r="BD269" s="208">
        <v>0</v>
      </c>
      <c r="BE269" s="208">
        <v>0</v>
      </c>
      <c r="BF269" s="208">
        <v>0</v>
      </c>
      <c r="BG269" s="208">
        <v>0</v>
      </c>
      <c r="BH269" s="208">
        <v>0</v>
      </c>
      <c r="BI269" s="208">
        <v>0</v>
      </c>
      <c r="BJ269" s="208">
        <v>0</v>
      </c>
      <c r="BK269" s="208">
        <v>0</v>
      </c>
      <c r="BL269" s="208">
        <v>0</v>
      </c>
      <c r="BM269" s="208">
        <v>0</v>
      </c>
      <c r="BN269" s="208">
        <v>0</v>
      </c>
      <c r="BO269" s="208">
        <v>1474398.8661604167</v>
      </c>
      <c r="BP269" s="208">
        <v>1474398.8661604167</v>
      </c>
      <c r="BQ269" s="208">
        <v>0</v>
      </c>
      <c r="BR269" s="208">
        <v>59734</v>
      </c>
      <c r="BS269" s="208">
        <v>59734</v>
      </c>
      <c r="BT269" s="208">
        <v>0</v>
      </c>
      <c r="BU269" s="208">
        <v>1343761</v>
      </c>
      <c r="BV269" s="208">
        <v>1343762</v>
      </c>
      <c r="BW269" s="208">
        <v>0</v>
      </c>
      <c r="BX269" s="208">
        <v>190372</v>
      </c>
      <c r="BY269" s="208">
        <v>190371</v>
      </c>
      <c r="BZ269" s="208">
        <v>0</v>
      </c>
      <c r="CA269" s="208">
        <v>0</v>
      </c>
      <c r="CB269" s="208">
        <v>0</v>
      </c>
      <c r="CC269" s="208">
        <v>0</v>
      </c>
      <c r="CD269" s="208">
        <v>0</v>
      </c>
      <c r="CE269" s="208">
        <v>0</v>
      </c>
      <c r="CF269" s="208">
        <v>0</v>
      </c>
      <c r="CG269" s="208">
        <v>0</v>
      </c>
      <c r="CH269" s="208">
        <v>0</v>
      </c>
      <c r="CI269" s="208">
        <v>0</v>
      </c>
      <c r="CJ269" s="208">
        <v>0</v>
      </c>
      <c r="CK269" s="208">
        <v>0</v>
      </c>
      <c r="CL269" s="208">
        <v>0</v>
      </c>
      <c r="CM269" s="208">
        <v>0</v>
      </c>
      <c r="CN269" s="208">
        <v>0</v>
      </c>
      <c r="CO269" s="208">
        <v>0</v>
      </c>
      <c r="CP269" s="208">
        <v>-601.47500000000002</v>
      </c>
      <c r="CQ269" s="208">
        <v>-601.47500000000002</v>
      </c>
      <c r="CR269" s="208">
        <v>0</v>
      </c>
      <c r="CS269" s="208">
        <v>0</v>
      </c>
      <c r="CT269" s="208">
        <v>0</v>
      </c>
      <c r="CU269" s="208">
        <v>0</v>
      </c>
      <c r="CV269" s="208">
        <v>0</v>
      </c>
      <c r="CW269" s="208">
        <v>0</v>
      </c>
      <c r="CX269" s="208">
        <v>0</v>
      </c>
      <c r="CY269" s="208">
        <v>0</v>
      </c>
      <c r="CZ269" s="208">
        <v>0</v>
      </c>
      <c r="DA269" s="208">
        <v>0</v>
      </c>
      <c r="DB269" s="208">
        <v>0</v>
      </c>
      <c r="DC269" s="208">
        <v>0</v>
      </c>
      <c r="DD269" s="208">
        <v>0</v>
      </c>
      <c r="DE269" s="208">
        <v>16396.842708333334</v>
      </c>
      <c r="DF269" s="208">
        <v>16396.842708333334</v>
      </c>
      <c r="DG269" s="208">
        <v>0</v>
      </c>
      <c r="DH269" s="208">
        <v>16604</v>
      </c>
      <c r="DI269" s="208">
        <v>16604</v>
      </c>
      <c r="DJ269" s="208">
        <v>0</v>
      </c>
      <c r="DK269" s="208">
        <v>-207</v>
      </c>
      <c r="DL269" s="208">
        <v>-207</v>
      </c>
      <c r="DM269" s="208">
        <v>0</v>
      </c>
      <c r="DN269" s="208">
        <v>767.1875</v>
      </c>
      <c r="DO269" s="208">
        <v>767.1875</v>
      </c>
      <c r="DP269" s="208">
        <v>0</v>
      </c>
      <c r="DQ269" s="208">
        <v>767</v>
      </c>
      <c r="DR269" s="208">
        <v>767</v>
      </c>
      <c r="DS269" s="208">
        <v>0</v>
      </c>
      <c r="DT269" s="208">
        <v>0</v>
      </c>
      <c r="DU269" s="208">
        <v>0</v>
      </c>
      <c r="DV269" s="208">
        <v>0</v>
      </c>
      <c r="DW269" s="208">
        <v>13967.927083333334</v>
      </c>
      <c r="DX269" s="208">
        <v>13967.927083333334</v>
      </c>
      <c r="DY269" s="208">
        <v>0</v>
      </c>
      <c r="DZ269" s="208">
        <v>13324</v>
      </c>
      <c r="EA269" s="208">
        <v>13325</v>
      </c>
      <c r="EB269" s="208">
        <v>0</v>
      </c>
      <c r="EC269" s="208">
        <v>644</v>
      </c>
      <c r="ED269" s="208">
        <v>643</v>
      </c>
      <c r="EE269" s="208">
        <v>0</v>
      </c>
      <c r="EF269" s="208">
        <v>62329.892708333333</v>
      </c>
      <c r="EG269" s="208">
        <v>62329.892708333333</v>
      </c>
      <c r="EH269" s="208">
        <v>0</v>
      </c>
      <c r="EI269" s="208">
        <v>-3900.3812499999999</v>
      </c>
      <c r="EJ269" s="208">
        <v>-3900.3812499999999</v>
      </c>
      <c r="EK269" s="208">
        <v>0</v>
      </c>
      <c r="EL269" s="208">
        <v>62681</v>
      </c>
      <c r="EM269" s="208">
        <v>62681</v>
      </c>
      <c r="EN269" s="208">
        <v>0</v>
      </c>
      <c r="EO269" s="208">
        <v>-4251</v>
      </c>
      <c r="EP269" s="208">
        <v>-4251</v>
      </c>
      <c r="EQ269" s="208">
        <v>0</v>
      </c>
      <c r="ER269" s="208">
        <v>30789.791666666668</v>
      </c>
      <c r="ES269" s="208">
        <v>30789.791666666668</v>
      </c>
      <c r="ET269" s="208">
        <v>0</v>
      </c>
      <c r="EU269" s="208">
        <v>36313</v>
      </c>
      <c r="EV269" s="208">
        <v>36314</v>
      </c>
      <c r="EW269" s="208">
        <v>0</v>
      </c>
      <c r="EX269" s="208">
        <v>-5523</v>
      </c>
      <c r="EY269" s="208">
        <v>-5524</v>
      </c>
      <c r="EZ269" s="208">
        <v>0</v>
      </c>
      <c r="FA269" s="208">
        <v>0</v>
      </c>
      <c r="FB269" s="208">
        <v>0</v>
      </c>
      <c r="FC269" s="208">
        <v>0</v>
      </c>
      <c r="FD269" s="208">
        <v>0</v>
      </c>
      <c r="FE269" s="208">
        <v>0</v>
      </c>
      <c r="FF269" s="208">
        <v>0</v>
      </c>
      <c r="FG269" s="208">
        <v>0</v>
      </c>
      <c r="FH269" s="208">
        <v>0</v>
      </c>
      <c r="FI269" s="208">
        <v>0</v>
      </c>
      <c r="FJ269" s="208">
        <v>326536.40937499999</v>
      </c>
      <c r="FK269" s="208">
        <v>324107.9302083333</v>
      </c>
      <c r="FL269" s="208">
        <v>0</v>
      </c>
      <c r="FM269" s="208">
        <v>319737</v>
      </c>
      <c r="FN269" s="208">
        <v>317385</v>
      </c>
      <c r="FO269" s="208">
        <v>0</v>
      </c>
      <c r="FP269" s="208">
        <v>6799</v>
      </c>
      <c r="FQ269" s="208">
        <v>6723</v>
      </c>
      <c r="FR269" s="208">
        <v>0</v>
      </c>
      <c r="FS269" s="208">
        <v>0</v>
      </c>
      <c r="FT269" s="208">
        <v>0</v>
      </c>
      <c r="FU269" s="208">
        <v>0</v>
      </c>
      <c r="FV269" s="208">
        <v>0</v>
      </c>
      <c r="FW269" s="208">
        <v>0</v>
      </c>
      <c r="FX269" s="208">
        <v>0</v>
      </c>
      <c r="FY269" s="208">
        <v>0</v>
      </c>
      <c r="FZ269" s="208">
        <v>0</v>
      </c>
      <c r="GA269" s="208">
        <v>0</v>
      </c>
      <c r="GB269" s="208">
        <v>1980420</v>
      </c>
      <c r="GC269" s="208">
        <v>1977992</v>
      </c>
      <c r="GD269" s="208">
        <v>0</v>
      </c>
      <c r="GE269" s="664">
        <v>0</v>
      </c>
      <c r="GF269" s="664">
        <v>0.5</v>
      </c>
      <c r="GG269" s="664">
        <v>0.5</v>
      </c>
      <c r="GH269" s="664">
        <v>0</v>
      </c>
      <c r="GI269" s="187" t="s">
        <v>1054</v>
      </c>
    </row>
    <row r="270" spans="1:191" s="187" customFormat="1" x14ac:dyDescent="0.2">
      <c r="A270" s="187" t="s">
        <v>1817</v>
      </c>
      <c r="B270" s="429" t="s">
        <v>618</v>
      </c>
      <c r="C270" s="429" t="s">
        <v>617</v>
      </c>
      <c r="D270" s="208">
        <v>-6247032</v>
      </c>
      <c r="E270" s="208">
        <v>0</v>
      </c>
      <c r="F270" s="208">
        <v>-6247032</v>
      </c>
      <c r="G270" s="208">
        <v>-6221060</v>
      </c>
      <c r="H270" s="208">
        <v>0</v>
      </c>
      <c r="I270" s="208">
        <v>-6221060</v>
      </c>
      <c r="J270" s="208">
        <v>-25972</v>
      </c>
      <c r="K270" s="208">
        <v>0</v>
      </c>
      <c r="L270" s="208">
        <v>-25972</v>
      </c>
      <c r="M270" s="208">
        <v>266154</v>
      </c>
      <c r="N270" s="208">
        <v>266154</v>
      </c>
      <c r="O270" s="208">
        <v>0</v>
      </c>
      <c r="P270" s="208">
        <v>0</v>
      </c>
      <c r="Q270" s="208">
        <v>0</v>
      </c>
      <c r="R270" s="208">
        <v>0</v>
      </c>
      <c r="S270" s="208">
        <v>139065</v>
      </c>
      <c r="T270" s="208">
        <v>0</v>
      </c>
      <c r="U270" s="208">
        <v>124828</v>
      </c>
      <c r="V270" s="208">
        <v>0</v>
      </c>
      <c r="W270" s="208">
        <v>14237</v>
      </c>
      <c r="X270" s="208">
        <v>0</v>
      </c>
      <c r="Y270" s="208">
        <v>0</v>
      </c>
      <c r="Z270" s="208">
        <v>0</v>
      </c>
      <c r="AA270" s="208">
        <v>0</v>
      </c>
      <c r="AB270" s="208">
        <v>0</v>
      </c>
      <c r="AC270" s="208">
        <v>0</v>
      </c>
      <c r="AD270" s="208">
        <v>0</v>
      </c>
      <c r="AE270" s="208">
        <v>0</v>
      </c>
      <c r="AF270" s="208">
        <v>0</v>
      </c>
      <c r="AG270" s="208">
        <v>0</v>
      </c>
      <c r="AH270" s="208">
        <v>0</v>
      </c>
      <c r="AI270" s="208">
        <v>0</v>
      </c>
      <c r="AJ270" s="208">
        <v>0</v>
      </c>
      <c r="AK270" s="208">
        <v>0</v>
      </c>
      <c r="AL270" s="208">
        <v>0</v>
      </c>
      <c r="AM270" s="208">
        <v>0</v>
      </c>
      <c r="AN270" s="208">
        <v>0</v>
      </c>
      <c r="AO270" s="208">
        <v>0</v>
      </c>
      <c r="AP270" s="208">
        <v>0</v>
      </c>
      <c r="AQ270" s="208">
        <v>0</v>
      </c>
      <c r="AR270" s="208">
        <v>0</v>
      </c>
      <c r="AS270" s="208">
        <v>0</v>
      </c>
      <c r="AT270" s="208">
        <v>0</v>
      </c>
      <c r="AU270" s="208">
        <v>0</v>
      </c>
      <c r="AV270" s="208">
        <v>0</v>
      </c>
      <c r="AW270" s="208">
        <v>0</v>
      </c>
      <c r="AX270" s="208">
        <v>0</v>
      </c>
      <c r="AY270" s="208">
        <v>0</v>
      </c>
      <c r="AZ270" s="208">
        <v>0</v>
      </c>
      <c r="BA270" s="208">
        <v>0</v>
      </c>
      <c r="BB270" s="208">
        <v>0</v>
      </c>
      <c r="BC270" s="208">
        <v>0</v>
      </c>
      <c r="BD270" s="208">
        <v>0</v>
      </c>
      <c r="BE270" s="208">
        <v>0</v>
      </c>
      <c r="BF270" s="208">
        <v>0</v>
      </c>
      <c r="BG270" s="208">
        <v>0</v>
      </c>
      <c r="BH270" s="208">
        <v>0</v>
      </c>
      <c r="BI270" s="208">
        <v>0</v>
      </c>
      <c r="BJ270" s="208">
        <v>0</v>
      </c>
      <c r="BK270" s="208">
        <v>0</v>
      </c>
      <c r="BL270" s="208">
        <v>0</v>
      </c>
      <c r="BM270" s="208">
        <v>0</v>
      </c>
      <c r="BN270" s="208">
        <v>0</v>
      </c>
      <c r="BO270" s="208">
        <v>3075806.025156667</v>
      </c>
      <c r="BP270" s="208">
        <v>768951.50628916675</v>
      </c>
      <c r="BQ270" s="208">
        <v>0</v>
      </c>
      <c r="BR270" s="208">
        <v>155040</v>
      </c>
      <c r="BS270" s="208">
        <v>38760</v>
      </c>
      <c r="BT270" s="208">
        <v>0</v>
      </c>
      <c r="BU270" s="208">
        <v>2846726</v>
      </c>
      <c r="BV270" s="208">
        <v>711682</v>
      </c>
      <c r="BW270" s="208">
        <v>0</v>
      </c>
      <c r="BX270" s="208">
        <v>384120</v>
      </c>
      <c r="BY270" s="208">
        <v>96030</v>
      </c>
      <c r="BZ270" s="208">
        <v>0</v>
      </c>
      <c r="CA270" s="208">
        <v>-6886.2749999999996</v>
      </c>
      <c r="CB270" s="208">
        <v>-1721.5687499999999</v>
      </c>
      <c r="CC270" s="208">
        <v>0</v>
      </c>
      <c r="CD270" s="208">
        <v>5862</v>
      </c>
      <c r="CE270" s="208">
        <v>1466</v>
      </c>
      <c r="CF270" s="208">
        <v>0</v>
      </c>
      <c r="CG270" s="208">
        <v>-12748</v>
      </c>
      <c r="CH270" s="208">
        <v>-3188</v>
      </c>
      <c r="CI270" s="208">
        <v>0</v>
      </c>
      <c r="CJ270" s="208">
        <v>0</v>
      </c>
      <c r="CK270" s="208">
        <v>0</v>
      </c>
      <c r="CL270" s="208">
        <v>0</v>
      </c>
      <c r="CM270" s="208">
        <v>0</v>
      </c>
      <c r="CN270" s="208">
        <v>0</v>
      </c>
      <c r="CO270" s="208">
        <v>0</v>
      </c>
      <c r="CP270" s="208">
        <v>-3617.8516666666674</v>
      </c>
      <c r="CQ270" s="208">
        <v>-904.46291666666684</v>
      </c>
      <c r="CR270" s="208">
        <v>0</v>
      </c>
      <c r="CS270" s="208">
        <v>0</v>
      </c>
      <c r="CT270" s="208">
        <v>0</v>
      </c>
      <c r="CU270" s="208">
        <v>0</v>
      </c>
      <c r="CV270" s="208">
        <v>0</v>
      </c>
      <c r="CW270" s="208">
        <v>0</v>
      </c>
      <c r="CX270" s="208">
        <v>0</v>
      </c>
      <c r="CY270" s="208">
        <v>0</v>
      </c>
      <c r="CZ270" s="208">
        <v>0</v>
      </c>
      <c r="DA270" s="208">
        <v>0</v>
      </c>
      <c r="DB270" s="208">
        <v>-1896.0783333333334</v>
      </c>
      <c r="DC270" s="208">
        <v>-474.01958333333334</v>
      </c>
      <c r="DD270" s="208">
        <v>0</v>
      </c>
      <c r="DE270" s="208">
        <v>45639.268333333341</v>
      </c>
      <c r="DF270" s="208">
        <v>11409.817083333335</v>
      </c>
      <c r="DG270" s="208">
        <v>0</v>
      </c>
      <c r="DH270" s="208">
        <v>41190</v>
      </c>
      <c r="DI270" s="208">
        <v>10297</v>
      </c>
      <c r="DJ270" s="208">
        <v>0</v>
      </c>
      <c r="DK270" s="208">
        <v>4449</v>
      </c>
      <c r="DL270" s="208">
        <v>1113</v>
      </c>
      <c r="DM270" s="208">
        <v>0</v>
      </c>
      <c r="DN270" s="208">
        <v>0</v>
      </c>
      <c r="DO270" s="208">
        <v>0</v>
      </c>
      <c r="DP270" s="208">
        <v>0</v>
      </c>
      <c r="DQ270" s="208">
        <v>1227</v>
      </c>
      <c r="DR270" s="208">
        <v>307</v>
      </c>
      <c r="DS270" s="208">
        <v>0</v>
      </c>
      <c r="DT270" s="208">
        <v>-1227</v>
      </c>
      <c r="DU270" s="208">
        <v>-307</v>
      </c>
      <c r="DV270" s="208">
        <v>0</v>
      </c>
      <c r="DW270" s="208">
        <v>59230.148333333338</v>
      </c>
      <c r="DX270" s="208">
        <v>14807.537083333335</v>
      </c>
      <c r="DY270" s="208">
        <v>0</v>
      </c>
      <c r="DZ270" s="208">
        <v>61860</v>
      </c>
      <c r="EA270" s="208">
        <v>15465</v>
      </c>
      <c r="EB270" s="208">
        <v>0</v>
      </c>
      <c r="EC270" s="208">
        <v>-2630</v>
      </c>
      <c r="ED270" s="208">
        <v>-657</v>
      </c>
      <c r="EE270" s="208">
        <v>0</v>
      </c>
      <c r="EF270" s="208">
        <v>152017.69166666668</v>
      </c>
      <c r="EG270" s="208">
        <v>38004.42291666667</v>
      </c>
      <c r="EH270" s="208">
        <v>0</v>
      </c>
      <c r="EI270" s="208">
        <v>113783.52166666667</v>
      </c>
      <c r="EJ270" s="208">
        <v>28445.880416666667</v>
      </c>
      <c r="EK270" s="208">
        <v>0</v>
      </c>
      <c r="EL270" s="208">
        <v>161211</v>
      </c>
      <c r="EM270" s="208">
        <v>40303</v>
      </c>
      <c r="EN270" s="208">
        <v>0</v>
      </c>
      <c r="EO270" s="208">
        <v>104590</v>
      </c>
      <c r="EP270" s="208">
        <v>26147</v>
      </c>
      <c r="EQ270" s="208">
        <v>0</v>
      </c>
      <c r="ER270" s="208">
        <v>40319.283333333333</v>
      </c>
      <c r="ES270" s="208">
        <v>10079.820833333333</v>
      </c>
      <c r="ET270" s="208">
        <v>0</v>
      </c>
      <c r="EU270" s="208">
        <v>40748</v>
      </c>
      <c r="EV270" s="208">
        <v>10187</v>
      </c>
      <c r="EW270" s="208">
        <v>0</v>
      </c>
      <c r="EX270" s="208">
        <v>-429</v>
      </c>
      <c r="EY270" s="208">
        <v>-107</v>
      </c>
      <c r="EZ270" s="208">
        <v>0</v>
      </c>
      <c r="FA270" s="208">
        <v>0</v>
      </c>
      <c r="FB270" s="208">
        <v>0</v>
      </c>
      <c r="FC270" s="208">
        <v>0</v>
      </c>
      <c r="FD270" s="208">
        <v>0</v>
      </c>
      <c r="FE270" s="208">
        <v>0</v>
      </c>
      <c r="FF270" s="208">
        <v>0</v>
      </c>
      <c r="FG270" s="208">
        <v>0</v>
      </c>
      <c r="FH270" s="208">
        <v>0</v>
      </c>
      <c r="FI270" s="208">
        <v>0</v>
      </c>
      <c r="FJ270" s="208">
        <v>1200250.1179166667</v>
      </c>
      <c r="FK270" s="208">
        <v>299265.80291666667</v>
      </c>
      <c r="FL270" s="208">
        <v>0</v>
      </c>
      <c r="FM270" s="208">
        <v>1121776</v>
      </c>
      <c r="FN270" s="208">
        <v>279729</v>
      </c>
      <c r="FO270" s="208">
        <v>0</v>
      </c>
      <c r="FP270" s="208">
        <v>78474</v>
      </c>
      <c r="FQ270" s="208">
        <v>19537</v>
      </c>
      <c r="FR270" s="208">
        <v>0</v>
      </c>
      <c r="FS270" s="208">
        <v>0</v>
      </c>
      <c r="FT270" s="208">
        <v>0</v>
      </c>
      <c r="FU270" s="208">
        <v>0</v>
      </c>
      <c r="FV270" s="208">
        <v>0</v>
      </c>
      <c r="FW270" s="208">
        <v>0</v>
      </c>
      <c r="FX270" s="208">
        <v>0</v>
      </c>
      <c r="FY270" s="208">
        <v>0</v>
      </c>
      <c r="FZ270" s="208">
        <v>0</v>
      </c>
      <c r="GA270" s="208">
        <v>0</v>
      </c>
      <c r="GB270" s="208">
        <v>4829686</v>
      </c>
      <c r="GC270" s="208">
        <v>1206626</v>
      </c>
      <c r="GD270" s="208">
        <v>0</v>
      </c>
      <c r="GE270" s="664">
        <v>0</v>
      </c>
      <c r="GF270" s="664">
        <v>0.8</v>
      </c>
      <c r="GG270" s="664">
        <v>0.2</v>
      </c>
      <c r="GH270" s="664">
        <v>0</v>
      </c>
      <c r="GI270" s="187" t="s">
        <v>1054</v>
      </c>
    </row>
    <row r="271" spans="1:191" s="187" customFormat="1" x14ac:dyDescent="0.2">
      <c r="B271" s="429" t="s">
        <v>620</v>
      </c>
      <c r="C271" s="429" t="s">
        <v>619</v>
      </c>
      <c r="D271" s="208">
        <v>-2336523</v>
      </c>
      <c r="E271" s="208">
        <v>-72</v>
      </c>
      <c r="F271" s="208">
        <v>-2336595</v>
      </c>
      <c r="G271" s="208">
        <v>-2322734</v>
      </c>
      <c r="H271" s="208">
        <v>0</v>
      </c>
      <c r="I271" s="208">
        <v>-2322734</v>
      </c>
      <c r="J271" s="208">
        <v>-13789</v>
      </c>
      <c r="K271" s="208">
        <v>-72</v>
      </c>
      <c r="L271" s="208">
        <v>-13861</v>
      </c>
      <c r="M271" s="208">
        <v>339940</v>
      </c>
      <c r="N271" s="208">
        <v>339940</v>
      </c>
      <c r="O271" s="208">
        <v>0</v>
      </c>
      <c r="P271" s="208">
        <v>750218</v>
      </c>
      <c r="Q271" s="208">
        <v>770580</v>
      </c>
      <c r="R271" s="208">
        <v>-20362</v>
      </c>
      <c r="S271" s="208">
        <v>0</v>
      </c>
      <c r="T271" s="208">
        <v>0</v>
      </c>
      <c r="U271" s="208">
        <v>0</v>
      </c>
      <c r="V271" s="208">
        <v>0</v>
      </c>
      <c r="W271" s="208">
        <v>0</v>
      </c>
      <c r="X271" s="208">
        <v>0</v>
      </c>
      <c r="Y271" s="208">
        <v>0</v>
      </c>
      <c r="Z271" s="208">
        <v>0</v>
      </c>
      <c r="AA271" s="208">
        <v>0</v>
      </c>
      <c r="AB271" s="208">
        <v>0</v>
      </c>
      <c r="AC271" s="208">
        <v>0</v>
      </c>
      <c r="AD271" s="208">
        <v>0</v>
      </c>
      <c r="AE271" s="208">
        <v>0</v>
      </c>
      <c r="AF271" s="208">
        <v>0</v>
      </c>
      <c r="AG271" s="208">
        <v>0</v>
      </c>
      <c r="AH271" s="208">
        <v>0</v>
      </c>
      <c r="AI271" s="208">
        <v>0</v>
      </c>
      <c r="AJ271" s="208">
        <v>0</v>
      </c>
      <c r="AK271" s="208">
        <v>0</v>
      </c>
      <c r="AL271" s="208">
        <v>0</v>
      </c>
      <c r="AM271" s="208">
        <v>0</v>
      </c>
      <c r="AN271" s="208">
        <v>0</v>
      </c>
      <c r="AO271" s="208">
        <v>0</v>
      </c>
      <c r="AP271" s="208">
        <v>0</v>
      </c>
      <c r="AQ271" s="208">
        <v>0</v>
      </c>
      <c r="AR271" s="208">
        <v>0</v>
      </c>
      <c r="AS271" s="208">
        <v>0</v>
      </c>
      <c r="AT271" s="208">
        <v>0</v>
      </c>
      <c r="AU271" s="208">
        <v>0</v>
      </c>
      <c r="AV271" s="208">
        <v>0</v>
      </c>
      <c r="AW271" s="208">
        <v>0</v>
      </c>
      <c r="AX271" s="208">
        <v>0</v>
      </c>
      <c r="AY271" s="208">
        <v>0</v>
      </c>
      <c r="AZ271" s="208">
        <v>0</v>
      </c>
      <c r="BA271" s="208">
        <v>0</v>
      </c>
      <c r="BB271" s="208">
        <v>0</v>
      </c>
      <c r="BC271" s="208">
        <v>0</v>
      </c>
      <c r="BD271" s="208">
        <v>0</v>
      </c>
      <c r="BE271" s="208">
        <v>0</v>
      </c>
      <c r="BF271" s="208">
        <v>0</v>
      </c>
      <c r="BG271" s="208">
        <v>0</v>
      </c>
      <c r="BH271" s="208">
        <v>0</v>
      </c>
      <c r="BI271" s="208">
        <v>0</v>
      </c>
      <c r="BJ271" s="208">
        <v>0</v>
      </c>
      <c r="BK271" s="208">
        <v>0</v>
      </c>
      <c r="BL271" s="208">
        <v>0</v>
      </c>
      <c r="BM271" s="208">
        <v>0</v>
      </c>
      <c r="BN271" s="208">
        <v>0</v>
      </c>
      <c r="BO271" s="208">
        <v>2729982.3035125616</v>
      </c>
      <c r="BP271" s="208">
        <v>0</v>
      </c>
      <c r="BQ271" s="208">
        <v>55713.924561480839</v>
      </c>
      <c r="BR271" s="208">
        <v>153117</v>
      </c>
      <c r="BS271" s="208">
        <v>0</v>
      </c>
      <c r="BT271" s="208">
        <v>3110</v>
      </c>
      <c r="BU271" s="208">
        <v>2592999</v>
      </c>
      <c r="BV271" s="208">
        <v>0</v>
      </c>
      <c r="BW271" s="208">
        <v>52918</v>
      </c>
      <c r="BX271" s="208">
        <v>290100</v>
      </c>
      <c r="BY271" s="208">
        <v>0</v>
      </c>
      <c r="BZ271" s="208">
        <v>5906</v>
      </c>
      <c r="CA271" s="208">
        <v>2564.7896458333335</v>
      </c>
      <c r="CB271" s="208">
        <v>0</v>
      </c>
      <c r="CC271" s="208">
        <v>52.342645833333336</v>
      </c>
      <c r="CD271" s="208">
        <v>0</v>
      </c>
      <c r="CE271" s="208">
        <v>0</v>
      </c>
      <c r="CF271" s="208">
        <v>0</v>
      </c>
      <c r="CG271" s="208">
        <v>2565</v>
      </c>
      <c r="CH271" s="208">
        <v>0</v>
      </c>
      <c r="CI271" s="208">
        <v>52</v>
      </c>
      <c r="CJ271" s="208">
        <v>0</v>
      </c>
      <c r="CK271" s="208">
        <v>0</v>
      </c>
      <c r="CL271" s="208">
        <v>0</v>
      </c>
      <c r="CM271" s="208">
        <v>0</v>
      </c>
      <c r="CN271" s="208">
        <v>0</v>
      </c>
      <c r="CO271" s="208">
        <v>0</v>
      </c>
      <c r="CP271" s="208">
        <v>-3319.6407708333331</v>
      </c>
      <c r="CQ271" s="208">
        <v>0</v>
      </c>
      <c r="CR271" s="208">
        <v>-67.747770833333334</v>
      </c>
      <c r="CS271" s="208">
        <v>0</v>
      </c>
      <c r="CT271" s="208">
        <v>0</v>
      </c>
      <c r="CU271" s="208">
        <v>0</v>
      </c>
      <c r="CV271" s="208">
        <v>0</v>
      </c>
      <c r="CW271" s="208">
        <v>0</v>
      </c>
      <c r="CX271" s="208">
        <v>0</v>
      </c>
      <c r="CY271" s="208">
        <v>0</v>
      </c>
      <c r="CZ271" s="208">
        <v>0</v>
      </c>
      <c r="DA271" s="208">
        <v>0</v>
      </c>
      <c r="DB271" s="208">
        <v>0</v>
      </c>
      <c r="DC271" s="208">
        <v>0</v>
      </c>
      <c r="DD271" s="208">
        <v>0</v>
      </c>
      <c r="DE271" s="208">
        <v>754.34989583333333</v>
      </c>
      <c r="DF271" s="208">
        <v>0</v>
      </c>
      <c r="DG271" s="208">
        <v>15.394895833333333</v>
      </c>
      <c r="DH271" s="208">
        <v>0</v>
      </c>
      <c r="DI271" s="208">
        <v>0</v>
      </c>
      <c r="DJ271" s="208">
        <v>0</v>
      </c>
      <c r="DK271" s="208">
        <v>754</v>
      </c>
      <c r="DL271" s="208">
        <v>0</v>
      </c>
      <c r="DM271" s="208">
        <v>15</v>
      </c>
      <c r="DN271" s="208">
        <v>278.07692937500002</v>
      </c>
      <c r="DO271" s="208">
        <v>0</v>
      </c>
      <c r="DP271" s="208">
        <v>5.6750393749999999</v>
      </c>
      <c r="DQ271" s="208">
        <v>752</v>
      </c>
      <c r="DR271" s="208">
        <v>0</v>
      </c>
      <c r="DS271" s="208">
        <v>15</v>
      </c>
      <c r="DT271" s="208">
        <v>-474</v>
      </c>
      <c r="DU271" s="208">
        <v>0</v>
      </c>
      <c r="DV271" s="208">
        <v>-9</v>
      </c>
      <c r="DW271" s="208">
        <v>14861.825725833332</v>
      </c>
      <c r="DX271" s="208">
        <v>0</v>
      </c>
      <c r="DY271" s="208">
        <v>303.30256583333335</v>
      </c>
      <c r="DZ271" s="208">
        <v>10569</v>
      </c>
      <c r="EA271" s="208">
        <v>0</v>
      </c>
      <c r="EB271" s="208">
        <v>216</v>
      </c>
      <c r="EC271" s="208">
        <v>4293</v>
      </c>
      <c r="ED271" s="208">
        <v>0</v>
      </c>
      <c r="EE271" s="208">
        <v>87</v>
      </c>
      <c r="EF271" s="208">
        <v>116693.13549791668</v>
      </c>
      <c r="EG271" s="208">
        <v>0</v>
      </c>
      <c r="EH271" s="208">
        <v>2363.1635645833335</v>
      </c>
      <c r="EI271" s="208">
        <v>-1253.56412125</v>
      </c>
      <c r="EJ271" s="208">
        <v>0</v>
      </c>
      <c r="EK271" s="208">
        <v>-25.582941250000001</v>
      </c>
      <c r="EL271" s="208">
        <v>121054</v>
      </c>
      <c r="EM271" s="208">
        <v>0</v>
      </c>
      <c r="EN271" s="208">
        <v>2471</v>
      </c>
      <c r="EO271" s="208">
        <v>-5614</v>
      </c>
      <c r="EP271" s="208">
        <v>0</v>
      </c>
      <c r="EQ271" s="208">
        <v>-133</v>
      </c>
      <c r="ER271" s="208">
        <v>37509.795449583326</v>
      </c>
      <c r="ES271" s="208">
        <v>0</v>
      </c>
      <c r="ET271" s="208">
        <v>765.50602958333332</v>
      </c>
      <c r="EU271" s="208">
        <v>43105</v>
      </c>
      <c r="EV271" s="208">
        <v>0</v>
      </c>
      <c r="EW271" s="208">
        <v>880</v>
      </c>
      <c r="EX271" s="208">
        <v>-5595</v>
      </c>
      <c r="EY271" s="208">
        <v>0</v>
      </c>
      <c r="EZ271" s="208">
        <v>-114</v>
      </c>
      <c r="FA271" s="208">
        <v>0</v>
      </c>
      <c r="FB271" s="208">
        <v>0</v>
      </c>
      <c r="FC271" s="208">
        <v>0</v>
      </c>
      <c r="FD271" s="208">
        <v>0</v>
      </c>
      <c r="FE271" s="208">
        <v>0</v>
      </c>
      <c r="FF271" s="208">
        <v>0</v>
      </c>
      <c r="FG271" s="208">
        <v>0</v>
      </c>
      <c r="FH271" s="208">
        <v>0</v>
      </c>
      <c r="FI271" s="208">
        <v>0</v>
      </c>
      <c r="FJ271" s="208">
        <v>1013119.2690208332</v>
      </c>
      <c r="FK271" s="208">
        <v>0</v>
      </c>
      <c r="FL271" s="208">
        <v>20325.036187499998</v>
      </c>
      <c r="FM271" s="208">
        <v>985967</v>
      </c>
      <c r="FN271" s="208">
        <v>0</v>
      </c>
      <c r="FO271" s="208">
        <v>19761</v>
      </c>
      <c r="FP271" s="208">
        <v>27152</v>
      </c>
      <c r="FQ271" s="208">
        <v>0</v>
      </c>
      <c r="FR271" s="208">
        <v>564</v>
      </c>
      <c r="FS271" s="208">
        <v>0</v>
      </c>
      <c r="FT271" s="208">
        <v>0</v>
      </c>
      <c r="FU271" s="208">
        <v>0</v>
      </c>
      <c r="FV271" s="208">
        <v>0</v>
      </c>
      <c r="FW271" s="208">
        <v>0</v>
      </c>
      <c r="FX271" s="208">
        <v>0</v>
      </c>
      <c r="FY271" s="208">
        <v>0</v>
      </c>
      <c r="FZ271" s="208">
        <v>0</v>
      </c>
      <c r="GA271" s="208">
        <v>0</v>
      </c>
      <c r="GB271" s="208">
        <v>4064306</v>
      </c>
      <c r="GC271" s="208">
        <v>0</v>
      </c>
      <c r="GD271" s="208">
        <v>82560</v>
      </c>
      <c r="GE271" s="664">
        <v>0.5</v>
      </c>
      <c r="GF271" s="664">
        <v>0.49</v>
      </c>
      <c r="GG271" s="664">
        <v>0</v>
      </c>
      <c r="GH271" s="664">
        <v>0.01</v>
      </c>
      <c r="GI271" s="187" t="s">
        <v>1056</v>
      </c>
    </row>
    <row r="272" spans="1:191" s="187" customFormat="1" x14ac:dyDescent="0.2">
      <c r="B272" s="429" t="s">
        <v>622</v>
      </c>
      <c r="C272" s="429" t="s">
        <v>621</v>
      </c>
      <c r="D272" s="208">
        <v>-240037</v>
      </c>
      <c r="E272" s="208">
        <v>0</v>
      </c>
      <c r="F272" s="208">
        <v>-240037</v>
      </c>
      <c r="G272" s="208">
        <v>-175161</v>
      </c>
      <c r="H272" s="208">
        <v>0</v>
      </c>
      <c r="I272" s="208">
        <v>-175161</v>
      </c>
      <c r="J272" s="208">
        <v>-64876</v>
      </c>
      <c r="K272" s="208">
        <v>0</v>
      </c>
      <c r="L272" s="208">
        <v>-64876</v>
      </c>
      <c r="M272" s="208">
        <v>125099</v>
      </c>
      <c r="N272" s="208">
        <v>125099</v>
      </c>
      <c r="O272" s="208">
        <v>0</v>
      </c>
      <c r="P272" s="208">
        <v>0</v>
      </c>
      <c r="Q272" s="208">
        <v>0</v>
      </c>
      <c r="R272" s="208">
        <v>0</v>
      </c>
      <c r="S272" s="208">
        <v>0</v>
      </c>
      <c r="T272" s="208">
        <v>0</v>
      </c>
      <c r="U272" s="208">
        <v>0</v>
      </c>
      <c r="V272" s="208">
        <v>0</v>
      </c>
      <c r="W272" s="208">
        <v>0</v>
      </c>
      <c r="X272" s="208">
        <v>0</v>
      </c>
      <c r="Y272" s="208">
        <v>0</v>
      </c>
      <c r="Z272" s="208">
        <v>0</v>
      </c>
      <c r="AA272" s="208">
        <v>0</v>
      </c>
      <c r="AB272" s="208">
        <v>0</v>
      </c>
      <c r="AC272" s="208">
        <v>0</v>
      </c>
      <c r="AD272" s="208">
        <v>0</v>
      </c>
      <c r="AE272" s="208">
        <v>0</v>
      </c>
      <c r="AF272" s="208">
        <v>0</v>
      </c>
      <c r="AG272" s="208">
        <v>0</v>
      </c>
      <c r="AH272" s="208">
        <v>0</v>
      </c>
      <c r="AI272" s="208">
        <v>0</v>
      </c>
      <c r="AJ272" s="208">
        <v>0</v>
      </c>
      <c r="AK272" s="208">
        <v>0</v>
      </c>
      <c r="AL272" s="208">
        <v>0</v>
      </c>
      <c r="AM272" s="208">
        <v>0</v>
      </c>
      <c r="AN272" s="208">
        <v>0</v>
      </c>
      <c r="AO272" s="208">
        <v>0</v>
      </c>
      <c r="AP272" s="208">
        <v>0</v>
      </c>
      <c r="AQ272" s="208">
        <v>0</v>
      </c>
      <c r="AR272" s="208">
        <v>0</v>
      </c>
      <c r="AS272" s="208">
        <v>0</v>
      </c>
      <c r="AT272" s="208">
        <v>0</v>
      </c>
      <c r="AU272" s="208">
        <v>0</v>
      </c>
      <c r="AV272" s="208">
        <v>0</v>
      </c>
      <c r="AW272" s="208">
        <v>0</v>
      </c>
      <c r="AX272" s="208">
        <v>0</v>
      </c>
      <c r="AY272" s="208">
        <v>0</v>
      </c>
      <c r="AZ272" s="208">
        <v>0</v>
      </c>
      <c r="BA272" s="208">
        <v>0</v>
      </c>
      <c r="BB272" s="208">
        <v>0</v>
      </c>
      <c r="BC272" s="208">
        <v>0</v>
      </c>
      <c r="BD272" s="208">
        <v>0</v>
      </c>
      <c r="BE272" s="208">
        <v>0</v>
      </c>
      <c r="BF272" s="208">
        <v>0</v>
      </c>
      <c r="BG272" s="208">
        <v>0</v>
      </c>
      <c r="BH272" s="208">
        <v>0</v>
      </c>
      <c r="BI272" s="208">
        <v>0</v>
      </c>
      <c r="BJ272" s="208">
        <v>0</v>
      </c>
      <c r="BK272" s="208">
        <v>0</v>
      </c>
      <c r="BL272" s="208">
        <v>0</v>
      </c>
      <c r="BM272" s="208">
        <v>0</v>
      </c>
      <c r="BN272" s="208">
        <v>0</v>
      </c>
      <c r="BO272" s="208">
        <v>671533.9051737499</v>
      </c>
      <c r="BP272" s="208">
        <v>1566912.4454054167</v>
      </c>
      <c r="BQ272" s="208">
        <v>0</v>
      </c>
      <c r="BR272" s="208">
        <v>0</v>
      </c>
      <c r="BS272" s="208">
        <v>0</v>
      </c>
      <c r="BT272" s="208">
        <v>0</v>
      </c>
      <c r="BU272" s="208">
        <v>625673</v>
      </c>
      <c r="BV272" s="208">
        <v>1459905</v>
      </c>
      <c r="BW272" s="208">
        <v>0</v>
      </c>
      <c r="BX272" s="208">
        <v>45861</v>
      </c>
      <c r="BY272" s="208">
        <v>107007</v>
      </c>
      <c r="BZ272" s="208">
        <v>0</v>
      </c>
      <c r="CA272" s="208">
        <v>5261.0649999999996</v>
      </c>
      <c r="CB272" s="208">
        <v>12275.818333333333</v>
      </c>
      <c r="CC272" s="208">
        <v>0</v>
      </c>
      <c r="CD272" s="208">
        <v>767</v>
      </c>
      <c r="CE272" s="208">
        <v>1790</v>
      </c>
      <c r="CF272" s="208">
        <v>0</v>
      </c>
      <c r="CG272" s="208">
        <v>4494</v>
      </c>
      <c r="CH272" s="208">
        <v>10486</v>
      </c>
      <c r="CI272" s="208">
        <v>0</v>
      </c>
      <c r="CJ272" s="208">
        <v>0</v>
      </c>
      <c r="CK272" s="208">
        <v>0</v>
      </c>
      <c r="CL272" s="208">
        <v>0</v>
      </c>
      <c r="CM272" s="208">
        <v>0</v>
      </c>
      <c r="CN272" s="208">
        <v>0</v>
      </c>
      <c r="CO272" s="208">
        <v>0</v>
      </c>
      <c r="CP272" s="208">
        <v>0</v>
      </c>
      <c r="CQ272" s="208">
        <v>0</v>
      </c>
      <c r="CR272" s="208">
        <v>0</v>
      </c>
      <c r="CS272" s="208">
        <v>0</v>
      </c>
      <c r="CT272" s="208">
        <v>0</v>
      </c>
      <c r="CU272" s="208">
        <v>0</v>
      </c>
      <c r="CV272" s="208">
        <v>0</v>
      </c>
      <c r="CW272" s="208">
        <v>0</v>
      </c>
      <c r="CX272" s="208">
        <v>0</v>
      </c>
      <c r="CY272" s="208">
        <v>0</v>
      </c>
      <c r="CZ272" s="208">
        <v>0</v>
      </c>
      <c r="DA272" s="208">
        <v>0</v>
      </c>
      <c r="DB272" s="208">
        <v>0</v>
      </c>
      <c r="DC272" s="208">
        <v>0</v>
      </c>
      <c r="DD272" s="208">
        <v>0</v>
      </c>
      <c r="DE272" s="208">
        <v>0</v>
      </c>
      <c r="DF272" s="208">
        <v>0</v>
      </c>
      <c r="DG272" s="208">
        <v>0</v>
      </c>
      <c r="DH272" s="208">
        <v>0</v>
      </c>
      <c r="DI272" s="208">
        <v>0</v>
      </c>
      <c r="DJ272" s="208">
        <v>0</v>
      </c>
      <c r="DK272" s="208">
        <v>0</v>
      </c>
      <c r="DL272" s="208">
        <v>0</v>
      </c>
      <c r="DM272" s="208">
        <v>0</v>
      </c>
      <c r="DN272" s="208">
        <v>0</v>
      </c>
      <c r="DO272" s="208">
        <v>0</v>
      </c>
      <c r="DP272" s="208">
        <v>0</v>
      </c>
      <c r="DQ272" s="208">
        <v>0</v>
      </c>
      <c r="DR272" s="208">
        <v>0</v>
      </c>
      <c r="DS272" s="208">
        <v>0</v>
      </c>
      <c r="DT272" s="208">
        <v>0</v>
      </c>
      <c r="DU272" s="208">
        <v>0</v>
      </c>
      <c r="DV272" s="208">
        <v>0</v>
      </c>
      <c r="DW272" s="208">
        <v>6173.7112499999994</v>
      </c>
      <c r="DX272" s="208">
        <v>14405.326249999998</v>
      </c>
      <c r="DY272" s="208">
        <v>0</v>
      </c>
      <c r="DZ272" s="208">
        <v>7058</v>
      </c>
      <c r="EA272" s="208">
        <v>16469</v>
      </c>
      <c r="EB272" s="208">
        <v>0</v>
      </c>
      <c r="EC272" s="208">
        <v>-884</v>
      </c>
      <c r="ED272" s="208">
        <v>-2064</v>
      </c>
      <c r="EE272" s="208">
        <v>0</v>
      </c>
      <c r="EF272" s="208">
        <v>31976.068124999998</v>
      </c>
      <c r="EG272" s="208">
        <v>74610.825624999998</v>
      </c>
      <c r="EH272" s="208">
        <v>0</v>
      </c>
      <c r="EI272" s="208">
        <v>0</v>
      </c>
      <c r="EJ272" s="208">
        <v>0</v>
      </c>
      <c r="EK272" s="208">
        <v>0</v>
      </c>
      <c r="EL272" s="208">
        <v>32529</v>
      </c>
      <c r="EM272" s="208">
        <v>75900</v>
      </c>
      <c r="EN272" s="208">
        <v>0</v>
      </c>
      <c r="EO272" s="208">
        <v>-553</v>
      </c>
      <c r="EP272" s="208">
        <v>-1289</v>
      </c>
      <c r="EQ272" s="208">
        <v>0</v>
      </c>
      <c r="ER272" s="208">
        <v>5565.7918749999999</v>
      </c>
      <c r="ES272" s="208">
        <v>12986.847708333333</v>
      </c>
      <c r="ET272" s="208">
        <v>0</v>
      </c>
      <c r="EU272" s="208">
        <v>5524</v>
      </c>
      <c r="EV272" s="208">
        <v>12889</v>
      </c>
      <c r="EW272" s="208">
        <v>0</v>
      </c>
      <c r="EX272" s="208">
        <v>42</v>
      </c>
      <c r="EY272" s="208">
        <v>98</v>
      </c>
      <c r="EZ272" s="208">
        <v>0</v>
      </c>
      <c r="FA272" s="208">
        <v>0</v>
      </c>
      <c r="FB272" s="208">
        <v>0</v>
      </c>
      <c r="FC272" s="208">
        <v>0</v>
      </c>
      <c r="FD272" s="208">
        <v>0</v>
      </c>
      <c r="FE272" s="208">
        <v>0</v>
      </c>
      <c r="FF272" s="208">
        <v>0</v>
      </c>
      <c r="FG272" s="208">
        <v>0</v>
      </c>
      <c r="FH272" s="208">
        <v>0</v>
      </c>
      <c r="FI272" s="208">
        <v>0</v>
      </c>
      <c r="FJ272" s="208">
        <v>288938.75999999995</v>
      </c>
      <c r="FK272" s="208">
        <v>674190.44</v>
      </c>
      <c r="FL272" s="208">
        <v>0</v>
      </c>
      <c r="FM272" s="208">
        <v>248554</v>
      </c>
      <c r="FN272" s="208">
        <v>579958</v>
      </c>
      <c r="FO272" s="208">
        <v>0</v>
      </c>
      <c r="FP272" s="208">
        <v>40385</v>
      </c>
      <c r="FQ272" s="208">
        <v>94232</v>
      </c>
      <c r="FR272" s="208">
        <v>0</v>
      </c>
      <c r="FS272" s="208">
        <v>0</v>
      </c>
      <c r="FT272" s="208">
        <v>0</v>
      </c>
      <c r="FU272" s="208">
        <v>0</v>
      </c>
      <c r="FV272" s="208">
        <v>0</v>
      </c>
      <c r="FW272" s="208">
        <v>0</v>
      </c>
      <c r="FX272" s="208">
        <v>0</v>
      </c>
      <c r="FY272" s="208">
        <v>0</v>
      </c>
      <c r="FZ272" s="208">
        <v>0</v>
      </c>
      <c r="GA272" s="208">
        <v>0</v>
      </c>
      <c r="GB272" s="208">
        <v>1009450</v>
      </c>
      <c r="GC272" s="208">
        <v>2355381</v>
      </c>
      <c r="GD272" s="208">
        <v>0</v>
      </c>
      <c r="GE272" s="664">
        <v>0</v>
      </c>
      <c r="GF272" s="664">
        <v>0.3</v>
      </c>
      <c r="GG272" s="664">
        <v>0.7</v>
      </c>
      <c r="GH272" s="664">
        <v>0</v>
      </c>
      <c r="GI272" s="187" t="s">
        <v>1054</v>
      </c>
    </row>
    <row r="273" spans="2:191" s="187" customFormat="1" x14ac:dyDescent="0.2">
      <c r="B273" s="429" t="s">
        <v>624</v>
      </c>
      <c r="C273" s="429" t="s">
        <v>623</v>
      </c>
      <c r="D273" s="208">
        <v>-138002</v>
      </c>
      <c r="E273" s="208">
        <v>0</v>
      </c>
      <c r="F273" s="208">
        <v>-138002</v>
      </c>
      <c r="G273" s="208">
        <v>280167</v>
      </c>
      <c r="H273" s="208">
        <v>0</v>
      </c>
      <c r="I273" s="208">
        <v>280167</v>
      </c>
      <c r="J273" s="208">
        <v>-418169</v>
      </c>
      <c r="K273" s="208">
        <v>0</v>
      </c>
      <c r="L273" s="208">
        <v>-418169</v>
      </c>
      <c r="M273" s="208">
        <v>191719</v>
      </c>
      <c r="N273" s="208">
        <v>191719</v>
      </c>
      <c r="O273" s="208">
        <v>0</v>
      </c>
      <c r="P273" s="208">
        <v>0</v>
      </c>
      <c r="Q273" s="208">
        <v>0</v>
      </c>
      <c r="R273" s="208">
        <v>0</v>
      </c>
      <c r="S273" s="208">
        <v>0</v>
      </c>
      <c r="T273" s="208">
        <v>0</v>
      </c>
      <c r="U273" s="208">
        <v>0</v>
      </c>
      <c r="V273" s="208">
        <v>0</v>
      </c>
      <c r="W273" s="208">
        <v>0</v>
      </c>
      <c r="X273" s="208">
        <v>0</v>
      </c>
      <c r="Y273" s="208">
        <v>0</v>
      </c>
      <c r="Z273" s="208">
        <v>0</v>
      </c>
      <c r="AA273" s="208">
        <v>0</v>
      </c>
      <c r="AB273" s="208">
        <v>0</v>
      </c>
      <c r="AC273" s="208">
        <v>0</v>
      </c>
      <c r="AD273" s="208">
        <v>0</v>
      </c>
      <c r="AE273" s="208">
        <v>0</v>
      </c>
      <c r="AF273" s="208">
        <v>0</v>
      </c>
      <c r="AG273" s="208">
        <v>0</v>
      </c>
      <c r="AH273" s="208">
        <v>0</v>
      </c>
      <c r="AI273" s="208">
        <v>0</v>
      </c>
      <c r="AJ273" s="208">
        <v>0</v>
      </c>
      <c r="AK273" s="208">
        <v>0</v>
      </c>
      <c r="AL273" s="208">
        <v>0</v>
      </c>
      <c r="AM273" s="208">
        <v>0</v>
      </c>
      <c r="AN273" s="208">
        <v>0</v>
      </c>
      <c r="AO273" s="208">
        <v>0</v>
      </c>
      <c r="AP273" s="208">
        <v>0</v>
      </c>
      <c r="AQ273" s="208">
        <v>0</v>
      </c>
      <c r="AR273" s="208">
        <v>0</v>
      </c>
      <c r="AS273" s="208">
        <v>0</v>
      </c>
      <c r="AT273" s="208">
        <v>0</v>
      </c>
      <c r="AU273" s="208">
        <v>0</v>
      </c>
      <c r="AV273" s="208">
        <v>0</v>
      </c>
      <c r="AW273" s="208">
        <v>0</v>
      </c>
      <c r="AX273" s="208">
        <v>0</v>
      </c>
      <c r="AY273" s="208">
        <v>0</v>
      </c>
      <c r="AZ273" s="208">
        <v>0</v>
      </c>
      <c r="BA273" s="208">
        <v>0</v>
      </c>
      <c r="BB273" s="208">
        <v>0</v>
      </c>
      <c r="BC273" s="208">
        <v>0</v>
      </c>
      <c r="BD273" s="208">
        <v>0</v>
      </c>
      <c r="BE273" s="208">
        <v>0</v>
      </c>
      <c r="BF273" s="208">
        <v>0</v>
      </c>
      <c r="BG273" s="208">
        <v>0</v>
      </c>
      <c r="BH273" s="208">
        <v>0</v>
      </c>
      <c r="BI273" s="208">
        <v>0</v>
      </c>
      <c r="BJ273" s="208">
        <v>0</v>
      </c>
      <c r="BK273" s="208">
        <v>0</v>
      </c>
      <c r="BL273" s="208">
        <v>0</v>
      </c>
      <c r="BM273" s="208">
        <v>0</v>
      </c>
      <c r="BN273" s="208">
        <v>0</v>
      </c>
      <c r="BO273" s="208">
        <v>2364508.6685760003</v>
      </c>
      <c r="BP273" s="208">
        <v>1330036.126074</v>
      </c>
      <c r="BQ273" s="208">
        <v>0</v>
      </c>
      <c r="BR273" s="208">
        <v>111200</v>
      </c>
      <c r="BS273" s="208">
        <v>62550</v>
      </c>
      <c r="BT273" s="208">
        <v>0</v>
      </c>
      <c r="BU273" s="208">
        <v>2273140</v>
      </c>
      <c r="BV273" s="208">
        <v>1278642</v>
      </c>
      <c r="BW273" s="208">
        <v>0</v>
      </c>
      <c r="BX273" s="208">
        <v>202569</v>
      </c>
      <c r="BY273" s="208">
        <v>113944</v>
      </c>
      <c r="BZ273" s="208">
        <v>0</v>
      </c>
      <c r="CA273" s="208">
        <v>6909.3519999999999</v>
      </c>
      <c r="CB273" s="208">
        <v>3886.5104999999999</v>
      </c>
      <c r="CC273" s="208">
        <v>0</v>
      </c>
      <c r="CD273" s="208">
        <v>0</v>
      </c>
      <c r="CE273" s="208">
        <v>0</v>
      </c>
      <c r="CF273" s="208">
        <v>0</v>
      </c>
      <c r="CG273" s="208">
        <v>6909</v>
      </c>
      <c r="CH273" s="208">
        <v>3887</v>
      </c>
      <c r="CI273" s="208">
        <v>0</v>
      </c>
      <c r="CJ273" s="208">
        <v>0</v>
      </c>
      <c r="CK273" s="208">
        <v>0</v>
      </c>
      <c r="CL273" s="208">
        <v>0</v>
      </c>
      <c r="CM273" s="208">
        <v>0</v>
      </c>
      <c r="CN273" s="208">
        <v>0</v>
      </c>
      <c r="CO273" s="208">
        <v>0</v>
      </c>
      <c r="CP273" s="208">
        <v>0</v>
      </c>
      <c r="CQ273" s="208">
        <v>0</v>
      </c>
      <c r="CR273" s="208">
        <v>0</v>
      </c>
      <c r="CS273" s="208">
        <v>0</v>
      </c>
      <c r="CT273" s="208">
        <v>0</v>
      </c>
      <c r="CU273" s="208">
        <v>0</v>
      </c>
      <c r="CV273" s="208">
        <v>0</v>
      </c>
      <c r="CW273" s="208">
        <v>0</v>
      </c>
      <c r="CX273" s="208">
        <v>0</v>
      </c>
      <c r="CY273" s="208">
        <v>0</v>
      </c>
      <c r="CZ273" s="208">
        <v>0</v>
      </c>
      <c r="DA273" s="208">
        <v>0</v>
      </c>
      <c r="DB273" s="208">
        <v>0</v>
      </c>
      <c r="DC273" s="208">
        <v>0</v>
      </c>
      <c r="DD273" s="208">
        <v>0</v>
      </c>
      <c r="DE273" s="208">
        <v>0</v>
      </c>
      <c r="DF273" s="208">
        <v>0</v>
      </c>
      <c r="DG273" s="208">
        <v>0</v>
      </c>
      <c r="DH273" s="208">
        <v>0</v>
      </c>
      <c r="DI273" s="208">
        <v>0</v>
      </c>
      <c r="DJ273" s="208">
        <v>0</v>
      </c>
      <c r="DK273" s="208">
        <v>0</v>
      </c>
      <c r="DL273" s="208">
        <v>0</v>
      </c>
      <c r="DM273" s="208">
        <v>0</v>
      </c>
      <c r="DN273" s="208">
        <v>0</v>
      </c>
      <c r="DO273" s="208">
        <v>0</v>
      </c>
      <c r="DP273" s="208">
        <v>0</v>
      </c>
      <c r="DQ273" s="208">
        <v>0</v>
      </c>
      <c r="DR273" s="208">
        <v>0</v>
      </c>
      <c r="DS273" s="208">
        <v>0</v>
      </c>
      <c r="DT273" s="208">
        <v>0</v>
      </c>
      <c r="DU273" s="208">
        <v>0</v>
      </c>
      <c r="DV273" s="208">
        <v>0</v>
      </c>
      <c r="DW273" s="208">
        <v>7433.0853333333325</v>
      </c>
      <c r="DX273" s="208">
        <v>4181.1104999999998</v>
      </c>
      <c r="DY273" s="208">
        <v>0</v>
      </c>
      <c r="DZ273" s="208">
        <v>19946</v>
      </c>
      <c r="EA273" s="208">
        <v>11220</v>
      </c>
      <c r="EB273" s="208">
        <v>0</v>
      </c>
      <c r="EC273" s="208">
        <v>-12513</v>
      </c>
      <c r="ED273" s="208">
        <v>-7039</v>
      </c>
      <c r="EE273" s="208">
        <v>0</v>
      </c>
      <c r="EF273" s="208">
        <v>137809.95199999999</v>
      </c>
      <c r="EG273" s="208">
        <v>77518.097999999998</v>
      </c>
      <c r="EH273" s="208">
        <v>0</v>
      </c>
      <c r="EI273" s="208">
        <v>-4011.7973333333334</v>
      </c>
      <c r="EJ273" s="208">
        <v>-2256.636</v>
      </c>
      <c r="EK273" s="208">
        <v>0</v>
      </c>
      <c r="EL273" s="208">
        <v>81834</v>
      </c>
      <c r="EM273" s="208">
        <v>46031</v>
      </c>
      <c r="EN273" s="208">
        <v>0</v>
      </c>
      <c r="EO273" s="208">
        <v>51964</v>
      </c>
      <c r="EP273" s="208">
        <v>29230</v>
      </c>
      <c r="EQ273" s="208">
        <v>0</v>
      </c>
      <c r="ER273" s="208">
        <v>11579.089333333333</v>
      </c>
      <c r="ES273" s="208">
        <v>6513.2377500000002</v>
      </c>
      <c r="ET273" s="208">
        <v>0</v>
      </c>
      <c r="EU273" s="208">
        <v>16367</v>
      </c>
      <c r="EV273" s="208">
        <v>9206</v>
      </c>
      <c r="EW273" s="208">
        <v>0</v>
      </c>
      <c r="EX273" s="208">
        <v>-4788</v>
      </c>
      <c r="EY273" s="208">
        <v>-2693</v>
      </c>
      <c r="EZ273" s="208">
        <v>0</v>
      </c>
      <c r="FA273" s="208">
        <v>0</v>
      </c>
      <c r="FB273" s="208">
        <v>0</v>
      </c>
      <c r="FC273" s="208">
        <v>0</v>
      </c>
      <c r="FD273" s="208">
        <v>0</v>
      </c>
      <c r="FE273" s="208">
        <v>0</v>
      </c>
      <c r="FF273" s="208">
        <v>0</v>
      </c>
      <c r="FG273" s="208">
        <v>0</v>
      </c>
      <c r="FH273" s="208">
        <v>0</v>
      </c>
      <c r="FI273" s="208">
        <v>0</v>
      </c>
      <c r="FJ273" s="208">
        <v>811802.2</v>
      </c>
      <c r="FK273" s="208">
        <v>456638.73749999999</v>
      </c>
      <c r="FL273" s="208">
        <v>0</v>
      </c>
      <c r="FM273" s="208">
        <v>787150</v>
      </c>
      <c r="FN273" s="208">
        <v>442772</v>
      </c>
      <c r="FO273" s="208">
        <v>0</v>
      </c>
      <c r="FP273" s="208">
        <v>24652</v>
      </c>
      <c r="FQ273" s="208">
        <v>13867</v>
      </c>
      <c r="FR273" s="208">
        <v>0</v>
      </c>
      <c r="FS273" s="208">
        <v>0</v>
      </c>
      <c r="FT273" s="208">
        <v>0</v>
      </c>
      <c r="FU273" s="208">
        <v>0</v>
      </c>
      <c r="FV273" s="208">
        <v>0</v>
      </c>
      <c r="FW273" s="208">
        <v>0</v>
      </c>
      <c r="FX273" s="208">
        <v>0</v>
      </c>
      <c r="FY273" s="208">
        <v>0</v>
      </c>
      <c r="FZ273" s="208">
        <v>0</v>
      </c>
      <c r="GA273" s="208">
        <v>0</v>
      </c>
      <c r="GB273" s="208">
        <v>3447230</v>
      </c>
      <c r="GC273" s="208">
        <v>1939067</v>
      </c>
      <c r="GD273" s="208">
        <v>0</v>
      </c>
      <c r="GE273" s="664">
        <v>0</v>
      </c>
      <c r="GF273" s="664">
        <v>0.64</v>
      </c>
      <c r="GG273" s="664">
        <v>0.36</v>
      </c>
      <c r="GH273" s="664">
        <v>0</v>
      </c>
      <c r="GI273" s="187" t="s">
        <v>1055</v>
      </c>
    </row>
    <row r="274" spans="2:191" s="187" customFormat="1" x14ac:dyDescent="0.2">
      <c r="B274" s="429" t="s">
        <v>626</v>
      </c>
      <c r="C274" s="429" t="s">
        <v>625</v>
      </c>
      <c r="D274" s="208">
        <v>587582</v>
      </c>
      <c r="E274" s="208">
        <v>0</v>
      </c>
      <c r="F274" s="208">
        <v>587582</v>
      </c>
      <c r="G274" s="208">
        <v>233996</v>
      </c>
      <c r="H274" s="208">
        <v>0</v>
      </c>
      <c r="I274" s="208">
        <v>233996</v>
      </c>
      <c r="J274" s="208">
        <v>353586</v>
      </c>
      <c r="K274" s="208">
        <v>0</v>
      </c>
      <c r="L274" s="208">
        <v>353586</v>
      </c>
      <c r="M274" s="208">
        <v>180669</v>
      </c>
      <c r="N274" s="208">
        <v>180669</v>
      </c>
      <c r="O274" s="208">
        <v>0</v>
      </c>
      <c r="P274" s="208">
        <v>0</v>
      </c>
      <c r="Q274" s="208">
        <v>0</v>
      </c>
      <c r="R274" s="208">
        <v>0</v>
      </c>
      <c r="S274" s="208">
        <v>393777</v>
      </c>
      <c r="T274" s="208">
        <v>845495</v>
      </c>
      <c r="U274" s="208">
        <v>393249</v>
      </c>
      <c r="V274" s="208">
        <v>845495</v>
      </c>
      <c r="W274" s="208">
        <v>528</v>
      </c>
      <c r="X274" s="208">
        <v>0</v>
      </c>
      <c r="Y274" s="208">
        <v>0</v>
      </c>
      <c r="Z274" s="208">
        <v>0</v>
      </c>
      <c r="AA274" s="208">
        <v>0</v>
      </c>
      <c r="AB274" s="208">
        <v>0</v>
      </c>
      <c r="AC274" s="208">
        <v>0</v>
      </c>
      <c r="AD274" s="208">
        <v>0</v>
      </c>
      <c r="AE274" s="208">
        <v>0</v>
      </c>
      <c r="AF274" s="208">
        <v>0</v>
      </c>
      <c r="AG274" s="208">
        <v>0</v>
      </c>
      <c r="AH274" s="208">
        <v>0</v>
      </c>
      <c r="AI274" s="208">
        <v>0</v>
      </c>
      <c r="AJ274" s="208">
        <v>0</v>
      </c>
      <c r="AK274" s="208">
        <v>0</v>
      </c>
      <c r="AL274" s="208">
        <v>0</v>
      </c>
      <c r="AM274" s="208">
        <v>0</v>
      </c>
      <c r="AN274" s="208">
        <v>0</v>
      </c>
      <c r="AO274" s="208">
        <v>0</v>
      </c>
      <c r="AP274" s="208">
        <v>0</v>
      </c>
      <c r="AQ274" s="208">
        <v>0</v>
      </c>
      <c r="AR274" s="208">
        <v>0</v>
      </c>
      <c r="AS274" s="208">
        <v>0</v>
      </c>
      <c r="AT274" s="208">
        <v>0</v>
      </c>
      <c r="AU274" s="208">
        <v>0</v>
      </c>
      <c r="AV274" s="208">
        <v>0</v>
      </c>
      <c r="AW274" s="208">
        <v>0</v>
      </c>
      <c r="AX274" s="208">
        <v>0</v>
      </c>
      <c r="AY274" s="208">
        <v>0</v>
      </c>
      <c r="AZ274" s="208">
        <v>0</v>
      </c>
      <c r="BA274" s="208">
        <v>0</v>
      </c>
      <c r="BB274" s="208">
        <v>0</v>
      </c>
      <c r="BC274" s="208">
        <v>0</v>
      </c>
      <c r="BD274" s="208">
        <v>0</v>
      </c>
      <c r="BE274" s="208">
        <v>0</v>
      </c>
      <c r="BF274" s="208">
        <v>0</v>
      </c>
      <c r="BG274" s="208">
        <v>0</v>
      </c>
      <c r="BH274" s="208">
        <v>0</v>
      </c>
      <c r="BI274" s="208">
        <v>0</v>
      </c>
      <c r="BJ274" s="208">
        <v>0</v>
      </c>
      <c r="BK274" s="208">
        <v>0</v>
      </c>
      <c r="BL274" s="208">
        <v>0</v>
      </c>
      <c r="BM274" s="208">
        <v>0</v>
      </c>
      <c r="BN274" s="208">
        <v>0</v>
      </c>
      <c r="BO274" s="208">
        <v>1595410.4162166668</v>
      </c>
      <c r="BP274" s="208">
        <v>2353230.3639195831</v>
      </c>
      <c r="BQ274" s="208">
        <v>39885.260405416666</v>
      </c>
      <c r="BR274" s="208">
        <v>87367</v>
      </c>
      <c r="BS274" s="208">
        <v>128867</v>
      </c>
      <c r="BT274" s="208">
        <v>2184</v>
      </c>
      <c r="BU274" s="208">
        <v>1531893</v>
      </c>
      <c r="BV274" s="208">
        <v>2259543</v>
      </c>
      <c r="BW274" s="208">
        <v>38297</v>
      </c>
      <c r="BX274" s="208">
        <v>150884</v>
      </c>
      <c r="BY274" s="208">
        <v>222554</v>
      </c>
      <c r="BZ274" s="208">
        <v>3772</v>
      </c>
      <c r="CA274" s="208">
        <v>4501.2425000000003</v>
      </c>
      <c r="CB274" s="208">
        <v>6639.3326875000002</v>
      </c>
      <c r="CC274" s="208">
        <v>112.5310625</v>
      </c>
      <c r="CD274" s="208">
        <v>10965</v>
      </c>
      <c r="CE274" s="208">
        <v>16174</v>
      </c>
      <c r="CF274" s="208">
        <v>274</v>
      </c>
      <c r="CG274" s="208">
        <v>-6464</v>
      </c>
      <c r="CH274" s="208">
        <v>-9535</v>
      </c>
      <c r="CI274" s="208">
        <v>-161</v>
      </c>
      <c r="CJ274" s="208">
        <v>0</v>
      </c>
      <c r="CK274" s="208">
        <v>0</v>
      </c>
      <c r="CL274" s="208">
        <v>0</v>
      </c>
      <c r="CM274" s="208">
        <v>0</v>
      </c>
      <c r="CN274" s="208">
        <v>0</v>
      </c>
      <c r="CO274" s="208">
        <v>0</v>
      </c>
      <c r="CP274" s="208">
        <v>-476.27</v>
      </c>
      <c r="CQ274" s="208">
        <v>-702.49824999999998</v>
      </c>
      <c r="CR274" s="208">
        <v>-11.906750000000001</v>
      </c>
      <c r="CS274" s="208">
        <v>0</v>
      </c>
      <c r="CT274" s="208">
        <v>0</v>
      </c>
      <c r="CU274" s="208">
        <v>0</v>
      </c>
      <c r="CV274" s="208">
        <v>0</v>
      </c>
      <c r="CW274" s="208">
        <v>0</v>
      </c>
      <c r="CX274" s="208">
        <v>0</v>
      </c>
      <c r="CY274" s="208">
        <v>0</v>
      </c>
      <c r="CZ274" s="208">
        <v>0</v>
      </c>
      <c r="DA274" s="208">
        <v>0</v>
      </c>
      <c r="DB274" s="208">
        <v>0</v>
      </c>
      <c r="DC274" s="208">
        <v>0</v>
      </c>
      <c r="DD274" s="208">
        <v>0</v>
      </c>
      <c r="DE274" s="208">
        <v>9419.4258333333328</v>
      </c>
      <c r="DF274" s="208">
        <v>13893.653104166666</v>
      </c>
      <c r="DG274" s="208">
        <v>235.48564583333334</v>
      </c>
      <c r="DH274" s="208">
        <v>8603</v>
      </c>
      <c r="DI274" s="208">
        <v>12689</v>
      </c>
      <c r="DJ274" s="208">
        <v>215</v>
      </c>
      <c r="DK274" s="208">
        <v>816</v>
      </c>
      <c r="DL274" s="208">
        <v>1205</v>
      </c>
      <c r="DM274" s="208">
        <v>20</v>
      </c>
      <c r="DN274" s="208">
        <v>613.75</v>
      </c>
      <c r="DO274" s="208">
        <v>905.28125</v>
      </c>
      <c r="DP274" s="208">
        <v>15.34375</v>
      </c>
      <c r="DQ274" s="208">
        <v>614</v>
      </c>
      <c r="DR274" s="208">
        <v>905</v>
      </c>
      <c r="DS274" s="208">
        <v>15</v>
      </c>
      <c r="DT274" s="208">
        <v>0</v>
      </c>
      <c r="DU274" s="208">
        <v>0</v>
      </c>
      <c r="DV274" s="208">
        <v>0</v>
      </c>
      <c r="DW274" s="208">
        <v>13205.035833333333</v>
      </c>
      <c r="DX274" s="208">
        <v>19477.427854166664</v>
      </c>
      <c r="DY274" s="208">
        <v>330.12589583333329</v>
      </c>
      <c r="DZ274" s="208">
        <v>13731</v>
      </c>
      <c r="EA274" s="208">
        <v>20252</v>
      </c>
      <c r="EB274" s="208">
        <v>343</v>
      </c>
      <c r="EC274" s="208">
        <v>-526</v>
      </c>
      <c r="ED274" s="208">
        <v>-775</v>
      </c>
      <c r="EE274" s="208">
        <v>-13</v>
      </c>
      <c r="EF274" s="208">
        <v>30100.345833333333</v>
      </c>
      <c r="EG274" s="208">
        <v>44398.010104166664</v>
      </c>
      <c r="EH274" s="208">
        <v>752.50864583333328</v>
      </c>
      <c r="EI274" s="208">
        <v>-1203.7683333333332</v>
      </c>
      <c r="EJ274" s="208">
        <v>-1775.5582916666665</v>
      </c>
      <c r="EK274" s="208">
        <v>-30.094208333333331</v>
      </c>
      <c r="EL274" s="208">
        <v>34370</v>
      </c>
      <c r="EM274" s="208">
        <v>50696</v>
      </c>
      <c r="EN274" s="208">
        <v>859</v>
      </c>
      <c r="EO274" s="208">
        <v>-5473</v>
      </c>
      <c r="EP274" s="208">
        <v>-8074</v>
      </c>
      <c r="EQ274" s="208">
        <v>-137</v>
      </c>
      <c r="ER274" s="208">
        <v>23561.04416666667</v>
      </c>
      <c r="ES274" s="208">
        <v>34752.540145833329</v>
      </c>
      <c r="ET274" s="208">
        <v>589.02610416666664</v>
      </c>
      <c r="EU274" s="208">
        <v>24959</v>
      </c>
      <c r="EV274" s="208">
        <v>36815</v>
      </c>
      <c r="EW274" s="208">
        <v>624</v>
      </c>
      <c r="EX274" s="208">
        <v>-1398</v>
      </c>
      <c r="EY274" s="208">
        <v>-2062</v>
      </c>
      <c r="EZ274" s="208">
        <v>-35</v>
      </c>
      <c r="FA274" s="208">
        <v>0</v>
      </c>
      <c r="FB274" s="208">
        <v>0</v>
      </c>
      <c r="FC274" s="208">
        <v>0</v>
      </c>
      <c r="FD274" s="208">
        <v>0</v>
      </c>
      <c r="FE274" s="208">
        <v>0</v>
      </c>
      <c r="FF274" s="208">
        <v>0</v>
      </c>
      <c r="FG274" s="208">
        <v>0</v>
      </c>
      <c r="FH274" s="208">
        <v>0</v>
      </c>
      <c r="FI274" s="208">
        <v>0</v>
      </c>
      <c r="FJ274" s="208">
        <v>448269.36458333331</v>
      </c>
      <c r="FK274" s="208">
        <v>667262.75687499985</v>
      </c>
      <c r="FL274" s="208">
        <v>10981.132708333333</v>
      </c>
      <c r="FM274" s="208">
        <v>441148</v>
      </c>
      <c r="FN274" s="208">
        <v>656777</v>
      </c>
      <c r="FO274" s="208">
        <v>10803</v>
      </c>
      <c r="FP274" s="208">
        <v>7121</v>
      </c>
      <c r="FQ274" s="208">
        <v>10486</v>
      </c>
      <c r="FR274" s="208">
        <v>178</v>
      </c>
      <c r="FS274" s="208">
        <v>0</v>
      </c>
      <c r="FT274" s="208">
        <v>0</v>
      </c>
      <c r="FU274" s="208">
        <v>0</v>
      </c>
      <c r="FV274" s="208">
        <v>0</v>
      </c>
      <c r="FW274" s="208">
        <v>0</v>
      </c>
      <c r="FX274" s="208">
        <v>0</v>
      </c>
      <c r="FY274" s="208">
        <v>0</v>
      </c>
      <c r="FZ274" s="208">
        <v>0</v>
      </c>
      <c r="GA274" s="208">
        <v>0</v>
      </c>
      <c r="GB274" s="208">
        <v>2210766</v>
      </c>
      <c r="GC274" s="208">
        <v>3266948</v>
      </c>
      <c r="GD274" s="208">
        <v>55043</v>
      </c>
      <c r="GE274" s="664">
        <v>0</v>
      </c>
      <c r="GF274" s="664">
        <v>0.4</v>
      </c>
      <c r="GG274" s="664">
        <v>0.59</v>
      </c>
      <c r="GH274" s="664">
        <v>0.01</v>
      </c>
      <c r="GI274" s="187" t="s">
        <v>1054</v>
      </c>
    </row>
    <row r="275" spans="2:191" s="187" customFormat="1" x14ac:dyDescent="0.2">
      <c r="B275" s="429" t="s">
        <v>628</v>
      </c>
      <c r="C275" s="429" t="s">
        <v>627</v>
      </c>
      <c r="D275" s="208">
        <v>-5088884</v>
      </c>
      <c r="E275" s="208">
        <v>0</v>
      </c>
      <c r="F275" s="208">
        <v>-5088884</v>
      </c>
      <c r="G275" s="208">
        <v>-5187246</v>
      </c>
      <c r="H275" s="208">
        <v>0</v>
      </c>
      <c r="I275" s="208">
        <v>-5187246</v>
      </c>
      <c r="J275" s="208">
        <v>98362</v>
      </c>
      <c r="K275" s="208">
        <v>0</v>
      </c>
      <c r="L275" s="208">
        <v>98362</v>
      </c>
      <c r="M275" s="208">
        <v>263419</v>
      </c>
      <c r="N275" s="208">
        <v>263419</v>
      </c>
      <c r="O275" s="208">
        <v>0</v>
      </c>
      <c r="P275" s="208">
        <v>0</v>
      </c>
      <c r="Q275" s="208">
        <v>0</v>
      </c>
      <c r="R275" s="208">
        <v>0</v>
      </c>
      <c r="S275" s="208">
        <v>567166</v>
      </c>
      <c r="T275" s="208">
        <v>0</v>
      </c>
      <c r="U275" s="208">
        <v>548154</v>
      </c>
      <c r="V275" s="208">
        <v>0</v>
      </c>
      <c r="W275" s="208">
        <v>19012</v>
      </c>
      <c r="X275" s="208">
        <v>0</v>
      </c>
      <c r="Y275" s="208">
        <v>0</v>
      </c>
      <c r="Z275" s="208">
        <v>0</v>
      </c>
      <c r="AA275" s="208">
        <v>0</v>
      </c>
      <c r="AB275" s="208">
        <v>0</v>
      </c>
      <c r="AC275" s="208">
        <v>0</v>
      </c>
      <c r="AD275" s="208">
        <v>0</v>
      </c>
      <c r="AE275" s="208">
        <v>0</v>
      </c>
      <c r="AF275" s="208">
        <v>0</v>
      </c>
      <c r="AG275" s="208">
        <v>0</v>
      </c>
      <c r="AH275" s="208">
        <v>0</v>
      </c>
      <c r="AI275" s="208">
        <v>0</v>
      </c>
      <c r="AJ275" s="208">
        <v>0</v>
      </c>
      <c r="AK275" s="208">
        <v>0</v>
      </c>
      <c r="AL275" s="208">
        <v>0</v>
      </c>
      <c r="AM275" s="208">
        <v>0</v>
      </c>
      <c r="AN275" s="208">
        <v>0</v>
      </c>
      <c r="AO275" s="208">
        <v>0</v>
      </c>
      <c r="AP275" s="208">
        <v>0</v>
      </c>
      <c r="AQ275" s="208">
        <v>0</v>
      </c>
      <c r="AR275" s="208">
        <v>0</v>
      </c>
      <c r="AS275" s="208">
        <v>0</v>
      </c>
      <c r="AT275" s="208">
        <v>0</v>
      </c>
      <c r="AU275" s="208">
        <v>0</v>
      </c>
      <c r="AV275" s="208">
        <v>0</v>
      </c>
      <c r="AW275" s="208">
        <v>0</v>
      </c>
      <c r="AX275" s="208">
        <v>0</v>
      </c>
      <c r="AY275" s="208">
        <v>0</v>
      </c>
      <c r="AZ275" s="208">
        <v>0</v>
      </c>
      <c r="BA275" s="208">
        <v>0</v>
      </c>
      <c r="BB275" s="208">
        <v>0</v>
      </c>
      <c r="BC275" s="208">
        <v>0</v>
      </c>
      <c r="BD275" s="208">
        <v>0</v>
      </c>
      <c r="BE275" s="208">
        <v>0</v>
      </c>
      <c r="BF275" s="208">
        <v>0</v>
      </c>
      <c r="BG275" s="208">
        <v>0</v>
      </c>
      <c r="BH275" s="208">
        <v>0</v>
      </c>
      <c r="BI275" s="208">
        <v>0</v>
      </c>
      <c r="BJ275" s="208">
        <v>0</v>
      </c>
      <c r="BK275" s="208">
        <v>0</v>
      </c>
      <c r="BL275" s="208">
        <v>0</v>
      </c>
      <c r="BM275" s="208">
        <v>0</v>
      </c>
      <c r="BN275" s="208">
        <v>0</v>
      </c>
      <c r="BO275" s="208">
        <v>1822387.4774688331</v>
      </c>
      <c r="BP275" s="208">
        <v>0</v>
      </c>
      <c r="BQ275" s="208">
        <v>37191.581172833336</v>
      </c>
      <c r="BR275" s="208">
        <v>163452</v>
      </c>
      <c r="BS275" s="208">
        <v>0</v>
      </c>
      <c r="BT275" s="208">
        <v>3336</v>
      </c>
      <c r="BU275" s="208">
        <v>1760238</v>
      </c>
      <c r="BV275" s="208">
        <v>0</v>
      </c>
      <c r="BW275" s="208">
        <v>35923</v>
      </c>
      <c r="BX275" s="208">
        <v>225601</v>
      </c>
      <c r="BY275" s="208">
        <v>0</v>
      </c>
      <c r="BZ275" s="208">
        <v>4605</v>
      </c>
      <c r="CA275" s="208">
        <v>15154.663854166665</v>
      </c>
      <c r="CB275" s="208">
        <v>0</v>
      </c>
      <c r="CC275" s="208">
        <v>309.27885416666663</v>
      </c>
      <c r="CD275" s="208">
        <v>7549</v>
      </c>
      <c r="CE275" s="208">
        <v>0</v>
      </c>
      <c r="CF275" s="208">
        <v>154</v>
      </c>
      <c r="CG275" s="208">
        <v>7606</v>
      </c>
      <c r="CH275" s="208">
        <v>0</v>
      </c>
      <c r="CI275" s="208">
        <v>155</v>
      </c>
      <c r="CJ275" s="208">
        <v>0</v>
      </c>
      <c r="CK275" s="208">
        <v>0</v>
      </c>
      <c r="CL275" s="208">
        <v>0</v>
      </c>
      <c r="CM275" s="208">
        <v>0</v>
      </c>
      <c r="CN275" s="208">
        <v>0</v>
      </c>
      <c r="CO275" s="208">
        <v>0</v>
      </c>
      <c r="CP275" s="208">
        <v>0</v>
      </c>
      <c r="CQ275" s="208">
        <v>0</v>
      </c>
      <c r="CR275" s="208">
        <v>0</v>
      </c>
      <c r="CS275" s="208">
        <v>0</v>
      </c>
      <c r="CT275" s="208">
        <v>0</v>
      </c>
      <c r="CU275" s="208">
        <v>0</v>
      </c>
      <c r="CV275" s="208">
        <v>0</v>
      </c>
      <c r="CW275" s="208">
        <v>0</v>
      </c>
      <c r="CX275" s="208">
        <v>0</v>
      </c>
      <c r="CY275" s="208">
        <v>0</v>
      </c>
      <c r="CZ275" s="208">
        <v>0</v>
      </c>
      <c r="DA275" s="208">
        <v>0</v>
      </c>
      <c r="DB275" s="208">
        <v>0</v>
      </c>
      <c r="DC275" s="208">
        <v>0</v>
      </c>
      <c r="DD275" s="208">
        <v>0</v>
      </c>
      <c r="DE275" s="208">
        <v>2778.3132708333333</v>
      </c>
      <c r="DF275" s="208">
        <v>0</v>
      </c>
      <c r="DG275" s="208">
        <v>56.700270833333335</v>
      </c>
      <c r="DH275" s="208">
        <v>5558</v>
      </c>
      <c r="DI275" s="208">
        <v>0</v>
      </c>
      <c r="DJ275" s="208">
        <v>113</v>
      </c>
      <c r="DK275" s="208">
        <v>-2780</v>
      </c>
      <c r="DL275" s="208">
        <v>0</v>
      </c>
      <c r="DM275" s="208">
        <v>-56</v>
      </c>
      <c r="DN275" s="208">
        <v>0</v>
      </c>
      <c r="DO275" s="208">
        <v>0</v>
      </c>
      <c r="DP275" s="208">
        <v>0</v>
      </c>
      <c r="DQ275" s="208">
        <v>0</v>
      </c>
      <c r="DR275" s="208">
        <v>0</v>
      </c>
      <c r="DS275" s="208">
        <v>0</v>
      </c>
      <c r="DT275" s="208">
        <v>0</v>
      </c>
      <c r="DU275" s="208">
        <v>0</v>
      </c>
      <c r="DV275" s="208">
        <v>0</v>
      </c>
      <c r="DW275" s="208">
        <v>5284.9603333333334</v>
      </c>
      <c r="DX275" s="208">
        <v>0</v>
      </c>
      <c r="DY275" s="208">
        <v>107.85633333333334</v>
      </c>
      <c r="DZ275" s="208">
        <v>5882</v>
      </c>
      <c r="EA275" s="208">
        <v>0</v>
      </c>
      <c r="EB275" s="208">
        <v>120</v>
      </c>
      <c r="EC275" s="208">
        <v>-597</v>
      </c>
      <c r="ED275" s="208">
        <v>0</v>
      </c>
      <c r="EE275" s="208">
        <v>-12</v>
      </c>
      <c r="EF275" s="208">
        <v>26476.929500000002</v>
      </c>
      <c r="EG275" s="208">
        <v>0</v>
      </c>
      <c r="EH275" s="208">
        <v>540.34550000000002</v>
      </c>
      <c r="EI275" s="208">
        <v>-3297.0854583333335</v>
      </c>
      <c r="EJ275" s="208">
        <v>0</v>
      </c>
      <c r="EK275" s="208">
        <v>-67.287458333333333</v>
      </c>
      <c r="EL275" s="208">
        <v>10024</v>
      </c>
      <c r="EM275" s="208">
        <v>0</v>
      </c>
      <c r="EN275" s="208">
        <v>205</v>
      </c>
      <c r="EO275" s="208">
        <v>13156</v>
      </c>
      <c r="EP275" s="208">
        <v>0</v>
      </c>
      <c r="EQ275" s="208">
        <v>268</v>
      </c>
      <c r="ER275" s="208">
        <v>29417.139791666665</v>
      </c>
      <c r="ES275" s="208">
        <v>0</v>
      </c>
      <c r="ET275" s="208">
        <v>600.34979166666665</v>
      </c>
      <c r="EU275" s="208">
        <v>18546</v>
      </c>
      <c r="EV275" s="208">
        <v>0</v>
      </c>
      <c r="EW275" s="208">
        <v>378</v>
      </c>
      <c r="EX275" s="208">
        <v>10871</v>
      </c>
      <c r="EY275" s="208">
        <v>0</v>
      </c>
      <c r="EZ275" s="208">
        <v>222</v>
      </c>
      <c r="FA275" s="208">
        <v>0</v>
      </c>
      <c r="FB275" s="208">
        <v>0</v>
      </c>
      <c r="FC275" s="208">
        <v>0</v>
      </c>
      <c r="FD275" s="208">
        <v>0</v>
      </c>
      <c r="FE275" s="208">
        <v>0</v>
      </c>
      <c r="FF275" s="208">
        <v>0</v>
      </c>
      <c r="FG275" s="208">
        <v>0</v>
      </c>
      <c r="FH275" s="208">
        <v>0</v>
      </c>
      <c r="FI275" s="208">
        <v>0</v>
      </c>
      <c r="FJ275" s="208">
        <v>1166444.9438124998</v>
      </c>
      <c r="FK275" s="208">
        <v>0</v>
      </c>
      <c r="FL275" s="208">
        <v>23539.742645833332</v>
      </c>
      <c r="FM275" s="208">
        <v>1157191</v>
      </c>
      <c r="FN275" s="208">
        <v>0</v>
      </c>
      <c r="FO275" s="208">
        <v>23360</v>
      </c>
      <c r="FP275" s="208">
        <v>9254</v>
      </c>
      <c r="FQ275" s="208">
        <v>0</v>
      </c>
      <c r="FR275" s="208">
        <v>180</v>
      </c>
      <c r="FS275" s="208">
        <v>0</v>
      </c>
      <c r="FT275" s="208">
        <v>0</v>
      </c>
      <c r="FU275" s="208">
        <v>0</v>
      </c>
      <c r="FV275" s="208">
        <v>0</v>
      </c>
      <c r="FW275" s="208">
        <v>0</v>
      </c>
      <c r="FX275" s="208">
        <v>0</v>
      </c>
      <c r="FY275" s="208">
        <v>0</v>
      </c>
      <c r="FZ275" s="208">
        <v>0</v>
      </c>
      <c r="GA275" s="208">
        <v>0</v>
      </c>
      <c r="GB275" s="208">
        <v>3228099</v>
      </c>
      <c r="GC275" s="208">
        <v>0</v>
      </c>
      <c r="GD275" s="208">
        <v>65615</v>
      </c>
      <c r="GE275" s="664">
        <v>0.5</v>
      </c>
      <c r="GF275" s="664">
        <v>0.49</v>
      </c>
      <c r="GG275" s="664">
        <v>0</v>
      </c>
      <c r="GH275" s="664">
        <v>0.01</v>
      </c>
      <c r="GI275" s="187" t="s">
        <v>742</v>
      </c>
    </row>
    <row r="276" spans="2:191" s="187" customFormat="1" x14ac:dyDescent="0.2">
      <c r="B276" s="429" t="s">
        <v>630</v>
      </c>
      <c r="C276" s="429" t="s">
        <v>629</v>
      </c>
      <c r="D276" s="208">
        <v>-1709073</v>
      </c>
      <c r="E276" s="208">
        <v>0</v>
      </c>
      <c r="F276" s="208">
        <v>-1709073</v>
      </c>
      <c r="G276" s="208">
        <v>-2998797</v>
      </c>
      <c r="H276" s="208">
        <v>0</v>
      </c>
      <c r="I276" s="208">
        <v>-2998797</v>
      </c>
      <c r="J276" s="208">
        <v>1289724</v>
      </c>
      <c r="K276" s="208">
        <v>0</v>
      </c>
      <c r="L276" s="208">
        <v>1289724</v>
      </c>
      <c r="M276" s="208">
        <v>290984</v>
      </c>
      <c r="N276" s="208">
        <v>290984</v>
      </c>
      <c r="O276" s="208">
        <v>0</v>
      </c>
      <c r="P276" s="208">
        <v>0</v>
      </c>
      <c r="Q276" s="208">
        <v>0</v>
      </c>
      <c r="R276" s="208">
        <v>0</v>
      </c>
      <c r="S276" s="208">
        <v>0</v>
      </c>
      <c r="T276" s="208">
        <v>0</v>
      </c>
      <c r="U276" s="208">
        <v>0</v>
      </c>
      <c r="V276" s="208">
        <v>0</v>
      </c>
      <c r="W276" s="208">
        <v>0</v>
      </c>
      <c r="X276" s="208">
        <v>0</v>
      </c>
      <c r="Y276" s="208">
        <v>0</v>
      </c>
      <c r="Z276" s="208">
        <v>0</v>
      </c>
      <c r="AA276" s="208">
        <v>0</v>
      </c>
      <c r="AB276" s="208">
        <v>0</v>
      </c>
      <c r="AC276" s="208">
        <v>0</v>
      </c>
      <c r="AD276" s="208">
        <v>0</v>
      </c>
      <c r="AE276" s="208">
        <v>0</v>
      </c>
      <c r="AF276" s="208">
        <v>0</v>
      </c>
      <c r="AG276" s="208">
        <v>0</v>
      </c>
      <c r="AH276" s="208">
        <v>0</v>
      </c>
      <c r="AI276" s="208">
        <v>0</v>
      </c>
      <c r="AJ276" s="208">
        <v>0</v>
      </c>
      <c r="AK276" s="208">
        <v>0</v>
      </c>
      <c r="AL276" s="208">
        <v>0</v>
      </c>
      <c r="AM276" s="208">
        <v>0</v>
      </c>
      <c r="AN276" s="208">
        <v>0</v>
      </c>
      <c r="AO276" s="208">
        <v>0</v>
      </c>
      <c r="AP276" s="208">
        <v>0</v>
      </c>
      <c r="AQ276" s="208">
        <v>0</v>
      </c>
      <c r="AR276" s="208">
        <v>0</v>
      </c>
      <c r="AS276" s="208">
        <v>0</v>
      </c>
      <c r="AT276" s="208">
        <v>0</v>
      </c>
      <c r="AU276" s="208">
        <v>0</v>
      </c>
      <c r="AV276" s="208">
        <v>0</v>
      </c>
      <c r="AW276" s="208">
        <v>0</v>
      </c>
      <c r="AX276" s="208">
        <v>0</v>
      </c>
      <c r="AY276" s="208">
        <v>0</v>
      </c>
      <c r="AZ276" s="208">
        <v>0</v>
      </c>
      <c r="BA276" s="208">
        <v>0</v>
      </c>
      <c r="BB276" s="208">
        <v>0</v>
      </c>
      <c r="BC276" s="208">
        <v>0</v>
      </c>
      <c r="BD276" s="208">
        <v>0</v>
      </c>
      <c r="BE276" s="208">
        <v>0</v>
      </c>
      <c r="BF276" s="208">
        <v>0</v>
      </c>
      <c r="BG276" s="208">
        <v>0</v>
      </c>
      <c r="BH276" s="208">
        <v>0</v>
      </c>
      <c r="BI276" s="208">
        <v>0</v>
      </c>
      <c r="BJ276" s="208">
        <v>0</v>
      </c>
      <c r="BK276" s="208">
        <v>0</v>
      </c>
      <c r="BL276" s="208">
        <v>0</v>
      </c>
      <c r="BM276" s="208">
        <v>0</v>
      </c>
      <c r="BN276" s="208">
        <v>0</v>
      </c>
      <c r="BO276" s="208">
        <v>6151049.2436910002</v>
      </c>
      <c r="BP276" s="208">
        <v>0</v>
      </c>
      <c r="BQ276" s="208">
        <v>62131.81054233334</v>
      </c>
      <c r="BR276" s="208">
        <v>272502</v>
      </c>
      <c r="BS276" s="208">
        <v>0</v>
      </c>
      <c r="BT276" s="208">
        <v>2753</v>
      </c>
      <c r="BU276" s="208">
        <v>5613501</v>
      </c>
      <c r="BV276" s="208">
        <v>0</v>
      </c>
      <c r="BW276" s="208">
        <v>56702</v>
      </c>
      <c r="BX276" s="208">
        <v>810050</v>
      </c>
      <c r="BY276" s="208">
        <v>0</v>
      </c>
      <c r="BZ276" s="208">
        <v>8183</v>
      </c>
      <c r="CA276" s="208">
        <v>1315.4810625</v>
      </c>
      <c r="CB276" s="208">
        <v>0</v>
      </c>
      <c r="CC276" s="208">
        <v>13.287687500000001</v>
      </c>
      <c r="CD276" s="208">
        <v>0</v>
      </c>
      <c r="CE276" s="208">
        <v>0</v>
      </c>
      <c r="CF276" s="208">
        <v>0</v>
      </c>
      <c r="CG276" s="208">
        <v>1315</v>
      </c>
      <c r="CH276" s="208">
        <v>0</v>
      </c>
      <c r="CI276" s="208">
        <v>13</v>
      </c>
      <c r="CJ276" s="208">
        <v>0</v>
      </c>
      <c r="CK276" s="208">
        <v>0</v>
      </c>
      <c r="CL276" s="208">
        <v>0</v>
      </c>
      <c r="CM276" s="208">
        <v>0</v>
      </c>
      <c r="CN276" s="208">
        <v>0</v>
      </c>
      <c r="CO276" s="208">
        <v>0</v>
      </c>
      <c r="CP276" s="208">
        <v>0</v>
      </c>
      <c r="CQ276" s="208">
        <v>0</v>
      </c>
      <c r="CR276" s="208">
        <v>0</v>
      </c>
      <c r="CS276" s="208">
        <v>0</v>
      </c>
      <c r="CT276" s="208">
        <v>0</v>
      </c>
      <c r="CU276" s="208">
        <v>0</v>
      </c>
      <c r="CV276" s="208">
        <v>0</v>
      </c>
      <c r="CW276" s="208">
        <v>0</v>
      </c>
      <c r="CX276" s="208">
        <v>0</v>
      </c>
      <c r="CY276" s="208">
        <v>0</v>
      </c>
      <c r="CZ276" s="208">
        <v>0</v>
      </c>
      <c r="DA276" s="208">
        <v>0</v>
      </c>
      <c r="DB276" s="208">
        <v>0</v>
      </c>
      <c r="DC276" s="208">
        <v>0</v>
      </c>
      <c r="DD276" s="208">
        <v>0</v>
      </c>
      <c r="DE276" s="208">
        <v>0</v>
      </c>
      <c r="DF276" s="208">
        <v>0</v>
      </c>
      <c r="DG276" s="208">
        <v>0</v>
      </c>
      <c r="DH276" s="208">
        <v>0</v>
      </c>
      <c r="DI276" s="208">
        <v>0</v>
      </c>
      <c r="DJ276" s="208">
        <v>0</v>
      </c>
      <c r="DK276" s="208">
        <v>0</v>
      </c>
      <c r="DL276" s="208">
        <v>0</v>
      </c>
      <c r="DM276" s="208">
        <v>0</v>
      </c>
      <c r="DN276" s="208">
        <v>3038.0625</v>
      </c>
      <c r="DO276" s="208">
        <v>0</v>
      </c>
      <c r="DP276" s="208">
        <v>30.6875</v>
      </c>
      <c r="DQ276" s="208">
        <v>1519</v>
      </c>
      <c r="DR276" s="208">
        <v>0</v>
      </c>
      <c r="DS276" s="208">
        <v>15</v>
      </c>
      <c r="DT276" s="208">
        <v>1519</v>
      </c>
      <c r="DU276" s="208">
        <v>0</v>
      </c>
      <c r="DV276" s="208">
        <v>16</v>
      </c>
      <c r="DW276" s="208">
        <v>23479.1596875</v>
      </c>
      <c r="DX276" s="208">
        <v>0</v>
      </c>
      <c r="DY276" s="208">
        <v>237.1632291666667</v>
      </c>
      <c r="DZ276" s="208">
        <v>28332</v>
      </c>
      <c r="EA276" s="208">
        <v>0</v>
      </c>
      <c r="EB276" s="208">
        <v>286</v>
      </c>
      <c r="EC276" s="208">
        <v>-4853</v>
      </c>
      <c r="ED276" s="208">
        <v>0</v>
      </c>
      <c r="EE276" s="208">
        <v>-49</v>
      </c>
      <c r="EF276" s="208">
        <v>137940.18974999999</v>
      </c>
      <c r="EG276" s="208">
        <v>0</v>
      </c>
      <c r="EH276" s="208">
        <v>1393.3352499999999</v>
      </c>
      <c r="EI276" s="208">
        <v>-8863.0410000000011</v>
      </c>
      <c r="EJ276" s="208">
        <v>0</v>
      </c>
      <c r="EK276" s="208">
        <v>-89.52566666666668</v>
      </c>
      <c r="EL276" s="208">
        <v>140590</v>
      </c>
      <c r="EM276" s="208">
        <v>0</v>
      </c>
      <c r="EN276" s="208">
        <v>1420</v>
      </c>
      <c r="EO276" s="208">
        <v>-11513</v>
      </c>
      <c r="EP276" s="208">
        <v>0</v>
      </c>
      <c r="EQ276" s="208">
        <v>-116</v>
      </c>
      <c r="ER276" s="208">
        <v>65627.213437499988</v>
      </c>
      <c r="ES276" s="208">
        <v>0</v>
      </c>
      <c r="ET276" s="208">
        <v>662.90114583333332</v>
      </c>
      <c r="EU276" s="208">
        <v>86722</v>
      </c>
      <c r="EV276" s="208">
        <v>0</v>
      </c>
      <c r="EW276" s="208">
        <v>876</v>
      </c>
      <c r="EX276" s="208">
        <v>-21095</v>
      </c>
      <c r="EY276" s="208">
        <v>0</v>
      </c>
      <c r="EZ276" s="208">
        <v>-213</v>
      </c>
      <c r="FA276" s="208">
        <v>0</v>
      </c>
      <c r="FB276" s="208">
        <v>0</v>
      </c>
      <c r="FC276" s="208">
        <v>0</v>
      </c>
      <c r="FD276" s="208">
        <v>0</v>
      </c>
      <c r="FE276" s="208">
        <v>0</v>
      </c>
      <c r="FF276" s="208">
        <v>0</v>
      </c>
      <c r="FG276" s="208">
        <v>0</v>
      </c>
      <c r="FH276" s="208">
        <v>0</v>
      </c>
      <c r="FI276" s="208">
        <v>0</v>
      </c>
      <c r="FJ276" s="208">
        <v>1156709.4144375001</v>
      </c>
      <c r="FK276" s="208">
        <v>0</v>
      </c>
      <c r="FL276" s="208">
        <v>11683.933479166666</v>
      </c>
      <c r="FM276" s="208">
        <v>1192235</v>
      </c>
      <c r="FN276" s="208">
        <v>0</v>
      </c>
      <c r="FO276" s="208">
        <v>12043</v>
      </c>
      <c r="FP276" s="208">
        <v>-35526</v>
      </c>
      <c r="FQ276" s="208">
        <v>0</v>
      </c>
      <c r="FR276" s="208">
        <v>-359</v>
      </c>
      <c r="FS276" s="208">
        <v>0</v>
      </c>
      <c r="FT276" s="208">
        <v>0</v>
      </c>
      <c r="FU276" s="208">
        <v>0</v>
      </c>
      <c r="FV276" s="208">
        <v>0</v>
      </c>
      <c r="FW276" s="208">
        <v>0</v>
      </c>
      <c r="FX276" s="208">
        <v>0</v>
      </c>
      <c r="FY276" s="208">
        <v>0</v>
      </c>
      <c r="FZ276" s="208">
        <v>0</v>
      </c>
      <c r="GA276" s="208">
        <v>0</v>
      </c>
      <c r="GB276" s="208">
        <v>7802796</v>
      </c>
      <c r="GC276" s="208">
        <v>0</v>
      </c>
      <c r="GD276" s="208">
        <v>78816</v>
      </c>
      <c r="GE276" s="664">
        <v>0</v>
      </c>
      <c r="GF276" s="664">
        <v>0.99</v>
      </c>
      <c r="GG276" s="664">
        <v>0</v>
      </c>
      <c r="GH276" s="664">
        <v>0.01</v>
      </c>
      <c r="GI276" s="187" t="s">
        <v>1056</v>
      </c>
    </row>
    <row r="277" spans="2:191" s="187" customFormat="1" x14ac:dyDescent="0.2">
      <c r="B277" s="429" t="s">
        <v>632</v>
      </c>
      <c r="C277" s="429" t="s">
        <v>631</v>
      </c>
      <c r="D277" s="208">
        <v>-722306</v>
      </c>
      <c r="E277" s="208">
        <v>0</v>
      </c>
      <c r="F277" s="208">
        <v>-722306</v>
      </c>
      <c r="G277" s="208">
        <v>-703652</v>
      </c>
      <c r="H277" s="208">
        <v>0</v>
      </c>
      <c r="I277" s="208">
        <v>-703652</v>
      </c>
      <c r="J277" s="208">
        <v>-18654</v>
      </c>
      <c r="K277" s="208">
        <v>0</v>
      </c>
      <c r="L277" s="208">
        <v>-18654</v>
      </c>
      <c r="M277" s="208">
        <v>90018</v>
      </c>
      <c r="N277" s="208">
        <v>90018</v>
      </c>
      <c r="O277" s="208">
        <v>0</v>
      </c>
      <c r="P277" s="208">
        <v>0</v>
      </c>
      <c r="Q277" s="208">
        <v>0</v>
      </c>
      <c r="R277" s="208">
        <v>0</v>
      </c>
      <c r="S277" s="208">
        <v>0</v>
      </c>
      <c r="T277" s="208">
        <v>0</v>
      </c>
      <c r="U277" s="208">
        <v>0</v>
      </c>
      <c r="V277" s="208">
        <v>0</v>
      </c>
      <c r="W277" s="208">
        <v>0</v>
      </c>
      <c r="X277" s="208">
        <v>0</v>
      </c>
      <c r="Y277" s="208">
        <v>0</v>
      </c>
      <c r="Z277" s="208">
        <v>0</v>
      </c>
      <c r="AA277" s="208">
        <v>0</v>
      </c>
      <c r="AB277" s="208">
        <v>0</v>
      </c>
      <c r="AC277" s="208">
        <v>0</v>
      </c>
      <c r="AD277" s="208">
        <v>0</v>
      </c>
      <c r="AE277" s="208">
        <v>0</v>
      </c>
      <c r="AF277" s="208">
        <v>0</v>
      </c>
      <c r="AG277" s="208">
        <v>0</v>
      </c>
      <c r="AH277" s="208">
        <v>0</v>
      </c>
      <c r="AI277" s="208">
        <v>0</v>
      </c>
      <c r="AJ277" s="208">
        <v>0</v>
      </c>
      <c r="AK277" s="208">
        <v>0</v>
      </c>
      <c r="AL277" s="208">
        <v>0</v>
      </c>
      <c r="AM277" s="208">
        <v>0</v>
      </c>
      <c r="AN277" s="208">
        <v>0</v>
      </c>
      <c r="AO277" s="208">
        <v>0</v>
      </c>
      <c r="AP277" s="208">
        <v>0</v>
      </c>
      <c r="AQ277" s="208">
        <v>0</v>
      </c>
      <c r="AR277" s="208">
        <v>0</v>
      </c>
      <c r="AS277" s="208">
        <v>0</v>
      </c>
      <c r="AT277" s="208">
        <v>0</v>
      </c>
      <c r="AU277" s="208">
        <v>0</v>
      </c>
      <c r="AV277" s="208">
        <v>0</v>
      </c>
      <c r="AW277" s="208">
        <v>0</v>
      </c>
      <c r="AX277" s="208">
        <v>0</v>
      </c>
      <c r="AY277" s="208">
        <v>0</v>
      </c>
      <c r="AZ277" s="208">
        <v>0</v>
      </c>
      <c r="BA277" s="208">
        <v>0</v>
      </c>
      <c r="BB277" s="208">
        <v>0</v>
      </c>
      <c r="BC277" s="208">
        <v>0</v>
      </c>
      <c r="BD277" s="208">
        <v>0</v>
      </c>
      <c r="BE277" s="208">
        <v>0</v>
      </c>
      <c r="BF277" s="208">
        <v>0</v>
      </c>
      <c r="BG277" s="208">
        <v>0</v>
      </c>
      <c r="BH277" s="208">
        <v>0</v>
      </c>
      <c r="BI277" s="208">
        <v>0</v>
      </c>
      <c r="BJ277" s="208">
        <v>0</v>
      </c>
      <c r="BK277" s="208">
        <v>0</v>
      </c>
      <c r="BL277" s="208">
        <v>0</v>
      </c>
      <c r="BM277" s="208">
        <v>0</v>
      </c>
      <c r="BN277" s="208">
        <v>0</v>
      </c>
      <c r="BO277" s="208">
        <v>637496.27309833339</v>
      </c>
      <c r="BP277" s="208">
        <v>143436.66144712499</v>
      </c>
      <c r="BQ277" s="208">
        <v>15937.406827458333</v>
      </c>
      <c r="BR277" s="208">
        <v>52842</v>
      </c>
      <c r="BS277" s="208">
        <v>11889</v>
      </c>
      <c r="BT277" s="208">
        <v>1321</v>
      </c>
      <c r="BU277" s="208">
        <v>615332</v>
      </c>
      <c r="BV277" s="208">
        <v>138450</v>
      </c>
      <c r="BW277" s="208">
        <v>15383</v>
      </c>
      <c r="BX277" s="208">
        <v>75006</v>
      </c>
      <c r="BY277" s="208">
        <v>16876</v>
      </c>
      <c r="BZ277" s="208">
        <v>1875</v>
      </c>
      <c r="CA277" s="208">
        <v>2378.895</v>
      </c>
      <c r="CB277" s="208">
        <v>535.25137500000005</v>
      </c>
      <c r="CC277" s="208">
        <v>59.472375</v>
      </c>
      <c r="CD277" s="208">
        <v>0</v>
      </c>
      <c r="CE277" s="208">
        <v>0</v>
      </c>
      <c r="CF277" s="208">
        <v>0</v>
      </c>
      <c r="CG277" s="208">
        <v>2379</v>
      </c>
      <c r="CH277" s="208">
        <v>535</v>
      </c>
      <c r="CI277" s="208">
        <v>59</v>
      </c>
      <c r="CJ277" s="208">
        <v>0</v>
      </c>
      <c r="CK277" s="208">
        <v>0</v>
      </c>
      <c r="CL277" s="208">
        <v>0</v>
      </c>
      <c r="CM277" s="208">
        <v>0</v>
      </c>
      <c r="CN277" s="208">
        <v>0</v>
      </c>
      <c r="CO277" s="208">
        <v>0</v>
      </c>
      <c r="CP277" s="208">
        <v>0</v>
      </c>
      <c r="CQ277" s="208">
        <v>0</v>
      </c>
      <c r="CR277" s="208">
        <v>0</v>
      </c>
      <c r="CS277" s="208">
        <v>0</v>
      </c>
      <c r="CT277" s="208">
        <v>0</v>
      </c>
      <c r="CU277" s="208">
        <v>0</v>
      </c>
      <c r="CV277" s="208">
        <v>0</v>
      </c>
      <c r="CW277" s="208">
        <v>0</v>
      </c>
      <c r="CX277" s="208">
        <v>0</v>
      </c>
      <c r="CY277" s="208">
        <v>0</v>
      </c>
      <c r="CZ277" s="208">
        <v>0</v>
      </c>
      <c r="DA277" s="208">
        <v>0</v>
      </c>
      <c r="DB277" s="208">
        <v>0</v>
      </c>
      <c r="DC277" s="208">
        <v>0</v>
      </c>
      <c r="DD277" s="208">
        <v>0</v>
      </c>
      <c r="DE277" s="208">
        <v>0</v>
      </c>
      <c r="DF277" s="208">
        <v>0</v>
      </c>
      <c r="DG277" s="208">
        <v>0</v>
      </c>
      <c r="DH277" s="208">
        <v>0</v>
      </c>
      <c r="DI277" s="208">
        <v>0</v>
      </c>
      <c r="DJ277" s="208">
        <v>0</v>
      </c>
      <c r="DK277" s="208">
        <v>0</v>
      </c>
      <c r="DL277" s="208">
        <v>0</v>
      </c>
      <c r="DM277" s="208">
        <v>0</v>
      </c>
      <c r="DN277" s="208">
        <v>613.75</v>
      </c>
      <c r="DO277" s="208">
        <v>138.09375</v>
      </c>
      <c r="DP277" s="208">
        <v>15.34375</v>
      </c>
      <c r="DQ277" s="208">
        <v>0</v>
      </c>
      <c r="DR277" s="208">
        <v>0</v>
      </c>
      <c r="DS277" s="208">
        <v>0</v>
      </c>
      <c r="DT277" s="208">
        <v>614</v>
      </c>
      <c r="DU277" s="208">
        <v>138</v>
      </c>
      <c r="DV277" s="208">
        <v>15</v>
      </c>
      <c r="DW277" s="208">
        <v>2896.0816666666669</v>
      </c>
      <c r="DX277" s="208">
        <v>651.6183749999999</v>
      </c>
      <c r="DY277" s="208">
        <v>72.402041666666662</v>
      </c>
      <c r="DZ277" s="208">
        <v>2418</v>
      </c>
      <c r="EA277" s="208">
        <v>544</v>
      </c>
      <c r="EB277" s="208">
        <v>60</v>
      </c>
      <c r="EC277" s="208">
        <v>478</v>
      </c>
      <c r="ED277" s="208">
        <v>108</v>
      </c>
      <c r="EE277" s="208">
        <v>12</v>
      </c>
      <c r="EF277" s="208">
        <v>42213.725000000006</v>
      </c>
      <c r="EG277" s="208">
        <v>9498.0881250000002</v>
      </c>
      <c r="EH277" s="208">
        <v>1055.3431250000001</v>
      </c>
      <c r="EI277" s="208">
        <v>-1282.3283333333334</v>
      </c>
      <c r="EJ277" s="208">
        <v>-288.52387499999998</v>
      </c>
      <c r="EK277" s="208">
        <v>-32.058208333333333</v>
      </c>
      <c r="EL277" s="208">
        <v>42382</v>
      </c>
      <c r="EM277" s="208">
        <v>9536</v>
      </c>
      <c r="EN277" s="208">
        <v>1060</v>
      </c>
      <c r="EO277" s="208">
        <v>-1451</v>
      </c>
      <c r="EP277" s="208">
        <v>-326</v>
      </c>
      <c r="EQ277" s="208">
        <v>-37</v>
      </c>
      <c r="ER277" s="208">
        <v>6462.378333333334</v>
      </c>
      <c r="ES277" s="208">
        <v>1454.0351249999999</v>
      </c>
      <c r="ET277" s="208">
        <v>161.55945833333331</v>
      </c>
      <c r="EU277" s="208">
        <v>7365</v>
      </c>
      <c r="EV277" s="208">
        <v>1657</v>
      </c>
      <c r="EW277" s="208">
        <v>184</v>
      </c>
      <c r="EX277" s="208">
        <v>-903</v>
      </c>
      <c r="EY277" s="208">
        <v>-203</v>
      </c>
      <c r="EZ277" s="208">
        <v>-22</v>
      </c>
      <c r="FA277" s="208">
        <v>0</v>
      </c>
      <c r="FB277" s="208">
        <v>0</v>
      </c>
      <c r="FC277" s="208">
        <v>0</v>
      </c>
      <c r="FD277" s="208">
        <v>0</v>
      </c>
      <c r="FE277" s="208">
        <v>0</v>
      </c>
      <c r="FF277" s="208">
        <v>0</v>
      </c>
      <c r="FG277" s="208">
        <v>0</v>
      </c>
      <c r="FH277" s="208">
        <v>0</v>
      </c>
      <c r="FI277" s="208">
        <v>0</v>
      </c>
      <c r="FJ277" s="208">
        <v>309760.92583333334</v>
      </c>
      <c r="FK277" s="208">
        <v>69696.208312499992</v>
      </c>
      <c r="FL277" s="208">
        <v>7744.0231458333328</v>
      </c>
      <c r="FM277" s="208">
        <v>300085</v>
      </c>
      <c r="FN277" s="208">
        <v>67519</v>
      </c>
      <c r="FO277" s="208">
        <v>7502</v>
      </c>
      <c r="FP277" s="208">
        <v>9676</v>
      </c>
      <c r="FQ277" s="208">
        <v>2177</v>
      </c>
      <c r="FR277" s="208">
        <v>242</v>
      </c>
      <c r="FS277" s="208">
        <v>0</v>
      </c>
      <c r="FT277" s="208">
        <v>0</v>
      </c>
      <c r="FU277" s="208">
        <v>0</v>
      </c>
      <c r="FV277" s="208">
        <v>0</v>
      </c>
      <c r="FW277" s="208">
        <v>0</v>
      </c>
      <c r="FX277" s="208">
        <v>0</v>
      </c>
      <c r="FY277" s="208">
        <v>0</v>
      </c>
      <c r="FZ277" s="208">
        <v>0</v>
      </c>
      <c r="GA277" s="208">
        <v>0</v>
      </c>
      <c r="GB277" s="208">
        <v>1053382</v>
      </c>
      <c r="GC277" s="208">
        <v>237010</v>
      </c>
      <c r="GD277" s="208">
        <v>26333</v>
      </c>
      <c r="GE277" s="664">
        <v>0.5</v>
      </c>
      <c r="GF277" s="664">
        <v>0.4</v>
      </c>
      <c r="GG277" s="664">
        <v>0.09</v>
      </c>
      <c r="GH277" s="664">
        <v>0.01</v>
      </c>
      <c r="GI277" s="187" t="s">
        <v>1054</v>
      </c>
    </row>
    <row r="278" spans="2:191" s="187" customFormat="1" x14ac:dyDescent="0.2">
      <c r="B278" s="429" t="s">
        <v>634</v>
      </c>
      <c r="C278" s="429" t="s">
        <v>633</v>
      </c>
      <c r="D278" s="208">
        <v>894345</v>
      </c>
      <c r="E278" s="208">
        <v>0</v>
      </c>
      <c r="F278" s="208">
        <v>894345</v>
      </c>
      <c r="G278" s="208">
        <v>1332957</v>
      </c>
      <c r="H278" s="208">
        <v>0</v>
      </c>
      <c r="I278" s="208">
        <v>1332957</v>
      </c>
      <c r="J278" s="208">
        <v>-438612</v>
      </c>
      <c r="K278" s="208">
        <v>0</v>
      </c>
      <c r="L278" s="208">
        <v>-438612</v>
      </c>
      <c r="M278" s="208">
        <v>125663</v>
      </c>
      <c r="N278" s="208">
        <v>125663</v>
      </c>
      <c r="O278" s="208">
        <v>0</v>
      </c>
      <c r="P278" s="208">
        <v>0</v>
      </c>
      <c r="Q278" s="208">
        <v>0</v>
      </c>
      <c r="R278" s="208">
        <v>0</v>
      </c>
      <c r="S278" s="208">
        <v>0</v>
      </c>
      <c r="T278" s="208">
        <v>0</v>
      </c>
      <c r="U278" s="208">
        <v>0</v>
      </c>
      <c r="V278" s="208">
        <v>0</v>
      </c>
      <c r="W278" s="208">
        <v>0</v>
      </c>
      <c r="X278" s="208">
        <v>0</v>
      </c>
      <c r="Y278" s="208">
        <v>0</v>
      </c>
      <c r="Z278" s="208">
        <v>0</v>
      </c>
      <c r="AA278" s="208">
        <v>0</v>
      </c>
      <c r="AB278" s="208">
        <v>0</v>
      </c>
      <c r="AC278" s="208">
        <v>0</v>
      </c>
      <c r="AD278" s="208">
        <v>0</v>
      </c>
      <c r="AE278" s="208">
        <v>0</v>
      </c>
      <c r="AF278" s="208">
        <v>0</v>
      </c>
      <c r="AG278" s="208">
        <v>0</v>
      </c>
      <c r="AH278" s="208">
        <v>0</v>
      </c>
      <c r="AI278" s="208">
        <v>0</v>
      </c>
      <c r="AJ278" s="208">
        <v>0</v>
      </c>
      <c r="AK278" s="208">
        <v>0</v>
      </c>
      <c r="AL278" s="208">
        <v>0</v>
      </c>
      <c r="AM278" s="208">
        <v>0</v>
      </c>
      <c r="AN278" s="208">
        <v>0</v>
      </c>
      <c r="AO278" s="208">
        <v>0</v>
      </c>
      <c r="AP278" s="208">
        <v>0</v>
      </c>
      <c r="AQ278" s="208">
        <v>0</v>
      </c>
      <c r="AR278" s="208">
        <v>0</v>
      </c>
      <c r="AS278" s="208">
        <v>0</v>
      </c>
      <c r="AT278" s="208">
        <v>0</v>
      </c>
      <c r="AU278" s="208">
        <v>0</v>
      </c>
      <c r="AV278" s="208">
        <v>0</v>
      </c>
      <c r="AW278" s="208">
        <v>0</v>
      </c>
      <c r="AX278" s="208">
        <v>0</v>
      </c>
      <c r="AY278" s="208">
        <v>0</v>
      </c>
      <c r="AZ278" s="208">
        <v>0</v>
      </c>
      <c r="BA278" s="208">
        <v>0</v>
      </c>
      <c r="BB278" s="208">
        <v>0</v>
      </c>
      <c r="BC278" s="208">
        <v>0</v>
      </c>
      <c r="BD278" s="208">
        <v>0</v>
      </c>
      <c r="BE278" s="208">
        <v>0</v>
      </c>
      <c r="BF278" s="208">
        <v>0</v>
      </c>
      <c r="BG278" s="208">
        <v>0</v>
      </c>
      <c r="BH278" s="208">
        <v>0</v>
      </c>
      <c r="BI278" s="208">
        <v>0</v>
      </c>
      <c r="BJ278" s="208">
        <v>0</v>
      </c>
      <c r="BK278" s="208">
        <v>0</v>
      </c>
      <c r="BL278" s="208">
        <v>0</v>
      </c>
      <c r="BM278" s="208">
        <v>0</v>
      </c>
      <c r="BN278" s="208">
        <v>0</v>
      </c>
      <c r="BO278" s="208">
        <v>692267.55092642503</v>
      </c>
      <c r="BP278" s="208">
        <v>1615290.9521616583</v>
      </c>
      <c r="BQ278" s="208">
        <v>0</v>
      </c>
      <c r="BR278" s="208">
        <v>44674</v>
      </c>
      <c r="BS278" s="208">
        <v>104240</v>
      </c>
      <c r="BT278" s="208">
        <v>0</v>
      </c>
      <c r="BU278" s="208">
        <v>646195</v>
      </c>
      <c r="BV278" s="208">
        <v>1507788</v>
      </c>
      <c r="BW278" s="208">
        <v>0</v>
      </c>
      <c r="BX278" s="208">
        <v>90747</v>
      </c>
      <c r="BY278" s="208">
        <v>211743</v>
      </c>
      <c r="BZ278" s="208">
        <v>0</v>
      </c>
      <c r="CA278" s="208">
        <v>0</v>
      </c>
      <c r="CB278" s="208">
        <v>0</v>
      </c>
      <c r="CC278" s="208">
        <v>0</v>
      </c>
      <c r="CD278" s="208">
        <v>0</v>
      </c>
      <c r="CE278" s="208">
        <v>0</v>
      </c>
      <c r="CF278" s="208">
        <v>0</v>
      </c>
      <c r="CG278" s="208">
        <v>0</v>
      </c>
      <c r="CH278" s="208">
        <v>0</v>
      </c>
      <c r="CI278" s="208">
        <v>0</v>
      </c>
      <c r="CJ278" s="208">
        <v>0</v>
      </c>
      <c r="CK278" s="208">
        <v>0</v>
      </c>
      <c r="CL278" s="208">
        <v>0</v>
      </c>
      <c r="CM278" s="208">
        <v>0</v>
      </c>
      <c r="CN278" s="208">
        <v>0</v>
      </c>
      <c r="CO278" s="208">
        <v>0</v>
      </c>
      <c r="CP278" s="208">
        <v>0</v>
      </c>
      <c r="CQ278" s="208">
        <v>0</v>
      </c>
      <c r="CR278" s="208">
        <v>0</v>
      </c>
      <c r="CS278" s="208">
        <v>0</v>
      </c>
      <c r="CT278" s="208">
        <v>0</v>
      </c>
      <c r="CU278" s="208">
        <v>0</v>
      </c>
      <c r="CV278" s="208">
        <v>0</v>
      </c>
      <c r="CW278" s="208">
        <v>0</v>
      </c>
      <c r="CX278" s="208">
        <v>0</v>
      </c>
      <c r="CY278" s="208">
        <v>0</v>
      </c>
      <c r="CZ278" s="208">
        <v>0</v>
      </c>
      <c r="DA278" s="208">
        <v>0</v>
      </c>
      <c r="DB278" s="208">
        <v>0</v>
      </c>
      <c r="DC278" s="208">
        <v>0</v>
      </c>
      <c r="DD278" s="208">
        <v>0</v>
      </c>
      <c r="DE278" s="208">
        <v>5087.0668749999995</v>
      </c>
      <c r="DF278" s="208">
        <v>11869.822708333333</v>
      </c>
      <c r="DG278" s="208">
        <v>0</v>
      </c>
      <c r="DH278" s="208">
        <v>5540</v>
      </c>
      <c r="DI278" s="208">
        <v>12927</v>
      </c>
      <c r="DJ278" s="208">
        <v>0</v>
      </c>
      <c r="DK278" s="208">
        <v>-453</v>
      </c>
      <c r="DL278" s="208">
        <v>-1057</v>
      </c>
      <c r="DM278" s="208">
        <v>0</v>
      </c>
      <c r="DN278" s="208">
        <v>0</v>
      </c>
      <c r="DO278" s="208">
        <v>0</v>
      </c>
      <c r="DP278" s="208">
        <v>0</v>
      </c>
      <c r="DQ278" s="208">
        <v>0</v>
      </c>
      <c r="DR278" s="208">
        <v>0</v>
      </c>
      <c r="DS278" s="208">
        <v>0</v>
      </c>
      <c r="DT278" s="208">
        <v>0</v>
      </c>
      <c r="DU278" s="208">
        <v>0</v>
      </c>
      <c r="DV278" s="208">
        <v>0</v>
      </c>
      <c r="DW278" s="208">
        <v>16956.378125000003</v>
      </c>
      <c r="DX278" s="208">
        <v>39564.882291666661</v>
      </c>
      <c r="DY278" s="208">
        <v>0</v>
      </c>
      <c r="DZ278" s="208">
        <v>22646</v>
      </c>
      <c r="EA278" s="208">
        <v>52841</v>
      </c>
      <c r="EB278" s="208">
        <v>0</v>
      </c>
      <c r="EC278" s="208">
        <v>-5690</v>
      </c>
      <c r="ED278" s="208">
        <v>-13276</v>
      </c>
      <c r="EE278" s="208">
        <v>0</v>
      </c>
      <c r="EF278" s="208">
        <v>31406.814999999999</v>
      </c>
      <c r="EG278" s="208">
        <v>73282.568333333329</v>
      </c>
      <c r="EH278" s="208">
        <v>0</v>
      </c>
      <c r="EI278" s="208">
        <v>-165.71250000000001</v>
      </c>
      <c r="EJ278" s="208">
        <v>-386.66249999999997</v>
      </c>
      <c r="EK278" s="208">
        <v>0</v>
      </c>
      <c r="EL278" s="208">
        <v>36201</v>
      </c>
      <c r="EM278" s="208">
        <v>84471</v>
      </c>
      <c r="EN278" s="208">
        <v>0</v>
      </c>
      <c r="EO278" s="208">
        <v>-4960</v>
      </c>
      <c r="EP278" s="208">
        <v>-11575</v>
      </c>
      <c r="EQ278" s="208">
        <v>0</v>
      </c>
      <c r="ER278" s="208">
        <v>9603.3462499999987</v>
      </c>
      <c r="ES278" s="208">
        <v>22407.807916666665</v>
      </c>
      <c r="ET278" s="208">
        <v>0</v>
      </c>
      <c r="EU278" s="208">
        <v>11526</v>
      </c>
      <c r="EV278" s="208">
        <v>26894</v>
      </c>
      <c r="EW278" s="208">
        <v>0</v>
      </c>
      <c r="EX278" s="208">
        <v>-1923</v>
      </c>
      <c r="EY278" s="208">
        <v>-4486</v>
      </c>
      <c r="EZ278" s="208">
        <v>0</v>
      </c>
      <c r="FA278" s="208">
        <v>0</v>
      </c>
      <c r="FB278" s="208">
        <v>0</v>
      </c>
      <c r="FC278" s="208">
        <v>0</v>
      </c>
      <c r="FD278" s="208">
        <v>0</v>
      </c>
      <c r="FE278" s="208">
        <v>0</v>
      </c>
      <c r="FF278" s="208">
        <v>0</v>
      </c>
      <c r="FG278" s="208">
        <v>0</v>
      </c>
      <c r="FH278" s="208">
        <v>0</v>
      </c>
      <c r="FI278" s="208">
        <v>0</v>
      </c>
      <c r="FJ278" s="208">
        <v>146133.24687499998</v>
      </c>
      <c r="FK278" s="208">
        <v>340977.57604166662</v>
      </c>
      <c r="FL278" s="208">
        <v>0</v>
      </c>
      <c r="FM278" s="208">
        <v>145065</v>
      </c>
      <c r="FN278" s="208">
        <v>338485</v>
      </c>
      <c r="FO278" s="208">
        <v>0</v>
      </c>
      <c r="FP278" s="208">
        <v>1068</v>
      </c>
      <c r="FQ278" s="208">
        <v>2493</v>
      </c>
      <c r="FR278" s="208">
        <v>0</v>
      </c>
      <c r="FS278" s="208">
        <v>0</v>
      </c>
      <c r="FT278" s="208">
        <v>0</v>
      </c>
      <c r="FU278" s="208">
        <v>0</v>
      </c>
      <c r="FV278" s="208">
        <v>0</v>
      </c>
      <c r="FW278" s="208">
        <v>0</v>
      </c>
      <c r="FX278" s="208">
        <v>0</v>
      </c>
      <c r="FY278" s="208">
        <v>0</v>
      </c>
      <c r="FZ278" s="208">
        <v>0</v>
      </c>
      <c r="GA278" s="208">
        <v>0</v>
      </c>
      <c r="GB278" s="208">
        <v>945962</v>
      </c>
      <c r="GC278" s="208">
        <v>2207248</v>
      </c>
      <c r="GD278" s="208">
        <v>0</v>
      </c>
      <c r="GE278" s="664">
        <v>0</v>
      </c>
      <c r="GF278" s="664">
        <v>0.3</v>
      </c>
      <c r="GG278" s="664">
        <v>0.7</v>
      </c>
      <c r="GH278" s="664">
        <v>0</v>
      </c>
      <c r="GI278" s="187" t="s">
        <v>1054</v>
      </c>
    </row>
    <row r="279" spans="2:191" s="187" customFormat="1" x14ac:dyDescent="0.2">
      <c r="B279" s="429" t="s">
        <v>636</v>
      </c>
      <c r="C279" s="429" t="s">
        <v>635</v>
      </c>
      <c r="D279" s="208">
        <v>-889054</v>
      </c>
      <c r="E279" s="208">
        <v>0</v>
      </c>
      <c r="F279" s="208">
        <v>-889054</v>
      </c>
      <c r="G279" s="208">
        <v>-1175357</v>
      </c>
      <c r="H279" s="208">
        <v>0</v>
      </c>
      <c r="I279" s="208">
        <v>-1175357</v>
      </c>
      <c r="J279" s="208">
        <v>286303</v>
      </c>
      <c r="K279" s="208">
        <v>0</v>
      </c>
      <c r="L279" s="208">
        <v>286303</v>
      </c>
      <c r="M279" s="208">
        <v>173098</v>
      </c>
      <c r="N279" s="208">
        <v>173098</v>
      </c>
      <c r="O279" s="208">
        <v>0</v>
      </c>
      <c r="P279" s="208">
        <v>0</v>
      </c>
      <c r="Q279" s="208">
        <v>0</v>
      </c>
      <c r="R279" s="208">
        <v>0</v>
      </c>
      <c r="S279" s="208">
        <v>166364</v>
      </c>
      <c r="T279" s="208">
        <v>0</v>
      </c>
      <c r="U279" s="208">
        <v>170686</v>
      </c>
      <c r="V279" s="208">
        <v>0</v>
      </c>
      <c r="W279" s="208">
        <v>-4322</v>
      </c>
      <c r="X279" s="208">
        <v>0</v>
      </c>
      <c r="Y279" s="208">
        <v>0</v>
      </c>
      <c r="Z279" s="208">
        <v>0</v>
      </c>
      <c r="AA279" s="208">
        <v>0</v>
      </c>
      <c r="AB279" s="208">
        <v>0</v>
      </c>
      <c r="AC279" s="208">
        <v>0</v>
      </c>
      <c r="AD279" s="208">
        <v>0</v>
      </c>
      <c r="AE279" s="208">
        <v>0</v>
      </c>
      <c r="AF279" s="208">
        <v>0</v>
      </c>
      <c r="AG279" s="208">
        <v>0</v>
      </c>
      <c r="AH279" s="208">
        <v>0</v>
      </c>
      <c r="AI279" s="208">
        <v>0</v>
      </c>
      <c r="AJ279" s="208">
        <v>0</v>
      </c>
      <c r="AK279" s="208">
        <v>0</v>
      </c>
      <c r="AL279" s="208">
        <v>0</v>
      </c>
      <c r="AM279" s="208">
        <v>0</v>
      </c>
      <c r="AN279" s="208">
        <v>0</v>
      </c>
      <c r="AO279" s="208">
        <v>0</v>
      </c>
      <c r="AP279" s="208">
        <v>0</v>
      </c>
      <c r="AQ279" s="208">
        <v>0</v>
      </c>
      <c r="AR279" s="208">
        <v>0</v>
      </c>
      <c r="AS279" s="208">
        <v>0</v>
      </c>
      <c r="AT279" s="208">
        <v>0</v>
      </c>
      <c r="AU279" s="208">
        <v>0</v>
      </c>
      <c r="AV279" s="208">
        <v>0</v>
      </c>
      <c r="AW279" s="208">
        <v>0</v>
      </c>
      <c r="AX279" s="208">
        <v>0</v>
      </c>
      <c r="AY279" s="208">
        <v>0</v>
      </c>
      <c r="AZ279" s="208">
        <v>0</v>
      </c>
      <c r="BA279" s="208">
        <v>0</v>
      </c>
      <c r="BB279" s="208">
        <v>0</v>
      </c>
      <c r="BC279" s="208">
        <v>0</v>
      </c>
      <c r="BD279" s="208">
        <v>0</v>
      </c>
      <c r="BE279" s="208">
        <v>0</v>
      </c>
      <c r="BF279" s="208">
        <v>0</v>
      </c>
      <c r="BG279" s="208">
        <v>0</v>
      </c>
      <c r="BH279" s="208">
        <v>0</v>
      </c>
      <c r="BI279" s="208">
        <v>0</v>
      </c>
      <c r="BJ279" s="208">
        <v>0</v>
      </c>
      <c r="BK279" s="208">
        <v>0</v>
      </c>
      <c r="BL279" s="208">
        <v>0</v>
      </c>
      <c r="BM279" s="208">
        <v>0</v>
      </c>
      <c r="BN279" s="208">
        <v>0</v>
      </c>
      <c r="BO279" s="208">
        <v>1265131.8357500006</v>
      </c>
      <c r="BP279" s="208">
        <v>284654.66304374998</v>
      </c>
      <c r="BQ279" s="208">
        <v>31628.295893750001</v>
      </c>
      <c r="BR279" s="208">
        <v>87713</v>
      </c>
      <c r="BS279" s="208">
        <v>19736</v>
      </c>
      <c r="BT279" s="208">
        <v>2193</v>
      </c>
      <c r="BU279" s="208">
        <v>1175441</v>
      </c>
      <c r="BV279" s="208">
        <v>264474</v>
      </c>
      <c r="BW279" s="208">
        <v>29386</v>
      </c>
      <c r="BX279" s="208">
        <v>177404</v>
      </c>
      <c r="BY279" s="208">
        <v>39917</v>
      </c>
      <c r="BZ279" s="208">
        <v>4435</v>
      </c>
      <c r="CA279" s="208">
        <v>23851.143333333333</v>
      </c>
      <c r="CB279" s="208">
        <v>5366.5072499999997</v>
      </c>
      <c r="CC279" s="208">
        <v>596.27858333333336</v>
      </c>
      <c r="CD279" s="208">
        <v>0</v>
      </c>
      <c r="CE279" s="208">
        <v>0</v>
      </c>
      <c r="CF279" s="208">
        <v>0</v>
      </c>
      <c r="CG279" s="208">
        <v>23851</v>
      </c>
      <c r="CH279" s="208">
        <v>5367</v>
      </c>
      <c r="CI279" s="208">
        <v>596</v>
      </c>
      <c r="CJ279" s="208">
        <v>-64.239166666666662</v>
      </c>
      <c r="CK279" s="208">
        <v>-14.4538125</v>
      </c>
      <c r="CL279" s="208">
        <v>-1.6059791666666667</v>
      </c>
      <c r="CM279" s="208">
        <v>-10363.373333333335</v>
      </c>
      <c r="CN279" s="208">
        <v>-2331.759</v>
      </c>
      <c r="CO279" s="208">
        <v>-259.08433333333335</v>
      </c>
      <c r="CP279" s="208">
        <v>-446.81000000000006</v>
      </c>
      <c r="CQ279" s="208">
        <v>-100.53225</v>
      </c>
      <c r="CR279" s="208">
        <v>-11.170250000000001</v>
      </c>
      <c r="CS279" s="208">
        <v>0</v>
      </c>
      <c r="CT279" s="208">
        <v>0</v>
      </c>
      <c r="CU279" s="208">
        <v>0</v>
      </c>
      <c r="CV279" s="208">
        <v>0</v>
      </c>
      <c r="CW279" s="208">
        <v>0</v>
      </c>
      <c r="CX279" s="208">
        <v>0</v>
      </c>
      <c r="CY279" s="208">
        <v>0</v>
      </c>
      <c r="CZ279" s="208">
        <v>0</v>
      </c>
      <c r="DA279" s="208">
        <v>0</v>
      </c>
      <c r="DB279" s="208">
        <v>-249.1825</v>
      </c>
      <c r="DC279" s="208">
        <v>-56.066062499999994</v>
      </c>
      <c r="DD279" s="208">
        <v>-6.2295625000000001</v>
      </c>
      <c r="DE279" s="208">
        <v>13583.515000000003</v>
      </c>
      <c r="DF279" s="208">
        <v>3056.2908750000001</v>
      </c>
      <c r="DG279" s="208">
        <v>339.587875</v>
      </c>
      <c r="DH279" s="208">
        <v>11181</v>
      </c>
      <c r="DI279" s="208">
        <v>2515</v>
      </c>
      <c r="DJ279" s="208">
        <v>279</v>
      </c>
      <c r="DK279" s="208">
        <v>2403</v>
      </c>
      <c r="DL279" s="208">
        <v>541</v>
      </c>
      <c r="DM279" s="208">
        <v>61</v>
      </c>
      <c r="DN279" s="208">
        <v>1173.49</v>
      </c>
      <c r="DO279" s="208">
        <v>264.03525000000002</v>
      </c>
      <c r="DP279" s="208">
        <v>29.337249999999997</v>
      </c>
      <c r="DQ279" s="208">
        <v>0</v>
      </c>
      <c r="DR279" s="208">
        <v>0</v>
      </c>
      <c r="DS279" s="208">
        <v>0</v>
      </c>
      <c r="DT279" s="208">
        <v>1173</v>
      </c>
      <c r="DU279" s="208">
        <v>264</v>
      </c>
      <c r="DV279" s="208">
        <v>29</v>
      </c>
      <c r="DW279" s="208">
        <v>7006.979166666667</v>
      </c>
      <c r="DX279" s="208">
        <v>1576.5703125</v>
      </c>
      <c r="DY279" s="208">
        <v>175.17447916666669</v>
      </c>
      <c r="DZ279" s="208">
        <v>4109</v>
      </c>
      <c r="EA279" s="208">
        <v>925</v>
      </c>
      <c r="EB279" s="208">
        <v>103</v>
      </c>
      <c r="EC279" s="208">
        <v>2898</v>
      </c>
      <c r="ED279" s="208">
        <v>652</v>
      </c>
      <c r="EE279" s="208">
        <v>72</v>
      </c>
      <c r="EF279" s="208">
        <v>49137.234166666669</v>
      </c>
      <c r="EG279" s="208">
        <v>11055.8776875</v>
      </c>
      <c r="EH279" s="208">
        <v>1228.4308541666667</v>
      </c>
      <c r="EI279" s="208">
        <v>-5711.1483333333335</v>
      </c>
      <c r="EJ279" s="208">
        <v>-1285.0083749999999</v>
      </c>
      <c r="EK279" s="208">
        <v>-142.77870833333333</v>
      </c>
      <c r="EL279" s="208">
        <v>54828</v>
      </c>
      <c r="EM279" s="208">
        <v>12336</v>
      </c>
      <c r="EN279" s="208">
        <v>1371</v>
      </c>
      <c r="EO279" s="208">
        <v>-11402</v>
      </c>
      <c r="EP279" s="208">
        <v>-2565</v>
      </c>
      <c r="EQ279" s="208">
        <v>-285</v>
      </c>
      <c r="ER279" s="208">
        <v>20452.605000000003</v>
      </c>
      <c r="ES279" s="208">
        <v>4601.8361249999998</v>
      </c>
      <c r="ET279" s="208">
        <v>511.31512499999997</v>
      </c>
      <c r="EU279" s="208">
        <v>22504</v>
      </c>
      <c r="EV279" s="208">
        <v>5063</v>
      </c>
      <c r="EW279" s="208">
        <v>563</v>
      </c>
      <c r="EX279" s="208">
        <v>-2051</v>
      </c>
      <c r="EY279" s="208">
        <v>-461</v>
      </c>
      <c r="EZ279" s="208">
        <v>-52</v>
      </c>
      <c r="FA279" s="208">
        <v>0</v>
      </c>
      <c r="FB279" s="208">
        <v>0</v>
      </c>
      <c r="FC279" s="208">
        <v>0</v>
      </c>
      <c r="FD279" s="208">
        <v>0</v>
      </c>
      <c r="FE279" s="208">
        <v>0</v>
      </c>
      <c r="FF279" s="208">
        <v>0</v>
      </c>
      <c r="FG279" s="208">
        <v>0</v>
      </c>
      <c r="FH279" s="208">
        <v>0</v>
      </c>
      <c r="FI279" s="208">
        <v>0</v>
      </c>
      <c r="FJ279" s="208">
        <v>360438.6225</v>
      </c>
      <c r="FK279" s="208">
        <v>80240.875687499996</v>
      </c>
      <c r="FL279" s="208">
        <v>8915.6528541666648</v>
      </c>
      <c r="FM279" s="208">
        <v>352682</v>
      </c>
      <c r="FN279" s="208">
        <v>78473</v>
      </c>
      <c r="FO279" s="208">
        <v>8719</v>
      </c>
      <c r="FP279" s="208">
        <v>7757</v>
      </c>
      <c r="FQ279" s="208">
        <v>1768</v>
      </c>
      <c r="FR279" s="208">
        <v>197</v>
      </c>
      <c r="FS279" s="208">
        <v>0</v>
      </c>
      <c r="FT279" s="208">
        <v>0</v>
      </c>
      <c r="FU279" s="208">
        <v>0</v>
      </c>
      <c r="FV279" s="208">
        <v>0</v>
      </c>
      <c r="FW279" s="208">
        <v>0</v>
      </c>
      <c r="FX279" s="208">
        <v>0</v>
      </c>
      <c r="FY279" s="208">
        <v>0</v>
      </c>
      <c r="FZ279" s="208">
        <v>0</v>
      </c>
      <c r="GA279" s="208">
        <v>0</v>
      </c>
      <c r="GB279" s="208">
        <v>1811655</v>
      </c>
      <c r="GC279" s="208">
        <v>406766</v>
      </c>
      <c r="GD279" s="208">
        <v>45195</v>
      </c>
      <c r="GE279" s="664">
        <v>0.5</v>
      </c>
      <c r="GF279" s="664">
        <v>0.4</v>
      </c>
      <c r="GG279" s="664">
        <v>0.09</v>
      </c>
      <c r="GH279" s="664">
        <v>0.01</v>
      </c>
      <c r="GI279" s="187" t="s">
        <v>1054</v>
      </c>
    </row>
    <row r="280" spans="2:191" s="187" customFormat="1" x14ac:dyDescent="0.2">
      <c r="B280" s="429" t="s">
        <v>638</v>
      </c>
      <c r="C280" s="429" t="s">
        <v>637</v>
      </c>
      <c r="D280" s="208">
        <v>-57171</v>
      </c>
      <c r="E280" s="208">
        <v>0</v>
      </c>
      <c r="F280" s="208">
        <v>-57171</v>
      </c>
      <c r="G280" s="208">
        <v>24972</v>
      </c>
      <c r="H280" s="208">
        <v>0</v>
      </c>
      <c r="I280" s="208">
        <v>24972</v>
      </c>
      <c r="J280" s="208">
        <v>-82143</v>
      </c>
      <c r="K280" s="208">
        <v>0</v>
      </c>
      <c r="L280" s="208">
        <v>-82143</v>
      </c>
      <c r="M280" s="208">
        <v>192019</v>
      </c>
      <c r="N280" s="208">
        <v>192019</v>
      </c>
      <c r="O280" s="208">
        <v>0</v>
      </c>
      <c r="P280" s="208">
        <v>0</v>
      </c>
      <c r="Q280" s="208">
        <v>0</v>
      </c>
      <c r="R280" s="208">
        <v>0</v>
      </c>
      <c r="S280" s="208">
        <v>73117</v>
      </c>
      <c r="T280" s="208">
        <v>0</v>
      </c>
      <c r="U280" s="208">
        <v>74963</v>
      </c>
      <c r="V280" s="208">
        <v>0</v>
      </c>
      <c r="W280" s="208">
        <v>-1846</v>
      </c>
      <c r="X280" s="208">
        <v>0</v>
      </c>
      <c r="Y280" s="208">
        <v>0</v>
      </c>
      <c r="Z280" s="208">
        <v>0</v>
      </c>
      <c r="AA280" s="208">
        <v>0</v>
      </c>
      <c r="AB280" s="208">
        <v>0</v>
      </c>
      <c r="AC280" s="208">
        <v>0</v>
      </c>
      <c r="AD280" s="208">
        <v>0</v>
      </c>
      <c r="AE280" s="208">
        <v>0</v>
      </c>
      <c r="AF280" s="208">
        <v>0</v>
      </c>
      <c r="AG280" s="208">
        <v>0</v>
      </c>
      <c r="AH280" s="208">
        <v>0</v>
      </c>
      <c r="AI280" s="208">
        <v>0</v>
      </c>
      <c r="AJ280" s="208">
        <v>0</v>
      </c>
      <c r="AK280" s="208">
        <v>0</v>
      </c>
      <c r="AL280" s="208">
        <v>0</v>
      </c>
      <c r="AM280" s="208">
        <v>0</v>
      </c>
      <c r="AN280" s="208">
        <v>0</v>
      </c>
      <c r="AO280" s="208">
        <v>0</v>
      </c>
      <c r="AP280" s="208">
        <v>0</v>
      </c>
      <c r="AQ280" s="208">
        <v>0</v>
      </c>
      <c r="AR280" s="208">
        <v>0</v>
      </c>
      <c r="AS280" s="208">
        <v>0</v>
      </c>
      <c r="AT280" s="208">
        <v>0</v>
      </c>
      <c r="AU280" s="208">
        <v>0</v>
      </c>
      <c r="AV280" s="208">
        <v>0</v>
      </c>
      <c r="AW280" s="208">
        <v>0</v>
      </c>
      <c r="AX280" s="208">
        <v>0</v>
      </c>
      <c r="AY280" s="208">
        <v>0</v>
      </c>
      <c r="AZ280" s="208">
        <v>0</v>
      </c>
      <c r="BA280" s="208">
        <v>0</v>
      </c>
      <c r="BB280" s="208">
        <v>0</v>
      </c>
      <c r="BC280" s="208">
        <v>0</v>
      </c>
      <c r="BD280" s="208">
        <v>0</v>
      </c>
      <c r="BE280" s="208">
        <v>0</v>
      </c>
      <c r="BF280" s="208">
        <v>0</v>
      </c>
      <c r="BG280" s="208">
        <v>0</v>
      </c>
      <c r="BH280" s="208">
        <v>0</v>
      </c>
      <c r="BI280" s="208">
        <v>0</v>
      </c>
      <c r="BJ280" s="208">
        <v>0</v>
      </c>
      <c r="BK280" s="208">
        <v>0</v>
      </c>
      <c r="BL280" s="208">
        <v>0</v>
      </c>
      <c r="BM280" s="208">
        <v>0</v>
      </c>
      <c r="BN280" s="208">
        <v>0</v>
      </c>
      <c r="BO280" s="208">
        <v>1629359.764241667</v>
      </c>
      <c r="BP280" s="208">
        <v>2403305.6522564581</v>
      </c>
      <c r="BQ280" s="208">
        <v>40733.994106041668</v>
      </c>
      <c r="BR280" s="208">
        <v>90071</v>
      </c>
      <c r="BS280" s="208">
        <v>131526</v>
      </c>
      <c r="BT280" s="208">
        <v>2229</v>
      </c>
      <c r="BU280" s="208">
        <v>1622521</v>
      </c>
      <c r="BV280" s="208">
        <v>2393219</v>
      </c>
      <c r="BW280" s="208">
        <v>40563</v>
      </c>
      <c r="BX280" s="208">
        <v>96910</v>
      </c>
      <c r="BY280" s="208">
        <v>141613</v>
      </c>
      <c r="BZ280" s="208">
        <v>2400</v>
      </c>
      <c r="CA280" s="208">
        <v>4965.6466666666674</v>
      </c>
      <c r="CB280" s="208">
        <v>7324.328833333333</v>
      </c>
      <c r="CC280" s="208">
        <v>124.14116666666668</v>
      </c>
      <c r="CD280" s="208">
        <v>2215</v>
      </c>
      <c r="CE280" s="208">
        <v>3266</v>
      </c>
      <c r="CF280" s="208">
        <v>55</v>
      </c>
      <c r="CG280" s="208">
        <v>2751</v>
      </c>
      <c r="CH280" s="208">
        <v>4058</v>
      </c>
      <c r="CI280" s="208">
        <v>69</v>
      </c>
      <c r="CJ280" s="208">
        <v>0</v>
      </c>
      <c r="CK280" s="208">
        <v>0</v>
      </c>
      <c r="CL280" s="208">
        <v>0</v>
      </c>
      <c r="CM280" s="208">
        <v>0</v>
      </c>
      <c r="CN280" s="208">
        <v>0</v>
      </c>
      <c r="CO280" s="208">
        <v>0</v>
      </c>
      <c r="CP280" s="208">
        <v>0</v>
      </c>
      <c r="CQ280" s="208">
        <v>0</v>
      </c>
      <c r="CR280" s="208">
        <v>0</v>
      </c>
      <c r="CS280" s="208">
        <v>0</v>
      </c>
      <c r="CT280" s="208">
        <v>0</v>
      </c>
      <c r="CU280" s="208">
        <v>0</v>
      </c>
      <c r="CV280" s="208">
        <v>0</v>
      </c>
      <c r="CW280" s="208">
        <v>0</v>
      </c>
      <c r="CX280" s="208">
        <v>0</v>
      </c>
      <c r="CY280" s="208">
        <v>0</v>
      </c>
      <c r="CZ280" s="208">
        <v>0</v>
      </c>
      <c r="DA280" s="208">
        <v>0</v>
      </c>
      <c r="DB280" s="208">
        <v>-887.48250000000007</v>
      </c>
      <c r="DC280" s="208">
        <v>-1309.0366875</v>
      </c>
      <c r="DD280" s="208">
        <v>-22.187062500000003</v>
      </c>
      <c r="DE280" s="208">
        <v>14511.095833333335</v>
      </c>
      <c r="DF280" s="208">
        <v>21403.866354166668</v>
      </c>
      <c r="DG280" s="208">
        <v>362.77739583333334</v>
      </c>
      <c r="DH280" s="208">
        <v>14738</v>
      </c>
      <c r="DI280" s="208">
        <v>21738</v>
      </c>
      <c r="DJ280" s="208">
        <v>368</v>
      </c>
      <c r="DK280" s="208">
        <v>-227</v>
      </c>
      <c r="DL280" s="208">
        <v>-334</v>
      </c>
      <c r="DM280" s="208">
        <v>-5</v>
      </c>
      <c r="DN280" s="208">
        <v>613.75</v>
      </c>
      <c r="DO280" s="208">
        <v>905.28125</v>
      </c>
      <c r="DP280" s="208">
        <v>15.34375</v>
      </c>
      <c r="DQ280" s="208">
        <v>614</v>
      </c>
      <c r="DR280" s="208">
        <v>905</v>
      </c>
      <c r="DS280" s="208">
        <v>15</v>
      </c>
      <c r="DT280" s="208">
        <v>0</v>
      </c>
      <c r="DU280" s="208">
        <v>0</v>
      </c>
      <c r="DV280" s="208">
        <v>0</v>
      </c>
      <c r="DW280" s="208">
        <v>11173.932500000001</v>
      </c>
      <c r="DX280" s="208">
        <v>16481.550437499998</v>
      </c>
      <c r="DY280" s="208">
        <v>279.34831250000002</v>
      </c>
      <c r="DZ280" s="208">
        <v>13224</v>
      </c>
      <c r="EA280" s="208">
        <v>19506</v>
      </c>
      <c r="EB280" s="208">
        <v>331</v>
      </c>
      <c r="EC280" s="208">
        <v>-2050</v>
      </c>
      <c r="ED280" s="208">
        <v>-3024</v>
      </c>
      <c r="EE280" s="208">
        <v>-52</v>
      </c>
      <c r="EF280" s="208">
        <v>58426.954166666663</v>
      </c>
      <c r="EG280" s="208">
        <v>86179.757395833323</v>
      </c>
      <c r="EH280" s="208">
        <v>1460.6738541666666</v>
      </c>
      <c r="EI280" s="208">
        <v>-2909.1750000000002</v>
      </c>
      <c r="EJ280" s="208">
        <v>-4291.0331249999999</v>
      </c>
      <c r="EK280" s="208">
        <v>-72.729375000000005</v>
      </c>
      <c r="EL280" s="208">
        <v>58426</v>
      </c>
      <c r="EM280" s="208">
        <v>86180</v>
      </c>
      <c r="EN280" s="208">
        <v>1461</v>
      </c>
      <c r="EO280" s="208">
        <v>-2908</v>
      </c>
      <c r="EP280" s="208">
        <v>-4291</v>
      </c>
      <c r="EQ280" s="208">
        <v>-73</v>
      </c>
      <c r="ER280" s="208">
        <v>44987.056666666671</v>
      </c>
      <c r="ES280" s="208">
        <v>66355.908583333323</v>
      </c>
      <c r="ET280" s="208">
        <v>1124.6764166666667</v>
      </c>
      <c r="EU280" s="208">
        <v>38294</v>
      </c>
      <c r="EV280" s="208">
        <v>56484</v>
      </c>
      <c r="EW280" s="208">
        <v>957</v>
      </c>
      <c r="EX280" s="208">
        <v>6693</v>
      </c>
      <c r="EY280" s="208">
        <v>9872</v>
      </c>
      <c r="EZ280" s="208">
        <v>168</v>
      </c>
      <c r="FA280" s="208">
        <v>0</v>
      </c>
      <c r="FB280" s="208">
        <v>0</v>
      </c>
      <c r="FC280" s="208">
        <v>0</v>
      </c>
      <c r="FD280" s="208">
        <v>0</v>
      </c>
      <c r="FE280" s="208">
        <v>0</v>
      </c>
      <c r="FF280" s="208">
        <v>0</v>
      </c>
      <c r="FG280" s="208">
        <v>0</v>
      </c>
      <c r="FH280" s="208">
        <v>0</v>
      </c>
      <c r="FI280" s="208">
        <v>0</v>
      </c>
      <c r="FJ280" s="208">
        <v>274295.95874999999</v>
      </c>
      <c r="FK280" s="208">
        <v>402115.03222916665</v>
      </c>
      <c r="FL280" s="208">
        <v>6815.5090208333331</v>
      </c>
      <c r="FM280" s="208">
        <v>288822</v>
      </c>
      <c r="FN280" s="208">
        <v>423478</v>
      </c>
      <c r="FO280" s="208">
        <v>7178</v>
      </c>
      <c r="FP280" s="208">
        <v>-14526</v>
      </c>
      <c r="FQ280" s="208">
        <v>-21363</v>
      </c>
      <c r="FR280" s="208">
        <v>-362</v>
      </c>
      <c r="FS280" s="208">
        <v>0</v>
      </c>
      <c r="FT280" s="208">
        <v>0</v>
      </c>
      <c r="FU280" s="208">
        <v>0</v>
      </c>
      <c r="FV280" s="208">
        <v>0</v>
      </c>
      <c r="FW280" s="208">
        <v>0</v>
      </c>
      <c r="FX280" s="208">
        <v>0</v>
      </c>
      <c r="FY280" s="208">
        <v>0</v>
      </c>
      <c r="FZ280" s="208">
        <v>0</v>
      </c>
      <c r="GA280" s="208">
        <v>0</v>
      </c>
      <c r="GB280" s="208">
        <v>2124610</v>
      </c>
      <c r="GC280" s="208">
        <v>3129998</v>
      </c>
      <c r="GD280" s="208">
        <v>53051</v>
      </c>
      <c r="GE280" s="664">
        <v>0</v>
      </c>
      <c r="GF280" s="664">
        <v>0.4</v>
      </c>
      <c r="GG280" s="664">
        <v>0.59</v>
      </c>
      <c r="GH280" s="664">
        <v>0.01</v>
      </c>
      <c r="GI280" s="187" t="s">
        <v>1054</v>
      </c>
    </row>
    <row r="281" spans="2:191" s="187" customFormat="1" x14ac:dyDescent="0.2">
      <c r="B281" s="429" t="s">
        <v>640</v>
      </c>
      <c r="C281" s="429" t="s">
        <v>639</v>
      </c>
      <c r="D281" s="208">
        <v>157037</v>
      </c>
      <c r="E281" s="208">
        <v>0</v>
      </c>
      <c r="F281" s="208">
        <v>157037</v>
      </c>
      <c r="G281" s="208">
        <v>-148000</v>
      </c>
      <c r="H281" s="208">
        <v>0</v>
      </c>
      <c r="I281" s="208">
        <v>-148000</v>
      </c>
      <c r="J281" s="208">
        <v>305037</v>
      </c>
      <c r="K281" s="208">
        <v>0</v>
      </c>
      <c r="L281" s="208">
        <v>305037</v>
      </c>
      <c r="M281" s="208">
        <v>217804</v>
      </c>
      <c r="N281" s="208">
        <v>217804</v>
      </c>
      <c r="O281" s="208">
        <v>0</v>
      </c>
      <c r="P281" s="208">
        <v>0</v>
      </c>
      <c r="Q281" s="208">
        <v>0</v>
      </c>
      <c r="R281" s="208">
        <v>0</v>
      </c>
      <c r="S281" s="208">
        <v>76140</v>
      </c>
      <c r="T281" s="208">
        <v>0</v>
      </c>
      <c r="U281" s="208">
        <v>64302</v>
      </c>
      <c r="V281" s="208">
        <v>0</v>
      </c>
      <c r="W281" s="208">
        <v>11838</v>
      </c>
      <c r="X281" s="208">
        <v>0</v>
      </c>
      <c r="Y281" s="208">
        <v>0</v>
      </c>
      <c r="Z281" s="208">
        <v>0</v>
      </c>
      <c r="AA281" s="208">
        <v>0</v>
      </c>
      <c r="AB281" s="208">
        <v>0</v>
      </c>
      <c r="AC281" s="208">
        <v>0</v>
      </c>
      <c r="AD281" s="208">
        <v>0</v>
      </c>
      <c r="AE281" s="208">
        <v>0</v>
      </c>
      <c r="AF281" s="208">
        <v>0</v>
      </c>
      <c r="AG281" s="208">
        <v>0</v>
      </c>
      <c r="AH281" s="208">
        <v>0</v>
      </c>
      <c r="AI281" s="208">
        <v>0</v>
      </c>
      <c r="AJ281" s="208">
        <v>0</v>
      </c>
      <c r="AK281" s="208">
        <v>0</v>
      </c>
      <c r="AL281" s="208">
        <v>0</v>
      </c>
      <c r="AM281" s="208">
        <v>0</v>
      </c>
      <c r="AN281" s="208">
        <v>0</v>
      </c>
      <c r="AO281" s="208">
        <v>0</v>
      </c>
      <c r="AP281" s="208">
        <v>0</v>
      </c>
      <c r="AQ281" s="208">
        <v>0</v>
      </c>
      <c r="AR281" s="208">
        <v>0</v>
      </c>
      <c r="AS281" s="208">
        <v>0</v>
      </c>
      <c r="AT281" s="208">
        <v>0</v>
      </c>
      <c r="AU281" s="208">
        <v>0</v>
      </c>
      <c r="AV281" s="208">
        <v>0</v>
      </c>
      <c r="AW281" s="208">
        <v>0</v>
      </c>
      <c r="AX281" s="208">
        <v>0</v>
      </c>
      <c r="AY281" s="208">
        <v>0</v>
      </c>
      <c r="AZ281" s="208">
        <v>0</v>
      </c>
      <c r="BA281" s="208">
        <v>0</v>
      </c>
      <c r="BB281" s="208">
        <v>0</v>
      </c>
      <c r="BC281" s="208">
        <v>0</v>
      </c>
      <c r="BD281" s="208">
        <v>0</v>
      </c>
      <c r="BE281" s="208">
        <v>0</v>
      </c>
      <c r="BF281" s="208">
        <v>0</v>
      </c>
      <c r="BG281" s="208">
        <v>0</v>
      </c>
      <c r="BH281" s="208">
        <v>0</v>
      </c>
      <c r="BI281" s="208">
        <v>0</v>
      </c>
      <c r="BJ281" s="208">
        <v>0</v>
      </c>
      <c r="BK281" s="208">
        <v>0</v>
      </c>
      <c r="BL281" s="208">
        <v>0</v>
      </c>
      <c r="BM281" s="208">
        <v>0</v>
      </c>
      <c r="BN281" s="208">
        <v>0</v>
      </c>
      <c r="BO281" s="208">
        <v>1720796.1590961458</v>
      </c>
      <c r="BP281" s="208">
        <v>0</v>
      </c>
      <c r="BQ281" s="208">
        <v>35118.288961145838</v>
      </c>
      <c r="BR281" s="208">
        <v>145376</v>
      </c>
      <c r="BS281" s="208">
        <v>0</v>
      </c>
      <c r="BT281" s="208">
        <v>2967</v>
      </c>
      <c r="BU281" s="208">
        <v>1642319</v>
      </c>
      <c r="BV281" s="208">
        <v>0</v>
      </c>
      <c r="BW281" s="208">
        <v>33517</v>
      </c>
      <c r="BX281" s="208">
        <v>223853</v>
      </c>
      <c r="BY281" s="208">
        <v>0</v>
      </c>
      <c r="BZ281" s="208">
        <v>4568</v>
      </c>
      <c r="CA281" s="208">
        <v>12301.6674375</v>
      </c>
      <c r="CB281" s="208">
        <v>0</v>
      </c>
      <c r="CC281" s="208">
        <v>251.05443750000001</v>
      </c>
      <c r="CD281" s="208">
        <v>12626</v>
      </c>
      <c r="CE281" s="208">
        <v>0</v>
      </c>
      <c r="CF281" s="208">
        <v>258</v>
      </c>
      <c r="CG281" s="208">
        <v>-324</v>
      </c>
      <c r="CH281" s="208">
        <v>0</v>
      </c>
      <c r="CI281" s="208">
        <v>-7</v>
      </c>
      <c r="CJ281" s="208">
        <v>0</v>
      </c>
      <c r="CK281" s="208">
        <v>0</v>
      </c>
      <c r="CL281" s="208">
        <v>0</v>
      </c>
      <c r="CM281" s="208">
        <v>0</v>
      </c>
      <c r="CN281" s="208">
        <v>0</v>
      </c>
      <c r="CO281" s="208">
        <v>0</v>
      </c>
      <c r="CP281" s="208">
        <v>-821.013375</v>
      </c>
      <c r="CQ281" s="208">
        <v>0</v>
      </c>
      <c r="CR281" s="208">
        <v>-16.755375000000001</v>
      </c>
      <c r="CS281" s="208">
        <v>0</v>
      </c>
      <c r="CT281" s="208">
        <v>0</v>
      </c>
      <c r="CU281" s="208">
        <v>0</v>
      </c>
      <c r="CV281" s="208">
        <v>0</v>
      </c>
      <c r="CW281" s="208">
        <v>0</v>
      </c>
      <c r="CX281" s="208">
        <v>0</v>
      </c>
      <c r="CY281" s="208">
        <v>0</v>
      </c>
      <c r="CZ281" s="208">
        <v>0</v>
      </c>
      <c r="DA281" s="208">
        <v>0</v>
      </c>
      <c r="DB281" s="208">
        <v>0</v>
      </c>
      <c r="DC281" s="208">
        <v>0</v>
      </c>
      <c r="DD281" s="208">
        <v>0</v>
      </c>
      <c r="DE281" s="208">
        <v>-1964.8183333333336</v>
      </c>
      <c r="DF281" s="208">
        <v>0</v>
      </c>
      <c r="DG281" s="208">
        <v>-40.098333333333336</v>
      </c>
      <c r="DH281" s="208">
        <v>2420</v>
      </c>
      <c r="DI281" s="208">
        <v>0</v>
      </c>
      <c r="DJ281" s="208">
        <v>49</v>
      </c>
      <c r="DK281" s="208">
        <v>-4385</v>
      </c>
      <c r="DL281" s="208">
        <v>0</v>
      </c>
      <c r="DM281" s="208">
        <v>-89</v>
      </c>
      <c r="DN281" s="208">
        <v>751.84375</v>
      </c>
      <c r="DO281" s="208">
        <v>0</v>
      </c>
      <c r="DP281" s="208">
        <v>15.34375</v>
      </c>
      <c r="DQ281" s="208">
        <v>752</v>
      </c>
      <c r="DR281" s="208">
        <v>0</v>
      </c>
      <c r="DS281" s="208">
        <v>15</v>
      </c>
      <c r="DT281" s="208">
        <v>0</v>
      </c>
      <c r="DU281" s="208">
        <v>0</v>
      </c>
      <c r="DV281" s="208">
        <v>0</v>
      </c>
      <c r="DW281" s="208">
        <v>18231.208479166668</v>
      </c>
      <c r="DX281" s="208">
        <v>0</v>
      </c>
      <c r="DY281" s="208">
        <v>372.06547916666671</v>
      </c>
      <c r="DZ281" s="208">
        <v>8421</v>
      </c>
      <c r="EA281" s="208">
        <v>0</v>
      </c>
      <c r="EB281" s="208">
        <v>172</v>
      </c>
      <c r="EC281" s="208">
        <v>9810</v>
      </c>
      <c r="ED281" s="208">
        <v>0</v>
      </c>
      <c r="EE281" s="208">
        <v>200</v>
      </c>
      <c r="EF281" s="208">
        <v>96433.985520833332</v>
      </c>
      <c r="EG281" s="208">
        <v>0</v>
      </c>
      <c r="EH281" s="208">
        <v>1968.0405208333334</v>
      </c>
      <c r="EI281" s="208">
        <v>-1092.6795833333333</v>
      </c>
      <c r="EJ281" s="208">
        <v>0</v>
      </c>
      <c r="EK281" s="208">
        <v>-22.299583333333334</v>
      </c>
      <c r="EL281" s="208">
        <v>97239</v>
      </c>
      <c r="EM281" s="208">
        <v>0</v>
      </c>
      <c r="EN281" s="208">
        <v>1984</v>
      </c>
      <c r="EO281" s="208">
        <v>-1898</v>
      </c>
      <c r="EP281" s="208">
        <v>0</v>
      </c>
      <c r="EQ281" s="208">
        <v>-38</v>
      </c>
      <c r="ER281" s="208">
        <v>24027.4225625</v>
      </c>
      <c r="ES281" s="208">
        <v>0</v>
      </c>
      <c r="ET281" s="208">
        <v>490.35556249999996</v>
      </c>
      <c r="EU281" s="208">
        <v>28570</v>
      </c>
      <c r="EV281" s="208">
        <v>0</v>
      </c>
      <c r="EW281" s="208">
        <v>583</v>
      </c>
      <c r="EX281" s="208">
        <v>-4543</v>
      </c>
      <c r="EY281" s="208">
        <v>0</v>
      </c>
      <c r="EZ281" s="208">
        <v>-93</v>
      </c>
      <c r="FA281" s="208">
        <v>0</v>
      </c>
      <c r="FB281" s="208">
        <v>0</v>
      </c>
      <c r="FC281" s="208">
        <v>0</v>
      </c>
      <c r="FD281" s="208">
        <v>0</v>
      </c>
      <c r="FE281" s="208">
        <v>0</v>
      </c>
      <c r="FF281" s="208">
        <v>0</v>
      </c>
      <c r="FG281" s="208">
        <v>0</v>
      </c>
      <c r="FH281" s="208">
        <v>0</v>
      </c>
      <c r="FI281" s="208">
        <v>0</v>
      </c>
      <c r="FJ281" s="208">
        <v>843334.39941666648</v>
      </c>
      <c r="FK281" s="208">
        <v>0</v>
      </c>
      <c r="FL281" s="208">
        <v>17175.296416666664</v>
      </c>
      <c r="FM281" s="208">
        <v>795702</v>
      </c>
      <c r="FN281" s="208">
        <v>0</v>
      </c>
      <c r="FO281" s="208">
        <v>16209</v>
      </c>
      <c r="FP281" s="208">
        <v>47632</v>
      </c>
      <c r="FQ281" s="208">
        <v>0</v>
      </c>
      <c r="FR281" s="208">
        <v>966</v>
      </c>
      <c r="FS281" s="208">
        <v>0</v>
      </c>
      <c r="FT281" s="208">
        <v>0</v>
      </c>
      <c r="FU281" s="208">
        <v>0</v>
      </c>
      <c r="FV281" s="208">
        <v>0</v>
      </c>
      <c r="FW281" s="208">
        <v>0</v>
      </c>
      <c r="FX281" s="208">
        <v>0</v>
      </c>
      <c r="FY281" s="208">
        <v>0</v>
      </c>
      <c r="FZ281" s="208">
        <v>0</v>
      </c>
      <c r="GA281" s="208">
        <v>0</v>
      </c>
      <c r="GB281" s="208">
        <v>2857373</v>
      </c>
      <c r="GC281" s="208">
        <v>0</v>
      </c>
      <c r="GD281" s="208">
        <v>58277</v>
      </c>
      <c r="GE281" s="664">
        <v>0.5</v>
      </c>
      <c r="GF281" s="664">
        <v>0.49</v>
      </c>
      <c r="GG281" s="664">
        <v>0</v>
      </c>
      <c r="GH281" s="664">
        <v>0.01</v>
      </c>
      <c r="GI281" s="187" t="s">
        <v>742</v>
      </c>
    </row>
    <row r="282" spans="2:191" s="187" customFormat="1" x14ac:dyDescent="0.2">
      <c r="B282" s="429" t="s">
        <v>642</v>
      </c>
      <c r="C282" s="429" t="s">
        <v>641</v>
      </c>
      <c r="D282" s="208">
        <v>261517</v>
      </c>
      <c r="E282" s="208">
        <v>0</v>
      </c>
      <c r="F282" s="208">
        <v>261517</v>
      </c>
      <c r="G282" s="208">
        <v>263665</v>
      </c>
      <c r="H282" s="208">
        <v>0</v>
      </c>
      <c r="I282" s="208">
        <v>263665</v>
      </c>
      <c r="J282" s="208">
        <v>-2148</v>
      </c>
      <c r="K282" s="208">
        <v>0</v>
      </c>
      <c r="L282" s="208">
        <v>-2148</v>
      </c>
      <c r="M282" s="208">
        <v>292469</v>
      </c>
      <c r="N282" s="208">
        <v>292469</v>
      </c>
      <c r="O282" s="208">
        <v>0</v>
      </c>
      <c r="P282" s="208">
        <v>0</v>
      </c>
      <c r="Q282" s="208">
        <v>0</v>
      </c>
      <c r="R282" s="208">
        <v>0</v>
      </c>
      <c r="S282" s="208">
        <v>263821</v>
      </c>
      <c r="T282" s="208">
        <v>0</v>
      </c>
      <c r="U282" s="208">
        <v>222240</v>
      </c>
      <c r="V282" s="208">
        <v>0</v>
      </c>
      <c r="W282" s="208">
        <v>41581</v>
      </c>
      <c r="X282" s="208">
        <v>0</v>
      </c>
      <c r="Y282" s="208">
        <v>0</v>
      </c>
      <c r="Z282" s="208">
        <v>0</v>
      </c>
      <c r="AA282" s="208">
        <v>0</v>
      </c>
      <c r="AB282" s="208">
        <v>0</v>
      </c>
      <c r="AC282" s="208">
        <v>0</v>
      </c>
      <c r="AD282" s="208">
        <v>0</v>
      </c>
      <c r="AE282" s="208">
        <v>0</v>
      </c>
      <c r="AF282" s="208">
        <v>0</v>
      </c>
      <c r="AG282" s="208">
        <v>0</v>
      </c>
      <c r="AH282" s="208">
        <v>0</v>
      </c>
      <c r="AI282" s="208">
        <v>0</v>
      </c>
      <c r="AJ282" s="208">
        <v>0</v>
      </c>
      <c r="AK282" s="208">
        <v>0</v>
      </c>
      <c r="AL282" s="208">
        <v>0</v>
      </c>
      <c r="AM282" s="208">
        <v>0</v>
      </c>
      <c r="AN282" s="208">
        <v>0</v>
      </c>
      <c r="AO282" s="208">
        <v>0</v>
      </c>
      <c r="AP282" s="208">
        <v>0</v>
      </c>
      <c r="AQ282" s="208">
        <v>0</v>
      </c>
      <c r="AR282" s="208">
        <v>0</v>
      </c>
      <c r="AS282" s="208">
        <v>0</v>
      </c>
      <c r="AT282" s="208">
        <v>0</v>
      </c>
      <c r="AU282" s="208">
        <v>0</v>
      </c>
      <c r="AV282" s="208">
        <v>0</v>
      </c>
      <c r="AW282" s="208">
        <v>0</v>
      </c>
      <c r="AX282" s="208">
        <v>0</v>
      </c>
      <c r="AY282" s="208">
        <v>0</v>
      </c>
      <c r="AZ282" s="208">
        <v>0</v>
      </c>
      <c r="BA282" s="208">
        <v>0</v>
      </c>
      <c r="BB282" s="208">
        <v>0</v>
      </c>
      <c r="BC282" s="208">
        <v>0</v>
      </c>
      <c r="BD282" s="208">
        <v>0</v>
      </c>
      <c r="BE282" s="208">
        <v>0</v>
      </c>
      <c r="BF282" s="208">
        <v>0</v>
      </c>
      <c r="BG282" s="208">
        <v>0</v>
      </c>
      <c r="BH282" s="208">
        <v>0</v>
      </c>
      <c r="BI282" s="208">
        <v>0</v>
      </c>
      <c r="BJ282" s="208">
        <v>0</v>
      </c>
      <c r="BK282" s="208">
        <v>0</v>
      </c>
      <c r="BL282" s="208">
        <v>0</v>
      </c>
      <c r="BM282" s="208">
        <v>0</v>
      </c>
      <c r="BN282" s="208">
        <v>0</v>
      </c>
      <c r="BO282" s="208">
        <v>1702721.0419208335</v>
      </c>
      <c r="BP282" s="208">
        <v>383112.23443218751</v>
      </c>
      <c r="BQ282" s="208">
        <v>42568.026048020831</v>
      </c>
      <c r="BR282" s="208">
        <v>13405</v>
      </c>
      <c r="BS282" s="208">
        <v>3016</v>
      </c>
      <c r="BT282" s="208">
        <v>335</v>
      </c>
      <c r="BU282" s="208">
        <v>1715119</v>
      </c>
      <c r="BV282" s="208">
        <v>385902</v>
      </c>
      <c r="BW282" s="208">
        <v>42878</v>
      </c>
      <c r="BX282" s="208">
        <v>1007</v>
      </c>
      <c r="BY282" s="208">
        <v>226</v>
      </c>
      <c r="BZ282" s="208">
        <v>25</v>
      </c>
      <c r="CA282" s="208">
        <v>17114.623333333337</v>
      </c>
      <c r="CB282" s="208">
        <v>3850.79025</v>
      </c>
      <c r="CC282" s="208">
        <v>427.86558333333335</v>
      </c>
      <c r="CD282" s="208">
        <v>7097</v>
      </c>
      <c r="CE282" s="208">
        <v>1597</v>
      </c>
      <c r="CF282" s="208">
        <v>177</v>
      </c>
      <c r="CG282" s="208">
        <v>10018</v>
      </c>
      <c r="CH282" s="208">
        <v>2254</v>
      </c>
      <c r="CI282" s="208">
        <v>251</v>
      </c>
      <c r="CJ282" s="208">
        <v>-939.85583333333329</v>
      </c>
      <c r="CK282" s="208">
        <v>-211.46756249999999</v>
      </c>
      <c r="CL282" s="208">
        <v>-23.496395833333331</v>
      </c>
      <c r="CM282" s="208">
        <v>0</v>
      </c>
      <c r="CN282" s="208">
        <v>0</v>
      </c>
      <c r="CO282" s="208">
        <v>0</v>
      </c>
      <c r="CP282" s="208">
        <v>0</v>
      </c>
      <c r="CQ282" s="208">
        <v>0</v>
      </c>
      <c r="CR282" s="208">
        <v>0</v>
      </c>
      <c r="CS282" s="208">
        <v>0</v>
      </c>
      <c r="CT282" s="208">
        <v>0</v>
      </c>
      <c r="CU282" s="208">
        <v>0</v>
      </c>
      <c r="CV282" s="208">
        <v>0</v>
      </c>
      <c r="CW282" s="208">
        <v>0</v>
      </c>
      <c r="CX282" s="208">
        <v>0</v>
      </c>
      <c r="CY282" s="208">
        <v>0</v>
      </c>
      <c r="CZ282" s="208">
        <v>0</v>
      </c>
      <c r="DA282" s="208">
        <v>0</v>
      </c>
      <c r="DB282" s="208">
        <v>0</v>
      </c>
      <c r="DC282" s="208">
        <v>0</v>
      </c>
      <c r="DD282" s="208">
        <v>0</v>
      </c>
      <c r="DE282" s="208">
        <v>13710.356666666668</v>
      </c>
      <c r="DF282" s="208">
        <v>3084.83025</v>
      </c>
      <c r="DG282" s="208">
        <v>342.75891666666672</v>
      </c>
      <c r="DH282" s="208">
        <v>13855</v>
      </c>
      <c r="DI282" s="208">
        <v>3117</v>
      </c>
      <c r="DJ282" s="208">
        <v>346</v>
      </c>
      <c r="DK282" s="208">
        <v>-145</v>
      </c>
      <c r="DL282" s="208">
        <v>-32</v>
      </c>
      <c r="DM282" s="208">
        <v>-3</v>
      </c>
      <c r="DN282" s="208">
        <v>613.75</v>
      </c>
      <c r="DO282" s="208">
        <v>138.09375</v>
      </c>
      <c r="DP282" s="208">
        <v>15.34375</v>
      </c>
      <c r="DQ282" s="208">
        <v>614</v>
      </c>
      <c r="DR282" s="208">
        <v>138</v>
      </c>
      <c r="DS282" s="208">
        <v>15</v>
      </c>
      <c r="DT282" s="208">
        <v>0</v>
      </c>
      <c r="DU282" s="208">
        <v>0</v>
      </c>
      <c r="DV282" s="208">
        <v>0</v>
      </c>
      <c r="DW282" s="208">
        <v>5846.1733333333332</v>
      </c>
      <c r="DX282" s="208">
        <v>1315.3889999999999</v>
      </c>
      <c r="DY282" s="208">
        <v>146.15433333333334</v>
      </c>
      <c r="DZ282" s="208">
        <v>7001</v>
      </c>
      <c r="EA282" s="208">
        <v>1575</v>
      </c>
      <c r="EB282" s="208">
        <v>175</v>
      </c>
      <c r="EC282" s="208">
        <v>-1155</v>
      </c>
      <c r="ED282" s="208">
        <v>-260</v>
      </c>
      <c r="EE282" s="208">
        <v>-29</v>
      </c>
      <c r="EF282" s="208">
        <v>44427.725833333338</v>
      </c>
      <c r="EG282" s="208">
        <v>9996.2383124999997</v>
      </c>
      <c r="EH282" s="208">
        <v>1110.6931458333333</v>
      </c>
      <c r="EI282" s="208">
        <v>-1303.605</v>
      </c>
      <c r="EJ282" s="208">
        <v>-293.31112499999995</v>
      </c>
      <c r="EK282" s="208">
        <v>-32.590125</v>
      </c>
      <c r="EL282" s="208">
        <v>51856</v>
      </c>
      <c r="EM282" s="208">
        <v>11668</v>
      </c>
      <c r="EN282" s="208">
        <v>1296</v>
      </c>
      <c r="EO282" s="208">
        <v>-8732</v>
      </c>
      <c r="EP282" s="208">
        <v>-1965</v>
      </c>
      <c r="EQ282" s="208">
        <v>-218</v>
      </c>
      <c r="ER282" s="208">
        <v>15856.845000000001</v>
      </c>
      <c r="ES282" s="208">
        <v>3567.790125</v>
      </c>
      <c r="ET282" s="208">
        <v>396.42112500000002</v>
      </c>
      <c r="EU282" s="208">
        <v>15976</v>
      </c>
      <c r="EV282" s="208">
        <v>3595</v>
      </c>
      <c r="EW282" s="208">
        <v>399</v>
      </c>
      <c r="EX282" s="208">
        <v>-119</v>
      </c>
      <c r="EY282" s="208">
        <v>-27</v>
      </c>
      <c r="EZ282" s="208">
        <v>-3</v>
      </c>
      <c r="FA282" s="208">
        <v>0</v>
      </c>
      <c r="FB282" s="208">
        <v>0</v>
      </c>
      <c r="FC282" s="208">
        <v>0</v>
      </c>
      <c r="FD282" s="208">
        <v>0</v>
      </c>
      <c r="FE282" s="208">
        <v>0</v>
      </c>
      <c r="FF282" s="208">
        <v>0</v>
      </c>
      <c r="FG282" s="208">
        <v>0</v>
      </c>
      <c r="FH282" s="208">
        <v>0</v>
      </c>
      <c r="FI282" s="208">
        <v>0</v>
      </c>
      <c r="FJ282" s="208">
        <v>251130.37125</v>
      </c>
      <c r="FK282" s="208">
        <v>55144.006499999996</v>
      </c>
      <c r="FL282" s="208">
        <v>6127.1118333333334</v>
      </c>
      <c r="FM282" s="208">
        <v>240747</v>
      </c>
      <c r="FN282" s="208">
        <v>53022</v>
      </c>
      <c r="FO282" s="208">
        <v>5891</v>
      </c>
      <c r="FP282" s="208">
        <v>10383</v>
      </c>
      <c r="FQ282" s="208">
        <v>2122</v>
      </c>
      <c r="FR282" s="208">
        <v>236</v>
      </c>
      <c r="FS282" s="208">
        <v>0</v>
      </c>
      <c r="FT282" s="208">
        <v>0</v>
      </c>
      <c r="FU282" s="208">
        <v>0</v>
      </c>
      <c r="FV282" s="208">
        <v>0</v>
      </c>
      <c r="FW282" s="208">
        <v>0</v>
      </c>
      <c r="FX282" s="208">
        <v>0</v>
      </c>
      <c r="FY282" s="208">
        <v>0</v>
      </c>
      <c r="FZ282" s="208">
        <v>0</v>
      </c>
      <c r="GA282" s="208">
        <v>0</v>
      </c>
      <c r="GB282" s="208">
        <v>2062582</v>
      </c>
      <c r="GC282" s="208">
        <v>462721</v>
      </c>
      <c r="GD282" s="208">
        <v>51413</v>
      </c>
      <c r="GE282" s="664">
        <v>0.5</v>
      </c>
      <c r="GF282" s="664">
        <v>0.4</v>
      </c>
      <c r="GG282" s="664">
        <v>0.09</v>
      </c>
      <c r="GH282" s="664">
        <v>0.01</v>
      </c>
      <c r="GI282" s="187" t="s">
        <v>1054</v>
      </c>
    </row>
    <row r="283" spans="2:191" s="187" customFormat="1" x14ac:dyDescent="0.2">
      <c r="B283" s="429" t="s">
        <v>644</v>
      </c>
      <c r="C283" s="429" t="s">
        <v>643</v>
      </c>
      <c r="D283" s="208">
        <v>132496</v>
      </c>
      <c r="E283" s="208">
        <v>0</v>
      </c>
      <c r="F283" s="208">
        <v>132496</v>
      </c>
      <c r="G283" s="208">
        <v>1055223</v>
      </c>
      <c r="H283" s="208">
        <v>0</v>
      </c>
      <c r="I283" s="208">
        <v>1055223</v>
      </c>
      <c r="J283" s="208">
        <v>-922727</v>
      </c>
      <c r="K283" s="208">
        <v>0</v>
      </c>
      <c r="L283" s="208">
        <v>-922727</v>
      </c>
      <c r="M283" s="208">
        <v>187233</v>
      </c>
      <c r="N283" s="208">
        <v>187233</v>
      </c>
      <c r="O283" s="208">
        <v>0</v>
      </c>
      <c r="P283" s="208">
        <v>0</v>
      </c>
      <c r="Q283" s="208">
        <v>0</v>
      </c>
      <c r="R283" s="208">
        <v>0</v>
      </c>
      <c r="S283" s="208">
        <v>457464</v>
      </c>
      <c r="T283" s="208">
        <v>0</v>
      </c>
      <c r="U283" s="208">
        <v>454040</v>
      </c>
      <c r="V283" s="208">
        <v>0</v>
      </c>
      <c r="W283" s="208">
        <v>3424</v>
      </c>
      <c r="X283" s="208">
        <v>0</v>
      </c>
      <c r="Y283" s="208">
        <v>0</v>
      </c>
      <c r="Z283" s="208">
        <v>0</v>
      </c>
      <c r="AA283" s="208">
        <v>0</v>
      </c>
      <c r="AB283" s="208">
        <v>0</v>
      </c>
      <c r="AC283" s="208">
        <v>0</v>
      </c>
      <c r="AD283" s="208">
        <v>0</v>
      </c>
      <c r="AE283" s="208">
        <v>0</v>
      </c>
      <c r="AF283" s="208">
        <v>0</v>
      </c>
      <c r="AG283" s="208">
        <v>0</v>
      </c>
      <c r="AH283" s="208">
        <v>0</v>
      </c>
      <c r="AI283" s="208">
        <v>0</v>
      </c>
      <c r="AJ283" s="208">
        <v>0</v>
      </c>
      <c r="AK283" s="208">
        <v>0</v>
      </c>
      <c r="AL283" s="208">
        <v>0</v>
      </c>
      <c r="AM283" s="208">
        <v>0</v>
      </c>
      <c r="AN283" s="208">
        <v>0</v>
      </c>
      <c r="AO283" s="208">
        <v>0</v>
      </c>
      <c r="AP283" s="208">
        <v>0</v>
      </c>
      <c r="AQ283" s="208">
        <v>0</v>
      </c>
      <c r="AR283" s="208">
        <v>0</v>
      </c>
      <c r="AS283" s="208">
        <v>0</v>
      </c>
      <c r="AT283" s="208">
        <v>0</v>
      </c>
      <c r="AU283" s="208">
        <v>0</v>
      </c>
      <c r="AV283" s="208">
        <v>0</v>
      </c>
      <c r="AW283" s="208">
        <v>0</v>
      </c>
      <c r="AX283" s="208">
        <v>0</v>
      </c>
      <c r="AY283" s="208">
        <v>0</v>
      </c>
      <c r="AZ283" s="208">
        <v>0</v>
      </c>
      <c r="BA283" s="208">
        <v>0</v>
      </c>
      <c r="BB283" s="208">
        <v>0</v>
      </c>
      <c r="BC283" s="208">
        <v>0</v>
      </c>
      <c r="BD283" s="208">
        <v>0</v>
      </c>
      <c r="BE283" s="208">
        <v>0</v>
      </c>
      <c r="BF283" s="208">
        <v>0</v>
      </c>
      <c r="BG283" s="208">
        <v>0</v>
      </c>
      <c r="BH283" s="208">
        <v>0</v>
      </c>
      <c r="BI283" s="208">
        <v>0</v>
      </c>
      <c r="BJ283" s="208">
        <v>0</v>
      </c>
      <c r="BK283" s="208">
        <v>0</v>
      </c>
      <c r="BL283" s="208">
        <v>0</v>
      </c>
      <c r="BM283" s="208">
        <v>0</v>
      </c>
      <c r="BN283" s="208">
        <v>0</v>
      </c>
      <c r="BO283" s="208">
        <v>1240552.7145400001</v>
      </c>
      <c r="BP283" s="208">
        <v>279124.36077149992</v>
      </c>
      <c r="BQ283" s="208">
        <v>31013.817863499993</v>
      </c>
      <c r="BR283" s="208">
        <v>116599</v>
      </c>
      <c r="BS283" s="208">
        <v>26235</v>
      </c>
      <c r="BT283" s="208">
        <v>2915</v>
      </c>
      <c r="BU283" s="208">
        <v>1201967</v>
      </c>
      <c r="BV283" s="208">
        <v>270443</v>
      </c>
      <c r="BW283" s="208">
        <v>30049</v>
      </c>
      <c r="BX283" s="208">
        <v>155185</v>
      </c>
      <c r="BY283" s="208">
        <v>34916</v>
      </c>
      <c r="BZ283" s="208">
        <v>3880</v>
      </c>
      <c r="CA283" s="208">
        <v>10702.981666666667</v>
      </c>
      <c r="CB283" s="208">
        <v>2408.1708749999998</v>
      </c>
      <c r="CC283" s="208">
        <v>267.57454166666662</v>
      </c>
      <c r="CD283" s="208">
        <v>2340</v>
      </c>
      <c r="CE283" s="208">
        <v>526</v>
      </c>
      <c r="CF283" s="208">
        <v>58</v>
      </c>
      <c r="CG283" s="208">
        <v>8363</v>
      </c>
      <c r="CH283" s="208">
        <v>1882</v>
      </c>
      <c r="CI283" s="208">
        <v>210</v>
      </c>
      <c r="CJ283" s="208">
        <v>-799.10249999999996</v>
      </c>
      <c r="CK283" s="208">
        <v>-179.79806249999999</v>
      </c>
      <c r="CL283" s="208">
        <v>-19.977562500000001</v>
      </c>
      <c r="CM283" s="208">
        <v>0</v>
      </c>
      <c r="CN283" s="208">
        <v>0</v>
      </c>
      <c r="CO283" s="208">
        <v>0</v>
      </c>
      <c r="CP283" s="208">
        <v>-824.47083333333342</v>
      </c>
      <c r="CQ283" s="208">
        <v>-185.50593750000002</v>
      </c>
      <c r="CR283" s="208">
        <v>-20.611770833333335</v>
      </c>
      <c r="CS283" s="208">
        <v>0</v>
      </c>
      <c r="CT283" s="208">
        <v>0</v>
      </c>
      <c r="CU283" s="208">
        <v>0</v>
      </c>
      <c r="CV283" s="208">
        <v>0</v>
      </c>
      <c r="CW283" s="208">
        <v>0</v>
      </c>
      <c r="CX283" s="208">
        <v>0</v>
      </c>
      <c r="CY283" s="208">
        <v>0</v>
      </c>
      <c r="CZ283" s="208">
        <v>0</v>
      </c>
      <c r="DA283" s="208">
        <v>0</v>
      </c>
      <c r="DB283" s="208">
        <v>0</v>
      </c>
      <c r="DC283" s="208">
        <v>0</v>
      </c>
      <c r="DD283" s="208">
        <v>0</v>
      </c>
      <c r="DE283" s="208">
        <v>22964.888333333336</v>
      </c>
      <c r="DF283" s="208">
        <v>5167.0998749999999</v>
      </c>
      <c r="DG283" s="208">
        <v>574.12220833333333</v>
      </c>
      <c r="DH283" s="208">
        <v>9873</v>
      </c>
      <c r="DI283" s="208">
        <v>2221</v>
      </c>
      <c r="DJ283" s="208">
        <v>247</v>
      </c>
      <c r="DK283" s="208">
        <v>13092</v>
      </c>
      <c r="DL283" s="208">
        <v>2946</v>
      </c>
      <c r="DM283" s="208">
        <v>327</v>
      </c>
      <c r="DN283" s="208">
        <v>1227.5</v>
      </c>
      <c r="DO283" s="208">
        <v>276.1875</v>
      </c>
      <c r="DP283" s="208">
        <v>30.6875</v>
      </c>
      <c r="DQ283" s="208">
        <v>1227</v>
      </c>
      <c r="DR283" s="208">
        <v>276</v>
      </c>
      <c r="DS283" s="208">
        <v>31</v>
      </c>
      <c r="DT283" s="208">
        <v>1</v>
      </c>
      <c r="DU283" s="208">
        <v>0</v>
      </c>
      <c r="DV283" s="208">
        <v>0</v>
      </c>
      <c r="DW283" s="208">
        <v>7359.2716666666665</v>
      </c>
      <c r="DX283" s="208">
        <v>1655.8361249999998</v>
      </c>
      <c r="DY283" s="208">
        <v>183.98179166666665</v>
      </c>
      <c r="DZ283" s="208">
        <v>8183</v>
      </c>
      <c r="EA283" s="208">
        <v>1841</v>
      </c>
      <c r="EB283" s="208">
        <v>205</v>
      </c>
      <c r="EC283" s="208">
        <v>-824</v>
      </c>
      <c r="ED283" s="208">
        <v>-185</v>
      </c>
      <c r="EE283" s="208">
        <v>-21</v>
      </c>
      <c r="EF283" s="208">
        <v>63998.16750000001</v>
      </c>
      <c r="EG283" s="208">
        <v>14399.587687500001</v>
      </c>
      <c r="EH283" s="208">
        <v>1599.9541875000002</v>
      </c>
      <c r="EI283" s="208">
        <v>0</v>
      </c>
      <c r="EJ283" s="208">
        <v>0</v>
      </c>
      <c r="EK283" s="208">
        <v>0</v>
      </c>
      <c r="EL283" s="208">
        <v>63830</v>
      </c>
      <c r="EM283" s="208">
        <v>14362</v>
      </c>
      <c r="EN283" s="208">
        <v>1596</v>
      </c>
      <c r="EO283" s="208">
        <v>168</v>
      </c>
      <c r="EP283" s="208">
        <v>38</v>
      </c>
      <c r="EQ283" s="208">
        <v>4</v>
      </c>
      <c r="ER283" s="208">
        <v>18895.725833333334</v>
      </c>
      <c r="ES283" s="208">
        <v>4251.5383124999998</v>
      </c>
      <c r="ET283" s="208">
        <v>472.39314583333334</v>
      </c>
      <c r="EU283" s="208">
        <v>18413</v>
      </c>
      <c r="EV283" s="208">
        <v>4143</v>
      </c>
      <c r="EW283" s="208">
        <v>460</v>
      </c>
      <c r="EX283" s="208">
        <v>483</v>
      </c>
      <c r="EY283" s="208">
        <v>109</v>
      </c>
      <c r="EZ283" s="208">
        <v>12</v>
      </c>
      <c r="FA283" s="208">
        <v>0</v>
      </c>
      <c r="FB283" s="208">
        <v>0</v>
      </c>
      <c r="FC283" s="208">
        <v>0</v>
      </c>
      <c r="FD283" s="208">
        <v>0</v>
      </c>
      <c r="FE283" s="208">
        <v>0</v>
      </c>
      <c r="FF283" s="208">
        <v>0</v>
      </c>
      <c r="FG283" s="208">
        <v>0</v>
      </c>
      <c r="FH283" s="208">
        <v>0</v>
      </c>
      <c r="FI283" s="208">
        <v>0</v>
      </c>
      <c r="FJ283" s="208">
        <v>480173.45750000002</v>
      </c>
      <c r="FK283" s="208">
        <v>105680.22918749999</v>
      </c>
      <c r="FL283" s="208">
        <v>11742.247687499999</v>
      </c>
      <c r="FM283" s="208">
        <v>507265</v>
      </c>
      <c r="FN283" s="208">
        <v>111794</v>
      </c>
      <c r="FO283" s="208">
        <v>12421</v>
      </c>
      <c r="FP283" s="208">
        <v>-27092</v>
      </c>
      <c r="FQ283" s="208">
        <v>-6114</v>
      </c>
      <c r="FR283" s="208">
        <v>-679</v>
      </c>
      <c r="FS283" s="208">
        <v>0</v>
      </c>
      <c r="FT283" s="208">
        <v>0</v>
      </c>
      <c r="FU283" s="208">
        <v>0</v>
      </c>
      <c r="FV283" s="208">
        <v>0</v>
      </c>
      <c r="FW283" s="208">
        <v>0</v>
      </c>
      <c r="FX283" s="208">
        <v>0</v>
      </c>
      <c r="FY283" s="208">
        <v>0</v>
      </c>
      <c r="FZ283" s="208">
        <v>0</v>
      </c>
      <c r="GA283" s="208">
        <v>0</v>
      </c>
      <c r="GB283" s="208">
        <v>1960851</v>
      </c>
      <c r="GC283" s="208">
        <v>438832</v>
      </c>
      <c r="GD283" s="208">
        <v>48759</v>
      </c>
      <c r="GE283" s="664">
        <v>0.5</v>
      </c>
      <c r="GF283" s="664">
        <v>0.4</v>
      </c>
      <c r="GG283" s="664">
        <v>0.09</v>
      </c>
      <c r="GH283" s="664">
        <v>0.01</v>
      </c>
      <c r="GI283" s="187" t="s">
        <v>1054</v>
      </c>
    </row>
    <row r="284" spans="2:191" s="187" customFormat="1" x14ac:dyDescent="0.2">
      <c r="B284" s="429" t="s">
        <v>646</v>
      </c>
      <c r="C284" s="429" t="s">
        <v>645</v>
      </c>
      <c r="D284" s="208">
        <v>1001916</v>
      </c>
      <c r="E284" s="208">
        <v>0</v>
      </c>
      <c r="F284" s="208">
        <v>1001916</v>
      </c>
      <c r="G284" s="208">
        <v>700389</v>
      </c>
      <c r="H284" s="208">
        <v>0</v>
      </c>
      <c r="I284" s="208">
        <v>700389</v>
      </c>
      <c r="J284" s="208">
        <v>301527</v>
      </c>
      <c r="K284" s="208">
        <v>0</v>
      </c>
      <c r="L284" s="208">
        <v>301527</v>
      </c>
      <c r="M284" s="208">
        <v>123206</v>
      </c>
      <c r="N284" s="208">
        <v>123206</v>
      </c>
      <c r="O284" s="208">
        <v>0</v>
      </c>
      <c r="P284" s="208">
        <v>0</v>
      </c>
      <c r="Q284" s="208">
        <v>0</v>
      </c>
      <c r="R284" s="208">
        <v>0</v>
      </c>
      <c r="S284" s="208">
        <v>136838</v>
      </c>
      <c r="T284" s="208">
        <v>124192</v>
      </c>
      <c r="U284" s="208">
        <v>114307</v>
      </c>
      <c r="V284" s="208">
        <v>122757</v>
      </c>
      <c r="W284" s="208">
        <v>22531</v>
      </c>
      <c r="X284" s="208">
        <v>1435</v>
      </c>
      <c r="Y284" s="208">
        <v>0</v>
      </c>
      <c r="Z284" s="208">
        <v>0</v>
      </c>
      <c r="AA284" s="208">
        <v>0</v>
      </c>
      <c r="AB284" s="208">
        <v>0</v>
      </c>
      <c r="AC284" s="208">
        <v>0</v>
      </c>
      <c r="AD284" s="208">
        <v>0</v>
      </c>
      <c r="AE284" s="208">
        <v>0</v>
      </c>
      <c r="AF284" s="208">
        <v>0</v>
      </c>
      <c r="AG284" s="208">
        <v>0</v>
      </c>
      <c r="AH284" s="208">
        <v>0</v>
      </c>
      <c r="AI284" s="208">
        <v>0</v>
      </c>
      <c r="AJ284" s="208">
        <v>0</v>
      </c>
      <c r="AK284" s="208">
        <v>0</v>
      </c>
      <c r="AL284" s="208">
        <v>0</v>
      </c>
      <c r="AM284" s="208">
        <v>0</v>
      </c>
      <c r="AN284" s="208">
        <v>0</v>
      </c>
      <c r="AO284" s="208">
        <v>0</v>
      </c>
      <c r="AP284" s="208">
        <v>0</v>
      </c>
      <c r="AQ284" s="208">
        <v>0</v>
      </c>
      <c r="AR284" s="208">
        <v>0</v>
      </c>
      <c r="AS284" s="208">
        <v>0</v>
      </c>
      <c r="AT284" s="208">
        <v>0</v>
      </c>
      <c r="AU284" s="208">
        <v>0</v>
      </c>
      <c r="AV284" s="208">
        <v>0</v>
      </c>
      <c r="AW284" s="208">
        <v>0</v>
      </c>
      <c r="AX284" s="208">
        <v>0</v>
      </c>
      <c r="AY284" s="208">
        <v>0</v>
      </c>
      <c r="AZ284" s="208">
        <v>0</v>
      </c>
      <c r="BA284" s="208">
        <v>0</v>
      </c>
      <c r="BB284" s="208">
        <v>0</v>
      </c>
      <c r="BC284" s="208">
        <v>0</v>
      </c>
      <c r="BD284" s="208">
        <v>0</v>
      </c>
      <c r="BE284" s="208">
        <v>0</v>
      </c>
      <c r="BF284" s="208">
        <v>0</v>
      </c>
      <c r="BG284" s="208">
        <v>0</v>
      </c>
      <c r="BH284" s="208">
        <v>0</v>
      </c>
      <c r="BI284" s="208">
        <v>0</v>
      </c>
      <c r="BJ284" s="208">
        <v>0</v>
      </c>
      <c r="BK284" s="208">
        <v>0</v>
      </c>
      <c r="BL284" s="208">
        <v>0</v>
      </c>
      <c r="BM284" s="208">
        <v>0</v>
      </c>
      <c r="BN284" s="208">
        <v>0</v>
      </c>
      <c r="BO284" s="208">
        <v>1096610.5139895834</v>
      </c>
      <c r="BP284" s="208">
        <v>1096610.5139895834</v>
      </c>
      <c r="BQ284" s="208">
        <v>0</v>
      </c>
      <c r="BR284" s="208">
        <v>77912</v>
      </c>
      <c r="BS284" s="208">
        <v>77912</v>
      </c>
      <c r="BT284" s="208">
        <v>0</v>
      </c>
      <c r="BU284" s="208">
        <v>959716</v>
      </c>
      <c r="BV284" s="208">
        <v>959717</v>
      </c>
      <c r="BW284" s="208">
        <v>0</v>
      </c>
      <c r="BX284" s="208">
        <v>214807</v>
      </c>
      <c r="BY284" s="208">
        <v>214806</v>
      </c>
      <c r="BZ284" s="208">
        <v>0</v>
      </c>
      <c r="CA284" s="208">
        <v>4527.9406250000002</v>
      </c>
      <c r="CB284" s="208">
        <v>4527.9406250000002</v>
      </c>
      <c r="CC284" s="208">
        <v>0</v>
      </c>
      <c r="CD284" s="208">
        <v>30595</v>
      </c>
      <c r="CE284" s="208">
        <v>30594</v>
      </c>
      <c r="CF284" s="208">
        <v>0</v>
      </c>
      <c r="CG284" s="208">
        <v>-26067</v>
      </c>
      <c r="CH284" s="208">
        <v>-26066</v>
      </c>
      <c r="CI284" s="208">
        <v>0</v>
      </c>
      <c r="CJ284" s="208">
        <v>0</v>
      </c>
      <c r="CK284" s="208">
        <v>0</v>
      </c>
      <c r="CL284" s="208">
        <v>0</v>
      </c>
      <c r="CM284" s="208">
        <v>0</v>
      </c>
      <c r="CN284" s="208">
        <v>0</v>
      </c>
      <c r="CO284" s="208">
        <v>0</v>
      </c>
      <c r="CP284" s="208">
        <v>-1534.375</v>
      </c>
      <c r="CQ284" s="208">
        <v>-1534.375</v>
      </c>
      <c r="CR284" s="208">
        <v>0</v>
      </c>
      <c r="CS284" s="208">
        <v>0</v>
      </c>
      <c r="CT284" s="208">
        <v>0</v>
      </c>
      <c r="CU284" s="208">
        <v>0</v>
      </c>
      <c r="CV284" s="208">
        <v>0</v>
      </c>
      <c r="CW284" s="208">
        <v>0</v>
      </c>
      <c r="CX284" s="208">
        <v>0</v>
      </c>
      <c r="CY284" s="208">
        <v>0</v>
      </c>
      <c r="CZ284" s="208">
        <v>0</v>
      </c>
      <c r="DA284" s="208">
        <v>0</v>
      </c>
      <c r="DB284" s="208">
        <v>0</v>
      </c>
      <c r="DC284" s="208">
        <v>0</v>
      </c>
      <c r="DD284" s="208">
        <v>0</v>
      </c>
      <c r="DE284" s="208">
        <v>16442.362499999999</v>
      </c>
      <c r="DF284" s="208">
        <v>16442.362499999999</v>
      </c>
      <c r="DG284" s="208">
        <v>0</v>
      </c>
      <c r="DH284" s="208">
        <v>4150</v>
      </c>
      <c r="DI284" s="208">
        <v>4149</v>
      </c>
      <c r="DJ284" s="208">
        <v>0</v>
      </c>
      <c r="DK284" s="208">
        <v>12292</v>
      </c>
      <c r="DL284" s="208">
        <v>12293</v>
      </c>
      <c r="DM284" s="208">
        <v>0</v>
      </c>
      <c r="DN284" s="208">
        <v>0</v>
      </c>
      <c r="DO284" s="208">
        <v>0</v>
      </c>
      <c r="DP284" s="208">
        <v>0</v>
      </c>
      <c r="DQ284" s="208">
        <v>0</v>
      </c>
      <c r="DR284" s="208">
        <v>0</v>
      </c>
      <c r="DS284" s="208">
        <v>0</v>
      </c>
      <c r="DT284" s="208">
        <v>0</v>
      </c>
      <c r="DU284" s="208">
        <v>0</v>
      </c>
      <c r="DV284" s="208">
        <v>0</v>
      </c>
      <c r="DW284" s="208">
        <v>1957.8625</v>
      </c>
      <c r="DX284" s="208">
        <v>1957.8625</v>
      </c>
      <c r="DY284" s="208">
        <v>0</v>
      </c>
      <c r="DZ284" s="208">
        <v>2178</v>
      </c>
      <c r="EA284" s="208">
        <v>2178</v>
      </c>
      <c r="EB284" s="208">
        <v>0</v>
      </c>
      <c r="EC284" s="208">
        <v>-220</v>
      </c>
      <c r="ED284" s="208">
        <v>-220</v>
      </c>
      <c r="EE284" s="208">
        <v>0</v>
      </c>
      <c r="EF284" s="208">
        <v>30774.959374999999</v>
      </c>
      <c r="EG284" s="208">
        <v>30774.959374999999</v>
      </c>
      <c r="EH284" s="208">
        <v>0</v>
      </c>
      <c r="EI284" s="208">
        <v>0</v>
      </c>
      <c r="EJ284" s="208">
        <v>0</v>
      </c>
      <c r="EK284" s="208">
        <v>0</v>
      </c>
      <c r="EL284" s="208">
        <v>47542</v>
      </c>
      <c r="EM284" s="208">
        <v>47542</v>
      </c>
      <c r="EN284" s="208">
        <v>0</v>
      </c>
      <c r="EO284" s="208">
        <v>-16767</v>
      </c>
      <c r="EP284" s="208">
        <v>-16767</v>
      </c>
      <c r="EQ284" s="208">
        <v>0</v>
      </c>
      <c r="ER284" s="208">
        <v>16451.057291666668</v>
      </c>
      <c r="ES284" s="208">
        <v>16451.057291666668</v>
      </c>
      <c r="ET284" s="208">
        <v>0</v>
      </c>
      <c r="EU284" s="208">
        <v>19947</v>
      </c>
      <c r="EV284" s="208">
        <v>19947</v>
      </c>
      <c r="EW284" s="208">
        <v>0</v>
      </c>
      <c r="EX284" s="208">
        <v>-3496</v>
      </c>
      <c r="EY284" s="208">
        <v>-3496</v>
      </c>
      <c r="EZ284" s="208">
        <v>0</v>
      </c>
      <c r="FA284" s="208">
        <v>0</v>
      </c>
      <c r="FB284" s="208">
        <v>0</v>
      </c>
      <c r="FC284" s="208">
        <v>0</v>
      </c>
      <c r="FD284" s="208">
        <v>0</v>
      </c>
      <c r="FE284" s="208">
        <v>0</v>
      </c>
      <c r="FF284" s="208">
        <v>0</v>
      </c>
      <c r="FG284" s="208">
        <v>0</v>
      </c>
      <c r="FH284" s="208">
        <v>0</v>
      </c>
      <c r="FI284" s="208">
        <v>0</v>
      </c>
      <c r="FJ284" s="208">
        <v>419751.10833333328</v>
      </c>
      <c r="FK284" s="208">
        <v>419461.30416666664</v>
      </c>
      <c r="FL284" s="208">
        <v>0</v>
      </c>
      <c r="FM284" s="208">
        <v>409819</v>
      </c>
      <c r="FN284" s="208">
        <v>410012</v>
      </c>
      <c r="FO284" s="208">
        <v>0</v>
      </c>
      <c r="FP284" s="208">
        <v>9932</v>
      </c>
      <c r="FQ284" s="208">
        <v>9449</v>
      </c>
      <c r="FR284" s="208">
        <v>0</v>
      </c>
      <c r="FS284" s="208">
        <v>0</v>
      </c>
      <c r="FT284" s="208">
        <v>0</v>
      </c>
      <c r="FU284" s="208">
        <v>0</v>
      </c>
      <c r="FV284" s="208">
        <v>0</v>
      </c>
      <c r="FW284" s="208">
        <v>0</v>
      </c>
      <c r="FX284" s="208">
        <v>0</v>
      </c>
      <c r="FY284" s="208">
        <v>0</v>
      </c>
      <c r="FZ284" s="208">
        <v>0</v>
      </c>
      <c r="GA284" s="208">
        <v>0</v>
      </c>
      <c r="GB284" s="208">
        <v>1662894</v>
      </c>
      <c r="GC284" s="208">
        <v>1662604</v>
      </c>
      <c r="GD284" s="208">
        <v>0</v>
      </c>
      <c r="GE284" s="664">
        <v>0</v>
      </c>
      <c r="GF284" s="664">
        <v>0.5</v>
      </c>
      <c r="GG284" s="664">
        <v>0.5</v>
      </c>
      <c r="GH284" s="664">
        <v>0</v>
      </c>
      <c r="GI284" s="187" t="s">
        <v>1054</v>
      </c>
    </row>
    <row r="285" spans="2:191" s="187" customFormat="1" x14ac:dyDescent="0.2">
      <c r="B285" s="429" t="s">
        <v>648</v>
      </c>
      <c r="C285" s="429" t="s">
        <v>647</v>
      </c>
      <c r="D285" s="208">
        <v>-61924</v>
      </c>
      <c r="E285" s="208">
        <v>0</v>
      </c>
      <c r="F285" s="208">
        <v>-61924</v>
      </c>
      <c r="G285" s="208">
        <v>-177319</v>
      </c>
      <c r="H285" s="208">
        <v>0</v>
      </c>
      <c r="I285" s="208">
        <v>-177319</v>
      </c>
      <c r="J285" s="208">
        <v>115395</v>
      </c>
      <c r="K285" s="208">
        <v>0</v>
      </c>
      <c r="L285" s="208">
        <v>115395</v>
      </c>
      <c r="M285" s="208">
        <v>190559</v>
      </c>
      <c r="N285" s="208">
        <v>190559</v>
      </c>
      <c r="O285" s="208">
        <v>0</v>
      </c>
      <c r="P285" s="208">
        <v>0</v>
      </c>
      <c r="Q285" s="208">
        <v>0</v>
      </c>
      <c r="R285" s="208">
        <v>0</v>
      </c>
      <c r="S285" s="208">
        <v>5397</v>
      </c>
      <c r="T285" s="208">
        <v>0</v>
      </c>
      <c r="U285" s="208">
        <v>0</v>
      </c>
      <c r="V285" s="208">
        <v>0</v>
      </c>
      <c r="W285" s="208">
        <v>5397</v>
      </c>
      <c r="X285" s="208">
        <v>0</v>
      </c>
      <c r="Y285" s="208">
        <v>0</v>
      </c>
      <c r="Z285" s="208">
        <v>0</v>
      </c>
      <c r="AA285" s="208">
        <v>0</v>
      </c>
      <c r="AB285" s="208">
        <v>0</v>
      </c>
      <c r="AC285" s="208">
        <v>0</v>
      </c>
      <c r="AD285" s="208">
        <v>0</v>
      </c>
      <c r="AE285" s="208">
        <v>0</v>
      </c>
      <c r="AF285" s="208">
        <v>0</v>
      </c>
      <c r="AG285" s="208">
        <v>0</v>
      </c>
      <c r="AH285" s="208">
        <v>0</v>
      </c>
      <c r="AI285" s="208">
        <v>0</v>
      </c>
      <c r="AJ285" s="208">
        <v>0</v>
      </c>
      <c r="AK285" s="208">
        <v>0</v>
      </c>
      <c r="AL285" s="208">
        <v>0</v>
      </c>
      <c r="AM285" s="208">
        <v>0</v>
      </c>
      <c r="AN285" s="208">
        <v>0</v>
      </c>
      <c r="AO285" s="208">
        <v>0</v>
      </c>
      <c r="AP285" s="208">
        <v>0</v>
      </c>
      <c r="AQ285" s="208">
        <v>0</v>
      </c>
      <c r="AR285" s="208">
        <v>0</v>
      </c>
      <c r="AS285" s="208">
        <v>0</v>
      </c>
      <c r="AT285" s="208">
        <v>0</v>
      </c>
      <c r="AU285" s="208">
        <v>0</v>
      </c>
      <c r="AV285" s="208">
        <v>0</v>
      </c>
      <c r="AW285" s="208">
        <v>0</v>
      </c>
      <c r="AX285" s="208">
        <v>0</v>
      </c>
      <c r="AY285" s="208">
        <v>0</v>
      </c>
      <c r="AZ285" s="208">
        <v>0</v>
      </c>
      <c r="BA285" s="208">
        <v>0</v>
      </c>
      <c r="BB285" s="208">
        <v>0</v>
      </c>
      <c r="BC285" s="208">
        <v>0</v>
      </c>
      <c r="BD285" s="208">
        <v>0</v>
      </c>
      <c r="BE285" s="208">
        <v>0</v>
      </c>
      <c r="BF285" s="208">
        <v>0</v>
      </c>
      <c r="BG285" s="208">
        <v>0</v>
      </c>
      <c r="BH285" s="208">
        <v>0</v>
      </c>
      <c r="BI285" s="208">
        <v>0</v>
      </c>
      <c r="BJ285" s="208">
        <v>0</v>
      </c>
      <c r="BK285" s="208">
        <v>0</v>
      </c>
      <c r="BL285" s="208">
        <v>0</v>
      </c>
      <c r="BM285" s="208">
        <v>0</v>
      </c>
      <c r="BN285" s="208">
        <v>0</v>
      </c>
      <c r="BO285" s="208">
        <v>1691707.7175666669</v>
      </c>
      <c r="BP285" s="208">
        <v>2495268.8834108333</v>
      </c>
      <c r="BQ285" s="208">
        <v>42292.692939166664</v>
      </c>
      <c r="BR285" s="208">
        <v>61542</v>
      </c>
      <c r="BS285" s="208">
        <v>90775</v>
      </c>
      <c r="BT285" s="208">
        <v>1539</v>
      </c>
      <c r="BU285" s="208">
        <v>1553789</v>
      </c>
      <c r="BV285" s="208">
        <v>2291838</v>
      </c>
      <c r="BW285" s="208">
        <v>38845</v>
      </c>
      <c r="BX285" s="208">
        <v>199461</v>
      </c>
      <c r="BY285" s="208">
        <v>294206</v>
      </c>
      <c r="BZ285" s="208">
        <v>4987</v>
      </c>
      <c r="CA285" s="208">
        <v>1189.4475</v>
      </c>
      <c r="CB285" s="208">
        <v>1754.4350625</v>
      </c>
      <c r="CC285" s="208">
        <v>29.7361875</v>
      </c>
      <c r="CD285" s="208">
        <v>1910</v>
      </c>
      <c r="CE285" s="208">
        <v>2818</v>
      </c>
      <c r="CF285" s="208">
        <v>48</v>
      </c>
      <c r="CG285" s="208">
        <v>-721</v>
      </c>
      <c r="CH285" s="208">
        <v>-1064</v>
      </c>
      <c r="CI285" s="208">
        <v>-18</v>
      </c>
      <c r="CJ285" s="208">
        <v>-230.36083333333332</v>
      </c>
      <c r="CK285" s="208">
        <v>-339.78222916666664</v>
      </c>
      <c r="CL285" s="208">
        <v>-5.7590208333333326</v>
      </c>
      <c r="CM285" s="208">
        <v>0</v>
      </c>
      <c r="CN285" s="208">
        <v>0</v>
      </c>
      <c r="CO285" s="208">
        <v>0</v>
      </c>
      <c r="CP285" s="208">
        <v>613.75</v>
      </c>
      <c r="CQ285" s="208">
        <v>905.28125</v>
      </c>
      <c r="CR285" s="208">
        <v>15.34375</v>
      </c>
      <c r="CS285" s="208">
        <v>0</v>
      </c>
      <c r="CT285" s="208">
        <v>0</v>
      </c>
      <c r="CU285" s="208">
        <v>0</v>
      </c>
      <c r="CV285" s="208">
        <v>0</v>
      </c>
      <c r="CW285" s="208">
        <v>0</v>
      </c>
      <c r="CX285" s="208">
        <v>0</v>
      </c>
      <c r="CY285" s="208">
        <v>0</v>
      </c>
      <c r="CZ285" s="208">
        <v>0</v>
      </c>
      <c r="DA285" s="208">
        <v>0</v>
      </c>
      <c r="DB285" s="208">
        <v>0</v>
      </c>
      <c r="DC285" s="208">
        <v>0</v>
      </c>
      <c r="DD285" s="208">
        <v>0</v>
      </c>
      <c r="DE285" s="208">
        <v>1618.6633333333334</v>
      </c>
      <c r="DF285" s="208">
        <v>2387.5284166666665</v>
      </c>
      <c r="DG285" s="208">
        <v>40.466583333333332</v>
      </c>
      <c r="DH285" s="208">
        <v>1992</v>
      </c>
      <c r="DI285" s="208">
        <v>2938</v>
      </c>
      <c r="DJ285" s="208">
        <v>50</v>
      </c>
      <c r="DK285" s="208">
        <v>-373</v>
      </c>
      <c r="DL285" s="208">
        <v>-550</v>
      </c>
      <c r="DM285" s="208">
        <v>-10</v>
      </c>
      <c r="DN285" s="208">
        <v>613.75</v>
      </c>
      <c r="DO285" s="208">
        <v>905.28125</v>
      </c>
      <c r="DP285" s="208">
        <v>15.34375</v>
      </c>
      <c r="DQ285" s="208">
        <v>614</v>
      </c>
      <c r="DR285" s="208">
        <v>905</v>
      </c>
      <c r="DS285" s="208">
        <v>15</v>
      </c>
      <c r="DT285" s="208">
        <v>0</v>
      </c>
      <c r="DU285" s="208">
        <v>0</v>
      </c>
      <c r="DV285" s="208">
        <v>0</v>
      </c>
      <c r="DW285" s="208">
        <v>14717.315833333334</v>
      </c>
      <c r="DX285" s="208">
        <v>21708.040854166669</v>
      </c>
      <c r="DY285" s="208">
        <v>367.93289583333336</v>
      </c>
      <c r="DZ285" s="208">
        <v>17653</v>
      </c>
      <c r="EA285" s="208">
        <v>26038</v>
      </c>
      <c r="EB285" s="208">
        <v>441</v>
      </c>
      <c r="EC285" s="208">
        <v>-2936</v>
      </c>
      <c r="ED285" s="208">
        <v>-4330</v>
      </c>
      <c r="EE285" s="208">
        <v>-73</v>
      </c>
      <c r="EF285" s="208">
        <v>57591.435833333329</v>
      </c>
      <c r="EG285" s="208">
        <v>84947.36785416666</v>
      </c>
      <c r="EH285" s="208">
        <v>1439.7858958333331</v>
      </c>
      <c r="EI285" s="208">
        <v>-412.03083333333336</v>
      </c>
      <c r="EJ285" s="208">
        <v>-607.74547916666666</v>
      </c>
      <c r="EK285" s="208">
        <v>-10.300770833333333</v>
      </c>
      <c r="EL285" s="208">
        <v>65467</v>
      </c>
      <c r="EM285" s="208">
        <v>96563</v>
      </c>
      <c r="EN285" s="208">
        <v>1637</v>
      </c>
      <c r="EO285" s="208">
        <v>-8288</v>
      </c>
      <c r="EP285" s="208">
        <v>-12223</v>
      </c>
      <c r="EQ285" s="208">
        <v>-208</v>
      </c>
      <c r="ER285" s="208">
        <v>19194.008333333335</v>
      </c>
      <c r="ES285" s="208">
        <v>28311.162291666667</v>
      </c>
      <c r="ET285" s="208">
        <v>479.85020833333334</v>
      </c>
      <c r="EU285" s="208">
        <v>21686</v>
      </c>
      <c r="EV285" s="208">
        <v>31987</v>
      </c>
      <c r="EW285" s="208">
        <v>542</v>
      </c>
      <c r="EX285" s="208">
        <v>-2492</v>
      </c>
      <c r="EY285" s="208">
        <v>-3676</v>
      </c>
      <c r="EZ285" s="208">
        <v>-62</v>
      </c>
      <c r="FA285" s="208">
        <v>0</v>
      </c>
      <c r="FB285" s="208">
        <v>0</v>
      </c>
      <c r="FC285" s="208">
        <v>0</v>
      </c>
      <c r="FD285" s="208">
        <v>0</v>
      </c>
      <c r="FE285" s="208">
        <v>0</v>
      </c>
      <c r="FF285" s="208">
        <v>0</v>
      </c>
      <c r="FG285" s="208">
        <v>0</v>
      </c>
      <c r="FH285" s="208">
        <v>0</v>
      </c>
      <c r="FI285" s="208">
        <v>0</v>
      </c>
      <c r="FJ285" s="208">
        <v>309971.68124999997</v>
      </c>
      <c r="FK285" s="208">
        <v>457025.8</v>
      </c>
      <c r="FL285" s="208">
        <v>7746.2</v>
      </c>
      <c r="FM285" s="208">
        <v>297363</v>
      </c>
      <c r="FN285" s="208">
        <v>438610</v>
      </c>
      <c r="FO285" s="208">
        <v>7434</v>
      </c>
      <c r="FP285" s="208">
        <v>12609</v>
      </c>
      <c r="FQ285" s="208">
        <v>18416</v>
      </c>
      <c r="FR285" s="208">
        <v>312</v>
      </c>
      <c r="FS285" s="208">
        <v>0</v>
      </c>
      <c r="FT285" s="208">
        <v>0</v>
      </c>
      <c r="FU285" s="208">
        <v>0</v>
      </c>
      <c r="FV285" s="208">
        <v>0</v>
      </c>
      <c r="FW285" s="208">
        <v>0</v>
      </c>
      <c r="FX285" s="208">
        <v>0</v>
      </c>
      <c r="FY285" s="208">
        <v>0</v>
      </c>
      <c r="FZ285" s="208">
        <v>0</v>
      </c>
      <c r="GA285" s="208">
        <v>0</v>
      </c>
      <c r="GB285" s="208">
        <v>2158118</v>
      </c>
      <c r="GC285" s="208">
        <v>3183040</v>
      </c>
      <c r="GD285" s="208">
        <v>53950</v>
      </c>
      <c r="GE285" s="664">
        <v>0</v>
      </c>
      <c r="GF285" s="664">
        <v>0.4</v>
      </c>
      <c r="GG285" s="664">
        <v>0.59</v>
      </c>
      <c r="GH285" s="664">
        <v>0.01</v>
      </c>
      <c r="GI285" s="187" t="s">
        <v>1054</v>
      </c>
    </row>
    <row r="286" spans="2:191" s="187" customFormat="1" x14ac:dyDescent="0.2">
      <c r="B286" s="429" t="s">
        <v>650</v>
      </c>
      <c r="C286" s="429" t="s">
        <v>649</v>
      </c>
      <c r="D286" s="208">
        <v>29856</v>
      </c>
      <c r="E286" s="208">
        <v>0</v>
      </c>
      <c r="F286" s="208">
        <v>29856</v>
      </c>
      <c r="G286" s="208">
        <v>26243</v>
      </c>
      <c r="H286" s="208">
        <v>0</v>
      </c>
      <c r="I286" s="208">
        <v>26243</v>
      </c>
      <c r="J286" s="208">
        <v>3613</v>
      </c>
      <c r="K286" s="208">
        <v>0</v>
      </c>
      <c r="L286" s="208">
        <v>3613</v>
      </c>
      <c r="M286" s="208">
        <v>91690</v>
      </c>
      <c r="N286" s="208">
        <v>91690</v>
      </c>
      <c r="O286" s="208">
        <v>0</v>
      </c>
      <c r="P286" s="208">
        <v>0</v>
      </c>
      <c r="Q286" s="208">
        <v>0</v>
      </c>
      <c r="R286" s="208">
        <v>0</v>
      </c>
      <c r="S286" s="208">
        <v>0</v>
      </c>
      <c r="T286" s="208">
        <v>0</v>
      </c>
      <c r="U286" s="208">
        <v>0</v>
      </c>
      <c r="V286" s="208">
        <v>0</v>
      </c>
      <c r="W286" s="208">
        <v>0</v>
      </c>
      <c r="X286" s="208">
        <v>0</v>
      </c>
      <c r="Y286" s="208">
        <v>0</v>
      </c>
      <c r="Z286" s="208">
        <v>0</v>
      </c>
      <c r="AA286" s="208">
        <v>0</v>
      </c>
      <c r="AB286" s="208">
        <v>0</v>
      </c>
      <c r="AC286" s="208">
        <v>0</v>
      </c>
      <c r="AD286" s="208">
        <v>0</v>
      </c>
      <c r="AE286" s="208">
        <v>0</v>
      </c>
      <c r="AF286" s="208">
        <v>0</v>
      </c>
      <c r="AG286" s="208">
        <v>0</v>
      </c>
      <c r="AH286" s="208">
        <v>0</v>
      </c>
      <c r="AI286" s="208">
        <v>0</v>
      </c>
      <c r="AJ286" s="208">
        <v>0</v>
      </c>
      <c r="AK286" s="208">
        <v>0</v>
      </c>
      <c r="AL286" s="208">
        <v>0</v>
      </c>
      <c r="AM286" s="208">
        <v>0</v>
      </c>
      <c r="AN286" s="208">
        <v>0</v>
      </c>
      <c r="AO286" s="208">
        <v>0</v>
      </c>
      <c r="AP286" s="208">
        <v>0</v>
      </c>
      <c r="AQ286" s="208">
        <v>0</v>
      </c>
      <c r="AR286" s="208">
        <v>0</v>
      </c>
      <c r="AS286" s="208">
        <v>0</v>
      </c>
      <c r="AT286" s="208">
        <v>0</v>
      </c>
      <c r="AU286" s="208">
        <v>0</v>
      </c>
      <c r="AV286" s="208">
        <v>0</v>
      </c>
      <c r="AW286" s="208">
        <v>0</v>
      </c>
      <c r="AX286" s="208">
        <v>0</v>
      </c>
      <c r="AY286" s="208">
        <v>0</v>
      </c>
      <c r="AZ286" s="208">
        <v>0</v>
      </c>
      <c r="BA286" s="208">
        <v>0</v>
      </c>
      <c r="BB286" s="208">
        <v>0</v>
      </c>
      <c r="BC286" s="208">
        <v>0</v>
      </c>
      <c r="BD286" s="208">
        <v>0</v>
      </c>
      <c r="BE286" s="208">
        <v>0</v>
      </c>
      <c r="BF286" s="208">
        <v>0</v>
      </c>
      <c r="BG286" s="208">
        <v>0</v>
      </c>
      <c r="BH286" s="208">
        <v>0</v>
      </c>
      <c r="BI286" s="208">
        <v>0</v>
      </c>
      <c r="BJ286" s="208">
        <v>0</v>
      </c>
      <c r="BK286" s="208">
        <v>0</v>
      </c>
      <c r="BL286" s="208">
        <v>0</v>
      </c>
      <c r="BM286" s="208">
        <v>0</v>
      </c>
      <c r="BN286" s="208">
        <v>0</v>
      </c>
      <c r="BO286" s="208">
        <v>570065.56428749999</v>
      </c>
      <c r="BP286" s="208">
        <v>142516.391071875</v>
      </c>
      <c r="BQ286" s="208">
        <v>0</v>
      </c>
      <c r="BR286" s="208">
        <v>64270</v>
      </c>
      <c r="BS286" s="208">
        <v>16068</v>
      </c>
      <c r="BT286" s="208">
        <v>0</v>
      </c>
      <c r="BU286" s="208">
        <v>568026</v>
      </c>
      <c r="BV286" s="208">
        <v>142007</v>
      </c>
      <c r="BW286" s="208">
        <v>0</v>
      </c>
      <c r="BX286" s="208">
        <v>66310</v>
      </c>
      <c r="BY286" s="208">
        <v>16577</v>
      </c>
      <c r="BZ286" s="208">
        <v>0</v>
      </c>
      <c r="CA286" s="208">
        <v>-736.90916666666669</v>
      </c>
      <c r="CB286" s="208">
        <v>-184.22729166666667</v>
      </c>
      <c r="CC286" s="208">
        <v>0</v>
      </c>
      <c r="CD286" s="208">
        <v>0</v>
      </c>
      <c r="CE286" s="208">
        <v>0</v>
      </c>
      <c r="CF286" s="208">
        <v>0</v>
      </c>
      <c r="CG286" s="208">
        <v>-737</v>
      </c>
      <c r="CH286" s="208">
        <v>-184</v>
      </c>
      <c r="CI286" s="208">
        <v>0</v>
      </c>
      <c r="CJ286" s="208">
        <v>0</v>
      </c>
      <c r="CK286" s="208">
        <v>0</v>
      </c>
      <c r="CL286" s="208">
        <v>0</v>
      </c>
      <c r="CM286" s="208">
        <v>0</v>
      </c>
      <c r="CN286" s="208">
        <v>0</v>
      </c>
      <c r="CO286" s="208">
        <v>0</v>
      </c>
      <c r="CP286" s="208">
        <v>0</v>
      </c>
      <c r="CQ286" s="208">
        <v>0</v>
      </c>
      <c r="CR286" s="208">
        <v>0</v>
      </c>
      <c r="CS286" s="208">
        <v>0</v>
      </c>
      <c r="CT286" s="208">
        <v>0</v>
      </c>
      <c r="CU286" s="208">
        <v>0</v>
      </c>
      <c r="CV286" s="208">
        <v>0</v>
      </c>
      <c r="CW286" s="208">
        <v>0</v>
      </c>
      <c r="CX286" s="208">
        <v>0</v>
      </c>
      <c r="CY286" s="208">
        <v>0</v>
      </c>
      <c r="CZ286" s="208">
        <v>0</v>
      </c>
      <c r="DA286" s="208">
        <v>0</v>
      </c>
      <c r="DB286" s="208">
        <v>0</v>
      </c>
      <c r="DC286" s="208">
        <v>0</v>
      </c>
      <c r="DD286" s="208">
        <v>0</v>
      </c>
      <c r="DE286" s="208">
        <v>0</v>
      </c>
      <c r="DF286" s="208">
        <v>0</v>
      </c>
      <c r="DG286" s="208">
        <v>0</v>
      </c>
      <c r="DH286" s="208">
        <v>804</v>
      </c>
      <c r="DI286" s="208">
        <v>201</v>
      </c>
      <c r="DJ286" s="208">
        <v>0</v>
      </c>
      <c r="DK286" s="208">
        <v>-804</v>
      </c>
      <c r="DL286" s="208">
        <v>-201</v>
      </c>
      <c r="DM286" s="208">
        <v>0</v>
      </c>
      <c r="DN286" s="208">
        <v>0</v>
      </c>
      <c r="DO286" s="208">
        <v>0</v>
      </c>
      <c r="DP286" s="208">
        <v>0</v>
      </c>
      <c r="DQ286" s="208">
        <v>0</v>
      </c>
      <c r="DR286" s="208">
        <v>0</v>
      </c>
      <c r="DS286" s="208">
        <v>0</v>
      </c>
      <c r="DT286" s="208">
        <v>0</v>
      </c>
      <c r="DU286" s="208">
        <v>0</v>
      </c>
      <c r="DV286" s="208">
        <v>0</v>
      </c>
      <c r="DW286" s="208">
        <v>5696.8274999999994</v>
      </c>
      <c r="DX286" s="208">
        <v>1424.2068749999999</v>
      </c>
      <c r="DY286" s="208">
        <v>0</v>
      </c>
      <c r="DZ286" s="208">
        <v>6382</v>
      </c>
      <c r="EA286" s="208">
        <v>1595</v>
      </c>
      <c r="EB286" s="208">
        <v>0</v>
      </c>
      <c r="EC286" s="208">
        <v>-685</v>
      </c>
      <c r="ED286" s="208">
        <v>-171</v>
      </c>
      <c r="EE286" s="208">
        <v>0</v>
      </c>
      <c r="EF286" s="208">
        <v>28232.5</v>
      </c>
      <c r="EG286" s="208">
        <v>7058.125</v>
      </c>
      <c r="EH286" s="208">
        <v>0</v>
      </c>
      <c r="EI286" s="208">
        <v>0</v>
      </c>
      <c r="EJ286" s="208">
        <v>0</v>
      </c>
      <c r="EK286" s="208">
        <v>0</v>
      </c>
      <c r="EL286" s="208">
        <v>28233</v>
      </c>
      <c r="EM286" s="208">
        <v>7058</v>
      </c>
      <c r="EN286" s="208">
        <v>0</v>
      </c>
      <c r="EO286" s="208">
        <v>-1</v>
      </c>
      <c r="EP286" s="208">
        <v>0</v>
      </c>
      <c r="EQ286" s="208">
        <v>0</v>
      </c>
      <c r="ER286" s="208">
        <v>11731.217500000001</v>
      </c>
      <c r="ES286" s="208">
        <v>2932.8043750000002</v>
      </c>
      <c r="ET286" s="208">
        <v>0</v>
      </c>
      <c r="EU286" s="208">
        <v>12684</v>
      </c>
      <c r="EV286" s="208">
        <v>3171</v>
      </c>
      <c r="EW286" s="208">
        <v>0</v>
      </c>
      <c r="EX286" s="208">
        <v>-953</v>
      </c>
      <c r="EY286" s="208">
        <v>-238</v>
      </c>
      <c r="EZ286" s="208">
        <v>0</v>
      </c>
      <c r="FA286" s="208">
        <v>0</v>
      </c>
      <c r="FB286" s="208">
        <v>0</v>
      </c>
      <c r="FC286" s="208">
        <v>0</v>
      </c>
      <c r="FD286" s="208">
        <v>0</v>
      </c>
      <c r="FE286" s="208">
        <v>0</v>
      </c>
      <c r="FF286" s="208">
        <v>0</v>
      </c>
      <c r="FG286" s="208">
        <v>0</v>
      </c>
      <c r="FH286" s="208">
        <v>0</v>
      </c>
      <c r="FI286" s="208">
        <v>0</v>
      </c>
      <c r="FJ286" s="208">
        <v>260830.79</v>
      </c>
      <c r="FK286" s="208">
        <v>65207.697500000002</v>
      </c>
      <c r="FL286" s="208">
        <v>0</v>
      </c>
      <c r="FM286" s="208">
        <v>259913</v>
      </c>
      <c r="FN286" s="208">
        <v>64978</v>
      </c>
      <c r="FO286" s="208">
        <v>0</v>
      </c>
      <c r="FP286" s="208">
        <v>918</v>
      </c>
      <c r="FQ286" s="208">
        <v>230</v>
      </c>
      <c r="FR286" s="208">
        <v>0</v>
      </c>
      <c r="FS286" s="208">
        <v>0</v>
      </c>
      <c r="FT286" s="208">
        <v>0</v>
      </c>
      <c r="FU286" s="208">
        <v>0</v>
      </c>
      <c r="FV286" s="208">
        <v>0</v>
      </c>
      <c r="FW286" s="208">
        <v>0</v>
      </c>
      <c r="FX286" s="208">
        <v>0</v>
      </c>
      <c r="FY286" s="208">
        <v>0</v>
      </c>
      <c r="FZ286" s="208">
        <v>0</v>
      </c>
      <c r="GA286" s="208">
        <v>0</v>
      </c>
      <c r="GB286" s="208">
        <v>940091</v>
      </c>
      <c r="GC286" s="208">
        <v>235023</v>
      </c>
      <c r="GD286" s="208">
        <v>0</v>
      </c>
      <c r="GE286" s="664">
        <v>0.5</v>
      </c>
      <c r="GF286" s="664">
        <v>0.4</v>
      </c>
      <c r="GG286" s="664">
        <v>0.1</v>
      </c>
      <c r="GH286" s="664">
        <v>0</v>
      </c>
      <c r="GI286" s="187" t="s">
        <v>1054</v>
      </c>
    </row>
    <row r="287" spans="2:191" s="187" customFormat="1" x14ac:dyDescent="0.2">
      <c r="B287" s="429" t="s">
        <v>652</v>
      </c>
      <c r="C287" s="429" t="s">
        <v>651</v>
      </c>
      <c r="D287" s="208">
        <v>-2006328</v>
      </c>
      <c r="E287" s="208">
        <v>0</v>
      </c>
      <c r="F287" s="208">
        <v>-2006328</v>
      </c>
      <c r="G287" s="208">
        <v>-1443458</v>
      </c>
      <c r="H287" s="208">
        <v>0</v>
      </c>
      <c r="I287" s="208">
        <v>-1443458</v>
      </c>
      <c r="J287" s="208">
        <v>-562870</v>
      </c>
      <c r="K287" s="208">
        <v>0</v>
      </c>
      <c r="L287" s="208">
        <v>-562870</v>
      </c>
      <c r="M287" s="208">
        <v>229041</v>
      </c>
      <c r="N287" s="208">
        <v>229041</v>
      </c>
      <c r="O287" s="208">
        <v>0</v>
      </c>
      <c r="P287" s="208">
        <v>0</v>
      </c>
      <c r="Q287" s="208">
        <v>0</v>
      </c>
      <c r="R287" s="208">
        <v>0</v>
      </c>
      <c r="S287" s="208">
        <v>0</v>
      </c>
      <c r="T287" s="208">
        <v>0</v>
      </c>
      <c r="U287" s="208">
        <v>0</v>
      </c>
      <c r="V287" s="208">
        <v>0</v>
      </c>
      <c r="W287" s="208">
        <v>0</v>
      </c>
      <c r="X287" s="208">
        <v>0</v>
      </c>
      <c r="Y287" s="208">
        <v>0</v>
      </c>
      <c r="Z287" s="208">
        <v>0</v>
      </c>
      <c r="AA287" s="208">
        <v>0</v>
      </c>
      <c r="AB287" s="208">
        <v>0</v>
      </c>
      <c r="AC287" s="208">
        <v>0</v>
      </c>
      <c r="AD287" s="208">
        <v>0</v>
      </c>
      <c r="AE287" s="208">
        <v>0</v>
      </c>
      <c r="AF287" s="208">
        <v>0</v>
      </c>
      <c r="AG287" s="208">
        <v>0</v>
      </c>
      <c r="AH287" s="208">
        <v>0</v>
      </c>
      <c r="AI287" s="208">
        <v>0</v>
      </c>
      <c r="AJ287" s="208">
        <v>0</v>
      </c>
      <c r="AK287" s="208">
        <v>0</v>
      </c>
      <c r="AL287" s="208">
        <v>0</v>
      </c>
      <c r="AM287" s="208">
        <v>0</v>
      </c>
      <c r="AN287" s="208">
        <v>0</v>
      </c>
      <c r="AO287" s="208">
        <v>0</v>
      </c>
      <c r="AP287" s="208">
        <v>0</v>
      </c>
      <c r="AQ287" s="208">
        <v>0</v>
      </c>
      <c r="AR287" s="208">
        <v>0</v>
      </c>
      <c r="AS287" s="208">
        <v>0</v>
      </c>
      <c r="AT287" s="208">
        <v>0</v>
      </c>
      <c r="AU287" s="208">
        <v>0</v>
      </c>
      <c r="AV287" s="208">
        <v>0</v>
      </c>
      <c r="AW287" s="208">
        <v>0</v>
      </c>
      <c r="AX287" s="208">
        <v>0</v>
      </c>
      <c r="AY287" s="208">
        <v>0</v>
      </c>
      <c r="AZ287" s="208">
        <v>0</v>
      </c>
      <c r="BA287" s="208">
        <v>0</v>
      </c>
      <c r="BB287" s="208">
        <v>0</v>
      </c>
      <c r="BC287" s="208">
        <v>0</v>
      </c>
      <c r="BD287" s="208">
        <v>0</v>
      </c>
      <c r="BE287" s="208">
        <v>0</v>
      </c>
      <c r="BF287" s="208">
        <v>0</v>
      </c>
      <c r="BG287" s="208">
        <v>0</v>
      </c>
      <c r="BH287" s="208">
        <v>0</v>
      </c>
      <c r="BI287" s="208">
        <v>0</v>
      </c>
      <c r="BJ287" s="208">
        <v>0</v>
      </c>
      <c r="BK287" s="208">
        <v>0</v>
      </c>
      <c r="BL287" s="208">
        <v>0</v>
      </c>
      <c r="BM287" s="208">
        <v>0</v>
      </c>
      <c r="BN287" s="208">
        <v>0</v>
      </c>
      <c r="BO287" s="208">
        <v>1441853.1503305417</v>
      </c>
      <c r="BP287" s="208">
        <v>0</v>
      </c>
      <c r="BQ287" s="208">
        <v>29425.574496541667</v>
      </c>
      <c r="BR287" s="208">
        <v>121690</v>
      </c>
      <c r="BS287" s="208">
        <v>0</v>
      </c>
      <c r="BT287" s="208">
        <v>2483</v>
      </c>
      <c r="BU287" s="208">
        <v>1370683</v>
      </c>
      <c r="BV287" s="208">
        <v>0</v>
      </c>
      <c r="BW287" s="208">
        <v>27973</v>
      </c>
      <c r="BX287" s="208">
        <v>192860</v>
      </c>
      <c r="BY287" s="208">
        <v>0</v>
      </c>
      <c r="BZ287" s="208">
        <v>3936</v>
      </c>
      <c r="CA287" s="208">
        <v>7420.1965833333325</v>
      </c>
      <c r="CB287" s="208">
        <v>0</v>
      </c>
      <c r="CC287" s="208">
        <v>151.43258333333335</v>
      </c>
      <c r="CD287" s="208">
        <v>6737</v>
      </c>
      <c r="CE287" s="208">
        <v>0</v>
      </c>
      <c r="CF287" s="208">
        <v>137</v>
      </c>
      <c r="CG287" s="208">
        <v>683</v>
      </c>
      <c r="CH287" s="208">
        <v>0</v>
      </c>
      <c r="CI287" s="208">
        <v>14</v>
      </c>
      <c r="CJ287" s="208">
        <v>0</v>
      </c>
      <c r="CK287" s="208">
        <v>0</v>
      </c>
      <c r="CL287" s="208">
        <v>0</v>
      </c>
      <c r="CM287" s="208">
        <v>0</v>
      </c>
      <c r="CN287" s="208">
        <v>0</v>
      </c>
      <c r="CO287" s="208">
        <v>0</v>
      </c>
      <c r="CP287" s="208">
        <v>-1345.2990833333333</v>
      </c>
      <c r="CQ287" s="208">
        <v>0</v>
      </c>
      <c r="CR287" s="208">
        <v>-27.455083333333334</v>
      </c>
      <c r="CS287" s="208">
        <v>0</v>
      </c>
      <c r="CT287" s="208">
        <v>0</v>
      </c>
      <c r="CU287" s="208">
        <v>0</v>
      </c>
      <c r="CV287" s="208">
        <v>0</v>
      </c>
      <c r="CW287" s="208">
        <v>0</v>
      </c>
      <c r="CX287" s="208">
        <v>0</v>
      </c>
      <c r="CY287" s="208">
        <v>0</v>
      </c>
      <c r="CZ287" s="208">
        <v>0</v>
      </c>
      <c r="DA287" s="208">
        <v>0</v>
      </c>
      <c r="DB287" s="208">
        <v>0</v>
      </c>
      <c r="DC287" s="208">
        <v>0</v>
      </c>
      <c r="DD287" s="208">
        <v>0</v>
      </c>
      <c r="DE287" s="208">
        <v>0</v>
      </c>
      <c r="DF287" s="208">
        <v>0</v>
      </c>
      <c r="DG287" s="208">
        <v>0</v>
      </c>
      <c r="DH287" s="208">
        <v>0</v>
      </c>
      <c r="DI287" s="208">
        <v>0</v>
      </c>
      <c r="DJ287" s="208">
        <v>0</v>
      </c>
      <c r="DK287" s="208">
        <v>0</v>
      </c>
      <c r="DL287" s="208">
        <v>0</v>
      </c>
      <c r="DM287" s="208">
        <v>0</v>
      </c>
      <c r="DN287" s="208">
        <v>0</v>
      </c>
      <c r="DO287" s="208">
        <v>0</v>
      </c>
      <c r="DP287" s="208">
        <v>0</v>
      </c>
      <c r="DQ287" s="208">
        <v>0</v>
      </c>
      <c r="DR287" s="208">
        <v>0</v>
      </c>
      <c r="DS287" s="208">
        <v>0</v>
      </c>
      <c r="DT287" s="208">
        <v>0</v>
      </c>
      <c r="DU287" s="208">
        <v>0</v>
      </c>
      <c r="DV287" s="208">
        <v>0</v>
      </c>
      <c r="DW287" s="208">
        <v>3386.3042500000001</v>
      </c>
      <c r="DX287" s="208">
        <v>0</v>
      </c>
      <c r="DY287" s="208">
        <v>69.108249999999998</v>
      </c>
      <c r="DZ287" s="208">
        <v>10024</v>
      </c>
      <c r="EA287" s="208">
        <v>0</v>
      </c>
      <c r="EB287" s="208">
        <v>205</v>
      </c>
      <c r="EC287" s="208">
        <v>-6638</v>
      </c>
      <c r="ED287" s="208">
        <v>0</v>
      </c>
      <c r="EE287" s="208">
        <v>-136</v>
      </c>
      <c r="EF287" s="208">
        <v>80872.323583333331</v>
      </c>
      <c r="EG287" s="208">
        <v>0</v>
      </c>
      <c r="EH287" s="208">
        <v>1650.4555833333332</v>
      </c>
      <c r="EI287" s="208">
        <v>-5489.4618333333337</v>
      </c>
      <c r="EJ287" s="208">
        <v>0</v>
      </c>
      <c r="EK287" s="208">
        <v>-112.02983333333334</v>
      </c>
      <c r="EL287" s="208">
        <v>89515</v>
      </c>
      <c r="EM287" s="208">
        <v>0</v>
      </c>
      <c r="EN287" s="208">
        <v>1827</v>
      </c>
      <c r="EO287" s="208">
        <v>-14132</v>
      </c>
      <c r="EP287" s="208">
        <v>0</v>
      </c>
      <c r="EQ287" s="208">
        <v>-289</v>
      </c>
      <c r="ER287" s="208">
        <v>9315.8452916666665</v>
      </c>
      <c r="ES287" s="208">
        <v>0</v>
      </c>
      <c r="ET287" s="208">
        <v>190.11929166666664</v>
      </c>
      <c r="EU287" s="208">
        <v>10526</v>
      </c>
      <c r="EV287" s="208">
        <v>0</v>
      </c>
      <c r="EW287" s="208">
        <v>215</v>
      </c>
      <c r="EX287" s="208">
        <v>-1210</v>
      </c>
      <c r="EY287" s="208">
        <v>0</v>
      </c>
      <c r="EZ287" s="208">
        <v>-25</v>
      </c>
      <c r="FA287" s="208">
        <v>0</v>
      </c>
      <c r="FB287" s="208">
        <v>0</v>
      </c>
      <c r="FC287" s="208">
        <v>0</v>
      </c>
      <c r="FD287" s="208">
        <v>0</v>
      </c>
      <c r="FE287" s="208">
        <v>0</v>
      </c>
      <c r="FF287" s="208">
        <v>0</v>
      </c>
      <c r="FG287" s="208">
        <v>0</v>
      </c>
      <c r="FH287" s="208">
        <v>0</v>
      </c>
      <c r="FI287" s="208">
        <v>0</v>
      </c>
      <c r="FJ287" s="208">
        <v>1355929.4322291664</v>
      </c>
      <c r="FK287" s="208">
        <v>0</v>
      </c>
      <c r="FL287" s="208">
        <v>27672.029229166663</v>
      </c>
      <c r="FM287" s="208">
        <v>1303143</v>
      </c>
      <c r="FN287" s="208">
        <v>0</v>
      </c>
      <c r="FO287" s="208">
        <v>26595</v>
      </c>
      <c r="FP287" s="208">
        <v>52786</v>
      </c>
      <c r="FQ287" s="208">
        <v>0</v>
      </c>
      <c r="FR287" s="208">
        <v>1077</v>
      </c>
      <c r="FS287" s="208">
        <v>0</v>
      </c>
      <c r="FT287" s="208">
        <v>0</v>
      </c>
      <c r="FU287" s="208">
        <v>0</v>
      </c>
      <c r="FV287" s="208">
        <v>0</v>
      </c>
      <c r="FW287" s="208">
        <v>0</v>
      </c>
      <c r="FX287" s="208">
        <v>0</v>
      </c>
      <c r="FY287" s="208">
        <v>0</v>
      </c>
      <c r="FZ287" s="208">
        <v>0</v>
      </c>
      <c r="GA287" s="208">
        <v>0</v>
      </c>
      <c r="GB287" s="208">
        <v>3013632</v>
      </c>
      <c r="GC287" s="208">
        <v>0</v>
      </c>
      <c r="GD287" s="208">
        <v>61502</v>
      </c>
      <c r="GE287" s="664">
        <v>0.5</v>
      </c>
      <c r="GF287" s="664">
        <v>0.49</v>
      </c>
      <c r="GG287" s="664">
        <v>0</v>
      </c>
      <c r="GH287" s="664">
        <v>0.01</v>
      </c>
      <c r="GI287" s="187" t="s">
        <v>742</v>
      </c>
    </row>
    <row r="288" spans="2:191" s="187" customFormat="1" x14ac:dyDescent="0.2">
      <c r="B288" s="429" t="s">
        <v>654</v>
      </c>
      <c r="C288" s="429" t="s">
        <v>653</v>
      </c>
      <c r="D288" s="208">
        <v>273540</v>
      </c>
      <c r="E288" s="208">
        <v>0</v>
      </c>
      <c r="F288" s="208">
        <v>273540</v>
      </c>
      <c r="G288" s="208">
        <v>471056</v>
      </c>
      <c r="H288" s="208">
        <v>0</v>
      </c>
      <c r="I288" s="208">
        <v>471056</v>
      </c>
      <c r="J288" s="208">
        <v>-197516</v>
      </c>
      <c r="K288" s="208">
        <v>0</v>
      </c>
      <c r="L288" s="208">
        <v>-197516</v>
      </c>
      <c r="M288" s="208">
        <v>162166</v>
      </c>
      <c r="N288" s="208">
        <v>162166</v>
      </c>
      <c r="O288" s="208">
        <v>0</v>
      </c>
      <c r="P288" s="208">
        <v>0</v>
      </c>
      <c r="Q288" s="208">
        <v>0</v>
      </c>
      <c r="R288" s="208">
        <v>0</v>
      </c>
      <c r="S288" s="208">
        <v>0</v>
      </c>
      <c r="T288" s="208">
        <v>0</v>
      </c>
      <c r="U288" s="208">
        <v>0</v>
      </c>
      <c r="V288" s="208">
        <v>0</v>
      </c>
      <c r="W288" s="208">
        <v>0</v>
      </c>
      <c r="X288" s="208">
        <v>0</v>
      </c>
      <c r="Y288" s="208">
        <v>0</v>
      </c>
      <c r="Z288" s="208">
        <v>0</v>
      </c>
      <c r="AA288" s="208">
        <v>0</v>
      </c>
      <c r="AB288" s="208">
        <v>0</v>
      </c>
      <c r="AC288" s="208">
        <v>0</v>
      </c>
      <c r="AD288" s="208">
        <v>0</v>
      </c>
      <c r="AE288" s="208">
        <v>0</v>
      </c>
      <c r="AF288" s="208">
        <v>0</v>
      </c>
      <c r="AG288" s="208">
        <v>0</v>
      </c>
      <c r="AH288" s="208">
        <v>0</v>
      </c>
      <c r="AI288" s="208">
        <v>0</v>
      </c>
      <c r="AJ288" s="208">
        <v>0</v>
      </c>
      <c r="AK288" s="208">
        <v>0</v>
      </c>
      <c r="AL288" s="208">
        <v>0</v>
      </c>
      <c r="AM288" s="208">
        <v>0</v>
      </c>
      <c r="AN288" s="208">
        <v>0</v>
      </c>
      <c r="AO288" s="208">
        <v>0</v>
      </c>
      <c r="AP288" s="208">
        <v>0</v>
      </c>
      <c r="AQ288" s="208">
        <v>0</v>
      </c>
      <c r="AR288" s="208">
        <v>0</v>
      </c>
      <c r="AS288" s="208">
        <v>0</v>
      </c>
      <c r="AT288" s="208">
        <v>0</v>
      </c>
      <c r="AU288" s="208">
        <v>0</v>
      </c>
      <c r="AV288" s="208">
        <v>0</v>
      </c>
      <c r="AW288" s="208">
        <v>0</v>
      </c>
      <c r="AX288" s="208">
        <v>0</v>
      </c>
      <c r="AY288" s="208">
        <v>0</v>
      </c>
      <c r="AZ288" s="208">
        <v>0</v>
      </c>
      <c r="BA288" s="208">
        <v>0</v>
      </c>
      <c r="BB288" s="208">
        <v>0</v>
      </c>
      <c r="BC288" s="208">
        <v>0</v>
      </c>
      <c r="BD288" s="208">
        <v>0</v>
      </c>
      <c r="BE288" s="208">
        <v>0</v>
      </c>
      <c r="BF288" s="208">
        <v>0</v>
      </c>
      <c r="BG288" s="208">
        <v>0</v>
      </c>
      <c r="BH288" s="208">
        <v>0</v>
      </c>
      <c r="BI288" s="208">
        <v>0</v>
      </c>
      <c r="BJ288" s="208">
        <v>0</v>
      </c>
      <c r="BK288" s="208">
        <v>0</v>
      </c>
      <c r="BL288" s="208">
        <v>0</v>
      </c>
      <c r="BM288" s="208">
        <v>0</v>
      </c>
      <c r="BN288" s="208">
        <v>0</v>
      </c>
      <c r="BO288" s="208">
        <v>894490.55036500003</v>
      </c>
      <c r="BP288" s="208">
        <v>1319373.5617883748</v>
      </c>
      <c r="BQ288" s="208">
        <v>22362.263759124999</v>
      </c>
      <c r="BR288" s="208">
        <v>99132</v>
      </c>
      <c r="BS288" s="208">
        <v>146220</v>
      </c>
      <c r="BT288" s="208">
        <v>2478</v>
      </c>
      <c r="BU288" s="208">
        <v>854238</v>
      </c>
      <c r="BV288" s="208">
        <v>1260001</v>
      </c>
      <c r="BW288" s="208">
        <v>21356</v>
      </c>
      <c r="BX288" s="208">
        <v>139385</v>
      </c>
      <c r="BY288" s="208">
        <v>205593</v>
      </c>
      <c r="BZ288" s="208">
        <v>3484</v>
      </c>
      <c r="CA288" s="208">
        <v>0</v>
      </c>
      <c r="CB288" s="208">
        <v>0</v>
      </c>
      <c r="CC288" s="208">
        <v>0</v>
      </c>
      <c r="CD288" s="208">
        <v>0</v>
      </c>
      <c r="CE288" s="208">
        <v>0</v>
      </c>
      <c r="CF288" s="208">
        <v>0</v>
      </c>
      <c r="CG288" s="208">
        <v>0</v>
      </c>
      <c r="CH288" s="208">
        <v>0</v>
      </c>
      <c r="CI288" s="208">
        <v>0</v>
      </c>
      <c r="CJ288" s="208">
        <v>0</v>
      </c>
      <c r="CK288" s="208">
        <v>0</v>
      </c>
      <c r="CL288" s="208">
        <v>0</v>
      </c>
      <c r="CM288" s="208">
        <v>0</v>
      </c>
      <c r="CN288" s="208">
        <v>0</v>
      </c>
      <c r="CO288" s="208">
        <v>0</v>
      </c>
      <c r="CP288" s="208">
        <v>-909.98666666666668</v>
      </c>
      <c r="CQ288" s="208">
        <v>-1342.2303333333332</v>
      </c>
      <c r="CR288" s="208">
        <v>-22.749666666666666</v>
      </c>
      <c r="CS288" s="208">
        <v>0</v>
      </c>
      <c r="CT288" s="208">
        <v>0</v>
      </c>
      <c r="CU288" s="208">
        <v>0</v>
      </c>
      <c r="CV288" s="208">
        <v>0</v>
      </c>
      <c r="CW288" s="208">
        <v>0</v>
      </c>
      <c r="CX288" s="208">
        <v>0</v>
      </c>
      <c r="CY288" s="208">
        <v>0</v>
      </c>
      <c r="CZ288" s="208">
        <v>0</v>
      </c>
      <c r="DA288" s="208">
        <v>0</v>
      </c>
      <c r="DB288" s="208">
        <v>0</v>
      </c>
      <c r="DC288" s="208">
        <v>0</v>
      </c>
      <c r="DD288" s="208">
        <v>0</v>
      </c>
      <c r="DE288" s="208">
        <v>0</v>
      </c>
      <c r="DF288" s="208">
        <v>0</v>
      </c>
      <c r="DG288" s="208">
        <v>0</v>
      </c>
      <c r="DH288" s="208">
        <v>0</v>
      </c>
      <c r="DI288" s="208">
        <v>0</v>
      </c>
      <c r="DJ288" s="208">
        <v>0</v>
      </c>
      <c r="DK288" s="208">
        <v>0</v>
      </c>
      <c r="DL288" s="208">
        <v>0</v>
      </c>
      <c r="DM288" s="208">
        <v>0</v>
      </c>
      <c r="DN288" s="208">
        <v>0</v>
      </c>
      <c r="DO288" s="208">
        <v>0</v>
      </c>
      <c r="DP288" s="208">
        <v>0</v>
      </c>
      <c r="DQ288" s="208">
        <v>0</v>
      </c>
      <c r="DR288" s="208">
        <v>0</v>
      </c>
      <c r="DS288" s="208">
        <v>0</v>
      </c>
      <c r="DT288" s="208">
        <v>0</v>
      </c>
      <c r="DU288" s="208">
        <v>0</v>
      </c>
      <c r="DV288" s="208">
        <v>0</v>
      </c>
      <c r="DW288" s="208">
        <v>9870.3275000000012</v>
      </c>
      <c r="DX288" s="208">
        <v>14558.7330625</v>
      </c>
      <c r="DY288" s="208">
        <v>246.75818749999999</v>
      </c>
      <c r="DZ288" s="208">
        <v>11287</v>
      </c>
      <c r="EA288" s="208">
        <v>16648</v>
      </c>
      <c r="EB288" s="208">
        <v>282</v>
      </c>
      <c r="EC288" s="208">
        <v>-1417</v>
      </c>
      <c r="ED288" s="208">
        <v>-2089</v>
      </c>
      <c r="EE288" s="208">
        <v>-35</v>
      </c>
      <c r="EF288" s="208">
        <v>49397.055</v>
      </c>
      <c r="EG288" s="208">
        <v>72860.656124999994</v>
      </c>
      <c r="EH288" s="208">
        <v>1234.926375</v>
      </c>
      <c r="EI288" s="208">
        <v>-943.12916666666661</v>
      </c>
      <c r="EJ288" s="208">
        <v>-1391.1155208333332</v>
      </c>
      <c r="EK288" s="208">
        <v>-23.578229166666667</v>
      </c>
      <c r="EL288" s="208">
        <v>67090</v>
      </c>
      <c r="EM288" s="208">
        <v>98958</v>
      </c>
      <c r="EN288" s="208">
        <v>1677</v>
      </c>
      <c r="EO288" s="208">
        <v>-18636</v>
      </c>
      <c r="EP288" s="208">
        <v>-27488</v>
      </c>
      <c r="EQ288" s="208">
        <v>-466</v>
      </c>
      <c r="ER288" s="208">
        <v>21160.054166666669</v>
      </c>
      <c r="ES288" s="208">
        <v>31211.079895833329</v>
      </c>
      <c r="ET288" s="208">
        <v>529.0013541666666</v>
      </c>
      <c r="EU288" s="208">
        <v>18918</v>
      </c>
      <c r="EV288" s="208">
        <v>27903</v>
      </c>
      <c r="EW288" s="208">
        <v>473</v>
      </c>
      <c r="EX288" s="208">
        <v>2242</v>
      </c>
      <c r="EY288" s="208">
        <v>3308</v>
      </c>
      <c r="EZ288" s="208">
        <v>56</v>
      </c>
      <c r="FA288" s="208">
        <v>0</v>
      </c>
      <c r="FB288" s="208">
        <v>0</v>
      </c>
      <c r="FC288" s="208">
        <v>0</v>
      </c>
      <c r="FD288" s="208">
        <v>0</v>
      </c>
      <c r="FE288" s="208">
        <v>0</v>
      </c>
      <c r="FF288" s="208">
        <v>0</v>
      </c>
      <c r="FG288" s="208">
        <v>0</v>
      </c>
      <c r="FH288" s="208">
        <v>0</v>
      </c>
      <c r="FI288" s="208">
        <v>0</v>
      </c>
      <c r="FJ288" s="208">
        <v>521763.41249999998</v>
      </c>
      <c r="FK288" s="208">
        <v>769601.03343749989</v>
      </c>
      <c r="FL288" s="208">
        <v>13044.085312500001</v>
      </c>
      <c r="FM288" s="208">
        <v>497591</v>
      </c>
      <c r="FN288" s="208">
        <v>733946</v>
      </c>
      <c r="FO288" s="208">
        <v>12440</v>
      </c>
      <c r="FP288" s="208">
        <v>24172</v>
      </c>
      <c r="FQ288" s="208">
        <v>35655</v>
      </c>
      <c r="FR288" s="208">
        <v>604</v>
      </c>
      <c r="FS288" s="208">
        <v>0</v>
      </c>
      <c r="FT288" s="208">
        <v>0</v>
      </c>
      <c r="FU288" s="208">
        <v>0</v>
      </c>
      <c r="FV288" s="208">
        <v>0</v>
      </c>
      <c r="FW288" s="208">
        <v>0</v>
      </c>
      <c r="FX288" s="208">
        <v>0</v>
      </c>
      <c r="FY288" s="208">
        <v>0</v>
      </c>
      <c r="FZ288" s="208">
        <v>0</v>
      </c>
      <c r="GA288" s="208">
        <v>0</v>
      </c>
      <c r="GB288" s="208">
        <v>1593960</v>
      </c>
      <c r="GC288" s="208">
        <v>2351093</v>
      </c>
      <c r="GD288" s="208">
        <v>39848</v>
      </c>
      <c r="GE288" s="664">
        <v>0</v>
      </c>
      <c r="GF288" s="664">
        <v>0.4</v>
      </c>
      <c r="GG288" s="664">
        <v>0.59</v>
      </c>
      <c r="GH288" s="664">
        <v>0.01</v>
      </c>
      <c r="GI288" s="187" t="s">
        <v>1054</v>
      </c>
    </row>
    <row r="289" spans="1:191" s="187" customFormat="1" x14ac:dyDescent="0.2">
      <c r="B289" s="429" t="s">
        <v>656</v>
      </c>
      <c r="C289" s="429" t="s">
        <v>655</v>
      </c>
      <c r="D289" s="208">
        <v>-2140864</v>
      </c>
      <c r="E289" s="208">
        <v>0</v>
      </c>
      <c r="F289" s="208">
        <v>-2140864</v>
      </c>
      <c r="G289" s="208">
        <v>-2106212.4300000002</v>
      </c>
      <c r="H289" s="208">
        <v>0</v>
      </c>
      <c r="I289" s="208">
        <v>-2106212.4300000002</v>
      </c>
      <c r="J289" s="208">
        <v>-34651.569999999832</v>
      </c>
      <c r="K289" s="208">
        <v>0</v>
      </c>
      <c r="L289" s="208">
        <v>-34651.569999999832</v>
      </c>
      <c r="M289" s="208">
        <v>196346</v>
      </c>
      <c r="N289" s="208">
        <v>196346</v>
      </c>
      <c r="O289" s="208">
        <v>0</v>
      </c>
      <c r="P289" s="208">
        <v>0</v>
      </c>
      <c r="Q289" s="208">
        <v>0</v>
      </c>
      <c r="R289" s="208">
        <v>0</v>
      </c>
      <c r="S289" s="208">
        <v>0</v>
      </c>
      <c r="T289" s="208">
        <v>0</v>
      </c>
      <c r="U289" s="208">
        <v>0</v>
      </c>
      <c r="V289" s="208">
        <v>0</v>
      </c>
      <c r="W289" s="208">
        <v>0</v>
      </c>
      <c r="X289" s="208">
        <v>0</v>
      </c>
      <c r="Y289" s="208">
        <v>0</v>
      </c>
      <c r="Z289" s="208">
        <v>0</v>
      </c>
      <c r="AA289" s="208">
        <v>0</v>
      </c>
      <c r="AB289" s="208">
        <v>0</v>
      </c>
      <c r="AC289" s="208">
        <v>0</v>
      </c>
      <c r="AD289" s="208">
        <v>0</v>
      </c>
      <c r="AE289" s="208">
        <v>0</v>
      </c>
      <c r="AF289" s="208">
        <v>0</v>
      </c>
      <c r="AG289" s="208">
        <v>0</v>
      </c>
      <c r="AH289" s="208">
        <v>0</v>
      </c>
      <c r="AI289" s="208">
        <v>0</v>
      </c>
      <c r="AJ289" s="208">
        <v>0</v>
      </c>
      <c r="AK289" s="208">
        <v>0</v>
      </c>
      <c r="AL289" s="208">
        <v>0</v>
      </c>
      <c r="AM289" s="208">
        <v>0</v>
      </c>
      <c r="AN289" s="208">
        <v>0</v>
      </c>
      <c r="AO289" s="208">
        <v>0</v>
      </c>
      <c r="AP289" s="208">
        <v>0</v>
      </c>
      <c r="AQ289" s="208">
        <v>0</v>
      </c>
      <c r="AR289" s="208">
        <v>0</v>
      </c>
      <c r="AS289" s="208">
        <v>0</v>
      </c>
      <c r="AT289" s="208">
        <v>0</v>
      </c>
      <c r="AU289" s="208">
        <v>0</v>
      </c>
      <c r="AV289" s="208">
        <v>0</v>
      </c>
      <c r="AW289" s="208">
        <v>0</v>
      </c>
      <c r="AX289" s="208">
        <v>0</v>
      </c>
      <c r="AY289" s="208">
        <v>0</v>
      </c>
      <c r="AZ289" s="208">
        <v>0</v>
      </c>
      <c r="BA289" s="208">
        <v>0</v>
      </c>
      <c r="BB289" s="208">
        <v>0</v>
      </c>
      <c r="BC289" s="208">
        <v>0</v>
      </c>
      <c r="BD289" s="208">
        <v>0</v>
      </c>
      <c r="BE289" s="208">
        <v>0</v>
      </c>
      <c r="BF289" s="208">
        <v>0</v>
      </c>
      <c r="BG289" s="208">
        <v>0</v>
      </c>
      <c r="BH289" s="208">
        <v>0</v>
      </c>
      <c r="BI289" s="208">
        <v>0</v>
      </c>
      <c r="BJ289" s="208">
        <v>0</v>
      </c>
      <c r="BK289" s="208">
        <v>0</v>
      </c>
      <c r="BL289" s="208">
        <v>0</v>
      </c>
      <c r="BM289" s="208">
        <v>0</v>
      </c>
      <c r="BN289" s="208">
        <v>0</v>
      </c>
      <c r="BO289" s="208">
        <v>4696562.5712775001</v>
      </c>
      <c r="BP289" s="208">
        <v>0</v>
      </c>
      <c r="BQ289" s="208">
        <v>47440.025972500007</v>
      </c>
      <c r="BR289" s="208">
        <v>202566</v>
      </c>
      <c r="BS289" s="208">
        <v>0</v>
      </c>
      <c r="BT289" s="208">
        <v>2046</v>
      </c>
      <c r="BU289" s="208">
        <v>4421573</v>
      </c>
      <c r="BV289" s="208">
        <v>0</v>
      </c>
      <c r="BW289" s="208">
        <v>44662</v>
      </c>
      <c r="BX289" s="208">
        <v>477556</v>
      </c>
      <c r="BY289" s="208">
        <v>0</v>
      </c>
      <c r="BZ289" s="208">
        <v>4824</v>
      </c>
      <c r="CA289" s="208">
        <v>0</v>
      </c>
      <c r="CB289" s="208">
        <v>0</v>
      </c>
      <c r="CC289" s="208">
        <v>0</v>
      </c>
      <c r="CD289" s="208">
        <v>36363</v>
      </c>
      <c r="CE289" s="208">
        <v>0</v>
      </c>
      <c r="CF289" s="208">
        <v>367</v>
      </c>
      <c r="CG289" s="208">
        <v>-36363</v>
      </c>
      <c r="CH289" s="208">
        <v>0</v>
      </c>
      <c r="CI289" s="208">
        <v>-367</v>
      </c>
      <c r="CJ289" s="208">
        <v>0</v>
      </c>
      <c r="CK289" s="208">
        <v>0</v>
      </c>
      <c r="CL289" s="208">
        <v>0</v>
      </c>
      <c r="CM289" s="208">
        <v>-3617.3197499999997</v>
      </c>
      <c r="CN289" s="208">
        <v>0</v>
      </c>
      <c r="CO289" s="208">
        <v>-36.538583333333335</v>
      </c>
      <c r="CP289" s="208">
        <v>-49.6216875</v>
      </c>
      <c r="CQ289" s="208">
        <v>0</v>
      </c>
      <c r="CR289" s="208">
        <v>-0.50122916666666673</v>
      </c>
      <c r="CS289" s="208">
        <v>0</v>
      </c>
      <c r="CT289" s="208">
        <v>0</v>
      </c>
      <c r="CU289" s="208">
        <v>0</v>
      </c>
      <c r="CV289" s="208">
        <v>0</v>
      </c>
      <c r="CW289" s="208">
        <v>0</v>
      </c>
      <c r="CX289" s="208">
        <v>0</v>
      </c>
      <c r="CY289" s="208">
        <v>0</v>
      </c>
      <c r="CZ289" s="208">
        <v>0</v>
      </c>
      <c r="DA289" s="208">
        <v>0</v>
      </c>
      <c r="DB289" s="208">
        <v>-513.43256250000002</v>
      </c>
      <c r="DC289" s="208">
        <v>0</v>
      </c>
      <c r="DD289" s="208">
        <v>-5.1861875</v>
      </c>
      <c r="DE289" s="208">
        <v>0</v>
      </c>
      <c r="DF289" s="208">
        <v>0</v>
      </c>
      <c r="DG289" s="208">
        <v>0</v>
      </c>
      <c r="DH289" s="208">
        <v>0</v>
      </c>
      <c r="DI289" s="208">
        <v>0</v>
      </c>
      <c r="DJ289" s="208">
        <v>0</v>
      </c>
      <c r="DK289" s="208">
        <v>0</v>
      </c>
      <c r="DL289" s="208">
        <v>0</v>
      </c>
      <c r="DM289" s="208">
        <v>0</v>
      </c>
      <c r="DN289" s="208">
        <v>749.38875000000007</v>
      </c>
      <c r="DO289" s="208">
        <v>0</v>
      </c>
      <c r="DP289" s="208">
        <v>7.569583333333334</v>
      </c>
      <c r="DQ289" s="208">
        <v>1519</v>
      </c>
      <c r="DR289" s="208">
        <v>0</v>
      </c>
      <c r="DS289" s="208">
        <v>15</v>
      </c>
      <c r="DT289" s="208">
        <v>-770</v>
      </c>
      <c r="DU289" s="208">
        <v>0</v>
      </c>
      <c r="DV289" s="208">
        <v>-7</v>
      </c>
      <c r="DW289" s="208">
        <v>4521.6496875000003</v>
      </c>
      <c r="DX289" s="208">
        <v>0</v>
      </c>
      <c r="DY289" s="208">
        <v>45.673229166666665</v>
      </c>
      <c r="DZ289" s="208">
        <v>6922</v>
      </c>
      <c r="EA289" s="208">
        <v>0</v>
      </c>
      <c r="EB289" s="208">
        <v>70</v>
      </c>
      <c r="EC289" s="208">
        <v>-2400</v>
      </c>
      <c r="ED289" s="208">
        <v>0</v>
      </c>
      <c r="EE289" s="208">
        <v>-24</v>
      </c>
      <c r="EF289" s="208">
        <v>103917.9405</v>
      </c>
      <c r="EG289" s="208">
        <v>0</v>
      </c>
      <c r="EH289" s="208">
        <v>1049.6761666666666</v>
      </c>
      <c r="EI289" s="208">
        <v>-1017.7509375</v>
      </c>
      <c r="EJ289" s="208">
        <v>0</v>
      </c>
      <c r="EK289" s="208">
        <v>-10.280312500000001</v>
      </c>
      <c r="EL289" s="208">
        <v>103918</v>
      </c>
      <c r="EM289" s="208">
        <v>0</v>
      </c>
      <c r="EN289" s="208">
        <v>1050</v>
      </c>
      <c r="EO289" s="208">
        <v>-1018</v>
      </c>
      <c r="EP289" s="208">
        <v>0</v>
      </c>
      <c r="EQ289" s="208">
        <v>-11</v>
      </c>
      <c r="ER289" s="208">
        <v>48548.238750000004</v>
      </c>
      <c r="ES289" s="208">
        <v>0</v>
      </c>
      <c r="ET289" s="208">
        <v>490.38625000000002</v>
      </c>
      <c r="EU289" s="208">
        <v>49004</v>
      </c>
      <c r="EV289" s="208">
        <v>0</v>
      </c>
      <c r="EW289" s="208">
        <v>495</v>
      </c>
      <c r="EX289" s="208">
        <v>-456</v>
      </c>
      <c r="EY289" s="208">
        <v>0</v>
      </c>
      <c r="EZ289" s="208">
        <v>-5</v>
      </c>
      <c r="FA289" s="208">
        <v>0</v>
      </c>
      <c r="FB289" s="208">
        <v>0</v>
      </c>
      <c r="FC289" s="208">
        <v>0</v>
      </c>
      <c r="FD289" s="208">
        <v>0</v>
      </c>
      <c r="FE289" s="208">
        <v>0</v>
      </c>
      <c r="FF289" s="208">
        <v>0</v>
      </c>
      <c r="FG289" s="208">
        <v>0</v>
      </c>
      <c r="FH289" s="208">
        <v>0</v>
      </c>
      <c r="FI289" s="208">
        <v>0</v>
      </c>
      <c r="FJ289" s="208">
        <v>680326.09218749998</v>
      </c>
      <c r="FK289" s="208">
        <v>0</v>
      </c>
      <c r="FL289" s="208">
        <v>6871.9807291666666</v>
      </c>
      <c r="FM289" s="208">
        <v>696202</v>
      </c>
      <c r="FN289" s="208">
        <v>0</v>
      </c>
      <c r="FO289" s="208">
        <v>7032</v>
      </c>
      <c r="FP289" s="208">
        <v>-15876</v>
      </c>
      <c r="FQ289" s="208">
        <v>0</v>
      </c>
      <c r="FR289" s="208">
        <v>-160</v>
      </c>
      <c r="FS289" s="208">
        <v>0</v>
      </c>
      <c r="FT289" s="208">
        <v>0</v>
      </c>
      <c r="FU289" s="208">
        <v>0</v>
      </c>
      <c r="FV289" s="208">
        <v>0</v>
      </c>
      <c r="FW289" s="208">
        <v>0</v>
      </c>
      <c r="FX289" s="208">
        <v>0</v>
      </c>
      <c r="FY289" s="208">
        <v>0</v>
      </c>
      <c r="FZ289" s="208">
        <v>0</v>
      </c>
      <c r="GA289" s="208">
        <v>0</v>
      </c>
      <c r="GB289" s="208">
        <v>5731994</v>
      </c>
      <c r="GC289" s="208">
        <v>0</v>
      </c>
      <c r="GD289" s="208">
        <v>57899</v>
      </c>
      <c r="GE289" s="664">
        <v>0</v>
      </c>
      <c r="GF289" s="664">
        <v>0.99</v>
      </c>
      <c r="GG289" s="664">
        <v>0</v>
      </c>
      <c r="GH289" s="664">
        <v>0.01</v>
      </c>
      <c r="GI289" s="187" t="s">
        <v>742</v>
      </c>
    </row>
    <row r="290" spans="1:191" s="187" customFormat="1" x14ac:dyDescent="0.2">
      <c r="A290" s="187" t="s">
        <v>1817</v>
      </c>
      <c r="B290" s="429" t="s">
        <v>658</v>
      </c>
      <c r="C290" s="429" t="s">
        <v>657</v>
      </c>
      <c r="D290" s="208">
        <v>537490</v>
      </c>
      <c r="E290" s="208">
        <v>0</v>
      </c>
      <c r="F290" s="208">
        <v>537490</v>
      </c>
      <c r="G290" s="208">
        <v>534904</v>
      </c>
      <c r="H290" s="208">
        <v>0</v>
      </c>
      <c r="I290" s="208">
        <v>534904</v>
      </c>
      <c r="J290" s="208">
        <v>2586</v>
      </c>
      <c r="K290" s="208">
        <v>0</v>
      </c>
      <c r="L290" s="208">
        <v>2586</v>
      </c>
      <c r="M290" s="208">
        <v>133640</v>
      </c>
      <c r="N290" s="208">
        <v>133640</v>
      </c>
      <c r="O290" s="208">
        <v>0</v>
      </c>
      <c r="P290" s="208">
        <v>0</v>
      </c>
      <c r="Q290" s="208">
        <v>0</v>
      </c>
      <c r="R290" s="208">
        <v>0</v>
      </c>
      <c r="S290" s="208">
        <v>774259</v>
      </c>
      <c r="T290" s="208">
        <v>0</v>
      </c>
      <c r="U290" s="208">
        <v>802736</v>
      </c>
      <c r="V290" s="208">
        <v>0</v>
      </c>
      <c r="W290" s="208">
        <v>-28477</v>
      </c>
      <c r="X290" s="208">
        <v>0</v>
      </c>
      <c r="Y290" s="208">
        <v>0</v>
      </c>
      <c r="Z290" s="208">
        <v>0</v>
      </c>
      <c r="AA290" s="208">
        <v>0</v>
      </c>
      <c r="AB290" s="208">
        <v>0</v>
      </c>
      <c r="AC290" s="208">
        <v>0</v>
      </c>
      <c r="AD290" s="208">
        <v>0</v>
      </c>
      <c r="AE290" s="208">
        <v>0</v>
      </c>
      <c r="AF290" s="208">
        <v>0</v>
      </c>
      <c r="AG290" s="208">
        <v>0</v>
      </c>
      <c r="AH290" s="208">
        <v>0</v>
      </c>
      <c r="AI290" s="208">
        <v>0</v>
      </c>
      <c r="AJ290" s="208">
        <v>0</v>
      </c>
      <c r="AK290" s="208">
        <v>0</v>
      </c>
      <c r="AL290" s="208">
        <v>0</v>
      </c>
      <c r="AM290" s="208">
        <v>0</v>
      </c>
      <c r="AN290" s="208">
        <v>0</v>
      </c>
      <c r="AO290" s="208">
        <v>0</v>
      </c>
      <c r="AP290" s="208">
        <v>0</v>
      </c>
      <c r="AQ290" s="208">
        <v>0</v>
      </c>
      <c r="AR290" s="208">
        <v>0</v>
      </c>
      <c r="AS290" s="208">
        <v>0</v>
      </c>
      <c r="AT290" s="208">
        <v>0</v>
      </c>
      <c r="AU290" s="208">
        <v>0</v>
      </c>
      <c r="AV290" s="208">
        <v>0</v>
      </c>
      <c r="AW290" s="208">
        <v>0</v>
      </c>
      <c r="AX290" s="208">
        <v>0</v>
      </c>
      <c r="AY290" s="208">
        <v>0</v>
      </c>
      <c r="AZ290" s="208">
        <v>0</v>
      </c>
      <c r="BA290" s="208">
        <v>0</v>
      </c>
      <c r="BB290" s="208">
        <v>0</v>
      </c>
      <c r="BC290" s="208">
        <v>0</v>
      </c>
      <c r="BD290" s="208">
        <v>0</v>
      </c>
      <c r="BE290" s="208">
        <v>0</v>
      </c>
      <c r="BF290" s="208">
        <v>0</v>
      </c>
      <c r="BG290" s="208">
        <v>0</v>
      </c>
      <c r="BH290" s="208">
        <v>0</v>
      </c>
      <c r="BI290" s="208">
        <v>0</v>
      </c>
      <c r="BJ290" s="208">
        <v>0</v>
      </c>
      <c r="BK290" s="208">
        <v>0</v>
      </c>
      <c r="BL290" s="208">
        <v>0</v>
      </c>
      <c r="BM290" s="208">
        <v>0</v>
      </c>
      <c r="BN290" s="208">
        <v>0</v>
      </c>
      <c r="BO290" s="208">
        <v>1128443.0515625</v>
      </c>
      <c r="BP290" s="208">
        <v>1664453.5010546877</v>
      </c>
      <c r="BQ290" s="208">
        <v>28211.076289062501</v>
      </c>
      <c r="BR290" s="208">
        <v>36900</v>
      </c>
      <c r="BS290" s="208">
        <v>54427</v>
      </c>
      <c r="BT290" s="208">
        <v>922</v>
      </c>
      <c r="BU290" s="208">
        <v>1061506</v>
      </c>
      <c r="BV290" s="208">
        <v>1565722</v>
      </c>
      <c r="BW290" s="208">
        <v>26538</v>
      </c>
      <c r="BX290" s="208">
        <v>103837</v>
      </c>
      <c r="BY290" s="208">
        <v>153159</v>
      </c>
      <c r="BZ290" s="208">
        <v>2595</v>
      </c>
      <c r="CA290" s="208">
        <v>637.0725000000001</v>
      </c>
      <c r="CB290" s="208">
        <v>939.6819375</v>
      </c>
      <c r="CC290" s="208">
        <v>15.9268125</v>
      </c>
      <c r="CD290" s="208">
        <v>0</v>
      </c>
      <c r="CE290" s="208">
        <v>0</v>
      </c>
      <c r="CF290" s="208">
        <v>0</v>
      </c>
      <c r="CG290" s="208">
        <v>637</v>
      </c>
      <c r="CH290" s="208">
        <v>940</v>
      </c>
      <c r="CI290" s="208">
        <v>16</v>
      </c>
      <c r="CJ290" s="208">
        <v>0</v>
      </c>
      <c r="CK290" s="208">
        <v>0</v>
      </c>
      <c r="CL290" s="208">
        <v>0</v>
      </c>
      <c r="CM290" s="208">
        <v>0</v>
      </c>
      <c r="CN290" s="208">
        <v>0</v>
      </c>
      <c r="CO290" s="208">
        <v>0</v>
      </c>
      <c r="CP290" s="208">
        <v>0</v>
      </c>
      <c r="CQ290" s="208">
        <v>0</v>
      </c>
      <c r="CR290" s="208">
        <v>0</v>
      </c>
      <c r="CS290" s="208">
        <v>0</v>
      </c>
      <c r="CT290" s="208">
        <v>0</v>
      </c>
      <c r="CU290" s="208">
        <v>0</v>
      </c>
      <c r="CV290" s="208">
        <v>0</v>
      </c>
      <c r="CW290" s="208">
        <v>0</v>
      </c>
      <c r="CX290" s="208">
        <v>0</v>
      </c>
      <c r="CY290" s="208">
        <v>0</v>
      </c>
      <c r="CZ290" s="208">
        <v>0</v>
      </c>
      <c r="DA290" s="208">
        <v>0</v>
      </c>
      <c r="DB290" s="208">
        <v>0</v>
      </c>
      <c r="DC290" s="208">
        <v>0</v>
      </c>
      <c r="DD290" s="208">
        <v>0</v>
      </c>
      <c r="DE290" s="208">
        <v>21020.528333333335</v>
      </c>
      <c r="DF290" s="208">
        <v>31005.279291666666</v>
      </c>
      <c r="DG290" s="208">
        <v>525.51320833333341</v>
      </c>
      <c r="DH290" s="208">
        <v>19138</v>
      </c>
      <c r="DI290" s="208">
        <v>28227</v>
      </c>
      <c r="DJ290" s="208">
        <v>478</v>
      </c>
      <c r="DK290" s="208">
        <v>1883</v>
      </c>
      <c r="DL290" s="208">
        <v>2778</v>
      </c>
      <c r="DM290" s="208">
        <v>48</v>
      </c>
      <c r="DN290" s="208">
        <v>0</v>
      </c>
      <c r="DO290" s="208">
        <v>0</v>
      </c>
      <c r="DP290" s="208">
        <v>0</v>
      </c>
      <c r="DQ290" s="208">
        <v>0</v>
      </c>
      <c r="DR290" s="208">
        <v>0</v>
      </c>
      <c r="DS290" s="208">
        <v>0</v>
      </c>
      <c r="DT290" s="208">
        <v>0</v>
      </c>
      <c r="DU290" s="208">
        <v>0</v>
      </c>
      <c r="DV290" s="208">
        <v>0</v>
      </c>
      <c r="DW290" s="208">
        <v>11245.536666666667</v>
      </c>
      <c r="DX290" s="208">
        <v>16587.166583333332</v>
      </c>
      <c r="DY290" s="208">
        <v>281.13841666666667</v>
      </c>
      <c r="DZ290" s="208">
        <v>9892</v>
      </c>
      <c r="EA290" s="208">
        <v>14591</v>
      </c>
      <c r="EB290" s="208">
        <v>247</v>
      </c>
      <c r="EC290" s="208">
        <v>1354</v>
      </c>
      <c r="ED290" s="208">
        <v>1996</v>
      </c>
      <c r="EE290" s="208">
        <v>34</v>
      </c>
      <c r="EF290" s="208">
        <v>33693.647499999999</v>
      </c>
      <c r="EG290" s="208">
        <v>49698.130062499993</v>
      </c>
      <c r="EH290" s="208">
        <v>842.34118749999993</v>
      </c>
      <c r="EI290" s="208">
        <v>0</v>
      </c>
      <c r="EJ290" s="208">
        <v>0</v>
      </c>
      <c r="EK290" s="208">
        <v>0</v>
      </c>
      <c r="EL290" s="208">
        <v>41326</v>
      </c>
      <c r="EM290" s="208">
        <v>60956</v>
      </c>
      <c r="EN290" s="208">
        <v>1033</v>
      </c>
      <c r="EO290" s="208">
        <v>-7632</v>
      </c>
      <c r="EP290" s="208">
        <v>-11258</v>
      </c>
      <c r="EQ290" s="208">
        <v>-191</v>
      </c>
      <c r="ER290" s="208">
        <v>12101.513333333334</v>
      </c>
      <c r="ES290" s="208">
        <v>17849.732166666665</v>
      </c>
      <c r="ET290" s="208">
        <v>302.53783333333331</v>
      </c>
      <c r="EU290" s="208">
        <v>12958</v>
      </c>
      <c r="EV290" s="208">
        <v>19114</v>
      </c>
      <c r="EW290" s="208">
        <v>324</v>
      </c>
      <c r="EX290" s="208">
        <v>-856</v>
      </c>
      <c r="EY290" s="208">
        <v>-1264</v>
      </c>
      <c r="EZ290" s="208">
        <v>-21</v>
      </c>
      <c r="FA290" s="208">
        <v>0</v>
      </c>
      <c r="FB290" s="208">
        <v>0</v>
      </c>
      <c r="FC290" s="208">
        <v>0</v>
      </c>
      <c r="FD290" s="208">
        <v>0</v>
      </c>
      <c r="FE290" s="208">
        <v>0</v>
      </c>
      <c r="FF290" s="208">
        <v>0</v>
      </c>
      <c r="FG290" s="208">
        <v>0</v>
      </c>
      <c r="FH290" s="208">
        <v>0</v>
      </c>
      <c r="FI290" s="208">
        <v>0</v>
      </c>
      <c r="FJ290" s="208">
        <v>120500.09124999998</v>
      </c>
      <c r="FK290" s="208">
        <v>151566.06735416665</v>
      </c>
      <c r="FL290" s="208">
        <v>2568.9163958333329</v>
      </c>
      <c r="FM290" s="208">
        <v>120404</v>
      </c>
      <c r="FN290" s="208">
        <v>150462</v>
      </c>
      <c r="FO290" s="208">
        <v>2550</v>
      </c>
      <c r="FP290" s="208">
        <v>96</v>
      </c>
      <c r="FQ290" s="208">
        <v>1104</v>
      </c>
      <c r="FR290" s="208">
        <v>19</v>
      </c>
      <c r="FS290" s="208">
        <v>0</v>
      </c>
      <c r="FT290" s="208">
        <v>0</v>
      </c>
      <c r="FU290" s="208">
        <v>0</v>
      </c>
      <c r="FV290" s="208">
        <v>0</v>
      </c>
      <c r="FW290" s="208">
        <v>0</v>
      </c>
      <c r="FX290" s="208">
        <v>0</v>
      </c>
      <c r="FY290" s="208">
        <v>0</v>
      </c>
      <c r="FZ290" s="208">
        <v>0</v>
      </c>
      <c r="GA290" s="208">
        <v>0</v>
      </c>
      <c r="GB290" s="208">
        <v>1364543</v>
      </c>
      <c r="GC290" s="208">
        <v>1986527</v>
      </c>
      <c r="GD290" s="208">
        <v>33670</v>
      </c>
      <c r="GE290" s="664">
        <v>0</v>
      </c>
      <c r="GF290" s="664">
        <v>0.4</v>
      </c>
      <c r="GG290" s="664">
        <v>0.59</v>
      </c>
      <c r="GH290" s="664">
        <v>0.01</v>
      </c>
      <c r="GI290" s="187" t="s">
        <v>1054</v>
      </c>
    </row>
    <row r="291" spans="1:191" s="187" customFormat="1" x14ac:dyDescent="0.2">
      <c r="A291" s="187" t="s">
        <v>1811</v>
      </c>
      <c r="B291" s="429" t="s">
        <v>660</v>
      </c>
      <c r="C291" s="429" t="s">
        <v>659</v>
      </c>
      <c r="D291" s="208">
        <v>14828597</v>
      </c>
      <c r="E291" s="208">
        <v>0</v>
      </c>
      <c r="F291" s="208">
        <v>14828597</v>
      </c>
      <c r="G291" s="208">
        <v>13816356</v>
      </c>
      <c r="H291" s="208">
        <v>0</v>
      </c>
      <c r="I291" s="208">
        <v>13816356</v>
      </c>
      <c r="J291" s="208">
        <v>1012241</v>
      </c>
      <c r="K291" s="208">
        <v>0</v>
      </c>
      <c r="L291" s="208">
        <v>1012241</v>
      </c>
      <c r="M291" s="208">
        <v>1029166</v>
      </c>
      <c r="N291" s="208">
        <v>1029166</v>
      </c>
      <c r="O291" s="208">
        <v>0</v>
      </c>
      <c r="P291" s="208">
        <v>0</v>
      </c>
      <c r="Q291" s="208">
        <v>0</v>
      </c>
      <c r="R291" s="208">
        <v>0</v>
      </c>
      <c r="S291" s="208">
        <v>0</v>
      </c>
      <c r="T291" s="208">
        <v>0</v>
      </c>
      <c r="U291" s="208">
        <v>0</v>
      </c>
      <c r="V291" s="208">
        <v>0</v>
      </c>
      <c r="W291" s="208">
        <v>0</v>
      </c>
      <c r="X291" s="208">
        <v>0</v>
      </c>
      <c r="Y291" s="208">
        <v>0</v>
      </c>
      <c r="Z291" s="208">
        <v>0</v>
      </c>
      <c r="AA291" s="208">
        <v>0</v>
      </c>
      <c r="AB291" s="208">
        <v>0</v>
      </c>
      <c r="AC291" s="208">
        <v>0</v>
      </c>
      <c r="AD291" s="208">
        <v>0</v>
      </c>
      <c r="AE291" s="208">
        <v>0</v>
      </c>
      <c r="AF291" s="208">
        <v>0</v>
      </c>
      <c r="AG291" s="208">
        <v>0</v>
      </c>
      <c r="AH291" s="208">
        <v>0</v>
      </c>
      <c r="AI291" s="208">
        <v>0</v>
      </c>
      <c r="AJ291" s="208">
        <v>0</v>
      </c>
      <c r="AK291" s="208">
        <v>0</v>
      </c>
      <c r="AL291" s="208">
        <v>0</v>
      </c>
      <c r="AM291" s="208">
        <v>0</v>
      </c>
      <c r="AN291" s="208">
        <v>0</v>
      </c>
      <c r="AO291" s="208">
        <v>0</v>
      </c>
      <c r="AP291" s="208">
        <v>0</v>
      </c>
      <c r="AQ291" s="208">
        <v>0</v>
      </c>
      <c r="AR291" s="208">
        <v>0</v>
      </c>
      <c r="AS291" s="208">
        <v>0</v>
      </c>
      <c r="AT291" s="208">
        <v>0</v>
      </c>
      <c r="AU291" s="208">
        <v>0</v>
      </c>
      <c r="AV291" s="208">
        <v>0</v>
      </c>
      <c r="AW291" s="208">
        <v>0</v>
      </c>
      <c r="AX291" s="208">
        <v>0</v>
      </c>
      <c r="AY291" s="208">
        <v>0</v>
      </c>
      <c r="AZ291" s="208">
        <v>0</v>
      </c>
      <c r="BA291" s="208">
        <v>0</v>
      </c>
      <c r="BB291" s="208">
        <v>0</v>
      </c>
      <c r="BC291" s="208">
        <v>0</v>
      </c>
      <c r="BD291" s="208">
        <v>0</v>
      </c>
      <c r="BE291" s="208">
        <v>0</v>
      </c>
      <c r="BF291" s="208">
        <v>0</v>
      </c>
      <c r="BG291" s="208">
        <v>0</v>
      </c>
      <c r="BH291" s="208">
        <v>0</v>
      </c>
      <c r="BI291" s="208">
        <v>0</v>
      </c>
      <c r="BJ291" s="208">
        <v>0</v>
      </c>
      <c r="BK291" s="208">
        <v>0</v>
      </c>
      <c r="BL291" s="208">
        <v>0</v>
      </c>
      <c r="BM291" s="208">
        <v>0</v>
      </c>
      <c r="BN291" s="208">
        <v>0</v>
      </c>
      <c r="BO291" s="208">
        <v>4511369.1150973337</v>
      </c>
      <c r="BP291" s="208">
        <v>2537645.1272422499</v>
      </c>
      <c r="BQ291" s="208">
        <v>0</v>
      </c>
      <c r="BR291" s="208">
        <v>460661</v>
      </c>
      <c r="BS291" s="208">
        <v>259122</v>
      </c>
      <c r="BT291" s="208">
        <v>0</v>
      </c>
      <c r="BU291" s="208">
        <v>4055192</v>
      </c>
      <c r="BV291" s="208">
        <v>2281045</v>
      </c>
      <c r="BW291" s="208">
        <v>0</v>
      </c>
      <c r="BX291" s="208">
        <v>916838</v>
      </c>
      <c r="BY291" s="208">
        <v>515722</v>
      </c>
      <c r="BZ291" s="208">
        <v>0</v>
      </c>
      <c r="CA291" s="208">
        <v>0</v>
      </c>
      <c r="CB291" s="208">
        <v>0</v>
      </c>
      <c r="CC291" s="208">
        <v>0</v>
      </c>
      <c r="CD291" s="208">
        <v>0</v>
      </c>
      <c r="CE291" s="208">
        <v>0</v>
      </c>
      <c r="CF291" s="208">
        <v>0</v>
      </c>
      <c r="CG291" s="208">
        <v>0</v>
      </c>
      <c r="CH291" s="208">
        <v>0</v>
      </c>
      <c r="CI291" s="208">
        <v>0</v>
      </c>
      <c r="CJ291" s="208">
        <v>0</v>
      </c>
      <c r="CK291" s="208">
        <v>0</v>
      </c>
      <c r="CL291" s="208">
        <v>0</v>
      </c>
      <c r="CM291" s="208">
        <v>0</v>
      </c>
      <c r="CN291" s="208">
        <v>0</v>
      </c>
      <c r="CO291" s="208">
        <v>0</v>
      </c>
      <c r="CP291" s="208">
        <v>-5227.5133333333333</v>
      </c>
      <c r="CQ291" s="208">
        <v>-2940.4762499999997</v>
      </c>
      <c r="CR291" s="208">
        <v>0</v>
      </c>
      <c r="CS291" s="208">
        <v>0</v>
      </c>
      <c r="CT291" s="208">
        <v>0</v>
      </c>
      <c r="CU291" s="208">
        <v>0</v>
      </c>
      <c r="CV291" s="208">
        <v>0</v>
      </c>
      <c r="CW291" s="208">
        <v>0</v>
      </c>
      <c r="CX291" s="208">
        <v>0</v>
      </c>
      <c r="CY291" s="208">
        <v>0</v>
      </c>
      <c r="CZ291" s="208">
        <v>0</v>
      </c>
      <c r="DA291" s="208">
        <v>0</v>
      </c>
      <c r="DB291" s="208">
        <v>1523.4093333333333</v>
      </c>
      <c r="DC291" s="208">
        <v>856.91774999999984</v>
      </c>
      <c r="DD291" s="208">
        <v>0</v>
      </c>
      <c r="DE291" s="208">
        <v>0</v>
      </c>
      <c r="DF291" s="208">
        <v>0</v>
      </c>
      <c r="DG291" s="208">
        <v>0</v>
      </c>
      <c r="DH291" s="208">
        <v>0</v>
      </c>
      <c r="DI291" s="208">
        <v>0</v>
      </c>
      <c r="DJ291" s="208">
        <v>0</v>
      </c>
      <c r="DK291" s="208">
        <v>0</v>
      </c>
      <c r="DL291" s="208">
        <v>0</v>
      </c>
      <c r="DM291" s="208">
        <v>0</v>
      </c>
      <c r="DN291" s="208">
        <v>0</v>
      </c>
      <c r="DO291" s="208">
        <v>0</v>
      </c>
      <c r="DP291" s="208">
        <v>0</v>
      </c>
      <c r="DQ291" s="208">
        <v>0</v>
      </c>
      <c r="DR291" s="208">
        <v>0</v>
      </c>
      <c r="DS291" s="208">
        <v>0</v>
      </c>
      <c r="DT291" s="208">
        <v>0</v>
      </c>
      <c r="DU291" s="208">
        <v>0</v>
      </c>
      <c r="DV291" s="208">
        <v>0</v>
      </c>
      <c r="DW291" s="208">
        <v>382610.11333333328</v>
      </c>
      <c r="DX291" s="208">
        <v>215218.18875</v>
      </c>
      <c r="DY291" s="208">
        <v>0</v>
      </c>
      <c r="DZ291" s="208">
        <v>450161</v>
      </c>
      <c r="EA291" s="208">
        <v>253215</v>
      </c>
      <c r="EB291" s="208">
        <v>0</v>
      </c>
      <c r="EC291" s="208">
        <v>-67551</v>
      </c>
      <c r="ED291" s="208">
        <v>-37997</v>
      </c>
      <c r="EE291" s="208">
        <v>0</v>
      </c>
      <c r="EF291" s="208">
        <v>1248902.3626666667</v>
      </c>
      <c r="EG291" s="208">
        <v>702507.57899999991</v>
      </c>
      <c r="EH291" s="208">
        <v>0</v>
      </c>
      <c r="EI291" s="208">
        <v>-106307.39199999999</v>
      </c>
      <c r="EJ291" s="208">
        <v>-59797.907999999996</v>
      </c>
      <c r="EK291" s="208">
        <v>0</v>
      </c>
      <c r="EL291" s="208">
        <v>1518100</v>
      </c>
      <c r="EM291" s="208">
        <v>853932</v>
      </c>
      <c r="EN291" s="208">
        <v>0</v>
      </c>
      <c r="EO291" s="208">
        <v>-375505</v>
      </c>
      <c r="EP291" s="208">
        <v>-211222</v>
      </c>
      <c r="EQ291" s="208">
        <v>0</v>
      </c>
      <c r="ER291" s="208">
        <v>51293.788</v>
      </c>
      <c r="ES291" s="208">
        <v>28852.755750000004</v>
      </c>
      <c r="ET291" s="208">
        <v>0</v>
      </c>
      <c r="EU291" s="208">
        <v>55838</v>
      </c>
      <c r="EV291" s="208">
        <v>31408</v>
      </c>
      <c r="EW291" s="208">
        <v>0</v>
      </c>
      <c r="EX291" s="208">
        <v>-4544</v>
      </c>
      <c r="EY291" s="208">
        <v>-2555</v>
      </c>
      <c r="EZ291" s="208">
        <v>0</v>
      </c>
      <c r="FA291" s="208">
        <v>0</v>
      </c>
      <c r="FB291" s="208">
        <v>0</v>
      </c>
      <c r="FC291" s="208">
        <v>0</v>
      </c>
      <c r="FD291" s="208">
        <v>0</v>
      </c>
      <c r="FE291" s="208">
        <v>0</v>
      </c>
      <c r="FF291" s="208">
        <v>0</v>
      </c>
      <c r="FG291" s="208">
        <v>0</v>
      </c>
      <c r="FH291" s="208">
        <v>0</v>
      </c>
      <c r="FI291" s="208">
        <v>0</v>
      </c>
      <c r="FJ291" s="208">
        <v>6448100.7946666665</v>
      </c>
      <c r="FK291" s="208">
        <v>3627056.6970000002</v>
      </c>
      <c r="FL291" s="208">
        <v>0</v>
      </c>
      <c r="FM291" s="208">
        <v>6710366</v>
      </c>
      <c r="FN291" s="208">
        <v>3774581</v>
      </c>
      <c r="FO291" s="208">
        <v>0</v>
      </c>
      <c r="FP291" s="208">
        <v>-262265</v>
      </c>
      <c r="FQ291" s="208">
        <v>-147524</v>
      </c>
      <c r="FR291" s="208">
        <v>0</v>
      </c>
      <c r="FS291" s="208">
        <v>0</v>
      </c>
      <c r="FT291" s="208">
        <v>0</v>
      </c>
      <c r="FU291" s="208">
        <v>0</v>
      </c>
      <c r="FV291" s="208">
        <v>0</v>
      </c>
      <c r="FW291" s="208">
        <v>0</v>
      </c>
      <c r="FX291" s="208">
        <v>0</v>
      </c>
      <c r="FY291" s="208">
        <v>0</v>
      </c>
      <c r="FZ291" s="208">
        <v>0</v>
      </c>
      <c r="GA291" s="208">
        <v>0</v>
      </c>
      <c r="GB291" s="208">
        <v>12992925</v>
      </c>
      <c r="GC291" s="208">
        <v>7308522</v>
      </c>
      <c r="GD291" s="208">
        <v>0</v>
      </c>
      <c r="GE291" s="664">
        <v>0</v>
      </c>
      <c r="GF291" s="664">
        <v>0.64</v>
      </c>
      <c r="GG291" s="664">
        <v>0.36</v>
      </c>
      <c r="GH291" s="664">
        <v>0</v>
      </c>
      <c r="GI291" s="187" t="s">
        <v>1057</v>
      </c>
    </row>
    <row r="292" spans="1:191" s="187" customFormat="1" x14ac:dyDescent="0.2">
      <c r="B292" s="429" t="s">
        <v>662</v>
      </c>
      <c r="C292" s="429" t="s">
        <v>661</v>
      </c>
      <c r="D292" s="208">
        <v>-3954281</v>
      </c>
      <c r="E292" s="208">
        <v>0</v>
      </c>
      <c r="F292" s="208">
        <v>-3954281</v>
      </c>
      <c r="G292" s="208">
        <v>-3946410.2300000004</v>
      </c>
      <c r="H292" s="208">
        <v>0</v>
      </c>
      <c r="I292" s="208">
        <v>-3946410.2300000004</v>
      </c>
      <c r="J292" s="208">
        <v>-7870.769999999553</v>
      </c>
      <c r="K292" s="208">
        <v>0</v>
      </c>
      <c r="L292" s="208">
        <v>-7870.769999999553</v>
      </c>
      <c r="M292" s="208">
        <v>443543</v>
      </c>
      <c r="N292" s="208">
        <v>443543</v>
      </c>
      <c r="O292" s="208">
        <v>0</v>
      </c>
      <c r="P292" s="208">
        <v>0</v>
      </c>
      <c r="Q292" s="208">
        <v>0</v>
      </c>
      <c r="R292" s="208">
        <v>0</v>
      </c>
      <c r="S292" s="208">
        <v>80952</v>
      </c>
      <c r="T292" s="208">
        <v>0</v>
      </c>
      <c r="U292" s="208">
        <v>80952</v>
      </c>
      <c r="V292" s="208">
        <v>0</v>
      </c>
      <c r="W292" s="208">
        <v>0</v>
      </c>
      <c r="X292" s="208">
        <v>0</v>
      </c>
      <c r="Y292" s="208">
        <v>0</v>
      </c>
      <c r="Z292" s="208">
        <v>0</v>
      </c>
      <c r="AA292" s="208">
        <v>0</v>
      </c>
      <c r="AB292" s="208">
        <v>0</v>
      </c>
      <c r="AC292" s="208">
        <v>0</v>
      </c>
      <c r="AD292" s="208">
        <v>0</v>
      </c>
      <c r="AE292" s="208">
        <v>0</v>
      </c>
      <c r="AF292" s="208">
        <v>0</v>
      </c>
      <c r="AG292" s="208">
        <v>0</v>
      </c>
      <c r="AH292" s="208">
        <v>0</v>
      </c>
      <c r="AI292" s="208">
        <v>0</v>
      </c>
      <c r="AJ292" s="208">
        <v>0</v>
      </c>
      <c r="AK292" s="208">
        <v>0</v>
      </c>
      <c r="AL292" s="208">
        <v>0</v>
      </c>
      <c r="AM292" s="208">
        <v>0</v>
      </c>
      <c r="AN292" s="208">
        <v>0</v>
      </c>
      <c r="AO292" s="208">
        <v>0</v>
      </c>
      <c r="AP292" s="208">
        <v>0</v>
      </c>
      <c r="AQ292" s="208">
        <v>0</v>
      </c>
      <c r="AR292" s="208">
        <v>0</v>
      </c>
      <c r="AS292" s="208">
        <v>0</v>
      </c>
      <c r="AT292" s="208">
        <v>0</v>
      </c>
      <c r="AU292" s="208">
        <v>0</v>
      </c>
      <c r="AV292" s="208">
        <v>0</v>
      </c>
      <c r="AW292" s="208">
        <v>0</v>
      </c>
      <c r="AX292" s="208">
        <v>0</v>
      </c>
      <c r="AY292" s="208">
        <v>0</v>
      </c>
      <c r="AZ292" s="208">
        <v>0</v>
      </c>
      <c r="BA292" s="208">
        <v>0</v>
      </c>
      <c r="BB292" s="208">
        <v>0</v>
      </c>
      <c r="BC292" s="208">
        <v>0</v>
      </c>
      <c r="BD292" s="208">
        <v>0</v>
      </c>
      <c r="BE292" s="208">
        <v>0</v>
      </c>
      <c r="BF292" s="208">
        <v>0</v>
      </c>
      <c r="BG292" s="208">
        <v>0</v>
      </c>
      <c r="BH292" s="208">
        <v>0</v>
      </c>
      <c r="BI292" s="208">
        <v>0</v>
      </c>
      <c r="BJ292" s="208">
        <v>0</v>
      </c>
      <c r="BK292" s="208">
        <v>0</v>
      </c>
      <c r="BL292" s="208">
        <v>0</v>
      </c>
      <c r="BM292" s="208">
        <v>0</v>
      </c>
      <c r="BN292" s="208">
        <v>0</v>
      </c>
      <c r="BO292" s="208">
        <v>5917971.675560711</v>
      </c>
      <c r="BP292" s="208">
        <v>0</v>
      </c>
      <c r="BQ292" s="208">
        <v>59777.49167233042</v>
      </c>
      <c r="BR292" s="208">
        <v>515476</v>
      </c>
      <c r="BS292" s="208">
        <v>0</v>
      </c>
      <c r="BT292" s="208">
        <v>5207</v>
      </c>
      <c r="BU292" s="208">
        <v>5743304</v>
      </c>
      <c r="BV292" s="208">
        <v>0</v>
      </c>
      <c r="BW292" s="208">
        <v>58013</v>
      </c>
      <c r="BX292" s="208">
        <v>690144</v>
      </c>
      <c r="BY292" s="208">
        <v>0</v>
      </c>
      <c r="BZ292" s="208">
        <v>6971</v>
      </c>
      <c r="CA292" s="208">
        <v>0</v>
      </c>
      <c r="CB292" s="208">
        <v>0</v>
      </c>
      <c r="CC292" s="208">
        <v>0</v>
      </c>
      <c r="CD292" s="208">
        <v>0</v>
      </c>
      <c r="CE292" s="208">
        <v>0</v>
      </c>
      <c r="CF292" s="208">
        <v>0</v>
      </c>
      <c r="CG292" s="208">
        <v>0</v>
      </c>
      <c r="CH292" s="208">
        <v>0</v>
      </c>
      <c r="CI292" s="208">
        <v>0</v>
      </c>
      <c r="CJ292" s="208">
        <v>0</v>
      </c>
      <c r="CK292" s="208">
        <v>0</v>
      </c>
      <c r="CL292" s="208">
        <v>0</v>
      </c>
      <c r="CM292" s="208">
        <v>29302.1128125</v>
      </c>
      <c r="CN292" s="208">
        <v>0</v>
      </c>
      <c r="CO292" s="208">
        <v>295.98093749999998</v>
      </c>
      <c r="CP292" s="208">
        <v>622.80281249999996</v>
      </c>
      <c r="CQ292" s="208">
        <v>0</v>
      </c>
      <c r="CR292" s="208">
        <v>6.2909375000000001</v>
      </c>
      <c r="CS292" s="208">
        <v>0</v>
      </c>
      <c r="CT292" s="208">
        <v>0</v>
      </c>
      <c r="CU292" s="208">
        <v>0</v>
      </c>
      <c r="CV292" s="208">
        <v>0</v>
      </c>
      <c r="CW292" s="208">
        <v>0</v>
      </c>
      <c r="CX292" s="208">
        <v>0</v>
      </c>
      <c r="CY292" s="208">
        <v>0</v>
      </c>
      <c r="CZ292" s="208">
        <v>0</v>
      </c>
      <c r="DA292" s="208">
        <v>0</v>
      </c>
      <c r="DB292" s="208">
        <v>-955.09596187500006</v>
      </c>
      <c r="DC292" s="208">
        <v>0</v>
      </c>
      <c r="DD292" s="208">
        <v>-9.6474339583333339</v>
      </c>
      <c r="DE292" s="208">
        <v>0</v>
      </c>
      <c r="DF292" s="208">
        <v>0</v>
      </c>
      <c r="DG292" s="208">
        <v>0</v>
      </c>
      <c r="DH292" s="208">
        <v>613</v>
      </c>
      <c r="DI292" s="208">
        <v>0</v>
      </c>
      <c r="DJ292" s="208">
        <v>6</v>
      </c>
      <c r="DK292" s="208">
        <v>-613</v>
      </c>
      <c r="DL292" s="208">
        <v>0</v>
      </c>
      <c r="DM292" s="208">
        <v>-6</v>
      </c>
      <c r="DN292" s="208">
        <v>0</v>
      </c>
      <c r="DO292" s="208">
        <v>0</v>
      </c>
      <c r="DP292" s="208">
        <v>0</v>
      </c>
      <c r="DQ292" s="208">
        <v>0</v>
      </c>
      <c r="DR292" s="208">
        <v>0</v>
      </c>
      <c r="DS292" s="208">
        <v>0</v>
      </c>
      <c r="DT292" s="208">
        <v>0</v>
      </c>
      <c r="DU292" s="208">
        <v>0</v>
      </c>
      <c r="DV292" s="208">
        <v>0</v>
      </c>
      <c r="DW292" s="208">
        <v>14611.055249999999</v>
      </c>
      <c r="DX292" s="208">
        <v>0</v>
      </c>
      <c r="DY292" s="208">
        <v>147.58641666666668</v>
      </c>
      <c r="DZ292" s="208">
        <v>15581</v>
      </c>
      <c r="EA292" s="208">
        <v>0</v>
      </c>
      <c r="EB292" s="208">
        <v>157</v>
      </c>
      <c r="EC292" s="208">
        <v>-970</v>
      </c>
      <c r="ED292" s="208">
        <v>0</v>
      </c>
      <c r="EE292" s="208">
        <v>-9</v>
      </c>
      <c r="EF292" s="208">
        <v>170347.2024375</v>
      </c>
      <c r="EG292" s="208">
        <v>0</v>
      </c>
      <c r="EH292" s="208">
        <v>1720.6788125</v>
      </c>
      <c r="EI292" s="208">
        <v>176954.98837500002</v>
      </c>
      <c r="EJ292" s="208">
        <v>0</v>
      </c>
      <c r="EK292" s="208">
        <v>1787.424125</v>
      </c>
      <c r="EL292" s="208">
        <v>170131</v>
      </c>
      <c r="EM292" s="208">
        <v>0</v>
      </c>
      <c r="EN292" s="208">
        <v>1719</v>
      </c>
      <c r="EO292" s="208">
        <v>177171</v>
      </c>
      <c r="EP292" s="208">
        <v>0</v>
      </c>
      <c r="EQ292" s="208">
        <v>1789</v>
      </c>
      <c r="ER292" s="208">
        <v>35505.836437500002</v>
      </c>
      <c r="ES292" s="208">
        <v>0</v>
      </c>
      <c r="ET292" s="208">
        <v>358.6448125</v>
      </c>
      <c r="EU292" s="208">
        <v>28356</v>
      </c>
      <c r="EV292" s="208">
        <v>0</v>
      </c>
      <c r="EW292" s="208">
        <v>286</v>
      </c>
      <c r="EX292" s="208">
        <v>7150</v>
      </c>
      <c r="EY292" s="208">
        <v>0</v>
      </c>
      <c r="EZ292" s="208">
        <v>73</v>
      </c>
      <c r="FA292" s="208">
        <v>0</v>
      </c>
      <c r="FB292" s="208">
        <v>0</v>
      </c>
      <c r="FC292" s="208">
        <v>0</v>
      </c>
      <c r="FD292" s="208">
        <v>0</v>
      </c>
      <c r="FE292" s="208">
        <v>0</v>
      </c>
      <c r="FF292" s="208">
        <v>0</v>
      </c>
      <c r="FG292" s="208">
        <v>0</v>
      </c>
      <c r="FH292" s="208">
        <v>0</v>
      </c>
      <c r="FI292" s="208">
        <v>0</v>
      </c>
      <c r="FJ292" s="208">
        <v>3473317.4636875</v>
      </c>
      <c r="FK292" s="208">
        <v>0</v>
      </c>
      <c r="FL292" s="208">
        <v>35065.275895833336</v>
      </c>
      <c r="FM292" s="208">
        <v>3497162</v>
      </c>
      <c r="FN292" s="208">
        <v>0</v>
      </c>
      <c r="FO292" s="208">
        <v>35306</v>
      </c>
      <c r="FP292" s="208">
        <v>-23845</v>
      </c>
      <c r="FQ292" s="208">
        <v>0</v>
      </c>
      <c r="FR292" s="208">
        <v>-241</v>
      </c>
      <c r="FS292" s="208">
        <v>0</v>
      </c>
      <c r="FT292" s="208">
        <v>0</v>
      </c>
      <c r="FU292" s="208">
        <v>0</v>
      </c>
      <c r="FV292" s="208">
        <v>0</v>
      </c>
      <c r="FW292" s="208">
        <v>0</v>
      </c>
      <c r="FX292" s="208">
        <v>0</v>
      </c>
      <c r="FY292" s="208">
        <v>0</v>
      </c>
      <c r="FZ292" s="208">
        <v>0</v>
      </c>
      <c r="GA292" s="208">
        <v>0</v>
      </c>
      <c r="GB292" s="208">
        <v>10333154</v>
      </c>
      <c r="GC292" s="208">
        <v>0</v>
      </c>
      <c r="GD292" s="208">
        <v>104356</v>
      </c>
      <c r="GE292" s="664">
        <v>0</v>
      </c>
      <c r="GF292" s="664">
        <v>0.99</v>
      </c>
      <c r="GG292" s="664">
        <v>0</v>
      </c>
      <c r="GH292" s="664">
        <v>0.01</v>
      </c>
      <c r="GI292" s="187" t="s">
        <v>1056</v>
      </c>
    </row>
    <row r="293" spans="1:191" s="187" customFormat="1" x14ac:dyDescent="0.2">
      <c r="B293" s="429" t="s">
        <v>664</v>
      </c>
      <c r="C293" s="429" t="s">
        <v>663</v>
      </c>
      <c r="D293" s="208">
        <v>150586</v>
      </c>
      <c r="E293" s="208">
        <v>0</v>
      </c>
      <c r="F293" s="208">
        <v>150586</v>
      </c>
      <c r="G293" s="208">
        <v>-138083</v>
      </c>
      <c r="H293" s="208">
        <v>0</v>
      </c>
      <c r="I293" s="208">
        <v>-138083</v>
      </c>
      <c r="J293" s="208">
        <v>288669</v>
      </c>
      <c r="K293" s="208">
        <v>0</v>
      </c>
      <c r="L293" s="208">
        <v>288669</v>
      </c>
      <c r="M293" s="208">
        <v>171977</v>
      </c>
      <c r="N293" s="208">
        <v>171977</v>
      </c>
      <c r="O293" s="208">
        <v>0</v>
      </c>
      <c r="P293" s="208">
        <v>0</v>
      </c>
      <c r="Q293" s="208">
        <v>0</v>
      </c>
      <c r="R293" s="208">
        <v>0</v>
      </c>
      <c r="S293" s="208">
        <v>114396</v>
      </c>
      <c r="T293" s="208">
        <v>0</v>
      </c>
      <c r="U293" s="208">
        <v>0</v>
      </c>
      <c r="V293" s="208">
        <v>0</v>
      </c>
      <c r="W293" s="208">
        <v>114396</v>
      </c>
      <c r="X293" s="208">
        <v>0</v>
      </c>
      <c r="Y293" s="208">
        <v>0</v>
      </c>
      <c r="Z293" s="208">
        <v>0</v>
      </c>
      <c r="AA293" s="208">
        <v>0</v>
      </c>
      <c r="AB293" s="208">
        <v>0</v>
      </c>
      <c r="AC293" s="208">
        <v>0</v>
      </c>
      <c r="AD293" s="208">
        <v>0</v>
      </c>
      <c r="AE293" s="208">
        <v>0</v>
      </c>
      <c r="AF293" s="208">
        <v>0</v>
      </c>
      <c r="AG293" s="208">
        <v>0</v>
      </c>
      <c r="AH293" s="208">
        <v>0</v>
      </c>
      <c r="AI293" s="208">
        <v>0</v>
      </c>
      <c r="AJ293" s="208">
        <v>0</v>
      </c>
      <c r="AK293" s="208">
        <v>0</v>
      </c>
      <c r="AL293" s="208">
        <v>0</v>
      </c>
      <c r="AM293" s="208">
        <v>0</v>
      </c>
      <c r="AN293" s="208">
        <v>0</v>
      </c>
      <c r="AO293" s="208">
        <v>0</v>
      </c>
      <c r="AP293" s="208">
        <v>0</v>
      </c>
      <c r="AQ293" s="208">
        <v>0</v>
      </c>
      <c r="AR293" s="208">
        <v>0</v>
      </c>
      <c r="AS293" s="208">
        <v>0</v>
      </c>
      <c r="AT293" s="208">
        <v>0</v>
      </c>
      <c r="AU293" s="208">
        <v>0</v>
      </c>
      <c r="AV293" s="208">
        <v>0</v>
      </c>
      <c r="AW293" s="208">
        <v>0</v>
      </c>
      <c r="AX293" s="208">
        <v>0</v>
      </c>
      <c r="AY293" s="208">
        <v>0</v>
      </c>
      <c r="AZ293" s="208">
        <v>0</v>
      </c>
      <c r="BA293" s="208">
        <v>0</v>
      </c>
      <c r="BB293" s="208">
        <v>0</v>
      </c>
      <c r="BC293" s="208">
        <v>0</v>
      </c>
      <c r="BD293" s="208">
        <v>0</v>
      </c>
      <c r="BE293" s="208">
        <v>0</v>
      </c>
      <c r="BF293" s="208">
        <v>0</v>
      </c>
      <c r="BG293" s="208">
        <v>0</v>
      </c>
      <c r="BH293" s="208">
        <v>0</v>
      </c>
      <c r="BI293" s="208">
        <v>0</v>
      </c>
      <c r="BJ293" s="208">
        <v>0</v>
      </c>
      <c r="BK293" s="208">
        <v>0</v>
      </c>
      <c r="BL293" s="208">
        <v>0</v>
      </c>
      <c r="BM293" s="208">
        <v>0</v>
      </c>
      <c r="BN293" s="208">
        <v>0</v>
      </c>
      <c r="BO293" s="208">
        <v>1198509.7855266668</v>
      </c>
      <c r="BP293" s="208">
        <v>1767801.9336518331</v>
      </c>
      <c r="BQ293" s="208">
        <v>29962.744638166667</v>
      </c>
      <c r="BR293" s="208">
        <v>114381</v>
      </c>
      <c r="BS293" s="208">
        <v>168712</v>
      </c>
      <c r="BT293" s="208">
        <v>2860</v>
      </c>
      <c r="BU293" s="208">
        <v>1070558</v>
      </c>
      <c r="BV293" s="208">
        <v>1579073</v>
      </c>
      <c r="BW293" s="208">
        <v>26764</v>
      </c>
      <c r="BX293" s="208">
        <v>242333</v>
      </c>
      <c r="BY293" s="208">
        <v>357441</v>
      </c>
      <c r="BZ293" s="208">
        <v>6059</v>
      </c>
      <c r="CA293" s="208">
        <v>1668.1724999999999</v>
      </c>
      <c r="CB293" s="208">
        <v>2460.5544374999995</v>
      </c>
      <c r="CC293" s="208">
        <v>41.7043125</v>
      </c>
      <c r="CD293" s="208">
        <v>3011</v>
      </c>
      <c r="CE293" s="208">
        <v>4439</v>
      </c>
      <c r="CF293" s="208">
        <v>75</v>
      </c>
      <c r="CG293" s="208">
        <v>-1343</v>
      </c>
      <c r="CH293" s="208">
        <v>-1978</v>
      </c>
      <c r="CI293" s="208">
        <v>-33</v>
      </c>
      <c r="CJ293" s="208">
        <v>0</v>
      </c>
      <c r="CK293" s="208">
        <v>0</v>
      </c>
      <c r="CL293" s="208">
        <v>0</v>
      </c>
      <c r="CM293" s="208">
        <v>0</v>
      </c>
      <c r="CN293" s="208">
        <v>0</v>
      </c>
      <c r="CO293" s="208">
        <v>0</v>
      </c>
      <c r="CP293" s="208">
        <v>-2269.6475</v>
      </c>
      <c r="CQ293" s="208">
        <v>-3347.7300624999998</v>
      </c>
      <c r="CR293" s="208">
        <v>-56.741187499999995</v>
      </c>
      <c r="CS293" s="208">
        <v>0</v>
      </c>
      <c r="CT293" s="208">
        <v>0</v>
      </c>
      <c r="CU293" s="208">
        <v>0</v>
      </c>
      <c r="CV293" s="208">
        <v>0</v>
      </c>
      <c r="CW293" s="208">
        <v>0</v>
      </c>
      <c r="CX293" s="208">
        <v>0</v>
      </c>
      <c r="CY293" s="208">
        <v>0</v>
      </c>
      <c r="CZ293" s="208">
        <v>0</v>
      </c>
      <c r="DA293" s="208">
        <v>0</v>
      </c>
      <c r="DB293" s="208">
        <v>0</v>
      </c>
      <c r="DC293" s="208">
        <v>0</v>
      </c>
      <c r="DD293" s="208">
        <v>0</v>
      </c>
      <c r="DE293" s="208">
        <v>0</v>
      </c>
      <c r="DF293" s="208">
        <v>0</v>
      </c>
      <c r="DG293" s="208">
        <v>0</v>
      </c>
      <c r="DH293" s="208">
        <v>8319</v>
      </c>
      <c r="DI293" s="208">
        <v>12270</v>
      </c>
      <c r="DJ293" s="208">
        <v>208</v>
      </c>
      <c r="DK293" s="208">
        <v>-8319</v>
      </c>
      <c r="DL293" s="208">
        <v>-12270</v>
      </c>
      <c r="DM293" s="208">
        <v>-208</v>
      </c>
      <c r="DN293" s="208">
        <v>613.75</v>
      </c>
      <c r="DO293" s="208">
        <v>905.28125</v>
      </c>
      <c r="DP293" s="208">
        <v>15.34375</v>
      </c>
      <c r="DQ293" s="208">
        <v>614</v>
      </c>
      <c r="DR293" s="208">
        <v>905</v>
      </c>
      <c r="DS293" s="208">
        <v>15</v>
      </c>
      <c r="DT293" s="208">
        <v>0</v>
      </c>
      <c r="DU293" s="208">
        <v>0</v>
      </c>
      <c r="DV293" s="208">
        <v>0</v>
      </c>
      <c r="DW293" s="208">
        <v>7793.3975</v>
      </c>
      <c r="DX293" s="208">
        <v>11495.261312499999</v>
      </c>
      <c r="DY293" s="208">
        <v>194.8349375</v>
      </c>
      <c r="DZ293" s="208">
        <v>9115</v>
      </c>
      <c r="EA293" s="208">
        <v>13445</v>
      </c>
      <c r="EB293" s="208">
        <v>228</v>
      </c>
      <c r="EC293" s="208">
        <v>-1322</v>
      </c>
      <c r="ED293" s="208">
        <v>-1950</v>
      </c>
      <c r="EE293" s="208">
        <v>-33</v>
      </c>
      <c r="EF293" s="208">
        <v>51546.407500000001</v>
      </c>
      <c r="EG293" s="208">
        <v>76030.951062499997</v>
      </c>
      <c r="EH293" s="208">
        <v>1288.6601875000001</v>
      </c>
      <c r="EI293" s="208">
        <v>-1174.7175</v>
      </c>
      <c r="EJ293" s="208">
        <v>-1732.7083124999997</v>
      </c>
      <c r="EK293" s="208">
        <v>-29.3679375</v>
      </c>
      <c r="EL293" s="208">
        <v>53191</v>
      </c>
      <c r="EM293" s="208">
        <v>78458</v>
      </c>
      <c r="EN293" s="208">
        <v>1330</v>
      </c>
      <c r="EO293" s="208">
        <v>-2819</v>
      </c>
      <c r="EP293" s="208">
        <v>-4160</v>
      </c>
      <c r="EQ293" s="208">
        <v>-71</v>
      </c>
      <c r="ER293" s="208">
        <v>19047.935833333333</v>
      </c>
      <c r="ES293" s="208">
        <v>28095.705354166661</v>
      </c>
      <c r="ET293" s="208">
        <v>476.19839583333334</v>
      </c>
      <c r="EU293" s="208">
        <v>22503</v>
      </c>
      <c r="EV293" s="208">
        <v>33194</v>
      </c>
      <c r="EW293" s="208">
        <v>563</v>
      </c>
      <c r="EX293" s="208">
        <v>-3455</v>
      </c>
      <c r="EY293" s="208">
        <v>-5098</v>
      </c>
      <c r="EZ293" s="208">
        <v>-87</v>
      </c>
      <c r="FA293" s="208">
        <v>0</v>
      </c>
      <c r="FB293" s="208">
        <v>0</v>
      </c>
      <c r="FC293" s="208">
        <v>0</v>
      </c>
      <c r="FD293" s="208">
        <v>0</v>
      </c>
      <c r="FE293" s="208">
        <v>0</v>
      </c>
      <c r="FF293" s="208">
        <v>0</v>
      </c>
      <c r="FG293" s="208">
        <v>0</v>
      </c>
      <c r="FH293" s="208">
        <v>0</v>
      </c>
      <c r="FI293" s="208">
        <v>0</v>
      </c>
      <c r="FJ293" s="208">
        <v>488119.72</v>
      </c>
      <c r="FK293" s="208">
        <v>716109.76387499995</v>
      </c>
      <c r="FL293" s="208">
        <v>12137.453624999998</v>
      </c>
      <c r="FM293" s="208">
        <v>486498</v>
      </c>
      <c r="FN293" s="208">
        <v>717584</v>
      </c>
      <c r="FO293" s="208">
        <v>12162</v>
      </c>
      <c r="FP293" s="208">
        <v>1622</v>
      </c>
      <c r="FQ293" s="208">
        <v>-1474</v>
      </c>
      <c r="FR293" s="208">
        <v>-25</v>
      </c>
      <c r="FS293" s="208">
        <v>0</v>
      </c>
      <c r="FT293" s="208">
        <v>0</v>
      </c>
      <c r="FU293" s="208">
        <v>0</v>
      </c>
      <c r="FV293" s="208">
        <v>0</v>
      </c>
      <c r="FW293" s="208">
        <v>0</v>
      </c>
      <c r="FX293" s="208">
        <v>0</v>
      </c>
      <c r="FY293" s="208">
        <v>0</v>
      </c>
      <c r="FZ293" s="208">
        <v>0</v>
      </c>
      <c r="GA293" s="208">
        <v>0</v>
      </c>
      <c r="GB293" s="208">
        <v>1878235</v>
      </c>
      <c r="GC293" s="208">
        <v>2766531</v>
      </c>
      <c r="GD293" s="208">
        <v>46891</v>
      </c>
      <c r="GE293" s="664">
        <v>0</v>
      </c>
      <c r="GF293" s="664">
        <v>0.4</v>
      </c>
      <c r="GG293" s="664">
        <v>0.59</v>
      </c>
      <c r="GH293" s="664">
        <v>0.01</v>
      </c>
      <c r="GI293" s="187" t="s">
        <v>1054</v>
      </c>
    </row>
    <row r="294" spans="1:191" s="187" customFormat="1" x14ac:dyDescent="0.2">
      <c r="B294" s="429" t="s">
        <v>666</v>
      </c>
      <c r="C294" s="429" t="s">
        <v>665</v>
      </c>
      <c r="D294" s="208">
        <v>-374938</v>
      </c>
      <c r="E294" s="208">
        <v>0</v>
      </c>
      <c r="F294" s="208">
        <v>-374938</v>
      </c>
      <c r="G294" s="208">
        <v>-340427</v>
      </c>
      <c r="H294" s="208">
        <v>0</v>
      </c>
      <c r="I294" s="208">
        <v>-340427</v>
      </c>
      <c r="J294" s="208">
        <v>-34511</v>
      </c>
      <c r="K294" s="208">
        <v>0</v>
      </c>
      <c r="L294" s="208">
        <v>-34511</v>
      </c>
      <c r="M294" s="208">
        <v>137936</v>
      </c>
      <c r="N294" s="208">
        <v>137936</v>
      </c>
      <c r="O294" s="208">
        <v>0</v>
      </c>
      <c r="P294" s="208">
        <v>0</v>
      </c>
      <c r="Q294" s="208">
        <v>0</v>
      </c>
      <c r="R294" s="208">
        <v>0</v>
      </c>
      <c r="S294" s="208">
        <v>126787</v>
      </c>
      <c r="T294" s="208">
        <v>0</v>
      </c>
      <c r="U294" s="208">
        <v>126054</v>
      </c>
      <c r="V294" s="208">
        <v>0</v>
      </c>
      <c r="W294" s="208">
        <v>733</v>
      </c>
      <c r="X294" s="208">
        <v>0</v>
      </c>
      <c r="Y294" s="208">
        <v>0</v>
      </c>
      <c r="Z294" s="208">
        <v>0</v>
      </c>
      <c r="AA294" s="208">
        <v>0</v>
      </c>
      <c r="AB294" s="208">
        <v>0</v>
      </c>
      <c r="AC294" s="208">
        <v>0</v>
      </c>
      <c r="AD294" s="208">
        <v>0</v>
      </c>
      <c r="AE294" s="208">
        <v>0</v>
      </c>
      <c r="AF294" s="208">
        <v>0</v>
      </c>
      <c r="AG294" s="208">
        <v>0</v>
      </c>
      <c r="AH294" s="208">
        <v>0</v>
      </c>
      <c r="AI294" s="208">
        <v>0</v>
      </c>
      <c r="AJ294" s="208">
        <v>0</v>
      </c>
      <c r="AK294" s="208">
        <v>0</v>
      </c>
      <c r="AL294" s="208">
        <v>0</v>
      </c>
      <c r="AM294" s="208">
        <v>0</v>
      </c>
      <c r="AN294" s="208">
        <v>0</v>
      </c>
      <c r="AO294" s="208">
        <v>0</v>
      </c>
      <c r="AP294" s="208">
        <v>0</v>
      </c>
      <c r="AQ294" s="208">
        <v>0</v>
      </c>
      <c r="AR294" s="208">
        <v>0</v>
      </c>
      <c r="AS294" s="208">
        <v>0</v>
      </c>
      <c r="AT294" s="208">
        <v>0</v>
      </c>
      <c r="AU294" s="208">
        <v>0</v>
      </c>
      <c r="AV294" s="208">
        <v>0</v>
      </c>
      <c r="AW294" s="208">
        <v>0</v>
      </c>
      <c r="AX294" s="208">
        <v>0</v>
      </c>
      <c r="AY294" s="208">
        <v>0</v>
      </c>
      <c r="AZ294" s="208">
        <v>0</v>
      </c>
      <c r="BA294" s="208">
        <v>0</v>
      </c>
      <c r="BB294" s="208">
        <v>0</v>
      </c>
      <c r="BC294" s="208">
        <v>0</v>
      </c>
      <c r="BD294" s="208">
        <v>0</v>
      </c>
      <c r="BE294" s="208">
        <v>0</v>
      </c>
      <c r="BF294" s="208">
        <v>0</v>
      </c>
      <c r="BG294" s="208">
        <v>0</v>
      </c>
      <c r="BH294" s="208">
        <v>0</v>
      </c>
      <c r="BI294" s="208">
        <v>0</v>
      </c>
      <c r="BJ294" s="208">
        <v>0</v>
      </c>
      <c r="BK294" s="208">
        <v>0</v>
      </c>
      <c r="BL294" s="208">
        <v>0</v>
      </c>
      <c r="BM294" s="208">
        <v>0</v>
      </c>
      <c r="BN294" s="208">
        <v>0</v>
      </c>
      <c r="BO294" s="208">
        <v>989132.71976583335</v>
      </c>
      <c r="BP294" s="208">
        <v>222554.86194731254</v>
      </c>
      <c r="BQ294" s="208">
        <v>24728.317994145833</v>
      </c>
      <c r="BR294" s="208">
        <v>74597</v>
      </c>
      <c r="BS294" s="208">
        <v>16784</v>
      </c>
      <c r="BT294" s="208">
        <v>1865</v>
      </c>
      <c r="BU294" s="208">
        <v>944107</v>
      </c>
      <c r="BV294" s="208">
        <v>212424</v>
      </c>
      <c r="BW294" s="208">
        <v>23603</v>
      </c>
      <c r="BX294" s="208">
        <v>119623</v>
      </c>
      <c r="BY294" s="208">
        <v>26915</v>
      </c>
      <c r="BZ294" s="208">
        <v>2990</v>
      </c>
      <c r="CA294" s="208">
        <v>11012.311666666668</v>
      </c>
      <c r="CB294" s="208">
        <v>2477.770125</v>
      </c>
      <c r="CC294" s="208">
        <v>275.30779166666667</v>
      </c>
      <c r="CD294" s="208">
        <v>3942</v>
      </c>
      <c r="CE294" s="208">
        <v>887</v>
      </c>
      <c r="CF294" s="208">
        <v>99</v>
      </c>
      <c r="CG294" s="208">
        <v>7070</v>
      </c>
      <c r="CH294" s="208">
        <v>1591</v>
      </c>
      <c r="CI294" s="208">
        <v>176</v>
      </c>
      <c r="CJ294" s="208">
        <v>0</v>
      </c>
      <c r="CK294" s="208">
        <v>0</v>
      </c>
      <c r="CL294" s="208">
        <v>0</v>
      </c>
      <c r="CM294" s="208">
        <v>0</v>
      </c>
      <c r="CN294" s="208">
        <v>0</v>
      </c>
      <c r="CO294" s="208">
        <v>0</v>
      </c>
      <c r="CP294" s="208">
        <v>-1022.9166666666666</v>
      </c>
      <c r="CQ294" s="208">
        <v>-230.15624999999997</v>
      </c>
      <c r="CR294" s="208">
        <v>-25.572916666666664</v>
      </c>
      <c r="CS294" s="208">
        <v>0</v>
      </c>
      <c r="CT294" s="208">
        <v>0</v>
      </c>
      <c r="CU294" s="208">
        <v>0</v>
      </c>
      <c r="CV294" s="208">
        <v>0</v>
      </c>
      <c r="CW294" s="208">
        <v>0</v>
      </c>
      <c r="CX294" s="208">
        <v>0</v>
      </c>
      <c r="CY294" s="208">
        <v>0</v>
      </c>
      <c r="CZ294" s="208">
        <v>0</v>
      </c>
      <c r="DA294" s="208">
        <v>0</v>
      </c>
      <c r="DB294" s="208">
        <v>0</v>
      </c>
      <c r="DC294" s="208">
        <v>0</v>
      </c>
      <c r="DD294" s="208">
        <v>0</v>
      </c>
      <c r="DE294" s="208">
        <v>12968.128333333334</v>
      </c>
      <c r="DF294" s="208">
        <v>2917.8288750000002</v>
      </c>
      <c r="DG294" s="208">
        <v>324.20320833333335</v>
      </c>
      <c r="DH294" s="208">
        <v>13289</v>
      </c>
      <c r="DI294" s="208">
        <v>2990</v>
      </c>
      <c r="DJ294" s="208">
        <v>332</v>
      </c>
      <c r="DK294" s="208">
        <v>-321</v>
      </c>
      <c r="DL294" s="208">
        <v>-72</v>
      </c>
      <c r="DM294" s="208">
        <v>-8</v>
      </c>
      <c r="DN294" s="208">
        <v>613.75</v>
      </c>
      <c r="DO294" s="208">
        <v>138.09375</v>
      </c>
      <c r="DP294" s="208">
        <v>15.34375</v>
      </c>
      <c r="DQ294" s="208">
        <v>614</v>
      </c>
      <c r="DR294" s="208">
        <v>138</v>
      </c>
      <c r="DS294" s="208">
        <v>15</v>
      </c>
      <c r="DT294" s="208">
        <v>0</v>
      </c>
      <c r="DU294" s="208">
        <v>0</v>
      </c>
      <c r="DV294" s="208">
        <v>0</v>
      </c>
      <c r="DW294" s="208">
        <v>53152.276191666664</v>
      </c>
      <c r="DX294" s="208">
        <v>11959.262143124999</v>
      </c>
      <c r="DY294" s="208">
        <v>1328.8069047916667</v>
      </c>
      <c r="DZ294" s="208">
        <v>50792</v>
      </c>
      <c r="EA294" s="208">
        <v>11428</v>
      </c>
      <c r="EB294" s="208">
        <v>1270</v>
      </c>
      <c r="EC294" s="208">
        <v>2360</v>
      </c>
      <c r="ED294" s="208">
        <v>531</v>
      </c>
      <c r="EE294" s="208">
        <v>59</v>
      </c>
      <c r="EF294" s="208">
        <v>34050.031666666669</v>
      </c>
      <c r="EG294" s="208">
        <v>7661.2571249999992</v>
      </c>
      <c r="EH294" s="208">
        <v>851.2507916666666</v>
      </c>
      <c r="EI294" s="208">
        <v>270.4591666666667</v>
      </c>
      <c r="EJ294" s="208">
        <v>60.853312500000001</v>
      </c>
      <c r="EK294" s="208">
        <v>6.7614791666666667</v>
      </c>
      <c r="EL294" s="208">
        <v>61784</v>
      </c>
      <c r="EM294" s="208">
        <v>13901</v>
      </c>
      <c r="EN294" s="208">
        <v>1545</v>
      </c>
      <c r="EO294" s="208">
        <v>-27464</v>
      </c>
      <c r="EP294" s="208">
        <v>-6179</v>
      </c>
      <c r="EQ294" s="208">
        <v>-687</v>
      </c>
      <c r="ER294" s="208">
        <v>18733.286666666667</v>
      </c>
      <c r="ES294" s="208">
        <v>4214.9894999999997</v>
      </c>
      <c r="ET294" s="208">
        <v>468.33216666666669</v>
      </c>
      <c r="EU294" s="208">
        <v>20049</v>
      </c>
      <c r="EV294" s="208">
        <v>4511</v>
      </c>
      <c r="EW294" s="208">
        <v>501</v>
      </c>
      <c r="EX294" s="208">
        <v>-1316</v>
      </c>
      <c r="EY294" s="208">
        <v>-296</v>
      </c>
      <c r="EZ294" s="208">
        <v>-33</v>
      </c>
      <c r="FA294" s="208">
        <v>0</v>
      </c>
      <c r="FB294" s="208">
        <v>0</v>
      </c>
      <c r="FC294" s="208">
        <v>0</v>
      </c>
      <c r="FD294" s="208">
        <v>0</v>
      </c>
      <c r="FE294" s="208">
        <v>0</v>
      </c>
      <c r="FF294" s="208">
        <v>0</v>
      </c>
      <c r="FG294" s="208">
        <v>0</v>
      </c>
      <c r="FH294" s="208">
        <v>0</v>
      </c>
      <c r="FI294" s="208">
        <v>0</v>
      </c>
      <c r="FJ294" s="208">
        <v>421377.70124999998</v>
      </c>
      <c r="FK294" s="208">
        <v>94156.237312500001</v>
      </c>
      <c r="FL294" s="208">
        <v>10461.804145833334</v>
      </c>
      <c r="FM294" s="208">
        <v>393992</v>
      </c>
      <c r="FN294" s="208">
        <v>87998</v>
      </c>
      <c r="FO294" s="208">
        <v>9778</v>
      </c>
      <c r="FP294" s="208">
        <v>27386</v>
      </c>
      <c r="FQ294" s="208">
        <v>6158</v>
      </c>
      <c r="FR294" s="208">
        <v>684</v>
      </c>
      <c r="FS294" s="208">
        <v>0</v>
      </c>
      <c r="FT294" s="208">
        <v>0</v>
      </c>
      <c r="FU294" s="208">
        <v>0</v>
      </c>
      <c r="FV294" s="208">
        <v>0</v>
      </c>
      <c r="FW294" s="208">
        <v>0</v>
      </c>
      <c r="FX294" s="208">
        <v>0</v>
      </c>
      <c r="FY294" s="208">
        <v>0</v>
      </c>
      <c r="FZ294" s="208">
        <v>0</v>
      </c>
      <c r="GA294" s="208">
        <v>0</v>
      </c>
      <c r="GB294" s="208">
        <v>1614884</v>
      </c>
      <c r="GC294" s="208">
        <v>362695</v>
      </c>
      <c r="GD294" s="208">
        <v>40298</v>
      </c>
      <c r="GE294" s="664">
        <v>0.5</v>
      </c>
      <c r="GF294" s="664">
        <v>0.4</v>
      </c>
      <c r="GG294" s="664">
        <v>0.09</v>
      </c>
      <c r="GH294" s="664">
        <v>0.01</v>
      </c>
      <c r="GI294" s="187" t="s">
        <v>1054</v>
      </c>
    </row>
    <row r="295" spans="1:191" s="187" customFormat="1" x14ac:dyDescent="0.2">
      <c r="B295" s="429" t="s">
        <v>668</v>
      </c>
      <c r="C295" s="429" t="s">
        <v>667</v>
      </c>
      <c r="D295" s="208">
        <v>-3698861</v>
      </c>
      <c r="E295" s="208">
        <v>-443</v>
      </c>
      <c r="F295" s="208">
        <v>-3699304</v>
      </c>
      <c r="G295" s="208">
        <v>-3775026</v>
      </c>
      <c r="H295" s="208">
        <v>-5933</v>
      </c>
      <c r="I295" s="208">
        <v>-3780959</v>
      </c>
      <c r="J295" s="208">
        <v>76165</v>
      </c>
      <c r="K295" s="208">
        <v>5490</v>
      </c>
      <c r="L295" s="208">
        <v>81655</v>
      </c>
      <c r="M295" s="208">
        <v>178478</v>
      </c>
      <c r="N295" s="208">
        <v>178478</v>
      </c>
      <c r="O295" s="208">
        <v>0</v>
      </c>
      <c r="P295" s="208">
        <v>1670513</v>
      </c>
      <c r="Q295" s="208">
        <v>1250696</v>
      </c>
      <c r="R295" s="208">
        <v>419817</v>
      </c>
      <c r="S295" s="208">
        <v>235130</v>
      </c>
      <c r="T295" s="208">
        <v>0</v>
      </c>
      <c r="U295" s="208">
        <v>235130</v>
      </c>
      <c r="V295" s="208">
        <v>0</v>
      </c>
      <c r="W295" s="208">
        <v>0</v>
      </c>
      <c r="X295" s="208">
        <v>0</v>
      </c>
      <c r="Y295" s="208">
        <v>0</v>
      </c>
      <c r="Z295" s="208">
        <v>0</v>
      </c>
      <c r="AA295" s="208">
        <v>0</v>
      </c>
      <c r="AB295" s="208">
        <v>0</v>
      </c>
      <c r="AC295" s="208">
        <v>0</v>
      </c>
      <c r="AD295" s="208">
        <v>0</v>
      </c>
      <c r="AE295" s="208">
        <v>0</v>
      </c>
      <c r="AF295" s="208">
        <v>0</v>
      </c>
      <c r="AG295" s="208">
        <v>0</v>
      </c>
      <c r="AH295" s="208">
        <v>1384643</v>
      </c>
      <c r="AI295" s="208">
        <v>1384642.5041666667</v>
      </c>
      <c r="AJ295" s="208">
        <v>0</v>
      </c>
      <c r="AK295" s="208">
        <v>0</v>
      </c>
      <c r="AL295" s="208">
        <v>423168</v>
      </c>
      <c r="AM295" s="208">
        <v>423168</v>
      </c>
      <c r="AN295" s="208">
        <v>0</v>
      </c>
      <c r="AO295" s="208">
        <v>0</v>
      </c>
      <c r="AP295" s="208">
        <v>961475</v>
      </c>
      <c r="AQ295" s="208">
        <v>961475</v>
      </c>
      <c r="AR295" s="208">
        <v>0</v>
      </c>
      <c r="AS295" s="208">
        <v>0</v>
      </c>
      <c r="AT295" s="208">
        <v>0</v>
      </c>
      <c r="AU295" s="208">
        <v>0</v>
      </c>
      <c r="AV295" s="208">
        <v>0</v>
      </c>
      <c r="AW295" s="208">
        <v>0</v>
      </c>
      <c r="AX295" s="208">
        <v>0</v>
      </c>
      <c r="AY295" s="208">
        <v>0</v>
      </c>
      <c r="AZ295" s="208">
        <v>0</v>
      </c>
      <c r="BA295" s="208">
        <v>0</v>
      </c>
      <c r="BB295" s="208">
        <v>0</v>
      </c>
      <c r="BC295" s="208">
        <v>0</v>
      </c>
      <c r="BD295" s="208">
        <v>0</v>
      </c>
      <c r="BE295" s="208">
        <v>0</v>
      </c>
      <c r="BF295" s="208">
        <v>0</v>
      </c>
      <c r="BG295" s="208">
        <v>0</v>
      </c>
      <c r="BH295" s="208">
        <v>0</v>
      </c>
      <c r="BI295" s="208">
        <v>0</v>
      </c>
      <c r="BJ295" s="208">
        <v>0</v>
      </c>
      <c r="BK295" s="208">
        <v>0</v>
      </c>
      <c r="BL295" s="208">
        <v>0</v>
      </c>
      <c r="BM295" s="208">
        <v>0</v>
      </c>
      <c r="BN295" s="208">
        <v>0</v>
      </c>
      <c r="BO295" s="208">
        <v>812770.9440883334</v>
      </c>
      <c r="BP295" s="208">
        <v>193723.66497416672</v>
      </c>
      <c r="BQ295" s="208">
        <v>0</v>
      </c>
      <c r="BR295" s="208">
        <v>99257</v>
      </c>
      <c r="BS295" s="208">
        <v>22690</v>
      </c>
      <c r="BT295" s="208">
        <v>0</v>
      </c>
      <c r="BU295" s="208">
        <v>763303</v>
      </c>
      <c r="BV295" s="208">
        <v>184799</v>
      </c>
      <c r="BW295" s="208">
        <v>0</v>
      </c>
      <c r="BX295" s="208">
        <v>148725</v>
      </c>
      <c r="BY295" s="208">
        <v>31615</v>
      </c>
      <c r="BZ295" s="208">
        <v>0</v>
      </c>
      <c r="CA295" s="208">
        <v>0</v>
      </c>
      <c r="CB295" s="208">
        <v>0</v>
      </c>
      <c r="CC295" s="208">
        <v>0</v>
      </c>
      <c r="CD295" s="208">
        <v>0</v>
      </c>
      <c r="CE295" s="208">
        <v>0</v>
      </c>
      <c r="CF295" s="208">
        <v>0</v>
      </c>
      <c r="CG295" s="208">
        <v>0</v>
      </c>
      <c r="CH295" s="208">
        <v>0</v>
      </c>
      <c r="CI295" s="208">
        <v>0</v>
      </c>
      <c r="CJ295" s="208">
        <v>0</v>
      </c>
      <c r="CK295" s="208">
        <v>0</v>
      </c>
      <c r="CL295" s="208">
        <v>0</v>
      </c>
      <c r="CM295" s="208">
        <v>0</v>
      </c>
      <c r="CN295" s="208">
        <v>0</v>
      </c>
      <c r="CO295" s="208">
        <v>0</v>
      </c>
      <c r="CP295" s="208">
        <v>-117.84000000000002</v>
      </c>
      <c r="CQ295" s="208">
        <v>-29.460000000000004</v>
      </c>
      <c r="CR295" s="208">
        <v>0</v>
      </c>
      <c r="CS295" s="208">
        <v>0</v>
      </c>
      <c r="CT295" s="208">
        <v>0</v>
      </c>
      <c r="CU295" s="208">
        <v>0</v>
      </c>
      <c r="CV295" s="208">
        <v>0</v>
      </c>
      <c r="CW295" s="208">
        <v>0</v>
      </c>
      <c r="CX295" s="208">
        <v>0</v>
      </c>
      <c r="CY295" s="208">
        <v>0</v>
      </c>
      <c r="CZ295" s="208">
        <v>0</v>
      </c>
      <c r="DA295" s="208">
        <v>0</v>
      </c>
      <c r="DB295" s="208">
        <v>0</v>
      </c>
      <c r="DC295" s="208">
        <v>0</v>
      </c>
      <c r="DD295" s="208">
        <v>0</v>
      </c>
      <c r="DE295" s="208">
        <v>10015.581666666667</v>
      </c>
      <c r="DF295" s="208">
        <v>2503.8954166666667</v>
      </c>
      <c r="DG295" s="208">
        <v>0</v>
      </c>
      <c r="DH295" s="208">
        <v>10270</v>
      </c>
      <c r="DI295" s="208">
        <v>2568</v>
      </c>
      <c r="DJ295" s="208">
        <v>0</v>
      </c>
      <c r="DK295" s="208">
        <v>-254</v>
      </c>
      <c r="DL295" s="208">
        <v>-64</v>
      </c>
      <c r="DM295" s="208">
        <v>0</v>
      </c>
      <c r="DN295" s="208">
        <v>0</v>
      </c>
      <c r="DO295" s="208">
        <v>0</v>
      </c>
      <c r="DP295" s="208">
        <v>0</v>
      </c>
      <c r="DQ295" s="208">
        <v>0</v>
      </c>
      <c r="DR295" s="208">
        <v>0</v>
      </c>
      <c r="DS295" s="208">
        <v>0</v>
      </c>
      <c r="DT295" s="208">
        <v>0</v>
      </c>
      <c r="DU295" s="208">
        <v>0</v>
      </c>
      <c r="DV295" s="208">
        <v>0</v>
      </c>
      <c r="DW295" s="208">
        <v>9798.314166666667</v>
      </c>
      <c r="DX295" s="208">
        <v>2449.5785416666668</v>
      </c>
      <c r="DY295" s="208">
        <v>0</v>
      </c>
      <c r="DZ295" s="208">
        <v>10896</v>
      </c>
      <c r="EA295" s="208">
        <v>2724</v>
      </c>
      <c r="EB295" s="208">
        <v>0</v>
      </c>
      <c r="EC295" s="208">
        <v>-1098</v>
      </c>
      <c r="ED295" s="208">
        <v>-274</v>
      </c>
      <c r="EE295" s="208">
        <v>0</v>
      </c>
      <c r="EF295" s="208">
        <v>60073.236250000002</v>
      </c>
      <c r="EG295" s="208">
        <v>14002.297083333333</v>
      </c>
      <c r="EH295" s="208">
        <v>0</v>
      </c>
      <c r="EI295" s="208">
        <v>-4004.1050000000005</v>
      </c>
      <c r="EJ295" s="208">
        <v>-1001.0262500000001</v>
      </c>
      <c r="EK295" s="208">
        <v>0</v>
      </c>
      <c r="EL295" s="208">
        <v>66638</v>
      </c>
      <c r="EM295" s="208">
        <v>16659</v>
      </c>
      <c r="EN295" s="208">
        <v>0</v>
      </c>
      <c r="EO295" s="208">
        <v>-10569</v>
      </c>
      <c r="EP295" s="208">
        <v>-3658</v>
      </c>
      <c r="EQ295" s="208">
        <v>0</v>
      </c>
      <c r="ER295" s="208">
        <v>19864.223333333335</v>
      </c>
      <c r="ES295" s="208">
        <v>4966.0558333333338</v>
      </c>
      <c r="ET295" s="208">
        <v>0</v>
      </c>
      <c r="EU295" s="208">
        <v>16776</v>
      </c>
      <c r="EV295" s="208">
        <v>4194</v>
      </c>
      <c r="EW295" s="208">
        <v>0</v>
      </c>
      <c r="EX295" s="208">
        <v>3088</v>
      </c>
      <c r="EY295" s="208">
        <v>772</v>
      </c>
      <c r="EZ295" s="208">
        <v>0</v>
      </c>
      <c r="FA295" s="208">
        <v>0</v>
      </c>
      <c r="FB295" s="208">
        <v>0</v>
      </c>
      <c r="FC295" s="208">
        <v>0</v>
      </c>
      <c r="FD295" s="208">
        <v>0</v>
      </c>
      <c r="FE295" s="208">
        <v>0</v>
      </c>
      <c r="FF295" s="208">
        <v>0</v>
      </c>
      <c r="FG295" s="208">
        <v>0</v>
      </c>
      <c r="FH295" s="208">
        <v>0</v>
      </c>
      <c r="FI295" s="208">
        <v>0</v>
      </c>
      <c r="FJ295" s="208">
        <v>520228.04625000001</v>
      </c>
      <c r="FK295" s="208">
        <v>119139.26520833334</v>
      </c>
      <c r="FL295" s="208">
        <v>0</v>
      </c>
      <c r="FM295" s="208">
        <v>526117</v>
      </c>
      <c r="FN295" s="208">
        <v>120592</v>
      </c>
      <c r="FO295" s="208">
        <v>0</v>
      </c>
      <c r="FP295" s="208">
        <v>-5889</v>
      </c>
      <c r="FQ295" s="208">
        <v>-1453</v>
      </c>
      <c r="FR295" s="208">
        <v>0</v>
      </c>
      <c r="FS295" s="208">
        <v>0</v>
      </c>
      <c r="FT295" s="208">
        <v>0</v>
      </c>
      <c r="FU295" s="208">
        <v>0</v>
      </c>
      <c r="FV295" s="208">
        <v>0</v>
      </c>
      <c r="FW295" s="208">
        <v>0</v>
      </c>
      <c r="FX295" s="208">
        <v>0</v>
      </c>
      <c r="FY295" s="208">
        <v>0</v>
      </c>
      <c r="FZ295" s="208">
        <v>0</v>
      </c>
      <c r="GA295" s="208">
        <v>0</v>
      </c>
      <c r="GB295" s="208">
        <v>1527885</v>
      </c>
      <c r="GC295" s="208">
        <v>358445</v>
      </c>
      <c r="GD295" s="208">
        <v>0</v>
      </c>
      <c r="GE295" s="664">
        <v>0.5</v>
      </c>
      <c r="GF295" s="664">
        <v>0.4</v>
      </c>
      <c r="GG295" s="664">
        <v>0.1</v>
      </c>
      <c r="GH295" s="664">
        <v>0</v>
      </c>
      <c r="GI295" s="187" t="s">
        <v>1054</v>
      </c>
    </row>
    <row r="296" spans="1:191" s="187" customFormat="1" x14ac:dyDescent="0.2">
      <c r="B296" s="429" t="s">
        <v>670</v>
      </c>
      <c r="C296" s="429" t="s">
        <v>669</v>
      </c>
      <c r="D296" s="208">
        <v>-2384952</v>
      </c>
      <c r="E296" s="208">
        <v>0</v>
      </c>
      <c r="F296" s="208">
        <v>-2384952</v>
      </c>
      <c r="G296" s="208">
        <v>-2220805</v>
      </c>
      <c r="H296" s="208">
        <v>0</v>
      </c>
      <c r="I296" s="208">
        <v>-2220805</v>
      </c>
      <c r="J296" s="208">
        <v>-164147</v>
      </c>
      <c r="K296" s="208">
        <v>0</v>
      </c>
      <c r="L296" s="208">
        <v>-164147</v>
      </c>
      <c r="M296" s="208">
        <v>449154</v>
      </c>
      <c r="N296" s="208">
        <v>449154</v>
      </c>
      <c r="O296" s="208">
        <v>0</v>
      </c>
      <c r="P296" s="208">
        <v>18950</v>
      </c>
      <c r="Q296" s="208">
        <v>0</v>
      </c>
      <c r="R296" s="208">
        <v>18950</v>
      </c>
      <c r="S296" s="208">
        <v>520587</v>
      </c>
      <c r="T296" s="208">
        <v>0</v>
      </c>
      <c r="U296" s="208">
        <v>503883</v>
      </c>
      <c r="V296" s="208">
        <v>0</v>
      </c>
      <c r="W296" s="208">
        <v>16704</v>
      </c>
      <c r="X296" s="208">
        <v>0</v>
      </c>
      <c r="Y296" s="208">
        <v>0</v>
      </c>
      <c r="Z296" s="208">
        <v>0</v>
      </c>
      <c r="AA296" s="208">
        <v>0</v>
      </c>
      <c r="AB296" s="208">
        <v>0</v>
      </c>
      <c r="AC296" s="208">
        <v>0</v>
      </c>
      <c r="AD296" s="208">
        <v>0</v>
      </c>
      <c r="AE296" s="208">
        <v>0</v>
      </c>
      <c r="AF296" s="208">
        <v>0</v>
      </c>
      <c r="AG296" s="208">
        <v>0</v>
      </c>
      <c r="AH296" s="208">
        <v>0</v>
      </c>
      <c r="AI296" s="208">
        <v>0</v>
      </c>
      <c r="AJ296" s="208">
        <v>0</v>
      </c>
      <c r="AK296" s="208">
        <v>0</v>
      </c>
      <c r="AL296" s="208">
        <v>0</v>
      </c>
      <c r="AM296" s="208">
        <v>0</v>
      </c>
      <c r="AN296" s="208">
        <v>0</v>
      </c>
      <c r="AO296" s="208">
        <v>0</v>
      </c>
      <c r="AP296" s="208">
        <v>0</v>
      </c>
      <c r="AQ296" s="208">
        <v>0</v>
      </c>
      <c r="AR296" s="208">
        <v>0</v>
      </c>
      <c r="AS296" s="208">
        <v>0</v>
      </c>
      <c r="AT296" s="208">
        <v>0</v>
      </c>
      <c r="AU296" s="208">
        <v>0</v>
      </c>
      <c r="AV296" s="208">
        <v>0</v>
      </c>
      <c r="AW296" s="208">
        <v>0</v>
      </c>
      <c r="AX296" s="208">
        <v>0</v>
      </c>
      <c r="AY296" s="208">
        <v>0</v>
      </c>
      <c r="AZ296" s="208">
        <v>0</v>
      </c>
      <c r="BA296" s="208">
        <v>0</v>
      </c>
      <c r="BB296" s="208">
        <v>0</v>
      </c>
      <c r="BC296" s="208">
        <v>0</v>
      </c>
      <c r="BD296" s="208">
        <v>0</v>
      </c>
      <c r="BE296" s="208">
        <v>0</v>
      </c>
      <c r="BF296" s="208">
        <v>0</v>
      </c>
      <c r="BG296" s="208">
        <v>0</v>
      </c>
      <c r="BH296" s="208">
        <v>0</v>
      </c>
      <c r="BI296" s="208">
        <v>0</v>
      </c>
      <c r="BJ296" s="208">
        <v>0</v>
      </c>
      <c r="BK296" s="208">
        <v>0</v>
      </c>
      <c r="BL296" s="208">
        <v>0</v>
      </c>
      <c r="BM296" s="208">
        <v>0</v>
      </c>
      <c r="BN296" s="208">
        <v>0</v>
      </c>
      <c r="BO296" s="208">
        <v>8476240.8938130029</v>
      </c>
      <c r="BP296" s="208">
        <v>0</v>
      </c>
      <c r="BQ296" s="208">
        <v>85618.594887000014</v>
      </c>
      <c r="BR296" s="208">
        <v>618384</v>
      </c>
      <c r="BS296" s="208">
        <v>0</v>
      </c>
      <c r="BT296" s="208">
        <v>6242</v>
      </c>
      <c r="BU296" s="208">
        <v>8370350</v>
      </c>
      <c r="BV296" s="208">
        <v>0</v>
      </c>
      <c r="BW296" s="208">
        <v>84549</v>
      </c>
      <c r="BX296" s="208">
        <v>724275</v>
      </c>
      <c r="BY296" s="208">
        <v>0</v>
      </c>
      <c r="BZ296" s="208">
        <v>7312</v>
      </c>
      <c r="CA296" s="208">
        <v>10126.875</v>
      </c>
      <c r="CB296" s="208">
        <v>0</v>
      </c>
      <c r="CC296" s="208">
        <v>102.29166666666666</v>
      </c>
      <c r="CD296" s="208">
        <v>10127</v>
      </c>
      <c r="CE296" s="208">
        <v>0</v>
      </c>
      <c r="CF296" s="208">
        <v>102</v>
      </c>
      <c r="CG296" s="208">
        <v>0</v>
      </c>
      <c r="CH296" s="208">
        <v>0</v>
      </c>
      <c r="CI296" s="208">
        <v>0</v>
      </c>
      <c r="CJ296" s="208">
        <v>0</v>
      </c>
      <c r="CK296" s="208">
        <v>0</v>
      </c>
      <c r="CL296" s="208">
        <v>0</v>
      </c>
      <c r="CM296" s="208">
        <v>0</v>
      </c>
      <c r="CN296" s="208">
        <v>0</v>
      </c>
      <c r="CO296" s="208">
        <v>0</v>
      </c>
      <c r="CP296" s="208">
        <v>0</v>
      </c>
      <c r="CQ296" s="208">
        <v>0</v>
      </c>
      <c r="CR296" s="208">
        <v>0</v>
      </c>
      <c r="CS296" s="208">
        <v>0</v>
      </c>
      <c r="CT296" s="208">
        <v>0</v>
      </c>
      <c r="CU296" s="208">
        <v>0</v>
      </c>
      <c r="CV296" s="208">
        <v>0</v>
      </c>
      <c r="CW296" s="208">
        <v>0</v>
      </c>
      <c r="CX296" s="208">
        <v>0</v>
      </c>
      <c r="CY296" s="208">
        <v>0</v>
      </c>
      <c r="CZ296" s="208">
        <v>0</v>
      </c>
      <c r="DA296" s="208">
        <v>0</v>
      </c>
      <c r="DB296" s="208">
        <v>0</v>
      </c>
      <c r="DC296" s="208">
        <v>0</v>
      </c>
      <c r="DD296" s="208">
        <v>0</v>
      </c>
      <c r="DE296" s="208">
        <v>0</v>
      </c>
      <c r="DF296" s="208">
        <v>0</v>
      </c>
      <c r="DG296" s="208">
        <v>0</v>
      </c>
      <c r="DH296" s="208">
        <v>6619</v>
      </c>
      <c r="DI296" s="208">
        <v>0</v>
      </c>
      <c r="DJ296" s="208">
        <v>67</v>
      </c>
      <c r="DK296" s="208">
        <v>-6619</v>
      </c>
      <c r="DL296" s="208">
        <v>0</v>
      </c>
      <c r="DM296" s="208">
        <v>-67</v>
      </c>
      <c r="DN296" s="208">
        <v>561.02887499999997</v>
      </c>
      <c r="DO296" s="208">
        <v>0</v>
      </c>
      <c r="DP296" s="208">
        <v>5.6669583333333335</v>
      </c>
      <c r="DQ296" s="208">
        <v>0</v>
      </c>
      <c r="DR296" s="208">
        <v>0</v>
      </c>
      <c r="DS296" s="208">
        <v>0</v>
      </c>
      <c r="DT296" s="208">
        <v>561</v>
      </c>
      <c r="DU296" s="208">
        <v>0</v>
      </c>
      <c r="DV296" s="208">
        <v>6</v>
      </c>
      <c r="DW296" s="208">
        <v>67664.740687500002</v>
      </c>
      <c r="DX296" s="208">
        <v>0</v>
      </c>
      <c r="DY296" s="208">
        <v>683.48222916666668</v>
      </c>
      <c r="DZ296" s="208">
        <v>73926</v>
      </c>
      <c r="EA296" s="208">
        <v>0</v>
      </c>
      <c r="EB296" s="208">
        <v>747</v>
      </c>
      <c r="EC296" s="208">
        <v>-6261</v>
      </c>
      <c r="ED296" s="208">
        <v>0</v>
      </c>
      <c r="EE296" s="208">
        <v>-64</v>
      </c>
      <c r="EF296" s="208">
        <v>369597.5188125</v>
      </c>
      <c r="EG296" s="208">
        <v>0</v>
      </c>
      <c r="EH296" s="208">
        <v>3733.3082708333336</v>
      </c>
      <c r="EI296" s="208">
        <v>-13656.090937499999</v>
      </c>
      <c r="EJ296" s="208">
        <v>0</v>
      </c>
      <c r="EK296" s="208">
        <v>-137.9403125</v>
      </c>
      <c r="EL296" s="208">
        <v>410138</v>
      </c>
      <c r="EM296" s="208">
        <v>0</v>
      </c>
      <c r="EN296" s="208">
        <v>4143</v>
      </c>
      <c r="EO296" s="208">
        <v>-54197</v>
      </c>
      <c r="EP296" s="208">
        <v>0</v>
      </c>
      <c r="EQ296" s="208">
        <v>-548</v>
      </c>
      <c r="ER296" s="208">
        <v>107103.85537500001</v>
      </c>
      <c r="ES296" s="208">
        <v>0</v>
      </c>
      <c r="ET296" s="208">
        <v>1081.8571250000002</v>
      </c>
      <c r="EU296" s="208">
        <v>125574</v>
      </c>
      <c r="EV296" s="208">
        <v>0</v>
      </c>
      <c r="EW296" s="208">
        <v>1268</v>
      </c>
      <c r="EX296" s="208">
        <v>-18470</v>
      </c>
      <c r="EY296" s="208">
        <v>0</v>
      </c>
      <c r="EZ296" s="208">
        <v>-186</v>
      </c>
      <c r="FA296" s="208">
        <v>0</v>
      </c>
      <c r="FB296" s="208">
        <v>0</v>
      </c>
      <c r="FC296" s="208">
        <v>0</v>
      </c>
      <c r="FD296" s="208">
        <v>0</v>
      </c>
      <c r="FE296" s="208">
        <v>0</v>
      </c>
      <c r="FF296" s="208">
        <v>0</v>
      </c>
      <c r="FG296" s="208">
        <v>0</v>
      </c>
      <c r="FH296" s="208">
        <v>0</v>
      </c>
      <c r="FI296" s="208">
        <v>0</v>
      </c>
      <c r="FJ296" s="208">
        <v>2852157.1537708328</v>
      </c>
      <c r="FK296" s="208">
        <v>0</v>
      </c>
      <c r="FL296" s="208">
        <v>28684.775395833331</v>
      </c>
      <c r="FM296" s="208">
        <v>2754432</v>
      </c>
      <c r="FN296" s="208">
        <v>0</v>
      </c>
      <c r="FO296" s="208">
        <v>27706</v>
      </c>
      <c r="FP296" s="208">
        <v>97725</v>
      </c>
      <c r="FQ296" s="208">
        <v>0</v>
      </c>
      <c r="FR296" s="208">
        <v>979</v>
      </c>
      <c r="FS296" s="208">
        <v>72586.166666666672</v>
      </c>
      <c r="FT296" s="208">
        <v>0</v>
      </c>
      <c r="FU296" s="208">
        <v>0</v>
      </c>
      <c r="FV296" s="208">
        <v>0</v>
      </c>
      <c r="FW296" s="208">
        <v>0</v>
      </c>
      <c r="FX296" s="208">
        <v>0</v>
      </c>
      <c r="FY296" s="208">
        <v>72586</v>
      </c>
      <c r="FZ296" s="208">
        <v>0</v>
      </c>
      <c r="GA296" s="208">
        <v>0</v>
      </c>
      <c r="GB296" s="208">
        <v>12560767</v>
      </c>
      <c r="GC296" s="208">
        <v>0</v>
      </c>
      <c r="GD296" s="208">
        <v>126014</v>
      </c>
      <c r="GE296" s="664">
        <v>0</v>
      </c>
      <c r="GF296" s="664">
        <v>0.99</v>
      </c>
      <c r="GG296" s="664">
        <v>0</v>
      </c>
      <c r="GH296" s="664">
        <v>0.01</v>
      </c>
      <c r="GI296" s="187" t="s">
        <v>1056</v>
      </c>
    </row>
    <row r="297" spans="1:191" s="187" customFormat="1" x14ac:dyDescent="0.2">
      <c r="B297" s="429" t="s">
        <v>672</v>
      </c>
      <c r="C297" s="429" t="s">
        <v>671</v>
      </c>
      <c r="D297" s="208">
        <v>1448383</v>
      </c>
      <c r="E297" s="208">
        <v>2603</v>
      </c>
      <c r="F297" s="208">
        <v>1450986</v>
      </c>
      <c r="G297" s="208">
        <v>1509127</v>
      </c>
      <c r="H297" s="208">
        <v>1900</v>
      </c>
      <c r="I297" s="208">
        <v>1511027</v>
      </c>
      <c r="J297" s="208">
        <v>-60744</v>
      </c>
      <c r="K297" s="208">
        <v>703</v>
      </c>
      <c r="L297" s="208">
        <v>-60041</v>
      </c>
      <c r="M297" s="208">
        <v>338403</v>
      </c>
      <c r="N297" s="208">
        <v>338403</v>
      </c>
      <c r="O297" s="208">
        <v>0</v>
      </c>
      <c r="P297" s="208">
        <v>23921</v>
      </c>
      <c r="Q297" s="208">
        <v>2263</v>
      </c>
      <c r="R297" s="208">
        <v>21658</v>
      </c>
      <c r="S297" s="208">
        <v>0</v>
      </c>
      <c r="T297" s="208">
        <v>0</v>
      </c>
      <c r="U297" s="208">
        <v>0</v>
      </c>
      <c r="V297" s="208">
        <v>0</v>
      </c>
      <c r="W297" s="208">
        <v>0</v>
      </c>
      <c r="X297" s="208">
        <v>0</v>
      </c>
      <c r="Y297" s="208">
        <v>0</v>
      </c>
      <c r="Z297" s="208">
        <v>0</v>
      </c>
      <c r="AA297" s="208">
        <v>0</v>
      </c>
      <c r="AB297" s="208">
        <v>0</v>
      </c>
      <c r="AC297" s="208">
        <v>0</v>
      </c>
      <c r="AD297" s="208">
        <v>0</v>
      </c>
      <c r="AE297" s="208">
        <v>0</v>
      </c>
      <c r="AF297" s="208">
        <v>0</v>
      </c>
      <c r="AG297" s="208">
        <v>0</v>
      </c>
      <c r="AH297" s="208">
        <v>0</v>
      </c>
      <c r="AI297" s="208">
        <v>0</v>
      </c>
      <c r="AJ297" s="208">
        <v>0</v>
      </c>
      <c r="AK297" s="208">
        <v>0</v>
      </c>
      <c r="AL297" s="208">
        <v>0</v>
      </c>
      <c r="AM297" s="208">
        <v>0</v>
      </c>
      <c r="AN297" s="208">
        <v>0</v>
      </c>
      <c r="AO297" s="208">
        <v>0</v>
      </c>
      <c r="AP297" s="208">
        <v>0</v>
      </c>
      <c r="AQ297" s="208">
        <v>0</v>
      </c>
      <c r="AR297" s="208">
        <v>0</v>
      </c>
      <c r="AS297" s="208">
        <v>0</v>
      </c>
      <c r="AT297" s="208">
        <v>0</v>
      </c>
      <c r="AU297" s="208">
        <v>0</v>
      </c>
      <c r="AV297" s="208">
        <v>0</v>
      </c>
      <c r="AW297" s="208">
        <v>0</v>
      </c>
      <c r="AX297" s="208">
        <v>0</v>
      </c>
      <c r="AY297" s="208">
        <v>0</v>
      </c>
      <c r="AZ297" s="208">
        <v>0</v>
      </c>
      <c r="BA297" s="208">
        <v>0</v>
      </c>
      <c r="BB297" s="208">
        <v>0</v>
      </c>
      <c r="BC297" s="208">
        <v>0</v>
      </c>
      <c r="BD297" s="208">
        <v>0</v>
      </c>
      <c r="BE297" s="208">
        <v>0</v>
      </c>
      <c r="BF297" s="208">
        <v>0</v>
      </c>
      <c r="BG297" s="208">
        <v>0</v>
      </c>
      <c r="BH297" s="208">
        <v>0</v>
      </c>
      <c r="BI297" s="208">
        <v>0</v>
      </c>
      <c r="BJ297" s="208">
        <v>0</v>
      </c>
      <c r="BK297" s="208">
        <v>0</v>
      </c>
      <c r="BL297" s="208">
        <v>0</v>
      </c>
      <c r="BM297" s="208">
        <v>0</v>
      </c>
      <c r="BN297" s="208">
        <v>0</v>
      </c>
      <c r="BO297" s="208">
        <v>6368771.1459012507</v>
      </c>
      <c r="BP297" s="208">
        <v>0</v>
      </c>
      <c r="BQ297" s="208">
        <v>64323.550540416676</v>
      </c>
      <c r="BR297" s="208">
        <v>337974</v>
      </c>
      <c r="BS297" s="208">
        <v>0</v>
      </c>
      <c r="BT297" s="208">
        <v>3403</v>
      </c>
      <c r="BU297" s="208">
        <v>6381156</v>
      </c>
      <c r="BV297" s="208">
        <v>0</v>
      </c>
      <c r="BW297" s="208">
        <v>64449</v>
      </c>
      <c r="BX297" s="208">
        <v>325589</v>
      </c>
      <c r="BY297" s="208">
        <v>0</v>
      </c>
      <c r="BZ297" s="208">
        <v>3278</v>
      </c>
      <c r="CA297" s="208">
        <v>32730.06</v>
      </c>
      <c r="CB297" s="208">
        <v>0</v>
      </c>
      <c r="CC297" s="208">
        <v>330.60666666666668</v>
      </c>
      <c r="CD297" s="208">
        <v>26326</v>
      </c>
      <c r="CE297" s="208">
        <v>0</v>
      </c>
      <c r="CF297" s="208">
        <v>266</v>
      </c>
      <c r="CG297" s="208">
        <v>6404</v>
      </c>
      <c r="CH297" s="208">
        <v>0</v>
      </c>
      <c r="CI297" s="208">
        <v>65</v>
      </c>
      <c r="CJ297" s="208">
        <v>0</v>
      </c>
      <c r="CK297" s="208">
        <v>0</v>
      </c>
      <c r="CL297" s="208">
        <v>0</v>
      </c>
      <c r="CM297" s="208">
        <v>0</v>
      </c>
      <c r="CN297" s="208">
        <v>0</v>
      </c>
      <c r="CO297" s="208">
        <v>0</v>
      </c>
      <c r="CP297" s="208">
        <v>1613.2111874999998</v>
      </c>
      <c r="CQ297" s="208">
        <v>0</v>
      </c>
      <c r="CR297" s="208">
        <v>16.2950625</v>
      </c>
      <c r="CS297" s="208">
        <v>0</v>
      </c>
      <c r="CT297" s="208">
        <v>0</v>
      </c>
      <c r="CU297" s="208">
        <v>0</v>
      </c>
      <c r="CV297" s="208">
        <v>0</v>
      </c>
      <c r="CW297" s="208">
        <v>0</v>
      </c>
      <c r="CX297" s="208">
        <v>0</v>
      </c>
      <c r="CY297" s="208">
        <v>0</v>
      </c>
      <c r="CZ297" s="208">
        <v>0</v>
      </c>
      <c r="DA297" s="208">
        <v>0</v>
      </c>
      <c r="DB297" s="208">
        <v>0</v>
      </c>
      <c r="DC297" s="208">
        <v>0</v>
      </c>
      <c r="DD297" s="208">
        <v>0</v>
      </c>
      <c r="DE297" s="208">
        <v>0</v>
      </c>
      <c r="DF297" s="208">
        <v>0</v>
      </c>
      <c r="DG297" s="208">
        <v>0</v>
      </c>
      <c r="DH297" s="208">
        <v>0</v>
      </c>
      <c r="DI297" s="208">
        <v>0</v>
      </c>
      <c r="DJ297" s="208">
        <v>0</v>
      </c>
      <c r="DK297" s="208">
        <v>0</v>
      </c>
      <c r="DL297" s="208">
        <v>0</v>
      </c>
      <c r="DM297" s="208">
        <v>0</v>
      </c>
      <c r="DN297" s="208">
        <v>0</v>
      </c>
      <c r="DO297" s="208">
        <v>0</v>
      </c>
      <c r="DP297" s="208">
        <v>0</v>
      </c>
      <c r="DQ297" s="208">
        <v>0</v>
      </c>
      <c r="DR297" s="208">
        <v>0</v>
      </c>
      <c r="DS297" s="208">
        <v>0</v>
      </c>
      <c r="DT297" s="208">
        <v>0</v>
      </c>
      <c r="DU297" s="208">
        <v>0</v>
      </c>
      <c r="DV297" s="208">
        <v>0</v>
      </c>
      <c r="DW297" s="208">
        <v>18567.625312499997</v>
      </c>
      <c r="DX297" s="208">
        <v>0</v>
      </c>
      <c r="DY297" s="208">
        <v>187.55177083333334</v>
      </c>
      <c r="DZ297" s="208">
        <v>11544</v>
      </c>
      <c r="EA297" s="208">
        <v>0</v>
      </c>
      <c r="EB297" s="208">
        <v>117</v>
      </c>
      <c r="EC297" s="208">
        <v>7024</v>
      </c>
      <c r="ED297" s="208">
        <v>0</v>
      </c>
      <c r="EE297" s="208">
        <v>71</v>
      </c>
      <c r="EF297" s="208">
        <v>144713.04374999998</v>
      </c>
      <c r="EG297" s="208">
        <v>0</v>
      </c>
      <c r="EH297" s="208">
        <v>1461.7479166666667</v>
      </c>
      <c r="EI297" s="208">
        <v>-2923.6288125000001</v>
      </c>
      <c r="EJ297" s="208">
        <v>0</v>
      </c>
      <c r="EK297" s="208">
        <v>-29.531604166666668</v>
      </c>
      <c r="EL297" s="208">
        <v>151904</v>
      </c>
      <c r="EM297" s="208">
        <v>0</v>
      </c>
      <c r="EN297" s="208">
        <v>1534</v>
      </c>
      <c r="EO297" s="208">
        <v>-10115</v>
      </c>
      <c r="EP297" s="208">
        <v>0</v>
      </c>
      <c r="EQ297" s="208">
        <v>-102</v>
      </c>
      <c r="ER297" s="208">
        <v>44424.575249999994</v>
      </c>
      <c r="ES297" s="208">
        <v>0</v>
      </c>
      <c r="ET297" s="208">
        <v>448.7330833333333</v>
      </c>
      <c r="EU297" s="208">
        <v>38710</v>
      </c>
      <c r="EV297" s="208">
        <v>0</v>
      </c>
      <c r="EW297" s="208">
        <v>391</v>
      </c>
      <c r="EX297" s="208">
        <v>5715</v>
      </c>
      <c r="EY297" s="208">
        <v>0</v>
      </c>
      <c r="EZ297" s="208">
        <v>58</v>
      </c>
      <c r="FA297" s="208">
        <v>0</v>
      </c>
      <c r="FB297" s="208">
        <v>0</v>
      </c>
      <c r="FC297" s="208">
        <v>0</v>
      </c>
      <c r="FD297" s="208">
        <v>0</v>
      </c>
      <c r="FE297" s="208">
        <v>0</v>
      </c>
      <c r="FF297" s="208">
        <v>0</v>
      </c>
      <c r="FG297" s="208">
        <v>0</v>
      </c>
      <c r="FH297" s="208">
        <v>0</v>
      </c>
      <c r="FI297" s="208">
        <v>0</v>
      </c>
      <c r="FJ297" s="208">
        <v>1644130.1742708334</v>
      </c>
      <c r="FK297" s="208">
        <v>0</v>
      </c>
      <c r="FL297" s="208">
        <v>16601.838229166664</v>
      </c>
      <c r="FM297" s="208">
        <v>1658517</v>
      </c>
      <c r="FN297" s="208">
        <v>0</v>
      </c>
      <c r="FO297" s="208">
        <v>16752</v>
      </c>
      <c r="FP297" s="208">
        <v>-14387</v>
      </c>
      <c r="FQ297" s="208">
        <v>0</v>
      </c>
      <c r="FR297" s="208">
        <v>-150</v>
      </c>
      <c r="FS297" s="208">
        <v>18044.25</v>
      </c>
      <c r="FT297" s="208">
        <v>0</v>
      </c>
      <c r="FU297" s="208">
        <v>0</v>
      </c>
      <c r="FV297" s="208">
        <v>17640</v>
      </c>
      <c r="FW297" s="208">
        <v>0</v>
      </c>
      <c r="FX297" s="208">
        <v>0</v>
      </c>
      <c r="FY297" s="208">
        <v>404</v>
      </c>
      <c r="FZ297" s="208">
        <v>0</v>
      </c>
      <c r="GA297" s="208">
        <v>0</v>
      </c>
      <c r="GB297" s="208">
        <v>8608044</v>
      </c>
      <c r="GC297" s="208">
        <v>0</v>
      </c>
      <c r="GD297" s="208">
        <v>86745</v>
      </c>
      <c r="GE297" s="664">
        <v>0</v>
      </c>
      <c r="GF297" s="664">
        <v>0.99</v>
      </c>
      <c r="GG297" s="664">
        <v>0</v>
      </c>
      <c r="GH297" s="664">
        <v>0.01</v>
      </c>
      <c r="GI297" s="187" t="s">
        <v>1056</v>
      </c>
    </row>
    <row r="298" spans="1:191" s="187" customFormat="1" x14ac:dyDescent="0.2">
      <c r="B298" s="429" t="s">
        <v>674</v>
      </c>
      <c r="C298" s="429" t="s">
        <v>673</v>
      </c>
      <c r="D298" s="208">
        <v>3875664</v>
      </c>
      <c r="E298" s="208">
        <v>0</v>
      </c>
      <c r="F298" s="208">
        <v>3875664</v>
      </c>
      <c r="G298" s="208">
        <v>5905458</v>
      </c>
      <c r="H298" s="208">
        <v>0</v>
      </c>
      <c r="I298" s="208">
        <v>5905458</v>
      </c>
      <c r="J298" s="208">
        <v>-2029794</v>
      </c>
      <c r="K298" s="208">
        <v>0</v>
      </c>
      <c r="L298" s="208">
        <v>-2029794</v>
      </c>
      <c r="M298" s="208">
        <v>292555</v>
      </c>
      <c r="N298" s="208">
        <v>292555</v>
      </c>
      <c r="O298" s="208">
        <v>0</v>
      </c>
      <c r="P298" s="208">
        <v>0</v>
      </c>
      <c r="Q298" s="208">
        <v>0</v>
      </c>
      <c r="R298" s="208">
        <v>0</v>
      </c>
      <c r="S298" s="208">
        <v>0</v>
      </c>
      <c r="T298" s="208">
        <v>0</v>
      </c>
      <c r="U298" s="208">
        <v>0</v>
      </c>
      <c r="V298" s="208">
        <v>0</v>
      </c>
      <c r="W298" s="208">
        <v>0</v>
      </c>
      <c r="X298" s="208">
        <v>0</v>
      </c>
      <c r="Y298" s="208">
        <v>0</v>
      </c>
      <c r="Z298" s="208">
        <v>0</v>
      </c>
      <c r="AA298" s="208">
        <v>0</v>
      </c>
      <c r="AB298" s="208">
        <v>0</v>
      </c>
      <c r="AC298" s="208">
        <v>0</v>
      </c>
      <c r="AD298" s="208">
        <v>0</v>
      </c>
      <c r="AE298" s="208">
        <v>0</v>
      </c>
      <c r="AF298" s="208">
        <v>0</v>
      </c>
      <c r="AG298" s="208">
        <v>0</v>
      </c>
      <c r="AH298" s="208">
        <v>0</v>
      </c>
      <c r="AI298" s="208">
        <v>0</v>
      </c>
      <c r="AJ298" s="208">
        <v>0</v>
      </c>
      <c r="AK298" s="208">
        <v>0</v>
      </c>
      <c r="AL298" s="208">
        <v>0</v>
      </c>
      <c r="AM298" s="208">
        <v>0</v>
      </c>
      <c r="AN298" s="208">
        <v>0</v>
      </c>
      <c r="AO298" s="208">
        <v>0</v>
      </c>
      <c r="AP298" s="208">
        <v>0</v>
      </c>
      <c r="AQ298" s="208">
        <v>0</v>
      </c>
      <c r="AR298" s="208">
        <v>0</v>
      </c>
      <c r="AS298" s="208">
        <v>0</v>
      </c>
      <c r="AT298" s="208">
        <v>0</v>
      </c>
      <c r="AU298" s="208">
        <v>0</v>
      </c>
      <c r="AV298" s="208">
        <v>0</v>
      </c>
      <c r="AW298" s="208">
        <v>0</v>
      </c>
      <c r="AX298" s="208">
        <v>0</v>
      </c>
      <c r="AY298" s="208">
        <v>0</v>
      </c>
      <c r="AZ298" s="208">
        <v>0</v>
      </c>
      <c r="BA298" s="208">
        <v>0</v>
      </c>
      <c r="BB298" s="208">
        <v>0</v>
      </c>
      <c r="BC298" s="208">
        <v>0</v>
      </c>
      <c r="BD298" s="208">
        <v>0</v>
      </c>
      <c r="BE298" s="208">
        <v>0</v>
      </c>
      <c r="BF298" s="208">
        <v>0</v>
      </c>
      <c r="BG298" s="208">
        <v>0</v>
      </c>
      <c r="BH298" s="208">
        <v>0</v>
      </c>
      <c r="BI298" s="208">
        <v>0</v>
      </c>
      <c r="BJ298" s="208">
        <v>0</v>
      </c>
      <c r="BK298" s="208">
        <v>0</v>
      </c>
      <c r="BL298" s="208">
        <v>0</v>
      </c>
      <c r="BM298" s="208">
        <v>0</v>
      </c>
      <c r="BN298" s="208">
        <v>0</v>
      </c>
      <c r="BO298" s="208">
        <v>4065525.2138986667</v>
      </c>
      <c r="BP298" s="208">
        <v>2286857.9328179997</v>
      </c>
      <c r="BQ298" s="208">
        <v>0</v>
      </c>
      <c r="BR298" s="208">
        <v>165190</v>
      </c>
      <c r="BS298" s="208">
        <v>92919</v>
      </c>
      <c r="BT298" s="208">
        <v>0</v>
      </c>
      <c r="BU298" s="208">
        <v>4035788</v>
      </c>
      <c r="BV298" s="208">
        <v>2270131</v>
      </c>
      <c r="BW298" s="208">
        <v>0</v>
      </c>
      <c r="BX298" s="208">
        <v>194927</v>
      </c>
      <c r="BY298" s="208">
        <v>109646</v>
      </c>
      <c r="BZ298" s="208">
        <v>0</v>
      </c>
      <c r="CA298" s="208">
        <v>0</v>
      </c>
      <c r="CB298" s="208">
        <v>0</v>
      </c>
      <c r="CC298" s="208">
        <v>0</v>
      </c>
      <c r="CD298" s="208">
        <v>0</v>
      </c>
      <c r="CE298" s="208">
        <v>0</v>
      </c>
      <c r="CF298" s="208">
        <v>0</v>
      </c>
      <c r="CG298" s="208">
        <v>0</v>
      </c>
      <c r="CH298" s="208">
        <v>0</v>
      </c>
      <c r="CI298" s="208">
        <v>0</v>
      </c>
      <c r="CJ298" s="208">
        <v>-1556.7973333333334</v>
      </c>
      <c r="CK298" s="208">
        <v>-875.69849999999997</v>
      </c>
      <c r="CL298" s="208">
        <v>0</v>
      </c>
      <c r="CM298" s="208">
        <v>0</v>
      </c>
      <c r="CN298" s="208">
        <v>0</v>
      </c>
      <c r="CO298" s="208">
        <v>0</v>
      </c>
      <c r="CP298" s="208">
        <v>-3467.1146666666668</v>
      </c>
      <c r="CQ298" s="208">
        <v>-1950.252</v>
      </c>
      <c r="CR298" s="208">
        <v>0</v>
      </c>
      <c r="CS298" s="208">
        <v>0</v>
      </c>
      <c r="CT298" s="208">
        <v>0</v>
      </c>
      <c r="CU298" s="208">
        <v>0</v>
      </c>
      <c r="CV298" s="208">
        <v>0</v>
      </c>
      <c r="CW298" s="208">
        <v>0</v>
      </c>
      <c r="CX298" s="208">
        <v>0</v>
      </c>
      <c r="CY298" s="208">
        <v>0</v>
      </c>
      <c r="CZ298" s="208">
        <v>0</v>
      </c>
      <c r="DA298" s="208">
        <v>0</v>
      </c>
      <c r="DB298" s="208">
        <v>0</v>
      </c>
      <c r="DC298" s="208">
        <v>0</v>
      </c>
      <c r="DD298" s="208">
        <v>0</v>
      </c>
      <c r="DE298" s="208">
        <v>0</v>
      </c>
      <c r="DF298" s="208">
        <v>0</v>
      </c>
      <c r="DG298" s="208">
        <v>0</v>
      </c>
      <c r="DH298" s="208">
        <v>0</v>
      </c>
      <c r="DI298" s="208">
        <v>0</v>
      </c>
      <c r="DJ298" s="208">
        <v>0</v>
      </c>
      <c r="DK298" s="208">
        <v>0</v>
      </c>
      <c r="DL298" s="208">
        <v>0</v>
      </c>
      <c r="DM298" s="208">
        <v>0</v>
      </c>
      <c r="DN298" s="208">
        <v>0</v>
      </c>
      <c r="DO298" s="208">
        <v>0</v>
      </c>
      <c r="DP298" s="208">
        <v>0</v>
      </c>
      <c r="DQ298" s="208">
        <v>0</v>
      </c>
      <c r="DR298" s="208">
        <v>0</v>
      </c>
      <c r="DS298" s="208">
        <v>0</v>
      </c>
      <c r="DT298" s="208">
        <v>0</v>
      </c>
      <c r="DU298" s="208">
        <v>0</v>
      </c>
      <c r="DV298" s="208">
        <v>0</v>
      </c>
      <c r="DW298" s="208">
        <v>151269.24400000001</v>
      </c>
      <c r="DX298" s="208">
        <v>85088.94975</v>
      </c>
      <c r="DY298" s="208">
        <v>0</v>
      </c>
      <c r="DZ298" s="208">
        <v>149779</v>
      </c>
      <c r="EA298" s="208">
        <v>84250</v>
      </c>
      <c r="EB298" s="208">
        <v>0</v>
      </c>
      <c r="EC298" s="208">
        <v>1490</v>
      </c>
      <c r="ED298" s="208">
        <v>839</v>
      </c>
      <c r="EE298" s="208">
        <v>0</v>
      </c>
      <c r="EF298" s="208">
        <v>318300.89733333333</v>
      </c>
      <c r="EG298" s="208">
        <v>179044.25474999999</v>
      </c>
      <c r="EH298" s="208">
        <v>0</v>
      </c>
      <c r="EI298" s="208">
        <v>227156.89466666666</v>
      </c>
      <c r="EJ298" s="208">
        <v>127775.75324999998</v>
      </c>
      <c r="EK298" s="208">
        <v>0</v>
      </c>
      <c r="EL298" s="208">
        <v>327333</v>
      </c>
      <c r="EM298" s="208">
        <v>184125</v>
      </c>
      <c r="EN298" s="208">
        <v>0</v>
      </c>
      <c r="EO298" s="208">
        <v>218125</v>
      </c>
      <c r="EP298" s="208">
        <v>122695</v>
      </c>
      <c r="EQ298" s="208">
        <v>0</v>
      </c>
      <c r="ER298" s="208">
        <v>18356.853333333333</v>
      </c>
      <c r="ES298" s="208">
        <v>10325.729999999998</v>
      </c>
      <c r="ET298" s="208">
        <v>0</v>
      </c>
      <c r="EU298" s="208">
        <v>24101</v>
      </c>
      <c r="EV298" s="208">
        <v>13556</v>
      </c>
      <c r="EW298" s="208">
        <v>0</v>
      </c>
      <c r="EX298" s="208">
        <v>-5744</v>
      </c>
      <c r="EY298" s="208">
        <v>-3230</v>
      </c>
      <c r="EZ298" s="208">
        <v>0</v>
      </c>
      <c r="FA298" s="208">
        <v>0</v>
      </c>
      <c r="FB298" s="208">
        <v>0</v>
      </c>
      <c r="FC298" s="208">
        <v>0</v>
      </c>
      <c r="FD298" s="208">
        <v>0</v>
      </c>
      <c r="FE298" s="208">
        <v>0</v>
      </c>
      <c r="FF298" s="208">
        <v>0</v>
      </c>
      <c r="FG298" s="208">
        <v>0</v>
      </c>
      <c r="FH298" s="208">
        <v>0</v>
      </c>
      <c r="FI298" s="208">
        <v>0</v>
      </c>
      <c r="FJ298" s="208">
        <v>980367.52</v>
      </c>
      <c r="FK298" s="208">
        <v>551456.73</v>
      </c>
      <c r="FL298" s="208">
        <v>0</v>
      </c>
      <c r="FM298" s="208">
        <v>978617</v>
      </c>
      <c r="FN298" s="208">
        <v>550472</v>
      </c>
      <c r="FO298" s="208">
        <v>0</v>
      </c>
      <c r="FP298" s="208">
        <v>1751</v>
      </c>
      <c r="FQ298" s="208">
        <v>985</v>
      </c>
      <c r="FR298" s="208">
        <v>0</v>
      </c>
      <c r="FS298" s="208">
        <v>0</v>
      </c>
      <c r="FT298" s="208">
        <v>0</v>
      </c>
      <c r="FU298" s="208">
        <v>0</v>
      </c>
      <c r="FV298" s="208">
        <v>0</v>
      </c>
      <c r="FW298" s="208">
        <v>0</v>
      </c>
      <c r="FX298" s="208">
        <v>0</v>
      </c>
      <c r="FY298" s="208">
        <v>0</v>
      </c>
      <c r="FZ298" s="208">
        <v>0</v>
      </c>
      <c r="GA298" s="208">
        <v>0</v>
      </c>
      <c r="GB298" s="208">
        <v>5921143</v>
      </c>
      <c r="GC298" s="208">
        <v>3330643</v>
      </c>
      <c r="GD298" s="208">
        <v>0</v>
      </c>
      <c r="GE298" s="664">
        <v>0</v>
      </c>
      <c r="GF298" s="664">
        <v>0.64</v>
      </c>
      <c r="GG298" s="664">
        <v>0.36</v>
      </c>
      <c r="GH298" s="664">
        <v>0</v>
      </c>
      <c r="GI298" s="187" t="s">
        <v>1055</v>
      </c>
    </row>
    <row r="299" spans="1:191" s="187" customFormat="1" x14ac:dyDescent="0.2">
      <c r="B299" s="429" t="s">
        <v>676</v>
      </c>
      <c r="C299" s="429" t="s">
        <v>675</v>
      </c>
      <c r="D299" s="208">
        <v>3244902</v>
      </c>
      <c r="E299" s="208">
        <v>301798</v>
      </c>
      <c r="F299" s="208">
        <v>3546700</v>
      </c>
      <c r="G299" s="208">
        <v>3588887</v>
      </c>
      <c r="H299" s="208">
        <v>287235</v>
      </c>
      <c r="I299" s="208">
        <v>3876122</v>
      </c>
      <c r="J299" s="208">
        <v>-343985</v>
      </c>
      <c r="K299" s="208">
        <v>14563</v>
      </c>
      <c r="L299" s="208">
        <v>-329422</v>
      </c>
      <c r="M299" s="208">
        <v>457455</v>
      </c>
      <c r="N299" s="208">
        <v>457455</v>
      </c>
      <c r="O299" s="208">
        <v>0</v>
      </c>
      <c r="P299" s="208">
        <v>586207</v>
      </c>
      <c r="Q299" s="208">
        <v>0</v>
      </c>
      <c r="R299" s="208">
        <v>586207</v>
      </c>
      <c r="S299" s="208">
        <v>0</v>
      </c>
      <c r="T299" s="208">
        <v>0</v>
      </c>
      <c r="U299" s="208">
        <v>0</v>
      </c>
      <c r="V299" s="208">
        <v>0</v>
      </c>
      <c r="W299" s="208">
        <v>0</v>
      </c>
      <c r="X299" s="208">
        <v>0</v>
      </c>
      <c r="Y299" s="208">
        <v>0</v>
      </c>
      <c r="Z299" s="208">
        <v>0</v>
      </c>
      <c r="AA299" s="208">
        <v>0</v>
      </c>
      <c r="AB299" s="208">
        <v>0</v>
      </c>
      <c r="AC299" s="208">
        <v>0</v>
      </c>
      <c r="AD299" s="208">
        <v>0</v>
      </c>
      <c r="AE299" s="208">
        <v>0</v>
      </c>
      <c r="AF299" s="208">
        <v>0</v>
      </c>
      <c r="AG299" s="208">
        <v>0</v>
      </c>
      <c r="AH299" s="208">
        <v>0</v>
      </c>
      <c r="AI299" s="208">
        <v>0</v>
      </c>
      <c r="AJ299" s="208">
        <v>0</v>
      </c>
      <c r="AK299" s="208">
        <v>0</v>
      </c>
      <c r="AL299" s="208">
        <v>0</v>
      </c>
      <c r="AM299" s="208">
        <v>0</v>
      </c>
      <c r="AN299" s="208">
        <v>0</v>
      </c>
      <c r="AO299" s="208">
        <v>0</v>
      </c>
      <c r="AP299" s="208">
        <v>0</v>
      </c>
      <c r="AQ299" s="208">
        <v>0</v>
      </c>
      <c r="AR299" s="208">
        <v>0</v>
      </c>
      <c r="AS299" s="208">
        <v>0</v>
      </c>
      <c r="AT299" s="208">
        <v>0</v>
      </c>
      <c r="AU299" s="208">
        <v>0</v>
      </c>
      <c r="AV299" s="208">
        <v>0</v>
      </c>
      <c r="AW299" s="208">
        <v>0</v>
      </c>
      <c r="AX299" s="208">
        <v>0</v>
      </c>
      <c r="AY299" s="208">
        <v>0</v>
      </c>
      <c r="AZ299" s="208">
        <v>0</v>
      </c>
      <c r="BA299" s="208">
        <v>0</v>
      </c>
      <c r="BB299" s="208">
        <v>0</v>
      </c>
      <c r="BC299" s="208">
        <v>0</v>
      </c>
      <c r="BD299" s="208">
        <v>0</v>
      </c>
      <c r="BE299" s="208">
        <v>0</v>
      </c>
      <c r="BF299" s="208">
        <v>0</v>
      </c>
      <c r="BG299" s="208">
        <v>0</v>
      </c>
      <c r="BH299" s="208">
        <v>0</v>
      </c>
      <c r="BI299" s="208">
        <v>0</v>
      </c>
      <c r="BJ299" s="208">
        <v>0</v>
      </c>
      <c r="BK299" s="208">
        <v>0</v>
      </c>
      <c r="BL299" s="208">
        <v>0</v>
      </c>
      <c r="BM299" s="208">
        <v>0</v>
      </c>
      <c r="BN299" s="208">
        <v>0</v>
      </c>
      <c r="BO299" s="208">
        <v>3700037.176092084</v>
      </c>
      <c r="BP299" s="208">
        <v>1991273.1921787502</v>
      </c>
      <c r="BQ299" s="208">
        <v>0</v>
      </c>
      <c r="BR299" s="208">
        <v>322673</v>
      </c>
      <c r="BS299" s="208">
        <v>171545</v>
      </c>
      <c r="BT299" s="208">
        <v>0</v>
      </c>
      <c r="BU299" s="208">
        <v>3552395</v>
      </c>
      <c r="BV299" s="208">
        <v>1907218</v>
      </c>
      <c r="BW299" s="208">
        <v>0</v>
      </c>
      <c r="BX299" s="208">
        <v>470315</v>
      </c>
      <c r="BY299" s="208">
        <v>255600</v>
      </c>
      <c r="BZ299" s="208">
        <v>0</v>
      </c>
      <c r="CA299" s="208">
        <v>18057.220583333332</v>
      </c>
      <c r="CB299" s="208">
        <v>8023.0627500000001</v>
      </c>
      <c r="CC299" s="208">
        <v>0</v>
      </c>
      <c r="CD299" s="208">
        <v>12824</v>
      </c>
      <c r="CE299" s="208">
        <v>7214</v>
      </c>
      <c r="CF299" s="208">
        <v>0</v>
      </c>
      <c r="CG299" s="208">
        <v>5233</v>
      </c>
      <c r="CH299" s="208">
        <v>809</v>
      </c>
      <c r="CI299" s="208">
        <v>0</v>
      </c>
      <c r="CJ299" s="208">
        <v>0</v>
      </c>
      <c r="CK299" s="208">
        <v>0</v>
      </c>
      <c r="CL299" s="208">
        <v>0</v>
      </c>
      <c r="CM299" s="208">
        <v>0</v>
      </c>
      <c r="CN299" s="208">
        <v>0</v>
      </c>
      <c r="CO299" s="208">
        <v>0</v>
      </c>
      <c r="CP299" s="208">
        <v>0</v>
      </c>
      <c r="CQ299" s="208">
        <v>0</v>
      </c>
      <c r="CR299" s="208">
        <v>0</v>
      </c>
      <c r="CS299" s="208">
        <v>0</v>
      </c>
      <c r="CT299" s="208">
        <v>0</v>
      </c>
      <c r="CU299" s="208">
        <v>0</v>
      </c>
      <c r="CV299" s="208">
        <v>0</v>
      </c>
      <c r="CW299" s="208">
        <v>0</v>
      </c>
      <c r="CX299" s="208">
        <v>0</v>
      </c>
      <c r="CY299" s="208">
        <v>0</v>
      </c>
      <c r="CZ299" s="208">
        <v>0</v>
      </c>
      <c r="DA299" s="208">
        <v>0</v>
      </c>
      <c r="DB299" s="208">
        <v>0</v>
      </c>
      <c r="DC299" s="208">
        <v>0</v>
      </c>
      <c r="DD299" s="208">
        <v>0</v>
      </c>
      <c r="DE299" s="208">
        <v>0</v>
      </c>
      <c r="DF299" s="208">
        <v>0</v>
      </c>
      <c r="DG299" s="208">
        <v>0</v>
      </c>
      <c r="DH299" s="208">
        <v>0</v>
      </c>
      <c r="DI299" s="208">
        <v>0</v>
      </c>
      <c r="DJ299" s="208">
        <v>0</v>
      </c>
      <c r="DK299" s="208">
        <v>0</v>
      </c>
      <c r="DL299" s="208">
        <v>0</v>
      </c>
      <c r="DM299" s="208">
        <v>0</v>
      </c>
      <c r="DN299" s="208">
        <v>0</v>
      </c>
      <c r="DO299" s="208">
        <v>0</v>
      </c>
      <c r="DP299" s="208">
        <v>0</v>
      </c>
      <c r="DQ299" s="208">
        <v>0</v>
      </c>
      <c r="DR299" s="208">
        <v>0</v>
      </c>
      <c r="DS299" s="208">
        <v>0</v>
      </c>
      <c r="DT299" s="208">
        <v>0</v>
      </c>
      <c r="DU299" s="208">
        <v>0</v>
      </c>
      <c r="DV299" s="208">
        <v>0</v>
      </c>
      <c r="DW299" s="208">
        <v>56473.510666666669</v>
      </c>
      <c r="DX299" s="208">
        <v>30394.6185</v>
      </c>
      <c r="DY299" s="208">
        <v>0</v>
      </c>
      <c r="DZ299" s="208">
        <v>55928</v>
      </c>
      <c r="EA299" s="208">
        <v>30088</v>
      </c>
      <c r="EB299" s="208">
        <v>0</v>
      </c>
      <c r="EC299" s="208">
        <v>546</v>
      </c>
      <c r="ED299" s="208">
        <v>307</v>
      </c>
      <c r="EE299" s="208">
        <v>0</v>
      </c>
      <c r="EF299" s="208">
        <v>442105.76991666673</v>
      </c>
      <c r="EG299" s="208">
        <v>242490.4155</v>
      </c>
      <c r="EH299" s="208">
        <v>0</v>
      </c>
      <c r="EI299" s="208">
        <v>-4622.5195000000003</v>
      </c>
      <c r="EJ299" s="208">
        <v>-2242.2742499999999</v>
      </c>
      <c r="EK299" s="208">
        <v>0</v>
      </c>
      <c r="EL299" s="208">
        <v>484927</v>
      </c>
      <c r="EM299" s="208">
        <v>272772</v>
      </c>
      <c r="EN299" s="208">
        <v>0</v>
      </c>
      <c r="EO299" s="208">
        <v>-47444</v>
      </c>
      <c r="EP299" s="208">
        <v>-32524</v>
      </c>
      <c r="EQ299" s="208">
        <v>0</v>
      </c>
      <c r="ER299" s="208">
        <v>30114.666666666668</v>
      </c>
      <c r="ES299" s="208">
        <v>16939.5</v>
      </c>
      <c r="ET299" s="208">
        <v>0</v>
      </c>
      <c r="EU299" s="208">
        <v>20923</v>
      </c>
      <c r="EV299" s="208">
        <v>11770</v>
      </c>
      <c r="EW299" s="208">
        <v>0</v>
      </c>
      <c r="EX299" s="208">
        <v>9192</v>
      </c>
      <c r="EY299" s="208">
        <v>5170</v>
      </c>
      <c r="EZ299" s="208">
        <v>0</v>
      </c>
      <c r="FA299" s="208">
        <v>0</v>
      </c>
      <c r="FB299" s="208">
        <v>0</v>
      </c>
      <c r="FC299" s="208">
        <v>0</v>
      </c>
      <c r="FD299" s="208">
        <v>0</v>
      </c>
      <c r="FE299" s="208">
        <v>0</v>
      </c>
      <c r="FF299" s="208">
        <v>0</v>
      </c>
      <c r="FG299" s="208">
        <v>0</v>
      </c>
      <c r="FH299" s="208">
        <v>0</v>
      </c>
      <c r="FI299" s="208">
        <v>0</v>
      </c>
      <c r="FJ299" s="208">
        <v>1772672.56375</v>
      </c>
      <c r="FK299" s="208">
        <v>989571.74249999993</v>
      </c>
      <c r="FL299" s="208">
        <v>0</v>
      </c>
      <c r="FM299" s="208">
        <v>1737251</v>
      </c>
      <c r="FN299" s="208">
        <v>977204</v>
      </c>
      <c r="FO299" s="208">
        <v>0</v>
      </c>
      <c r="FP299" s="208">
        <v>35422</v>
      </c>
      <c r="FQ299" s="208">
        <v>12368</v>
      </c>
      <c r="FR299" s="208">
        <v>0</v>
      </c>
      <c r="FS299" s="208">
        <v>0</v>
      </c>
      <c r="FT299" s="208">
        <v>0</v>
      </c>
      <c r="FU299" s="208">
        <v>0</v>
      </c>
      <c r="FV299" s="208">
        <v>0</v>
      </c>
      <c r="FW299" s="208">
        <v>0</v>
      </c>
      <c r="FX299" s="208">
        <v>0</v>
      </c>
      <c r="FY299" s="208">
        <v>0</v>
      </c>
      <c r="FZ299" s="208">
        <v>0</v>
      </c>
      <c r="GA299" s="208">
        <v>0</v>
      </c>
      <c r="GB299" s="208">
        <v>6337512</v>
      </c>
      <c r="GC299" s="208">
        <v>3447996</v>
      </c>
      <c r="GD299" s="208">
        <v>0</v>
      </c>
      <c r="GE299" s="664">
        <v>0</v>
      </c>
      <c r="GF299" s="664">
        <v>0.64</v>
      </c>
      <c r="GG299" s="664">
        <v>0.36</v>
      </c>
      <c r="GH299" s="664">
        <v>0</v>
      </c>
      <c r="GI299" s="187" t="s">
        <v>1057</v>
      </c>
    </row>
    <row r="300" spans="1:191" s="187" customFormat="1" x14ac:dyDescent="0.2">
      <c r="B300" s="429" t="s">
        <v>678</v>
      </c>
      <c r="C300" s="429" t="s">
        <v>677</v>
      </c>
      <c r="D300" s="208">
        <v>-6312401</v>
      </c>
      <c r="E300" s="208">
        <v>-14418</v>
      </c>
      <c r="F300" s="208">
        <v>-6326819</v>
      </c>
      <c r="G300" s="208">
        <v>-6149018</v>
      </c>
      <c r="H300" s="208">
        <v>-115971</v>
      </c>
      <c r="I300" s="208">
        <v>-6264989</v>
      </c>
      <c r="J300" s="208">
        <v>-163383</v>
      </c>
      <c r="K300" s="208">
        <v>101553</v>
      </c>
      <c r="L300" s="208">
        <v>-61830</v>
      </c>
      <c r="M300" s="208">
        <v>295535</v>
      </c>
      <c r="N300" s="208">
        <v>295535</v>
      </c>
      <c r="O300" s="208">
        <v>0</v>
      </c>
      <c r="P300" s="208">
        <v>0</v>
      </c>
      <c r="Q300" s="208">
        <v>0</v>
      </c>
      <c r="R300" s="208">
        <v>0</v>
      </c>
      <c r="S300" s="208">
        <v>0</v>
      </c>
      <c r="T300" s="208">
        <v>0</v>
      </c>
      <c r="U300" s="208">
        <v>0</v>
      </c>
      <c r="V300" s="208">
        <v>0</v>
      </c>
      <c r="W300" s="208">
        <v>0</v>
      </c>
      <c r="X300" s="208">
        <v>0</v>
      </c>
      <c r="Y300" s="208">
        <v>0</v>
      </c>
      <c r="Z300" s="208">
        <v>0</v>
      </c>
      <c r="AA300" s="208">
        <v>0</v>
      </c>
      <c r="AB300" s="208">
        <v>0</v>
      </c>
      <c r="AC300" s="208">
        <v>0</v>
      </c>
      <c r="AD300" s="208">
        <v>0</v>
      </c>
      <c r="AE300" s="208">
        <v>0</v>
      </c>
      <c r="AF300" s="208">
        <v>0</v>
      </c>
      <c r="AG300" s="208">
        <v>0</v>
      </c>
      <c r="AH300" s="208">
        <v>256607</v>
      </c>
      <c r="AI300" s="208">
        <v>256606.82916666666</v>
      </c>
      <c r="AJ300" s="208">
        <v>0</v>
      </c>
      <c r="AK300" s="208">
        <v>0</v>
      </c>
      <c r="AL300" s="208">
        <v>145003</v>
      </c>
      <c r="AM300" s="208">
        <v>145003</v>
      </c>
      <c r="AN300" s="208">
        <v>0</v>
      </c>
      <c r="AO300" s="208">
        <v>0</v>
      </c>
      <c r="AP300" s="208">
        <v>111604</v>
      </c>
      <c r="AQ300" s="208">
        <v>111604</v>
      </c>
      <c r="AR300" s="208">
        <v>0</v>
      </c>
      <c r="AS300" s="208">
        <v>0</v>
      </c>
      <c r="AT300" s="208">
        <v>0</v>
      </c>
      <c r="AU300" s="208">
        <v>0</v>
      </c>
      <c r="AV300" s="208">
        <v>0</v>
      </c>
      <c r="AW300" s="208">
        <v>0</v>
      </c>
      <c r="AX300" s="208">
        <v>0</v>
      </c>
      <c r="AY300" s="208">
        <v>0</v>
      </c>
      <c r="AZ300" s="208">
        <v>0</v>
      </c>
      <c r="BA300" s="208">
        <v>0</v>
      </c>
      <c r="BB300" s="208">
        <v>0</v>
      </c>
      <c r="BC300" s="208">
        <v>0</v>
      </c>
      <c r="BD300" s="208">
        <v>0</v>
      </c>
      <c r="BE300" s="208">
        <v>0</v>
      </c>
      <c r="BF300" s="208">
        <v>0</v>
      </c>
      <c r="BG300" s="208">
        <v>0</v>
      </c>
      <c r="BH300" s="208">
        <v>0</v>
      </c>
      <c r="BI300" s="208">
        <v>0</v>
      </c>
      <c r="BJ300" s="208">
        <v>0</v>
      </c>
      <c r="BK300" s="208">
        <v>0</v>
      </c>
      <c r="BL300" s="208">
        <v>0</v>
      </c>
      <c r="BM300" s="208">
        <v>0</v>
      </c>
      <c r="BN300" s="208">
        <v>0</v>
      </c>
      <c r="BO300" s="208">
        <v>2181109.1799653121</v>
      </c>
      <c r="BP300" s="208">
        <v>0</v>
      </c>
      <c r="BQ300" s="208">
        <v>44379.490862812498</v>
      </c>
      <c r="BR300" s="208">
        <v>203822</v>
      </c>
      <c r="BS300" s="208">
        <v>0</v>
      </c>
      <c r="BT300" s="208">
        <v>4085</v>
      </c>
      <c r="BU300" s="208">
        <v>1888432</v>
      </c>
      <c r="BV300" s="208">
        <v>0</v>
      </c>
      <c r="BW300" s="208">
        <v>38453</v>
      </c>
      <c r="BX300" s="208">
        <v>496499</v>
      </c>
      <c r="BY300" s="208">
        <v>0</v>
      </c>
      <c r="BZ300" s="208">
        <v>10011</v>
      </c>
      <c r="CA300" s="208">
        <v>0</v>
      </c>
      <c r="CB300" s="208">
        <v>0</v>
      </c>
      <c r="CC300" s="208">
        <v>0</v>
      </c>
      <c r="CD300" s="208">
        <v>0</v>
      </c>
      <c r="CE300" s="208">
        <v>0</v>
      </c>
      <c r="CF300" s="208">
        <v>0</v>
      </c>
      <c r="CG300" s="208">
        <v>0</v>
      </c>
      <c r="CH300" s="208">
        <v>0</v>
      </c>
      <c r="CI300" s="208">
        <v>0</v>
      </c>
      <c r="CJ300" s="208">
        <v>-453.61239583333332</v>
      </c>
      <c r="CK300" s="208">
        <v>0</v>
      </c>
      <c r="CL300" s="208">
        <v>-9.2573958333333337</v>
      </c>
      <c r="CM300" s="208">
        <v>0</v>
      </c>
      <c r="CN300" s="208">
        <v>0</v>
      </c>
      <c r="CO300" s="208">
        <v>0</v>
      </c>
      <c r="CP300" s="208">
        <v>0</v>
      </c>
      <c r="CQ300" s="208">
        <v>0</v>
      </c>
      <c r="CR300" s="208">
        <v>0</v>
      </c>
      <c r="CS300" s="208">
        <v>0</v>
      </c>
      <c r="CT300" s="208">
        <v>0</v>
      </c>
      <c r="CU300" s="208">
        <v>0</v>
      </c>
      <c r="CV300" s="208">
        <v>0</v>
      </c>
      <c r="CW300" s="208">
        <v>0</v>
      </c>
      <c r="CX300" s="208">
        <v>0</v>
      </c>
      <c r="CY300" s="208">
        <v>0</v>
      </c>
      <c r="CZ300" s="208">
        <v>0</v>
      </c>
      <c r="DA300" s="208">
        <v>0</v>
      </c>
      <c r="DB300" s="208">
        <v>0</v>
      </c>
      <c r="DC300" s="208">
        <v>0</v>
      </c>
      <c r="DD300" s="208">
        <v>0</v>
      </c>
      <c r="DE300" s="208">
        <v>2047.0199166666664</v>
      </c>
      <c r="DF300" s="208">
        <v>0</v>
      </c>
      <c r="DG300" s="208">
        <v>41.77591666666666</v>
      </c>
      <c r="DH300" s="208">
        <v>2047</v>
      </c>
      <c r="DI300" s="208">
        <v>0</v>
      </c>
      <c r="DJ300" s="208">
        <v>42</v>
      </c>
      <c r="DK300" s="208">
        <v>0</v>
      </c>
      <c r="DL300" s="208">
        <v>0</v>
      </c>
      <c r="DM300" s="208">
        <v>0</v>
      </c>
      <c r="DN300" s="208">
        <v>0</v>
      </c>
      <c r="DO300" s="208">
        <v>0</v>
      </c>
      <c r="DP300" s="208">
        <v>0</v>
      </c>
      <c r="DQ300" s="208">
        <v>0</v>
      </c>
      <c r="DR300" s="208">
        <v>0</v>
      </c>
      <c r="DS300" s="208">
        <v>0</v>
      </c>
      <c r="DT300" s="208">
        <v>0</v>
      </c>
      <c r="DU300" s="208">
        <v>0</v>
      </c>
      <c r="DV300" s="208">
        <v>0</v>
      </c>
      <c r="DW300" s="208">
        <v>23325.200499999999</v>
      </c>
      <c r="DX300" s="208">
        <v>0</v>
      </c>
      <c r="DY300" s="208">
        <v>476.02449999999999</v>
      </c>
      <c r="DZ300" s="208">
        <v>18449</v>
      </c>
      <c r="EA300" s="208">
        <v>0</v>
      </c>
      <c r="EB300" s="208">
        <v>376</v>
      </c>
      <c r="EC300" s="208">
        <v>4876</v>
      </c>
      <c r="ED300" s="208">
        <v>0</v>
      </c>
      <c r="EE300" s="208">
        <v>100</v>
      </c>
      <c r="EF300" s="208">
        <v>72457.08481249999</v>
      </c>
      <c r="EG300" s="208">
        <v>0</v>
      </c>
      <c r="EH300" s="208">
        <v>1458.3620624999999</v>
      </c>
      <c r="EI300" s="208">
        <v>-7331.4790208333334</v>
      </c>
      <c r="EJ300" s="208">
        <v>0</v>
      </c>
      <c r="EK300" s="208">
        <v>-149.62202083333335</v>
      </c>
      <c r="EL300" s="208">
        <v>0</v>
      </c>
      <c r="EM300" s="208">
        <v>0</v>
      </c>
      <c r="EN300" s="208">
        <v>0</v>
      </c>
      <c r="EO300" s="208">
        <v>65126</v>
      </c>
      <c r="EP300" s="208">
        <v>0</v>
      </c>
      <c r="EQ300" s="208">
        <v>1309</v>
      </c>
      <c r="ER300" s="208">
        <v>39319.924437500005</v>
      </c>
      <c r="ES300" s="208">
        <v>0</v>
      </c>
      <c r="ET300" s="208">
        <v>802.44743750000009</v>
      </c>
      <c r="EU300" s="208">
        <v>51371</v>
      </c>
      <c r="EV300" s="208">
        <v>0</v>
      </c>
      <c r="EW300" s="208">
        <v>1048</v>
      </c>
      <c r="EX300" s="208">
        <v>-12051</v>
      </c>
      <c r="EY300" s="208">
        <v>0</v>
      </c>
      <c r="EZ300" s="208">
        <v>-246</v>
      </c>
      <c r="FA300" s="208">
        <v>0</v>
      </c>
      <c r="FB300" s="208">
        <v>0</v>
      </c>
      <c r="FC300" s="208">
        <v>0</v>
      </c>
      <c r="FD300" s="208">
        <v>0</v>
      </c>
      <c r="FE300" s="208">
        <v>0</v>
      </c>
      <c r="FF300" s="208">
        <v>0</v>
      </c>
      <c r="FG300" s="208">
        <v>0</v>
      </c>
      <c r="FH300" s="208">
        <v>0</v>
      </c>
      <c r="FI300" s="208">
        <v>0</v>
      </c>
      <c r="FJ300" s="208">
        <v>1120920.1882083332</v>
      </c>
      <c r="FK300" s="208">
        <v>0</v>
      </c>
      <c r="FL300" s="208">
        <v>22875.922208333333</v>
      </c>
      <c r="FM300" s="208">
        <v>1172487</v>
      </c>
      <c r="FN300" s="208">
        <v>0</v>
      </c>
      <c r="FO300" s="208">
        <v>23860</v>
      </c>
      <c r="FP300" s="208">
        <v>-51567</v>
      </c>
      <c r="FQ300" s="208">
        <v>0</v>
      </c>
      <c r="FR300" s="208">
        <v>-984</v>
      </c>
      <c r="FS300" s="208">
        <v>0</v>
      </c>
      <c r="FT300" s="208">
        <v>0</v>
      </c>
      <c r="FU300" s="208">
        <v>0</v>
      </c>
      <c r="FV300" s="208">
        <v>0</v>
      </c>
      <c r="FW300" s="208">
        <v>0</v>
      </c>
      <c r="FX300" s="208">
        <v>0</v>
      </c>
      <c r="FY300" s="208">
        <v>0</v>
      </c>
      <c r="FZ300" s="208">
        <v>0</v>
      </c>
      <c r="GA300" s="208">
        <v>0</v>
      </c>
      <c r="GB300" s="208">
        <v>3635215</v>
      </c>
      <c r="GC300" s="208">
        <v>0</v>
      </c>
      <c r="GD300" s="208">
        <v>73959</v>
      </c>
      <c r="GE300" s="664">
        <v>0.5</v>
      </c>
      <c r="GF300" s="664">
        <v>0.49</v>
      </c>
      <c r="GG300" s="664">
        <v>0</v>
      </c>
      <c r="GH300" s="664">
        <v>0.01</v>
      </c>
      <c r="GI300" s="187" t="s">
        <v>742</v>
      </c>
    </row>
    <row r="301" spans="1:191" s="187" customFormat="1" x14ac:dyDescent="0.2">
      <c r="B301" s="429" t="s">
        <v>680</v>
      </c>
      <c r="C301" s="429" t="s">
        <v>679</v>
      </c>
      <c r="D301" s="208">
        <v>-362958</v>
      </c>
      <c r="E301" s="208">
        <v>0</v>
      </c>
      <c r="F301" s="208">
        <v>-362958</v>
      </c>
      <c r="G301" s="208">
        <v>-406829</v>
      </c>
      <c r="H301" s="208">
        <v>0</v>
      </c>
      <c r="I301" s="208">
        <v>-406829</v>
      </c>
      <c r="J301" s="208">
        <v>43871</v>
      </c>
      <c r="K301" s="208">
        <v>0</v>
      </c>
      <c r="L301" s="208">
        <v>43871</v>
      </c>
      <c r="M301" s="208">
        <v>212756</v>
      </c>
      <c r="N301" s="208">
        <v>212756</v>
      </c>
      <c r="O301" s="208">
        <v>0</v>
      </c>
      <c r="P301" s="208">
        <v>0</v>
      </c>
      <c r="Q301" s="208">
        <v>0</v>
      </c>
      <c r="R301" s="208">
        <v>0</v>
      </c>
      <c r="S301" s="208">
        <v>23242</v>
      </c>
      <c r="T301" s="208">
        <v>0</v>
      </c>
      <c r="U301" s="208">
        <v>26000</v>
      </c>
      <c r="V301" s="208">
        <v>0</v>
      </c>
      <c r="W301" s="208">
        <v>-2758</v>
      </c>
      <c r="X301" s="208">
        <v>0</v>
      </c>
      <c r="Y301" s="208">
        <v>0</v>
      </c>
      <c r="Z301" s="208">
        <v>0</v>
      </c>
      <c r="AA301" s="208">
        <v>0</v>
      </c>
      <c r="AB301" s="208">
        <v>0</v>
      </c>
      <c r="AC301" s="208">
        <v>0</v>
      </c>
      <c r="AD301" s="208">
        <v>0</v>
      </c>
      <c r="AE301" s="208">
        <v>0</v>
      </c>
      <c r="AF301" s="208">
        <v>0</v>
      </c>
      <c r="AG301" s="208">
        <v>0</v>
      </c>
      <c r="AH301" s="208">
        <v>0</v>
      </c>
      <c r="AI301" s="208">
        <v>0</v>
      </c>
      <c r="AJ301" s="208">
        <v>0</v>
      </c>
      <c r="AK301" s="208">
        <v>0</v>
      </c>
      <c r="AL301" s="208">
        <v>0</v>
      </c>
      <c r="AM301" s="208">
        <v>0</v>
      </c>
      <c r="AN301" s="208">
        <v>0</v>
      </c>
      <c r="AO301" s="208">
        <v>0</v>
      </c>
      <c r="AP301" s="208">
        <v>0</v>
      </c>
      <c r="AQ301" s="208">
        <v>0</v>
      </c>
      <c r="AR301" s="208">
        <v>0</v>
      </c>
      <c r="AS301" s="208">
        <v>0</v>
      </c>
      <c r="AT301" s="208">
        <v>0</v>
      </c>
      <c r="AU301" s="208">
        <v>0</v>
      </c>
      <c r="AV301" s="208">
        <v>0</v>
      </c>
      <c r="AW301" s="208">
        <v>0</v>
      </c>
      <c r="AX301" s="208">
        <v>0</v>
      </c>
      <c r="AY301" s="208">
        <v>0</v>
      </c>
      <c r="AZ301" s="208">
        <v>0</v>
      </c>
      <c r="BA301" s="208">
        <v>0</v>
      </c>
      <c r="BB301" s="208">
        <v>0</v>
      </c>
      <c r="BC301" s="208">
        <v>0</v>
      </c>
      <c r="BD301" s="208">
        <v>0</v>
      </c>
      <c r="BE301" s="208">
        <v>0</v>
      </c>
      <c r="BF301" s="208">
        <v>0</v>
      </c>
      <c r="BG301" s="208">
        <v>0</v>
      </c>
      <c r="BH301" s="208">
        <v>0</v>
      </c>
      <c r="BI301" s="208">
        <v>0</v>
      </c>
      <c r="BJ301" s="208">
        <v>0</v>
      </c>
      <c r="BK301" s="208">
        <v>0</v>
      </c>
      <c r="BL301" s="208">
        <v>0</v>
      </c>
      <c r="BM301" s="208">
        <v>0</v>
      </c>
      <c r="BN301" s="208">
        <v>0</v>
      </c>
      <c r="BO301" s="208">
        <v>1566294.0098333335</v>
      </c>
      <c r="BP301" s="208">
        <v>391573.50245833339</v>
      </c>
      <c r="BQ301" s="208">
        <v>0</v>
      </c>
      <c r="BR301" s="208">
        <v>128023</v>
      </c>
      <c r="BS301" s="208">
        <v>32006</v>
      </c>
      <c r="BT301" s="208">
        <v>0</v>
      </c>
      <c r="BU301" s="208">
        <v>1488133</v>
      </c>
      <c r="BV301" s="208">
        <v>372033</v>
      </c>
      <c r="BW301" s="208">
        <v>0</v>
      </c>
      <c r="BX301" s="208">
        <v>206184</v>
      </c>
      <c r="BY301" s="208">
        <v>51547</v>
      </c>
      <c r="BZ301" s="208">
        <v>0</v>
      </c>
      <c r="CA301" s="208">
        <v>0</v>
      </c>
      <c r="CB301" s="208">
        <v>0</v>
      </c>
      <c r="CC301" s="208">
        <v>0</v>
      </c>
      <c r="CD301" s="208">
        <v>0</v>
      </c>
      <c r="CE301" s="208">
        <v>0</v>
      </c>
      <c r="CF301" s="208">
        <v>0</v>
      </c>
      <c r="CG301" s="208">
        <v>0</v>
      </c>
      <c r="CH301" s="208">
        <v>0</v>
      </c>
      <c r="CI301" s="208">
        <v>0</v>
      </c>
      <c r="CJ301" s="208">
        <v>0</v>
      </c>
      <c r="CK301" s="208">
        <v>0</v>
      </c>
      <c r="CL301" s="208">
        <v>0</v>
      </c>
      <c r="CM301" s="208">
        <v>0</v>
      </c>
      <c r="CN301" s="208">
        <v>0</v>
      </c>
      <c r="CO301" s="208">
        <v>0</v>
      </c>
      <c r="CP301" s="208">
        <v>0</v>
      </c>
      <c r="CQ301" s="208">
        <v>0</v>
      </c>
      <c r="CR301" s="208">
        <v>0</v>
      </c>
      <c r="CS301" s="208">
        <v>0</v>
      </c>
      <c r="CT301" s="208">
        <v>0</v>
      </c>
      <c r="CU301" s="208">
        <v>0</v>
      </c>
      <c r="CV301" s="208">
        <v>0</v>
      </c>
      <c r="CW301" s="208">
        <v>0</v>
      </c>
      <c r="CX301" s="208">
        <v>0</v>
      </c>
      <c r="CY301" s="208">
        <v>0</v>
      </c>
      <c r="CZ301" s="208">
        <v>0</v>
      </c>
      <c r="DA301" s="208">
        <v>0</v>
      </c>
      <c r="DB301" s="208">
        <v>-28.641666666666669</v>
      </c>
      <c r="DC301" s="208">
        <v>-7.1604166666666673</v>
      </c>
      <c r="DD301" s="208">
        <v>0</v>
      </c>
      <c r="DE301" s="208">
        <v>3197.2283333333335</v>
      </c>
      <c r="DF301" s="208">
        <v>799.30708333333337</v>
      </c>
      <c r="DG301" s="208">
        <v>0</v>
      </c>
      <c r="DH301" s="208">
        <v>3110</v>
      </c>
      <c r="DI301" s="208">
        <v>777</v>
      </c>
      <c r="DJ301" s="208">
        <v>0</v>
      </c>
      <c r="DK301" s="208">
        <v>87</v>
      </c>
      <c r="DL301" s="208">
        <v>22</v>
      </c>
      <c r="DM301" s="208">
        <v>0</v>
      </c>
      <c r="DN301" s="208">
        <v>613.75</v>
      </c>
      <c r="DO301" s="208">
        <v>153.4375</v>
      </c>
      <c r="DP301" s="208">
        <v>0</v>
      </c>
      <c r="DQ301" s="208">
        <v>614</v>
      </c>
      <c r="DR301" s="208">
        <v>153</v>
      </c>
      <c r="DS301" s="208">
        <v>0</v>
      </c>
      <c r="DT301" s="208">
        <v>0</v>
      </c>
      <c r="DU301" s="208">
        <v>0</v>
      </c>
      <c r="DV301" s="208">
        <v>0</v>
      </c>
      <c r="DW301" s="208">
        <v>6822.8541666666679</v>
      </c>
      <c r="DX301" s="208">
        <v>1705.713541666667</v>
      </c>
      <c r="DY301" s="208">
        <v>0</v>
      </c>
      <c r="DZ301" s="208">
        <v>7365</v>
      </c>
      <c r="EA301" s="208">
        <v>1841</v>
      </c>
      <c r="EB301" s="208">
        <v>0</v>
      </c>
      <c r="EC301" s="208">
        <v>-542</v>
      </c>
      <c r="ED301" s="208">
        <v>-135</v>
      </c>
      <c r="EE301" s="208">
        <v>0</v>
      </c>
      <c r="EF301" s="208">
        <v>48868.411666666667</v>
      </c>
      <c r="EG301" s="208">
        <v>12217.102916666667</v>
      </c>
      <c r="EH301" s="208">
        <v>0</v>
      </c>
      <c r="EI301" s="208">
        <v>-2628.4866666666667</v>
      </c>
      <c r="EJ301" s="208">
        <v>-657.12166666666667</v>
      </c>
      <c r="EK301" s="208">
        <v>0</v>
      </c>
      <c r="EL301" s="208">
        <v>54277</v>
      </c>
      <c r="EM301" s="208">
        <v>13569</v>
      </c>
      <c r="EN301" s="208">
        <v>0</v>
      </c>
      <c r="EO301" s="208">
        <v>-8037</v>
      </c>
      <c r="EP301" s="208">
        <v>-2009</v>
      </c>
      <c r="EQ301" s="208">
        <v>0</v>
      </c>
      <c r="ER301" s="208">
        <v>29612.619166666667</v>
      </c>
      <c r="ES301" s="208">
        <v>7403.1547916666668</v>
      </c>
      <c r="ET301" s="208">
        <v>0</v>
      </c>
      <c r="EU301" s="208">
        <v>30687</v>
      </c>
      <c r="EV301" s="208">
        <v>7672</v>
      </c>
      <c r="EW301" s="208">
        <v>0</v>
      </c>
      <c r="EX301" s="208">
        <v>-1074</v>
      </c>
      <c r="EY301" s="208">
        <v>-269</v>
      </c>
      <c r="EZ301" s="208">
        <v>0</v>
      </c>
      <c r="FA301" s="208">
        <v>0</v>
      </c>
      <c r="FB301" s="208">
        <v>0</v>
      </c>
      <c r="FC301" s="208">
        <v>0</v>
      </c>
      <c r="FD301" s="208">
        <v>0</v>
      </c>
      <c r="FE301" s="208">
        <v>0</v>
      </c>
      <c r="FF301" s="208">
        <v>0</v>
      </c>
      <c r="FG301" s="208">
        <v>0</v>
      </c>
      <c r="FH301" s="208">
        <v>0</v>
      </c>
      <c r="FI301" s="208">
        <v>0</v>
      </c>
      <c r="FJ301" s="208">
        <v>633525.36499999999</v>
      </c>
      <c r="FK301" s="208">
        <v>158248.18395833333</v>
      </c>
      <c r="FL301" s="208">
        <v>0</v>
      </c>
      <c r="FM301" s="208">
        <v>615633</v>
      </c>
      <c r="FN301" s="208">
        <v>153759</v>
      </c>
      <c r="FO301" s="208">
        <v>0</v>
      </c>
      <c r="FP301" s="208">
        <v>17892</v>
      </c>
      <c r="FQ301" s="208">
        <v>4489</v>
      </c>
      <c r="FR301" s="208">
        <v>0</v>
      </c>
      <c r="FS301" s="208">
        <v>0</v>
      </c>
      <c r="FT301" s="208">
        <v>0</v>
      </c>
      <c r="FU301" s="208">
        <v>0</v>
      </c>
      <c r="FV301" s="208">
        <v>0</v>
      </c>
      <c r="FW301" s="208">
        <v>0</v>
      </c>
      <c r="FX301" s="208">
        <v>0</v>
      </c>
      <c r="FY301" s="208">
        <v>0</v>
      </c>
      <c r="FZ301" s="208">
        <v>0</v>
      </c>
      <c r="GA301" s="208">
        <v>0</v>
      </c>
      <c r="GB301" s="208">
        <v>2414300</v>
      </c>
      <c r="GC301" s="208">
        <v>603442</v>
      </c>
      <c r="GD301" s="208">
        <v>0</v>
      </c>
      <c r="GE301" s="664">
        <v>0.5</v>
      </c>
      <c r="GF301" s="664">
        <v>0.4</v>
      </c>
      <c r="GG301" s="664">
        <v>0.1</v>
      </c>
      <c r="GH301" s="664">
        <v>0</v>
      </c>
      <c r="GI301" s="187" t="s">
        <v>1054</v>
      </c>
    </row>
    <row r="302" spans="1:191" s="187" customFormat="1" x14ac:dyDescent="0.2">
      <c r="B302" s="429" t="s">
        <v>682</v>
      </c>
      <c r="C302" s="429" t="s">
        <v>681</v>
      </c>
      <c r="D302" s="208">
        <v>-3004549</v>
      </c>
      <c r="E302" s="208">
        <v>0</v>
      </c>
      <c r="F302" s="208">
        <v>-3004549</v>
      </c>
      <c r="G302" s="208">
        <v>-3884660</v>
      </c>
      <c r="H302" s="208">
        <v>0</v>
      </c>
      <c r="I302" s="208">
        <v>-3884660</v>
      </c>
      <c r="J302" s="208">
        <v>880111</v>
      </c>
      <c r="K302" s="208">
        <v>0</v>
      </c>
      <c r="L302" s="208">
        <v>880111</v>
      </c>
      <c r="M302" s="208">
        <v>168509</v>
      </c>
      <c r="N302" s="208">
        <v>168509</v>
      </c>
      <c r="O302" s="208">
        <v>0</v>
      </c>
      <c r="P302" s="208">
        <v>0</v>
      </c>
      <c r="Q302" s="208">
        <v>0</v>
      </c>
      <c r="R302" s="208">
        <v>0</v>
      </c>
      <c r="S302" s="208">
        <v>0</v>
      </c>
      <c r="T302" s="208">
        <v>0</v>
      </c>
      <c r="U302" s="208">
        <v>0</v>
      </c>
      <c r="V302" s="208">
        <v>0</v>
      </c>
      <c r="W302" s="208">
        <v>0</v>
      </c>
      <c r="X302" s="208">
        <v>0</v>
      </c>
      <c r="Y302" s="208">
        <v>0</v>
      </c>
      <c r="Z302" s="208">
        <v>0</v>
      </c>
      <c r="AA302" s="208">
        <v>0</v>
      </c>
      <c r="AB302" s="208">
        <v>0</v>
      </c>
      <c r="AC302" s="208">
        <v>0</v>
      </c>
      <c r="AD302" s="208">
        <v>0</v>
      </c>
      <c r="AE302" s="208">
        <v>0</v>
      </c>
      <c r="AF302" s="208">
        <v>0</v>
      </c>
      <c r="AG302" s="208">
        <v>0</v>
      </c>
      <c r="AH302" s="208">
        <v>0</v>
      </c>
      <c r="AI302" s="208">
        <v>0</v>
      </c>
      <c r="AJ302" s="208">
        <v>0</v>
      </c>
      <c r="AK302" s="208">
        <v>0</v>
      </c>
      <c r="AL302" s="208">
        <v>0</v>
      </c>
      <c r="AM302" s="208">
        <v>0</v>
      </c>
      <c r="AN302" s="208">
        <v>0</v>
      </c>
      <c r="AO302" s="208">
        <v>0</v>
      </c>
      <c r="AP302" s="208">
        <v>0</v>
      </c>
      <c r="AQ302" s="208">
        <v>0</v>
      </c>
      <c r="AR302" s="208">
        <v>0</v>
      </c>
      <c r="AS302" s="208">
        <v>0</v>
      </c>
      <c r="AT302" s="208">
        <v>0</v>
      </c>
      <c r="AU302" s="208">
        <v>0</v>
      </c>
      <c r="AV302" s="208">
        <v>0</v>
      </c>
      <c r="AW302" s="208">
        <v>0</v>
      </c>
      <c r="AX302" s="208">
        <v>0</v>
      </c>
      <c r="AY302" s="208">
        <v>0</v>
      </c>
      <c r="AZ302" s="208">
        <v>0</v>
      </c>
      <c r="BA302" s="208">
        <v>0</v>
      </c>
      <c r="BB302" s="208">
        <v>0</v>
      </c>
      <c r="BC302" s="208">
        <v>0</v>
      </c>
      <c r="BD302" s="208">
        <v>0</v>
      </c>
      <c r="BE302" s="208">
        <v>0</v>
      </c>
      <c r="BF302" s="208">
        <v>0</v>
      </c>
      <c r="BG302" s="208">
        <v>0</v>
      </c>
      <c r="BH302" s="208">
        <v>0</v>
      </c>
      <c r="BI302" s="208">
        <v>0</v>
      </c>
      <c r="BJ302" s="208">
        <v>0</v>
      </c>
      <c r="BK302" s="208">
        <v>0</v>
      </c>
      <c r="BL302" s="208">
        <v>0</v>
      </c>
      <c r="BM302" s="208">
        <v>0</v>
      </c>
      <c r="BN302" s="208">
        <v>0</v>
      </c>
      <c r="BO302" s="208">
        <v>828264.28255750006</v>
      </c>
      <c r="BP302" s="208">
        <v>207066.07063937502</v>
      </c>
      <c r="BQ302" s="208">
        <v>0</v>
      </c>
      <c r="BR302" s="208">
        <v>89524</v>
      </c>
      <c r="BS302" s="208">
        <v>22381</v>
      </c>
      <c r="BT302" s="208">
        <v>0</v>
      </c>
      <c r="BU302" s="208">
        <v>774329</v>
      </c>
      <c r="BV302" s="208">
        <v>193582</v>
      </c>
      <c r="BW302" s="208">
        <v>0</v>
      </c>
      <c r="BX302" s="208">
        <v>143459</v>
      </c>
      <c r="BY302" s="208">
        <v>35865</v>
      </c>
      <c r="BZ302" s="208">
        <v>0</v>
      </c>
      <c r="CA302" s="208">
        <v>5752.8833333333341</v>
      </c>
      <c r="CB302" s="208">
        <v>1438.2208333333335</v>
      </c>
      <c r="CC302" s="208">
        <v>0</v>
      </c>
      <c r="CD302" s="208">
        <v>5649</v>
      </c>
      <c r="CE302" s="208">
        <v>1412</v>
      </c>
      <c r="CF302" s="208">
        <v>0</v>
      </c>
      <c r="CG302" s="208">
        <v>104</v>
      </c>
      <c r="CH302" s="208">
        <v>26</v>
      </c>
      <c r="CI302" s="208">
        <v>0</v>
      </c>
      <c r="CJ302" s="208">
        <v>0</v>
      </c>
      <c r="CK302" s="208">
        <v>0</v>
      </c>
      <c r="CL302" s="208">
        <v>0</v>
      </c>
      <c r="CM302" s="208">
        <v>0</v>
      </c>
      <c r="CN302" s="208">
        <v>0</v>
      </c>
      <c r="CO302" s="208">
        <v>0</v>
      </c>
      <c r="CP302" s="208">
        <v>0</v>
      </c>
      <c r="CQ302" s="208">
        <v>0</v>
      </c>
      <c r="CR302" s="208">
        <v>0</v>
      </c>
      <c r="CS302" s="208">
        <v>0</v>
      </c>
      <c r="CT302" s="208">
        <v>0</v>
      </c>
      <c r="CU302" s="208">
        <v>0</v>
      </c>
      <c r="CV302" s="208">
        <v>0</v>
      </c>
      <c r="CW302" s="208">
        <v>0</v>
      </c>
      <c r="CX302" s="208">
        <v>0</v>
      </c>
      <c r="CY302" s="208">
        <v>0</v>
      </c>
      <c r="CZ302" s="208">
        <v>0</v>
      </c>
      <c r="DA302" s="208">
        <v>0</v>
      </c>
      <c r="DB302" s="208">
        <v>0</v>
      </c>
      <c r="DC302" s="208">
        <v>0</v>
      </c>
      <c r="DD302" s="208">
        <v>0</v>
      </c>
      <c r="DE302" s="208">
        <v>0</v>
      </c>
      <c r="DF302" s="208">
        <v>0</v>
      </c>
      <c r="DG302" s="208">
        <v>0</v>
      </c>
      <c r="DH302" s="208">
        <v>0</v>
      </c>
      <c r="DI302" s="208">
        <v>0</v>
      </c>
      <c r="DJ302" s="208">
        <v>0</v>
      </c>
      <c r="DK302" s="208">
        <v>0</v>
      </c>
      <c r="DL302" s="208">
        <v>0</v>
      </c>
      <c r="DM302" s="208">
        <v>0</v>
      </c>
      <c r="DN302" s="208">
        <v>613.75</v>
      </c>
      <c r="DO302" s="208">
        <v>153.4375</v>
      </c>
      <c r="DP302" s="208">
        <v>0</v>
      </c>
      <c r="DQ302" s="208">
        <v>614</v>
      </c>
      <c r="DR302" s="208">
        <v>153</v>
      </c>
      <c r="DS302" s="208">
        <v>0</v>
      </c>
      <c r="DT302" s="208">
        <v>0</v>
      </c>
      <c r="DU302" s="208">
        <v>0</v>
      </c>
      <c r="DV302" s="208">
        <v>0</v>
      </c>
      <c r="DW302" s="208">
        <v>7653.8716666666669</v>
      </c>
      <c r="DX302" s="208">
        <v>1913.4679166666667</v>
      </c>
      <c r="DY302" s="208">
        <v>0</v>
      </c>
      <c r="DZ302" s="208">
        <v>6621</v>
      </c>
      <c r="EA302" s="208">
        <v>1655</v>
      </c>
      <c r="EB302" s="208">
        <v>0</v>
      </c>
      <c r="EC302" s="208">
        <v>1033</v>
      </c>
      <c r="ED302" s="208">
        <v>258</v>
      </c>
      <c r="EE302" s="208">
        <v>0</v>
      </c>
      <c r="EF302" s="208">
        <v>43180.585833333338</v>
      </c>
      <c r="EG302" s="208">
        <v>10795.146458333335</v>
      </c>
      <c r="EH302" s="208">
        <v>0</v>
      </c>
      <c r="EI302" s="208">
        <v>-22.504166666666666</v>
      </c>
      <c r="EJ302" s="208">
        <v>-5.6260416666666666</v>
      </c>
      <c r="EK302" s="208">
        <v>0</v>
      </c>
      <c r="EL302" s="208">
        <v>43181</v>
      </c>
      <c r="EM302" s="208">
        <v>10795</v>
      </c>
      <c r="EN302" s="208">
        <v>0</v>
      </c>
      <c r="EO302" s="208">
        <v>-23</v>
      </c>
      <c r="EP302" s="208">
        <v>-5</v>
      </c>
      <c r="EQ302" s="208">
        <v>0</v>
      </c>
      <c r="ER302" s="208">
        <v>9983.6666666666661</v>
      </c>
      <c r="ES302" s="208">
        <v>2495.9166666666665</v>
      </c>
      <c r="ET302" s="208">
        <v>0</v>
      </c>
      <c r="EU302" s="208">
        <v>13094</v>
      </c>
      <c r="EV302" s="208">
        <v>3273</v>
      </c>
      <c r="EW302" s="208">
        <v>0</v>
      </c>
      <c r="EX302" s="208">
        <v>-3110</v>
      </c>
      <c r="EY302" s="208">
        <v>-777</v>
      </c>
      <c r="EZ302" s="208">
        <v>0</v>
      </c>
      <c r="FA302" s="208">
        <v>0</v>
      </c>
      <c r="FB302" s="208">
        <v>0</v>
      </c>
      <c r="FC302" s="208">
        <v>0</v>
      </c>
      <c r="FD302" s="208">
        <v>0</v>
      </c>
      <c r="FE302" s="208">
        <v>0</v>
      </c>
      <c r="FF302" s="208">
        <v>0</v>
      </c>
      <c r="FG302" s="208">
        <v>0</v>
      </c>
      <c r="FH302" s="208">
        <v>0</v>
      </c>
      <c r="FI302" s="208">
        <v>0</v>
      </c>
      <c r="FJ302" s="208">
        <v>566871.71750000003</v>
      </c>
      <c r="FK302" s="208">
        <v>141717.92937500001</v>
      </c>
      <c r="FL302" s="208">
        <v>0</v>
      </c>
      <c r="FM302" s="208">
        <v>570069</v>
      </c>
      <c r="FN302" s="208">
        <v>142517</v>
      </c>
      <c r="FO302" s="208">
        <v>0</v>
      </c>
      <c r="FP302" s="208">
        <v>-3197</v>
      </c>
      <c r="FQ302" s="208">
        <v>-799</v>
      </c>
      <c r="FR302" s="208">
        <v>0</v>
      </c>
      <c r="FS302" s="208">
        <v>0</v>
      </c>
      <c r="FT302" s="208">
        <v>0</v>
      </c>
      <c r="FU302" s="208">
        <v>0</v>
      </c>
      <c r="FV302" s="208">
        <v>0</v>
      </c>
      <c r="FW302" s="208">
        <v>0</v>
      </c>
      <c r="FX302" s="208">
        <v>0</v>
      </c>
      <c r="FY302" s="208">
        <v>0</v>
      </c>
      <c r="FZ302" s="208">
        <v>0</v>
      </c>
      <c r="GA302" s="208">
        <v>0</v>
      </c>
      <c r="GB302" s="208">
        <v>1551823</v>
      </c>
      <c r="GC302" s="208">
        <v>387954</v>
      </c>
      <c r="GD302" s="208">
        <v>0</v>
      </c>
      <c r="GE302" s="664">
        <v>0.5</v>
      </c>
      <c r="GF302" s="664">
        <v>0.4</v>
      </c>
      <c r="GG302" s="664">
        <v>0.1</v>
      </c>
      <c r="GH302" s="664">
        <v>0</v>
      </c>
      <c r="GI302" s="187" t="s">
        <v>1054</v>
      </c>
    </row>
    <row r="303" spans="1:191" s="187" customFormat="1" x14ac:dyDescent="0.2">
      <c r="B303" s="429" t="s">
        <v>684</v>
      </c>
      <c r="C303" s="429" t="s">
        <v>683</v>
      </c>
      <c r="D303" s="208">
        <v>718383</v>
      </c>
      <c r="E303" s="208">
        <v>-4509</v>
      </c>
      <c r="F303" s="208">
        <v>713874</v>
      </c>
      <c r="G303" s="208">
        <v>752174</v>
      </c>
      <c r="H303" s="208">
        <v>-4510</v>
      </c>
      <c r="I303" s="208">
        <v>747664</v>
      </c>
      <c r="J303" s="208">
        <v>-33791</v>
      </c>
      <c r="K303" s="208">
        <v>1</v>
      </c>
      <c r="L303" s="208">
        <v>-33790</v>
      </c>
      <c r="M303" s="208">
        <v>199632</v>
      </c>
      <c r="N303" s="208">
        <v>199632</v>
      </c>
      <c r="O303" s="208">
        <v>0</v>
      </c>
      <c r="P303" s="208">
        <v>253457</v>
      </c>
      <c r="Q303" s="208">
        <v>235171</v>
      </c>
      <c r="R303" s="208">
        <v>18286</v>
      </c>
      <c r="S303" s="208">
        <v>394491</v>
      </c>
      <c r="T303" s="208">
        <v>0</v>
      </c>
      <c r="U303" s="208">
        <v>226164</v>
      </c>
      <c r="V303" s="208">
        <v>0</v>
      </c>
      <c r="W303" s="208">
        <v>168327</v>
      </c>
      <c r="X303" s="208">
        <v>0</v>
      </c>
      <c r="Y303" s="208">
        <v>0</v>
      </c>
      <c r="Z303" s="208">
        <v>0</v>
      </c>
      <c r="AA303" s="208">
        <v>0</v>
      </c>
      <c r="AB303" s="208">
        <v>0</v>
      </c>
      <c r="AC303" s="208">
        <v>0</v>
      </c>
      <c r="AD303" s="208">
        <v>0</v>
      </c>
      <c r="AE303" s="208">
        <v>0</v>
      </c>
      <c r="AF303" s="208">
        <v>0</v>
      </c>
      <c r="AG303" s="208">
        <v>0</v>
      </c>
      <c r="AH303" s="208">
        <v>0</v>
      </c>
      <c r="AI303" s="208">
        <v>0</v>
      </c>
      <c r="AJ303" s="208">
        <v>0</v>
      </c>
      <c r="AK303" s="208">
        <v>0</v>
      </c>
      <c r="AL303" s="208">
        <v>0</v>
      </c>
      <c r="AM303" s="208">
        <v>0</v>
      </c>
      <c r="AN303" s="208">
        <v>0</v>
      </c>
      <c r="AO303" s="208">
        <v>0</v>
      </c>
      <c r="AP303" s="208">
        <v>0</v>
      </c>
      <c r="AQ303" s="208">
        <v>0</v>
      </c>
      <c r="AR303" s="208">
        <v>0</v>
      </c>
      <c r="AS303" s="208">
        <v>0</v>
      </c>
      <c r="AT303" s="208">
        <v>0</v>
      </c>
      <c r="AU303" s="208">
        <v>0</v>
      </c>
      <c r="AV303" s="208">
        <v>0</v>
      </c>
      <c r="AW303" s="208">
        <v>0</v>
      </c>
      <c r="AX303" s="208">
        <v>0</v>
      </c>
      <c r="AY303" s="208">
        <v>0</v>
      </c>
      <c r="AZ303" s="208">
        <v>0</v>
      </c>
      <c r="BA303" s="208">
        <v>0</v>
      </c>
      <c r="BB303" s="208">
        <v>0</v>
      </c>
      <c r="BC303" s="208">
        <v>0</v>
      </c>
      <c r="BD303" s="208">
        <v>0</v>
      </c>
      <c r="BE303" s="208">
        <v>0</v>
      </c>
      <c r="BF303" s="208">
        <v>0</v>
      </c>
      <c r="BG303" s="208">
        <v>0</v>
      </c>
      <c r="BH303" s="208">
        <v>0</v>
      </c>
      <c r="BI303" s="208">
        <v>0</v>
      </c>
      <c r="BJ303" s="208">
        <v>0</v>
      </c>
      <c r="BK303" s="208">
        <v>0</v>
      </c>
      <c r="BL303" s="208">
        <v>0</v>
      </c>
      <c r="BM303" s="208">
        <v>0</v>
      </c>
      <c r="BN303" s="208">
        <v>0</v>
      </c>
      <c r="BO303" s="208">
        <v>2498829.2079217499</v>
      </c>
      <c r="BP303" s="208">
        <v>622964.55374085426</v>
      </c>
      <c r="BQ303" s="208">
        <v>0</v>
      </c>
      <c r="BR303" s="208">
        <v>123600</v>
      </c>
      <c r="BS303" s="208">
        <v>30538</v>
      </c>
      <c r="BT303" s="208">
        <v>0</v>
      </c>
      <c r="BU303" s="208">
        <v>2378969</v>
      </c>
      <c r="BV303" s="208">
        <v>594029</v>
      </c>
      <c r="BW303" s="208">
        <v>0</v>
      </c>
      <c r="BX303" s="208">
        <v>243460</v>
      </c>
      <c r="BY303" s="208">
        <v>59474</v>
      </c>
      <c r="BZ303" s="208">
        <v>0</v>
      </c>
      <c r="CA303" s="208">
        <v>0</v>
      </c>
      <c r="CB303" s="208">
        <v>0</v>
      </c>
      <c r="CC303" s="208">
        <v>0</v>
      </c>
      <c r="CD303" s="208">
        <v>0</v>
      </c>
      <c r="CE303" s="208">
        <v>0</v>
      </c>
      <c r="CF303" s="208">
        <v>0</v>
      </c>
      <c r="CG303" s="208">
        <v>0</v>
      </c>
      <c r="CH303" s="208">
        <v>0</v>
      </c>
      <c r="CI303" s="208">
        <v>0</v>
      </c>
      <c r="CJ303" s="208">
        <v>0</v>
      </c>
      <c r="CK303" s="208">
        <v>0</v>
      </c>
      <c r="CL303" s="208">
        <v>0</v>
      </c>
      <c r="CM303" s="208">
        <v>0</v>
      </c>
      <c r="CN303" s="208">
        <v>0</v>
      </c>
      <c r="CO303" s="208">
        <v>0</v>
      </c>
      <c r="CP303" s="208">
        <v>-255.32</v>
      </c>
      <c r="CQ303" s="208">
        <v>-63.83</v>
      </c>
      <c r="CR303" s="208">
        <v>0</v>
      </c>
      <c r="CS303" s="208">
        <v>0</v>
      </c>
      <c r="CT303" s="208">
        <v>0</v>
      </c>
      <c r="CU303" s="208">
        <v>0</v>
      </c>
      <c r="CV303" s="208">
        <v>0</v>
      </c>
      <c r="CW303" s="208">
        <v>0</v>
      </c>
      <c r="CX303" s="208">
        <v>0</v>
      </c>
      <c r="CY303" s="208">
        <v>0</v>
      </c>
      <c r="CZ303" s="208">
        <v>0</v>
      </c>
      <c r="DA303" s="208">
        <v>0</v>
      </c>
      <c r="DB303" s="208">
        <v>0</v>
      </c>
      <c r="DC303" s="208">
        <v>0</v>
      </c>
      <c r="DD303" s="208">
        <v>0</v>
      </c>
      <c r="DE303" s="208">
        <v>9854.3700000000008</v>
      </c>
      <c r="DF303" s="208">
        <v>2463.5925000000002</v>
      </c>
      <c r="DG303" s="208">
        <v>0</v>
      </c>
      <c r="DH303" s="208">
        <v>9854</v>
      </c>
      <c r="DI303" s="208">
        <v>2464</v>
      </c>
      <c r="DJ303" s="208">
        <v>0</v>
      </c>
      <c r="DK303" s="208">
        <v>0</v>
      </c>
      <c r="DL303" s="208">
        <v>0</v>
      </c>
      <c r="DM303" s="208">
        <v>0</v>
      </c>
      <c r="DN303" s="208">
        <v>1395.2583333333334</v>
      </c>
      <c r="DO303" s="208">
        <v>348.81458333333336</v>
      </c>
      <c r="DP303" s="208">
        <v>0</v>
      </c>
      <c r="DQ303" s="208">
        <v>2455</v>
      </c>
      <c r="DR303" s="208">
        <v>614</v>
      </c>
      <c r="DS303" s="208">
        <v>0</v>
      </c>
      <c r="DT303" s="208">
        <v>-1060</v>
      </c>
      <c r="DU303" s="208">
        <v>-265</v>
      </c>
      <c r="DV303" s="208">
        <v>0</v>
      </c>
      <c r="DW303" s="208">
        <v>66271.906666666677</v>
      </c>
      <c r="DX303" s="208">
        <v>16567.976666666669</v>
      </c>
      <c r="DY303" s="208">
        <v>0</v>
      </c>
      <c r="DZ303" s="208">
        <v>67150</v>
      </c>
      <c r="EA303" s="208">
        <v>16788</v>
      </c>
      <c r="EB303" s="208">
        <v>0</v>
      </c>
      <c r="EC303" s="208">
        <v>-878</v>
      </c>
      <c r="ED303" s="208">
        <v>-220</v>
      </c>
      <c r="EE303" s="208">
        <v>0</v>
      </c>
      <c r="EF303" s="208">
        <v>150935.85500000001</v>
      </c>
      <c r="EG303" s="208">
        <v>37733.963750000003</v>
      </c>
      <c r="EH303" s="208">
        <v>0</v>
      </c>
      <c r="EI303" s="208">
        <v>23825.775000000001</v>
      </c>
      <c r="EJ303" s="208">
        <v>5956.4437500000004</v>
      </c>
      <c r="EK303" s="208">
        <v>0</v>
      </c>
      <c r="EL303" s="208">
        <v>165725</v>
      </c>
      <c r="EM303" s="208">
        <v>41431</v>
      </c>
      <c r="EN303" s="208">
        <v>0</v>
      </c>
      <c r="EO303" s="208">
        <v>9037</v>
      </c>
      <c r="EP303" s="208">
        <v>2259</v>
      </c>
      <c r="EQ303" s="208">
        <v>0</v>
      </c>
      <c r="ER303" s="208">
        <v>31830.71166666667</v>
      </c>
      <c r="ES303" s="208">
        <v>7957.6779166666674</v>
      </c>
      <c r="ET303" s="208">
        <v>0</v>
      </c>
      <c r="EU303" s="208">
        <v>29454</v>
      </c>
      <c r="EV303" s="208">
        <v>7364</v>
      </c>
      <c r="EW303" s="208">
        <v>0</v>
      </c>
      <c r="EX303" s="208">
        <v>2377</v>
      </c>
      <c r="EY303" s="208">
        <v>594</v>
      </c>
      <c r="EZ303" s="208">
        <v>0</v>
      </c>
      <c r="FA303" s="208">
        <v>0</v>
      </c>
      <c r="FB303" s="208">
        <v>0</v>
      </c>
      <c r="FC303" s="208">
        <v>0</v>
      </c>
      <c r="FD303" s="208">
        <v>0</v>
      </c>
      <c r="FE303" s="208">
        <v>0</v>
      </c>
      <c r="FF303" s="208">
        <v>0</v>
      </c>
      <c r="FG303" s="208">
        <v>0</v>
      </c>
      <c r="FH303" s="208">
        <v>0</v>
      </c>
      <c r="FI303" s="208">
        <v>0</v>
      </c>
      <c r="FJ303" s="208">
        <v>542166.36833333329</v>
      </c>
      <c r="FK303" s="208">
        <v>131829.38999999998</v>
      </c>
      <c r="FL303" s="208">
        <v>0</v>
      </c>
      <c r="FM303" s="208">
        <v>501995</v>
      </c>
      <c r="FN303" s="208">
        <v>122856</v>
      </c>
      <c r="FO303" s="208">
        <v>0</v>
      </c>
      <c r="FP303" s="208">
        <v>40171</v>
      </c>
      <c r="FQ303" s="208">
        <v>8973</v>
      </c>
      <c r="FR303" s="208">
        <v>0</v>
      </c>
      <c r="FS303" s="208">
        <v>193015.16875000001</v>
      </c>
      <c r="FT303" s="208">
        <v>0</v>
      </c>
      <c r="FU303" s="208">
        <v>0</v>
      </c>
      <c r="FV303" s="208">
        <v>175164</v>
      </c>
      <c r="FW303" s="208">
        <v>0</v>
      </c>
      <c r="FX303" s="208">
        <v>0</v>
      </c>
      <c r="FY303" s="208">
        <v>17851</v>
      </c>
      <c r="FZ303" s="208">
        <v>0</v>
      </c>
      <c r="GA303" s="208">
        <v>0</v>
      </c>
      <c r="GB303" s="208">
        <v>3641469</v>
      </c>
      <c r="GC303" s="208">
        <v>856297</v>
      </c>
      <c r="GD303" s="208">
        <v>0</v>
      </c>
      <c r="GE303" s="664">
        <v>0</v>
      </c>
      <c r="GF303" s="664">
        <v>0.8</v>
      </c>
      <c r="GG303" s="664">
        <v>0.2</v>
      </c>
      <c r="GH303" s="664">
        <v>0</v>
      </c>
      <c r="GI303" s="187" t="s">
        <v>1054</v>
      </c>
    </row>
    <row r="304" spans="1:191" s="187" customFormat="1" x14ac:dyDescent="0.2">
      <c r="B304" s="429" t="s">
        <v>686</v>
      </c>
      <c r="C304" s="429" t="s">
        <v>685</v>
      </c>
      <c r="D304" s="208">
        <v>1267981</v>
      </c>
      <c r="E304" s="208">
        <v>0</v>
      </c>
      <c r="F304" s="208">
        <v>1267981</v>
      </c>
      <c r="G304" s="208">
        <v>1307428</v>
      </c>
      <c r="H304" s="208">
        <v>0</v>
      </c>
      <c r="I304" s="208">
        <v>1307428</v>
      </c>
      <c r="J304" s="208">
        <v>-39447</v>
      </c>
      <c r="K304" s="208">
        <v>0</v>
      </c>
      <c r="L304" s="208">
        <v>-39447</v>
      </c>
      <c r="M304" s="208">
        <v>177573</v>
      </c>
      <c r="N304" s="208">
        <v>177573</v>
      </c>
      <c r="O304" s="208">
        <v>0</v>
      </c>
      <c r="P304" s="208">
        <v>0</v>
      </c>
      <c r="Q304" s="208">
        <v>0</v>
      </c>
      <c r="R304" s="208">
        <v>0</v>
      </c>
      <c r="S304" s="208">
        <v>0</v>
      </c>
      <c r="T304" s="208">
        <v>0</v>
      </c>
      <c r="U304" s="208">
        <v>0</v>
      </c>
      <c r="V304" s="208">
        <v>0</v>
      </c>
      <c r="W304" s="208">
        <v>0</v>
      </c>
      <c r="X304" s="208">
        <v>0</v>
      </c>
      <c r="Y304" s="208">
        <v>0</v>
      </c>
      <c r="Z304" s="208">
        <v>0</v>
      </c>
      <c r="AA304" s="208">
        <v>0</v>
      </c>
      <c r="AB304" s="208">
        <v>0</v>
      </c>
      <c r="AC304" s="208">
        <v>0</v>
      </c>
      <c r="AD304" s="208">
        <v>0</v>
      </c>
      <c r="AE304" s="208">
        <v>0</v>
      </c>
      <c r="AF304" s="208">
        <v>0</v>
      </c>
      <c r="AG304" s="208">
        <v>0</v>
      </c>
      <c r="AH304" s="208">
        <v>0</v>
      </c>
      <c r="AI304" s="208">
        <v>0</v>
      </c>
      <c r="AJ304" s="208">
        <v>0</v>
      </c>
      <c r="AK304" s="208">
        <v>0</v>
      </c>
      <c r="AL304" s="208">
        <v>0</v>
      </c>
      <c r="AM304" s="208">
        <v>0</v>
      </c>
      <c r="AN304" s="208">
        <v>0</v>
      </c>
      <c r="AO304" s="208">
        <v>0</v>
      </c>
      <c r="AP304" s="208">
        <v>0</v>
      </c>
      <c r="AQ304" s="208">
        <v>0</v>
      </c>
      <c r="AR304" s="208">
        <v>0</v>
      </c>
      <c r="AS304" s="208">
        <v>0</v>
      </c>
      <c r="AT304" s="208">
        <v>0</v>
      </c>
      <c r="AU304" s="208">
        <v>0</v>
      </c>
      <c r="AV304" s="208">
        <v>0</v>
      </c>
      <c r="AW304" s="208">
        <v>0</v>
      </c>
      <c r="AX304" s="208">
        <v>0</v>
      </c>
      <c r="AY304" s="208">
        <v>0</v>
      </c>
      <c r="AZ304" s="208">
        <v>0</v>
      </c>
      <c r="BA304" s="208">
        <v>0</v>
      </c>
      <c r="BB304" s="208">
        <v>0</v>
      </c>
      <c r="BC304" s="208">
        <v>0</v>
      </c>
      <c r="BD304" s="208">
        <v>0</v>
      </c>
      <c r="BE304" s="208">
        <v>0</v>
      </c>
      <c r="BF304" s="208">
        <v>0</v>
      </c>
      <c r="BG304" s="208">
        <v>0</v>
      </c>
      <c r="BH304" s="208">
        <v>0</v>
      </c>
      <c r="BI304" s="208">
        <v>0</v>
      </c>
      <c r="BJ304" s="208">
        <v>0</v>
      </c>
      <c r="BK304" s="208">
        <v>0</v>
      </c>
      <c r="BL304" s="208">
        <v>0</v>
      </c>
      <c r="BM304" s="208">
        <v>0</v>
      </c>
      <c r="BN304" s="208">
        <v>0</v>
      </c>
      <c r="BO304" s="208">
        <v>890832.90969500004</v>
      </c>
      <c r="BP304" s="208">
        <v>2078610.1226216666</v>
      </c>
      <c r="BQ304" s="208">
        <v>0</v>
      </c>
      <c r="BR304" s="208">
        <v>82543</v>
      </c>
      <c r="BS304" s="208">
        <v>192601</v>
      </c>
      <c r="BT304" s="208">
        <v>0</v>
      </c>
      <c r="BU304" s="208">
        <v>858728</v>
      </c>
      <c r="BV304" s="208">
        <v>2003699</v>
      </c>
      <c r="BW304" s="208">
        <v>0</v>
      </c>
      <c r="BX304" s="208">
        <v>114648</v>
      </c>
      <c r="BY304" s="208">
        <v>267512</v>
      </c>
      <c r="BZ304" s="208">
        <v>0</v>
      </c>
      <c r="CA304" s="208">
        <v>2078.1575000000003</v>
      </c>
      <c r="CB304" s="208">
        <v>4849.0341666666664</v>
      </c>
      <c r="CC304" s="208">
        <v>0</v>
      </c>
      <c r="CD304" s="208">
        <v>2703</v>
      </c>
      <c r="CE304" s="208">
        <v>6306</v>
      </c>
      <c r="CF304" s="208">
        <v>0</v>
      </c>
      <c r="CG304" s="208">
        <v>-625</v>
      </c>
      <c r="CH304" s="208">
        <v>-1457</v>
      </c>
      <c r="CI304" s="208">
        <v>0</v>
      </c>
      <c r="CJ304" s="208">
        <v>0</v>
      </c>
      <c r="CK304" s="208">
        <v>0</v>
      </c>
      <c r="CL304" s="208">
        <v>0</v>
      </c>
      <c r="CM304" s="208">
        <v>0</v>
      </c>
      <c r="CN304" s="208">
        <v>0</v>
      </c>
      <c r="CO304" s="208">
        <v>0</v>
      </c>
      <c r="CP304" s="208">
        <v>-22.401875</v>
      </c>
      <c r="CQ304" s="208">
        <v>-52.271041666666662</v>
      </c>
      <c r="CR304" s="208">
        <v>0</v>
      </c>
      <c r="CS304" s="208">
        <v>0</v>
      </c>
      <c r="CT304" s="208">
        <v>0</v>
      </c>
      <c r="CU304" s="208">
        <v>0</v>
      </c>
      <c r="CV304" s="208">
        <v>0</v>
      </c>
      <c r="CW304" s="208">
        <v>0</v>
      </c>
      <c r="CX304" s="208">
        <v>0</v>
      </c>
      <c r="CY304" s="208">
        <v>0</v>
      </c>
      <c r="CZ304" s="208">
        <v>0</v>
      </c>
      <c r="DA304" s="208">
        <v>0</v>
      </c>
      <c r="DB304" s="208">
        <v>0</v>
      </c>
      <c r="DC304" s="208">
        <v>0</v>
      </c>
      <c r="DD304" s="208">
        <v>0</v>
      </c>
      <c r="DE304" s="208">
        <v>1785.0918749999998</v>
      </c>
      <c r="DF304" s="208">
        <v>4165.2143749999996</v>
      </c>
      <c r="DG304" s="208">
        <v>0</v>
      </c>
      <c r="DH304" s="208">
        <v>1785</v>
      </c>
      <c r="DI304" s="208">
        <v>4165</v>
      </c>
      <c r="DJ304" s="208">
        <v>0</v>
      </c>
      <c r="DK304" s="208">
        <v>0</v>
      </c>
      <c r="DL304" s="208">
        <v>0</v>
      </c>
      <c r="DM304" s="208">
        <v>0</v>
      </c>
      <c r="DN304" s="208">
        <v>2301.5625</v>
      </c>
      <c r="DO304" s="208">
        <v>5370.3125</v>
      </c>
      <c r="DP304" s="208">
        <v>0</v>
      </c>
      <c r="DQ304" s="208">
        <v>460</v>
      </c>
      <c r="DR304" s="208">
        <v>1074</v>
      </c>
      <c r="DS304" s="208">
        <v>0</v>
      </c>
      <c r="DT304" s="208">
        <v>1842</v>
      </c>
      <c r="DU304" s="208">
        <v>4296</v>
      </c>
      <c r="DV304" s="208">
        <v>0</v>
      </c>
      <c r="DW304" s="208">
        <v>9277.1381250000013</v>
      </c>
      <c r="DX304" s="208">
        <v>21646.655624999999</v>
      </c>
      <c r="DY304" s="208">
        <v>0</v>
      </c>
      <c r="DZ304" s="208">
        <v>13704</v>
      </c>
      <c r="EA304" s="208">
        <v>31976</v>
      </c>
      <c r="EB304" s="208">
        <v>0</v>
      </c>
      <c r="EC304" s="208">
        <v>-4427</v>
      </c>
      <c r="ED304" s="208">
        <v>-10329</v>
      </c>
      <c r="EE304" s="208">
        <v>0</v>
      </c>
      <c r="EF304" s="208">
        <v>64531.516250000001</v>
      </c>
      <c r="EG304" s="208">
        <v>150573.53791666665</v>
      </c>
      <c r="EH304" s="208">
        <v>0</v>
      </c>
      <c r="EI304" s="208">
        <v>-10665.440624999999</v>
      </c>
      <c r="EJ304" s="208">
        <v>-24886.028124999997</v>
      </c>
      <c r="EK304" s="208">
        <v>0</v>
      </c>
      <c r="EL304" s="208">
        <v>73602</v>
      </c>
      <c r="EM304" s="208">
        <v>171738</v>
      </c>
      <c r="EN304" s="208">
        <v>0</v>
      </c>
      <c r="EO304" s="208">
        <v>-19736</v>
      </c>
      <c r="EP304" s="208">
        <v>-46050</v>
      </c>
      <c r="EQ304" s="208">
        <v>0</v>
      </c>
      <c r="ER304" s="208">
        <v>17856.442500000001</v>
      </c>
      <c r="ES304" s="208">
        <v>41665.032500000001</v>
      </c>
      <c r="ET304" s="208">
        <v>0</v>
      </c>
      <c r="EU304" s="208">
        <v>19026</v>
      </c>
      <c r="EV304" s="208">
        <v>44395</v>
      </c>
      <c r="EW304" s="208">
        <v>0</v>
      </c>
      <c r="EX304" s="208">
        <v>-1170</v>
      </c>
      <c r="EY304" s="208">
        <v>-2730</v>
      </c>
      <c r="EZ304" s="208">
        <v>0</v>
      </c>
      <c r="FA304" s="208">
        <v>0</v>
      </c>
      <c r="FB304" s="208">
        <v>0</v>
      </c>
      <c r="FC304" s="208">
        <v>0</v>
      </c>
      <c r="FD304" s="208">
        <v>0</v>
      </c>
      <c r="FE304" s="208">
        <v>0</v>
      </c>
      <c r="FF304" s="208">
        <v>0</v>
      </c>
      <c r="FG304" s="208">
        <v>0</v>
      </c>
      <c r="FH304" s="208">
        <v>0</v>
      </c>
      <c r="FI304" s="208">
        <v>0</v>
      </c>
      <c r="FJ304" s="208">
        <v>276360.89971874992</v>
      </c>
      <c r="FK304" s="208">
        <v>644842.09934374993</v>
      </c>
      <c r="FL304" s="208">
        <v>0</v>
      </c>
      <c r="FM304" s="208">
        <v>265167</v>
      </c>
      <c r="FN304" s="208">
        <v>618723</v>
      </c>
      <c r="FO304" s="208">
        <v>0</v>
      </c>
      <c r="FP304" s="208">
        <v>11194</v>
      </c>
      <c r="FQ304" s="208">
        <v>26119</v>
      </c>
      <c r="FR304" s="208">
        <v>0</v>
      </c>
      <c r="FS304" s="208">
        <v>0</v>
      </c>
      <c r="FT304" s="208">
        <v>0</v>
      </c>
      <c r="FU304" s="208">
        <v>0</v>
      </c>
      <c r="FV304" s="208">
        <v>0</v>
      </c>
      <c r="FW304" s="208">
        <v>0</v>
      </c>
      <c r="FX304" s="208">
        <v>0</v>
      </c>
      <c r="FY304" s="208">
        <v>0</v>
      </c>
      <c r="FZ304" s="208">
        <v>0</v>
      </c>
      <c r="GA304" s="208">
        <v>0</v>
      </c>
      <c r="GB304" s="208">
        <v>1336880</v>
      </c>
      <c r="GC304" s="208">
        <v>3119385</v>
      </c>
      <c r="GD304" s="208">
        <v>0</v>
      </c>
      <c r="GE304" s="664">
        <v>0</v>
      </c>
      <c r="GF304" s="664">
        <v>0.3</v>
      </c>
      <c r="GG304" s="664">
        <v>0.7</v>
      </c>
      <c r="GH304" s="664">
        <v>0</v>
      </c>
      <c r="GI304" s="187" t="s">
        <v>1054</v>
      </c>
    </row>
    <row r="305" spans="2:191" s="187" customFormat="1" x14ac:dyDescent="0.2">
      <c r="B305" s="429" t="s">
        <v>688</v>
      </c>
      <c r="C305" s="429" t="s">
        <v>687</v>
      </c>
      <c r="D305" s="208">
        <v>909189</v>
      </c>
      <c r="E305" s="208">
        <v>0</v>
      </c>
      <c r="F305" s="208">
        <v>909189</v>
      </c>
      <c r="G305" s="208">
        <v>910751</v>
      </c>
      <c r="H305" s="208">
        <v>0</v>
      </c>
      <c r="I305" s="208">
        <v>910751</v>
      </c>
      <c r="J305" s="208">
        <v>-1562</v>
      </c>
      <c r="K305" s="208">
        <v>0</v>
      </c>
      <c r="L305" s="208">
        <v>-1562</v>
      </c>
      <c r="M305" s="208">
        <v>219003</v>
      </c>
      <c r="N305" s="208">
        <v>219003</v>
      </c>
      <c r="O305" s="208">
        <v>0</v>
      </c>
      <c r="P305" s="208">
        <v>0</v>
      </c>
      <c r="Q305" s="208">
        <v>0</v>
      </c>
      <c r="R305" s="208">
        <v>0</v>
      </c>
      <c r="S305" s="208">
        <v>219252</v>
      </c>
      <c r="T305" s="208">
        <v>0</v>
      </c>
      <c r="U305" s="208">
        <v>216820</v>
      </c>
      <c r="V305" s="208">
        <v>0</v>
      </c>
      <c r="W305" s="208">
        <v>2432</v>
      </c>
      <c r="X305" s="208">
        <v>0</v>
      </c>
      <c r="Y305" s="208">
        <v>0</v>
      </c>
      <c r="Z305" s="208">
        <v>0</v>
      </c>
      <c r="AA305" s="208">
        <v>0</v>
      </c>
      <c r="AB305" s="208">
        <v>0</v>
      </c>
      <c r="AC305" s="208">
        <v>0</v>
      </c>
      <c r="AD305" s="208">
        <v>0</v>
      </c>
      <c r="AE305" s="208">
        <v>0</v>
      </c>
      <c r="AF305" s="208">
        <v>0</v>
      </c>
      <c r="AG305" s="208">
        <v>0</v>
      </c>
      <c r="AH305" s="208">
        <v>0</v>
      </c>
      <c r="AI305" s="208">
        <v>0</v>
      </c>
      <c r="AJ305" s="208">
        <v>0</v>
      </c>
      <c r="AK305" s="208">
        <v>0</v>
      </c>
      <c r="AL305" s="208">
        <v>0</v>
      </c>
      <c r="AM305" s="208">
        <v>0</v>
      </c>
      <c r="AN305" s="208">
        <v>0</v>
      </c>
      <c r="AO305" s="208">
        <v>0</v>
      </c>
      <c r="AP305" s="208">
        <v>0</v>
      </c>
      <c r="AQ305" s="208">
        <v>0</v>
      </c>
      <c r="AR305" s="208">
        <v>0</v>
      </c>
      <c r="AS305" s="208">
        <v>0</v>
      </c>
      <c r="AT305" s="208">
        <v>0</v>
      </c>
      <c r="AU305" s="208">
        <v>0</v>
      </c>
      <c r="AV305" s="208">
        <v>0</v>
      </c>
      <c r="AW305" s="208">
        <v>0</v>
      </c>
      <c r="AX305" s="208">
        <v>0</v>
      </c>
      <c r="AY305" s="208">
        <v>0</v>
      </c>
      <c r="AZ305" s="208">
        <v>0</v>
      </c>
      <c r="BA305" s="208">
        <v>0</v>
      </c>
      <c r="BB305" s="208">
        <v>0</v>
      </c>
      <c r="BC305" s="208">
        <v>0</v>
      </c>
      <c r="BD305" s="208">
        <v>0</v>
      </c>
      <c r="BE305" s="208">
        <v>0</v>
      </c>
      <c r="BF305" s="208">
        <v>0</v>
      </c>
      <c r="BG305" s="208">
        <v>0</v>
      </c>
      <c r="BH305" s="208">
        <v>0</v>
      </c>
      <c r="BI305" s="208">
        <v>0</v>
      </c>
      <c r="BJ305" s="208">
        <v>0</v>
      </c>
      <c r="BK305" s="208">
        <v>0</v>
      </c>
      <c r="BL305" s="208">
        <v>0</v>
      </c>
      <c r="BM305" s="208">
        <v>0</v>
      </c>
      <c r="BN305" s="208">
        <v>0</v>
      </c>
      <c r="BO305" s="208">
        <v>2384056.1751416675</v>
      </c>
      <c r="BP305" s="208">
        <v>536412.63940687513</v>
      </c>
      <c r="BQ305" s="208">
        <v>59601.404378541672</v>
      </c>
      <c r="BR305" s="208">
        <v>104448</v>
      </c>
      <c r="BS305" s="208">
        <v>23501</v>
      </c>
      <c r="BT305" s="208">
        <v>2611</v>
      </c>
      <c r="BU305" s="208">
        <v>2231929</v>
      </c>
      <c r="BV305" s="208">
        <v>502184</v>
      </c>
      <c r="BW305" s="208">
        <v>55798</v>
      </c>
      <c r="BX305" s="208">
        <v>256575</v>
      </c>
      <c r="BY305" s="208">
        <v>57730</v>
      </c>
      <c r="BZ305" s="208">
        <v>6414</v>
      </c>
      <c r="CA305" s="208">
        <v>11747.175000000001</v>
      </c>
      <c r="CB305" s="208">
        <v>2643.1143750000001</v>
      </c>
      <c r="CC305" s="208">
        <v>293.67937499999999</v>
      </c>
      <c r="CD305" s="208">
        <v>10882</v>
      </c>
      <c r="CE305" s="208">
        <v>2448</v>
      </c>
      <c r="CF305" s="208">
        <v>272</v>
      </c>
      <c r="CG305" s="208">
        <v>865</v>
      </c>
      <c r="CH305" s="208">
        <v>195</v>
      </c>
      <c r="CI305" s="208">
        <v>22</v>
      </c>
      <c r="CJ305" s="208">
        <v>0</v>
      </c>
      <c r="CK305" s="208">
        <v>0</v>
      </c>
      <c r="CL305" s="208">
        <v>0</v>
      </c>
      <c r="CM305" s="208">
        <v>0</v>
      </c>
      <c r="CN305" s="208">
        <v>0</v>
      </c>
      <c r="CO305" s="208">
        <v>0</v>
      </c>
      <c r="CP305" s="208">
        <v>-445.99166666666673</v>
      </c>
      <c r="CQ305" s="208">
        <v>-100.348125</v>
      </c>
      <c r="CR305" s="208">
        <v>-11.149791666666667</v>
      </c>
      <c r="CS305" s="208">
        <v>0</v>
      </c>
      <c r="CT305" s="208">
        <v>0</v>
      </c>
      <c r="CU305" s="208">
        <v>0</v>
      </c>
      <c r="CV305" s="208">
        <v>0</v>
      </c>
      <c r="CW305" s="208">
        <v>0</v>
      </c>
      <c r="CX305" s="208">
        <v>0</v>
      </c>
      <c r="CY305" s="208">
        <v>0</v>
      </c>
      <c r="CZ305" s="208">
        <v>0</v>
      </c>
      <c r="DA305" s="208">
        <v>0</v>
      </c>
      <c r="DB305" s="208">
        <v>5202.5541666666668</v>
      </c>
      <c r="DC305" s="208">
        <v>1170.5746875</v>
      </c>
      <c r="DD305" s="208">
        <v>130.06385416666666</v>
      </c>
      <c r="DE305" s="208">
        <v>15549.97</v>
      </c>
      <c r="DF305" s="208">
        <v>3498.74325</v>
      </c>
      <c r="DG305" s="208">
        <v>388.74925000000002</v>
      </c>
      <c r="DH305" s="208">
        <v>14591</v>
      </c>
      <c r="DI305" s="208">
        <v>3283</v>
      </c>
      <c r="DJ305" s="208">
        <v>365</v>
      </c>
      <c r="DK305" s="208">
        <v>959</v>
      </c>
      <c r="DL305" s="208">
        <v>216</v>
      </c>
      <c r="DM305" s="208">
        <v>24</v>
      </c>
      <c r="DN305" s="208">
        <v>0</v>
      </c>
      <c r="DO305" s="208">
        <v>0</v>
      </c>
      <c r="DP305" s="208">
        <v>0</v>
      </c>
      <c r="DQ305" s="208">
        <v>0</v>
      </c>
      <c r="DR305" s="208">
        <v>0</v>
      </c>
      <c r="DS305" s="208">
        <v>0</v>
      </c>
      <c r="DT305" s="208">
        <v>0</v>
      </c>
      <c r="DU305" s="208">
        <v>0</v>
      </c>
      <c r="DV305" s="208">
        <v>0</v>
      </c>
      <c r="DW305" s="208">
        <v>23074.954166666666</v>
      </c>
      <c r="DX305" s="208">
        <v>5191.8646874999995</v>
      </c>
      <c r="DY305" s="208">
        <v>576.87385416666666</v>
      </c>
      <c r="DZ305" s="208">
        <v>25139</v>
      </c>
      <c r="EA305" s="208">
        <v>5656</v>
      </c>
      <c r="EB305" s="208">
        <v>628</v>
      </c>
      <c r="EC305" s="208">
        <v>-2064</v>
      </c>
      <c r="ED305" s="208">
        <v>-464</v>
      </c>
      <c r="EE305" s="208">
        <v>-51</v>
      </c>
      <c r="EF305" s="208">
        <v>43266.920000000006</v>
      </c>
      <c r="EG305" s="208">
        <v>9735.0570000000007</v>
      </c>
      <c r="EH305" s="208">
        <v>1081.673</v>
      </c>
      <c r="EI305" s="208">
        <v>4202.1416666666664</v>
      </c>
      <c r="EJ305" s="208">
        <v>945.48187499999995</v>
      </c>
      <c r="EK305" s="208">
        <v>105.05354166666666</v>
      </c>
      <c r="EL305" s="208">
        <v>62193</v>
      </c>
      <c r="EM305" s="208">
        <v>13994</v>
      </c>
      <c r="EN305" s="208">
        <v>1555</v>
      </c>
      <c r="EO305" s="208">
        <v>-14724</v>
      </c>
      <c r="EP305" s="208">
        <v>-3313</v>
      </c>
      <c r="EQ305" s="208">
        <v>-368</v>
      </c>
      <c r="ER305" s="208">
        <v>34133.092499999999</v>
      </c>
      <c r="ES305" s="208">
        <v>7679.9458125000001</v>
      </c>
      <c r="ET305" s="208">
        <v>853.32731249999995</v>
      </c>
      <c r="EU305" s="208">
        <v>34571</v>
      </c>
      <c r="EV305" s="208">
        <v>7778</v>
      </c>
      <c r="EW305" s="208">
        <v>864</v>
      </c>
      <c r="EX305" s="208">
        <v>-438</v>
      </c>
      <c r="EY305" s="208">
        <v>-98</v>
      </c>
      <c r="EZ305" s="208">
        <v>-11</v>
      </c>
      <c r="FA305" s="208">
        <v>0</v>
      </c>
      <c r="FB305" s="208">
        <v>0</v>
      </c>
      <c r="FC305" s="208">
        <v>0</v>
      </c>
      <c r="FD305" s="208">
        <v>0</v>
      </c>
      <c r="FE305" s="208">
        <v>0</v>
      </c>
      <c r="FF305" s="208">
        <v>0</v>
      </c>
      <c r="FG305" s="208">
        <v>0</v>
      </c>
      <c r="FH305" s="208">
        <v>0</v>
      </c>
      <c r="FI305" s="208">
        <v>0</v>
      </c>
      <c r="FJ305" s="208">
        <v>284616.07166666666</v>
      </c>
      <c r="FK305" s="208">
        <v>62908.097999999998</v>
      </c>
      <c r="FL305" s="208">
        <v>6989.7886666666664</v>
      </c>
      <c r="FM305" s="208">
        <v>286610</v>
      </c>
      <c r="FN305" s="208">
        <v>63369</v>
      </c>
      <c r="FO305" s="208">
        <v>7041</v>
      </c>
      <c r="FP305" s="208">
        <v>-1994</v>
      </c>
      <c r="FQ305" s="208">
        <v>-461</v>
      </c>
      <c r="FR305" s="208">
        <v>-51</v>
      </c>
      <c r="FS305" s="208">
        <v>0</v>
      </c>
      <c r="FT305" s="208">
        <v>0</v>
      </c>
      <c r="FU305" s="208">
        <v>0</v>
      </c>
      <c r="FV305" s="208">
        <v>0</v>
      </c>
      <c r="FW305" s="208">
        <v>0</v>
      </c>
      <c r="FX305" s="208">
        <v>0</v>
      </c>
      <c r="FY305" s="208">
        <v>0</v>
      </c>
      <c r="FZ305" s="208">
        <v>0</v>
      </c>
      <c r="GA305" s="208">
        <v>0</v>
      </c>
      <c r="GB305" s="208">
        <v>2909851</v>
      </c>
      <c r="GC305" s="208">
        <v>653587</v>
      </c>
      <c r="GD305" s="208">
        <v>72621</v>
      </c>
      <c r="GE305" s="664">
        <v>0.5</v>
      </c>
      <c r="GF305" s="664">
        <v>0.4</v>
      </c>
      <c r="GG305" s="664">
        <v>0.09</v>
      </c>
      <c r="GH305" s="664">
        <v>0.01</v>
      </c>
      <c r="GI305" s="187" t="s">
        <v>1054</v>
      </c>
    </row>
    <row r="306" spans="2:191" s="187" customFormat="1" x14ac:dyDescent="0.2">
      <c r="B306" s="429" t="s">
        <v>690</v>
      </c>
      <c r="C306" s="429" t="s">
        <v>689</v>
      </c>
      <c r="D306" s="208">
        <v>-345795</v>
      </c>
      <c r="E306" s="208">
        <v>0</v>
      </c>
      <c r="F306" s="208">
        <v>-345795</v>
      </c>
      <c r="G306" s="208">
        <v>-926947</v>
      </c>
      <c r="H306" s="208">
        <v>0</v>
      </c>
      <c r="I306" s="208">
        <v>-926947</v>
      </c>
      <c r="J306" s="208">
        <v>581152</v>
      </c>
      <c r="K306" s="208">
        <v>0</v>
      </c>
      <c r="L306" s="208">
        <v>581152</v>
      </c>
      <c r="M306" s="208">
        <v>108409</v>
      </c>
      <c r="N306" s="208">
        <v>108409</v>
      </c>
      <c r="O306" s="208">
        <v>0</v>
      </c>
      <c r="P306" s="208">
        <v>0</v>
      </c>
      <c r="Q306" s="208">
        <v>0</v>
      </c>
      <c r="R306" s="208">
        <v>0</v>
      </c>
      <c r="S306" s="208">
        <v>41727</v>
      </c>
      <c r="T306" s="208">
        <v>0</v>
      </c>
      <c r="U306" s="208">
        <v>31143</v>
      </c>
      <c r="V306" s="208">
        <v>0</v>
      </c>
      <c r="W306" s="208">
        <v>10584</v>
      </c>
      <c r="X306" s="208">
        <v>0</v>
      </c>
      <c r="Y306" s="208">
        <v>0</v>
      </c>
      <c r="Z306" s="208">
        <v>0</v>
      </c>
      <c r="AA306" s="208">
        <v>0</v>
      </c>
      <c r="AB306" s="208">
        <v>0</v>
      </c>
      <c r="AC306" s="208">
        <v>0</v>
      </c>
      <c r="AD306" s="208">
        <v>0</v>
      </c>
      <c r="AE306" s="208">
        <v>0</v>
      </c>
      <c r="AF306" s="208">
        <v>0</v>
      </c>
      <c r="AG306" s="208">
        <v>0</v>
      </c>
      <c r="AH306" s="208">
        <v>0</v>
      </c>
      <c r="AI306" s="208">
        <v>0</v>
      </c>
      <c r="AJ306" s="208">
        <v>0</v>
      </c>
      <c r="AK306" s="208">
        <v>0</v>
      </c>
      <c r="AL306" s="208">
        <v>0</v>
      </c>
      <c r="AM306" s="208">
        <v>0</v>
      </c>
      <c r="AN306" s="208">
        <v>0</v>
      </c>
      <c r="AO306" s="208">
        <v>0</v>
      </c>
      <c r="AP306" s="208">
        <v>0</v>
      </c>
      <c r="AQ306" s="208">
        <v>0</v>
      </c>
      <c r="AR306" s="208">
        <v>0</v>
      </c>
      <c r="AS306" s="208">
        <v>0</v>
      </c>
      <c r="AT306" s="208">
        <v>0</v>
      </c>
      <c r="AU306" s="208">
        <v>0</v>
      </c>
      <c r="AV306" s="208">
        <v>0</v>
      </c>
      <c r="AW306" s="208">
        <v>0</v>
      </c>
      <c r="AX306" s="208">
        <v>0</v>
      </c>
      <c r="AY306" s="208">
        <v>0</v>
      </c>
      <c r="AZ306" s="208">
        <v>0</v>
      </c>
      <c r="BA306" s="208">
        <v>0</v>
      </c>
      <c r="BB306" s="208">
        <v>0</v>
      </c>
      <c r="BC306" s="208">
        <v>0</v>
      </c>
      <c r="BD306" s="208">
        <v>0</v>
      </c>
      <c r="BE306" s="208">
        <v>0</v>
      </c>
      <c r="BF306" s="208">
        <v>0</v>
      </c>
      <c r="BG306" s="208">
        <v>0</v>
      </c>
      <c r="BH306" s="208">
        <v>0</v>
      </c>
      <c r="BI306" s="208">
        <v>0</v>
      </c>
      <c r="BJ306" s="208">
        <v>0</v>
      </c>
      <c r="BK306" s="208">
        <v>0</v>
      </c>
      <c r="BL306" s="208">
        <v>0</v>
      </c>
      <c r="BM306" s="208">
        <v>0</v>
      </c>
      <c r="BN306" s="208">
        <v>0</v>
      </c>
      <c r="BO306" s="208">
        <v>969124.87238583353</v>
      </c>
      <c r="BP306" s="208">
        <v>242281.21809645838</v>
      </c>
      <c r="BQ306" s="208">
        <v>0</v>
      </c>
      <c r="BR306" s="208">
        <v>56574</v>
      </c>
      <c r="BS306" s="208">
        <v>14144</v>
      </c>
      <c r="BT306" s="208">
        <v>0</v>
      </c>
      <c r="BU306" s="208">
        <v>911365</v>
      </c>
      <c r="BV306" s="208">
        <v>227841</v>
      </c>
      <c r="BW306" s="208">
        <v>0</v>
      </c>
      <c r="BX306" s="208">
        <v>114334</v>
      </c>
      <c r="BY306" s="208">
        <v>28584</v>
      </c>
      <c r="BZ306" s="208">
        <v>0</v>
      </c>
      <c r="CA306" s="208">
        <v>0</v>
      </c>
      <c r="CB306" s="208">
        <v>0</v>
      </c>
      <c r="CC306" s="208">
        <v>0</v>
      </c>
      <c r="CD306" s="208">
        <v>0</v>
      </c>
      <c r="CE306" s="208">
        <v>0</v>
      </c>
      <c r="CF306" s="208">
        <v>0</v>
      </c>
      <c r="CG306" s="208">
        <v>0</v>
      </c>
      <c r="CH306" s="208">
        <v>0</v>
      </c>
      <c r="CI306" s="208">
        <v>0</v>
      </c>
      <c r="CJ306" s="208">
        <v>0</v>
      </c>
      <c r="CK306" s="208">
        <v>0</v>
      </c>
      <c r="CL306" s="208">
        <v>0</v>
      </c>
      <c r="CM306" s="208">
        <v>-1836.7491666666665</v>
      </c>
      <c r="CN306" s="208">
        <v>-459.18729166666662</v>
      </c>
      <c r="CO306" s="208">
        <v>0</v>
      </c>
      <c r="CP306" s="208">
        <v>-1674.31</v>
      </c>
      <c r="CQ306" s="208">
        <v>-418.57749999999999</v>
      </c>
      <c r="CR306" s="208">
        <v>0</v>
      </c>
      <c r="CS306" s="208">
        <v>0</v>
      </c>
      <c r="CT306" s="208">
        <v>0</v>
      </c>
      <c r="CU306" s="208">
        <v>0</v>
      </c>
      <c r="CV306" s="208">
        <v>0</v>
      </c>
      <c r="CW306" s="208">
        <v>0</v>
      </c>
      <c r="CX306" s="208">
        <v>0</v>
      </c>
      <c r="CY306" s="208">
        <v>0</v>
      </c>
      <c r="CZ306" s="208">
        <v>0</v>
      </c>
      <c r="DA306" s="208">
        <v>0</v>
      </c>
      <c r="DB306" s="208">
        <v>0</v>
      </c>
      <c r="DC306" s="208">
        <v>0</v>
      </c>
      <c r="DD306" s="208">
        <v>0</v>
      </c>
      <c r="DE306" s="208">
        <v>0</v>
      </c>
      <c r="DF306" s="208">
        <v>0</v>
      </c>
      <c r="DG306" s="208">
        <v>0</v>
      </c>
      <c r="DH306" s="208">
        <v>0</v>
      </c>
      <c r="DI306" s="208">
        <v>0</v>
      </c>
      <c r="DJ306" s="208">
        <v>0</v>
      </c>
      <c r="DK306" s="208">
        <v>0</v>
      </c>
      <c r="DL306" s="208">
        <v>0</v>
      </c>
      <c r="DM306" s="208">
        <v>0</v>
      </c>
      <c r="DN306" s="208">
        <v>0</v>
      </c>
      <c r="DO306" s="208">
        <v>0</v>
      </c>
      <c r="DP306" s="208">
        <v>0</v>
      </c>
      <c r="DQ306" s="208">
        <v>0</v>
      </c>
      <c r="DR306" s="208">
        <v>0</v>
      </c>
      <c r="DS306" s="208">
        <v>0</v>
      </c>
      <c r="DT306" s="208">
        <v>0</v>
      </c>
      <c r="DU306" s="208">
        <v>0</v>
      </c>
      <c r="DV306" s="208">
        <v>0</v>
      </c>
      <c r="DW306" s="208">
        <v>0</v>
      </c>
      <c r="DX306" s="208">
        <v>0</v>
      </c>
      <c r="DY306" s="208">
        <v>0</v>
      </c>
      <c r="DZ306" s="208">
        <v>0</v>
      </c>
      <c r="EA306" s="208">
        <v>0</v>
      </c>
      <c r="EB306" s="208">
        <v>0</v>
      </c>
      <c r="EC306" s="208">
        <v>0</v>
      </c>
      <c r="ED306" s="208">
        <v>0</v>
      </c>
      <c r="EE306" s="208">
        <v>0</v>
      </c>
      <c r="EF306" s="208">
        <v>12617.063333333334</v>
      </c>
      <c r="EG306" s="208">
        <v>3154.2658333333334</v>
      </c>
      <c r="EH306" s="208">
        <v>0</v>
      </c>
      <c r="EI306" s="208">
        <v>-2685.7700000000004</v>
      </c>
      <c r="EJ306" s="208">
        <v>-671.44250000000011</v>
      </c>
      <c r="EK306" s="208">
        <v>0</v>
      </c>
      <c r="EL306" s="208">
        <v>11822</v>
      </c>
      <c r="EM306" s="208">
        <v>2955</v>
      </c>
      <c r="EN306" s="208">
        <v>0</v>
      </c>
      <c r="EO306" s="208">
        <v>-1891</v>
      </c>
      <c r="EP306" s="208">
        <v>-472</v>
      </c>
      <c r="EQ306" s="208">
        <v>0</v>
      </c>
      <c r="ER306" s="208">
        <v>9484.0741666666672</v>
      </c>
      <c r="ES306" s="208">
        <v>2371.0185416666668</v>
      </c>
      <c r="ET306" s="208">
        <v>0</v>
      </c>
      <c r="EU306" s="208">
        <v>7552</v>
      </c>
      <c r="EV306" s="208">
        <v>1888</v>
      </c>
      <c r="EW306" s="208">
        <v>0</v>
      </c>
      <c r="EX306" s="208">
        <v>1932</v>
      </c>
      <c r="EY306" s="208">
        <v>483</v>
      </c>
      <c r="EZ306" s="208">
        <v>0</v>
      </c>
      <c r="FA306" s="208">
        <v>0</v>
      </c>
      <c r="FB306" s="208">
        <v>0</v>
      </c>
      <c r="FC306" s="208">
        <v>0</v>
      </c>
      <c r="FD306" s="208">
        <v>0</v>
      </c>
      <c r="FE306" s="208">
        <v>0</v>
      </c>
      <c r="FF306" s="208">
        <v>0</v>
      </c>
      <c r="FG306" s="208">
        <v>0</v>
      </c>
      <c r="FH306" s="208">
        <v>0</v>
      </c>
      <c r="FI306" s="208">
        <v>0</v>
      </c>
      <c r="FJ306" s="208">
        <v>254960.34208333335</v>
      </c>
      <c r="FK306" s="208">
        <v>63501.024583333332</v>
      </c>
      <c r="FL306" s="208">
        <v>0</v>
      </c>
      <c r="FM306" s="208">
        <v>259390</v>
      </c>
      <c r="FN306" s="208">
        <v>64669</v>
      </c>
      <c r="FO306" s="208">
        <v>0</v>
      </c>
      <c r="FP306" s="208">
        <v>-4430</v>
      </c>
      <c r="FQ306" s="208">
        <v>-1168</v>
      </c>
      <c r="FR306" s="208">
        <v>0</v>
      </c>
      <c r="FS306" s="208">
        <v>0</v>
      </c>
      <c r="FT306" s="208">
        <v>0</v>
      </c>
      <c r="FU306" s="208">
        <v>0</v>
      </c>
      <c r="FV306" s="208">
        <v>0</v>
      </c>
      <c r="FW306" s="208">
        <v>0</v>
      </c>
      <c r="FX306" s="208">
        <v>0</v>
      </c>
      <c r="FY306" s="208">
        <v>0</v>
      </c>
      <c r="FZ306" s="208">
        <v>0</v>
      </c>
      <c r="GA306" s="208">
        <v>0</v>
      </c>
      <c r="GB306" s="208">
        <v>1296563</v>
      </c>
      <c r="GC306" s="208">
        <v>323902</v>
      </c>
      <c r="GD306" s="208">
        <v>0</v>
      </c>
      <c r="GE306" s="664">
        <v>0.5</v>
      </c>
      <c r="GF306" s="664">
        <v>0.4</v>
      </c>
      <c r="GG306" s="664">
        <v>0.1</v>
      </c>
      <c r="GH306" s="664">
        <v>0</v>
      </c>
      <c r="GI306" s="187" t="s">
        <v>1054</v>
      </c>
    </row>
    <row r="307" spans="2:191" s="187" customFormat="1" x14ac:dyDescent="0.2">
      <c r="B307" s="429" t="s">
        <v>692</v>
      </c>
      <c r="C307" s="429" t="s">
        <v>691</v>
      </c>
      <c r="D307" s="208">
        <v>-327953</v>
      </c>
      <c r="E307" s="208">
        <v>0</v>
      </c>
      <c r="F307" s="208">
        <v>-327953</v>
      </c>
      <c r="G307" s="208">
        <v>-367835</v>
      </c>
      <c r="H307" s="208">
        <v>0</v>
      </c>
      <c r="I307" s="208">
        <v>-367835</v>
      </c>
      <c r="J307" s="208">
        <v>39882</v>
      </c>
      <c r="K307" s="208">
        <v>0</v>
      </c>
      <c r="L307" s="208">
        <v>39882</v>
      </c>
      <c r="M307" s="208">
        <v>152607</v>
      </c>
      <c r="N307" s="208">
        <v>152607</v>
      </c>
      <c r="O307" s="208">
        <v>0</v>
      </c>
      <c r="P307" s="208">
        <v>0</v>
      </c>
      <c r="Q307" s="208">
        <v>0</v>
      </c>
      <c r="R307" s="208">
        <v>0</v>
      </c>
      <c r="S307" s="208">
        <v>0</v>
      </c>
      <c r="T307" s="208">
        <v>0</v>
      </c>
      <c r="U307" s="208">
        <v>0</v>
      </c>
      <c r="V307" s="208">
        <v>0</v>
      </c>
      <c r="W307" s="208">
        <v>0</v>
      </c>
      <c r="X307" s="208">
        <v>0</v>
      </c>
      <c r="Y307" s="208">
        <v>0</v>
      </c>
      <c r="Z307" s="208">
        <v>0</v>
      </c>
      <c r="AA307" s="208">
        <v>0</v>
      </c>
      <c r="AB307" s="208">
        <v>0</v>
      </c>
      <c r="AC307" s="208">
        <v>0</v>
      </c>
      <c r="AD307" s="208">
        <v>0</v>
      </c>
      <c r="AE307" s="208">
        <v>0</v>
      </c>
      <c r="AF307" s="208">
        <v>0</v>
      </c>
      <c r="AG307" s="208">
        <v>0</v>
      </c>
      <c r="AH307" s="208">
        <v>0</v>
      </c>
      <c r="AI307" s="208">
        <v>0</v>
      </c>
      <c r="AJ307" s="208">
        <v>0</v>
      </c>
      <c r="AK307" s="208">
        <v>0</v>
      </c>
      <c r="AL307" s="208">
        <v>0</v>
      </c>
      <c r="AM307" s="208">
        <v>0</v>
      </c>
      <c r="AN307" s="208">
        <v>0</v>
      </c>
      <c r="AO307" s="208">
        <v>0</v>
      </c>
      <c r="AP307" s="208">
        <v>0</v>
      </c>
      <c r="AQ307" s="208">
        <v>0</v>
      </c>
      <c r="AR307" s="208">
        <v>0</v>
      </c>
      <c r="AS307" s="208">
        <v>0</v>
      </c>
      <c r="AT307" s="208">
        <v>0</v>
      </c>
      <c r="AU307" s="208">
        <v>0</v>
      </c>
      <c r="AV307" s="208">
        <v>0</v>
      </c>
      <c r="AW307" s="208">
        <v>0</v>
      </c>
      <c r="AX307" s="208">
        <v>0</v>
      </c>
      <c r="AY307" s="208">
        <v>0</v>
      </c>
      <c r="AZ307" s="208">
        <v>0</v>
      </c>
      <c r="BA307" s="208">
        <v>0</v>
      </c>
      <c r="BB307" s="208">
        <v>0</v>
      </c>
      <c r="BC307" s="208">
        <v>0</v>
      </c>
      <c r="BD307" s="208">
        <v>0</v>
      </c>
      <c r="BE307" s="208">
        <v>0</v>
      </c>
      <c r="BF307" s="208">
        <v>0</v>
      </c>
      <c r="BG307" s="208">
        <v>0</v>
      </c>
      <c r="BH307" s="208">
        <v>0</v>
      </c>
      <c r="BI307" s="208">
        <v>0</v>
      </c>
      <c r="BJ307" s="208">
        <v>0</v>
      </c>
      <c r="BK307" s="208">
        <v>0</v>
      </c>
      <c r="BL307" s="208">
        <v>0</v>
      </c>
      <c r="BM307" s="208">
        <v>0</v>
      </c>
      <c r="BN307" s="208">
        <v>0</v>
      </c>
      <c r="BO307" s="208">
        <v>673333.39378249994</v>
      </c>
      <c r="BP307" s="208">
        <v>168333.34844562499</v>
      </c>
      <c r="BQ307" s="208">
        <v>0</v>
      </c>
      <c r="BR307" s="208">
        <v>84769</v>
      </c>
      <c r="BS307" s="208">
        <v>21192</v>
      </c>
      <c r="BT307" s="208">
        <v>0</v>
      </c>
      <c r="BU307" s="208">
        <v>613167</v>
      </c>
      <c r="BV307" s="208">
        <v>153292</v>
      </c>
      <c r="BW307" s="208">
        <v>0</v>
      </c>
      <c r="BX307" s="208">
        <v>144935</v>
      </c>
      <c r="BY307" s="208">
        <v>36233</v>
      </c>
      <c r="BZ307" s="208">
        <v>0</v>
      </c>
      <c r="CA307" s="208">
        <v>0</v>
      </c>
      <c r="CB307" s="208">
        <v>0</v>
      </c>
      <c r="CC307" s="208">
        <v>0</v>
      </c>
      <c r="CD307" s="208">
        <v>0</v>
      </c>
      <c r="CE307" s="208">
        <v>0</v>
      </c>
      <c r="CF307" s="208">
        <v>0</v>
      </c>
      <c r="CG307" s="208">
        <v>0</v>
      </c>
      <c r="CH307" s="208">
        <v>0</v>
      </c>
      <c r="CI307" s="208">
        <v>0</v>
      </c>
      <c r="CJ307" s="208">
        <v>0</v>
      </c>
      <c r="CK307" s="208">
        <v>0</v>
      </c>
      <c r="CL307" s="208">
        <v>0</v>
      </c>
      <c r="CM307" s="208">
        <v>0</v>
      </c>
      <c r="CN307" s="208">
        <v>0</v>
      </c>
      <c r="CO307" s="208">
        <v>0</v>
      </c>
      <c r="CP307" s="208">
        <v>0</v>
      </c>
      <c r="CQ307" s="208">
        <v>0</v>
      </c>
      <c r="CR307" s="208">
        <v>0</v>
      </c>
      <c r="CS307" s="208">
        <v>0</v>
      </c>
      <c r="CT307" s="208">
        <v>0</v>
      </c>
      <c r="CU307" s="208">
        <v>0</v>
      </c>
      <c r="CV307" s="208">
        <v>0</v>
      </c>
      <c r="CW307" s="208">
        <v>0</v>
      </c>
      <c r="CX307" s="208">
        <v>0</v>
      </c>
      <c r="CY307" s="208">
        <v>0</v>
      </c>
      <c r="CZ307" s="208">
        <v>0</v>
      </c>
      <c r="DA307" s="208">
        <v>0</v>
      </c>
      <c r="DB307" s="208">
        <v>0</v>
      </c>
      <c r="DC307" s="208">
        <v>0</v>
      </c>
      <c r="DD307" s="208">
        <v>0</v>
      </c>
      <c r="DE307" s="208">
        <v>0</v>
      </c>
      <c r="DF307" s="208">
        <v>0</v>
      </c>
      <c r="DG307" s="208">
        <v>0</v>
      </c>
      <c r="DH307" s="208">
        <v>0</v>
      </c>
      <c r="DI307" s="208">
        <v>0</v>
      </c>
      <c r="DJ307" s="208">
        <v>0</v>
      </c>
      <c r="DK307" s="208">
        <v>0</v>
      </c>
      <c r="DL307" s="208">
        <v>0</v>
      </c>
      <c r="DM307" s="208">
        <v>0</v>
      </c>
      <c r="DN307" s="208">
        <v>613.75</v>
      </c>
      <c r="DO307" s="208">
        <v>153.4375</v>
      </c>
      <c r="DP307" s="208">
        <v>0</v>
      </c>
      <c r="DQ307" s="208">
        <v>614</v>
      </c>
      <c r="DR307" s="208">
        <v>153</v>
      </c>
      <c r="DS307" s="208">
        <v>0</v>
      </c>
      <c r="DT307" s="208">
        <v>0</v>
      </c>
      <c r="DU307" s="208">
        <v>0</v>
      </c>
      <c r="DV307" s="208">
        <v>0</v>
      </c>
      <c r="DW307" s="208">
        <v>20435.420000000002</v>
      </c>
      <c r="DX307" s="208">
        <v>5108.8550000000005</v>
      </c>
      <c r="DY307" s="208">
        <v>0</v>
      </c>
      <c r="DZ307" s="208">
        <v>21922</v>
      </c>
      <c r="EA307" s="208">
        <v>5481</v>
      </c>
      <c r="EB307" s="208">
        <v>0</v>
      </c>
      <c r="EC307" s="208">
        <v>-1487</v>
      </c>
      <c r="ED307" s="208">
        <v>-372</v>
      </c>
      <c r="EE307" s="208">
        <v>0</v>
      </c>
      <c r="EF307" s="208">
        <v>44189.590833333335</v>
      </c>
      <c r="EG307" s="208">
        <v>11047.397708333334</v>
      </c>
      <c r="EH307" s="208">
        <v>0</v>
      </c>
      <c r="EI307" s="208">
        <v>0</v>
      </c>
      <c r="EJ307" s="208">
        <v>0</v>
      </c>
      <c r="EK307" s="208">
        <v>0</v>
      </c>
      <c r="EL307" s="208">
        <v>50338</v>
      </c>
      <c r="EM307" s="208">
        <v>12584</v>
      </c>
      <c r="EN307" s="208">
        <v>0</v>
      </c>
      <c r="EO307" s="208">
        <v>-6148</v>
      </c>
      <c r="EP307" s="208">
        <v>-1537</v>
      </c>
      <c r="EQ307" s="208">
        <v>0</v>
      </c>
      <c r="ER307" s="208">
        <v>15300.787499999999</v>
      </c>
      <c r="ES307" s="208">
        <v>3825.1968749999996</v>
      </c>
      <c r="ET307" s="208">
        <v>0</v>
      </c>
      <c r="EU307" s="208">
        <v>15548</v>
      </c>
      <c r="EV307" s="208">
        <v>3887</v>
      </c>
      <c r="EW307" s="208">
        <v>0</v>
      </c>
      <c r="EX307" s="208">
        <v>-247</v>
      </c>
      <c r="EY307" s="208">
        <v>-62</v>
      </c>
      <c r="EZ307" s="208">
        <v>0</v>
      </c>
      <c r="FA307" s="208">
        <v>0</v>
      </c>
      <c r="FB307" s="208">
        <v>0</v>
      </c>
      <c r="FC307" s="208">
        <v>0</v>
      </c>
      <c r="FD307" s="208">
        <v>0</v>
      </c>
      <c r="FE307" s="208">
        <v>0</v>
      </c>
      <c r="FF307" s="208">
        <v>0</v>
      </c>
      <c r="FG307" s="208">
        <v>0</v>
      </c>
      <c r="FH307" s="208">
        <v>0</v>
      </c>
      <c r="FI307" s="208">
        <v>0</v>
      </c>
      <c r="FJ307" s="208">
        <v>525590.85333333327</v>
      </c>
      <c r="FK307" s="208">
        <v>131397.71333333332</v>
      </c>
      <c r="FL307" s="208">
        <v>0</v>
      </c>
      <c r="FM307" s="208">
        <v>556532</v>
      </c>
      <c r="FN307" s="208">
        <v>139133</v>
      </c>
      <c r="FO307" s="208">
        <v>0</v>
      </c>
      <c r="FP307" s="208">
        <v>-30941</v>
      </c>
      <c r="FQ307" s="208">
        <v>-7735</v>
      </c>
      <c r="FR307" s="208">
        <v>0</v>
      </c>
      <c r="FS307" s="208">
        <v>0</v>
      </c>
      <c r="FT307" s="208">
        <v>0</v>
      </c>
      <c r="FU307" s="208">
        <v>0</v>
      </c>
      <c r="FV307" s="208">
        <v>0</v>
      </c>
      <c r="FW307" s="208">
        <v>0</v>
      </c>
      <c r="FX307" s="208">
        <v>0</v>
      </c>
      <c r="FY307" s="208">
        <v>0</v>
      </c>
      <c r="FZ307" s="208">
        <v>0</v>
      </c>
      <c r="GA307" s="208">
        <v>0</v>
      </c>
      <c r="GB307" s="208">
        <v>1364233</v>
      </c>
      <c r="GC307" s="208">
        <v>341057</v>
      </c>
      <c r="GD307" s="208">
        <v>0</v>
      </c>
      <c r="GE307" s="664">
        <v>0.5</v>
      </c>
      <c r="GF307" s="664">
        <v>0.4</v>
      </c>
      <c r="GG307" s="664">
        <v>0.1</v>
      </c>
      <c r="GH307" s="664">
        <v>0</v>
      </c>
      <c r="GI307" s="187" t="s">
        <v>1054</v>
      </c>
    </row>
    <row r="308" spans="2:191" s="187" customFormat="1" x14ac:dyDescent="0.2">
      <c r="B308" s="429" t="s">
        <v>694</v>
      </c>
      <c r="C308" s="429" t="s">
        <v>693</v>
      </c>
      <c r="D308" s="208">
        <v>-1144920</v>
      </c>
      <c r="E308" s="208">
        <v>0</v>
      </c>
      <c r="F308" s="208">
        <v>-1144920</v>
      </c>
      <c r="G308" s="208">
        <v>-2444147</v>
      </c>
      <c r="H308" s="208">
        <v>0</v>
      </c>
      <c r="I308" s="208">
        <v>-2444147</v>
      </c>
      <c r="J308" s="208">
        <v>1299227</v>
      </c>
      <c r="K308" s="208">
        <v>0</v>
      </c>
      <c r="L308" s="208">
        <v>1299227</v>
      </c>
      <c r="M308" s="208">
        <v>254389</v>
      </c>
      <c r="N308" s="208">
        <v>254389</v>
      </c>
      <c r="O308" s="208">
        <v>0</v>
      </c>
      <c r="P308" s="208">
        <v>0</v>
      </c>
      <c r="Q308" s="208">
        <v>0</v>
      </c>
      <c r="R308" s="208">
        <v>0</v>
      </c>
      <c r="S308" s="208">
        <v>0</v>
      </c>
      <c r="T308" s="208">
        <v>0</v>
      </c>
      <c r="U308" s="208">
        <v>0</v>
      </c>
      <c r="V308" s="208">
        <v>0</v>
      </c>
      <c r="W308" s="208">
        <v>0</v>
      </c>
      <c r="X308" s="208">
        <v>0</v>
      </c>
      <c r="Y308" s="208">
        <v>0</v>
      </c>
      <c r="Z308" s="208">
        <v>0</v>
      </c>
      <c r="AA308" s="208">
        <v>0</v>
      </c>
      <c r="AB308" s="208">
        <v>0</v>
      </c>
      <c r="AC308" s="208">
        <v>0</v>
      </c>
      <c r="AD308" s="208">
        <v>0</v>
      </c>
      <c r="AE308" s="208">
        <v>0</v>
      </c>
      <c r="AF308" s="208">
        <v>0</v>
      </c>
      <c r="AG308" s="208">
        <v>0</v>
      </c>
      <c r="AH308" s="208">
        <v>0</v>
      </c>
      <c r="AI308" s="208">
        <v>0</v>
      </c>
      <c r="AJ308" s="208">
        <v>0</v>
      </c>
      <c r="AK308" s="208">
        <v>0</v>
      </c>
      <c r="AL308" s="208">
        <v>0</v>
      </c>
      <c r="AM308" s="208">
        <v>0</v>
      </c>
      <c r="AN308" s="208">
        <v>0</v>
      </c>
      <c r="AO308" s="208">
        <v>0</v>
      </c>
      <c r="AP308" s="208">
        <v>0</v>
      </c>
      <c r="AQ308" s="208">
        <v>0</v>
      </c>
      <c r="AR308" s="208">
        <v>0</v>
      </c>
      <c r="AS308" s="208">
        <v>0</v>
      </c>
      <c r="AT308" s="208">
        <v>0</v>
      </c>
      <c r="AU308" s="208">
        <v>0</v>
      </c>
      <c r="AV308" s="208">
        <v>0</v>
      </c>
      <c r="AW308" s="208">
        <v>0</v>
      </c>
      <c r="AX308" s="208">
        <v>0</v>
      </c>
      <c r="AY308" s="208">
        <v>0</v>
      </c>
      <c r="AZ308" s="208">
        <v>0</v>
      </c>
      <c r="BA308" s="208">
        <v>0</v>
      </c>
      <c r="BB308" s="208">
        <v>0</v>
      </c>
      <c r="BC308" s="208">
        <v>0</v>
      </c>
      <c r="BD308" s="208">
        <v>0</v>
      </c>
      <c r="BE308" s="208">
        <v>0</v>
      </c>
      <c r="BF308" s="208">
        <v>0</v>
      </c>
      <c r="BG308" s="208">
        <v>0</v>
      </c>
      <c r="BH308" s="208">
        <v>0</v>
      </c>
      <c r="BI308" s="208">
        <v>0</v>
      </c>
      <c r="BJ308" s="208">
        <v>0</v>
      </c>
      <c r="BK308" s="208">
        <v>0</v>
      </c>
      <c r="BL308" s="208">
        <v>0</v>
      </c>
      <c r="BM308" s="208">
        <v>0</v>
      </c>
      <c r="BN308" s="208">
        <v>0</v>
      </c>
      <c r="BO308" s="208">
        <v>3709836.9305765624</v>
      </c>
      <c r="BP308" s="208">
        <v>0</v>
      </c>
      <c r="BQ308" s="208">
        <v>37473.100308854169</v>
      </c>
      <c r="BR308" s="208">
        <v>383575</v>
      </c>
      <c r="BS308" s="208">
        <v>0</v>
      </c>
      <c r="BT308" s="208">
        <v>3874</v>
      </c>
      <c r="BU308" s="208">
        <v>3141783</v>
      </c>
      <c r="BV308" s="208">
        <v>0</v>
      </c>
      <c r="BW308" s="208">
        <v>31735</v>
      </c>
      <c r="BX308" s="208">
        <v>951629</v>
      </c>
      <c r="BY308" s="208">
        <v>0</v>
      </c>
      <c r="BZ308" s="208">
        <v>9612</v>
      </c>
      <c r="CA308" s="208">
        <v>14200.9168125</v>
      </c>
      <c r="CB308" s="208">
        <v>0</v>
      </c>
      <c r="CC308" s="208">
        <v>143.44360416666669</v>
      </c>
      <c r="CD308" s="208">
        <v>26948</v>
      </c>
      <c r="CE308" s="208">
        <v>0</v>
      </c>
      <c r="CF308" s="208">
        <v>272</v>
      </c>
      <c r="CG308" s="208">
        <v>-12747</v>
      </c>
      <c r="CH308" s="208">
        <v>0</v>
      </c>
      <c r="CI308" s="208">
        <v>-129</v>
      </c>
      <c r="CJ308" s="208">
        <v>0</v>
      </c>
      <c r="CK308" s="208">
        <v>0</v>
      </c>
      <c r="CL308" s="208">
        <v>0</v>
      </c>
      <c r="CM308" s="208">
        <v>-286.59056249999998</v>
      </c>
      <c r="CN308" s="208">
        <v>0</v>
      </c>
      <c r="CO308" s="208">
        <v>-2.8948541666666667</v>
      </c>
      <c r="CP308" s="208">
        <v>0</v>
      </c>
      <c r="CQ308" s="208">
        <v>0</v>
      </c>
      <c r="CR308" s="208">
        <v>0</v>
      </c>
      <c r="CS308" s="208">
        <v>0</v>
      </c>
      <c r="CT308" s="208">
        <v>0</v>
      </c>
      <c r="CU308" s="208">
        <v>0</v>
      </c>
      <c r="CV308" s="208">
        <v>0</v>
      </c>
      <c r="CW308" s="208">
        <v>0</v>
      </c>
      <c r="CX308" s="208">
        <v>0</v>
      </c>
      <c r="CY308" s="208">
        <v>0</v>
      </c>
      <c r="CZ308" s="208">
        <v>0</v>
      </c>
      <c r="DA308" s="208">
        <v>0</v>
      </c>
      <c r="DB308" s="208">
        <v>0</v>
      </c>
      <c r="DC308" s="208">
        <v>0</v>
      </c>
      <c r="DD308" s="208">
        <v>0</v>
      </c>
      <c r="DE308" s="208">
        <v>0</v>
      </c>
      <c r="DF308" s="208">
        <v>0</v>
      </c>
      <c r="DG308" s="208">
        <v>0</v>
      </c>
      <c r="DH308" s="208">
        <v>0</v>
      </c>
      <c r="DI308" s="208">
        <v>0</v>
      </c>
      <c r="DJ308" s="208">
        <v>0</v>
      </c>
      <c r="DK308" s="208">
        <v>0</v>
      </c>
      <c r="DL308" s="208">
        <v>0</v>
      </c>
      <c r="DM308" s="208">
        <v>0</v>
      </c>
      <c r="DN308" s="208">
        <v>0</v>
      </c>
      <c r="DO308" s="208">
        <v>0</v>
      </c>
      <c r="DP308" s="208">
        <v>0</v>
      </c>
      <c r="DQ308" s="208">
        <v>0</v>
      </c>
      <c r="DR308" s="208">
        <v>0</v>
      </c>
      <c r="DS308" s="208">
        <v>0</v>
      </c>
      <c r="DT308" s="208">
        <v>0</v>
      </c>
      <c r="DU308" s="208">
        <v>0</v>
      </c>
      <c r="DV308" s="208">
        <v>0</v>
      </c>
      <c r="DW308" s="208">
        <v>51149.832937500003</v>
      </c>
      <c r="DX308" s="208">
        <v>0</v>
      </c>
      <c r="DY308" s="208">
        <v>516.66497916666663</v>
      </c>
      <c r="DZ308" s="208">
        <v>83129</v>
      </c>
      <c r="EA308" s="208">
        <v>0</v>
      </c>
      <c r="EB308" s="208">
        <v>840</v>
      </c>
      <c r="EC308" s="208">
        <v>-31979</v>
      </c>
      <c r="ED308" s="208">
        <v>0</v>
      </c>
      <c r="EE308" s="208">
        <v>-323</v>
      </c>
      <c r="EF308" s="208">
        <v>262284.03712500003</v>
      </c>
      <c r="EG308" s="208">
        <v>0</v>
      </c>
      <c r="EH308" s="208">
        <v>2649.3337083333336</v>
      </c>
      <c r="EI308" s="208">
        <v>-29963.39775</v>
      </c>
      <c r="EJ308" s="208">
        <v>0</v>
      </c>
      <c r="EK308" s="208">
        <v>-302.66058333333336</v>
      </c>
      <c r="EL308" s="208">
        <v>202537</v>
      </c>
      <c r="EM308" s="208">
        <v>0</v>
      </c>
      <c r="EN308" s="208">
        <v>2046</v>
      </c>
      <c r="EO308" s="208">
        <v>29784</v>
      </c>
      <c r="EP308" s="208">
        <v>0</v>
      </c>
      <c r="EQ308" s="208">
        <v>301</v>
      </c>
      <c r="ER308" s="208">
        <v>87065.807812500003</v>
      </c>
      <c r="ES308" s="208">
        <v>0</v>
      </c>
      <c r="ET308" s="208">
        <v>879.45260416666679</v>
      </c>
      <c r="EU308" s="208">
        <v>81015</v>
      </c>
      <c r="EV308" s="208">
        <v>0</v>
      </c>
      <c r="EW308" s="208">
        <v>818</v>
      </c>
      <c r="EX308" s="208">
        <v>6051</v>
      </c>
      <c r="EY308" s="208">
        <v>0</v>
      </c>
      <c r="EZ308" s="208">
        <v>61</v>
      </c>
      <c r="FA308" s="208">
        <v>0</v>
      </c>
      <c r="FB308" s="208">
        <v>0</v>
      </c>
      <c r="FC308" s="208">
        <v>0</v>
      </c>
      <c r="FD308" s="208">
        <v>0</v>
      </c>
      <c r="FE308" s="208">
        <v>0</v>
      </c>
      <c r="FF308" s="208">
        <v>0</v>
      </c>
      <c r="FG308" s="208">
        <v>0</v>
      </c>
      <c r="FH308" s="208">
        <v>0</v>
      </c>
      <c r="FI308" s="208">
        <v>0</v>
      </c>
      <c r="FJ308" s="208">
        <v>1930709.4943124996</v>
      </c>
      <c r="FK308" s="208">
        <v>0</v>
      </c>
      <c r="FL308" s="208">
        <v>19502.116104166667</v>
      </c>
      <c r="FM308" s="208">
        <v>1959735</v>
      </c>
      <c r="FN308" s="208">
        <v>0</v>
      </c>
      <c r="FO308" s="208">
        <v>19795</v>
      </c>
      <c r="FP308" s="208">
        <v>-29026</v>
      </c>
      <c r="FQ308" s="208">
        <v>0</v>
      </c>
      <c r="FR308" s="208">
        <v>-293</v>
      </c>
      <c r="FS308" s="208">
        <v>0</v>
      </c>
      <c r="FT308" s="208">
        <v>0</v>
      </c>
      <c r="FU308" s="208">
        <v>0</v>
      </c>
      <c r="FV308" s="208">
        <v>0</v>
      </c>
      <c r="FW308" s="208">
        <v>0</v>
      </c>
      <c r="FX308" s="208">
        <v>0</v>
      </c>
      <c r="FY308" s="208">
        <v>0</v>
      </c>
      <c r="FZ308" s="208">
        <v>0</v>
      </c>
      <c r="GA308" s="208">
        <v>0</v>
      </c>
      <c r="GB308" s="208">
        <v>6408572</v>
      </c>
      <c r="GC308" s="208">
        <v>0</v>
      </c>
      <c r="GD308" s="208">
        <v>64731</v>
      </c>
      <c r="GE308" s="664">
        <v>0</v>
      </c>
      <c r="GF308" s="664">
        <v>0.99</v>
      </c>
      <c r="GG308" s="664">
        <v>0</v>
      </c>
      <c r="GH308" s="664">
        <v>0.01</v>
      </c>
      <c r="GI308" s="187" t="s">
        <v>742</v>
      </c>
    </row>
    <row r="309" spans="2:191" s="187" customFormat="1" x14ac:dyDescent="0.2">
      <c r="B309" s="429" t="s">
        <v>696</v>
      </c>
      <c r="C309" s="429" t="s">
        <v>695</v>
      </c>
      <c r="D309" s="208">
        <v>400436</v>
      </c>
      <c r="E309" s="208">
        <v>0</v>
      </c>
      <c r="F309" s="208">
        <v>400436</v>
      </c>
      <c r="G309" s="208">
        <v>368260</v>
      </c>
      <c r="H309" s="208">
        <v>0</v>
      </c>
      <c r="I309" s="208">
        <v>368260</v>
      </c>
      <c r="J309" s="208">
        <v>32176</v>
      </c>
      <c r="K309" s="208">
        <v>0</v>
      </c>
      <c r="L309" s="208">
        <v>32176</v>
      </c>
      <c r="M309" s="208">
        <v>84021</v>
      </c>
      <c r="N309" s="208">
        <v>84021</v>
      </c>
      <c r="O309" s="208">
        <v>0</v>
      </c>
      <c r="P309" s="208">
        <v>0</v>
      </c>
      <c r="Q309" s="208">
        <v>0</v>
      </c>
      <c r="R309" s="208">
        <v>0</v>
      </c>
      <c r="S309" s="208">
        <v>0</v>
      </c>
      <c r="T309" s="208">
        <v>0</v>
      </c>
      <c r="U309" s="208">
        <v>0</v>
      </c>
      <c r="V309" s="208">
        <v>0</v>
      </c>
      <c r="W309" s="208">
        <v>0</v>
      </c>
      <c r="X309" s="208">
        <v>0</v>
      </c>
      <c r="Y309" s="208">
        <v>0</v>
      </c>
      <c r="Z309" s="208">
        <v>0</v>
      </c>
      <c r="AA309" s="208">
        <v>0</v>
      </c>
      <c r="AB309" s="208">
        <v>0</v>
      </c>
      <c r="AC309" s="208">
        <v>0</v>
      </c>
      <c r="AD309" s="208">
        <v>0</v>
      </c>
      <c r="AE309" s="208">
        <v>0</v>
      </c>
      <c r="AF309" s="208">
        <v>0</v>
      </c>
      <c r="AG309" s="208">
        <v>0</v>
      </c>
      <c r="AH309" s="208">
        <v>0</v>
      </c>
      <c r="AI309" s="208">
        <v>0</v>
      </c>
      <c r="AJ309" s="208">
        <v>0</v>
      </c>
      <c r="AK309" s="208">
        <v>0</v>
      </c>
      <c r="AL309" s="208">
        <v>0</v>
      </c>
      <c r="AM309" s="208">
        <v>0</v>
      </c>
      <c r="AN309" s="208">
        <v>0</v>
      </c>
      <c r="AO309" s="208">
        <v>0</v>
      </c>
      <c r="AP309" s="208">
        <v>0</v>
      </c>
      <c r="AQ309" s="208">
        <v>0</v>
      </c>
      <c r="AR309" s="208">
        <v>0</v>
      </c>
      <c r="AS309" s="208">
        <v>0</v>
      </c>
      <c r="AT309" s="208">
        <v>0</v>
      </c>
      <c r="AU309" s="208">
        <v>0</v>
      </c>
      <c r="AV309" s="208">
        <v>0</v>
      </c>
      <c r="AW309" s="208">
        <v>0</v>
      </c>
      <c r="AX309" s="208">
        <v>0</v>
      </c>
      <c r="AY309" s="208">
        <v>0</v>
      </c>
      <c r="AZ309" s="208">
        <v>0</v>
      </c>
      <c r="BA309" s="208">
        <v>0</v>
      </c>
      <c r="BB309" s="208">
        <v>0</v>
      </c>
      <c r="BC309" s="208">
        <v>0</v>
      </c>
      <c r="BD309" s="208">
        <v>0</v>
      </c>
      <c r="BE309" s="208">
        <v>0</v>
      </c>
      <c r="BF309" s="208">
        <v>0</v>
      </c>
      <c r="BG309" s="208">
        <v>0</v>
      </c>
      <c r="BH309" s="208">
        <v>0</v>
      </c>
      <c r="BI309" s="208">
        <v>0</v>
      </c>
      <c r="BJ309" s="208">
        <v>0</v>
      </c>
      <c r="BK309" s="208">
        <v>0</v>
      </c>
      <c r="BL309" s="208">
        <v>0</v>
      </c>
      <c r="BM309" s="208">
        <v>0</v>
      </c>
      <c r="BN309" s="208">
        <v>0</v>
      </c>
      <c r="BO309" s="208">
        <v>699374.01045333338</v>
      </c>
      <c r="BP309" s="208">
        <v>1031576.6654186668</v>
      </c>
      <c r="BQ309" s="208">
        <v>17484.350261333337</v>
      </c>
      <c r="BR309" s="208">
        <v>33133</v>
      </c>
      <c r="BS309" s="208">
        <v>48871</v>
      </c>
      <c r="BT309" s="208">
        <v>828</v>
      </c>
      <c r="BU309" s="208">
        <v>733973</v>
      </c>
      <c r="BV309" s="208">
        <v>1082611</v>
      </c>
      <c r="BW309" s="208">
        <v>18349</v>
      </c>
      <c r="BX309" s="208">
        <v>-1466</v>
      </c>
      <c r="BY309" s="208">
        <v>-2163</v>
      </c>
      <c r="BZ309" s="208">
        <v>-37</v>
      </c>
      <c r="CA309" s="208">
        <v>0</v>
      </c>
      <c r="CB309" s="208">
        <v>0</v>
      </c>
      <c r="CC309" s="208">
        <v>0</v>
      </c>
      <c r="CD309" s="208">
        <v>0</v>
      </c>
      <c r="CE309" s="208">
        <v>0</v>
      </c>
      <c r="CF309" s="208">
        <v>0</v>
      </c>
      <c r="CG309" s="208">
        <v>0</v>
      </c>
      <c r="CH309" s="208">
        <v>0</v>
      </c>
      <c r="CI309" s="208">
        <v>0</v>
      </c>
      <c r="CJ309" s="208">
        <v>0</v>
      </c>
      <c r="CK309" s="208">
        <v>0</v>
      </c>
      <c r="CL309" s="208">
        <v>0</v>
      </c>
      <c r="CM309" s="208">
        <v>0</v>
      </c>
      <c r="CN309" s="208">
        <v>0</v>
      </c>
      <c r="CO309" s="208">
        <v>0</v>
      </c>
      <c r="CP309" s="208">
        <v>-220.13166666666666</v>
      </c>
      <c r="CQ309" s="208">
        <v>-324.69420833333328</v>
      </c>
      <c r="CR309" s="208">
        <v>-5.5032916666666667</v>
      </c>
      <c r="CS309" s="208">
        <v>0</v>
      </c>
      <c r="CT309" s="208">
        <v>0</v>
      </c>
      <c r="CU309" s="208">
        <v>0</v>
      </c>
      <c r="CV309" s="208">
        <v>0</v>
      </c>
      <c r="CW309" s="208">
        <v>0</v>
      </c>
      <c r="CX309" s="208">
        <v>0</v>
      </c>
      <c r="CY309" s="208">
        <v>0</v>
      </c>
      <c r="CZ309" s="208">
        <v>0</v>
      </c>
      <c r="DA309" s="208">
        <v>0</v>
      </c>
      <c r="DB309" s="208">
        <v>0</v>
      </c>
      <c r="DC309" s="208">
        <v>0</v>
      </c>
      <c r="DD309" s="208">
        <v>0</v>
      </c>
      <c r="DE309" s="208">
        <v>17553.25</v>
      </c>
      <c r="DF309" s="208">
        <v>25891.043750000001</v>
      </c>
      <c r="DG309" s="208">
        <v>438.83125000000001</v>
      </c>
      <c r="DH309" s="208">
        <v>15982</v>
      </c>
      <c r="DI309" s="208">
        <v>23575</v>
      </c>
      <c r="DJ309" s="208">
        <v>400</v>
      </c>
      <c r="DK309" s="208">
        <v>1571</v>
      </c>
      <c r="DL309" s="208">
        <v>2316</v>
      </c>
      <c r="DM309" s="208">
        <v>39</v>
      </c>
      <c r="DN309" s="208">
        <v>613.75</v>
      </c>
      <c r="DO309" s="208">
        <v>905.28125</v>
      </c>
      <c r="DP309" s="208">
        <v>15.34375</v>
      </c>
      <c r="DQ309" s="208">
        <v>1841</v>
      </c>
      <c r="DR309" s="208">
        <v>2716</v>
      </c>
      <c r="DS309" s="208">
        <v>46</v>
      </c>
      <c r="DT309" s="208">
        <v>-1227</v>
      </c>
      <c r="DU309" s="208">
        <v>-1811</v>
      </c>
      <c r="DV309" s="208">
        <v>-31</v>
      </c>
      <c r="DW309" s="208">
        <v>8024.5766666666668</v>
      </c>
      <c r="DX309" s="208">
        <v>11836.250583333333</v>
      </c>
      <c r="DY309" s="208">
        <v>200.61441666666667</v>
      </c>
      <c r="DZ309" s="208">
        <v>8183</v>
      </c>
      <c r="EA309" s="208">
        <v>12070</v>
      </c>
      <c r="EB309" s="208">
        <v>205</v>
      </c>
      <c r="EC309" s="208">
        <v>-158</v>
      </c>
      <c r="ED309" s="208">
        <v>-234</v>
      </c>
      <c r="EE309" s="208">
        <v>-4</v>
      </c>
      <c r="EF309" s="208">
        <v>22244.755000000001</v>
      </c>
      <c r="EG309" s="208">
        <v>32811.013625</v>
      </c>
      <c r="EH309" s="208">
        <v>556.118875</v>
      </c>
      <c r="EI309" s="208">
        <v>62.340633333333336</v>
      </c>
      <c r="EJ309" s="208">
        <v>91.952434166666663</v>
      </c>
      <c r="EK309" s="208">
        <v>1.5585158333333333</v>
      </c>
      <c r="EL309" s="208">
        <v>22096</v>
      </c>
      <c r="EM309" s="208">
        <v>32590</v>
      </c>
      <c r="EN309" s="208">
        <v>552</v>
      </c>
      <c r="EO309" s="208">
        <v>211</v>
      </c>
      <c r="EP309" s="208">
        <v>313</v>
      </c>
      <c r="EQ309" s="208">
        <v>6</v>
      </c>
      <c r="ER309" s="208">
        <v>15556.1075</v>
      </c>
      <c r="ES309" s="208">
        <v>22945.258562499999</v>
      </c>
      <c r="ET309" s="208">
        <v>388.90268749999996</v>
      </c>
      <c r="EU309" s="208">
        <v>20459</v>
      </c>
      <c r="EV309" s="208">
        <v>30176</v>
      </c>
      <c r="EW309" s="208">
        <v>511</v>
      </c>
      <c r="EX309" s="208">
        <v>-4903</v>
      </c>
      <c r="EY309" s="208">
        <v>-7231</v>
      </c>
      <c r="EZ309" s="208">
        <v>-122</v>
      </c>
      <c r="FA309" s="208">
        <v>0</v>
      </c>
      <c r="FB309" s="208">
        <v>0</v>
      </c>
      <c r="FC309" s="208">
        <v>0</v>
      </c>
      <c r="FD309" s="208">
        <v>0</v>
      </c>
      <c r="FE309" s="208">
        <v>0</v>
      </c>
      <c r="FF309" s="208">
        <v>0</v>
      </c>
      <c r="FG309" s="208">
        <v>0</v>
      </c>
      <c r="FH309" s="208">
        <v>0</v>
      </c>
      <c r="FI309" s="208">
        <v>0</v>
      </c>
      <c r="FJ309" s="208">
        <v>94354.443333333329</v>
      </c>
      <c r="FK309" s="208">
        <v>139172.80391666666</v>
      </c>
      <c r="FL309" s="208">
        <v>2358.8610833333332</v>
      </c>
      <c r="FM309" s="208">
        <v>90068</v>
      </c>
      <c r="FN309" s="208">
        <v>132851</v>
      </c>
      <c r="FO309" s="208">
        <v>2252</v>
      </c>
      <c r="FP309" s="208">
        <v>4286</v>
      </c>
      <c r="FQ309" s="208">
        <v>6322</v>
      </c>
      <c r="FR309" s="208">
        <v>107</v>
      </c>
      <c r="FS309" s="208">
        <v>0</v>
      </c>
      <c r="FT309" s="208">
        <v>0</v>
      </c>
      <c r="FU309" s="208">
        <v>0</v>
      </c>
      <c r="FV309" s="208">
        <v>0</v>
      </c>
      <c r="FW309" s="208">
        <v>0</v>
      </c>
      <c r="FX309" s="208">
        <v>0</v>
      </c>
      <c r="FY309" s="208">
        <v>0</v>
      </c>
      <c r="FZ309" s="208">
        <v>0</v>
      </c>
      <c r="GA309" s="208">
        <v>0</v>
      </c>
      <c r="GB309" s="208">
        <v>890696</v>
      </c>
      <c r="GC309" s="208">
        <v>1313776</v>
      </c>
      <c r="GD309" s="208">
        <v>22267</v>
      </c>
      <c r="GE309" s="664">
        <v>0</v>
      </c>
      <c r="GF309" s="664">
        <v>0.4</v>
      </c>
      <c r="GG309" s="664">
        <v>0.59</v>
      </c>
      <c r="GH309" s="664">
        <v>0.01</v>
      </c>
      <c r="GI309" s="187" t="s">
        <v>1054</v>
      </c>
    </row>
    <row r="310" spans="2:191" s="187" customFormat="1" x14ac:dyDescent="0.2">
      <c r="B310" s="429" t="s">
        <v>698</v>
      </c>
      <c r="C310" s="429" t="s">
        <v>697</v>
      </c>
      <c r="D310" s="208">
        <v>1281541</v>
      </c>
      <c r="E310" s="208">
        <v>0</v>
      </c>
      <c r="F310" s="208">
        <v>1281541</v>
      </c>
      <c r="G310" s="208">
        <v>1252592</v>
      </c>
      <c r="H310" s="208">
        <v>0</v>
      </c>
      <c r="I310" s="208">
        <v>1252592</v>
      </c>
      <c r="J310" s="208">
        <v>28949</v>
      </c>
      <c r="K310" s="208">
        <v>0</v>
      </c>
      <c r="L310" s="208">
        <v>28949</v>
      </c>
      <c r="M310" s="208">
        <v>215188</v>
      </c>
      <c r="N310" s="208">
        <v>215188</v>
      </c>
      <c r="O310" s="208">
        <v>0</v>
      </c>
      <c r="P310" s="208">
        <v>0</v>
      </c>
      <c r="Q310" s="208">
        <v>0</v>
      </c>
      <c r="R310" s="208">
        <v>0</v>
      </c>
      <c r="S310" s="208">
        <v>204239</v>
      </c>
      <c r="T310" s="208">
        <v>2366</v>
      </c>
      <c r="U310" s="208">
        <v>157514</v>
      </c>
      <c r="V310" s="208">
        <v>0</v>
      </c>
      <c r="W310" s="208">
        <v>46725</v>
      </c>
      <c r="X310" s="208">
        <v>2366</v>
      </c>
      <c r="Y310" s="208">
        <v>0</v>
      </c>
      <c r="Z310" s="208">
        <v>0</v>
      </c>
      <c r="AA310" s="208">
        <v>0</v>
      </c>
      <c r="AB310" s="208">
        <v>0</v>
      </c>
      <c r="AC310" s="208">
        <v>0</v>
      </c>
      <c r="AD310" s="208">
        <v>0</v>
      </c>
      <c r="AE310" s="208">
        <v>0</v>
      </c>
      <c r="AF310" s="208">
        <v>0</v>
      </c>
      <c r="AG310" s="208">
        <v>0</v>
      </c>
      <c r="AH310" s="208">
        <v>0</v>
      </c>
      <c r="AI310" s="208">
        <v>0</v>
      </c>
      <c r="AJ310" s="208">
        <v>0</v>
      </c>
      <c r="AK310" s="208">
        <v>0</v>
      </c>
      <c r="AL310" s="208">
        <v>0</v>
      </c>
      <c r="AM310" s="208">
        <v>0</v>
      </c>
      <c r="AN310" s="208">
        <v>0</v>
      </c>
      <c r="AO310" s="208">
        <v>0</v>
      </c>
      <c r="AP310" s="208">
        <v>0</v>
      </c>
      <c r="AQ310" s="208">
        <v>0</v>
      </c>
      <c r="AR310" s="208">
        <v>0</v>
      </c>
      <c r="AS310" s="208">
        <v>0</v>
      </c>
      <c r="AT310" s="208">
        <v>0</v>
      </c>
      <c r="AU310" s="208">
        <v>0</v>
      </c>
      <c r="AV310" s="208">
        <v>0</v>
      </c>
      <c r="AW310" s="208">
        <v>0</v>
      </c>
      <c r="AX310" s="208">
        <v>0</v>
      </c>
      <c r="AY310" s="208">
        <v>0</v>
      </c>
      <c r="AZ310" s="208">
        <v>0</v>
      </c>
      <c r="BA310" s="208">
        <v>0</v>
      </c>
      <c r="BB310" s="208">
        <v>0</v>
      </c>
      <c r="BC310" s="208">
        <v>0</v>
      </c>
      <c r="BD310" s="208">
        <v>0</v>
      </c>
      <c r="BE310" s="208">
        <v>0</v>
      </c>
      <c r="BF310" s="208">
        <v>0</v>
      </c>
      <c r="BG310" s="208">
        <v>0</v>
      </c>
      <c r="BH310" s="208">
        <v>0</v>
      </c>
      <c r="BI310" s="208">
        <v>0</v>
      </c>
      <c r="BJ310" s="208">
        <v>0</v>
      </c>
      <c r="BK310" s="208">
        <v>0</v>
      </c>
      <c r="BL310" s="208">
        <v>0</v>
      </c>
      <c r="BM310" s="208">
        <v>0</v>
      </c>
      <c r="BN310" s="208">
        <v>0</v>
      </c>
      <c r="BO310" s="208">
        <v>1744442.4657708332</v>
      </c>
      <c r="BP310" s="208">
        <v>392499.55479843752</v>
      </c>
      <c r="BQ310" s="208">
        <v>43611.061644270841</v>
      </c>
      <c r="BR310" s="208">
        <v>105420</v>
      </c>
      <c r="BS310" s="208">
        <v>23720</v>
      </c>
      <c r="BT310" s="208">
        <v>2636</v>
      </c>
      <c r="BU310" s="208">
        <v>1680827</v>
      </c>
      <c r="BV310" s="208">
        <v>378186</v>
      </c>
      <c r="BW310" s="208">
        <v>42021</v>
      </c>
      <c r="BX310" s="208">
        <v>169035</v>
      </c>
      <c r="BY310" s="208">
        <v>38034</v>
      </c>
      <c r="BZ310" s="208">
        <v>4226</v>
      </c>
      <c r="CA310" s="208">
        <v>7171.0550000000003</v>
      </c>
      <c r="CB310" s="208">
        <v>1613.4873749999999</v>
      </c>
      <c r="CC310" s="208">
        <v>179.276375</v>
      </c>
      <c r="CD310" s="208">
        <v>2052</v>
      </c>
      <c r="CE310" s="208">
        <v>462</v>
      </c>
      <c r="CF310" s="208">
        <v>51</v>
      </c>
      <c r="CG310" s="208">
        <v>5119</v>
      </c>
      <c r="CH310" s="208">
        <v>1151</v>
      </c>
      <c r="CI310" s="208">
        <v>128</v>
      </c>
      <c r="CJ310" s="208">
        <v>-3095.3458333333333</v>
      </c>
      <c r="CK310" s="208">
        <v>-696.45281249999994</v>
      </c>
      <c r="CL310" s="208">
        <v>-77.383645833333333</v>
      </c>
      <c r="CM310" s="208">
        <v>0</v>
      </c>
      <c r="CN310" s="208">
        <v>0</v>
      </c>
      <c r="CO310" s="208">
        <v>0</v>
      </c>
      <c r="CP310" s="208">
        <v>-395.66416666666669</v>
      </c>
      <c r="CQ310" s="208">
        <v>-89.024437500000005</v>
      </c>
      <c r="CR310" s="208">
        <v>-9.8916041666666672</v>
      </c>
      <c r="CS310" s="208">
        <v>0</v>
      </c>
      <c r="CT310" s="208">
        <v>0</v>
      </c>
      <c r="CU310" s="208">
        <v>0</v>
      </c>
      <c r="CV310" s="208">
        <v>0</v>
      </c>
      <c r="CW310" s="208">
        <v>0</v>
      </c>
      <c r="CX310" s="208">
        <v>0</v>
      </c>
      <c r="CY310" s="208">
        <v>0</v>
      </c>
      <c r="CZ310" s="208">
        <v>0</v>
      </c>
      <c r="DA310" s="208">
        <v>0</v>
      </c>
      <c r="DB310" s="208">
        <v>0</v>
      </c>
      <c r="DC310" s="208">
        <v>0</v>
      </c>
      <c r="DD310" s="208">
        <v>0</v>
      </c>
      <c r="DE310" s="208">
        <v>26111.789166666666</v>
      </c>
      <c r="DF310" s="208">
        <v>5875.1525624999995</v>
      </c>
      <c r="DG310" s="208">
        <v>652.79472916666668</v>
      </c>
      <c r="DH310" s="208">
        <v>24610</v>
      </c>
      <c r="DI310" s="208">
        <v>5537</v>
      </c>
      <c r="DJ310" s="208">
        <v>615</v>
      </c>
      <c r="DK310" s="208">
        <v>1502</v>
      </c>
      <c r="DL310" s="208">
        <v>338</v>
      </c>
      <c r="DM310" s="208">
        <v>38</v>
      </c>
      <c r="DN310" s="208">
        <v>0</v>
      </c>
      <c r="DO310" s="208">
        <v>0</v>
      </c>
      <c r="DP310" s="208">
        <v>0</v>
      </c>
      <c r="DQ310" s="208">
        <v>0</v>
      </c>
      <c r="DR310" s="208">
        <v>0</v>
      </c>
      <c r="DS310" s="208">
        <v>0</v>
      </c>
      <c r="DT310" s="208">
        <v>0</v>
      </c>
      <c r="DU310" s="208">
        <v>0</v>
      </c>
      <c r="DV310" s="208">
        <v>0</v>
      </c>
      <c r="DW310" s="208">
        <v>20432.146666666671</v>
      </c>
      <c r="DX310" s="208">
        <v>4597.2330000000002</v>
      </c>
      <c r="DY310" s="208">
        <v>510.80366666666669</v>
      </c>
      <c r="DZ310" s="208">
        <v>21924</v>
      </c>
      <c r="EA310" s="208">
        <v>4933</v>
      </c>
      <c r="EB310" s="208">
        <v>548</v>
      </c>
      <c r="EC310" s="208">
        <v>-1492</v>
      </c>
      <c r="ED310" s="208">
        <v>-336</v>
      </c>
      <c r="EE310" s="208">
        <v>-37</v>
      </c>
      <c r="EF310" s="208">
        <v>86639.405000000013</v>
      </c>
      <c r="EG310" s="208">
        <v>19493.866125</v>
      </c>
      <c r="EH310" s="208">
        <v>2165.9851250000002</v>
      </c>
      <c r="EI310" s="208">
        <v>-11653.885000000002</v>
      </c>
      <c r="EJ310" s="208">
        <v>-2622.1241249999998</v>
      </c>
      <c r="EK310" s="208">
        <v>-291.34712500000001</v>
      </c>
      <c r="EL310" s="208">
        <v>86639</v>
      </c>
      <c r="EM310" s="208">
        <v>19494</v>
      </c>
      <c r="EN310" s="208">
        <v>2166</v>
      </c>
      <c r="EO310" s="208">
        <v>-11653</v>
      </c>
      <c r="EP310" s="208">
        <v>-2622</v>
      </c>
      <c r="EQ310" s="208">
        <v>-291</v>
      </c>
      <c r="ER310" s="208">
        <v>34569.673333333332</v>
      </c>
      <c r="ES310" s="208">
        <v>7778.1764999999987</v>
      </c>
      <c r="ET310" s="208">
        <v>864.24183333333326</v>
      </c>
      <c r="EU310" s="208">
        <v>34002</v>
      </c>
      <c r="EV310" s="208">
        <v>7650</v>
      </c>
      <c r="EW310" s="208">
        <v>850</v>
      </c>
      <c r="EX310" s="208">
        <v>568</v>
      </c>
      <c r="EY310" s="208">
        <v>128</v>
      </c>
      <c r="EZ310" s="208">
        <v>14</v>
      </c>
      <c r="FA310" s="208">
        <v>0</v>
      </c>
      <c r="FB310" s="208">
        <v>0</v>
      </c>
      <c r="FC310" s="208">
        <v>0</v>
      </c>
      <c r="FD310" s="208">
        <v>0</v>
      </c>
      <c r="FE310" s="208">
        <v>0</v>
      </c>
      <c r="FF310" s="208">
        <v>0</v>
      </c>
      <c r="FG310" s="208">
        <v>0</v>
      </c>
      <c r="FH310" s="208">
        <v>0</v>
      </c>
      <c r="FI310" s="208">
        <v>0</v>
      </c>
      <c r="FJ310" s="208">
        <v>276821.04541666666</v>
      </c>
      <c r="FK310" s="208">
        <v>61285.848708333331</v>
      </c>
      <c r="FL310" s="208">
        <v>6803.514208333333</v>
      </c>
      <c r="FM310" s="208">
        <v>265350</v>
      </c>
      <c r="FN310" s="208">
        <v>58892</v>
      </c>
      <c r="FO310" s="208">
        <v>6544</v>
      </c>
      <c r="FP310" s="208">
        <v>11471</v>
      </c>
      <c r="FQ310" s="208">
        <v>2394</v>
      </c>
      <c r="FR310" s="208">
        <v>260</v>
      </c>
      <c r="FS310" s="208">
        <v>0</v>
      </c>
      <c r="FT310" s="208">
        <v>0</v>
      </c>
      <c r="FU310" s="208">
        <v>0</v>
      </c>
      <c r="FV310" s="208">
        <v>0</v>
      </c>
      <c r="FW310" s="208">
        <v>0</v>
      </c>
      <c r="FX310" s="208">
        <v>0</v>
      </c>
      <c r="FY310" s="208">
        <v>0</v>
      </c>
      <c r="FZ310" s="208">
        <v>0</v>
      </c>
      <c r="GA310" s="208">
        <v>0</v>
      </c>
      <c r="GB310" s="208">
        <v>2286462</v>
      </c>
      <c r="GC310" s="208">
        <v>513456</v>
      </c>
      <c r="GD310" s="208">
        <v>57046</v>
      </c>
      <c r="GE310" s="664">
        <v>0.5</v>
      </c>
      <c r="GF310" s="664">
        <v>0.4</v>
      </c>
      <c r="GG310" s="664">
        <v>0.09</v>
      </c>
      <c r="GH310" s="664">
        <v>0.01</v>
      </c>
      <c r="GI310" s="187" t="s">
        <v>1054</v>
      </c>
    </row>
    <row r="311" spans="2:191" s="187" customFormat="1" x14ac:dyDescent="0.2">
      <c r="B311" s="429" t="s">
        <v>700</v>
      </c>
      <c r="C311" s="429" t="s">
        <v>699</v>
      </c>
      <c r="D311" s="208">
        <v>-647704</v>
      </c>
      <c r="E311" s="208">
        <v>0</v>
      </c>
      <c r="F311" s="208">
        <v>-647704</v>
      </c>
      <c r="G311" s="208">
        <v>-1010963</v>
      </c>
      <c r="H311" s="208">
        <v>0</v>
      </c>
      <c r="I311" s="208">
        <v>-1010963</v>
      </c>
      <c r="J311" s="208">
        <v>363259</v>
      </c>
      <c r="K311" s="208">
        <v>0</v>
      </c>
      <c r="L311" s="208">
        <v>363259</v>
      </c>
      <c r="M311" s="208">
        <v>129089</v>
      </c>
      <c r="N311" s="208">
        <v>129089</v>
      </c>
      <c r="O311" s="208">
        <v>0</v>
      </c>
      <c r="P311" s="208">
        <v>0</v>
      </c>
      <c r="Q311" s="208">
        <v>0</v>
      </c>
      <c r="R311" s="208">
        <v>0</v>
      </c>
      <c r="S311" s="208">
        <v>0</v>
      </c>
      <c r="T311" s="208">
        <v>0</v>
      </c>
      <c r="U311" s="208">
        <v>0</v>
      </c>
      <c r="V311" s="208">
        <v>0</v>
      </c>
      <c r="W311" s="208">
        <v>0</v>
      </c>
      <c r="X311" s="208">
        <v>0</v>
      </c>
      <c r="Y311" s="208">
        <v>0</v>
      </c>
      <c r="Z311" s="208">
        <v>0</v>
      </c>
      <c r="AA311" s="208">
        <v>0</v>
      </c>
      <c r="AB311" s="208">
        <v>0</v>
      </c>
      <c r="AC311" s="208">
        <v>0</v>
      </c>
      <c r="AD311" s="208">
        <v>0</v>
      </c>
      <c r="AE311" s="208">
        <v>0</v>
      </c>
      <c r="AF311" s="208">
        <v>0</v>
      </c>
      <c r="AG311" s="208">
        <v>0</v>
      </c>
      <c r="AH311" s="208">
        <v>0</v>
      </c>
      <c r="AI311" s="208">
        <v>0</v>
      </c>
      <c r="AJ311" s="208">
        <v>0</v>
      </c>
      <c r="AK311" s="208">
        <v>0</v>
      </c>
      <c r="AL311" s="208">
        <v>0</v>
      </c>
      <c r="AM311" s="208">
        <v>0</v>
      </c>
      <c r="AN311" s="208">
        <v>0</v>
      </c>
      <c r="AO311" s="208">
        <v>0</v>
      </c>
      <c r="AP311" s="208">
        <v>0</v>
      </c>
      <c r="AQ311" s="208">
        <v>0</v>
      </c>
      <c r="AR311" s="208">
        <v>0</v>
      </c>
      <c r="AS311" s="208">
        <v>0</v>
      </c>
      <c r="AT311" s="208">
        <v>0</v>
      </c>
      <c r="AU311" s="208">
        <v>0</v>
      </c>
      <c r="AV311" s="208">
        <v>0</v>
      </c>
      <c r="AW311" s="208">
        <v>0</v>
      </c>
      <c r="AX311" s="208">
        <v>0</v>
      </c>
      <c r="AY311" s="208">
        <v>0</v>
      </c>
      <c r="AZ311" s="208">
        <v>0</v>
      </c>
      <c r="BA311" s="208">
        <v>0</v>
      </c>
      <c r="BB311" s="208">
        <v>0</v>
      </c>
      <c r="BC311" s="208">
        <v>0</v>
      </c>
      <c r="BD311" s="208">
        <v>0</v>
      </c>
      <c r="BE311" s="208">
        <v>0</v>
      </c>
      <c r="BF311" s="208">
        <v>0</v>
      </c>
      <c r="BG311" s="208">
        <v>0</v>
      </c>
      <c r="BH311" s="208">
        <v>0</v>
      </c>
      <c r="BI311" s="208">
        <v>0</v>
      </c>
      <c r="BJ311" s="208">
        <v>0</v>
      </c>
      <c r="BK311" s="208">
        <v>0</v>
      </c>
      <c r="BL311" s="208">
        <v>0</v>
      </c>
      <c r="BM311" s="208">
        <v>0</v>
      </c>
      <c r="BN311" s="208">
        <v>0</v>
      </c>
      <c r="BO311" s="208">
        <v>1026396.9863691669</v>
      </c>
      <c r="BP311" s="208">
        <v>230939.32193306249</v>
      </c>
      <c r="BQ311" s="208">
        <v>25659.924659229167</v>
      </c>
      <c r="BR311" s="208">
        <v>67688</v>
      </c>
      <c r="BS311" s="208">
        <v>15230</v>
      </c>
      <c r="BT311" s="208">
        <v>1692</v>
      </c>
      <c r="BU311" s="208">
        <v>939876</v>
      </c>
      <c r="BV311" s="208">
        <v>211472</v>
      </c>
      <c r="BW311" s="208">
        <v>23497</v>
      </c>
      <c r="BX311" s="208">
        <v>154209</v>
      </c>
      <c r="BY311" s="208">
        <v>34697</v>
      </c>
      <c r="BZ311" s="208">
        <v>3855</v>
      </c>
      <c r="CA311" s="208">
        <v>4148.9500000000007</v>
      </c>
      <c r="CB311" s="208">
        <v>933.51374999999996</v>
      </c>
      <c r="CC311" s="208">
        <v>103.72375000000001</v>
      </c>
      <c r="CD311" s="208">
        <v>7853</v>
      </c>
      <c r="CE311" s="208">
        <v>1767</v>
      </c>
      <c r="CF311" s="208">
        <v>196</v>
      </c>
      <c r="CG311" s="208">
        <v>-3704</v>
      </c>
      <c r="CH311" s="208">
        <v>-833</v>
      </c>
      <c r="CI311" s="208">
        <v>-92</v>
      </c>
      <c r="CJ311" s="208">
        <v>0</v>
      </c>
      <c r="CK311" s="208">
        <v>0</v>
      </c>
      <c r="CL311" s="208">
        <v>0</v>
      </c>
      <c r="CM311" s="208">
        <v>0</v>
      </c>
      <c r="CN311" s="208">
        <v>0</v>
      </c>
      <c r="CO311" s="208">
        <v>0</v>
      </c>
      <c r="CP311" s="208">
        <v>0</v>
      </c>
      <c r="CQ311" s="208">
        <v>0</v>
      </c>
      <c r="CR311" s="208">
        <v>0</v>
      </c>
      <c r="CS311" s="208">
        <v>0</v>
      </c>
      <c r="CT311" s="208">
        <v>0</v>
      </c>
      <c r="CU311" s="208">
        <v>0</v>
      </c>
      <c r="CV311" s="208">
        <v>0</v>
      </c>
      <c r="CW311" s="208">
        <v>0</v>
      </c>
      <c r="CX311" s="208">
        <v>0</v>
      </c>
      <c r="CY311" s="208">
        <v>0</v>
      </c>
      <c r="CZ311" s="208">
        <v>0</v>
      </c>
      <c r="DA311" s="208">
        <v>0</v>
      </c>
      <c r="DB311" s="208">
        <v>0</v>
      </c>
      <c r="DC311" s="208">
        <v>0</v>
      </c>
      <c r="DD311" s="208">
        <v>0</v>
      </c>
      <c r="DE311" s="208">
        <v>600.24750000000006</v>
      </c>
      <c r="DF311" s="208">
        <v>135.0556875</v>
      </c>
      <c r="DG311" s="208">
        <v>15.006187500000001</v>
      </c>
      <c r="DH311" s="208">
        <v>1068</v>
      </c>
      <c r="DI311" s="208">
        <v>241</v>
      </c>
      <c r="DJ311" s="208">
        <v>27</v>
      </c>
      <c r="DK311" s="208">
        <v>-468</v>
      </c>
      <c r="DL311" s="208">
        <v>-106</v>
      </c>
      <c r="DM311" s="208">
        <v>-12</v>
      </c>
      <c r="DN311" s="208">
        <v>0</v>
      </c>
      <c r="DO311" s="208">
        <v>0</v>
      </c>
      <c r="DP311" s="208">
        <v>0</v>
      </c>
      <c r="DQ311" s="208">
        <v>0</v>
      </c>
      <c r="DR311" s="208">
        <v>0</v>
      </c>
      <c r="DS311" s="208">
        <v>0</v>
      </c>
      <c r="DT311" s="208">
        <v>0</v>
      </c>
      <c r="DU311" s="208">
        <v>0</v>
      </c>
      <c r="DV311" s="208">
        <v>0</v>
      </c>
      <c r="DW311" s="208">
        <v>3187.4083333333333</v>
      </c>
      <c r="DX311" s="208">
        <v>717.16687499999989</v>
      </c>
      <c r="DY311" s="208">
        <v>79.685208333333335</v>
      </c>
      <c r="DZ311" s="208">
        <v>6138</v>
      </c>
      <c r="EA311" s="208">
        <v>1381</v>
      </c>
      <c r="EB311" s="208">
        <v>153</v>
      </c>
      <c r="EC311" s="208">
        <v>-2951</v>
      </c>
      <c r="ED311" s="208">
        <v>-664</v>
      </c>
      <c r="EE311" s="208">
        <v>-73</v>
      </c>
      <c r="EF311" s="208">
        <v>26061.870833333334</v>
      </c>
      <c r="EG311" s="208">
        <v>5863.9209375</v>
      </c>
      <c r="EH311" s="208">
        <v>651.54677083333343</v>
      </c>
      <c r="EI311" s="208">
        <v>0</v>
      </c>
      <c r="EJ311" s="208">
        <v>0</v>
      </c>
      <c r="EK311" s="208">
        <v>0</v>
      </c>
      <c r="EL311" s="208">
        <v>33501</v>
      </c>
      <c r="EM311" s="208">
        <v>7538</v>
      </c>
      <c r="EN311" s="208">
        <v>838</v>
      </c>
      <c r="EO311" s="208">
        <v>-7439</v>
      </c>
      <c r="EP311" s="208">
        <v>-1674</v>
      </c>
      <c r="EQ311" s="208">
        <v>-186</v>
      </c>
      <c r="ER311" s="208">
        <v>15016.825833333334</v>
      </c>
      <c r="ES311" s="208">
        <v>3378.7858125000002</v>
      </c>
      <c r="ET311" s="208">
        <v>375.42064583333337</v>
      </c>
      <c r="EU311" s="208">
        <v>25778</v>
      </c>
      <c r="EV311" s="208">
        <v>5800</v>
      </c>
      <c r="EW311" s="208">
        <v>644</v>
      </c>
      <c r="EX311" s="208">
        <v>-10761</v>
      </c>
      <c r="EY311" s="208">
        <v>-2421</v>
      </c>
      <c r="EZ311" s="208">
        <v>-269</v>
      </c>
      <c r="FA311" s="208">
        <v>0</v>
      </c>
      <c r="FB311" s="208">
        <v>0</v>
      </c>
      <c r="FC311" s="208">
        <v>0</v>
      </c>
      <c r="FD311" s="208">
        <v>0</v>
      </c>
      <c r="FE311" s="208">
        <v>0</v>
      </c>
      <c r="FF311" s="208">
        <v>0</v>
      </c>
      <c r="FG311" s="208">
        <v>0</v>
      </c>
      <c r="FH311" s="208">
        <v>0</v>
      </c>
      <c r="FI311" s="208">
        <v>0</v>
      </c>
      <c r="FJ311" s="208">
        <v>279986.67583333334</v>
      </c>
      <c r="FK311" s="208">
        <v>62997.002062499989</v>
      </c>
      <c r="FL311" s="208">
        <v>6999.666895833333</v>
      </c>
      <c r="FM311" s="208">
        <v>264510</v>
      </c>
      <c r="FN311" s="208">
        <v>59515</v>
      </c>
      <c r="FO311" s="208">
        <v>6613</v>
      </c>
      <c r="FP311" s="208">
        <v>15477</v>
      </c>
      <c r="FQ311" s="208">
        <v>3482</v>
      </c>
      <c r="FR311" s="208">
        <v>387</v>
      </c>
      <c r="FS311" s="208">
        <v>0</v>
      </c>
      <c r="FT311" s="208">
        <v>0</v>
      </c>
      <c r="FU311" s="208">
        <v>0</v>
      </c>
      <c r="FV311" s="208">
        <v>0</v>
      </c>
      <c r="FW311" s="208">
        <v>0</v>
      </c>
      <c r="FX311" s="208">
        <v>0</v>
      </c>
      <c r="FY311" s="208">
        <v>0</v>
      </c>
      <c r="FZ311" s="208">
        <v>0</v>
      </c>
      <c r="GA311" s="208">
        <v>0</v>
      </c>
      <c r="GB311" s="208">
        <v>1423087</v>
      </c>
      <c r="GC311" s="208">
        <v>320195</v>
      </c>
      <c r="GD311" s="208">
        <v>35578</v>
      </c>
      <c r="GE311" s="664">
        <v>0.5</v>
      </c>
      <c r="GF311" s="664">
        <v>0.4</v>
      </c>
      <c r="GG311" s="664">
        <v>0.09</v>
      </c>
      <c r="GH311" s="664">
        <v>0.01</v>
      </c>
      <c r="GI311" s="187" t="s">
        <v>1054</v>
      </c>
    </row>
    <row r="312" spans="2:191" s="187" customFormat="1" x14ac:dyDescent="0.2">
      <c r="B312" s="429" t="s">
        <v>702</v>
      </c>
      <c r="C312" s="429" t="s">
        <v>701</v>
      </c>
      <c r="D312" s="208">
        <v>430674</v>
      </c>
      <c r="E312" s="208">
        <v>0</v>
      </c>
      <c r="F312" s="208">
        <v>430674</v>
      </c>
      <c r="G312" s="208">
        <v>557901</v>
      </c>
      <c r="H312" s="208">
        <v>0</v>
      </c>
      <c r="I312" s="208">
        <v>557901</v>
      </c>
      <c r="J312" s="208">
        <v>-127227</v>
      </c>
      <c r="K312" s="208">
        <v>0</v>
      </c>
      <c r="L312" s="208">
        <v>-127227</v>
      </c>
      <c r="M312" s="208">
        <v>104774</v>
      </c>
      <c r="N312" s="208">
        <v>104774</v>
      </c>
      <c r="O312" s="208">
        <v>0</v>
      </c>
      <c r="P312" s="208">
        <v>0</v>
      </c>
      <c r="Q312" s="208">
        <v>0</v>
      </c>
      <c r="R312" s="208">
        <v>0</v>
      </c>
      <c r="S312" s="208">
        <v>49909</v>
      </c>
      <c r="T312" s="208">
        <v>145567</v>
      </c>
      <c r="U312" s="208">
        <v>52000</v>
      </c>
      <c r="V312" s="208">
        <v>61700</v>
      </c>
      <c r="W312" s="208">
        <v>-2091</v>
      </c>
      <c r="X312" s="208">
        <v>83867</v>
      </c>
      <c r="Y312" s="208">
        <v>0</v>
      </c>
      <c r="Z312" s="208">
        <v>0</v>
      </c>
      <c r="AA312" s="208">
        <v>0</v>
      </c>
      <c r="AB312" s="208">
        <v>0</v>
      </c>
      <c r="AC312" s="208">
        <v>0</v>
      </c>
      <c r="AD312" s="208">
        <v>0</v>
      </c>
      <c r="AE312" s="208">
        <v>0</v>
      </c>
      <c r="AF312" s="208">
        <v>0</v>
      </c>
      <c r="AG312" s="208">
        <v>0</v>
      </c>
      <c r="AH312" s="208">
        <v>0</v>
      </c>
      <c r="AI312" s="208">
        <v>0</v>
      </c>
      <c r="AJ312" s="208">
        <v>0</v>
      </c>
      <c r="AK312" s="208">
        <v>0</v>
      </c>
      <c r="AL312" s="208">
        <v>0</v>
      </c>
      <c r="AM312" s="208">
        <v>0</v>
      </c>
      <c r="AN312" s="208">
        <v>0</v>
      </c>
      <c r="AO312" s="208">
        <v>0</v>
      </c>
      <c r="AP312" s="208">
        <v>0</v>
      </c>
      <c r="AQ312" s="208">
        <v>0</v>
      </c>
      <c r="AR312" s="208">
        <v>0</v>
      </c>
      <c r="AS312" s="208">
        <v>0</v>
      </c>
      <c r="AT312" s="208">
        <v>0</v>
      </c>
      <c r="AU312" s="208">
        <v>0</v>
      </c>
      <c r="AV312" s="208">
        <v>0</v>
      </c>
      <c r="AW312" s="208">
        <v>0</v>
      </c>
      <c r="AX312" s="208">
        <v>0</v>
      </c>
      <c r="AY312" s="208">
        <v>0</v>
      </c>
      <c r="AZ312" s="208">
        <v>0</v>
      </c>
      <c r="BA312" s="208">
        <v>0</v>
      </c>
      <c r="BB312" s="208">
        <v>0</v>
      </c>
      <c r="BC312" s="208">
        <v>0</v>
      </c>
      <c r="BD312" s="208">
        <v>0</v>
      </c>
      <c r="BE312" s="208">
        <v>0</v>
      </c>
      <c r="BF312" s="208">
        <v>0</v>
      </c>
      <c r="BG312" s="208">
        <v>0</v>
      </c>
      <c r="BH312" s="208">
        <v>0</v>
      </c>
      <c r="BI312" s="208">
        <v>0</v>
      </c>
      <c r="BJ312" s="208">
        <v>0</v>
      </c>
      <c r="BK312" s="208">
        <v>0</v>
      </c>
      <c r="BL312" s="208">
        <v>0</v>
      </c>
      <c r="BM312" s="208">
        <v>0</v>
      </c>
      <c r="BN312" s="208">
        <v>0</v>
      </c>
      <c r="BO312" s="208">
        <v>1051878.5187213998</v>
      </c>
      <c r="BP312" s="208">
        <v>701252.34581426671</v>
      </c>
      <c r="BQ312" s="208">
        <v>0</v>
      </c>
      <c r="BR312" s="208">
        <v>65342</v>
      </c>
      <c r="BS312" s="208">
        <v>43561</v>
      </c>
      <c r="BT312" s="208">
        <v>0</v>
      </c>
      <c r="BU312" s="208">
        <v>1083774</v>
      </c>
      <c r="BV312" s="208">
        <v>722515</v>
      </c>
      <c r="BW312" s="208">
        <v>0</v>
      </c>
      <c r="BX312" s="208">
        <v>33447</v>
      </c>
      <c r="BY312" s="208">
        <v>22298</v>
      </c>
      <c r="BZ312" s="208">
        <v>0</v>
      </c>
      <c r="CA312" s="208">
        <v>5971.8856999999998</v>
      </c>
      <c r="CB312" s="208">
        <v>3981.2571333333335</v>
      </c>
      <c r="CC312" s="208">
        <v>0</v>
      </c>
      <c r="CD312" s="208">
        <v>712</v>
      </c>
      <c r="CE312" s="208">
        <v>475</v>
      </c>
      <c r="CF312" s="208">
        <v>0</v>
      </c>
      <c r="CG312" s="208">
        <v>5260</v>
      </c>
      <c r="CH312" s="208">
        <v>3506</v>
      </c>
      <c r="CI312" s="208">
        <v>0</v>
      </c>
      <c r="CJ312" s="208">
        <v>0</v>
      </c>
      <c r="CK312" s="208">
        <v>0</v>
      </c>
      <c r="CL312" s="208">
        <v>0</v>
      </c>
      <c r="CM312" s="208">
        <v>0</v>
      </c>
      <c r="CN312" s="208">
        <v>0</v>
      </c>
      <c r="CO312" s="208">
        <v>0</v>
      </c>
      <c r="CP312" s="208">
        <v>0</v>
      </c>
      <c r="CQ312" s="208">
        <v>0</v>
      </c>
      <c r="CR312" s="208">
        <v>0</v>
      </c>
      <c r="CS312" s="208">
        <v>0</v>
      </c>
      <c r="CT312" s="208">
        <v>0</v>
      </c>
      <c r="CU312" s="208">
        <v>0</v>
      </c>
      <c r="CV312" s="208">
        <v>0</v>
      </c>
      <c r="CW312" s="208">
        <v>0</v>
      </c>
      <c r="CX312" s="208">
        <v>0</v>
      </c>
      <c r="CY312" s="208">
        <v>0</v>
      </c>
      <c r="CZ312" s="208">
        <v>0</v>
      </c>
      <c r="DA312" s="208">
        <v>0</v>
      </c>
      <c r="DB312" s="208">
        <v>0</v>
      </c>
      <c r="DC312" s="208">
        <v>0</v>
      </c>
      <c r="DD312" s="208">
        <v>0</v>
      </c>
      <c r="DE312" s="208">
        <v>19848.674999999999</v>
      </c>
      <c r="DF312" s="208">
        <v>13232.45</v>
      </c>
      <c r="DG312" s="208">
        <v>0</v>
      </c>
      <c r="DH312" s="208">
        <v>0</v>
      </c>
      <c r="DI312" s="208">
        <v>0</v>
      </c>
      <c r="DJ312" s="208">
        <v>0</v>
      </c>
      <c r="DK312" s="208">
        <v>19849</v>
      </c>
      <c r="DL312" s="208">
        <v>13232</v>
      </c>
      <c r="DM312" s="208">
        <v>0</v>
      </c>
      <c r="DN312" s="208">
        <v>0</v>
      </c>
      <c r="DO312" s="208">
        <v>0</v>
      </c>
      <c r="DP312" s="208">
        <v>0</v>
      </c>
      <c r="DQ312" s="208">
        <v>1841</v>
      </c>
      <c r="DR312" s="208">
        <v>1228</v>
      </c>
      <c r="DS312" s="208">
        <v>0</v>
      </c>
      <c r="DT312" s="208">
        <v>-1841</v>
      </c>
      <c r="DU312" s="208">
        <v>-1228</v>
      </c>
      <c r="DV312" s="208">
        <v>0</v>
      </c>
      <c r="DW312" s="208">
        <v>12229.5825</v>
      </c>
      <c r="DX312" s="208">
        <v>8153.0550000000003</v>
      </c>
      <c r="DY312" s="208">
        <v>0</v>
      </c>
      <c r="DZ312" s="208">
        <v>22967</v>
      </c>
      <c r="EA312" s="208">
        <v>15311</v>
      </c>
      <c r="EB312" s="208">
        <v>0</v>
      </c>
      <c r="EC312" s="208">
        <v>-10737</v>
      </c>
      <c r="ED312" s="208">
        <v>-7158</v>
      </c>
      <c r="EE312" s="208">
        <v>0</v>
      </c>
      <c r="EF312" s="208">
        <v>46369.426250000004</v>
      </c>
      <c r="EG312" s="208">
        <v>30912.950833333336</v>
      </c>
      <c r="EH312" s="208">
        <v>0</v>
      </c>
      <c r="EI312" s="208">
        <v>55.237499999999997</v>
      </c>
      <c r="EJ312" s="208">
        <v>36.825000000000003</v>
      </c>
      <c r="EK312" s="208">
        <v>0</v>
      </c>
      <c r="EL312" s="208">
        <v>46645</v>
      </c>
      <c r="EM312" s="208">
        <v>31097</v>
      </c>
      <c r="EN312" s="208">
        <v>0</v>
      </c>
      <c r="EO312" s="208">
        <v>-220</v>
      </c>
      <c r="EP312" s="208">
        <v>-147</v>
      </c>
      <c r="EQ312" s="208">
        <v>0</v>
      </c>
      <c r="ER312" s="208">
        <v>15343.75</v>
      </c>
      <c r="ES312" s="208">
        <v>10229.166666666668</v>
      </c>
      <c r="ET312" s="208">
        <v>0</v>
      </c>
      <c r="EU312" s="208">
        <v>36825</v>
      </c>
      <c r="EV312" s="208">
        <v>24550</v>
      </c>
      <c r="EW312" s="208">
        <v>0</v>
      </c>
      <c r="EX312" s="208">
        <v>-21481</v>
      </c>
      <c r="EY312" s="208">
        <v>-14321</v>
      </c>
      <c r="EZ312" s="208">
        <v>0</v>
      </c>
      <c r="FA312" s="208">
        <v>0</v>
      </c>
      <c r="FB312" s="208">
        <v>0</v>
      </c>
      <c r="FC312" s="208">
        <v>0</v>
      </c>
      <c r="FD312" s="208">
        <v>0</v>
      </c>
      <c r="FE312" s="208">
        <v>0</v>
      </c>
      <c r="FF312" s="208">
        <v>0</v>
      </c>
      <c r="FG312" s="208">
        <v>0</v>
      </c>
      <c r="FH312" s="208">
        <v>0</v>
      </c>
      <c r="FI312" s="208">
        <v>0</v>
      </c>
      <c r="FJ312" s="208">
        <v>244983.01666666666</v>
      </c>
      <c r="FK312" s="208">
        <v>165895.42291666666</v>
      </c>
      <c r="FL312" s="208">
        <v>0</v>
      </c>
      <c r="FM312" s="208">
        <v>240227</v>
      </c>
      <c r="FN312" s="208">
        <v>160771</v>
      </c>
      <c r="FO312" s="208">
        <v>0</v>
      </c>
      <c r="FP312" s="208">
        <v>4756</v>
      </c>
      <c r="FQ312" s="208">
        <v>5124</v>
      </c>
      <c r="FR312" s="208">
        <v>0</v>
      </c>
      <c r="FS312" s="208">
        <v>0</v>
      </c>
      <c r="FT312" s="208">
        <v>0</v>
      </c>
      <c r="FU312" s="208">
        <v>0</v>
      </c>
      <c r="FV312" s="208">
        <v>0</v>
      </c>
      <c r="FW312" s="208">
        <v>0</v>
      </c>
      <c r="FX312" s="208">
        <v>0</v>
      </c>
      <c r="FY312" s="208">
        <v>0</v>
      </c>
      <c r="FZ312" s="208">
        <v>0</v>
      </c>
      <c r="GA312" s="208">
        <v>0</v>
      </c>
      <c r="GB312" s="208">
        <v>1462023</v>
      </c>
      <c r="GC312" s="208">
        <v>977253</v>
      </c>
      <c r="GD312" s="208">
        <v>0</v>
      </c>
      <c r="GE312" s="664">
        <v>0</v>
      </c>
      <c r="GF312" s="664">
        <v>0.6</v>
      </c>
      <c r="GG312" s="664">
        <v>0.4</v>
      </c>
      <c r="GH312" s="664">
        <v>0</v>
      </c>
      <c r="GI312" s="187" t="s">
        <v>1054</v>
      </c>
    </row>
    <row r="313" spans="2:191" s="187" customFormat="1" x14ac:dyDescent="0.2">
      <c r="B313" s="429" t="s">
        <v>704</v>
      </c>
      <c r="C313" s="429" t="s">
        <v>703</v>
      </c>
      <c r="D313" s="208">
        <v>1309357</v>
      </c>
      <c r="E313" s="208">
        <v>0</v>
      </c>
      <c r="F313" s="208">
        <v>1309357</v>
      </c>
      <c r="G313" s="208">
        <v>1229164</v>
      </c>
      <c r="H313" s="208">
        <v>0</v>
      </c>
      <c r="I313" s="208">
        <v>1229164</v>
      </c>
      <c r="J313" s="208">
        <v>80193</v>
      </c>
      <c r="K313" s="208">
        <v>0</v>
      </c>
      <c r="L313" s="208">
        <v>80193</v>
      </c>
      <c r="M313" s="208">
        <v>162472</v>
      </c>
      <c r="N313" s="208">
        <v>162472</v>
      </c>
      <c r="O313" s="208">
        <v>0</v>
      </c>
      <c r="P313" s="208">
        <v>0</v>
      </c>
      <c r="Q313" s="208">
        <v>0</v>
      </c>
      <c r="R313" s="208">
        <v>0</v>
      </c>
      <c r="S313" s="208">
        <v>228415</v>
      </c>
      <c r="T313" s="208">
        <v>0</v>
      </c>
      <c r="U313" s="208">
        <v>226159</v>
      </c>
      <c r="V313" s="208">
        <v>0</v>
      </c>
      <c r="W313" s="208">
        <v>2256</v>
      </c>
      <c r="X313" s="208">
        <v>0</v>
      </c>
      <c r="Y313" s="208">
        <v>0</v>
      </c>
      <c r="Z313" s="208">
        <v>0</v>
      </c>
      <c r="AA313" s="208">
        <v>0</v>
      </c>
      <c r="AB313" s="208">
        <v>0</v>
      </c>
      <c r="AC313" s="208">
        <v>0</v>
      </c>
      <c r="AD313" s="208">
        <v>0</v>
      </c>
      <c r="AE313" s="208">
        <v>0</v>
      </c>
      <c r="AF313" s="208">
        <v>0</v>
      </c>
      <c r="AG313" s="208">
        <v>0</v>
      </c>
      <c r="AH313" s="208">
        <v>0</v>
      </c>
      <c r="AI313" s="208">
        <v>0</v>
      </c>
      <c r="AJ313" s="208">
        <v>0</v>
      </c>
      <c r="AK313" s="208">
        <v>0</v>
      </c>
      <c r="AL313" s="208">
        <v>0</v>
      </c>
      <c r="AM313" s="208">
        <v>0</v>
      </c>
      <c r="AN313" s="208">
        <v>0</v>
      </c>
      <c r="AO313" s="208">
        <v>0</v>
      </c>
      <c r="AP313" s="208">
        <v>0</v>
      </c>
      <c r="AQ313" s="208">
        <v>0</v>
      </c>
      <c r="AR313" s="208">
        <v>0</v>
      </c>
      <c r="AS313" s="208">
        <v>0</v>
      </c>
      <c r="AT313" s="208">
        <v>0</v>
      </c>
      <c r="AU313" s="208">
        <v>0</v>
      </c>
      <c r="AV313" s="208">
        <v>0</v>
      </c>
      <c r="AW313" s="208">
        <v>0</v>
      </c>
      <c r="AX313" s="208">
        <v>0</v>
      </c>
      <c r="AY313" s="208">
        <v>0</v>
      </c>
      <c r="AZ313" s="208">
        <v>0</v>
      </c>
      <c r="BA313" s="208">
        <v>0</v>
      </c>
      <c r="BB313" s="208">
        <v>0</v>
      </c>
      <c r="BC313" s="208">
        <v>0</v>
      </c>
      <c r="BD313" s="208">
        <v>0</v>
      </c>
      <c r="BE313" s="208">
        <v>0</v>
      </c>
      <c r="BF313" s="208">
        <v>0</v>
      </c>
      <c r="BG313" s="208">
        <v>0</v>
      </c>
      <c r="BH313" s="208">
        <v>0</v>
      </c>
      <c r="BI313" s="208">
        <v>0</v>
      </c>
      <c r="BJ313" s="208">
        <v>0</v>
      </c>
      <c r="BK313" s="208">
        <v>0</v>
      </c>
      <c r="BL313" s="208">
        <v>0</v>
      </c>
      <c r="BM313" s="208">
        <v>0</v>
      </c>
      <c r="BN313" s="208">
        <v>0</v>
      </c>
      <c r="BO313" s="208">
        <v>1086073.0965000002</v>
      </c>
      <c r="BP313" s="208">
        <v>271518.27412500005</v>
      </c>
      <c r="BQ313" s="208">
        <v>0</v>
      </c>
      <c r="BR313" s="208">
        <v>103597</v>
      </c>
      <c r="BS313" s="208">
        <v>25899</v>
      </c>
      <c r="BT313" s="208">
        <v>0</v>
      </c>
      <c r="BU313" s="208">
        <v>1010326</v>
      </c>
      <c r="BV313" s="208">
        <v>252582</v>
      </c>
      <c r="BW313" s="208">
        <v>0</v>
      </c>
      <c r="BX313" s="208">
        <v>179344</v>
      </c>
      <c r="BY313" s="208">
        <v>44835</v>
      </c>
      <c r="BZ313" s="208">
        <v>0</v>
      </c>
      <c r="CA313" s="208">
        <v>8108.4558333333334</v>
      </c>
      <c r="CB313" s="208">
        <v>2027.1139583333334</v>
      </c>
      <c r="CC313" s="208">
        <v>0</v>
      </c>
      <c r="CD313" s="208">
        <v>3558</v>
      </c>
      <c r="CE313" s="208">
        <v>890</v>
      </c>
      <c r="CF313" s="208">
        <v>0</v>
      </c>
      <c r="CG313" s="208">
        <v>4550</v>
      </c>
      <c r="CH313" s="208">
        <v>1137</v>
      </c>
      <c r="CI313" s="208">
        <v>0</v>
      </c>
      <c r="CJ313" s="208">
        <v>0</v>
      </c>
      <c r="CK313" s="208">
        <v>0</v>
      </c>
      <c r="CL313" s="208">
        <v>0</v>
      </c>
      <c r="CM313" s="208">
        <v>0</v>
      </c>
      <c r="CN313" s="208">
        <v>0</v>
      </c>
      <c r="CO313" s="208">
        <v>0</v>
      </c>
      <c r="CP313" s="208">
        <v>0</v>
      </c>
      <c r="CQ313" s="208">
        <v>0</v>
      </c>
      <c r="CR313" s="208">
        <v>0</v>
      </c>
      <c r="CS313" s="208">
        <v>0</v>
      </c>
      <c r="CT313" s="208">
        <v>0</v>
      </c>
      <c r="CU313" s="208">
        <v>0</v>
      </c>
      <c r="CV313" s="208">
        <v>0</v>
      </c>
      <c r="CW313" s="208">
        <v>0</v>
      </c>
      <c r="CX313" s="208">
        <v>0</v>
      </c>
      <c r="CY313" s="208">
        <v>0</v>
      </c>
      <c r="CZ313" s="208">
        <v>0</v>
      </c>
      <c r="DA313" s="208">
        <v>0</v>
      </c>
      <c r="DB313" s="208">
        <v>0</v>
      </c>
      <c r="DC313" s="208">
        <v>0</v>
      </c>
      <c r="DD313" s="208">
        <v>0</v>
      </c>
      <c r="DE313" s="208">
        <v>11760.268333333333</v>
      </c>
      <c r="DF313" s="208">
        <v>2940.0670833333334</v>
      </c>
      <c r="DG313" s="208">
        <v>0</v>
      </c>
      <c r="DH313" s="208">
        <v>13122</v>
      </c>
      <c r="DI313" s="208">
        <v>3281</v>
      </c>
      <c r="DJ313" s="208">
        <v>0</v>
      </c>
      <c r="DK313" s="208">
        <v>-1362</v>
      </c>
      <c r="DL313" s="208">
        <v>-341</v>
      </c>
      <c r="DM313" s="208">
        <v>0</v>
      </c>
      <c r="DN313" s="208">
        <v>0</v>
      </c>
      <c r="DO313" s="208">
        <v>0</v>
      </c>
      <c r="DP313" s="208">
        <v>0</v>
      </c>
      <c r="DQ313" s="208">
        <v>0</v>
      </c>
      <c r="DR313" s="208">
        <v>0</v>
      </c>
      <c r="DS313" s="208">
        <v>0</v>
      </c>
      <c r="DT313" s="208">
        <v>0</v>
      </c>
      <c r="DU313" s="208">
        <v>0</v>
      </c>
      <c r="DV313" s="208">
        <v>0</v>
      </c>
      <c r="DW313" s="208">
        <v>25126.515833333335</v>
      </c>
      <c r="DX313" s="208">
        <v>6281.6289583333337</v>
      </c>
      <c r="DY313" s="208">
        <v>0</v>
      </c>
      <c r="DZ313" s="208">
        <v>22778</v>
      </c>
      <c r="EA313" s="208">
        <v>5694</v>
      </c>
      <c r="EB313" s="208">
        <v>0</v>
      </c>
      <c r="EC313" s="208">
        <v>2349</v>
      </c>
      <c r="ED313" s="208">
        <v>588</v>
      </c>
      <c r="EE313" s="208">
        <v>0</v>
      </c>
      <c r="EF313" s="208">
        <v>109348.15500000001</v>
      </c>
      <c r="EG313" s="208">
        <v>27337.038750000003</v>
      </c>
      <c r="EH313" s="208">
        <v>0</v>
      </c>
      <c r="EI313" s="208">
        <v>-6792.1666666666679</v>
      </c>
      <c r="EJ313" s="208">
        <v>-1698.041666666667</v>
      </c>
      <c r="EK313" s="208">
        <v>0</v>
      </c>
      <c r="EL313" s="208">
        <v>111152</v>
      </c>
      <c r="EM313" s="208">
        <v>27788</v>
      </c>
      <c r="EN313" s="208">
        <v>0</v>
      </c>
      <c r="EO313" s="208">
        <v>-8596</v>
      </c>
      <c r="EP313" s="208">
        <v>-2149</v>
      </c>
      <c r="EQ313" s="208">
        <v>0</v>
      </c>
      <c r="ER313" s="208">
        <v>33476.379999999997</v>
      </c>
      <c r="ES313" s="208">
        <v>8369.0949999999993</v>
      </c>
      <c r="ET313" s="208">
        <v>0</v>
      </c>
      <c r="EU313" s="208">
        <v>29051</v>
      </c>
      <c r="EV313" s="208">
        <v>7263</v>
      </c>
      <c r="EW313" s="208">
        <v>0</v>
      </c>
      <c r="EX313" s="208">
        <v>4425</v>
      </c>
      <c r="EY313" s="208">
        <v>1106</v>
      </c>
      <c r="EZ313" s="208">
        <v>0</v>
      </c>
      <c r="FA313" s="208">
        <v>0</v>
      </c>
      <c r="FB313" s="208">
        <v>0</v>
      </c>
      <c r="FC313" s="208">
        <v>0</v>
      </c>
      <c r="FD313" s="208">
        <v>0</v>
      </c>
      <c r="FE313" s="208">
        <v>0</v>
      </c>
      <c r="FF313" s="208">
        <v>0</v>
      </c>
      <c r="FG313" s="208">
        <v>0</v>
      </c>
      <c r="FH313" s="208">
        <v>0</v>
      </c>
      <c r="FI313" s="208">
        <v>0</v>
      </c>
      <c r="FJ313" s="208">
        <v>344156.55541666667</v>
      </c>
      <c r="FK313" s="208">
        <v>84730.511249999996</v>
      </c>
      <c r="FL313" s="208">
        <v>0</v>
      </c>
      <c r="FM313" s="208">
        <v>352706</v>
      </c>
      <c r="FN313" s="208">
        <v>86881</v>
      </c>
      <c r="FO313" s="208">
        <v>0</v>
      </c>
      <c r="FP313" s="208">
        <v>-8549</v>
      </c>
      <c r="FQ313" s="208">
        <v>-2150</v>
      </c>
      <c r="FR313" s="208">
        <v>0</v>
      </c>
      <c r="FS313" s="208">
        <v>0</v>
      </c>
      <c r="FT313" s="208">
        <v>0</v>
      </c>
      <c r="FU313" s="208">
        <v>0</v>
      </c>
      <c r="FV313" s="208">
        <v>0</v>
      </c>
      <c r="FW313" s="208">
        <v>0</v>
      </c>
      <c r="FX313" s="208">
        <v>0</v>
      </c>
      <c r="FY313" s="208">
        <v>0</v>
      </c>
      <c r="FZ313" s="208">
        <v>0</v>
      </c>
      <c r="GA313" s="208">
        <v>0</v>
      </c>
      <c r="GB313" s="208">
        <v>1714854</v>
      </c>
      <c r="GC313" s="208">
        <v>427405</v>
      </c>
      <c r="GD313" s="208">
        <v>0</v>
      </c>
      <c r="GE313" s="664">
        <v>0.5</v>
      </c>
      <c r="GF313" s="664">
        <v>0.4</v>
      </c>
      <c r="GG313" s="664">
        <v>0.1</v>
      </c>
      <c r="GH313" s="664">
        <v>0</v>
      </c>
      <c r="GI313" s="187" t="s">
        <v>1054</v>
      </c>
    </row>
    <row r="314" spans="2:191" s="187" customFormat="1" x14ac:dyDescent="0.2">
      <c r="B314" s="429" t="s">
        <v>706</v>
      </c>
      <c r="C314" s="429" t="s">
        <v>705</v>
      </c>
      <c r="D314" s="208">
        <v>1235389</v>
      </c>
      <c r="E314" s="208">
        <v>0</v>
      </c>
      <c r="F314" s="208">
        <v>1235389</v>
      </c>
      <c r="G314" s="208">
        <v>1462416</v>
      </c>
      <c r="H314" s="208">
        <v>0</v>
      </c>
      <c r="I314" s="208">
        <v>1462416</v>
      </c>
      <c r="J314" s="208">
        <v>-227027</v>
      </c>
      <c r="K314" s="208">
        <v>0</v>
      </c>
      <c r="L314" s="208">
        <v>-227027</v>
      </c>
      <c r="M314" s="208">
        <v>76910</v>
      </c>
      <c r="N314" s="208">
        <v>76910</v>
      </c>
      <c r="O314" s="208">
        <v>0</v>
      </c>
      <c r="P314" s="208">
        <v>0</v>
      </c>
      <c r="Q314" s="208">
        <v>0</v>
      </c>
      <c r="R314" s="208">
        <v>0</v>
      </c>
      <c r="S314" s="208">
        <v>29490</v>
      </c>
      <c r="T314" s="208">
        <v>0</v>
      </c>
      <c r="U314" s="208">
        <v>29650</v>
      </c>
      <c r="V314" s="208">
        <v>0</v>
      </c>
      <c r="W314" s="208">
        <v>-160</v>
      </c>
      <c r="X314" s="208">
        <v>0</v>
      </c>
      <c r="Y314" s="208">
        <v>0</v>
      </c>
      <c r="Z314" s="208">
        <v>0</v>
      </c>
      <c r="AA314" s="208">
        <v>0</v>
      </c>
      <c r="AB314" s="208">
        <v>0</v>
      </c>
      <c r="AC314" s="208">
        <v>0</v>
      </c>
      <c r="AD314" s="208">
        <v>0</v>
      </c>
      <c r="AE314" s="208">
        <v>0</v>
      </c>
      <c r="AF314" s="208">
        <v>0</v>
      </c>
      <c r="AG314" s="208">
        <v>0</v>
      </c>
      <c r="AH314" s="208">
        <v>0</v>
      </c>
      <c r="AI314" s="208">
        <v>0</v>
      </c>
      <c r="AJ314" s="208">
        <v>0</v>
      </c>
      <c r="AK314" s="208">
        <v>0</v>
      </c>
      <c r="AL314" s="208">
        <v>0</v>
      </c>
      <c r="AM314" s="208">
        <v>0</v>
      </c>
      <c r="AN314" s="208">
        <v>0</v>
      </c>
      <c r="AO314" s="208">
        <v>0</v>
      </c>
      <c r="AP314" s="208">
        <v>0</v>
      </c>
      <c r="AQ314" s="208">
        <v>0</v>
      </c>
      <c r="AR314" s="208">
        <v>0</v>
      </c>
      <c r="AS314" s="208">
        <v>0</v>
      </c>
      <c r="AT314" s="208">
        <v>0</v>
      </c>
      <c r="AU314" s="208">
        <v>0</v>
      </c>
      <c r="AV314" s="208">
        <v>0</v>
      </c>
      <c r="AW314" s="208">
        <v>0</v>
      </c>
      <c r="AX314" s="208">
        <v>0</v>
      </c>
      <c r="AY314" s="208">
        <v>0</v>
      </c>
      <c r="AZ314" s="208">
        <v>0</v>
      </c>
      <c r="BA314" s="208">
        <v>0</v>
      </c>
      <c r="BB314" s="208">
        <v>0</v>
      </c>
      <c r="BC314" s="208">
        <v>0</v>
      </c>
      <c r="BD314" s="208">
        <v>0</v>
      </c>
      <c r="BE314" s="208">
        <v>0</v>
      </c>
      <c r="BF314" s="208">
        <v>0</v>
      </c>
      <c r="BG314" s="208">
        <v>0</v>
      </c>
      <c r="BH314" s="208">
        <v>0</v>
      </c>
      <c r="BI314" s="208">
        <v>0</v>
      </c>
      <c r="BJ314" s="208">
        <v>0</v>
      </c>
      <c r="BK314" s="208">
        <v>0</v>
      </c>
      <c r="BL314" s="208">
        <v>0</v>
      </c>
      <c r="BM314" s="208">
        <v>0</v>
      </c>
      <c r="BN314" s="208">
        <v>0</v>
      </c>
      <c r="BO314" s="208">
        <v>591099.39585666673</v>
      </c>
      <c r="BP314" s="208">
        <v>132997.36406774999</v>
      </c>
      <c r="BQ314" s="208">
        <v>14777.484896416669</v>
      </c>
      <c r="BR314" s="208">
        <v>24527</v>
      </c>
      <c r="BS314" s="208">
        <v>5519</v>
      </c>
      <c r="BT314" s="208">
        <v>613</v>
      </c>
      <c r="BU314" s="208">
        <v>576106</v>
      </c>
      <c r="BV314" s="208">
        <v>129624</v>
      </c>
      <c r="BW314" s="208">
        <v>14403</v>
      </c>
      <c r="BX314" s="208">
        <v>39520</v>
      </c>
      <c r="BY314" s="208">
        <v>8892</v>
      </c>
      <c r="BZ314" s="208">
        <v>987</v>
      </c>
      <c r="CA314" s="208">
        <v>0</v>
      </c>
      <c r="CB314" s="208">
        <v>0</v>
      </c>
      <c r="CC314" s="208">
        <v>0</v>
      </c>
      <c r="CD314" s="208">
        <v>0</v>
      </c>
      <c r="CE314" s="208">
        <v>0</v>
      </c>
      <c r="CF314" s="208">
        <v>0</v>
      </c>
      <c r="CG314" s="208">
        <v>0</v>
      </c>
      <c r="CH314" s="208">
        <v>0</v>
      </c>
      <c r="CI314" s="208">
        <v>0</v>
      </c>
      <c r="CJ314" s="208">
        <v>0</v>
      </c>
      <c r="CK314" s="208">
        <v>0</v>
      </c>
      <c r="CL314" s="208">
        <v>0</v>
      </c>
      <c r="CM314" s="208">
        <v>0</v>
      </c>
      <c r="CN314" s="208">
        <v>0</v>
      </c>
      <c r="CO314" s="208">
        <v>0</v>
      </c>
      <c r="CP314" s="208">
        <v>0</v>
      </c>
      <c r="CQ314" s="208">
        <v>0</v>
      </c>
      <c r="CR314" s="208">
        <v>0</v>
      </c>
      <c r="CS314" s="208">
        <v>0</v>
      </c>
      <c r="CT314" s="208">
        <v>0</v>
      </c>
      <c r="CU314" s="208">
        <v>0</v>
      </c>
      <c r="CV314" s="208">
        <v>0</v>
      </c>
      <c r="CW314" s="208">
        <v>0</v>
      </c>
      <c r="CX314" s="208">
        <v>0</v>
      </c>
      <c r="CY314" s="208">
        <v>0</v>
      </c>
      <c r="CZ314" s="208">
        <v>0</v>
      </c>
      <c r="DA314" s="208">
        <v>0</v>
      </c>
      <c r="DB314" s="208">
        <v>0</v>
      </c>
      <c r="DC314" s="208">
        <v>0</v>
      </c>
      <c r="DD314" s="208">
        <v>0</v>
      </c>
      <c r="DE314" s="208">
        <v>9019.6700000000019</v>
      </c>
      <c r="DF314" s="208">
        <v>2029.4257499999999</v>
      </c>
      <c r="DG314" s="208">
        <v>225.49175000000002</v>
      </c>
      <c r="DH314" s="208">
        <v>10729</v>
      </c>
      <c r="DI314" s="208">
        <v>2414</v>
      </c>
      <c r="DJ314" s="208">
        <v>268</v>
      </c>
      <c r="DK314" s="208">
        <v>-1709</v>
      </c>
      <c r="DL314" s="208">
        <v>-385</v>
      </c>
      <c r="DM314" s="208">
        <v>-43</v>
      </c>
      <c r="DN314" s="208">
        <v>1227.5</v>
      </c>
      <c r="DO314" s="208">
        <v>276.1875</v>
      </c>
      <c r="DP314" s="208">
        <v>30.6875</v>
      </c>
      <c r="DQ314" s="208">
        <v>1227</v>
      </c>
      <c r="DR314" s="208">
        <v>276</v>
      </c>
      <c r="DS314" s="208">
        <v>31</v>
      </c>
      <c r="DT314" s="208">
        <v>1</v>
      </c>
      <c r="DU314" s="208">
        <v>0</v>
      </c>
      <c r="DV314" s="208">
        <v>0</v>
      </c>
      <c r="DW314" s="208">
        <v>7587.9958333333334</v>
      </c>
      <c r="DX314" s="208">
        <v>1707.2990625</v>
      </c>
      <c r="DY314" s="208">
        <v>189.69989583333333</v>
      </c>
      <c r="DZ314" s="208">
        <v>10325</v>
      </c>
      <c r="EA314" s="208">
        <v>2323</v>
      </c>
      <c r="EB314" s="208">
        <v>258</v>
      </c>
      <c r="EC314" s="208">
        <v>-2737</v>
      </c>
      <c r="ED314" s="208">
        <v>-616</v>
      </c>
      <c r="EE314" s="208">
        <v>-68</v>
      </c>
      <c r="EF314" s="208">
        <v>27427.26</v>
      </c>
      <c r="EG314" s="208">
        <v>6171.133499999999</v>
      </c>
      <c r="EH314" s="208">
        <v>685.68149999999991</v>
      </c>
      <c r="EI314" s="208">
        <v>-1906.7166666666669</v>
      </c>
      <c r="EJ314" s="208">
        <v>-429.01125000000002</v>
      </c>
      <c r="EK314" s="208">
        <v>-47.66791666666667</v>
      </c>
      <c r="EL314" s="208">
        <v>29459</v>
      </c>
      <c r="EM314" s="208">
        <v>6629</v>
      </c>
      <c r="EN314" s="208">
        <v>737</v>
      </c>
      <c r="EO314" s="208">
        <v>-3938</v>
      </c>
      <c r="EP314" s="208">
        <v>-887</v>
      </c>
      <c r="EQ314" s="208">
        <v>-99</v>
      </c>
      <c r="ER314" s="208">
        <v>13295.870833333334</v>
      </c>
      <c r="ES314" s="208">
        <v>2991.5709375000001</v>
      </c>
      <c r="ET314" s="208">
        <v>332.39677083333339</v>
      </c>
      <c r="EU314" s="208">
        <v>13961</v>
      </c>
      <c r="EV314" s="208">
        <v>3141</v>
      </c>
      <c r="EW314" s="208">
        <v>349</v>
      </c>
      <c r="EX314" s="208">
        <v>-665</v>
      </c>
      <c r="EY314" s="208">
        <v>-149</v>
      </c>
      <c r="EZ314" s="208">
        <v>-17</v>
      </c>
      <c r="FA314" s="208">
        <v>0</v>
      </c>
      <c r="FB314" s="208">
        <v>0</v>
      </c>
      <c r="FC314" s="208">
        <v>0</v>
      </c>
      <c r="FD314" s="208">
        <v>0</v>
      </c>
      <c r="FE314" s="208">
        <v>0</v>
      </c>
      <c r="FF314" s="208">
        <v>0</v>
      </c>
      <c r="FG314" s="208">
        <v>0</v>
      </c>
      <c r="FH314" s="208">
        <v>0</v>
      </c>
      <c r="FI314" s="208">
        <v>0</v>
      </c>
      <c r="FJ314" s="208">
        <v>160613.05333333334</v>
      </c>
      <c r="FK314" s="208">
        <v>35985.879187499995</v>
      </c>
      <c r="FL314" s="208">
        <v>3998.4310208333327</v>
      </c>
      <c r="FM314" s="208">
        <v>153359</v>
      </c>
      <c r="FN314" s="208">
        <v>34353</v>
      </c>
      <c r="FO314" s="208">
        <v>3817</v>
      </c>
      <c r="FP314" s="208">
        <v>7254</v>
      </c>
      <c r="FQ314" s="208">
        <v>1633</v>
      </c>
      <c r="FR314" s="208">
        <v>181</v>
      </c>
      <c r="FS314" s="208">
        <v>0</v>
      </c>
      <c r="FT314" s="208">
        <v>0</v>
      </c>
      <c r="FU314" s="208">
        <v>0</v>
      </c>
      <c r="FV314" s="208">
        <v>0</v>
      </c>
      <c r="FW314" s="208">
        <v>0</v>
      </c>
      <c r="FX314" s="208">
        <v>0</v>
      </c>
      <c r="FY314" s="208">
        <v>0</v>
      </c>
      <c r="FZ314" s="208">
        <v>0</v>
      </c>
      <c r="GA314" s="208">
        <v>0</v>
      </c>
      <c r="GB314" s="208">
        <v>832891</v>
      </c>
      <c r="GC314" s="208">
        <v>187248</v>
      </c>
      <c r="GD314" s="208">
        <v>20804</v>
      </c>
      <c r="GE314" s="664">
        <v>0.5</v>
      </c>
      <c r="GF314" s="664">
        <v>0.4</v>
      </c>
      <c r="GG314" s="664">
        <v>0.09</v>
      </c>
      <c r="GH314" s="664">
        <v>0.01</v>
      </c>
      <c r="GI314" s="187" t="s">
        <v>1054</v>
      </c>
    </row>
    <row r="315" spans="2:191" s="187" customFormat="1" x14ac:dyDescent="0.2">
      <c r="B315" s="429" t="s">
        <v>708</v>
      </c>
      <c r="C315" s="429" t="s">
        <v>707</v>
      </c>
      <c r="D315" s="208">
        <v>37054424</v>
      </c>
      <c r="E315" s="208">
        <v>0</v>
      </c>
      <c r="F315" s="208">
        <v>37054424</v>
      </c>
      <c r="G315" s="208">
        <v>34070919</v>
      </c>
      <c r="H315" s="208">
        <v>0</v>
      </c>
      <c r="I315" s="208">
        <v>34070919</v>
      </c>
      <c r="J315" s="208">
        <v>2983505</v>
      </c>
      <c r="K315" s="208">
        <v>0</v>
      </c>
      <c r="L315" s="208">
        <v>2983505</v>
      </c>
      <c r="M315" s="208">
        <v>3310431</v>
      </c>
      <c r="N315" s="208">
        <v>3310431</v>
      </c>
      <c r="O315" s="208">
        <v>0</v>
      </c>
      <c r="P315" s="208">
        <v>0</v>
      </c>
      <c r="Q315" s="208">
        <v>0</v>
      </c>
      <c r="R315" s="208">
        <v>0</v>
      </c>
      <c r="S315" s="208">
        <v>0</v>
      </c>
      <c r="T315" s="208">
        <v>0</v>
      </c>
      <c r="U315" s="208">
        <v>0</v>
      </c>
      <c r="V315" s="208">
        <v>0</v>
      </c>
      <c r="W315" s="208">
        <v>0</v>
      </c>
      <c r="X315" s="208">
        <v>0</v>
      </c>
      <c r="Y315" s="208">
        <v>0</v>
      </c>
      <c r="Z315" s="208">
        <v>0</v>
      </c>
      <c r="AA315" s="208">
        <v>0</v>
      </c>
      <c r="AB315" s="208">
        <v>0</v>
      </c>
      <c r="AC315" s="208">
        <v>0</v>
      </c>
      <c r="AD315" s="208">
        <v>0</v>
      </c>
      <c r="AE315" s="208">
        <v>0</v>
      </c>
      <c r="AF315" s="208">
        <v>0</v>
      </c>
      <c r="AG315" s="208">
        <v>0</v>
      </c>
      <c r="AH315" s="208">
        <v>0</v>
      </c>
      <c r="AI315" s="208">
        <v>0</v>
      </c>
      <c r="AJ315" s="208">
        <v>0</v>
      </c>
      <c r="AK315" s="208">
        <v>0</v>
      </c>
      <c r="AL315" s="208">
        <v>0</v>
      </c>
      <c r="AM315" s="208">
        <v>0</v>
      </c>
      <c r="AN315" s="208">
        <v>0</v>
      </c>
      <c r="AO315" s="208">
        <v>0</v>
      </c>
      <c r="AP315" s="208">
        <v>0</v>
      </c>
      <c r="AQ315" s="208">
        <v>0</v>
      </c>
      <c r="AR315" s="208">
        <v>0</v>
      </c>
      <c r="AS315" s="208">
        <v>0</v>
      </c>
      <c r="AT315" s="208">
        <v>0</v>
      </c>
      <c r="AU315" s="208">
        <v>0</v>
      </c>
      <c r="AV315" s="208">
        <v>0</v>
      </c>
      <c r="AW315" s="208">
        <v>0</v>
      </c>
      <c r="AX315" s="208">
        <v>0</v>
      </c>
      <c r="AY315" s="208">
        <v>0</v>
      </c>
      <c r="AZ315" s="208">
        <v>0</v>
      </c>
      <c r="BA315" s="208">
        <v>0</v>
      </c>
      <c r="BB315" s="208">
        <v>0</v>
      </c>
      <c r="BC315" s="208">
        <v>0</v>
      </c>
      <c r="BD315" s="208">
        <v>0</v>
      </c>
      <c r="BE315" s="208">
        <v>0</v>
      </c>
      <c r="BF315" s="208">
        <v>0</v>
      </c>
      <c r="BG315" s="208">
        <v>0</v>
      </c>
      <c r="BH315" s="208">
        <v>0</v>
      </c>
      <c r="BI315" s="208">
        <v>0</v>
      </c>
      <c r="BJ315" s="208">
        <v>0</v>
      </c>
      <c r="BK315" s="208">
        <v>0</v>
      </c>
      <c r="BL315" s="208">
        <v>0</v>
      </c>
      <c r="BM315" s="208">
        <v>0</v>
      </c>
      <c r="BN315" s="208">
        <v>0</v>
      </c>
      <c r="BO315" s="208">
        <v>2654904.7396693337</v>
      </c>
      <c r="BP315" s="208">
        <v>1493383.916064</v>
      </c>
      <c r="BQ315" s="208">
        <v>0</v>
      </c>
      <c r="BR315" s="208">
        <v>1365509</v>
      </c>
      <c r="BS315" s="208">
        <v>768099</v>
      </c>
      <c r="BT315" s="208">
        <v>0</v>
      </c>
      <c r="BU315" s="208">
        <v>2048437</v>
      </c>
      <c r="BV315" s="208">
        <v>1152246</v>
      </c>
      <c r="BW315" s="208">
        <v>0</v>
      </c>
      <c r="BX315" s="208">
        <v>1971977</v>
      </c>
      <c r="BY315" s="208">
        <v>1109237</v>
      </c>
      <c r="BZ315" s="208">
        <v>0</v>
      </c>
      <c r="CA315" s="208">
        <v>0</v>
      </c>
      <c r="CB315" s="208">
        <v>0</v>
      </c>
      <c r="CC315" s="208">
        <v>0</v>
      </c>
      <c r="CD315" s="208">
        <v>0</v>
      </c>
      <c r="CE315" s="208">
        <v>0</v>
      </c>
      <c r="CF315" s="208">
        <v>0</v>
      </c>
      <c r="CG315" s="208">
        <v>0</v>
      </c>
      <c r="CH315" s="208">
        <v>0</v>
      </c>
      <c r="CI315" s="208">
        <v>0</v>
      </c>
      <c r="CJ315" s="208">
        <v>-4762.0453333333335</v>
      </c>
      <c r="CK315" s="208">
        <v>-2678.6504999999997</v>
      </c>
      <c r="CL315" s="208">
        <v>0</v>
      </c>
      <c r="CM315" s="208">
        <v>-1391.1666666666665</v>
      </c>
      <c r="CN315" s="208">
        <v>-782.53124999999989</v>
      </c>
      <c r="CO315" s="208">
        <v>0</v>
      </c>
      <c r="CP315" s="208">
        <v>-2852.3826666666669</v>
      </c>
      <c r="CQ315" s="208">
        <v>-1604.46525</v>
      </c>
      <c r="CR315" s="208">
        <v>0</v>
      </c>
      <c r="CS315" s="208">
        <v>0</v>
      </c>
      <c r="CT315" s="208">
        <v>0</v>
      </c>
      <c r="CU315" s="208">
        <v>0</v>
      </c>
      <c r="CV315" s="208">
        <v>0</v>
      </c>
      <c r="CW315" s="208">
        <v>0</v>
      </c>
      <c r="CX315" s="208">
        <v>0</v>
      </c>
      <c r="CY315" s="208">
        <v>0</v>
      </c>
      <c r="CZ315" s="208">
        <v>0</v>
      </c>
      <c r="DA315" s="208">
        <v>0</v>
      </c>
      <c r="DB315" s="208">
        <v>0</v>
      </c>
      <c r="DC315" s="208">
        <v>0</v>
      </c>
      <c r="DD315" s="208">
        <v>0</v>
      </c>
      <c r="DE315" s="208">
        <v>0</v>
      </c>
      <c r="DF315" s="208">
        <v>0</v>
      </c>
      <c r="DG315" s="208">
        <v>0</v>
      </c>
      <c r="DH315" s="208">
        <v>0</v>
      </c>
      <c r="DI315" s="208">
        <v>0</v>
      </c>
      <c r="DJ315" s="208">
        <v>0</v>
      </c>
      <c r="DK315" s="208">
        <v>0</v>
      </c>
      <c r="DL315" s="208">
        <v>0</v>
      </c>
      <c r="DM315" s="208">
        <v>0</v>
      </c>
      <c r="DN315" s="208">
        <v>0</v>
      </c>
      <c r="DO315" s="208">
        <v>0</v>
      </c>
      <c r="DP315" s="208">
        <v>0</v>
      </c>
      <c r="DQ315" s="208">
        <v>0</v>
      </c>
      <c r="DR315" s="208">
        <v>0</v>
      </c>
      <c r="DS315" s="208">
        <v>0</v>
      </c>
      <c r="DT315" s="208">
        <v>0</v>
      </c>
      <c r="DU315" s="208">
        <v>0</v>
      </c>
      <c r="DV315" s="208">
        <v>0</v>
      </c>
      <c r="DW315" s="208">
        <v>46138.942666666662</v>
      </c>
      <c r="DX315" s="208">
        <v>25953.155249999996</v>
      </c>
      <c r="DY315" s="208">
        <v>0</v>
      </c>
      <c r="DZ315" s="208">
        <v>53795</v>
      </c>
      <c r="EA315" s="208">
        <v>30259</v>
      </c>
      <c r="EB315" s="208">
        <v>0</v>
      </c>
      <c r="EC315" s="208">
        <v>-7656</v>
      </c>
      <c r="ED315" s="208">
        <v>-4306</v>
      </c>
      <c r="EE315" s="208">
        <v>0</v>
      </c>
      <c r="EF315" s="208">
        <v>3631552.5306666666</v>
      </c>
      <c r="EG315" s="208">
        <v>2042748.2984999998</v>
      </c>
      <c r="EH315" s="208">
        <v>0</v>
      </c>
      <c r="EI315" s="208">
        <v>476732.84933333332</v>
      </c>
      <c r="EJ315" s="208">
        <v>268162.22774999996</v>
      </c>
      <c r="EK315" s="208">
        <v>0</v>
      </c>
      <c r="EL315" s="208">
        <v>3689464</v>
      </c>
      <c r="EM315" s="208">
        <v>2075324</v>
      </c>
      <c r="EN315" s="208">
        <v>0</v>
      </c>
      <c r="EO315" s="208">
        <v>418821</v>
      </c>
      <c r="EP315" s="208">
        <v>235587</v>
      </c>
      <c r="EQ315" s="208">
        <v>0</v>
      </c>
      <c r="ER315" s="208">
        <v>49045.662666666663</v>
      </c>
      <c r="ES315" s="208">
        <v>27588.185249999999</v>
      </c>
      <c r="ET315" s="208">
        <v>0</v>
      </c>
      <c r="EU315" s="208">
        <v>37316</v>
      </c>
      <c r="EV315" s="208">
        <v>20990</v>
      </c>
      <c r="EW315" s="208">
        <v>0</v>
      </c>
      <c r="EX315" s="208">
        <v>11730</v>
      </c>
      <c r="EY315" s="208">
        <v>6598</v>
      </c>
      <c r="EZ315" s="208">
        <v>0</v>
      </c>
      <c r="FA315" s="208">
        <v>0</v>
      </c>
      <c r="FB315" s="208">
        <v>0</v>
      </c>
      <c r="FC315" s="208">
        <v>0</v>
      </c>
      <c r="FD315" s="208">
        <v>0</v>
      </c>
      <c r="FE315" s="208">
        <v>0</v>
      </c>
      <c r="FF315" s="208">
        <v>0</v>
      </c>
      <c r="FG315" s="208">
        <v>0</v>
      </c>
      <c r="FH315" s="208">
        <v>0</v>
      </c>
      <c r="FI315" s="208">
        <v>0</v>
      </c>
      <c r="FJ315" s="208">
        <v>32443203.730666663</v>
      </c>
      <c r="FK315" s="208">
        <v>18249302.098499998</v>
      </c>
      <c r="FL315" s="208">
        <v>0</v>
      </c>
      <c r="FM315" s="208">
        <v>31819403</v>
      </c>
      <c r="FN315" s="208">
        <v>17898414</v>
      </c>
      <c r="FO315" s="208">
        <v>0</v>
      </c>
      <c r="FP315" s="208">
        <v>623801</v>
      </c>
      <c r="FQ315" s="208">
        <v>350888</v>
      </c>
      <c r="FR315" s="208">
        <v>0</v>
      </c>
      <c r="FS315" s="208">
        <v>0</v>
      </c>
      <c r="FT315" s="208">
        <v>0</v>
      </c>
      <c r="FU315" s="208">
        <v>0</v>
      </c>
      <c r="FV315" s="208">
        <v>0</v>
      </c>
      <c r="FW315" s="208">
        <v>0</v>
      </c>
      <c r="FX315" s="208">
        <v>0</v>
      </c>
      <c r="FY315" s="208">
        <v>0</v>
      </c>
      <c r="FZ315" s="208">
        <v>0</v>
      </c>
      <c r="GA315" s="208">
        <v>0</v>
      </c>
      <c r="GB315" s="208">
        <v>40658084</v>
      </c>
      <c r="GC315" s="208">
        <v>22870170</v>
      </c>
      <c r="GD315" s="208">
        <v>0</v>
      </c>
      <c r="GE315" s="664">
        <v>0</v>
      </c>
      <c r="GF315" s="664">
        <v>0.64</v>
      </c>
      <c r="GG315" s="664">
        <v>0.36</v>
      </c>
      <c r="GH315" s="664">
        <v>0</v>
      </c>
      <c r="GI315" s="187" t="s">
        <v>1057</v>
      </c>
    </row>
    <row r="316" spans="2:191" s="187" customFormat="1" x14ac:dyDescent="0.2">
      <c r="B316" s="429" t="s">
        <v>710</v>
      </c>
      <c r="C316" s="429" t="s">
        <v>709</v>
      </c>
      <c r="D316" s="208">
        <v>-135649</v>
      </c>
      <c r="E316" s="208">
        <v>0</v>
      </c>
      <c r="F316" s="208">
        <v>-135649</v>
      </c>
      <c r="G316" s="208">
        <v>-136409</v>
      </c>
      <c r="H316" s="208">
        <v>0</v>
      </c>
      <c r="I316" s="208">
        <v>-136409</v>
      </c>
      <c r="J316" s="208">
        <v>760</v>
      </c>
      <c r="K316" s="208">
        <v>0</v>
      </c>
      <c r="L316" s="208">
        <v>760</v>
      </c>
      <c r="M316" s="208">
        <v>104342</v>
      </c>
      <c r="N316" s="208">
        <v>104342</v>
      </c>
      <c r="O316" s="208">
        <v>0</v>
      </c>
      <c r="P316" s="208">
        <v>0</v>
      </c>
      <c r="Q316" s="208">
        <v>0</v>
      </c>
      <c r="R316" s="208">
        <v>0</v>
      </c>
      <c r="S316" s="208">
        <v>322</v>
      </c>
      <c r="T316" s="208">
        <v>0</v>
      </c>
      <c r="U316" s="208">
        <v>0</v>
      </c>
      <c r="V316" s="208">
        <v>0</v>
      </c>
      <c r="W316" s="208">
        <v>322</v>
      </c>
      <c r="X316" s="208">
        <v>0</v>
      </c>
      <c r="Y316" s="208">
        <v>0</v>
      </c>
      <c r="Z316" s="208">
        <v>0</v>
      </c>
      <c r="AA316" s="208">
        <v>0</v>
      </c>
      <c r="AB316" s="208">
        <v>0</v>
      </c>
      <c r="AC316" s="208">
        <v>0</v>
      </c>
      <c r="AD316" s="208">
        <v>0</v>
      </c>
      <c r="AE316" s="208">
        <v>0</v>
      </c>
      <c r="AF316" s="208">
        <v>0</v>
      </c>
      <c r="AG316" s="208">
        <v>0</v>
      </c>
      <c r="AH316" s="208">
        <v>0</v>
      </c>
      <c r="AI316" s="208">
        <v>0</v>
      </c>
      <c r="AJ316" s="208">
        <v>0</v>
      </c>
      <c r="AK316" s="208">
        <v>0</v>
      </c>
      <c r="AL316" s="208">
        <v>0</v>
      </c>
      <c r="AM316" s="208">
        <v>0</v>
      </c>
      <c r="AN316" s="208">
        <v>0</v>
      </c>
      <c r="AO316" s="208">
        <v>0</v>
      </c>
      <c r="AP316" s="208">
        <v>0</v>
      </c>
      <c r="AQ316" s="208">
        <v>0</v>
      </c>
      <c r="AR316" s="208">
        <v>0</v>
      </c>
      <c r="AS316" s="208">
        <v>0</v>
      </c>
      <c r="AT316" s="208">
        <v>0</v>
      </c>
      <c r="AU316" s="208">
        <v>0</v>
      </c>
      <c r="AV316" s="208">
        <v>0</v>
      </c>
      <c r="AW316" s="208">
        <v>0</v>
      </c>
      <c r="AX316" s="208">
        <v>0</v>
      </c>
      <c r="AY316" s="208">
        <v>0</v>
      </c>
      <c r="AZ316" s="208">
        <v>0</v>
      </c>
      <c r="BA316" s="208">
        <v>0</v>
      </c>
      <c r="BB316" s="208">
        <v>0</v>
      </c>
      <c r="BC316" s="208">
        <v>0</v>
      </c>
      <c r="BD316" s="208">
        <v>0</v>
      </c>
      <c r="BE316" s="208">
        <v>0</v>
      </c>
      <c r="BF316" s="208">
        <v>0</v>
      </c>
      <c r="BG316" s="208">
        <v>0</v>
      </c>
      <c r="BH316" s="208">
        <v>0</v>
      </c>
      <c r="BI316" s="208">
        <v>0</v>
      </c>
      <c r="BJ316" s="208">
        <v>0</v>
      </c>
      <c r="BK316" s="208">
        <v>0</v>
      </c>
      <c r="BL316" s="208">
        <v>0</v>
      </c>
      <c r="BM316" s="208">
        <v>0</v>
      </c>
      <c r="BN316" s="208">
        <v>0</v>
      </c>
      <c r="BO316" s="208">
        <v>716059.49815000012</v>
      </c>
      <c r="BP316" s="208">
        <v>161113.38708375004</v>
      </c>
      <c r="BQ316" s="208">
        <v>17901.487453750004</v>
      </c>
      <c r="BR316" s="208">
        <v>35611</v>
      </c>
      <c r="BS316" s="208">
        <v>8012</v>
      </c>
      <c r="BT316" s="208">
        <v>890</v>
      </c>
      <c r="BU316" s="208">
        <v>674364</v>
      </c>
      <c r="BV316" s="208">
        <v>151732</v>
      </c>
      <c r="BW316" s="208">
        <v>16859</v>
      </c>
      <c r="BX316" s="208">
        <v>77306</v>
      </c>
      <c r="BY316" s="208">
        <v>17393</v>
      </c>
      <c r="BZ316" s="208">
        <v>1932</v>
      </c>
      <c r="CA316" s="208">
        <v>2132.9858333333336</v>
      </c>
      <c r="CB316" s="208">
        <v>479.92181249999999</v>
      </c>
      <c r="CC316" s="208">
        <v>53.324645833333335</v>
      </c>
      <c r="CD316" s="208">
        <v>754</v>
      </c>
      <c r="CE316" s="208">
        <v>170</v>
      </c>
      <c r="CF316" s="208">
        <v>19</v>
      </c>
      <c r="CG316" s="208">
        <v>1379</v>
      </c>
      <c r="CH316" s="208">
        <v>310</v>
      </c>
      <c r="CI316" s="208">
        <v>34</v>
      </c>
      <c r="CJ316" s="208">
        <v>0</v>
      </c>
      <c r="CK316" s="208">
        <v>0</v>
      </c>
      <c r="CL316" s="208">
        <v>0</v>
      </c>
      <c r="CM316" s="208">
        <v>0</v>
      </c>
      <c r="CN316" s="208">
        <v>0</v>
      </c>
      <c r="CO316" s="208">
        <v>0</v>
      </c>
      <c r="CP316" s="208">
        <v>0</v>
      </c>
      <c r="CQ316" s="208">
        <v>0</v>
      </c>
      <c r="CR316" s="208">
        <v>0</v>
      </c>
      <c r="CS316" s="208">
        <v>0</v>
      </c>
      <c r="CT316" s="208">
        <v>0</v>
      </c>
      <c r="CU316" s="208">
        <v>0</v>
      </c>
      <c r="CV316" s="208">
        <v>0</v>
      </c>
      <c r="CW316" s="208">
        <v>0</v>
      </c>
      <c r="CX316" s="208">
        <v>0</v>
      </c>
      <c r="CY316" s="208">
        <v>0</v>
      </c>
      <c r="CZ316" s="208">
        <v>0</v>
      </c>
      <c r="DA316" s="208">
        <v>0</v>
      </c>
      <c r="DB316" s="208">
        <v>0</v>
      </c>
      <c r="DC316" s="208">
        <v>0</v>
      </c>
      <c r="DD316" s="208">
        <v>0</v>
      </c>
      <c r="DE316" s="208">
        <v>0</v>
      </c>
      <c r="DF316" s="208">
        <v>0</v>
      </c>
      <c r="DG316" s="208">
        <v>0</v>
      </c>
      <c r="DH316" s="208">
        <v>0</v>
      </c>
      <c r="DI316" s="208">
        <v>0</v>
      </c>
      <c r="DJ316" s="208">
        <v>0</v>
      </c>
      <c r="DK316" s="208">
        <v>0</v>
      </c>
      <c r="DL316" s="208">
        <v>0</v>
      </c>
      <c r="DM316" s="208">
        <v>0</v>
      </c>
      <c r="DN316" s="208">
        <v>0</v>
      </c>
      <c r="DO316" s="208">
        <v>0</v>
      </c>
      <c r="DP316" s="208">
        <v>0</v>
      </c>
      <c r="DQ316" s="208">
        <v>0</v>
      </c>
      <c r="DR316" s="208">
        <v>0</v>
      </c>
      <c r="DS316" s="208">
        <v>0</v>
      </c>
      <c r="DT316" s="208">
        <v>0</v>
      </c>
      <c r="DU316" s="208">
        <v>0</v>
      </c>
      <c r="DV316" s="208">
        <v>0</v>
      </c>
      <c r="DW316" s="208">
        <v>7963.2016666666659</v>
      </c>
      <c r="DX316" s="208">
        <v>1791.7203749999999</v>
      </c>
      <c r="DY316" s="208">
        <v>199.08004166666666</v>
      </c>
      <c r="DZ316" s="208">
        <v>9041</v>
      </c>
      <c r="EA316" s="208">
        <v>2034</v>
      </c>
      <c r="EB316" s="208">
        <v>226</v>
      </c>
      <c r="EC316" s="208">
        <v>-1078</v>
      </c>
      <c r="ED316" s="208">
        <v>-242</v>
      </c>
      <c r="EE316" s="208">
        <v>-27</v>
      </c>
      <c r="EF316" s="208">
        <v>35273.030833333338</v>
      </c>
      <c r="EG316" s="208">
        <v>7936.4319375000005</v>
      </c>
      <c r="EH316" s="208">
        <v>881.82577083333342</v>
      </c>
      <c r="EI316" s="208">
        <v>-1458.6791666666668</v>
      </c>
      <c r="EJ316" s="208">
        <v>-328.20281249999999</v>
      </c>
      <c r="EK316" s="208">
        <v>-36.466979166666668</v>
      </c>
      <c r="EL316" s="208">
        <v>35513</v>
      </c>
      <c r="EM316" s="208">
        <v>7990</v>
      </c>
      <c r="EN316" s="208">
        <v>888</v>
      </c>
      <c r="EO316" s="208">
        <v>-1699</v>
      </c>
      <c r="EP316" s="208">
        <v>-382</v>
      </c>
      <c r="EQ316" s="208">
        <v>-43</v>
      </c>
      <c r="ER316" s="208">
        <v>17269.288333333334</v>
      </c>
      <c r="ES316" s="208">
        <v>3885.5898749999997</v>
      </c>
      <c r="ET316" s="208">
        <v>431.73220833333335</v>
      </c>
      <c r="EU316" s="208">
        <v>18287</v>
      </c>
      <c r="EV316" s="208">
        <v>4115</v>
      </c>
      <c r="EW316" s="208">
        <v>457</v>
      </c>
      <c r="EX316" s="208">
        <v>-1018</v>
      </c>
      <c r="EY316" s="208">
        <v>-229</v>
      </c>
      <c r="EZ316" s="208">
        <v>-25</v>
      </c>
      <c r="FA316" s="208">
        <v>0</v>
      </c>
      <c r="FB316" s="208">
        <v>0</v>
      </c>
      <c r="FC316" s="208">
        <v>0</v>
      </c>
      <c r="FD316" s="208">
        <v>0</v>
      </c>
      <c r="FE316" s="208">
        <v>0</v>
      </c>
      <c r="FF316" s="208">
        <v>0</v>
      </c>
      <c r="FG316" s="208">
        <v>0</v>
      </c>
      <c r="FH316" s="208">
        <v>0</v>
      </c>
      <c r="FI316" s="208">
        <v>0</v>
      </c>
      <c r="FJ316" s="208">
        <v>137365.41500000001</v>
      </c>
      <c r="FK316" s="208">
        <v>30905.558062499997</v>
      </c>
      <c r="FL316" s="208">
        <v>3433.9508958333331</v>
      </c>
      <c r="FM316" s="208">
        <v>131647</v>
      </c>
      <c r="FN316" s="208">
        <v>29621</v>
      </c>
      <c r="FO316" s="208">
        <v>3291</v>
      </c>
      <c r="FP316" s="208">
        <v>5718</v>
      </c>
      <c r="FQ316" s="208">
        <v>1285</v>
      </c>
      <c r="FR316" s="208">
        <v>143</v>
      </c>
      <c r="FS316" s="208">
        <v>0</v>
      </c>
      <c r="FT316" s="208">
        <v>0</v>
      </c>
      <c r="FU316" s="208">
        <v>0</v>
      </c>
      <c r="FV316" s="208">
        <v>0</v>
      </c>
      <c r="FW316" s="208">
        <v>0</v>
      </c>
      <c r="FX316" s="208">
        <v>0</v>
      </c>
      <c r="FY316" s="208">
        <v>0</v>
      </c>
      <c r="FZ316" s="208">
        <v>0</v>
      </c>
      <c r="GA316" s="208">
        <v>0</v>
      </c>
      <c r="GB316" s="208">
        <v>950214</v>
      </c>
      <c r="GC316" s="208">
        <v>213797</v>
      </c>
      <c r="GD316" s="208">
        <v>23755</v>
      </c>
      <c r="GE316" s="664">
        <v>0.5</v>
      </c>
      <c r="GF316" s="664">
        <v>0.4</v>
      </c>
      <c r="GG316" s="664">
        <v>0.09</v>
      </c>
      <c r="GH316" s="664">
        <v>0.01</v>
      </c>
      <c r="GI316" s="187" t="s">
        <v>1054</v>
      </c>
    </row>
    <row r="317" spans="2:191" s="187" customFormat="1" x14ac:dyDescent="0.2">
      <c r="B317" s="429" t="s">
        <v>712</v>
      </c>
      <c r="C317" s="429" t="s">
        <v>711</v>
      </c>
      <c r="D317" s="208">
        <v>-1941152</v>
      </c>
      <c r="E317" s="208">
        <v>0</v>
      </c>
      <c r="F317" s="208">
        <v>-1941152</v>
      </c>
      <c r="G317" s="208">
        <v>-1840155</v>
      </c>
      <c r="H317" s="208">
        <v>0</v>
      </c>
      <c r="I317" s="208">
        <v>-1840155</v>
      </c>
      <c r="J317" s="208">
        <v>-100997</v>
      </c>
      <c r="K317" s="208">
        <v>0</v>
      </c>
      <c r="L317" s="208">
        <v>-100997</v>
      </c>
      <c r="M317" s="208">
        <v>379713</v>
      </c>
      <c r="N317" s="208">
        <v>379713</v>
      </c>
      <c r="O317" s="208">
        <v>0</v>
      </c>
      <c r="P317" s="208">
        <v>0</v>
      </c>
      <c r="Q317" s="208">
        <v>0</v>
      </c>
      <c r="R317" s="208">
        <v>0</v>
      </c>
      <c r="S317" s="208">
        <v>0</v>
      </c>
      <c r="T317" s="208">
        <v>0</v>
      </c>
      <c r="U317" s="208">
        <v>0</v>
      </c>
      <c r="V317" s="208">
        <v>0</v>
      </c>
      <c r="W317" s="208">
        <v>0</v>
      </c>
      <c r="X317" s="208">
        <v>0</v>
      </c>
      <c r="Y317" s="208">
        <v>0</v>
      </c>
      <c r="Z317" s="208">
        <v>0</v>
      </c>
      <c r="AA317" s="208">
        <v>0</v>
      </c>
      <c r="AB317" s="208">
        <v>0</v>
      </c>
      <c r="AC317" s="208">
        <v>0</v>
      </c>
      <c r="AD317" s="208">
        <v>0</v>
      </c>
      <c r="AE317" s="208">
        <v>0</v>
      </c>
      <c r="AF317" s="208">
        <v>0</v>
      </c>
      <c r="AG317" s="208">
        <v>0</v>
      </c>
      <c r="AH317" s="208">
        <v>0</v>
      </c>
      <c r="AI317" s="208">
        <v>0</v>
      </c>
      <c r="AJ317" s="208">
        <v>0</v>
      </c>
      <c r="AK317" s="208">
        <v>0</v>
      </c>
      <c r="AL317" s="208">
        <v>0</v>
      </c>
      <c r="AM317" s="208">
        <v>0</v>
      </c>
      <c r="AN317" s="208">
        <v>0</v>
      </c>
      <c r="AO317" s="208">
        <v>0</v>
      </c>
      <c r="AP317" s="208">
        <v>0</v>
      </c>
      <c r="AQ317" s="208">
        <v>0</v>
      </c>
      <c r="AR317" s="208">
        <v>0</v>
      </c>
      <c r="AS317" s="208">
        <v>0</v>
      </c>
      <c r="AT317" s="208">
        <v>0</v>
      </c>
      <c r="AU317" s="208">
        <v>0</v>
      </c>
      <c r="AV317" s="208">
        <v>0</v>
      </c>
      <c r="AW317" s="208">
        <v>0</v>
      </c>
      <c r="AX317" s="208">
        <v>0</v>
      </c>
      <c r="AY317" s="208">
        <v>0</v>
      </c>
      <c r="AZ317" s="208">
        <v>0</v>
      </c>
      <c r="BA317" s="208">
        <v>0</v>
      </c>
      <c r="BB317" s="208">
        <v>0</v>
      </c>
      <c r="BC317" s="208">
        <v>0</v>
      </c>
      <c r="BD317" s="208">
        <v>0</v>
      </c>
      <c r="BE317" s="208">
        <v>0</v>
      </c>
      <c r="BF317" s="208">
        <v>0</v>
      </c>
      <c r="BG317" s="208">
        <v>0</v>
      </c>
      <c r="BH317" s="208">
        <v>0</v>
      </c>
      <c r="BI317" s="208">
        <v>0</v>
      </c>
      <c r="BJ317" s="208">
        <v>0</v>
      </c>
      <c r="BK317" s="208">
        <v>0</v>
      </c>
      <c r="BL317" s="208">
        <v>0</v>
      </c>
      <c r="BM317" s="208">
        <v>0</v>
      </c>
      <c r="BN317" s="208">
        <v>0</v>
      </c>
      <c r="BO317" s="208">
        <v>7226488.1504578134</v>
      </c>
      <c r="BP317" s="208">
        <v>0</v>
      </c>
      <c r="BQ317" s="208">
        <v>72994.829802604159</v>
      </c>
      <c r="BR317" s="208">
        <v>400177</v>
      </c>
      <c r="BS317" s="208">
        <v>0</v>
      </c>
      <c r="BT317" s="208">
        <v>4042</v>
      </c>
      <c r="BU317" s="208">
        <v>7007260</v>
      </c>
      <c r="BV317" s="208">
        <v>0</v>
      </c>
      <c r="BW317" s="208">
        <v>70780</v>
      </c>
      <c r="BX317" s="208">
        <v>619405</v>
      </c>
      <c r="BY317" s="208">
        <v>0</v>
      </c>
      <c r="BZ317" s="208">
        <v>6257</v>
      </c>
      <c r="CA317" s="208">
        <v>81235.765874999997</v>
      </c>
      <c r="CB317" s="208">
        <v>0</v>
      </c>
      <c r="CC317" s="208">
        <v>820.5632916666666</v>
      </c>
      <c r="CD317" s="208">
        <v>28062</v>
      </c>
      <c r="CE317" s="208">
        <v>0</v>
      </c>
      <c r="CF317" s="208">
        <v>283</v>
      </c>
      <c r="CG317" s="208">
        <v>53174</v>
      </c>
      <c r="CH317" s="208">
        <v>0</v>
      </c>
      <c r="CI317" s="208">
        <v>538</v>
      </c>
      <c r="CJ317" s="208">
        <v>0</v>
      </c>
      <c r="CK317" s="208">
        <v>0</v>
      </c>
      <c r="CL317" s="208">
        <v>0</v>
      </c>
      <c r="CM317" s="208">
        <v>1908.9159375000002</v>
      </c>
      <c r="CN317" s="208">
        <v>0</v>
      </c>
      <c r="CO317" s="208">
        <v>19.28197916666667</v>
      </c>
      <c r="CP317" s="208">
        <v>0</v>
      </c>
      <c r="CQ317" s="208">
        <v>0</v>
      </c>
      <c r="CR317" s="208">
        <v>0</v>
      </c>
      <c r="CS317" s="208">
        <v>0</v>
      </c>
      <c r="CT317" s="208">
        <v>0</v>
      </c>
      <c r="CU317" s="208">
        <v>0</v>
      </c>
      <c r="CV317" s="208">
        <v>0</v>
      </c>
      <c r="CW317" s="208">
        <v>0</v>
      </c>
      <c r="CX317" s="208">
        <v>0</v>
      </c>
      <c r="CY317" s="208">
        <v>0</v>
      </c>
      <c r="CZ317" s="208">
        <v>0</v>
      </c>
      <c r="DA317" s="208">
        <v>0</v>
      </c>
      <c r="DB317" s="208">
        <v>0</v>
      </c>
      <c r="DC317" s="208">
        <v>0</v>
      </c>
      <c r="DD317" s="208">
        <v>0</v>
      </c>
      <c r="DE317" s="208">
        <v>0</v>
      </c>
      <c r="DF317" s="208">
        <v>0</v>
      </c>
      <c r="DG317" s="208">
        <v>0</v>
      </c>
      <c r="DH317" s="208">
        <v>0</v>
      </c>
      <c r="DI317" s="208">
        <v>0</v>
      </c>
      <c r="DJ317" s="208">
        <v>0</v>
      </c>
      <c r="DK317" s="208">
        <v>0</v>
      </c>
      <c r="DL317" s="208">
        <v>0</v>
      </c>
      <c r="DM317" s="208">
        <v>0</v>
      </c>
      <c r="DN317" s="208">
        <v>956.98968749999995</v>
      </c>
      <c r="DO317" s="208">
        <v>0</v>
      </c>
      <c r="DP317" s="208">
        <v>9.6665624999999995</v>
      </c>
      <c r="DQ317" s="208">
        <v>1519</v>
      </c>
      <c r="DR317" s="208">
        <v>0</v>
      </c>
      <c r="DS317" s="208">
        <v>15</v>
      </c>
      <c r="DT317" s="208">
        <v>-562</v>
      </c>
      <c r="DU317" s="208">
        <v>0</v>
      </c>
      <c r="DV317" s="208">
        <v>-5</v>
      </c>
      <c r="DW317" s="208">
        <v>19670.442000000003</v>
      </c>
      <c r="DX317" s="208">
        <v>0</v>
      </c>
      <c r="DY317" s="208">
        <v>198.69133333333335</v>
      </c>
      <c r="DZ317" s="208">
        <v>7899</v>
      </c>
      <c r="EA317" s="208">
        <v>0</v>
      </c>
      <c r="EB317" s="208">
        <v>80</v>
      </c>
      <c r="EC317" s="208">
        <v>11771</v>
      </c>
      <c r="ED317" s="208">
        <v>0</v>
      </c>
      <c r="EE317" s="208">
        <v>119</v>
      </c>
      <c r="EF317" s="208">
        <v>244459.7244375</v>
      </c>
      <c r="EG317" s="208">
        <v>0</v>
      </c>
      <c r="EH317" s="208">
        <v>2469.2901458333336</v>
      </c>
      <c r="EI317" s="208">
        <v>0</v>
      </c>
      <c r="EJ317" s="208">
        <v>0</v>
      </c>
      <c r="EK317" s="208">
        <v>0</v>
      </c>
      <c r="EL317" s="208">
        <v>251950</v>
      </c>
      <c r="EM317" s="208">
        <v>0</v>
      </c>
      <c r="EN317" s="208">
        <v>2545</v>
      </c>
      <c r="EO317" s="208">
        <v>-7490</v>
      </c>
      <c r="EP317" s="208">
        <v>0</v>
      </c>
      <c r="EQ317" s="208">
        <v>-76</v>
      </c>
      <c r="ER317" s="208">
        <v>127323.174</v>
      </c>
      <c r="ES317" s="208">
        <v>0</v>
      </c>
      <c r="ET317" s="208">
        <v>1286.0926666666667</v>
      </c>
      <c r="EU317" s="208">
        <v>126586</v>
      </c>
      <c r="EV317" s="208">
        <v>0</v>
      </c>
      <c r="EW317" s="208">
        <v>1279</v>
      </c>
      <c r="EX317" s="208">
        <v>737</v>
      </c>
      <c r="EY317" s="208">
        <v>0</v>
      </c>
      <c r="EZ317" s="208">
        <v>7</v>
      </c>
      <c r="FA317" s="208">
        <v>0</v>
      </c>
      <c r="FB317" s="208">
        <v>0</v>
      </c>
      <c r="FC317" s="208">
        <v>0</v>
      </c>
      <c r="FD317" s="208">
        <v>0</v>
      </c>
      <c r="FE317" s="208">
        <v>0</v>
      </c>
      <c r="FF317" s="208">
        <v>0</v>
      </c>
      <c r="FG317" s="208">
        <v>0</v>
      </c>
      <c r="FH317" s="208">
        <v>0</v>
      </c>
      <c r="FI317" s="208">
        <v>0</v>
      </c>
      <c r="FJ317" s="208">
        <v>1845180.6594374999</v>
      </c>
      <c r="FK317" s="208">
        <v>0</v>
      </c>
      <c r="FL317" s="208">
        <v>18638.188479166667</v>
      </c>
      <c r="FM317" s="208">
        <v>1715831</v>
      </c>
      <c r="FN317" s="208">
        <v>0</v>
      </c>
      <c r="FO317" s="208">
        <v>17332</v>
      </c>
      <c r="FP317" s="208">
        <v>129350</v>
      </c>
      <c r="FQ317" s="208">
        <v>0</v>
      </c>
      <c r="FR317" s="208">
        <v>1306</v>
      </c>
      <c r="FS317" s="208">
        <v>0</v>
      </c>
      <c r="FT317" s="208">
        <v>0</v>
      </c>
      <c r="FU317" s="208">
        <v>0</v>
      </c>
      <c r="FV317" s="208">
        <v>0</v>
      </c>
      <c r="FW317" s="208">
        <v>0</v>
      </c>
      <c r="FX317" s="208">
        <v>0</v>
      </c>
      <c r="FY317" s="208">
        <v>0</v>
      </c>
      <c r="FZ317" s="208">
        <v>0</v>
      </c>
      <c r="GA317" s="208">
        <v>0</v>
      </c>
      <c r="GB317" s="208">
        <v>9947401</v>
      </c>
      <c r="GC317" s="208">
        <v>0</v>
      </c>
      <c r="GD317" s="208">
        <v>100479</v>
      </c>
      <c r="GE317" s="664">
        <v>0</v>
      </c>
      <c r="GF317" s="664">
        <v>0.99</v>
      </c>
      <c r="GG317" s="664">
        <v>0</v>
      </c>
      <c r="GH317" s="664">
        <v>0.01</v>
      </c>
      <c r="GI317" s="187" t="s">
        <v>1056</v>
      </c>
    </row>
    <row r="318" spans="2:191" s="187" customFormat="1" x14ac:dyDescent="0.2">
      <c r="B318" s="429" t="s">
        <v>714</v>
      </c>
      <c r="C318" s="429" t="s">
        <v>713</v>
      </c>
      <c r="D318" s="208">
        <v>-2117554</v>
      </c>
      <c r="E318" s="208">
        <v>0</v>
      </c>
      <c r="F318" s="208">
        <v>-2117554</v>
      </c>
      <c r="G318" s="208">
        <v>-1603759</v>
      </c>
      <c r="H318" s="208">
        <v>0</v>
      </c>
      <c r="I318" s="208">
        <v>-1603759</v>
      </c>
      <c r="J318" s="208">
        <v>-513795</v>
      </c>
      <c r="K318" s="208">
        <v>0</v>
      </c>
      <c r="L318" s="208">
        <v>-513795</v>
      </c>
      <c r="M318" s="208">
        <v>620988</v>
      </c>
      <c r="N318" s="208">
        <v>620988</v>
      </c>
      <c r="O318" s="208">
        <v>0</v>
      </c>
      <c r="P318" s="208">
        <v>0</v>
      </c>
      <c r="Q318" s="208">
        <v>0</v>
      </c>
      <c r="R318" s="208">
        <v>0</v>
      </c>
      <c r="S318" s="208">
        <v>1623696</v>
      </c>
      <c r="T318" s="208">
        <v>0</v>
      </c>
      <c r="U318" s="208">
        <v>1469924</v>
      </c>
      <c r="V318" s="208">
        <v>0</v>
      </c>
      <c r="W318" s="208">
        <v>153772</v>
      </c>
      <c r="X318" s="208">
        <v>0</v>
      </c>
      <c r="Y318" s="208">
        <v>0</v>
      </c>
      <c r="Z318" s="208">
        <v>0</v>
      </c>
      <c r="AA318" s="208">
        <v>0</v>
      </c>
      <c r="AB318" s="208">
        <v>0</v>
      </c>
      <c r="AC318" s="208">
        <v>0</v>
      </c>
      <c r="AD318" s="208">
        <v>0</v>
      </c>
      <c r="AE318" s="208">
        <v>0</v>
      </c>
      <c r="AF318" s="208">
        <v>0</v>
      </c>
      <c r="AG318" s="208">
        <v>0</v>
      </c>
      <c r="AH318" s="208">
        <v>0</v>
      </c>
      <c r="AI318" s="208">
        <v>0</v>
      </c>
      <c r="AJ318" s="208">
        <v>0</v>
      </c>
      <c r="AK318" s="208">
        <v>0</v>
      </c>
      <c r="AL318" s="208">
        <v>0</v>
      </c>
      <c r="AM318" s="208">
        <v>0</v>
      </c>
      <c r="AN318" s="208">
        <v>0</v>
      </c>
      <c r="AO318" s="208">
        <v>0</v>
      </c>
      <c r="AP318" s="208">
        <v>0</v>
      </c>
      <c r="AQ318" s="208">
        <v>0</v>
      </c>
      <c r="AR318" s="208">
        <v>0</v>
      </c>
      <c r="AS318" s="208">
        <v>0</v>
      </c>
      <c r="AT318" s="208">
        <v>0</v>
      </c>
      <c r="AU318" s="208">
        <v>0</v>
      </c>
      <c r="AV318" s="208">
        <v>0</v>
      </c>
      <c r="AW318" s="208">
        <v>0</v>
      </c>
      <c r="AX318" s="208">
        <v>0</v>
      </c>
      <c r="AY318" s="208">
        <v>0</v>
      </c>
      <c r="AZ318" s="208">
        <v>0</v>
      </c>
      <c r="BA318" s="208">
        <v>0</v>
      </c>
      <c r="BB318" s="208">
        <v>0</v>
      </c>
      <c r="BC318" s="208">
        <v>0</v>
      </c>
      <c r="BD318" s="208">
        <v>0</v>
      </c>
      <c r="BE318" s="208">
        <v>0</v>
      </c>
      <c r="BF318" s="208">
        <v>0</v>
      </c>
      <c r="BG318" s="208">
        <v>0</v>
      </c>
      <c r="BH318" s="208">
        <v>0</v>
      </c>
      <c r="BI318" s="208">
        <v>0</v>
      </c>
      <c r="BJ318" s="208">
        <v>0</v>
      </c>
      <c r="BK318" s="208">
        <v>0</v>
      </c>
      <c r="BL318" s="208">
        <v>0</v>
      </c>
      <c r="BM318" s="208">
        <v>0</v>
      </c>
      <c r="BN318" s="208">
        <v>0</v>
      </c>
      <c r="BO318" s="208">
        <v>5854379.4099401059</v>
      </c>
      <c r="BP318" s="208">
        <v>0</v>
      </c>
      <c r="BQ318" s="208">
        <v>119477.13081510419</v>
      </c>
      <c r="BR318" s="208">
        <v>344363</v>
      </c>
      <c r="BS318" s="208">
        <v>0</v>
      </c>
      <c r="BT318" s="208">
        <v>7028</v>
      </c>
      <c r="BU318" s="208">
        <v>5627038</v>
      </c>
      <c r="BV318" s="208">
        <v>0</v>
      </c>
      <c r="BW318" s="208">
        <v>114838</v>
      </c>
      <c r="BX318" s="208">
        <v>571704</v>
      </c>
      <c r="BY318" s="208">
        <v>0</v>
      </c>
      <c r="BZ318" s="208">
        <v>11667</v>
      </c>
      <c r="CA318" s="208">
        <v>55151.748895833334</v>
      </c>
      <c r="CB318" s="208">
        <v>0</v>
      </c>
      <c r="CC318" s="208">
        <v>1125.5458958333334</v>
      </c>
      <c r="CD318" s="208">
        <v>18553</v>
      </c>
      <c r="CE318" s="208">
        <v>0</v>
      </c>
      <c r="CF318" s="208">
        <v>379</v>
      </c>
      <c r="CG318" s="208">
        <v>36599</v>
      </c>
      <c r="CH318" s="208">
        <v>0</v>
      </c>
      <c r="CI318" s="208">
        <v>747</v>
      </c>
      <c r="CJ318" s="208">
        <v>0</v>
      </c>
      <c r="CK318" s="208">
        <v>0</v>
      </c>
      <c r="CL318" s="208">
        <v>0</v>
      </c>
      <c r="CM318" s="208">
        <v>0</v>
      </c>
      <c r="CN318" s="208">
        <v>0</v>
      </c>
      <c r="CO318" s="208">
        <v>0</v>
      </c>
      <c r="CP318" s="208">
        <v>0</v>
      </c>
      <c r="CQ318" s="208">
        <v>0</v>
      </c>
      <c r="CR318" s="208">
        <v>0</v>
      </c>
      <c r="CS318" s="208">
        <v>0</v>
      </c>
      <c r="CT318" s="208">
        <v>0</v>
      </c>
      <c r="CU318" s="208">
        <v>0</v>
      </c>
      <c r="CV318" s="208">
        <v>0</v>
      </c>
      <c r="CW318" s="208">
        <v>0</v>
      </c>
      <c r="CX318" s="208">
        <v>0</v>
      </c>
      <c r="CY318" s="208">
        <v>0</v>
      </c>
      <c r="CZ318" s="208">
        <v>0</v>
      </c>
      <c r="DA318" s="208">
        <v>0</v>
      </c>
      <c r="DB318" s="208">
        <v>0</v>
      </c>
      <c r="DC318" s="208">
        <v>0</v>
      </c>
      <c r="DD318" s="208">
        <v>0</v>
      </c>
      <c r="DE318" s="208">
        <v>81814.634416666668</v>
      </c>
      <c r="DF318" s="208">
        <v>0</v>
      </c>
      <c r="DG318" s="208">
        <v>1669.6864166666667</v>
      </c>
      <c r="DH318" s="208">
        <v>86960</v>
      </c>
      <c r="DI318" s="208">
        <v>0</v>
      </c>
      <c r="DJ318" s="208">
        <v>1775</v>
      </c>
      <c r="DK318" s="208">
        <v>-5145</v>
      </c>
      <c r="DL318" s="208">
        <v>0</v>
      </c>
      <c r="DM318" s="208">
        <v>-105</v>
      </c>
      <c r="DN318" s="208">
        <v>2381.3397708333337</v>
      </c>
      <c r="DO318" s="208">
        <v>0</v>
      </c>
      <c r="DP318" s="208">
        <v>48.59877083333334</v>
      </c>
      <c r="DQ318" s="208">
        <v>3008</v>
      </c>
      <c r="DR318" s="208">
        <v>0</v>
      </c>
      <c r="DS318" s="208">
        <v>61</v>
      </c>
      <c r="DT318" s="208">
        <v>-627</v>
      </c>
      <c r="DU318" s="208">
        <v>0</v>
      </c>
      <c r="DV318" s="208">
        <v>-12</v>
      </c>
      <c r="DW318" s="208">
        <v>84402.981833333339</v>
      </c>
      <c r="DX318" s="208">
        <v>0</v>
      </c>
      <c r="DY318" s="208">
        <v>1722.5098333333335</v>
      </c>
      <c r="DZ318" s="208">
        <v>68093</v>
      </c>
      <c r="EA318" s="208">
        <v>0</v>
      </c>
      <c r="EB318" s="208">
        <v>1390</v>
      </c>
      <c r="EC318" s="208">
        <v>16310</v>
      </c>
      <c r="ED318" s="208">
        <v>0</v>
      </c>
      <c r="EE318" s="208">
        <v>333</v>
      </c>
      <c r="EF318" s="208">
        <v>225954.6095625</v>
      </c>
      <c r="EG318" s="208">
        <v>0</v>
      </c>
      <c r="EH318" s="208">
        <v>4611.3185625000006</v>
      </c>
      <c r="EI318" s="208">
        <v>0</v>
      </c>
      <c r="EJ318" s="208">
        <v>0</v>
      </c>
      <c r="EK318" s="208">
        <v>0</v>
      </c>
      <c r="EL318" s="208">
        <v>226367</v>
      </c>
      <c r="EM318" s="208">
        <v>0</v>
      </c>
      <c r="EN318" s="208">
        <v>4620</v>
      </c>
      <c r="EO318" s="208">
        <v>-412</v>
      </c>
      <c r="EP318" s="208">
        <v>0</v>
      </c>
      <c r="EQ318" s="208">
        <v>-9</v>
      </c>
      <c r="ER318" s="208">
        <v>104372.45306249999</v>
      </c>
      <c r="ES318" s="208">
        <v>0</v>
      </c>
      <c r="ET318" s="208">
        <v>2130.0500625</v>
      </c>
      <c r="EU318" s="208">
        <v>98339</v>
      </c>
      <c r="EV318" s="208">
        <v>0</v>
      </c>
      <c r="EW318" s="208">
        <v>2007</v>
      </c>
      <c r="EX318" s="208">
        <v>6033</v>
      </c>
      <c r="EY318" s="208">
        <v>0</v>
      </c>
      <c r="EZ318" s="208">
        <v>123</v>
      </c>
      <c r="FA318" s="208">
        <v>0</v>
      </c>
      <c r="FB318" s="208">
        <v>0</v>
      </c>
      <c r="FC318" s="208">
        <v>0</v>
      </c>
      <c r="FD318" s="208">
        <v>0</v>
      </c>
      <c r="FE318" s="208">
        <v>0</v>
      </c>
      <c r="FF318" s="208">
        <v>0</v>
      </c>
      <c r="FG318" s="208">
        <v>0</v>
      </c>
      <c r="FH318" s="208">
        <v>0</v>
      </c>
      <c r="FI318" s="208">
        <v>0</v>
      </c>
      <c r="FJ318" s="208">
        <v>1708775.0505833332</v>
      </c>
      <c r="FK318" s="208">
        <v>0</v>
      </c>
      <c r="FL318" s="208">
        <v>34113.578583333328</v>
      </c>
      <c r="FM318" s="208">
        <v>1712112</v>
      </c>
      <c r="FN318" s="208">
        <v>0</v>
      </c>
      <c r="FO318" s="208">
        <v>34254</v>
      </c>
      <c r="FP318" s="208">
        <v>-3337</v>
      </c>
      <c r="FQ318" s="208">
        <v>0</v>
      </c>
      <c r="FR318" s="208">
        <v>-140</v>
      </c>
      <c r="FS318" s="208">
        <v>0</v>
      </c>
      <c r="FT318" s="208">
        <v>0</v>
      </c>
      <c r="FU318" s="208">
        <v>0</v>
      </c>
      <c r="FV318" s="208">
        <v>0</v>
      </c>
      <c r="FW318" s="208">
        <v>0</v>
      </c>
      <c r="FX318" s="208">
        <v>0</v>
      </c>
      <c r="FY318" s="208">
        <v>0</v>
      </c>
      <c r="FZ318" s="208">
        <v>0</v>
      </c>
      <c r="GA318" s="208">
        <v>0</v>
      </c>
      <c r="GB318" s="208">
        <v>8461595</v>
      </c>
      <c r="GC318" s="208">
        <v>0</v>
      </c>
      <c r="GD318" s="208">
        <v>171928</v>
      </c>
      <c r="GE318" s="664">
        <v>0.5</v>
      </c>
      <c r="GF318" s="664">
        <v>0.49</v>
      </c>
      <c r="GG318" s="664">
        <v>0</v>
      </c>
      <c r="GH318" s="664">
        <v>0.01</v>
      </c>
      <c r="GI318" s="187" t="s">
        <v>742</v>
      </c>
    </row>
    <row r="319" spans="2:191" s="187" customFormat="1" x14ac:dyDescent="0.2">
      <c r="B319" s="429" t="s">
        <v>716</v>
      </c>
      <c r="C319" s="429" t="s">
        <v>715</v>
      </c>
      <c r="D319" s="208">
        <v>1211091</v>
      </c>
      <c r="E319" s="208">
        <v>0</v>
      </c>
      <c r="F319" s="208">
        <v>1211091</v>
      </c>
      <c r="G319" s="208">
        <v>1092951</v>
      </c>
      <c r="H319" s="208">
        <v>0</v>
      </c>
      <c r="I319" s="208">
        <v>1092951</v>
      </c>
      <c r="J319" s="208">
        <v>118140</v>
      </c>
      <c r="K319" s="208">
        <v>0</v>
      </c>
      <c r="L319" s="208">
        <v>118140</v>
      </c>
      <c r="M319" s="208">
        <v>198098</v>
      </c>
      <c r="N319" s="208">
        <v>198098</v>
      </c>
      <c r="O319" s="208">
        <v>0</v>
      </c>
      <c r="P319" s="208">
        <v>0</v>
      </c>
      <c r="Q319" s="208">
        <v>0</v>
      </c>
      <c r="R319" s="208">
        <v>0</v>
      </c>
      <c r="S319" s="208">
        <v>320303</v>
      </c>
      <c r="T319" s="208">
        <v>0</v>
      </c>
      <c r="U319" s="208">
        <v>286373</v>
      </c>
      <c r="V319" s="208">
        <v>0</v>
      </c>
      <c r="W319" s="208">
        <v>33930</v>
      </c>
      <c r="X319" s="208">
        <v>0</v>
      </c>
      <c r="Y319" s="208">
        <v>0</v>
      </c>
      <c r="Z319" s="208">
        <v>0</v>
      </c>
      <c r="AA319" s="208">
        <v>0</v>
      </c>
      <c r="AB319" s="208">
        <v>0</v>
      </c>
      <c r="AC319" s="208">
        <v>0</v>
      </c>
      <c r="AD319" s="208">
        <v>0</v>
      </c>
      <c r="AE319" s="208">
        <v>0</v>
      </c>
      <c r="AF319" s="208">
        <v>0</v>
      </c>
      <c r="AG319" s="208">
        <v>0</v>
      </c>
      <c r="AH319" s="208">
        <v>0</v>
      </c>
      <c r="AI319" s="208">
        <v>0</v>
      </c>
      <c r="AJ319" s="208">
        <v>0</v>
      </c>
      <c r="AK319" s="208">
        <v>0</v>
      </c>
      <c r="AL319" s="208">
        <v>0</v>
      </c>
      <c r="AM319" s="208">
        <v>0</v>
      </c>
      <c r="AN319" s="208">
        <v>0</v>
      </c>
      <c r="AO319" s="208">
        <v>0</v>
      </c>
      <c r="AP319" s="208">
        <v>0</v>
      </c>
      <c r="AQ319" s="208">
        <v>0</v>
      </c>
      <c r="AR319" s="208">
        <v>0</v>
      </c>
      <c r="AS319" s="208">
        <v>0</v>
      </c>
      <c r="AT319" s="208">
        <v>0</v>
      </c>
      <c r="AU319" s="208">
        <v>0</v>
      </c>
      <c r="AV319" s="208">
        <v>0</v>
      </c>
      <c r="AW319" s="208">
        <v>0</v>
      </c>
      <c r="AX319" s="208">
        <v>0</v>
      </c>
      <c r="AY319" s="208">
        <v>0</v>
      </c>
      <c r="AZ319" s="208">
        <v>0</v>
      </c>
      <c r="BA319" s="208">
        <v>0</v>
      </c>
      <c r="BB319" s="208">
        <v>0</v>
      </c>
      <c r="BC319" s="208">
        <v>0</v>
      </c>
      <c r="BD319" s="208">
        <v>0</v>
      </c>
      <c r="BE319" s="208">
        <v>0</v>
      </c>
      <c r="BF319" s="208">
        <v>0</v>
      </c>
      <c r="BG319" s="208">
        <v>0</v>
      </c>
      <c r="BH319" s="208">
        <v>0</v>
      </c>
      <c r="BI319" s="208">
        <v>0</v>
      </c>
      <c r="BJ319" s="208">
        <v>0</v>
      </c>
      <c r="BK319" s="208">
        <v>0</v>
      </c>
      <c r="BL319" s="208">
        <v>0</v>
      </c>
      <c r="BM319" s="208">
        <v>0</v>
      </c>
      <c r="BN319" s="208">
        <v>0</v>
      </c>
      <c r="BO319" s="208">
        <v>1286395.1770858336</v>
      </c>
      <c r="BP319" s="208">
        <v>289438.91484431253</v>
      </c>
      <c r="BQ319" s="208">
        <v>32159.879427145839</v>
      </c>
      <c r="BR319" s="208">
        <v>118380</v>
      </c>
      <c r="BS319" s="208">
        <v>26635</v>
      </c>
      <c r="BT319" s="208">
        <v>2959</v>
      </c>
      <c r="BU319" s="208">
        <v>1201954</v>
      </c>
      <c r="BV319" s="208">
        <v>270440</v>
      </c>
      <c r="BW319" s="208">
        <v>30049</v>
      </c>
      <c r="BX319" s="208">
        <v>202821</v>
      </c>
      <c r="BY319" s="208">
        <v>45634</v>
      </c>
      <c r="BZ319" s="208">
        <v>5070</v>
      </c>
      <c r="CA319" s="208">
        <v>11082.688333333334</v>
      </c>
      <c r="CB319" s="208">
        <v>2493.604875</v>
      </c>
      <c r="CC319" s="208">
        <v>277.06720833333333</v>
      </c>
      <c r="CD319" s="208">
        <v>2873</v>
      </c>
      <c r="CE319" s="208">
        <v>647</v>
      </c>
      <c r="CF319" s="208">
        <v>72</v>
      </c>
      <c r="CG319" s="208">
        <v>8210</v>
      </c>
      <c r="CH319" s="208">
        <v>1847</v>
      </c>
      <c r="CI319" s="208">
        <v>205</v>
      </c>
      <c r="CJ319" s="208">
        <v>0</v>
      </c>
      <c r="CK319" s="208">
        <v>0</v>
      </c>
      <c r="CL319" s="208">
        <v>0</v>
      </c>
      <c r="CM319" s="208">
        <v>0</v>
      </c>
      <c r="CN319" s="208">
        <v>0</v>
      </c>
      <c r="CO319" s="208">
        <v>0</v>
      </c>
      <c r="CP319" s="208">
        <v>0</v>
      </c>
      <c r="CQ319" s="208">
        <v>0</v>
      </c>
      <c r="CR319" s="208">
        <v>0</v>
      </c>
      <c r="CS319" s="208">
        <v>0</v>
      </c>
      <c r="CT319" s="208">
        <v>0</v>
      </c>
      <c r="CU319" s="208">
        <v>0</v>
      </c>
      <c r="CV319" s="208">
        <v>0</v>
      </c>
      <c r="CW319" s="208">
        <v>0</v>
      </c>
      <c r="CX319" s="208">
        <v>0</v>
      </c>
      <c r="CY319" s="208">
        <v>0</v>
      </c>
      <c r="CZ319" s="208">
        <v>0</v>
      </c>
      <c r="DA319" s="208">
        <v>0</v>
      </c>
      <c r="DB319" s="208">
        <v>0</v>
      </c>
      <c r="DC319" s="208">
        <v>0</v>
      </c>
      <c r="DD319" s="208">
        <v>0</v>
      </c>
      <c r="DE319" s="208">
        <v>700.90249999999992</v>
      </c>
      <c r="DF319" s="208">
        <v>157.70306249999996</v>
      </c>
      <c r="DG319" s="208">
        <v>17.522562499999996</v>
      </c>
      <c r="DH319" s="208">
        <v>2857</v>
      </c>
      <c r="DI319" s="208">
        <v>643</v>
      </c>
      <c r="DJ319" s="208">
        <v>71</v>
      </c>
      <c r="DK319" s="208">
        <v>-2156</v>
      </c>
      <c r="DL319" s="208">
        <v>-485</v>
      </c>
      <c r="DM319" s="208">
        <v>-53</v>
      </c>
      <c r="DN319" s="208">
        <v>0</v>
      </c>
      <c r="DO319" s="208">
        <v>0</v>
      </c>
      <c r="DP319" s="208">
        <v>0</v>
      </c>
      <c r="DQ319" s="208">
        <v>614</v>
      </c>
      <c r="DR319" s="208">
        <v>138</v>
      </c>
      <c r="DS319" s="208">
        <v>15</v>
      </c>
      <c r="DT319" s="208">
        <v>-614</v>
      </c>
      <c r="DU319" s="208">
        <v>-138</v>
      </c>
      <c r="DV319" s="208">
        <v>-15</v>
      </c>
      <c r="DW319" s="208">
        <v>28006.639999999996</v>
      </c>
      <c r="DX319" s="208">
        <v>6301.4939999999988</v>
      </c>
      <c r="DY319" s="208">
        <v>700.16599999999994</v>
      </c>
      <c r="DZ319" s="208">
        <v>29580</v>
      </c>
      <c r="EA319" s="208">
        <v>6655</v>
      </c>
      <c r="EB319" s="208">
        <v>739</v>
      </c>
      <c r="EC319" s="208">
        <v>-1573</v>
      </c>
      <c r="ED319" s="208">
        <v>-354</v>
      </c>
      <c r="EE319" s="208">
        <v>-39</v>
      </c>
      <c r="EF319" s="208">
        <v>105324.81916666667</v>
      </c>
      <c r="EG319" s="208">
        <v>23698.084312499999</v>
      </c>
      <c r="EH319" s="208">
        <v>2633.1204791666669</v>
      </c>
      <c r="EI319" s="208">
        <v>-810.12545</v>
      </c>
      <c r="EJ319" s="208">
        <v>-182.27822624999999</v>
      </c>
      <c r="EK319" s="208">
        <v>-20.253136250000001</v>
      </c>
      <c r="EL319" s="208">
        <v>105156</v>
      </c>
      <c r="EM319" s="208">
        <v>23660</v>
      </c>
      <c r="EN319" s="208">
        <v>2629</v>
      </c>
      <c r="EO319" s="208">
        <v>-641</v>
      </c>
      <c r="EP319" s="208">
        <v>-144</v>
      </c>
      <c r="EQ319" s="208">
        <v>-16</v>
      </c>
      <c r="ER319" s="208">
        <v>34636.776666666665</v>
      </c>
      <c r="ES319" s="208">
        <v>7793.2747500000005</v>
      </c>
      <c r="ET319" s="208">
        <v>865.91941666666673</v>
      </c>
      <c r="EU319" s="208">
        <v>38871</v>
      </c>
      <c r="EV319" s="208">
        <v>8746</v>
      </c>
      <c r="EW319" s="208">
        <v>972</v>
      </c>
      <c r="EX319" s="208">
        <v>-4234</v>
      </c>
      <c r="EY319" s="208">
        <v>-953</v>
      </c>
      <c r="EZ319" s="208">
        <v>-106</v>
      </c>
      <c r="FA319" s="208">
        <v>0</v>
      </c>
      <c r="FB319" s="208">
        <v>0</v>
      </c>
      <c r="FC319" s="208">
        <v>0</v>
      </c>
      <c r="FD319" s="208">
        <v>0</v>
      </c>
      <c r="FE319" s="208">
        <v>0</v>
      </c>
      <c r="FF319" s="208">
        <v>0</v>
      </c>
      <c r="FG319" s="208">
        <v>0</v>
      </c>
      <c r="FH319" s="208">
        <v>0</v>
      </c>
      <c r="FI319" s="208">
        <v>0</v>
      </c>
      <c r="FJ319" s="208">
        <v>566130.88124999998</v>
      </c>
      <c r="FK319" s="208">
        <v>125727.88593749999</v>
      </c>
      <c r="FL319" s="208">
        <v>13969.765104166665</v>
      </c>
      <c r="FM319" s="208">
        <v>549440</v>
      </c>
      <c r="FN319" s="208">
        <v>122147</v>
      </c>
      <c r="FO319" s="208">
        <v>13572</v>
      </c>
      <c r="FP319" s="208">
        <v>16691</v>
      </c>
      <c r="FQ319" s="208">
        <v>3581</v>
      </c>
      <c r="FR319" s="208">
        <v>398</v>
      </c>
      <c r="FS319" s="208">
        <v>0</v>
      </c>
      <c r="FT319" s="208">
        <v>0</v>
      </c>
      <c r="FU319" s="208">
        <v>0</v>
      </c>
      <c r="FV319" s="208">
        <v>0</v>
      </c>
      <c r="FW319" s="208">
        <v>0</v>
      </c>
      <c r="FX319" s="208">
        <v>0</v>
      </c>
      <c r="FY319" s="208">
        <v>0</v>
      </c>
      <c r="FZ319" s="208">
        <v>0</v>
      </c>
      <c r="GA319" s="208">
        <v>0</v>
      </c>
      <c r="GB319" s="208">
        <v>2149849</v>
      </c>
      <c r="GC319" s="208">
        <v>482064</v>
      </c>
      <c r="GD319" s="208">
        <v>53563</v>
      </c>
      <c r="GE319" s="664">
        <v>0.5</v>
      </c>
      <c r="GF319" s="664">
        <v>0.4</v>
      </c>
      <c r="GG319" s="664">
        <v>0.09</v>
      </c>
      <c r="GH319" s="664">
        <v>0.01</v>
      </c>
      <c r="GI319" s="187" t="s">
        <v>1054</v>
      </c>
    </row>
    <row r="320" spans="2:191" s="187" customFormat="1" x14ac:dyDescent="0.2">
      <c r="B320" s="429" t="s">
        <v>718</v>
      </c>
      <c r="C320" s="429" t="s">
        <v>717</v>
      </c>
      <c r="D320" s="208">
        <v>-89897</v>
      </c>
      <c r="E320" s="208">
        <v>0</v>
      </c>
      <c r="F320" s="208">
        <v>-89897</v>
      </c>
      <c r="G320" s="208">
        <v>313275</v>
      </c>
      <c r="H320" s="208">
        <v>0</v>
      </c>
      <c r="I320" s="208">
        <v>313275</v>
      </c>
      <c r="J320" s="208">
        <v>-403172</v>
      </c>
      <c r="K320" s="208">
        <v>0</v>
      </c>
      <c r="L320" s="208">
        <v>-403172</v>
      </c>
      <c r="M320" s="208">
        <v>244862</v>
      </c>
      <c r="N320" s="208">
        <v>244862</v>
      </c>
      <c r="O320" s="208">
        <v>0</v>
      </c>
      <c r="P320" s="208">
        <v>0</v>
      </c>
      <c r="Q320" s="208">
        <v>0</v>
      </c>
      <c r="R320" s="208">
        <v>0</v>
      </c>
      <c r="S320" s="208">
        <v>11036</v>
      </c>
      <c r="T320" s="208">
        <v>0</v>
      </c>
      <c r="U320" s="208">
        <v>11036</v>
      </c>
      <c r="V320" s="208">
        <v>0</v>
      </c>
      <c r="W320" s="208">
        <v>0</v>
      </c>
      <c r="X320" s="208">
        <v>0</v>
      </c>
      <c r="Y320" s="208">
        <v>0</v>
      </c>
      <c r="Z320" s="208">
        <v>0</v>
      </c>
      <c r="AA320" s="208">
        <v>0</v>
      </c>
      <c r="AB320" s="208">
        <v>0</v>
      </c>
      <c r="AC320" s="208">
        <v>0</v>
      </c>
      <c r="AD320" s="208">
        <v>0</v>
      </c>
      <c r="AE320" s="208">
        <v>0</v>
      </c>
      <c r="AF320" s="208">
        <v>0</v>
      </c>
      <c r="AG320" s="208">
        <v>0</v>
      </c>
      <c r="AH320" s="208">
        <v>0</v>
      </c>
      <c r="AI320" s="208">
        <v>0</v>
      </c>
      <c r="AJ320" s="208">
        <v>0</v>
      </c>
      <c r="AK320" s="208">
        <v>0</v>
      </c>
      <c r="AL320" s="208">
        <v>0</v>
      </c>
      <c r="AM320" s="208">
        <v>0</v>
      </c>
      <c r="AN320" s="208">
        <v>0</v>
      </c>
      <c r="AO320" s="208">
        <v>0</v>
      </c>
      <c r="AP320" s="208">
        <v>0</v>
      </c>
      <c r="AQ320" s="208">
        <v>0</v>
      </c>
      <c r="AR320" s="208">
        <v>0</v>
      </c>
      <c r="AS320" s="208">
        <v>0</v>
      </c>
      <c r="AT320" s="208">
        <v>0</v>
      </c>
      <c r="AU320" s="208">
        <v>0</v>
      </c>
      <c r="AV320" s="208">
        <v>0</v>
      </c>
      <c r="AW320" s="208">
        <v>0</v>
      </c>
      <c r="AX320" s="208">
        <v>0</v>
      </c>
      <c r="AY320" s="208">
        <v>0</v>
      </c>
      <c r="AZ320" s="208">
        <v>0</v>
      </c>
      <c r="BA320" s="208">
        <v>0</v>
      </c>
      <c r="BB320" s="208">
        <v>0</v>
      </c>
      <c r="BC320" s="208">
        <v>0</v>
      </c>
      <c r="BD320" s="208">
        <v>0</v>
      </c>
      <c r="BE320" s="208">
        <v>0</v>
      </c>
      <c r="BF320" s="208">
        <v>0</v>
      </c>
      <c r="BG320" s="208">
        <v>0</v>
      </c>
      <c r="BH320" s="208">
        <v>0</v>
      </c>
      <c r="BI320" s="208">
        <v>0</v>
      </c>
      <c r="BJ320" s="208">
        <v>0</v>
      </c>
      <c r="BK320" s="208">
        <v>0</v>
      </c>
      <c r="BL320" s="208">
        <v>0</v>
      </c>
      <c r="BM320" s="208">
        <v>0</v>
      </c>
      <c r="BN320" s="208">
        <v>0</v>
      </c>
      <c r="BO320" s="208">
        <v>2784188.3120411248</v>
      </c>
      <c r="BP320" s="208">
        <v>0</v>
      </c>
      <c r="BQ320" s="208">
        <v>28123.114263041665</v>
      </c>
      <c r="BR320" s="208">
        <v>374656</v>
      </c>
      <c r="BS320" s="208">
        <v>0</v>
      </c>
      <c r="BT320" s="208">
        <v>3784</v>
      </c>
      <c r="BU320" s="208">
        <v>2640601</v>
      </c>
      <c r="BV320" s="208">
        <v>0</v>
      </c>
      <c r="BW320" s="208">
        <v>26673</v>
      </c>
      <c r="BX320" s="208">
        <v>518243</v>
      </c>
      <c r="BY320" s="208">
        <v>0</v>
      </c>
      <c r="BZ320" s="208">
        <v>5234</v>
      </c>
      <c r="CA320" s="208">
        <v>0</v>
      </c>
      <c r="CB320" s="208">
        <v>0</v>
      </c>
      <c r="CC320" s="208">
        <v>0</v>
      </c>
      <c r="CD320" s="208">
        <v>0</v>
      </c>
      <c r="CE320" s="208">
        <v>0</v>
      </c>
      <c r="CF320" s="208">
        <v>0</v>
      </c>
      <c r="CG320" s="208">
        <v>0</v>
      </c>
      <c r="CH320" s="208">
        <v>0</v>
      </c>
      <c r="CI320" s="208">
        <v>0</v>
      </c>
      <c r="CJ320" s="208">
        <v>0</v>
      </c>
      <c r="CK320" s="208">
        <v>0</v>
      </c>
      <c r="CL320" s="208">
        <v>0</v>
      </c>
      <c r="CM320" s="208">
        <v>0</v>
      </c>
      <c r="CN320" s="208">
        <v>0</v>
      </c>
      <c r="CO320" s="208">
        <v>0</v>
      </c>
      <c r="CP320" s="208">
        <v>0</v>
      </c>
      <c r="CQ320" s="208">
        <v>0</v>
      </c>
      <c r="CR320" s="208">
        <v>0</v>
      </c>
      <c r="CS320" s="208">
        <v>0</v>
      </c>
      <c r="CT320" s="208">
        <v>0</v>
      </c>
      <c r="CU320" s="208">
        <v>0</v>
      </c>
      <c r="CV320" s="208">
        <v>0</v>
      </c>
      <c r="CW320" s="208">
        <v>0</v>
      </c>
      <c r="CX320" s="208">
        <v>0</v>
      </c>
      <c r="CY320" s="208">
        <v>0</v>
      </c>
      <c r="CZ320" s="208">
        <v>0</v>
      </c>
      <c r="DA320" s="208">
        <v>0</v>
      </c>
      <c r="DB320" s="208">
        <v>0</v>
      </c>
      <c r="DC320" s="208">
        <v>0</v>
      </c>
      <c r="DD320" s="208">
        <v>0</v>
      </c>
      <c r="DE320" s="208">
        <v>5822.953125</v>
      </c>
      <c r="DF320" s="208">
        <v>0</v>
      </c>
      <c r="DG320" s="208">
        <v>58.817708333333329</v>
      </c>
      <c r="DH320" s="208">
        <v>6488</v>
      </c>
      <c r="DI320" s="208">
        <v>0</v>
      </c>
      <c r="DJ320" s="208">
        <v>66</v>
      </c>
      <c r="DK320" s="208">
        <v>-665</v>
      </c>
      <c r="DL320" s="208">
        <v>0</v>
      </c>
      <c r="DM320" s="208">
        <v>-7</v>
      </c>
      <c r="DN320" s="208">
        <v>1381.30575</v>
      </c>
      <c r="DO320" s="208">
        <v>0</v>
      </c>
      <c r="DP320" s="208">
        <v>13.952583333333335</v>
      </c>
      <c r="DQ320" s="208">
        <v>3038</v>
      </c>
      <c r="DR320" s="208">
        <v>0</v>
      </c>
      <c r="DS320" s="208">
        <v>31</v>
      </c>
      <c r="DT320" s="208">
        <v>-1657</v>
      </c>
      <c r="DU320" s="208">
        <v>0</v>
      </c>
      <c r="DV320" s="208">
        <v>-17</v>
      </c>
      <c r="DW320" s="208">
        <v>22320.645187499998</v>
      </c>
      <c r="DX320" s="208">
        <v>0</v>
      </c>
      <c r="DY320" s="208">
        <v>225.46106250000003</v>
      </c>
      <c r="DZ320" s="208">
        <v>84104</v>
      </c>
      <c r="EA320" s="208">
        <v>0</v>
      </c>
      <c r="EB320" s="208">
        <v>850</v>
      </c>
      <c r="EC320" s="208">
        <v>-61783</v>
      </c>
      <c r="ED320" s="208">
        <v>0</v>
      </c>
      <c r="EE320" s="208">
        <v>-625</v>
      </c>
      <c r="EF320" s="208">
        <v>301462.89112499997</v>
      </c>
      <c r="EG320" s="208">
        <v>0</v>
      </c>
      <c r="EH320" s="208">
        <v>3045.0797083333332</v>
      </c>
      <c r="EI320" s="208">
        <v>-17005.048499999997</v>
      </c>
      <c r="EJ320" s="208">
        <v>0</v>
      </c>
      <c r="EK320" s="208">
        <v>-171.76816666666667</v>
      </c>
      <c r="EL320" s="208">
        <v>333175</v>
      </c>
      <c r="EM320" s="208">
        <v>0</v>
      </c>
      <c r="EN320" s="208">
        <v>3365</v>
      </c>
      <c r="EO320" s="208">
        <v>-48717</v>
      </c>
      <c r="EP320" s="208">
        <v>0</v>
      </c>
      <c r="EQ320" s="208">
        <v>-492</v>
      </c>
      <c r="ER320" s="208">
        <v>63803.363249999995</v>
      </c>
      <c r="ES320" s="208">
        <v>0</v>
      </c>
      <c r="ET320" s="208">
        <v>644.47841666666659</v>
      </c>
      <c r="EU320" s="208">
        <v>90130</v>
      </c>
      <c r="EV320" s="208">
        <v>0</v>
      </c>
      <c r="EW320" s="208">
        <v>910</v>
      </c>
      <c r="EX320" s="208">
        <v>-26327</v>
      </c>
      <c r="EY320" s="208">
        <v>0</v>
      </c>
      <c r="EZ320" s="208">
        <v>-266</v>
      </c>
      <c r="FA320" s="208">
        <v>0</v>
      </c>
      <c r="FB320" s="208">
        <v>0</v>
      </c>
      <c r="FC320" s="208">
        <v>0</v>
      </c>
      <c r="FD320" s="208">
        <v>0</v>
      </c>
      <c r="FE320" s="208">
        <v>0</v>
      </c>
      <c r="FF320" s="208">
        <v>0</v>
      </c>
      <c r="FG320" s="208">
        <v>0</v>
      </c>
      <c r="FH320" s="208">
        <v>0</v>
      </c>
      <c r="FI320" s="208">
        <v>0</v>
      </c>
      <c r="FJ320" s="208">
        <v>2117012.8798958329</v>
      </c>
      <c r="FK320" s="208">
        <v>0</v>
      </c>
      <c r="FL320" s="208">
        <v>21381.413854166665</v>
      </c>
      <c r="FM320" s="208">
        <v>2077862</v>
      </c>
      <c r="FN320" s="208">
        <v>0</v>
      </c>
      <c r="FO320" s="208">
        <v>20986</v>
      </c>
      <c r="FP320" s="208">
        <v>39151</v>
      </c>
      <c r="FQ320" s="208">
        <v>0</v>
      </c>
      <c r="FR320" s="208">
        <v>395</v>
      </c>
      <c r="FS320" s="208">
        <v>0</v>
      </c>
      <c r="FT320" s="208">
        <v>0</v>
      </c>
      <c r="FU320" s="208">
        <v>0</v>
      </c>
      <c r="FV320" s="208">
        <v>0</v>
      </c>
      <c r="FW320" s="208">
        <v>0</v>
      </c>
      <c r="FX320" s="208">
        <v>0</v>
      </c>
      <c r="FY320" s="208">
        <v>0</v>
      </c>
      <c r="FZ320" s="208">
        <v>0</v>
      </c>
      <c r="GA320" s="208">
        <v>0</v>
      </c>
      <c r="GB320" s="208">
        <v>5653643</v>
      </c>
      <c r="GC320" s="208">
        <v>0</v>
      </c>
      <c r="GD320" s="208">
        <v>57103</v>
      </c>
      <c r="GE320" s="664">
        <v>0</v>
      </c>
      <c r="GF320" s="664">
        <v>0.99</v>
      </c>
      <c r="GG320" s="664">
        <v>0</v>
      </c>
      <c r="GH320" s="664">
        <v>0.01</v>
      </c>
      <c r="GI320" s="187" t="s">
        <v>742</v>
      </c>
    </row>
    <row r="321" spans="1:191" s="187" customFormat="1" x14ac:dyDescent="0.2">
      <c r="B321" s="429" t="s">
        <v>720</v>
      </c>
      <c r="C321" s="429" t="s">
        <v>719</v>
      </c>
      <c r="D321" s="208">
        <v>-1210295</v>
      </c>
      <c r="E321" s="208">
        <v>-8728</v>
      </c>
      <c r="F321" s="208">
        <v>-1219023</v>
      </c>
      <c r="G321" s="208">
        <v>-1082425</v>
      </c>
      <c r="H321" s="208">
        <v>-8728</v>
      </c>
      <c r="I321" s="208">
        <v>-1091153</v>
      </c>
      <c r="J321" s="208">
        <v>-127870</v>
      </c>
      <c r="K321" s="208">
        <v>0</v>
      </c>
      <c r="L321" s="208">
        <v>-127870</v>
      </c>
      <c r="M321" s="208">
        <v>333350</v>
      </c>
      <c r="N321" s="208">
        <v>333350</v>
      </c>
      <c r="O321" s="208">
        <v>0</v>
      </c>
      <c r="P321" s="208">
        <v>0</v>
      </c>
      <c r="Q321" s="208">
        <v>260719</v>
      </c>
      <c r="R321" s="208">
        <v>-260719</v>
      </c>
      <c r="S321" s="208">
        <v>0</v>
      </c>
      <c r="T321" s="208">
        <v>0</v>
      </c>
      <c r="U321" s="208">
        <v>0</v>
      </c>
      <c r="V321" s="208">
        <v>0</v>
      </c>
      <c r="W321" s="208">
        <v>0</v>
      </c>
      <c r="X321" s="208">
        <v>0</v>
      </c>
      <c r="Y321" s="208">
        <v>0</v>
      </c>
      <c r="Z321" s="208">
        <v>0</v>
      </c>
      <c r="AA321" s="208">
        <v>0</v>
      </c>
      <c r="AB321" s="208">
        <v>0</v>
      </c>
      <c r="AC321" s="208">
        <v>0</v>
      </c>
      <c r="AD321" s="208">
        <v>0</v>
      </c>
      <c r="AE321" s="208">
        <v>0</v>
      </c>
      <c r="AF321" s="208">
        <v>0</v>
      </c>
      <c r="AG321" s="208">
        <v>0</v>
      </c>
      <c r="AH321" s="208">
        <v>0</v>
      </c>
      <c r="AI321" s="208">
        <v>0</v>
      </c>
      <c r="AJ321" s="208">
        <v>0</v>
      </c>
      <c r="AK321" s="208">
        <v>0</v>
      </c>
      <c r="AL321" s="208">
        <v>0</v>
      </c>
      <c r="AM321" s="208">
        <v>0</v>
      </c>
      <c r="AN321" s="208">
        <v>0</v>
      </c>
      <c r="AO321" s="208">
        <v>0</v>
      </c>
      <c r="AP321" s="208">
        <v>0</v>
      </c>
      <c r="AQ321" s="208">
        <v>0</v>
      </c>
      <c r="AR321" s="208">
        <v>0</v>
      </c>
      <c r="AS321" s="208">
        <v>0</v>
      </c>
      <c r="AT321" s="208">
        <v>0</v>
      </c>
      <c r="AU321" s="208">
        <v>0</v>
      </c>
      <c r="AV321" s="208">
        <v>0</v>
      </c>
      <c r="AW321" s="208">
        <v>0</v>
      </c>
      <c r="AX321" s="208">
        <v>0</v>
      </c>
      <c r="AY321" s="208">
        <v>0</v>
      </c>
      <c r="AZ321" s="208">
        <v>0</v>
      </c>
      <c r="BA321" s="208">
        <v>0</v>
      </c>
      <c r="BB321" s="208">
        <v>0</v>
      </c>
      <c r="BC321" s="208">
        <v>0</v>
      </c>
      <c r="BD321" s="208">
        <v>0</v>
      </c>
      <c r="BE321" s="208">
        <v>0</v>
      </c>
      <c r="BF321" s="208">
        <v>0</v>
      </c>
      <c r="BG321" s="208">
        <v>0</v>
      </c>
      <c r="BH321" s="208">
        <v>0</v>
      </c>
      <c r="BI321" s="208">
        <v>0</v>
      </c>
      <c r="BJ321" s="208">
        <v>0</v>
      </c>
      <c r="BK321" s="208">
        <v>0</v>
      </c>
      <c r="BL321" s="208">
        <v>0</v>
      </c>
      <c r="BM321" s="208">
        <v>0</v>
      </c>
      <c r="BN321" s="208">
        <v>0</v>
      </c>
      <c r="BO321" s="208">
        <v>6581805.977516626</v>
      </c>
      <c r="BP321" s="208">
        <v>0</v>
      </c>
      <c r="BQ321" s="208">
        <v>66306.999070875012</v>
      </c>
      <c r="BR321" s="208">
        <v>352454</v>
      </c>
      <c r="BS321" s="208">
        <v>0</v>
      </c>
      <c r="BT321" s="208">
        <v>3546</v>
      </c>
      <c r="BU321" s="208">
        <v>6409675</v>
      </c>
      <c r="BV321" s="208">
        <v>0</v>
      </c>
      <c r="BW321" s="208">
        <v>64565</v>
      </c>
      <c r="BX321" s="208">
        <v>524585</v>
      </c>
      <c r="BY321" s="208">
        <v>0</v>
      </c>
      <c r="BZ321" s="208">
        <v>5288</v>
      </c>
      <c r="CA321" s="208">
        <v>36450.673875</v>
      </c>
      <c r="CB321" s="208">
        <v>0</v>
      </c>
      <c r="CC321" s="208">
        <v>368.188625</v>
      </c>
      <c r="CD321" s="208">
        <v>22091</v>
      </c>
      <c r="CE321" s="208">
        <v>0</v>
      </c>
      <c r="CF321" s="208">
        <v>223</v>
      </c>
      <c r="CG321" s="208">
        <v>14360</v>
      </c>
      <c r="CH321" s="208">
        <v>0</v>
      </c>
      <c r="CI321" s="208">
        <v>145</v>
      </c>
      <c r="CJ321" s="208">
        <v>0</v>
      </c>
      <c r="CK321" s="208">
        <v>0</v>
      </c>
      <c r="CL321" s="208">
        <v>0</v>
      </c>
      <c r="CM321" s="208">
        <v>0</v>
      </c>
      <c r="CN321" s="208">
        <v>0</v>
      </c>
      <c r="CO321" s="208">
        <v>0</v>
      </c>
      <c r="CP321" s="208">
        <v>0</v>
      </c>
      <c r="CQ321" s="208">
        <v>0</v>
      </c>
      <c r="CR321" s="208">
        <v>0</v>
      </c>
      <c r="CS321" s="208">
        <v>0</v>
      </c>
      <c r="CT321" s="208">
        <v>0</v>
      </c>
      <c r="CU321" s="208">
        <v>0</v>
      </c>
      <c r="CV321" s="208">
        <v>0</v>
      </c>
      <c r="CW321" s="208">
        <v>0</v>
      </c>
      <c r="CX321" s="208">
        <v>0</v>
      </c>
      <c r="CY321" s="208">
        <v>0</v>
      </c>
      <c r="CZ321" s="208">
        <v>0</v>
      </c>
      <c r="DA321" s="208">
        <v>0</v>
      </c>
      <c r="DB321" s="208">
        <v>0</v>
      </c>
      <c r="DC321" s="208">
        <v>0</v>
      </c>
      <c r="DD321" s="208">
        <v>0</v>
      </c>
      <c r="DE321" s="208">
        <v>0</v>
      </c>
      <c r="DF321" s="208">
        <v>0</v>
      </c>
      <c r="DG321" s="208">
        <v>0</v>
      </c>
      <c r="DH321" s="208">
        <v>0</v>
      </c>
      <c r="DI321" s="208">
        <v>0</v>
      </c>
      <c r="DJ321" s="208">
        <v>0</v>
      </c>
      <c r="DK321" s="208">
        <v>0</v>
      </c>
      <c r="DL321" s="208">
        <v>0</v>
      </c>
      <c r="DM321" s="208">
        <v>0</v>
      </c>
      <c r="DN321" s="208">
        <v>1519.03125</v>
      </c>
      <c r="DO321" s="208">
        <v>0</v>
      </c>
      <c r="DP321" s="208">
        <v>15.34375</v>
      </c>
      <c r="DQ321" s="208">
        <v>1519</v>
      </c>
      <c r="DR321" s="208">
        <v>0</v>
      </c>
      <c r="DS321" s="208">
        <v>15</v>
      </c>
      <c r="DT321" s="208">
        <v>0</v>
      </c>
      <c r="DU321" s="208">
        <v>0</v>
      </c>
      <c r="DV321" s="208">
        <v>0</v>
      </c>
      <c r="DW321" s="208">
        <v>36254.212500000001</v>
      </c>
      <c r="DX321" s="208">
        <v>0</v>
      </c>
      <c r="DY321" s="208">
        <v>366.20416666666665</v>
      </c>
      <c r="DZ321" s="208">
        <v>25782</v>
      </c>
      <c r="EA321" s="208">
        <v>0</v>
      </c>
      <c r="EB321" s="208">
        <v>260</v>
      </c>
      <c r="EC321" s="208">
        <v>10472</v>
      </c>
      <c r="ED321" s="208">
        <v>0</v>
      </c>
      <c r="EE321" s="208">
        <v>106</v>
      </c>
      <c r="EF321" s="208">
        <v>241293.13245833333</v>
      </c>
      <c r="EG321" s="208">
        <v>0</v>
      </c>
      <c r="EH321" s="208">
        <v>2429.0383750000001</v>
      </c>
      <c r="EI321" s="208">
        <v>0</v>
      </c>
      <c r="EJ321" s="208">
        <v>0</v>
      </c>
      <c r="EK321" s="208">
        <v>0</v>
      </c>
      <c r="EL321" s="208">
        <v>261795</v>
      </c>
      <c r="EM321" s="208">
        <v>0</v>
      </c>
      <c r="EN321" s="208">
        <v>2644</v>
      </c>
      <c r="EO321" s="208">
        <v>-20502</v>
      </c>
      <c r="EP321" s="208">
        <v>0</v>
      </c>
      <c r="EQ321" s="208">
        <v>-215</v>
      </c>
      <c r="ER321" s="208">
        <v>75411.800062499984</v>
      </c>
      <c r="ES321" s="208">
        <v>0</v>
      </c>
      <c r="ET321" s="208">
        <v>761.73535416666664</v>
      </c>
      <c r="EU321" s="208">
        <v>79275</v>
      </c>
      <c r="EV321" s="208">
        <v>0</v>
      </c>
      <c r="EW321" s="208">
        <v>801</v>
      </c>
      <c r="EX321" s="208">
        <v>-3863</v>
      </c>
      <c r="EY321" s="208">
        <v>0</v>
      </c>
      <c r="EZ321" s="208">
        <v>-39</v>
      </c>
      <c r="FA321" s="208">
        <v>0</v>
      </c>
      <c r="FB321" s="208">
        <v>0</v>
      </c>
      <c r="FC321" s="208">
        <v>0</v>
      </c>
      <c r="FD321" s="208">
        <v>0</v>
      </c>
      <c r="FE321" s="208">
        <v>0</v>
      </c>
      <c r="FF321" s="208">
        <v>0</v>
      </c>
      <c r="FG321" s="208">
        <v>0</v>
      </c>
      <c r="FH321" s="208">
        <v>0</v>
      </c>
      <c r="FI321" s="208">
        <v>0</v>
      </c>
      <c r="FJ321" s="208">
        <v>1638706.0552499997</v>
      </c>
      <c r="FK321" s="208">
        <v>0</v>
      </c>
      <c r="FL321" s="208">
        <v>16552.586416666665</v>
      </c>
      <c r="FM321" s="208">
        <v>1626420</v>
      </c>
      <c r="FN321" s="208">
        <v>0</v>
      </c>
      <c r="FO321" s="208">
        <v>16368</v>
      </c>
      <c r="FP321" s="208">
        <v>12286</v>
      </c>
      <c r="FQ321" s="208">
        <v>0</v>
      </c>
      <c r="FR321" s="208">
        <v>185</v>
      </c>
      <c r="FS321" s="208">
        <v>77665.97083333334</v>
      </c>
      <c r="FT321" s="208">
        <v>0</v>
      </c>
      <c r="FU321" s="208">
        <v>0</v>
      </c>
      <c r="FV321" s="208">
        <v>0</v>
      </c>
      <c r="FW321" s="208">
        <v>0</v>
      </c>
      <c r="FX321" s="208">
        <v>0</v>
      </c>
      <c r="FY321" s="208">
        <v>77666</v>
      </c>
      <c r="FZ321" s="208">
        <v>0</v>
      </c>
      <c r="GA321" s="208">
        <v>0</v>
      </c>
      <c r="GB321" s="208">
        <v>9041561</v>
      </c>
      <c r="GC321" s="208">
        <v>0</v>
      </c>
      <c r="GD321" s="208">
        <v>90346</v>
      </c>
      <c r="GE321" s="664">
        <v>0</v>
      </c>
      <c r="GF321" s="664">
        <v>0.99</v>
      </c>
      <c r="GG321" s="664">
        <v>0</v>
      </c>
      <c r="GH321" s="664">
        <v>0.01</v>
      </c>
      <c r="GI321" s="187" t="s">
        <v>1056</v>
      </c>
    </row>
    <row r="322" spans="1:191" s="187" customFormat="1" x14ac:dyDescent="0.2">
      <c r="B322" s="429" t="s">
        <v>722</v>
      </c>
      <c r="C322" s="429" t="s">
        <v>721</v>
      </c>
      <c r="D322" s="208">
        <v>-127090</v>
      </c>
      <c r="E322" s="208">
        <v>0</v>
      </c>
      <c r="F322" s="208">
        <v>-127090</v>
      </c>
      <c r="G322" s="208">
        <v>-63130</v>
      </c>
      <c r="H322" s="208">
        <v>0</v>
      </c>
      <c r="I322" s="208">
        <v>-63130</v>
      </c>
      <c r="J322" s="208">
        <v>-63960</v>
      </c>
      <c r="K322" s="208">
        <v>0</v>
      </c>
      <c r="L322" s="208">
        <v>-63960</v>
      </c>
      <c r="M322" s="208">
        <v>135455</v>
      </c>
      <c r="N322" s="208">
        <v>135455</v>
      </c>
      <c r="O322" s="208">
        <v>0</v>
      </c>
      <c r="P322" s="208">
        <v>0</v>
      </c>
      <c r="Q322" s="208">
        <v>0</v>
      </c>
      <c r="R322" s="208">
        <v>0</v>
      </c>
      <c r="S322" s="208">
        <v>0</v>
      </c>
      <c r="T322" s="208">
        <v>0</v>
      </c>
      <c r="U322" s="208">
        <v>0</v>
      </c>
      <c r="V322" s="208">
        <v>0</v>
      </c>
      <c r="W322" s="208">
        <v>0</v>
      </c>
      <c r="X322" s="208">
        <v>0</v>
      </c>
      <c r="Y322" s="208">
        <v>0</v>
      </c>
      <c r="Z322" s="208">
        <v>0</v>
      </c>
      <c r="AA322" s="208">
        <v>0</v>
      </c>
      <c r="AB322" s="208">
        <v>0</v>
      </c>
      <c r="AC322" s="208">
        <v>0</v>
      </c>
      <c r="AD322" s="208">
        <v>0</v>
      </c>
      <c r="AE322" s="208">
        <v>0</v>
      </c>
      <c r="AF322" s="208">
        <v>0</v>
      </c>
      <c r="AG322" s="208">
        <v>0</v>
      </c>
      <c r="AH322" s="208">
        <v>0</v>
      </c>
      <c r="AI322" s="208">
        <v>0</v>
      </c>
      <c r="AJ322" s="208">
        <v>0</v>
      </c>
      <c r="AK322" s="208">
        <v>0</v>
      </c>
      <c r="AL322" s="208">
        <v>0</v>
      </c>
      <c r="AM322" s="208">
        <v>0</v>
      </c>
      <c r="AN322" s="208">
        <v>0</v>
      </c>
      <c r="AO322" s="208">
        <v>0</v>
      </c>
      <c r="AP322" s="208">
        <v>0</v>
      </c>
      <c r="AQ322" s="208">
        <v>0</v>
      </c>
      <c r="AR322" s="208">
        <v>0</v>
      </c>
      <c r="AS322" s="208">
        <v>0</v>
      </c>
      <c r="AT322" s="208">
        <v>0</v>
      </c>
      <c r="AU322" s="208">
        <v>0</v>
      </c>
      <c r="AV322" s="208">
        <v>0</v>
      </c>
      <c r="AW322" s="208">
        <v>0</v>
      </c>
      <c r="AX322" s="208">
        <v>0</v>
      </c>
      <c r="AY322" s="208">
        <v>0</v>
      </c>
      <c r="AZ322" s="208">
        <v>0</v>
      </c>
      <c r="BA322" s="208">
        <v>0</v>
      </c>
      <c r="BB322" s="208">
        <v>0</v>
      </c>
      <c r="BC322" s="208">
        <v>0</v>
      </c>
      <c r="BD322" s="208">
        <v>0</v>
      </c>
      <c r="BE322" s="208">
        <v>0</v>
      </c>
      <c r="BF322" s="208">
        <v>0</v>
      </c>
      <c r="BG322" s="208">
        <v>0</v>
      </c>
      <c r="BH322" s="208">
        <v>0</v>
      </c>
      <c r="BI322" s="208">
        <v>0</v>
      </c>
      <c r="BJ322" s="208">
        <v>0</v>
      </c>
      <c r="BK322" s="208">
        <v>0</v>
      </c>
      <c r="BL322" s="208">
        <v>0</v>
      </c>
      <c r="BM322" s="208">
        <v>0</v>
      </c>
      <c r="BN322" s="208">
        <v>0</v>
      </c>
      <c r="BO322" s="208">
        <v>512591.59365749994</v>
      </c>
      <c r="BP322" s="208">
        <v>1196047.0518675002</v>
      </c>
      <c r="BQ322" s="208">
        <v>0</v>
      </c>
      <c r="BR322" s="208">
        <v>64591</v>
      </c>
      <c r="BS322" s="208">
        <v>150712</v>
      </c>
      <c r="BT322" s="208">
        <v>0</v>
      </c>
      <c r="BU322" s="208">
        <v>504687</v>
      </c>
      <c r="BV322" s="208">
        <v>1177601</v>
      </c>
      <c r="BW322" s="208">
        <v>0</v>
      </c>
      <c r="BX322" s="208">
        <v>72496</v>
      </c>
      <c r="BY322" s="208">
        <v>169158</v>
      </c>
      <c r="BZ322" s="208">
        <v>0</v>
      </c>
      <c r="CA322" s="208">
        <v>0</v>
      </c>
      <c r="CB322" s="208">
        <v>0</v>
      </c>
      <c r="CC322" s="208">
        <v>0</v>
      </c>
      <c r="CD322" s="208">
        <v>0</v>
      </c>
      <c r="CE322" s="208">
        <v>0</v>
      </c>
      <c r="CF322" s="208">
        <v>0</v>
      </c>
      <c r="CG322" s="208">
        <v>0</v>
      </c>
      <c r="CH322" s="208">
        <v>0</v>
      </c>
      <c r="CI322" s="208">
        <v>0</v>
      </c>
      <c r="CJ322" s="208">
        <v>-446.19625000000002</v>
      </c>
      <c r="CK322" s="208">
        <v>-1041.1245833333332</v>
      </c>
      <c r="CL322" s="208">
        <v>0</v>
      </c>
      <c r="CM322" s="208">
        <v>0</v>
      </c>
      <c r="CN322" s="208">
        <v>0</v>
      </c>
      <c r="CO322" s="208">
        <v>0</v>
      </c>
      <c r="CP322" s="208">
        <v>0</v>
      </c>
      <c r="CQ322" s="208">
        <v>0</v>
      </c>
      <c r="CR322" s="208">
        <v>0</v>
      </c>
      <c r="CS322" s="208">
        <v>0</v>
      </c>
      <c r="CT322" s="208">
        <v>0</v>
      </c>
      <c r="CU322" s="208">
        <v>0</v>
      </c>
      <c r="CV322" s="208">
        <v>0</v>
      </c>
      <c r="CW322" s="208">
        <v>0</v>
      </c>
      <c r="CX322" s="208">
        <v>0</v>
      </c>
      <c r="CY322" s="208">
        <v>0</v>
      </c>
      <c r="CZ322" s="208">
        <v>0</v>
      </c>
      <c r="DA322" s="208">
        <v>0</v>
      </c>
      <c r="DB322" s="208">
        <v>0</v>
      </c>
      <c r="DC322" s="208">
        <v>0</v>
      </c>
      <c r="DD322" s="208">
        <v>0</v>
      </c>
      <c r="DE322" s="208">
        <v>0</v>
      </c>
      <c r="DF322" s="208">
        <v>0</v>
      </c>
      <c r="DG322" s="208">
        <v>0</v>
      </c>
      <c r="DH322" s="208">
        <v>0</v>
      </c>
      <c r="DI322" s="208">
        <v>0</v>
      </c>
      <c r="DJ322" s="208">
        <v>0</v>
      </c>
      <c r="DK322" s="208">
        <v>0</v>
      </c>
      <c r="DL322" s="208">
        <v>0</v>
      </c>
      <c r="DM322" s="208">
        <v>0</v>
      </c>
      <c r="DN322" s="208">
        <v>0</v>
      </c>
      <c r="DO322" s="208">
        <v>0</v>
      </c>
      <c r="DP322" s="208">
        <v>0</v>
      </c>
      <c r="DQ322" s="208">
        <v>0</v>
      </c>
      <c r="DR322" s="208">
        <v>0</v>
      </c>
      <c r="DS322" s="208">
        <v>0</v>
      </c>
      <c r="DT322" s="208">
        <v>0</v>
      </c>
      <c r="DU322" s="208">
        <v>0</v>
      </c>
      <c r="DV322" s="208">
        <v>0</v>
      </c>
      <c r="DW322" s="208">
        <v>3759.8324999999995</v>
      </c>
      <c r="DX322" s="208">
        <v>8772.9424999999992</v>
      </c>
      <c r="DY322" s="208">
        <v>0</v>
      </c>
      <c r="DZ322" s="208">
        <v>8455</v>
      </c>
      <c r="EA322" s="208">
        <v>19729</v>
      </c>
      <c r="EB322" s="208">
        <v>0</v>
      </c>
      <c r="EC322" s="208">
        <v>-4695</v>
      </c>
      <c r="ED322" s="208">
        <v>-10956</v>
      </c>
      <c r="EE322" s="208">
        <v>0</v>
      </c>
      <c r="EF322" s="208">
        <v>39601.298125000001</v>
      </c>
      <c r="EG322" s="208">
        <v>92403.028958333336</v>
      </c>
      <c r="EH322" s="208">
        <v>0</v>
      </c>
      <c r="EI322" s="208">
        <v>0</v>
      </c>
      <c r="EJ322" s="208">
        <v>0</v>
      </c>
      <c r="EK322" s="208">
        <v>0</v>
      </c>
      <c r="EL322" s="208">
        <v>42873</v>
      </c>
      <c r="EM322" s="208">
        <v>100037</v>
      </c>
      <c r="EN322" s="208">
        <v>0</v>
      </c>
      <c r="EO322" s="208">
        <v>-3272</v>
      </c>
      <c r="EP322" s="208">
        <v>-7634</v>
      </c>
      <c r="EQ322" s="208">
        <v>0</v>
      </c>
      <c r="ER322" s="208">
        <v>4232.42</v>
      </c>
      <c r="ES322" s="208">
        <v>9875.6466666666674</v>
      </c>
      <c r="ET322" s="208">
        <v>0</v>
      </c>
      <c r="EU322" s="208">
        <v>4296</v>
      </c>
      <c r="EV322" s="208">
        <v>10025</v>
      </c>
      <c r="EW322" s="208">
        <v>0</v>
      </c>
      <c r="EX322" s="208">
        <v>-64</v>
      </c>
      <c r="EY322" s="208">
        <v>-149</v>
      </c>
      <c r="EZ322" s="208">
        <v>0</v>
      </c>
      <c r="FA322" s="208">
        <v>0</v>
      </c>
      <c r="FB322" s="208">
        <v>0</v>
      </c>
      <c r="FC322" s="208">
        <v>0</v>
      </c>
      <c r="FD322" s="208">
        <v>0</v>
      </c>
      <c r="FE322" s="208">
        <v>0</v>
      </c>
      <c r="FF322" s="208">
        <v>0</v>
      </c>
      <c r="FG322" s="208">
        <v>0</v>
      </c>
      <c r="FH322" s="208">
        <v>0</v>
      </c>
      <c r="FI322" s="208">
        <v>0</v>
      </c>
      <c r="FJ322" s="208">
        <v>367026.01374999998</v>
      </c>
      <c r="FK322" s="208">
        <v>856394.03208333324</v>
      </c>
      <c r="FL322" s="208">
        <v>0</v>
      </c>
      <c r="FM322" s="208">
        <v>320339</v>
      </c>
      <c r="FN322" s="208">
        <v>747457</v>
      </c>
      <c r="FO322" s="208">
        <v>0</v>
      </c>
      <c r="FP322" s="208">
        <v>46687</v>
      </c>
      <c r="FQ322" s="208">
        <v>108937</v>
      </c>
      <c r="FR322" s="208">
        <v>0</v>
      </c>
      <c r="FS322" s="208">
        <v>0</v>
      </c>
      <c r="FT322" s="208">
        <v>0</v>
      </c>
      <c r="FU322" s="208">
        <v>0</v>
      </c>
      <c r="FV322" s="208">
        <v>0</v>
      </c>
      <c r="FW322" s="208">
        <v>0</v>
      </c>
      <c r="FX322" s="208">
        <v>0</v>
      </c>
      <c r="FY322" s="208">
        <v>0</v>
      </c>
      <c r="FZ322" s="208">
        <v>0</v>
      </c>
      <c r="GA322" s="208">
        <v>0</v>
      </c>
      <c r="GB322" s="208">
        <v>991356</v>
      </c>
      <c r="GC322" s="208">
        <v>2313164</v>
      </c>
      <c r="GD322" s="208">
        <v>0</v>
      </c>
      <c r="GE322" s="664">
        <v>0</v>
      </c>
      <c r="GF322" s="664">
        <v>0.3</v>
      </c>
      <c r="GG322" s="664">
        <v>0.7</v>
      </c>
      <c r="GH322" s="664">
        <v>0</v>
      </c>
      <c r="GI322" s="187" t="s">
        <v>1054</v>
      </c>
    </row>
    <row r="323" spans="1:191" s="187" customFormat="1" x14ac:dyDescent="0.2">
      <c r="B323" s="429" t="s">
        <v>724</v>
      </c>
      <c r="C323" s="429" t="s">
        <v>723</v>
      </c>
      <c r="D323" s="208">
        <v>815185</v>
      </c>
      <c r="E323" s="208">
        <v>0</v>
      </c>
      <c r="F323" s="208">
        <v>815185</v>
      </c>
      <c r="G323" s="208">
        <v>2701140</v>
      </c>
      <c r="H323" s="208">
        <v>0</v>
      </c>
      <c r="I323" s="208">
        <v>2701140</v>
      </c>
      <c r="J323" s="208">
        <v>-1885955</v>
      </c>
      <c r="K323" s="208">
        <v>0</v>
      </c>
      <c r="L323" s="208">
        <v>-1885955</v>
      </c>
      <c r="M323" s="208">
        <v>196438</v>
      </c>
      <c r="N323" s="208">
        <v>196438</v>
      </c>
      <c r="O323" s="208">
        <v>0</v>
      </c>
      <c r="P323" s="208">
        <v>0</v>
      </c>
      <c r="Q323" s="208">
        <v>0</v>
      </c>
      <c r="R323" s="208">
        <v>0</v>
      </c>
      <c r="S323" s="208">
        <v>15560</v>
      </c>
      <c r="T323" s="208">
        <v>0</v>
      </c>
      <c r="U323" s="208">
        <v>15560</v>
      </c>
      <c r="V323" s="208">
        <v>0</v>
      </c>
      <c r="W323" s="208">
        <v>0</v>
      </c>
      <c r="X323" s="208">
        <v>0</v>
      </c>
      <c r="Y323" s="208">
        <v>0</v>
      </c>
      <c r="Z323" s="208">
        <v>0</v>
      </c>
      <c r="AA323" s="208">
        <v>0</v>
      </c>
      <c r="AB323" s="208">
        <v>0</v>
      </c>
      <c r="AC323" s="208">
        <v>0</v>
      </c>
      <c r="AD323" s="208">
        <v>0</v>
      </c>
      <c r="AE323" s="208">
        <v>0</v>
      </c>
      <c r="AF323" s="208">
        <v>0</v>
      </c>
      <c r="AG323" s="208">
        <v>0</v>
      </c>
      <c r="AH323" s="208">
        <v>0</v>
      </c>
      <c r="AI323" s="208">
        <v>0</v>
      </c>
      <c r="AJ323" s="208">
        <v>0</v>
      </c>
      <c r="AK323" s="208">
        <v>0</v>
      </c>
      <c r="AL323" s="208">
        <v>0</v>
      </c>
      <c r="AM323" s="208">
        <v>0</v>
      </c>
      <c r="AN323" s="208">
        <v>0</v>
      </c>
      <c r="AO323" s="208">
        <v>0</v>
      </c>
      <c r="AP323" s="208">
        <v>0</v>
      </c>
      <c r="AQ323" s="208">
        <v>0</v>
      </c>
      <c r="AR323" s="208">
        <v>0</v>
      </c>
      <c r="AS323" s="208">
        <v>0</v>
      </c>
      <c r="AT323" s="208">
        <v>0</v>
      </c>
      <c r="AU323" s="208">
        <v>0</v>
      </c>
      <c r="AV323" s="208">
        <v>0</v>
      </c>
      <c r="AW323" s="208">
        <v>0</v>
      </c>
      <c r="AX323" s="208">
        <v>0</v>
      </c>
      <c r="AY323" s="208">
        <v>0</v>
      </c>
      <c r="AZ323" s="208">
        <v>0</v>
      </c>
      <c r="BA323" s="208">
        <v>0</v>
      </c>
      <c r="BB323" s="208">
        <v>0</v>
      </c>
      <c r="BC323" s="208">
        <v>0</v>
      </c>
      <c r="BD323" s="208">
        <v>0</v>
      </c>
      <c r="BE323" s="208">
        <v>0</v>
      </c>
      <c r="BF323" s="208">
        <v>0</v>
      </c>
      <c r="BG323" s="208">
        <v>0</v>
      </c>
      <c r="BH323" s="208">
        <v>0</v>
      </c>
      <c r="BI323" s="208">
        <v>0</v>
      </c>
      <c r="BJ323" s="208">
        <v>0</v>
      </c>
      <c r="BK323" s="208">
        <v>0</v>
      </c>
      <c r="BL323" s="208">
        <v>0</v>
      </c>
      <c r="BM323" s="208">
        <v>0</v>
      </c>
      <c r="BN323" s="208">
        <v>0</v>
      </c>
      <c r="BO323" s="208">
        <v>2399966.7776039997</v>
      </c>
      <c r="BP323" s="208">
        <v>0</v>
      </c>
      <c r="BQ323" s="208">
        <v>24242.088662666665</v>
      </c>
      <c r="BR323" s="208">
        <v>278876</v>
      </c>
      <c r="BS323" s="208">
        <v>0</v>
      </c>
      <c r="BT323" s="208">
        <v>2817</v>
      </c>
      <c r="BU323" s="208">
        <v>2246248</v>
      </c>
      <c r="BV323" s="208">
        <v>0</v>
      </c>
      <c r="BW323" s="208">
        <v>22689</v>
      </c>
      <c r="BX323" s="208">
        <v>432595</v>
      </c>
      <c r="BY323" s="208">
        <v>0</v>
      </c>
      <c r="BZ323" s="208">
        <v>4370</v>
      </c>
      <c r="CA323" s="208">
        <v>9031.1471250000013</v>
      </c>
      <c r="CB323" s="208">
        <v>0</v>
      </c>
      <c r="CC323" s="208">
        <v>91.223708333333335</v>
      </c>
      <c r="CD323" s="208">
        <v>1175</v>
      </c>
      <c r="CE323" s="208">
        <v>0</v>
      </c>
      <c r="CF323" s="208">
        <v>12</v>
      </c>
      <c r="CG323" s="208">
        <v>7856</v>
      </c>
      <c r="CH323" s="208">
        <v>0</v>
      </c>
      <c r="CI323" s="208">
        <v>79</v>
      </c>
      <c r="CJ323" s="208">
        <v>-22246.719000000001</v>
      </c>
      <c r="CK323" s="208">
        <v>0</v>
      </c>
      <c r="CL323" s="208">
        <v>-224.71433333333334</v>
      </c>
      <c r="CM323" s="208">
        <v>-240.00693749999999</v>
      </c>
      <c r="CN323" s="208">
        <v>0</v>
      </c>
      <c r="CO323" s="208">
        <v>-2.4243125000000001</v>
      </c>
      <c r="CP323" s="208">
        <v>-2120.5676250000001</v>
      </c>
      <c r="CQ323" s="208">
        <v>0</v>
      </c>
      <c r="CR323" s="208">
        <v>-21.419875000000001</v>
      </c>
      <c r="CS323" s="208">
        <v>0</v>
      </c>
      <c r="CT323" s="208">
        <v>0</v>
      </c>
      <c r="CU323" s="208">
        <v>0</v>
      </c>
      <c r="CV323" s="208">
        <v>0</v>
      </c>
      <c r="CW323" s="208">
        <v>0</v>
      </c>
      <c r="CX323" s="208">
        <v>0</v>
      </c>
      <c r="CY323" s="208">
        <v>0</v>
      </c>
      <c r="CZ323" s="208">
        <v>0</v>
      </c>
      <c r="DA323" s="208">
        <v>0</v>
      </c>
      <c r="DB323" s="208">
        <v>0</v>
      </c>
      <c r="DC323" s="208">
        <v>0</v>
      </c>
      <c r="DD323" s="208">
        <v>0</v>
      </c>
      <c r="DE323" s="208">
        <v>2323.105125</v>
      </c>
      <c r="DF323" s="208">
        <v>0</v>
      </c>
      <c r="DG323" s="208">
        <v>23.465708333333332</v>
      </c>
      <c r="DH323" s="208">
        <v>2324</v>
      </c>
      <c r="DI323" s="208">
        <v>0</v>
      </c>
      <c r="DJ323" s="208">
        <v>23</v>
      </c>
      <c r="DK323" s="208">
        <v>-1</v>
      </c>
      <c r="DL323" s="208">
        <v>0</v>
      </c>
      <c r="DM323" s="208">
        <v>0</v>
      </c>
      <c r="DN323" s="208">
        <v>0</v>
      </c>
      <c r="DO323" s="208">
        <v>0</v>
      </c>
      <c r="DP323" s="208">
        <v>0</v>
      </c>
      <c r="DQ323" s="208">
        <v>0</v>
      </c>
      <c r="DR323" s="208">
        <v>0</v>
      </c>
      <c r="DS323" s="208">
        <v>0</v>
      </c>
      <c r="DT323" s="208">
        <v>0</v>
      </c>
      <c r="DU323" s="208">
        <v>0</v>
      </c>
      <c r="DV323" s="208">
        <v>0</v>
      </c>
      <c r="DW323" s="208">
        <v>32572.080750000005</v>
      </c>
      <c r="DX323" s="208">
        <v>0</v>
      </c>
      <c r="DY323" s="208">
        <v>329.01091666666673</v>
      </c>
      <c r="DZ323" s="208">
        <v>24304</v>
      </c>
      <c r="EA323" s="208">
        <v>0</v>
      </c>
      <c r="EB323" s="208">
        <v>246</v>
      </c>
      <c r="EC323" s="208">
        <v>8268</v>
      </c>
      <c r="ED323" s="208">
        <v>0</v>
      </c>
      <c r="EE323" s="208">
        <v>83</v>
      </c>
      <c r="EF323" s="208">
        <v>191721.9975</v>
      </c>
      <c r="EG323" s="208">
        <v>0</v>
      </c>
      <c r="EH323" s="208">
        <v>1936.5858333333335</v>
      </c>
      <c r="EI323" s="208">
        <v>72845.649937499998</v>
      </c>
      <c r="EJ323" s="208">
        <v>0</v>
      </c>
      <c r="EK323" s="208">
        <v>735.81464583333332</v>
      </c>
      <c r="EL323" s="208">
        <v>196077</v>
      </c>
      <c r="EM323" s="208">
        <v>0</v>
      </c>
      <c r="EN323" s="208">
        <v>1981</v>
      </c>
      <c r="EO323" s="208">
        <v>68491</v>
      </c>
      <c r="EP323" s="208">
        <v>0</v>
      </c>
      <c r="EQ323" s="208">
        <v>691</v>
      </c>
      <c r="ER323" s="208">
        <v>23345.484937500001</v>
      </c>
      <c r="ES323" s="208">
        <v>0</v>
      </c>
      <c r="ET323" s="208">
        <v>235.81297916666668</v>
      </c>
      <c r="EU323" s="208">
        <v>35444</v>
      </c>
      <c r="EV323" s="208">
        <v>0</v>
      </c>
      <c r="EW323" s="208">
        <v>358</v>
      </c>
      <c r="EX323" s="208">
        <v>-12099</v>
      </c>
      <c r="EY323" s="208">
        <v>0</v>
      </c>
      <c r="EZ323" s="208">
        <v>-122</v>
      </c>
      <c r="FA323" s="208">
        <v>0</v>
      </c>
      <c r="FB323" s="208">
        <v>0</v>
      </c>
      <c r="FC323" s="208">
        <v>0</v>
      </c>
      <c r="FD323" s="208">
        <v>0</v>
      </c>
      <c r="FE323" s="208">
        <v>0</v>
      </c>
      <c r="FF323" s="208">
        <v>0</v>
      </c>
      <c r="FG323" s="208">
        <v>0</v>
      </c>
      <c r="FH323" s="208">
        <v>0</v>
      </c>
      <c r="FI323" s="208">
        <v>0</v>
      </c>
      <c r="FJ323" s="208">
        <v>1605727.8948333331</v>
      </c>
      <c r="FK323" s="208">
        <v>0</v>
      </c>
      <c r="FL323" s="208">
        <v>16215.871833333333</v>
      </c>
      <c r="FM323" s="208">
        <v>1633775</v>
      </c>
      <c r="FN323" s="208">
        <v>0</v>
      </c>
      <c r="FO323" s="208">
        <v>16499</v>
      </c>
      <c r="FP323" s="208">
        <v>-28047</v>
      </c>
      <c r="FQ323" s="208">
        <v>0</v>
      </c>
      <c r="FR323" s="208">
        <v>-283</v>
      </c>
      <c r="FS323" s="208">
        <v>0</v>
      </c>
      <c r="FT323" s="208">
        <v>0</v>
      </c>
      <c r="FU323" s="208">
        <v>0</v>
      </c>
      <c r="FV323" s="208">
        <v>0</v>
      </c>
      <c r="FW323" s="208">
        <v>0</v>
      </c>
      <c r="FX323" s="208">
        <v>0</v>
      </c>
      <c r="FY323" s="208">
        <v>0</v>
      </c>
      <c r="FZ323" s="208">
        <v>0</v>
      </c>
      <c r="GA323" s="208">
        <v>0</v>
      </c>
      <c r="GB323" s="208">
        <v>4591802</v>
      </c>
      <c r="GC323" s="208">
        <v>0</v>
      </c>
      <c r="GD323" s="208">
        <v>46379</v>
      </c>
      <c r="GE323" s="664">
        <v>0</v>
      </c>
      <c r="GF323" s="664">
        <v>0.99</v>
      </c>
      <c r="GG323" s="664">
        <v>0</v>
      </c>
      <c r="GH323" s="664">
        <v>0.01</v>
      </c>
      <c r="GI323" s="187" t="s">
        <v>742</v>
      </c>
    </row>
    <row r="324" spans="1:191" s="187" customFormat="1" x14ac:dyDescent="0.2">
      <c r="B324" s="429" t="s">
        <v>726</v>
      </c>
      <c r="C324" s="429" t="s">
        <v>725</v>
      </c>
      <c r="D324" s="208">
        <v>-108528</v>
      </c>
      <c r="E324" s="208">
        <v>0</v>
      </c>
      <c r="F324" s="208">
        <v>-108528</v>
      </c>
      <c r="G324" s="208">
        <v>-369889</v>
      </c>
      <c r="H324" s="208">
        <v>0</v>
      </c>
      <c r="I324" s="208">
        <v>-369889</v>
      </c>
      <c r="J324" s="208">
        <v>261361</v>
      </c>
      <c r="K324" s="208">
        <v>0</v>
      </c>
      <c r="L324" s="208">
        <v>261361</v>
      </c>
      <c r="M324" s="208">
        <v>335978</v>
      </c>
      <c r="N324" s="208">
        <v>335978</v>
      </c>
      <c r="O324" s="208">
        <v>0</v>
      </c>
      <c r="P324" s="208">
        <v>83611</v>
      </c>
      <c r="Q324" s="208">
        <v>79321</v>
      </c>
      <c r="R324" s="208">
        <v>4290</v>
      </c>
      <c r="S324" s="208">
        <v>4920</v>
      </c>
      <c r="T324" s="208">
        <v>0</v>
      </c>
      <c r="U324" s="208">
        <v>4920</v>
      </c>
      <c r="V324" s="208">
        <v>0</v>
      </c>
      <c r="W324" s="208">
        <v>0</v>
      </c>
      <c r="X324" s="208">
        <v>0</v>
      </c>
      <c r="Y324" s="208">
        <v>0</v>
      </c>
      <c r="Z324" s="208">
        <v>0</v>
      </c>
      <c r="AA324" s="208">
        <v>0</v>
      </c>
      <c r="AB324" s="208">
        <v>0</v>
      </c>
      <c r="AC324" s="208">
        <v>0</v>
      </c>
      <c r="AD324" s="208">
        <v>0</v>
      </c>
      <c r="AE324" s="208">
        <v>0</v>
      </c>
      <c r="AF324" s="208">
        <v>0</v>
      </c>
      <c r="AG324" s="208">
        <v>0</v>
      </c>
      <c r="AH324" s="208">
        <v>0</v>
      </c>
      <c r="AI324" s="208">
        <v>0</v>
      </c>
      <c r="AJ324" s="208">
        <v>0</v>
      </c>
      <c r="AK324" s="208">
        <v>0</v>
      </c>
      <c r="AL324" s="208">
        <v>0</v>
      </c>
      <c r="AM324" s="208">
        <v>0</v>
      </c>
      <c r="AN324" s="208">
        <v>0</v>
      </c>
      <c r="AO324" s="208">
        <v>0</v>
      </c>
      <c r="AP324" s="208">
        <v>0</v>
      </c>
      <c r="AQ324" s="208">
        <v>0</v>
      </c>
      <c r="AR324" s="208">
        <v>0</v>
      </c>
      <c r="AS324" s="208">
        <v>0</v>
      </c>
      <c r="AT324" s="208">
        <v>0</v>
      </c>
      <c r="AU324" s="208">
        <v>0</v>
      </c>
      <c r="AV324" s="208">
        <v>0</v>
      </c>
      <c r="AW324" s="208">
        <v>0</v>
      </c>
      <c r="AX324" s="208">
        <v>0</v>
      </c>
      <c r="AY324" s="208">
        <v>0</v>
      </c>
      <c r="AZ324" s="208">
        <v>0</v>
      </c>
      <c r="BA324" s="208">
        <v>0</v>
      </c>
      <c r="BB324" s="208">
        <v>0</v>
      </c>
      <c r="BC324" s="208">
        <v>0</v>
      </c>
      <c r="BD324" s="208">
        <v>0</v>
      </c>
      <c r="BE324" s="208">
        <v>0</v>
      </c>
      <c r="BF324" s="208">
        <v>0</v>
      </c>
      <c r="BG324" s="208">
        <v>0</v>
      </c>
      <c r="BH324" s="208">
        <v>0</v>
      </c>
      <c r="BI324" s="208">
        <v>0</v>
      </c>
      <c r="BJ324" s="208">
        <v>0</v>
      </c>
      <c r="BK324" s="208">
        <v>0</v>
      </c>
      <c r="BL324" s="208">
        <v>0</v>
      </c>
      <c r="BM324" s="208">
        <v>0</v>
      </c>
      <c r="BN324" s="208">
        <v>0</v>
      </c>
      <c r="BO324" s="208">
        <v>6454505.1139428755</v>
      </c>
      <c r="BP324" s="208">
        <v>0</v>
      </c>
      <c r="BQ324" s="208">
        <v>65197.021352958342</v>
      </c>
      <c r="BR324" s="208">
        <v>357543</v>
      </c>
      <c r="BS324" s="208">
        <v>0</v>
      </c>
      <c r="BT324" s="208">
        <v>3612</v>
      </c>
      <c r="BU324" s="208">
        <v>6043404</v>
      </c>
      <c r="BV324" s="208">
        <v>0</v>
      </c>
      <c r="BW324" s="208">
        <v>61044</v>
      </c>
      <c r="BX324" s="208">
        <v>768644</v>
      </c>
      <c r="BY324" s="208">
        <v>0</v>
      </c>
      <c r="BZ324" s="208">
        <v>7765</v>
      </c>
      <c r="CA324" s="208">
        <v>38011.225312499999</v>
      </c>
      <c r="CB324" s="208">
        <v>0</v>
      </c>
      <c r="CC324" s="208">
        <v>383.95177083333334</v>
      </c>
      <c r="CD324" s="208">
        <v>21635</v>
      </c>
      <c r="CE324" s="208">
        <v>0</v>
      </c>
      <c r="CF324" s="208">
        <v>219</v>
      </c>
      <c r="CG324" s="208">
        <v>16376</v>
      </c>
      <c r="CH324" s="208">
        <v>0</v>
      </c>
      <c r="CI324" s="208">
        <v>165</v>
      </c>
      <c r="CJ324" s="208">
        <v>-1100.7913125</v>
      </c>
      <c r="CK324" s="208">
        <v>0</v>
      </c>
      <c r="CL324" s="208">
        <v>-11.119104166666666</v>
      </c>
      <c r="CM324" s="208">
        <v>0</v>
      </c>
      <c r="CN324" s="208">
        <v>0</v>
      </c>
      <c r="CO324" s="208">
        <v>0</v>
      </c>
      <c r="CP324" s="208">
        <v>-2304.8767499999999</v>
      </c>
      <c r="CQ324" s="208">
        <v>0</v>
      </c>
      <c r="CR324" s="208">
        <v>-23.281583333333334</v>
      </c>
      <c r="CS324" s="208">
        <v>0</v>
      </c>
      <c r="CT324" s="208">
        <v>0</v>
      </c>
      <c r="CU324" s="208">
        <v>0</v>
      </c>
      <c r="CV324" s="208">
        <v>0</v>
      </c>
      <c r="CW324" s="208">
        <v>0</v>
      </c>
      <c r="CX324" s="208">
        <v>0</v>
      </c>
      <c r="CY324" s="208">
        <v>0</v>
      </c>
      <c r="CZ324" s="208">
        <v>0</v>
      </c>
      <c r="DA324" s="208">
        <v>0</v>
      </c>
      <c r="DB324" s="208">
        <v>0</v>
      </c>
      <c r="DC324" s="208">
        <v>0</v>
      </c>
      <c r="DD324" s="208">
        <v>0</v>
      </c>
      <c r="DE324" s="208">
        <v>0</v>
      </c>
      <c r="DF324" s="208">
        <v>0</v>
      </c>
      <c r="DG324" s="208">
        <v>0</v>
      </c>
      <c r="DH324" s="208">
        <v>0</v>
      </c>
      <c r="DI324" s="208">
        <v>0</v>
      </c>
      <c r="DJ324" s="208">
        <v>0</v>
      </c>
      <c r="DK324" s="208">
        <v>0</v>
      </c>
      <c r="DL324" s="208">
        <v>0</v>
      </c>
      <c r="DM324" s="208">
        <v>0</v>
      </c>
      <c r="DN324" s="208">
        <v>1519.03125</v>
      </c>
      <c r="DO324" s="208">
        <v>0</v>
      </c>
      <c r="DP324" s="208">
        <v>15.34375</v>
      </c>
      <c r="DQ324" s="208">
        <v>1519</v>
      </c>
      <c r="DR324" s="208">
        <v>0</v>
      </c>
      <c r="DS324" s="208">
        <v>15</v>
      </c>
      <c r="DT324" s="208">
        <v>0</v>
      </c>
      <c r="DU324" s="208">
        <v>0</v>
      </c>
      <c r="DV324" s="208">
        <v>0</v>
      </c>
      <c r="DW324" s="208">
        <v>30476.830312499998</v>
      </c>
      <c r="DX324" s="208">
        <v>0</v>
      </c>
      <c r="DY324" s="208">
        <v>307.84677083333332</v>
      </c>
      <c r="DZ324" s="208">
        <v>41414</v>
      </c>
      <c r="EA324" s="208">
        <v>0</v>
      </c>
      <c r="EB324" s="208">
        <v>418</v>
      </c>
      <c r="EC324" s="208">
        <v>-10937</v>
      </c>
      <c r="ED324" s="208">
        <v>0</v>
      </c>
      <c r="EE324" s="208">
        <v>-110</v>
      </c>
      <c r="EF324" s="208">
        <v>167766.87468750001</v>
      </c>
      <c r="EG324" s="208">
        <v>0</v>
      </c>
      <c r="EH324" s="208">
        <v>1694.6148958333335</v>
      </c>
      <c r="EI324" s="208">
        <v>-23664.481499999998</v>
      </c>
      <c r="EJ324" s="208">
        <v>0</v>
      </c>
      <c r="EK324" s="208">
        <v>-239.03516666666667</v>
      </c>
      <c r="EL324" s="208">
        <v>192410</v>
      </c>
      <c r="EM324" s="208">
        <v>0</v>
      </c>
      <c r="EN324" s="208">
        <v>1944</v>
      </c>
      <c r="EO324" s="208">
        <v>-48308</v>
      </c>
      <c r="EP324" s="208">
        <v>0</v>
      </c>
      <c r="EQ324" s="208">
        <v>-488</v>
      </c>
      <c r="ER324" s="208">
        <v>31595.85</v>
      </c>
      <c r="ES324" s="208">
        <v>0</v>
      </c>
      <c r="ET324" s="208">
        <v>319.15000000000003</v>
      </c>
      <c r="EU324" s="208">
        <v>32406</v>
      </c>
      <c r="EV324" s="208">
        <v>0</v>
      </c>
      <c r="EW324" s="208">
        <v>327</v>
      </c>
      <c r="EX324" s="208">
        <v>-810</v>
      </c>
      <c r="EY324" s="208">
        <v>0</v>
      </c>
      <c r="EZ324" s="208">
        <v>-8</v>
      </c>
      <c r="FA324" s="208">
        <v>0</v>
      </c>
      <c r="FB324" s="208">
        <v>0</v>
      </c>
      <c r="FC324" s="208">
        <v>0</v>
      </c>
      <c r="FD324" s="208">
        <v>0</v>
      </c>
      <c r="FE324" s="208">
        <v>0</v>
      </c>
      <c r="FF324" s="208">
        <v>0</v>
      </c>
      <c r="FG324" s="208">
        <v>0</v>
      </c>
      <c r="FH324" s="208">
        <v>0</v>
      </c>
      <c r="FI324" s="208">
        <v>0</v>
      </c>
      <c r="FJ324" s="208">
        <v>1644913.2702291666</v>
      </c>
      <c r="FK324" s="208">
        <v>0</v>
      </c>
      <c r="FL324" s="208">
        <v>16594.792270833332</v>
      </c>
      <c r="FM324" s="208">
        <v>1671081</v>
      </c>
      <c r="FN324" s="208">
        <v>0</v>
      </c>
      <c r="FO324" s="208">
        <v>16860</v>
      </c>
      <c r="FP324" s="208">
        <v>-26168</v>
      </c>
      <c r="FQ324" s="208">
        <v>0</v>
      </c>
      <c r="FR324" s="208">
        <v>-265</v>
      </c>
      <c r="FS324" s="208">
        <v>8715.25</v>
      </c>
      <c r="FT324" s="208">
        <v>0</v>
      </c>
      <c r="FU324" s="208">
        <v>0</v>
      </c>
      <c r="FV324" s="208">
        <v>8520</v>
      </c>
      <c r="FW324" s="208">
        <v>0</v>
      </c>
      <c r="FX324" s="208">
        <v>0</v>
      </c>
      <c r="FY324" s="208">
        <v>195</v>
      </c>
      <c r="FZ324" s="208">
        <v>0</v>
      </c>
      <c r="GA324" s="208">
        <v>0</v>
      </c>
      <c r="GB324" s="208">
        <v>8707976</v>
      </c>
      <c r="GC324" s="208">
        <v>0</v>
      </c>
      <c r="GD324" s="208">
        <v>87852</v>
      </c>
      <c r="GE324" s="664">
        <v>0</v>
      </c>
      <c r="GF324" s="664">
        <v>0.99</v>
      </c>
      <c r="GG324" s="664">
        <v>0</v>
      </c>
      <c r="GH324" s="664">
        <v>0.01</v>
      </c>
      <c r="GI324" s="187" t="s">
        <v>1056</v>
      </c>
    </row>
    <row r="325" spans="1:191" s="187" customFormat="1" x14ac:dyDescent="0.2">
      <c r="B325" s="429" t="s">
        <v>728</v>
      </c>
      <c r="C325" s="429" t="s">
        <v>727</v>
      </c>
      <c r="D325" s="208">
        <v>-725024</v>
      </c>
      <c r="E325" s="208">
        <v>0</v>
      </c>
      <c r="F325" s="208">
        <v>-725024</v>
      </c>
      <c r="G325" s="208">
        <v>-826629</v>
      </c>
      <c r="H325" s="208">
        <v>0</v>
      </c>
      <c r="I325" s="208">
        <v>-826629</v>
      </c>
      <c r="J325" s="208">
        <v>101605</v>
      </c>
      <c r="K325" s="208">
        <v>0</v>
      </c>
      <c r="L325" s="208">
        <v>101605</v>
      </c>
      <c r="M325" s="208">
        <v>133147</v>
      </c>
      <c r="N325" s="208">
        <v>133147</v>
      </c>
      <c r="O325" s="208">
        <v>0</v>
      </c>
      <c r="P325" s="208">
        <v>0</v>
      </c>
      <c r="Q325" s="208">
        <v>0</v>
      </c>
      <c r="R325" s="208">
        <v>0</v>
      </c>
      <c r="S325" s="208">
        <v>3984</v>
      </c>
      <c r="T325" s="208">
        <v>0</v>
      </c>
      <c r="U325" s="208">
        <v>0</v>
      </c>
      <c r="V325" s="208">
        <v>0</v>
      </c>
      <c r="W325" s="208">
        <v>3984</v>
      </c>
      <c r="X325" s="208">
        <v>0</v>
      </c>
      <c r="Y325" s="208">
        <v>0</v>
      </c>
      <c r="Z325" s="208">
        <v>0</v>
      </c>
      <c r="AA325" s="208">
        <v>0</v>
      </c>
      <c r="AB325" s="208">
        <v>0</v>
      </c>
      <c r="AC325" s="208">
        <v>0</v>
      </c>
      <c r="AD325" s="208">
        <v>0</v>
      </c>
      <c r="AE325" s="208">
        <v>0</v>
      </c>
      <c r="AF325" s="208">
        <v>0</v>
      </c>
      <c r="AG325" s="208">
        <v>0</v>
      </c>
      <c r="AH325" s="208">
        <v>0</v>
      </c>
      <c r="AI325" s="208">
        <v>0</v>
      </c>
      <c r="AJ325" s="208">
        <v>0</v>
      </c>
      <c r="AK325" s="208">
        <v>0</v>
      </c>
      <c r="AL325" s="208">
        <v>0</v>
      </c>
      <c r="AM325" s="208">
        <v>0</v>
      </c>
      <c r="AN325" s="208">
        <v>0</v>
      </c>
      <c r="AO325" s="208">
        <v>0</v>
      </c>
      <c r="AP325" s="208">
        <v>0</v>
      </c>
      <c r="AQ325" s="208">
        <v>0</v>
      </c>
      <c r="AR325" s="208">
        <v>0</v>
      </c>
      <c r="AS325" s="208">
        <v>0</v>
      </c>
      <c r="AT325" s="208">
        <v>0</v>
      </c>
      <c r="AU325" s="208">
        <v>0</v>
      </c>
      <c r="AV325" s="208">
        <v>0</v>
      </c>
      <c r="AW325" s="208">
        <v>0</v>
      </c>
      <c r="AX325" s="208">
        <v>0</v>
      </c>
      <c r="AY325" s="208">
        <v>0</v>
      </c>
      <c r="AZ325" s="208">
        <v>0</v>
      </c>
      <c r="BA325" s="208">
        <v>0</v>
      </c>
      <c r="BB325" s="208">
        <v>0</v>
      </c>
      <c r="BC325" s="208">
        <v>0</v>
      </c>
      <c r="BD325" s="208">
        <v>0</v>
      </c>
      <c r="BE325" s="208">
        <v>0</v>
      </c>
      <c r="BF325" s="208">
        <v>0</v>
      </c>
      <c r="BG325" s="208">
        <v>0</v>
      </c>
      <c r="BH325" s="208">
        <v>0</v>
      </c>
      <c r="BI325" s="208">
        <v>0</v>
      </c>
      <c r="BJ325" s="208">
        <v>0</v>
      </c>
      <c r="BK325" s="208">
        <v>0</v>
      </c>
      <c r="BL325" s="208">
        <v>0</v>
      </c>
      <c r="BM325" s="208">
        <v>0</v>
      </c>
      <c r="BN325" s="208">
        <v>0</v>
      </c>
      <c r="BO325" s="208">
        <v>948055.61025666678</v>
      </c>
      <c r="BP325" s="208">
        <v>213312.51230774994</v>
      </c>
      <c r="BQ325" s="208">
        <v>23701.390256416664</v>
      </c>
      <c r="BR325" s="208">
        <v>74091</v>
      </c>
      <c r="BS325" s="208">
        <v>16671</v>
      </c>
      <c r="BT325" s="208">
        <v>1852</v>
      </c>
      <c r="BU325" s="208">
        <v>875358</v>
      </c>
      <c r="BV325" s="208">
        <v>196955</v>
      </c>
      <c r="BW325" s="208">
        <v>21884</v>
      </c>
      <c r="BX325" s="208">
        <v>146789</v>
      </c>
      <c r="BY325" s="208">
        <v>33029</v>
      </c>
      <c r="BZ325" s="208">
        <v>3669</v>
      </c>
      <c r="CA325" s="208">
        <v>0</v>
      </c>
      <c r="CB325" s="208">
        <v>0</v>
      </c>
      <c r="CC325" s="208">
        <v>0</v>
      </c>
      <c r="CD325" s="208">
        <v>0</v>
      </c>
      <c r="CE325" s="208">
        <v>0</v>
      </c>
      <c r="CF325" s="208">
        <v>0</v>
      </c>
      <c r="CG325" s="208">
        <v>0</v>
      </c>
      <c r="CH325" s="208">
        <v>0</v>
      </c>
      <c r="CI325" s="208">
        <v>0</v>
      </c>
      <c r="CJ325" s="208">
        <v>0</v>
      </c>
      <c r="CK325" s="208">
        <v>0</v>
      </c>
      <c r="CL325" s="208">
        <v>0</v>
      </c>
      <c r="CM325" s="208">
        <v>0</v>
      </c>
      <c r="CN325" s="208">
        <v>0</v>
      </c>
      <c r="CO325" s="208">
        <v>0</v>
      </c>
      <c r="CP325" s="208">
        <v>0</v>
      </c>
      <c r="CQ325" s="208">
        <v>0</v>
      </c>
      <c r="CR325" s="208">
        <v>0</v>
      </c>
      <c r="CS325" s="208">
        <v>0</v>
      </c>
      <c r="CT325" s="208">
        <v>0</v>
      </c>
      <c r="CU325" s="208">
        <v>0</v>
      </c>
      <c r="CV325" s="208">
        <v>0</v>
      </c>
      <c r="CW325" s="208">
        <v>0</v>
      </c>
      <c r="CX325" s="208">
        <v>0</v>
      </c>
      <c r="CY325" s="208">
        <v>0</v>
      </c>
      <c r="CZ325" s="208">
        <v>0</v>
      </c>
      <c r="DA325" s="208">
        <v>0</v>
      </c>
      <c r="DB325" s="208">
        <v>0</v>
      </c>
      <c r="DC325" s="208">
        <v>0</v>
      </c>
      <c r="DD325" s="208">
        <v>0</v>
      </c>
      <c r="DE325" s="208">
        <v>0</v>
      </c>
      <c r="DF325" s="208">
        <v>0</v>
      </c>
      <c r="DG325" s="208">
        <v>0</v>
      </c>
      <c r="DH325" s="208">
        <v>0</v>
      </c>
      <c r="DI325" s="208">
        <v>0</v>
      </c>
      <c r="DJ325" s="208">
        <v>0</v>
      </c>
      <c r="DK325" s="208">
        <v>0</v>
      </c>
      <c r="DL325" s="208">
        <v>0</v>
      </c>
      <c r="DM325" s="208">
        <v>0</v>
      </c>
      <c r="DN325" s="208">
        <v>0</v>
      </c>
      <c r="DO325" s="208">
        <v>0</v>
      </c>
      <c r="DP325" s="208">
        <v>0</v>
      </c>
      <c r="DQ325" s="208">
        <v>614</v>
      </c>
      <c r="DR325" s="208">
        <v>138</v>
      </c>
      <c r="DS325" s="208">
        <v>15</v>
      </c>
      <c r="DT325" s="208">
        <v>-614</v>
      </c>
      <c r="DU325" s="208">
        <v>-138</v>
      </c>
      <c r="DV325" s="208">
        <v>-15</v>
      </c>
      <c r="DW325" s="208">
        <v>6231.6083333333336</v>
      </c>
      <c r="DX325" s="208">
        <v>1402.1118749999998</v>
      </c>
      <c r="DY325" s="208">
        <v>155.79020833333334</v>
      </c>
      <c r="DZ325" s="208">
        <v>6653</v>
      </c>
      <c r="EA325" s="208">
        <v>1497</v>
      </c>
      <c r="EB325" s="208">
        <v>166</v>
      </c>
      <c r="EC325" s="208">
        <v>-421</v>
      </c>
      <c r="ED325" s="208">
        <v>-95</v>
      </c>
      <c r="EE325" s="208">
        <v>-10</v>
      </c>
      <c r="EF325" s="208">
        <v>47307.850000000006</v>
      </c>
      <c r="EG325" s="208">
        <v>10644.266249999999</v>
      </c>
      <c r="EH325" s="208">
        <v>1182.69625</v>
      </c>
      <c r="EI325" s="208">
        <v>-1434.5383333333334</v>
      </c>
      <c r="EJ325" s="208">
        <v>-322.77112499999998</v>
      </c>
      <c r="EK325" s="208">
        <v>-35.863458333333334</v>
      </c>
      <c r="EL325" s="208">
        <v>47308</v>
      </c>
      <c r="EM325" s="208">
        <v>10644</v>
      </c>
      <c r="EN325" s="208">
        <v>1183</v>
      </c>
      <c r="EO325" s="208">
        <v>-1435</v>
      </c>
      <c r="EP325" s="208">
        <v>-323</v>
      </c>
      <c r="EQ325" s="208">
        <v>-36</v>
      </c>
      <c r="ER325" s="208">
        <v>10427.612499999999</v>
      </c>
      <c r="ES325" s="208">
        <v>2346.2128124999999</v>
      </c>
      <c r="ET325" s="208">
        <v>260.6903125</v>
      </c>
      <c r="EU325" s="208">
        <v>10638</v>
      </c>
      <c r="EV325" s="208">
        <v>2394</v>
      </c>
      <c r="EW325" s="208">
        <v>266</v>
      </c>
      <c r="EX325" s="208">
        <v>-210</v>
      </c>
      <c r="EY325" s="208">
        <v>-48</v>
      </c>
      <c r="EZ325" s="208">
        <v>-5</v>
      </c>
      <c r="FA325" s="208">
        <v>0</v>
      </c>
      <c r="FB325" s="208">
        <v>0</v>
      </c>
      <c r="FC325" s="208">
        <v>0</v>
      </c>
      <c r="FD325" s="208">
        <v>0</v>
      </c>
      <c r="FE325" s="208">
        <v>0</v>
      </c>
      <c r="FF325" s="208">
        <v>0</v>
      </c>
      <c r="FG325" s="208">
        <v>0</v>
      </c>
      <c r="FH325" s="208">
        <v>0</v>
      </c>
      <c r="FI325" s="208">
        <v>0</v>
      </c>
      <c r="FJ325" s="208">
        <v>363812.68916666665</v>
      </c>
      <c r="FK325" s="208">
        <v>81837.312562499996</v>
      </c>
      <c r="FL325" s="208">
        <v>9093.0347291666676</v>
      </c>
      <c r="FM325" s="208">
        <v>357865</v>
      </c>
      <c r="FN325" s="208">
        <v>80520</v>
      </c>
      <c r="FO325" s="208">
        <v>8947</v>
      </c>
      <c r="FP325" s="208">
        <v>5948</v>
      </c>
      <c r="FQ325" s="208">
        <v>1317</v>
      </c>
      <c r="FR325" s="208">
        <v>146</v>
      </c>
      <c r="FS325" s="208">
        <v>0</v>
      </c>
      <c r="FT325" s="208">
        <v>0</v>
      </c>
      <c r="FU325" s="208">
        <v>0</v>
      </c>
      <c r="FV325" s="208">
        <v>0</v>
      </c>
      <c r="FW325" s="208">
        <v>0</v>
      </c>
      <c r="FX325" s="208">
        <v>0</v>
      </c>
      <c r="FY325" s="208">
        <v>0</v>
      </c>
      <c r="FZ325" s="208">
        <v>0</v>
      </c>
      <c r="GA325" s="208">
        <v>0</v>
      </c>
      <c r="GB325" s="208">
        <v>1448493</v>
      </c>
      <c r="GC325" s="208">
        <v>325890</v>
      </c>
      <c r="GD325" s="208">
        <v>36210</v>
      </c>
      <c r="GE325" s="664">
        <v>0.5</v>
      </c>
      <c r="GF325" s="664">
        <v>0.4</v>
      </c>
      <c r="GG325" s="664">
        <v>0.09</v>
      </c>
      <c r="GH325" s="664">
        <v>0.01</v>
      </c>
      <c r="GI325" s="187" t="s">
        <v>1054</v>
      </c>
    </row>
    <row r="326" spans="1:191" s="187" customFormat="1" x14ac:dyDescent="0.2">
      <c r="B326" s="429" t="s">
        <v>730</v>
      </c>
      <c r="C326" s="429" t="s">
        <v>729</v>
      </c>
      <c r="D326" s="208">
        <v>-150298</v>
      </c>
      <c r="E326" s="208">
        <v>0</v>
      </c>
      <c r="F326" s="208">
        <v>-150298</v>
      </c>
      <c r="G326" s="208">
        <v>-44227</v>
      </c>
      <c r="H326" s="208">
        <v>0</v>
      </c>
      <c r="I326" s="208">
        <v>-44227</v>
      </c>
      <c r="J326" s="208">
        <v>-106071</v>
      </c>
      <c r="K326" s="208">
        <v>0</v>
      </c>
      <c r="L326" s="208">
        <v>-106071</v>
      </c>
      <c r="M326" s="208">
        <v>130246</v>
      </c>
      <c r="N326" s="208">
        <v>130246</v>
      </c>
      <c r="O326" s="208">
        <v>0</v>
      </c>
      <c r="P326" s="208">
        <v>0</v>
      </c>
      <c r="Q326" s="208">
        <v>0</v>
      </c>
      <c r="R326" s="208">
        <v>0</v>
      </c>
      <c r="S326" s="208">
        <v>0</v>
      </c>
      <c r="T326" s="208">
        <v>0</v>
      </c>
      <c r="U326" s="208">
        <v>0</v>
      </c>
      <c r="V326" s="208">
        <v>0</v>
      </c>
      <c r="W326" s="208">
        <v>0</v>
      </c>
      <c r="X326" s="208">
        <v>0</v>
      </c>
      <c r="Y326" s="208">
        <v>0</v>
      </c>
      <c r="Z326" s="208">
        <v>0</v>
      </c>
      <c r="AA326" s="208">
        <v>0</v>
      </c>
      <c r="AB326" s="208">
        <v>0</v>
      </c>
      <c r="AC326" s="208">
        <v>0</v>
      </c>
      <c r="AD326" s="208">
        <v>0</v>
      </c>
      <c r="AE326" s="208">
        <v>0</v>
      </c>
      <c r="AF326" s="208">
        <v>0</v>
      </c>
      <c r="AG326" s="208">
        <v>0</v>
      </c>
      <c r="AH326" s="208">
        <v>0</v>
      </c>
      <c r="AI326" s="208">
        <v>0</v>
      </c>
      <c r="AJ326" s="208">
        <v>0</v>
      </c>
      <c r="AK326" s="208">
        <v>0</v>
      </c>
      <c r="AL326" s="208">
        <v>0</v>
      </c>
      <c r="AM326" s="208">
        <v>0</v>
      </c>
      <c r="AN326" s="208">
        <v>0</v>
      </c>
      <c r="AO326" s="208">
        <v>0</v>
      </c>
      <c r="AP326" s="208">
        <v>0</v>
      </c>
      <c r="AQ326" s="208">
        <v>0</v>
      </c>
      <c r="AR326" s="208">
        <v>0</v>
      </c>
      <c r="AS326" s="208">
        <v>0</v>
      </c>
      <c r="AT326" s="208">
        <v>0</v>
      </c>
      <c r="AU326" s="208">
        <v>0</v>
      </c>
      <c r="AV326" s="208">
        <v>0</v>
      </c>
      <c r="AW326" s="208">
        <v>0</v>
      </c>
      <c r="AX326" s="208">
        <v>0</v>
      </c>
      <c r="AY326" s="208">
        <v>0</v>
      </c>
      <c r="AZ326" s="208">
        <v>0</v>
      </c>
      <c r="BA326" s="208">
        <v>0</v>
      </c>
      <c r="BB326" s="208">
        <v>0</v>
      </c>
      <c r="BC326" s="208">
        <v>0</v>
      </c>
      <c r="BD326" s="208">
        <v>0</v>
      </c>
      <c r="BE326" s="208">
        <v>0</v>
      </c>
      <c r="BF326" s="208">
        <v>0</v>
      </c>
      <c r="BG326" s="208">
        <v>0</v>
      </c>
      <c r="BH326" s="208">
        <v>0</v>
      </c>
      <c r="BI326" s="208">
        <v>0</v>
      </c>
      <c r="BJ326" s="208">
        <v>0</v>
      </c>
      <c r="BK326" s="208">
        <v>0</v>
      </c>
      <c r="BL326" s="208">
        <v>0</v>
      </c>
      <c r="BM326" s="208">
        <v>0</v>
      </c>
      <c r="BN326" s="208">
        <v>0</v>
      </c>
      <c r="BO326" s="208">
        <v>990872.17482750013</v>
      </c>
      <c r="BP326" s="208">
        <v>247718.04370687503</v>
      </c>
      <c r="BQ326" s="208">
        <v>0</v>
      </c>
      <c r="BR326" s="208">
        <v>62059</v>
      </c>
      <c r="BS326" s="208">
        <v>15515</v>
      </c>
      <c r="BT326" s="208">
        <v>0</v>
      </c>
      <c r="BU326" s="208">
        <v>950795</v>
      </c>
      <c r="BV326" s="208">
        <v>237699</v>
      </c>
      <c r="BW326" s="208">
        <v>0</v>
      </c>
      <c r="BX326" s="208">
        <v>102136</v>
      </c>
      <c r="BY326" s="208">
        <v>25534</v>
      </c>
      <c r="BZ326" s="208">
        <v>0</v>
      </c>
      <c r="CA326" s="208">
        <v>0</v>
      </c>
      <c r="CB326" s="208">
        <v>0</v>
      </c>
      <c r="CC326" s="208">
        <v>0</v>
      </c>
      <c r="CD326" s="208">
        <v>0</v>
      </c>
      <c r="CE326" s="208">
        <v>0</v>
      </c>
      <c r="CF326" s="208">
        <v>0</v>
      </c>
      <c r="CG326" s="208">
        <v>0</v>
      </c>
      <c r="CH326" s="208">
        <v>0</v>
      </c>
      <c r="CI326" s="208">
        <v>0</v>
      </c>
      <c r="CJ326" s="208">
        <v>0</v>
      </c>
      <c r="CK326" s="208">
        <v>0</v>
      </c>
      <c r="CL326" s="208">
        <v>0</v>
      </c>
      <c r="CM326" s="208">
        <v>0</v>
      </c>
      <c r="CN326" s="208">
        <v>0</v>
      </c>
      <c r="CO326" s="208">
        <v>0</v>
      </c>
      <c r="CP326" s="208">
        <v>-2045.8333333333333</v>
      </c>
      <c r="CQ326" s="208">
        <v>-511.45833333333331</v>
      </c>
      <c r="CR326" s="208">
        <v>0</v>
      </c>
      <c r="CS326" s="208">
        <v>0</v>
      </c>
      <c r="CT326" s="208">
        <v>0</v>
      </c>
      <c r="CU326" s="208">
        <v>0</v>
      </c>
      <c r="CV326" s="208">
        <v>0</v>
      </c>
      <c r="CW326" s="208">
        <v>0</v>
      </c>
      <c r="CX326" s="208">
        <v>0</v>
      </c>
      <c r="CY326" s="208">
        <v>0</v>
      </c>
      <c r="CZ326" s="208">
        <v>0</v>
      </c>
      <c r="DA326" s="208">
        <v>0</v>
      </c>
      <c r="DB326" s="208">
        <v>0</v>
      </c>
      <c r="DC326" s="208">
        <v>0</v>
      </c>
      <c r="DD326" s="208">
        <v>0</v>
      </c>
      <c r="DE326" s="208">
        <v>0</v>
      </c>
      <c r="DF326" s="208">
        <v>0</v>
      </c>
      <c r="DG326" s="208">
        <v>0</v>
      </c>
      <c r="DH326" s="208">
        <v>0</v>
      </c>
      <c r="DI326" s="208">
        <v>0</v>
      </c>
      <c r="DJ326" s="208">
        <v>0</v>
      </c>
      <c r="DK326" s="208">
        <v>0</v>
      </c>
      <c r="DL326" s="208">
        <v>0</v>
      </c>
      <c r="DM326" s="208">
        <v>0</v>
      </c>
      <c r="DN326" s="208">
        <v>613.75</v>
      </c>
      <c r="DO326" s="208">
        <v>153.4375</v>
      </c>
      <c r="DP326" s="208">
        <v>0</v>
      </c>
      <c r="DQ326" s="208">
        <v>0</v>
      </c>
      <c r="DR326" s="208">
        <v>0</v>
      </c>
      <c r="DS326" s="208">
        <v>0</v>
      </c>
      <c r="DT326" s="208">
        <v>614</v>
      </c>
      <c r="DU326" s="208">
        <v>153</v>
      </c>
      <c r="DV326" s="208">
        <v>0</v>
      </c>
      <c r="DW326" s="208">
        <v>3925.1358333333337</v>
      </c>
      <c r="DX326" s="208">
        <v>981.28395833333343</v>
      </c>
      <c r="DY326" s="208">
        <v>0</v>
      </c>
      <c r="DZ326" s="208">
        <v>0</v>
      </c>
      <c r="EA326" s="208">
        <v>0</v>
      </c>
      <c r="EB326" s="208">
        <v>0</v>
      </c>
      <c r="EC326" s="208">
        <v>3925</v>
      </c>
      <c r="ED326" s="208">
        <v>981</v>
      </c>
      <c r="EE326" s="208">
        <v>0</v>
      </c>
      <c r="EF326" s="208">
        <v>19605.220833333336</v>
      </c>
      <c r="EG326" s="208">
        <v>4901.3052083333341</v>
      </c>
      <c r="EH326" s="208">
        <v>0</v>
      </c>
      <c r="EI326" s="208">
        <v>-207.85666666666668</v>
      </c>
      <c r="EJ326" s="208">
        <v>-51.964166666666671</v>
      </c>
      <c r="EK326" s="208">
        <v>0</v>
      </c>
      <c r="EL326" s="208">
        <v>36825</v>
      </c>
      <c r="EM326" s="208">
        <v>9206</v>
      </c>
      <c r="EN326" s="208">
        <v>0</v>
      </c>
      <c r="EO326" s="208">
        <v>-17428</v>
      </c>
      <c r="EP326" s="208">
        <v>-4357</v>
      </c>
      <c r="EQ326" s="208">
        <v>0</v>
      </c>
      <c r="ER326" s="208">
        <v>7808.1275000000005</v>
      </c>
      <c r="ES326" s="208">
        <v>1952.0318750000001</v>
      </c>
      <c r="ET326" s="208">
        <v>0</v>
      </c>
      <c r="EU326" s="208">
        <v>10229</v>
      </c>
      <c r="EV326" s="208">
        <v>2557</v>
      </c>
      <c r="EW326" s="208">
        <v>0</v>
      </c>
      <c r="EX326" s="208">
        <v>-2421</v>
      </c>
      <c r="EY326" s="208">
        <v>-605</v>
      </c>
      <c r="EZ326" s="208">
        <v>0</v>
      </c>
      <c r="FA326" s="208">
        <v>0</v>
      </c>
      <c r="FB326" s="208">
        <v>0</v>
      </c>
      <c r="FC326" s="208">
        <v>0</v>
      </c>
      <c r="FD326" s="208">
        <v>0</v>
      </c>
      <c r="FE326" s="208">
        <v>0</v>
      </c>
      <c r="FF326" s="208">
        <v>0</v>
      </c>
      <c r="FG326" s="208">
        <v>0</v>
      </c>
      <c r="FH326" s="208">
        <v>0</v>
      </c>
      <c r="FI326" s="208">
        <v>0</v>
      </c>
      <c r="FJ326" s="208">
        <v>287053.68083333335</v>
      </c>
      <c r="FK326" s="208">
        <v>71763.420208333337</v>
      </c>
      <c r="FL326" s="208">
        <v>0</v>
      </c>
      <c r="FM326" s="208">
        <v>293399</v>
      </c>
      <c r="FN326" s="208">
        <v>73350</v>
      </c>
      <c r="FO326" s="208">
        <v>0</v>
      </c>
      <c r="FP326" s="208">
        <v>-6345</v>
      </c>
      <c r="FQ326" s="208">
        <v>-1587</v>
      </c>
      <c r="FR326" s="208">
        <v>0</v>
      </c>
      <c r="FS326" s="208">
        <v>0</v>
      </c>
      <c r="FT326" s="208">
        <v>0</v>
      </c>
      <c r="FU326" s="208">
        <v>0</v>
      </c>
      <c r="FV326" s="208">
        <v>0</v>
      </c>
      <c r="FW326" s="208">
        <v>0</v>
      </c>
      <c r="FX326" s="208">
        <v>0</v>
      </c>
      <c r="FY326" s="208">
        <v>0</v>
      </c>
      <c r="FZ326" s="208">
        <v>0</v>
      </c>
      <c r="GA326" s="208">
        <v>0</v>
      </c>
      <c r="GB326" s="208">
        <v>1369683</v>
      </c>
      <c r="GC326" s="208">
        <v>342420</v>
      </c>
      <c r="GD326" s="208">
        <v>0</v>
      </c>
      <c r="GE326" s="664">
        <v>0.5</v>
      </c>
      <c r="GF326" s="664">
        <v>0.4</v>
      </c>
      <c r="GG326" s="664">
        <v>0.1</v>
      </c>
      <c r="GH326" s="664">
        <v>0</v>
      </c>
      <c r="GI326" s="187" t="s">
        <v>1054</v>
      </c>
    </row>
    <row r="327" spans="1:191" s="187" customFormat="1" x14ac:dyDescent="0.2">
      <c r="B327" s="429" t="s">
        <v>732</v>
      </c>
      <c r="C327" s="429" t="s">
        <v>731</v>
      </c>
      <c r="D327" s="208">
        <v>257589</v>
      </c>
      <c r="E327" s="208">
        <v>0</v>
      </c>
      <c r="F327" s="208">
        <v>257589</v>
      </c>
      <c r="G327" s="208">
        <v>12606</v>
      </c>
      <c r="H327" s="208">
        <v>0</v>
      </c>
      <c r="I327" s="208">
        <v>12606</v>
      </c>
      <c r="J327" s="208">
        <v>244983</v>
      </c>
      <c r="K327" s="208">
        <v>0</v>
      </c>
      <c r="L327" s="208">
        <v>244983</v>
      </c>
      <c r="M327" s="208">
        <v>186031</v>
      </c>
      <c r="N327" s="208">
        <v>186031</v>
      </c>
      <c r="O327" s="208">
        <v>0</v>
      </c>
      <c r="P327" s="208">
        <v>0</v>
      </c>
      <c r="Q327" s="208">
        <v>0</v>
      </c>
      <c r="R327" s="208">
        <v>0</v>
      </c>
      <c r="S327" s="208">
        <v>224140</v>
      </c>
      <c r="T327" s="208">
        <v>169376</v>
      </c>
      <c r="U327" s="208">
        <v>216551</v>
      </c>
      <c r="V327" s="208">
        <v>169376</v>
      </c>
      <c r="W327" s="208">
        <v>7589</v>
      </c>
      <c r="X327" s="208">
        <v>0</v>
      </c>
      <c r="Y327" s="208">
        <v>0</v>
      </c>
      <c r="Z327" s="208">
        <v>0</v>
      </c>
      <c r="AA327" s="208">
        <v>0</v>
      </c>
      <c r="AB327" s="208">
        <v>0</v>
      </c>
      <c r="AC327" s="208">
        <v>0</v>
      </c>
      <c r="AD327" s="208">
        <v>0</v>
      </c>
      <c r="AE327" s="208">
        <v>0</v>
      </c>
      <c r="AF327" s="208">
        <v>0</v>
      </c>
      <c r="AG327" s="208">
        <v>0</v>
      </c>
      <c r="AH327" s="208">
        <v>0</v>
      </c>
      <c r="AI327" s="208">
        <v>0</v>
      </c>
      <c r="AJ327" s="208">
        <v>0</v>
      </c>
      <c r="AK327" s="208">
        <v>0</v>
      </c>
      <c r="AL327" s="208">
        <v>0</v>
      </c>
      <c r="AM327" s="208">
        <v>0</v>
      </c>
      <c r="AN327" s="208">
        <v>0</v>
      </c>
      <c r="AO327" s="208">
        <v>0</v>
      </c>
      <c r="AP327" s="208">
        <v>0</v>
      </c>
      <c r="AQ327" s="208">
        <v>0</v>
      </c>
      <c r="AR327" s="208">
        <v>0</v>
      </c>
      <c r="AS327" s="208">
        <v>0</v>
      </c>
      <c r="AT327" s="208">
        <v>0</v>
      </c>
      <c r="AU327" s="208">
        <v>0</v>
      </c>
      <c r="AV327" s="208">
        <v>0</v>
      </c>
      <c r="AW327" s="208">
        <v>0</v>
      </c>
      <c r="AX327" s="208">
        <v>0</v>
      </c>
      <c r="AY327" s="208">
        <v>0</v>
      </c>
      <c r="AZ327" s="208">
        <v>0</v>
      </c>
      <c r="BA327" s="208">
        <v>0</v>
      </c>
      <c r="BB327" s="208">
        <v>0</v>
      </c>
      <c r="BC327" s="208">
        <v>0</v>
      </c>
      <c r="BD327" s="208">
        <v>0</v>
      </c>
      <c r="BE327" s="208">
        <v>0</v>
      </c>
      <c r="BF327" s="208">
        <v>0</v>
      </c>
      <c r="BG327" s="208">
        <v>0</v>
      </c>
      <c r="BH327" s="208">
        <v>0</v>
      </c>
      <c r="BI327" s="208">
        <v>0</v>
      </c>
      <c r="BJ327" s="208">
        <v>0</v>
      </c>
      <c r="BK327" s="208">
        <v>0</v>
      </c>
      <c r="BL327" s="208">
        <v>0</v>
      </c>
      <c r="BM327" s="208">
        <v>0</v>
      </c>
      <c r="BN327" s="208">
        <v>0</v>
      </c>
      <c r="BO327" s="208">
        <v>1505961.6872041665</v>
      </c>
      <c r="BP327" s="208">
        <v>338841.37962093751</v>
      </c>
      <c r="BQ327" s="208">
        <v>37649.042180104174</v>
      </c>
      <c r="BR327" s="208">
        <v>84648</v>
      </c>
      <c r="BS327" s="208">
        <v>19046</v>
      </c>
      <c r="BT327" s="208">
        <v>2116</v>
      </c>
      <c r="BU327" s="208">
        <v>1364430</v>
      </c>
      <c r="BV327" s="208">
        <v>306997</v>
      </c>
      <c r="BW327" s="208">
        <v>34111</v>
      </c>
      <c r="BX327" s="208">
        <v>226180</v>
      </c>
      <c r="BY327" s="208">
        <v>50890</v>
      </c>
      <c r="BZ327" s="208">
        <v>5654</v>
      </c>
      <c r="CA327" s="208">
        <v>3528.2441666666668</v>
      </c>
      <c r="CB327" s="208">
        <v>793.85493749999989</v>
      </c>
      <c r="CC327" s="208">
        <v>88.206104166666663</v>
      </c>
      <c r="CD327" s="208">
        <v>1179</v>
      </c>
      <c r="CE327" s="208">
        <v>265</v>
      </c>
      <c r="CF327" s="208">
        <v>29</v>
      </c>
      <c r="CG327" s="208">
        <v>2349</v>
      </c>
      <c r="CH327" s="208">
        <v>529</v>
      </c>
      <c r="CI327" s="208">
        <v>59</v>
      </c>
      <c r="CJ327" s="208">
        <v>0</v>
      </c>
      <c r="CK327" s="208">
        <v>0</v>
      </c>
      <c r="CL327" s="208">
        <v>0</v>
      </c>
      <c r="CM327" s="208">
        <v>0</v>
      </c>
      <c r="CN327" s="208">
        <v>0</v>
      </c>
      <c r="CO327" s="208">
        <v>0</v>
      </c>
      <c r="CP327" s="208">
        <v>-950.08500000000004</v>
      </c>
      <c r="CQ327" s="208">
        <v>-213.769125</v>
      </c>
      <c r="CR327" s="208">
        <v>-23.752125000000003</v>
      </c>
      <c r="CS327" s="208">
        <v>0</v>
      </c>
      <c r="CT327" s="208">
        <v>0</v>
      </c>
      <c r="CU327" s="208">
        <v>0</v>
      </c>
      <c r="CV327" s="208">
        <v>0</v>
      </c>
      <c r="CW327" s="208">
        <v>0</v>
      </c>
      <c r="CX327" s="208">
        <v>0</v>
      </c>
      <c r="CY327" s="208">
        <v>0</v>
      </c>
      <c r="CZ327" s="208">
        <v>0</v>
      </c>
      <c r="DA327" s="208">
        <v>0</v>
      </c>
      <c r="DB327" s="208">
        <v>0</v>
      </c>
      <c r="DC327" s="208">
        <v>0</v>
      </c>
      <c r="DD327" s="208">
        <v>0</v>
      </c>
      <c r="DE327" s="208">
        <v>21045.487500000003</v>
      </c>
      <c r="DF327" s="208">
        <v>4735.2346874999994</v>
      </c>
      <c r="DG327" s="208">
        <v>526.13718749999998</v>
      </c>
      <c r="DH327" s="208">
        <v>22309</v>
      </c>
      <c r="DI327" s="208">
        <v>5019</v>
      </c>
      <c r="DJ327" s="208">
        <v>558</v>
      </c>
      <c r="DK327" s="208">
        <v>-1264</v>
      </c>
      <c r="DL327" s="208">
        <v>-284</v>
      </c>
      <c r="DM327" s="208">
        <v>-32</v>
      </c>
      <c r="DN327" s="208">
        <v>0</v>
      </c>
      <c r="DO327" s="208">
        <v>0</v>
      </c>
      <c r="DP327" s="208">
        <v>0</v>
      </c>
      <c r="DQ327" s="208">
        <v>0</v>
      </c>
      <c r="DR327" s="208">
        <v>0</v>
      </c>
      <c r="DS327" s="208">
        <v>0</v>
      </c>
      <c r="DT327" s="208">
        <v>0</v>
      </c>
      <c r="DU327" s="208">
        <v>0</v>
      </c>
      <c r="DV327" s="208">
        <v>0</v>
      </c>
      <c r="DW327" s="208">
        <v>15306.925000000001</v>
      </c>
      <c r="DX327" s="208">
        <v>3444.058125</v>
      </c>
      <c r="DY327" s="208">
        <v>382.67312500000003</v>
      </c>
      <c r="DZ327" s="208">
        <v>16023</v>
      </c>
      <c r="EA327" s="208">
        <v>3605</v>
      </c>
      <c r="EB327" s="208">
        <v>401</v>
      </c>
      <c r="EC327" s="208">
        <v>-716</v>
      </c>
      <c r="ED327" s="208">
        <v>-161</v>
      </c>
      <c r="EE327" s="208">
        <v>-18</v>
      </c>
      <c r="EF327" s="208">
        <v>58563.615833333337</v>
      </c>
      <c r="EG327" s="208">
        <v>13176.8135625</v>
      </c>
      <c r="EH327" s="208">
        <v>1464.0903958333333</v>
      </c>
      <c r="EI327" s="208">
        <v>-2730.7783333333336</v>
      </c>
      <c r="EJ327" s="208">
        <v>-614.42512499999998</v>
      </c>
      <c r="EK327" s="208">
        <v>-68.269458333333333</v>
      </c>
      <c r="EL327" s="208">
        <v>58564</v>
      </c>
      <c r="EM327" s="208">
        <v>13177</v>
      </c>
      <c r="EN327" s="208">
        <v>1464</v>
      </c>
      <c r="EO327" s="208">
        <v>-2731</v>
      </c>
      <c r="EP327" s="208">
        <v>-615</v>
      </c>
      <c r="EQ327" s="208">
        <v>-68</v>
      </c>
      <c r="ER327" s="208">
        <v>27416.621666666666</v>
      </c>
      <c r="ES327" s="208">
        <v>6168.7398749999993</v>
      </c>
      <c r="ET327" s="208">
        <v>685.41554166666674</v>
      </c>
      <c r="EU327" s="208">
        <v>28548</v>
      </c>
      <c r="EV327" s="208">
        <v>6424</v>
      </c>
      <c r="EW327" s="208">
        <v>714</v>
      </c>
      <c r="EX327" s="208">
        <v>-1131</v>
      </c>
      <c r="EY327" s="208">
        <v>-255</v>
      </c>
      <c r="EZ327" s="208">
        <v>-29</v>
      </c>
      <c r="FA327" s="208">
        <v>0</v>
      </c>
      <c r="FB327" s="208">
        <v>0</v>
      </c>
      <c r="FC327" s="208">
        <v>0</v>
      </c>
      <c r="FD327" s="208">
        <v>0</v>
      </c>
      <c r="FE327" s="208">
        <v>0</v>
      </c>
      <c r="FF327" s="208">
        <v>0</v>
      </c>
      <c r="FG327" s="208">
        <v>0</v>
      </c>
      <c r="FH327" s="208">
        <v>0</v>
      </c>
      <c r="FI327" s="208">
        <v>0</v>
      </c>
      <c r="FJ327" s="208">
        <v>383032.64083333337</v>
      </c>
      <c r="FK327" s="208">
        <v>88908.155645833322</v>
      </c>
      <c r="FL327" s="208">
        <v>9447.402479166667</v>
      </c>
      <c r="FM327" s="208">
        <v>364952</v>
      </c>
      <c r="FN327" s="208">
        <v>84879</v>
      </c>
      <c r="FO327" s="208">
        <v>9000</v>
      </c>
      <c r="FP327" s="208">
        <v>18081</v>
      </c>
      <c r="FQ327" s="208">
        <v>4029</v>
      </c>
      <c r="FR327" s="208">
        <v>447</v>
      </c>
      <c r="FS327" s="208">
        <v>0</v>
      </c>
      <c r="FT327" s="208">
        <v>0</v>
      </c>
      <c r="FU327" s="208">
        <v>0</v>
      </c>
      <c r="FV327" s="208">
        <v>0</v>
      </c>
      <c r="FW327" s="208">
        <v>0</v>
      </c>
      <c r="FX327" s="208">
        <v>0</v>
      </c>
      <c r="FY327" s="208">
        <v>0</v>
      </c>
      <c r="FZ327" s="208">
        <v>0</v>
      </c>
      <c r="GA327" s="208">
        <v>0</v>
      </c>
      <c r="GB327" s="208">
        <v>2095823</v>
      </c>
      <c r="GC327" s="208">
        <v>474286</v>
      </c>
      <c r="GD327" s="208">
        <v>52266</v>
      </c>
      <c r="GE327" s="664">
        <v>0.5</v>
      </c>
      <c r="GF327" s="664">
        <v>0.4</v>
      </c>
      <c r="GG327" s="664">
        <v>0.09</v>
      </c>
      <c r="GH327" s="664">
        <v>0.01</v>
      </c>
      <c r="GI327" s="187" t="s">
        <v>1054</v>
      </c>
    </row>
    <row r="328" spans="1:191" s="187" customFormat="1" x14ac:dyDescent="0.2">
      <c r="B328" s="429" t="s">
        <v>734</v>
      </c>
      <c r="C328" s="429" t="s">
        <v>733</v>
      </c>
      <c r="D328" s="208">
        <v>113690</v>
      </c>
      <c r="E328" s="208">
        <v>0</v>
      </c>
      <c r="F328" s="208">
        <v>113690</v>
      </c>
      <c r="G328" s="208">
        <v>-672350</v>
      </c>
      <c r="H328" s="208">
        <v>0</v>
      </c>
      <c r="I328" s="208">
        <v>-672350</v>
      </c>
      <c r="J328" s="208">
        <v>786040</v>
      </c>
      <c r="K328" s="208">
        <v>0</v>
      </c>
      <c r="L328" s="208">
        <v>786040</v>
      </c>
      <c r="M328" s="208">
        <v>231550</v>
      </c>
      <c r="N328" s="208">
        <v>231550</v>
      </c>
      <c r="O328" s="208">
        <v>0</v>
      </c>
      <c r="P328" s="208">
        <v>0</v>
      </c>
      <c r="Q328" s="208">
        <v>0</v>
      </c>
      <c r="R328" s="208">
        <v>0</v>
      </c>
      <c r="S328" s="208">
        <v>0</v>
      </c>
      <c r="T328" s="208">
        <v>0</v>
      </c>
      <c r="U328" s="208">
        <v>0</v>
      </c>
      <c r="V328" s="208">
        <v>0</v>
      </c>
      <c r="W328" s="208">
        <v>0</v>
      </c>
      <c r="X328" s="208">
        <v>0</v>
      </c>
      <c r="Y328" s="208">
        <v>0</v>
      </c>
      <c r="Z328" s="208">
        <v>0</v>
      </c>
      <c r="AA328" s="208">
        <v>0</v>
      </c>
      <c r="AB328" s="208">
        <v>0</v>
      </c>
      <c r="AC328" s="208">
        <v>0</v>
      </c>
      <c r="AD328" s="208">
        <v>0</v>
      </c>
      <c r="AE328" s="208">
        <v>0</v>
      </c>
      <c r="AF328" s="208">
        <v>0</v>
      </c>
      <c r="AG328" s="208">
        <v>0</v>
      </c>
      <c r="AH328" s="208">
        <v>0</v>
      </c>
      <c r="AI328" s="208">
        <v>0</v>
      </c>
      <c r="AJ328" s="208">
        <v>0</v>
      </c>
      <c r="AK328" s="208">
        <v>0</v>
      </c>
      <c r="AL328" s="208">
        <v>0</v>
      </c>
      <c r="AM328" s="208">
        <v>0</v>
      </c>
      <c r="AN328" s="208">
        <v>0</v>
      </c>
      <c r="AO328" s="208">
        <v>0</v>
      </c>
      <c r="AP328" s="208">
        <v>0</v>
      </c>
      <c r="AQ328" s="208">
        <v>0</v>
      </c>
      <c r="AR328" s="208">
        <v>0</v>
      </c>
      <c r="AS328" s="208">
        <v>0</v>
      </c>
      <c r="AT328" s="208">
        <v>0</v>
      </c>
      <c r="AU328" s="208">
        <v>0</v>
      </c>
      <c r="AV328" s="208">
        <v>0</v>
      </c>
      <c r="AW328" s="208">
        <v>0</v>
      </c>
      <c r="AX328" s="208">
        <v>0</v>
      </c>
      <c r="AY328" s="208">
        <v>0</v>
      </c>
      <c r="AZ328" s="208">
        <v>0</v>
      </c>
      <c r="BA328" s="208">
        <v>0</v>
      </c>
      <c r="BB328" s="208">
        <v>0</v>
      </c>
      <c r="BC328" s="208">
        <v>0</v>
      </c>
      <c r="BD328" s="208">
        <v>0</v>
      </c>
      <c r="BE328" s="208">
        <v>0</v>
      </c>
      <c r="BF328" s="208">
        <v>0</v>
      </c>
      <c r="BG328" s="208">
        <v>0</v>
      </c>
      <c r="BH328" s="208">
        <v>0</v>
      </c>
      <c r="BI328" s="208">
        <v>0</v>
      </c>
      <c r="BJ328" s="208">
        <v>0</v>
      </c>
      <c r="BK328" s="208">
        <v>0</v>
      </c>
      <c r="BL328" s="208">
        <v>0</v>
      </c>
      <c r="BM328" s="208">
        <v>0</v>
      </c>
      <c r="BN328" s="208">
        <v>0</v>
      </c>
      <c r="BO328" s="208">
        <v>1302120.8236125002</v>
      </c>
      <c r="BP328" s="208">
        <v>292977.18531281251</v>
      </c>
      <c r="BQ328" s="208">
        <v>32553.020590312499</v>
      </c>
      <c r="BR328" s="208">
        <v>147525</v>
      </c>
      <c r="BS328" s="208">
        <v>33193</v>
      </c>
      <c r="BT328" s="208">
        <v>3688</v>
      </c>
      <c r="BU328" s="208">
        <v>1257859</v>
      </c>
      <c r="BV328" s="208">
        <v>283018</v>
      </c>
      <c r="BW328" s="208">
        <v>31446</v>
      </c>
      <c r="BX328" s="208">
        <v>191787</v>
      </c>
      <c r="BY328" s="208">
        <v>43152</v>
      </c>
      <c r="BZ328" s="208">
        <v>4795</v>
      </c>
      <c r="CA328" s="208">
        <v>5484.47</v>
      </c>
      <c r="CB328" s="208">
        <v>1234.0057499999998</v>
      </c>
      <c r="CC328" s="208">
        <v>137.11175</v>
      </c>
      <c r="CD328" s="208">
        <v>3751</v>
      </c>
      <c r="CE328" s="208">
        <v>844</v>
      </c>
      <c r="CF328" s="208">
        <v>94</v>
      </c>
      <c r="CG328" s="208">
        <v>1733</v>
      </c>
      <c r="CH328" s="208">
        <v>390</v>
      </c>
      <c r="CI328" s="208">
        <v>43</v>
      </c>
      <c r="CJ328" s="208">
        <v>0</v>
      </c>
      <c r="CK328" s="208">
        <v>0</v>
      </c>
      <c r="CL328" s="208">
        <v>0</v>
      </c>
      <c r="CM328" s="208">
        <v>0</v>
      </c>
      <c r="CN328" s="208">
        <v>0</v>
      </c>
      <c r="CO328" s="208">
        <v>0</v>
      </c>
      <c r="CP328" s="208">
        <v>0</v>
      </c>
      <c r="CQ328" s="208">
        <v>0</v>
      </c>
      <c r="CR328" s="208">
        <v>0</v>
      </c>
      <c r="CS328" s="208">
        <v>0</v>
      </c>
      <c r="CT328" s="208">
        <v>0</v>
      </c>
      <c r="CU328" s="208">
        <v>0</v>
      </c>
      <c r="CV328" s="208">
        <v>0</v>
      </c>
      <c r="CW328" s="208">
        <v>0</v>
      </c>
      <c r="CX328" s="208">
        <v>0</v>
      </c>
      <c r="CY328" s="208">
        <v>0</v>
      </c>
      <c r="CZ328" s="208">
        <v>0</v>
      </c>
      <c r="DA328" s="208">
        <v>0</v>
      </c>
      <c r="DB328" s="208">
        <v>0</v>
      </c>
      <c r="DC328" s="208">
        <v>0</v>
      </c>
      <c r="DD328" s="208">
        <v>0</v>
      </c>
      <c r="DE328" s="208">
        <v>3544.2016666666673</v>
      </c>
      <c r="DF328" s="208">
        <v>797.44537500000001</v>
      </c>
      <c r="DG328" s="208">
        <v>88.605041666666679</v>
      </c>
      <c r="DH328" s="208">
        <v>3526</v>
      </c>
      <c r="DI328" s="208">
        <v>793</v>
      </c>
      <c r="DJ328" s="208">
        <v>88</v>
      </c>
      <c r="DK328" s="208">
        <v>18</v>
      </c>
      <c r="DL328" s="208">
        <v>4</v>
      </c>
      <c r="DM328" s="208">
        <v>1</v>
      </c>
      <c r="DN328" s="208">
        <v>674.30666666666662</v>
      </c>
      <c r="DO328" s="208">
        <v>151.71899999999999</v>
      </c>
      <c r="DP328" s="208">
        <v>16.857666666666667</v>
      </c>
      <c r="DQ328" s="208">
        <v>614</v>
      </c>
      <c r="DR328" s="208">
        <v>138</v>
      </c>
      <c r="DS328" s="208">
        <v>15</v>
      </c>
      <c r="DT328" s="208">
        <v>60</v>
      </c>
      <c r="DU328" s="208">
        <v>14</v>
      </c>
      <c r="DV328" s="208">
        <v>2</v>
      </c>
      <c r="DW328" s="208">
        <v>11657.976666666667</v>
      </c>
      <c r="DX328" s="208">
        <v>2623.0447499999996</v>
      </c>
      <c r="DY328" s="208">
        <v>291.44941666666665</v>
      </c>
      <c r="DZ328" s="208">
        <v>12330</v>
      </c>
      <c r="EA328" s="208">
        <v>2774</v>
      </c>
      <c r="EB328" s="208">
        <v>308</v>
      </c>
      <c r="EC328" s="208">
        <v>-672</v>
      </c>
      <c r="ED328" s="208">
        <v>-151</v>
      </c>
      <c r="EE328" s="208">
        <v>-17</v>
      </c>
      <c r="EF328" s="208">
        <v>62941.699166666673</v>
      </c>
      <c r="EG328" s="208">
        <v>14161.8823125</v>
      </c>
      <c r="EH328" s="208">
        <v>1573.5424791666667</v>
      </c>
      <c r="EI328" s="208">
        <v>505.73</v>
      </c>
      <c r="EJ328" s="208">
        <v>113.78925</v>
      </c>
      <c r="EK328" s="208">
        <v>12.64325</v>
      </c>
      <c r="EL328" s="208">
        <v>74037</v>
      </c>
      <c r="EM328" s="208">
        <v>16658</v>
      </c>
      <c r="EN328" s="208">
        <v>1851</v>
      </c>
      <c r="EO328" s="208">
        <v>-10590</v>
      </c>
      <c r="EP328" s="208">
        <v>-2382</v>
      </c>
      <c r="EQ328" s="208">
        <v>-265</v>
      </c>
      <c r="ER328" s="208">
        <v>24745.172500000001</v>
      </c>
      <c r="ES328" s="208">
        <v>5567.6638124999999</v>
      </c>
      <c r="ET328" s="208">
        <v>618.62931250000008</v>
      </c>
      <c r="EU328" s="208">
        <v>26384</v>
      </c>
      <c r="EV328" s="208">
        <v>5937</v>
      </c>
      <c r="EW328" s="208">
        <v>660</v>
      </c>
      <c r="EX328" s="208">
        <v>-1639</v>
      </c>
      <c r="EY328" s="208">
        <v>-369</v>
      </c>
      <c r="EZ328" s="208">
        <v>-41</v>
      </c>
      <c r="FA328" s="208">
        <v>0</v>
      </c>
      <c r="FB328" s="208">
        <v>0</v>
      </c>
      <c r="FC328" s="208">
        <v>0</v>
      </c>
      <c r="FD328" s="208">
        <v>0</v>
      </c>
      <c r="FE328" s="208">
        <v>0</v>
      </c>
      <c r="FF328" s="208">
        <v>0</v>
      </c>
      <c r="FG328" s="208">
        <v>0</v>
      </c>
      <c r="FH328" s="208">
        <v>0</v>
      </c>
      <c r="FI328" s="208">
        <v>0</v>
      </c>
      <c r="FJ328" s="208">
        <v>649499.30833333323</v>
      </c>
      <c r="FK328" s="208">
        <v>146137.34437499999</v>
      </c>
      <c r="FL328" s="208">
        <v>16237.482708333333</v>
      </c>
      <c r="FM328" s="208">
        <v>657249</v>
      </c>
      <c r="FN328" s="208">
        <v>147881</v>
      </c>
      <c r="FO328" s="208">
        <v>16431</v>
      </c>
      <c r="FP328" s="208">
        <v>-7750</v>
      </c>
      <c r="FQ328" s="208">
        <v>-1744</v>
      </c>
      <c r="FR328" s="208">
        <v>-194</v>
      </c>
      <c r="FS328" s="208">
        <v>0</v>
      </c>
      <c r="FT328" s="208">
        <v>0</v>
      </c>
      <c r="FU328" s="208">
        <v>0</v>
      </c>
      <c r="FV328" s="208">
        <v>0</v>
      </c>
      <c r="FW328" s="208">
        <v>0</v>
      </c>
      <c r="FX328" s="208">
        <v>0</v>
      </c>
      <c r="FY328" s="208">
        <v>0</v>
      </c>
      <c r="FZ328" s="208">
        <v>0</v>
      </c>
      <c r="GA328" s="208">
        <v>0</v>
      </c>
      <c r="GB328" s="208">
        <v>2208698</v>
      </c>
      <c r="GC328" s="208">
        <v>496957</v>
      </c>
      <c r="GD328" s="208">
        <v>55218</v>
      </c>
      <c r="GE328" s="664">
        <v>0.5</v>
      </c>
      <c r="GF328" s="664">
        <v>0.4</v>
      </c>
      <c r="GG328" s="664">
        <v>0.09</v>
      </c>
      <c r="GH328" s="664">
        <v>0.01</v>
      </c>
      <c r="GI328" s="187" t="s">
        <v>1054</v>
      </c>
    </row>
    <row r="329" spans="1:191" s="187" customFormat="1" x14ac:dyDescent="0.2">
      <c r="B329" s="429" t="s">
        <v>736</v>
      </c>
      <c r="C329" s="429" t="s">
        <v>735</v>
      </c>
      <c r="D329" s="208">
        <v>-1094311</v>
      </c>
      <c r="E329" s="208">
        <v>-25585</v>
      </c>
      <c r="F329" s="208">
        <v>-1119896</v>
      </c>
      <c r="G329" s="208">
        <v>-882613</v>
      </c>
      <c r="H329" s="208">
        <v>-68342</v>
      </c>
      <c r="I329" s="208">
        <v>-950955</v>
      </c>
      <c r="J329" s="208">
        <v>-211698</v>
      </c>
      <c r="K329" s="208">
        <v>42757</v>
      </c>
      <c r="L329" s="208">
        <v>-168941</v>
      </c>
      <c r="M329" s="208">
        <v>150613</v>
      </c>
      <c r="N329" s="208">
        <v>150613</v>
      </c>
      <c r="O329" s="208">
        <v>0</v>
      </c>
      <c r="P329" s="208">
        <v>888149</v>
      </c>
      <c r="Q329" s="208">
        <v>60060</v>
      </c>
      <c r="R329" s="208">
        <v>828089</v>
      </c>
      <c r="S329" s="208">
        <v>0</v>
      </c>
      <c r="T329" s="208">
        <v>0</v>
      </c>
      <c r="U329" s="208">
        <v>0</v>
      </c>
      <c r="V329" s="208">
        <v>0</v>
      </c>
      <c r="W329" s="208">
        <v>0</v>
      </c>
      <c r="X329" s="208">
        <v>0</v>
      </c>
      <c r="Y329" s="208">
        <v>0</v>
      </c>
      <c r="Z329" s="208">
        <v>0</v>
      </c>
      <c r="AA329" s="208">
        <v>0</v>
      </c>
      <c r="AB329" s="208">
        <v>0</v>
      </c>
      <c r="AC329" s="208">
        <v>0</v>
      </c>
      <c r="AD329" s="208">
        <v>0</v>
      </c>
      <c r="AE329" s="208">
        <v>0</v>
      </c>
      <c r="AF329" s="208">
        <v>0</v>
      </c>
      <c r="AG329" s="208">
        <v>0</v>
      </c>
      <c r="AH329" s="208">
        <v>0</v>
      </c>
      <c r="AI329" s="208">
        <v>0</v>
      </c>
      <c r="AJ329" s="208">
        <v>0</v>
      </c>
      <c r="AK329" s="208">
        <v>0</v>
      </c>
      <c r="AL329" s="208">
        <v>0</v>
      </c>
      <c r="AM329" s="208">
        <v>0</v>
      </c>
      <c r="AN329" s="208">
        <v>0</v>
      </c>
      <c r="AO329" s="208">
        <v>0</v>
      </c>
      <c r="AP329" s="208">
        <v>0</v>
      </c>
      <c r="AQ329" s="208">
        <v>0</v>
      </c>
      <c r="AR329" s="208">
        <v>0</v>
      </c>
      <c r="AS329" s="208">
        <v>0</v>
      </c>
      <c r="AT329" s="208">
        <v>0</v>
      </c>
      <c r="AU329" s="208">
        <v>0</v>
      </c>
      <c r="AV329" s="208">
        <v>0</v>
      </c>
      <c r="AW329" s="208">
        <v>0</v>
      </c>
      <c r="AX329" s="208">
        <v>0</v>
      </c>
      <c r="AY329" s="208">
        <v>0</v>
      </c>
      <c r="AZ329" s="208">
        <v>0</v>
      </c>
      <c r="BA329" s="208">
        <v>0</v>
      </c>
      <c r="BB329" s="208">
        <v>0</v>
      </c>
      <c r="BC329" s="208">
        <v>0</v>
      </c>
      <c r="BD329" s="208">
        <v>0</v>
      </c>
      <c r="BE329" s="208">
        <v>0</v>
      </c>
      <c r="BF329" s="208">
        <v>0</v>
      </c>
      <c r="BG329" s="208">
        <v>0</v>
      </c>
      <c r="BH329" s="208">
        <v>0</v>
      </c>
      <c r="BI329" s="208">
        <v>0</v>
      </c>
      <c r="BJ329" s="208">
        <v>0</v>
      </c>
      <c r="BK329" s="208">
        <v>0</v>
      </c>
      <c r="BL329" s="208">
        <v>0</v>
      </c>
      <c r="BM329" s="208">
        <v>0</v>
      </c>
      <c r="BN329" s="208">
        <v>0</v>
      </c>
      <c r="BO329" s="208">
        <v>1351065.4609833336</v>
      </c>
      <c r="BP329" s="208">
        <v>297007.04587125004</v>
      </c>
      <c r="BQ329" s="208">
        <v>33000.782874583339</v>
      </c>
      <c r="BR329" s="208">
        <v>63818</v>
      </c>
      <c r="BS329" s="208">
        <v>13919</v>
      </c>
      <c r="BT329" s="208">
        <v>1547</v>
      </c>
      <c r="BU329" s="208">
        <v>1298692</v>
      </c>
      <c r="BV329" s="208">
        <v>286952</v>
      </c>
      <c r="BW329" s="208">
        <v>31884</v>
      </c>
      <c r="BX329" s="208">
        <v>116191</v>
      </c>
      <c r="BY329" s="208">
        <v>23974</v>
      </c>
      <c r="BZ329" s="208">
        <v>2664</v>
      </c>
      <c r="CA329" s="208">
        <v>5772.1141666666672</v>
      </c>
      <c r="CB329" s="208">
        <v>1298.7256875</v>
      </c>
      <c r="CC329" s="208">
        <v>144.30285416666669</v>
      </c>
      <c r="CD329" s="208">
        <v>3066</v>
      </c>
      <c r="CE329" s="208">
        <v>690</v>
      </c>
      <c r="CF329" s="208">
        <v>77</v>
      </c>
      <c r="CG329" s="208">
        <v>2706</v>
      </c>
      <c r="CH329" s="208">
        <v>609</v>
      </c>
      <c r="CI329" s="208">
        <v>67</v>
      </c>
      <c r="CJ329" s="208">
        <v>0</v>
      </c>
      <c r="CK329" s="208">
        <v>0</v>
      </c>
      <c r="CL329" s="208">
        <v>0</v>
      </c>
      <c r="CM329" s="208">
        <v>0</v>
      </c>
      <c r="CN329" s="208">
        <v>0</v>
      </c>
      <c r="CO329" s="208">
        <v>0</v>
      </c>
      <c r="CP329" s="208">
        <v>0</v>
      </c>
      <c r="CQ329" s="208">
        <v>0</v>
      </c>
      <c r="CR329" s="208">
        <v>0</v>
      </c>
      <c r="CS329" s="208">
        <v>0</v>
      </c>
      <c r="CT329" s="208">
        <v>0</v>
      </c>
      <c r="CU329" s="208">
        <v>0</v>
      </c>
      <c r="CV329" s="208">
        <v>0</v>
      </c>
      <c r="CW329" s="208">
        <v>0</v>
      </c>
      <c r="CX329" s="208">
        <v>0</v>
      </c>
      <c r="CY329" s="208">
        <v>0</v>
      </c>
      <c r="CZ329" s="208">
        <v>0</v>
      </c>
      <c r="DA329" s="208">
        <v>0</v>
      </c>
      <c r="DB329" s="208">
        <v>0</v>
      </c>
      <c r="DC329" s="208">
        <v>0</v>
      </c>
      <c r="DD329" s="208">
        <v>0</v>
      </c>
      <c r="DE329" s="208">
        <v>0</v>
      </c>
      <c r="DF329" s="208">
        <v>0</v>
      </c>
      <c r="DG329" s="208">
        <v>0</v>
      </c>
      <c r="DH329" s="208">
        <v>0</v>
      </c>
      <c r="DI329" s="208">
        <v>0</v>
      </c>
      <c r="DJ329" s="208">
        <v>0</v>
      </c>
      <c r="DK329" s="208">
        <v>0</v>
      </c>
      <c r="DL329" s="208">
        <v>0</v>
      </c>
      <c r="DM329" s="208">
        <v>0</v>
      </c>
      <c r="DN329" s="208">
        <v>0</v>
      </c>
      <c r="DO329" s="208">
        <v>0</v>
      </c>
      <c r="DP329" s="208">
        <v>0</v>
      </c>
      <c r="DQ329" s="208">
        <v>0</v>
      </c>
      <c r="DR329" s="208">
        <v>0</v>
      </c>
      <c r="DS329" s="208">
        <v>0</v>
      </c>
      <c r="DT329" s="208">
        <v>0</v>
      </c>
      <c r="DU329" s="208">
        <v>0</v>
      </c>
      <c r="DV329" s="208">
        <v>0</v>
      </c>
      <c r="DW329" s="208">
        <v>4419.0000000000009</v>
      </c>
      <c r="DX329" s="208">
        <v>994.27499999999998</v>
      </c>
      <c r="DY329" s="208">
        <v>110.47500000000001</v>
      </c>
      <c r="DZ329" s="208">
        <v>3998</v>
      </c>
      <c r="EA329" s="208">
        <v>899</v>
      </c>
      <c r="EB329" s="208">
        <v>100</v>
      </c>
      <c r="EC329" s="208">
        <v>421</v>
      </c>
      <c r="ED329" s="208">
        <v>95</v>
      </c>
      <c r="EE329" s="208">
        <v>10</v>
      </c>
      <c r="EF329" s="208">
        <v>13690.921250000001</v>
      </c>
      <c r="EG329" s="208">
        <v>2668.70775</v>
      </c>
      <c r="EH329" s="208">
        <v>296.52308333333337</v>
      </c>
      <c r="EI329" s="208">
        <v>-491</v>
      </c>
      <c r="EJ329" s="208">
        <v>-110.47499999999999</v>
      </c>
      <c r="EK329" s="208">
        <v>-12.275</v>
      </c>
      <c r="EL329" s="208">
        <v>15017</v>
      </c>
      <c r="EM329" s="208">
        <v>2964</v>
      </c>
      <c r="EN329" s="208">
        <v>329</v>
      </c>
      <c r="EO329" s="208">
        <v>-1817</v>
      </c>
      <c r="EP329" s="208">
        <v>-406</v>
      </c>
      <c r="EQ329" s="208">
        <v>-45</v>
      </c>
      <c r="ER329" s="208">
        <v>17644.084999999999</v>
      </c>
      <c r="ES329" s="208">
        <v>3969.9191249999999</v>
      </c>
      <c r="ET329" s="208">
        <v>441.102125</v>
      </c>
      <c r="EU329" s="208">
        <v>18722</v>
      </c>
      <c r="EV329" s="208">
        <v>4213</v>
      </c>
      <c r="EW329" s="208">
        <v>468</v>
      </c>
      <c r="EX329" s="208">
        <v>-1078</v>
      </c>
      <c r="EY329" s="208">
        <v>-243</v>
      </c>
      <c r="EZ329" s="208">
        <v>-27</v>
      </c>
      <c r="FA329" s="208">
        <v>0</v>
      </c>
      <c r="FB329" s="208">
        <v>0</v>
      </c>
      <c r="FC329" s="208">
        <v>0</v>
      </c>
      <c r="FD329" s="208">
        <v>0</v>
      </c>
      <c r="FE329" s="208">
        <v>0</v>
      </c>
      <c r="FF329" s="208">
        <v>0</v>
      </c>
      <c r="FG329" s="208">
        <v>0</v>
      </c>
      <c r="FH329" s="208">
        <v>0</v>
      </c>
      <c r="FI329" s="208">
        <v>0</v>
      </c>
      <c r="FJ329" s="208">
        <v>242332.0395833333</v>
      </c>
      <c r="FK329" s="208">
        <v>49945.190624999996</v>
      </c>
      <c r="FL329" s="208">
        <v>5549.4656249999998</v>
      </c>
      <c r="FM329" s="208">
        <v>229008</v>
      </c>
      <c r="FN329" s="208">
        <v>51217</v>
      </c>
      <c r="FO329" s="208">
        <v>5691</v>
      </c>
      <c r="FP329" s="208">
        <v>13324</v>
      </c>
      <c r="FQ329" s="208">
        <v>-1272</v>
      </c>
      <c r="FR329" s="208">
        <v>-142</v>
      </c>
      <c r="FS329" s="208">
        <v>0</v>
      </c>
      <c r="FT329" s="208">
        <v>0</v>
      </c>
      <c r="FU329" s="208">
        <v>0</v>
      </c>
      <c r="FV329" s="208">
        <v>0</v>
      </c>
      <c r="FW329" s="208">
        <v>0</v>
      </c>
      <c r="FX329" s="208">
        <v>0</v>
      </c>
      <c r="FY329" s="208">
        <v>0</v>
      </c>
      <c r="FZ329" s="208">
        <v>0</v>
      </c>
      <c r="GA329" s="208">
        <v>0</v>
      </c>
      <c r="GB329" s="208">
        <v>1698250</v>
      </c>
      <c r="GC329" s="208">
        <v>369693</v>
      </c>
      <c r="GD329" s="208">
        <v>41077</v>
      </c>
      <c r="GE329" s="664">
        <v>0.5</v>
      </c>
      <c r="GF329" s="664">
        <v>0.4</v>
      </c>
      <c r="GG329" s="664">
        <v>0.09</v>
      </c>
      <c r="GH329" s="664">
        <v>0.01</v>
      </c>
      <c r="GI329" s="187" t="s">
        <v>1054</v>
      </c>
    </row>
    <row r="330" spans="1:191" s="187" customFormat="1" x14ac:dyDescent="0.2">
      <c r="A330" s="188"/>
      <c r="B330" s="429" t="s">
        <v>738</v>
      </c>
      <c r="C330" s="429" t="s">
        <v>737</v>
      </c>
      <c r="D330" s="208">
        <v>-289208</v>
      </c>
      <c r="E330" s="208">
        <v>0</v>
      </c>
      <c r="F330" s="208">
        <v>-289208</v>
      </c>
      <c r="G330" s="208">
        <v>-345146</v>
      </c>
      <c r="H330" s="208">
        <v>0</v>
      </c>
      <c r="I330" s="208">
        <v>-345146</v>
      </c>
      <c r="J330" s="208">
        <v>55938</v>
      </c>
      <c r="K330" s="208">
        <v>0</v>
      </c>
      <c r="L330" s="208">
        <v>55938</v>
      </c>
      <c r="M330" s="208">
        <v>134280</v>
      </c>
      <c r="N330" s="208">
        <v>134280</v>
      </c>
      <c r="O330" s="208">
        <v>0</v>
      </c>
      <c r="P330" s="208">
        <v>0</v>
      </c>
      <c r="Q330" s="208">
        <v>0</v>
      </c>
      <c r="R330" s="208">
        <v>0</v>
      </c>
      <c r="S330" s="208">
        <v>5040</v>
      </c>
      <c r="T330" s="208">
        <v>0</v>
      </c>
      <c r="U330" s="208">
        <v>5040</v>
      </c>
      <c r="V330" s="208">
        <v>0</v>
      </c>
      <c r="W330" s="208">
        <v>0</v>
      </c>
      <c r="X330" s="208">
        <v>0</v>
      </c>
      <c r="Y330" s="208">
        <v>0</v>
      </c>
      <c r="Z330" s="208">
        <v>0</v>
      </c>
      <c r="AA330" s="208">
        <v>0</v>
      </c>
      <c r="AB330" s="208">
        <v>0</v>
      </c>
      <c r="AC330" s="208">
        <v>0</v>
      </c>
      <c r="AD330" s="208">
        <v>0</v>
      </c>
      <c r="AE330" s="208">
        <v>0</v>
      </c>
      <c r="AF330" s="208">
        <v>0</v>
      </c>
      <c r="AG330" s="208">
        <v>0</v>
      </c>
      <c r="AH330" s="208">
        <v>0</v>
      </c>
      <c r="AI330" s="208">
        <v>0</v>
      </c>
      <c r="AJ330" s="208">
        <v>0</v>
      </c>
      <c r="AK330" s="208">
        <v>0</v>
      </c>
      <c r="AL330" s="208">
        <v>0</v>
      </c>
      <c r="AM330" s="208">
        <v>0</v>
      </c>
      <c r="AN330" s="208">
        <v>0</v>
      </c>
      <c r="AO330" s="208">
        <v>0</v>
      </c>
      <c r="AP330" s="208">
        <v>0</v>
      </c>
      <c r="AQ330" s="208">
        <v>0</v>
      </c>
      <c r="AR330" s="208">
        <v>0</v>
      </c>
      <c r="AS330" s="208">
        <v>0</v>
      </c>
      <c r="AT330" s="208">
        <v>0</v>
      </c>
      <c r="AU330" s="208">
        <v>0</v>
      </c>
      <c r="AV330" s="208">
        <v>0</v>
      </c>
      <c r="AW330" s="208">
        <v>0</v>
      </c>
      <c r="AX330" s="208">
        <v>0</v>
      </c>
      <c r="AY330" s="208">
        <v>0</v>
      </c>
      <c r="AZ330" s="208">
        <v>0</v>
      </c>
      <c r="BA330" s="208">
        <v>0</v>
      </c>
      <c r="BB330" s="208">
        <v>0</v>
      </c>
      <c r="BC330" s="208">
        <v>0</v>
      </c>
      <c r="BD330" s="208">
        <v>0</v>
      </c>
      <c r="BE330" s="208">
        <v>0</v>
      </c>
      <c r="BF330" s="208">
        <v>0</v>
      </c>
      <c r="BG330" s="208">
        <v>0</v>
      </c>
      <c r="BH330" s="208">
        <v>0</v>
      </c>
      <c r="BI330" s="208">
        <v>0</v>
      </c>
      <c r="BJ330" s="208">
        <v>0</v>
      </c>
      <c r="BK330" s="208">
        <v>0</v>
      </c>
      <c r="BL330" s="208">
        <v>0</v>
      </c>
      <c r="BM330" s="208">
        <v>0</v>
      </c>
      <c r="BN330" s="208">
        <v>0</v>
      </c>
      <c r="BO330" s="208">
        <v>1022801.4240566668</v>
      </c>
      <c r="BP330" s="208">
        <v>230130.32041275004</v>
      </c>
      <c r="BQ330" s="208">
        <v>25570.035601416668</v>
      </c>
      <c r="BR330" s="208">
        <v>62185</v>
      </c>
      <c r="BS330" s="208">
        <v>13992</v>
      </c>
      <c r="BT330" s="208">
        <v>1555</v>
      </c>
      <c r="BU330" s="208">
        <v>971482</v>
      </c>
      <c r="BV330" s="208">
        <v>218583</v>
      </c>
      <c r="BW330" s="208">
        <v>24287</v>
      </c>
      <c r="BX330" s="208">
        <v>113504</v>
      </c>
      <c r="BY330" s="208">
        <v>25539</v>
      </c>
      <c r="BZ330" s="208">
        <v>2838</v>
      </c>
      <c r="CA330" s="208">
        <v>0</v>
      </c>
      <c r="CB330" s="208">
        <v>0</v>
      </c>
      <c r="CC330" s="208">
        <v>0</v>
      </c>
      <c r="CD330" s="208">
        <v>0</v>
      </c>
      <c r="CE330" s="208">
        <v>0</v>
      </c>
      <c r="CF330" s="208">
        <v>0</v>
      </c>
      <c r="CG330" s="208">
        <v>0</v>
      </c>
      <c r="CH330" s="208">
        <v>0</v>
      </c>
      <c r="CI330" s="208">
        <v>0</v>
      </c>
      <c r="CJ330" s="208">
        <v>0</v>
      </c>
      <c r="CK330" s="208">
        <v>0</v>
      </c>
      <c r="CL330" s="208">
        <v>0</v>
      </c>
      <c r="CM330" s="208">
        <v>0</v>
      </c>
      <c r="CN330" s="208">
        <v>0</v>
      </c>
      <c r="CO330" s="208">
        <v>0</v>
      </c>
      <c r="CP330" s="208">
        <v>0</v>
      </c>
      <c r="CQ330" s="208">
        <v>0</v>
      </c>
      <c r="CR330" s="208">
        <v>0</v>
      </c>
      <c r="CS330" s="208">
        <v>0</v>
      </c>
      <c r="CT330" s="208">
        <v>0</v>
      </c>
      <c r="CU330" s="208">
        <v>0</v>
      </c>
      <c r="CV330" s="208">
        <v>0</v>
      </c>
      <c r="CW330" s="208">
        <v>0</v>
      </c>
      <c r="CX330" s="208">
        <v>0</v>
      </c>
      <c r="CY330" s="208">
        <v>0</v>
      </c>
      <c r="CZ330" s="208">
        <v>0</v>
      </c>
      <c r="DA330" s="208">
        <v>0</v>
      </c>
      <c r="DB330" s="208">
        <v>0</v>
      </c>
      <c r="DC330" s="208">
        <v>0</v>
      </c>
      <c r="DD330" s="208">
        <v>0</v>
      </c>
      <c r="DE330" s="208">
        <v>4470.5550000000003</v>
      </c>
      <c r="DF330" s="208">
        <v>1005.874875</v>
      </c>
      <c r="DG330" s="208">
        <v>111.76387500000001</v>
      </c>
      <c r="DH330" s="208">
        <v>4584</v>
      </c>
      <c r="DI330" s="208">
        <v>1032</v>
      </c>
      <c r="DJ330" s="208">
        <v>115</v>
      </c>
      <c r="DK330" s="208">
        <v>-113</v>
      </c>
      <c r="DL330" s="208">
        <v>-26</v>
      </c>
      <c r="DM330" s="208">
        <v>-3</v>
      </c>
      <c r="DN330" s="208">
        <v>0</v>
      </c>
      <c r="DO330" s="208">
        <v>0</v>
      </c>
      <c r="DP330" s="208">
        <v>0</v>
      </c>
      <c r="DQ330" s="208">
        <v>0</v>
      </c>
      <c r="DR330" s="208">
        <v>0</v>
      </c>
      <c r="DS330" s="208">
        <v>0</v>
      </c>
      <c r="DT330" s="208">
        <v>0</v>
      </c>
      <c r="DU330" s="208">
        <v>0</v>
      </c>
      <c r="DV330" s="208">
        <v>0</v>
      </c>
      <c r="DW330" s="208">
        <v>4657.9533333333338</v>
      </c>
      <c r="DX330" s="208">
        <v>1048.0395000000001</v>
      </c>
      <c r="DY330" s="208">
        <v>116.44883333333334</v>
      </c>
      <c r="DZ330" s="208">
        <v>6489</v>
      </c>
      <c r="EA330" s="208">
        <v>1460</v>
      </c>
      <c r="EB330" s="208">
        <v>162</v>
      </c>
      <c r="EC330" s="208">
        <v>-1831</v>
      </c>
      <c r="ED330" s="208">
        <v>-412</v>
      </c>
      <c r="EE330" s="208">
        <v>-46</v>
      </c>
      <c r="EF330" s="208">
        <v>23013.579166666666</v>
      </c>
      <c r="EG330" s="208">
        <v>5178.0553124999997</v>
      </c>
      <c r="EH330" s="208">
        <v>575.33947916666671</v>
      </c>
      <c r="EI330" s="208">
        <v>-306.46583333333336</v>
      </c>
      <c r="EJ330" s="208">
        <v>-68.954812500000003</v>
      </c>
      <c r="EK330" s="208">
        <v>-7.661645833333333</v>
      </c>
      <c r="EL330" s="208">
        <v>24124</v>
      </c>
      <c r="EM330" s="208">
        <v>5428</v>
      </c>
      <c r="EN330" s="208">
        <v>603</v>
      </c>
      <c r="EO330" s="208">
        <v>-1417</v>
      </c>
      <c r="EP330" s="208">
        <v>-319</v>
      </c>
      <c r="EQ330" s="208">
        <v>-35</v>
      </c>
      <c r="ER330" s="208">
        <v>24331.095833333333</v>
      </c>
      <c r="ES330" s="208">
        <v>5474.4965624999995</v>
      </c>
      <c r="ET330" s="208">
        <v>608.27739583333334</v>
      </c>
      <c r="EU330" s="208">
        <v>25778</v>
      </c>
      <c r="EV330" s="208">
        <v>5800</v>
      </c>
      <c r="EW330" s="208">
        <v>644</v>
      </c>
      <c r="EX330" s="208">
        <v>-1447</v>
      </c>
      <c r="EY330" s="208">
        <v>-326</v>
      </c>
      <c r="EZ330" s="208">
        <v>-36</v>
      </c>
      <c r="FA330" s="208">
        <v>0</v>
      </c>
      <c r="FB330" s="208">
        <v>0</v>
      </c>
      <c r="FC330" s="208">
        <v>0</v>
      </c>
      <c r="FD330" s="208">
        <v>0</v>
      </c>
      <c r="FE330" s="208">
        <v>0</v>
      </c>
      <c r="FF330" s="208">
        <v>0</v>
      </c>
      <c r="FG330" s="208">
        <v>0</v>
      </c>
      <c r="FH330" s="208">
        <v>0</v>
      </c>
      <c r="FI330" s="208">
        <v>0</v>
      </c>
      <c r="FJ330" s="208">
        <v>240198.45666666667</v>
      </c>
      <c r="FK330" s="208">
        <v>54018.665249999998</v>
      </c>
      <c r="FL330" s="208">
        <v>6002.0739166666663</v>
      </c>
      <c r="FM330" s="208">
        <v>248809</v>
      </c>
      <c r="FN330" s="208">
        <v>55956</v>
      </c>
      <c r="FO330" s="208">
        <v>6217</v>
      </c>
      <c r="FP330" s="208">
        <v>-8611</v>
      </c>
      <c r="FQ330" s="208">
        <v>-1937</v>
      </c>
      <c r="FR330" s="208">
        <v>-215</v>
      </c>
      <c r="FS330" s="208">
        <v>0</v>
      </c>
      <c r="FT330" s="208">
        <v>0</v>
      </c>
      <c r="FU330" s="208">
        <v>0</v>
      </c>
      <c r="FV330" s="208">
        <v>0</v>
      </c>
      <c r="FW330" s="208">
        <v>0</v>
      </c>
      <c r="FX330" s="208">
        <v>0</v>
      </c>
      <c r="FY330" s="208">
        <v>0</v>
      </c>
      <c r="FZ330" s="208">
        <v>0</v>
      </c>
      <c r="GA330" s="208">
        <v>0</v>
      </c>
      <c r="GB330" s="208">
        <v>1381352</v>
      </c>
      <c r="GC330" s="208">
        <v>310778</v>
      </c>
      <c r="GD330" s="208">
        <v>34530</v>
      </c>
      <c r="GE330" s="664">
        <v>0.5</v>
      </c>
      <c r="GF330" s="664">
        <v>0.4</v>
      </c>
      <c r="GG330" s="664">
        <v>0.09</v>
      </c>
      <c r="GH330" s="664">
        <v>0.01</v>
      </c>
      <c r="GI330" s="187" t="s">
        <v>1054</v>
      </c>
    </row>
    <row r="331" spans="1:191" s="187" customFormat="1" x14ac:dyDescent="0.2">
      <c r="B331" s="429" t="s">
        <v>740</v>
      </c>
      <c r="C331" s="429" t="s">
        <v>739</v>
      </c>
      <c r="D331" s="208">
        <v>-1346192</v>
      </c>
      <c r="E331" s="208">
        <v>230207</v>
      </c>
      <c r="F331" s="208">
        <v>-1115985</v>
      </c>
      <c r="G331" s="208">
        <v>-1842284</v>
      </c>
      <c r="H331" s="208">
        <v>263992</v>
      </c>
      <c r="I331" s="208">
        <v>-1578292</v>
      </c>
      <c r="J331" s="208">
        <v>496092</v>
      </c>
      <c r="K331" s="208">
        <v>-33785</v>
      </c>
      <c r="L331" s="208">
        <v>462307</v>
      </c>
      <c r="M331" s="208">
        <v>289905</v>
      </c>
      <c r="N331" s="208">
        <v>289905</v>
      </c>
      <c r="O331" s="208">
        <v>0</v>
      </c>
      <c r="P331" s="208">
        <v>383738</v>
      </c>
      <c r="Q331" s="208">
        <v>419782</v>
      </c>
      <c r="R331" s="208">
        <v>-36044</v>
      </c>
      <c r="S331" s="208">
        <v>0</v>
      </c>
      <c r="T331" s="208">
        <v>0</v>
      </c>
      <c r="U331" s="208">
        <v>0</v>
      </c>
      <c r="V331" s="208">
        <v>0</v>
      </c>
      <c r="W331" s="208">
        <v>0</v>
      </c>
      <c r="X331" s="208">
        <v>0</v>
      </c>
      <c r="Y331" s="208">
        <v>0</v>
      </c>
      <c r="Z331" s="208">
        <v>0</v>
      </c>
      <c r="AA331" s="208">
        <v>0</v>
      </c>
      <c r="AB331" s="208">
        <v>0</v>
      </c>
      <c r="AC331" s="208">
        <v>0</v>
      </c>
      <c r="AD331" s="208">
        <v>0</v>
      </c>
      <c r="AE331" s="208">
        <v>0</v>
      </c>
      <c r="AF331" s="208">
        <v>0</v>
      </c>
      <c r="AG331" s="208">
        <v>0</v>
      </c>
      <c r="AH331" s="208">
        <v>0</v>
      </c>
      <c r="AI331" s="208">
        <v>0</v>
      </c>
      <c r="AJ331" s="208">
        <v>0</v>
      </c>
      <c r="AK331" s="208">
        <v>0</v>
      </c>
      <c r="AL331" s="208">
        <v>0</v>
      </c>
      <c r="AM331" s="208">
        <v>0</v>
      </c>
      <c r="AN331" s="208">
        <v>0</v>
      </c>
      <c r="AO331" s="208">
        <v>0</v>
      </c>
      <c r="AP331" s="208">
        <v>0</v>
      </c>
      <c r="AQ331" s="208">
        <v>0</v>
      </c>
      <c r="AR331" s="208">
        <v>0</v>
      </c>
      <c r="AS331" s="208">
        <v>0</v>
      </c>
      <c r="AT331" s="208">
        <v>0</v>
      </c>
      <c r="AU331" s="208">
        <v>0</v>
      </c>
      <c r="AV331" s="208">
        <v>0</v>
      </c>
      <c r="AW331" s="208">
        <v>0</v>
      </c>
      <c r="AX331" s="208">
        <v>0</v>
      </c>
      <c r="AY331" s="208">
        <v>0</v>
      </c>
      <c r="AZ331" s="208">
        <v>0</v>
      </c>
      <c r="BA331" s="208">
        <v>0</v>
      </c>
      <c r="BB331" s="208">
        <v>0</v>
      </c>
      <c r="BC331" s="208">
        <v>0</v>
      </c>
      <c r="BD331" s="208">
        <v>0</v>
      </c>
      <c r="BE331" s="208">
        <v>0</v>
      </c>
      <c r="BF331" s="208">
        <v>0</v>
      </c>
      <c r="BG331" s="208">
        <v>0</v>
      </c>
      <c r="BH331" s="208">
        <v>0</v>
      </c>
      <c r="BI331" s="208">
        <v>0</v>
      </c>
      <c r="BJ331" s="208">
        <v>0</v>
      </c>
      <c r="BK331" s="208">
        <v>0</v>
      </c>
      <c r="BL331" s="208">
        <v>0</v>
      </c>
      <c r="BM331" s="208">
        <v>0</v>
      </c>
      <c r="BN331" s="208">
        <v>0</v>
      </c>
      <c r="BO331" s="208">
        <v>4352657.9684166871</v>
      </c>
      <c r="BP331" s="208">
        <v>0</v>
      </c>
      <c r="BQ331" s="208">
        <v>43924.5550583125</v>
      </c>
      <c r="BR331" s="208">
        <v>378332</v>
      </c>
      <c r="BS331" s="208">
        <v>0</v>
      </c>
      <c r="BT331" s="208">
        <v>3799</v>
      </c>
      <c r="BU331" s="208">
        <v>3991950</v>
      </c>
      <c r="BV331" s="208">
        <v>0</v>
      </c>
      <c r="BW331" s="208">
        <v>40280</v>
      </c>
      <c r="BX331" s="208">
        <v>739040</v>
      </c>
      <c r="BY331" s="208">
        <v>0</v>
      </c>
      <c r="BZ331" s="208">
        <v>7444</v>
      </c>
      <c r="CA331" s="208">
        <v>61056.954749999997</v>
      </c>
      <c r="CB331" s="208">
        <v>0</v>
      </c>
      <c r="CC331" s="208">
        <v>616.73691666666673</v>
      </c>
      <c r="CD331" s="208">
        <v>30381</v>
      </c>
      <c r="CE331" s="208">
        <v>0</v>
      </c>
      <c r="CF331" s="208">
        <v>307</v>
      </c>
      <c r="CG331" s="208">
        <v>30676</v>
      </c>
      <c r="CH331" s="208">
        <v>0</v>
      </c>
      <c r="CI331" s="208">
        <v>310</v>
      </c>
      <c r="CJ331" s="208">
        <v>0</v>
      </c>
      <c r="CK331" s="208">
        <v>0</v>
      </c>
      <c r="CL331" s="208">
        <v>0</v>
      </c>
      <c r="CM331" s="208">
        <v>0</v>
      </c>
      <c r="CN331" s="208">
        <v>0</v>
      </c>
      <c r="CO331" s="208">
        <v>0</v>
      </c>
      <c r="CP331" s="208">
        <v>-4541.9034375000001</v>
      </c>
      <c r="CQ331" s="208">
        <v>0</v>
      </c>
      <c r="CR331" s="208">
        <v>-45.877812499999997</v>
      </c>
      <c r="CS331" s="208">
        <v>10286.879625</v>
      </c>
      <c r="CT331" s="208">
        <v>0</v>
      </c>
      <c r="CU331" s="208">
        <v>103.907875</v>
      </c>
      <c r="CV331" s="208">
        <v>0</v>
      </c>
      <c r="CW331" s="208">
        <v>0</v>
      </c>
      <c r="CX331" s="208">
        <v>0</v>
      </c>
      <c r="CY331" s="208">
        <v>10287</v>
      </c>
      <c r="CZ331" s="208">
        <v>0</v>
      </c>
      <c r="DA331" s="208">
        <v>104</v>
      </c>
      <c r="DB331" s="208">
        <v>0</v>
      </c>
      <c r="DC331" s="208">
        <v>0</v>
      </c>
      <c r="DD331" s="208">
        <v>0</v>
      </c>
      <c r="DE331" s="208">
        <v>4277.5920000000006</v>
      </c>
      <c r="DF331" s="208">
        <v>0</v>
      </c>
      <c r="DG331" s="208">
        <v>43.208000000000006</v>
      </c>
      <c r="DH331" s="208">
        <v>4239</v>
      </c>
      <c r="DI331" s="208">
        <v>0</v>
      </c>
      <c r="DJ331" s="208">
        <v>43</v>
      </c>
      <c r="DK331" s="208">
        <v>39</v>
      </c>
      <c r="DL331" s="208">
        <v>0</v>
      </c>
      <c r="DM331" s="208">
        <v>0</v>
      </c>
      <c r="DN331" s="208">
        <v>1519.03125</v>
      </c>
      <c r="DO331" s="208">
        <v>0</v>
      </c>
      <c r="DP331" s="208">
        <v>15.34375</v>
      </c>
      <c r="DQ331" s="208">
        <v>1519</v>
      </c>
      <c r="DR331" s="208">
        <v>0</v>
      </c>
      <c r="DS331" s="208">
        <v>15</v>
      </c>
      <c r="DT331" s="208">
        <v>0</v>
      </c>
      <c r="DU331" s="208">
        <v>0</v>
      </c>
      <c r="DV331" s="208">
        <v>0</v>
      </c>
      <c r="DW331" s="208">
        <v>43048.332937499996</v>
      </c>
      <c r="DX331" s="208">
        <v>0</v>
      </c>
      <c r="DY331" s="208">
        <v>434.83164583333337</v>
      </c>
      <c r="DZ331" s="208">
        <v>50635</v>
      </c>
      <c r="EA331" s="208">
        <v>0</v>
      </c>
      <c r="EB331" s="208">
        <v>511</v>
      </c>
      <c r="EC331" s="208">
        <v>-7587</v>
      </c>
      <c r="ED331" s="208">
        <v>0</v>
      </c>
      <c r="EE331" s="208">
        <v>-76</v>
      </c>
      <c r="EF331" s="208">
        <v>371048.91481250001</v>
      </c>
      <c r="EG331" s="208">
        <v>0</v>
      </c>
      <c r="EH331" s="208">
        <v>3707.8581041666666</v>
      </c>
      <c r="EI331" s="208">
        <v>-10485.836916666667</v>
      </c>
      <c r="EJ331" s="208">
        <v>0</v>
      </c>
      <c r="EK331" s="208">
        <v>-103.39641666666667</v>
      </c>
      <c r="EL331" s="208">
        <v>387539</v>
      </c>
      <c r="EM331" s="208">
        <v>0</v>
      </c>
      <c r="EN331" s="208">
        <v>3915</v>
      </c>
      <c r="EO331" s="208">
        <v>-26976</v>
      </c>
      <c r="EP331" s="208">
        <v>0</v>
      </c>
      <c r="EQ331" s="208">
        <v>-311</v>
      </c>
      <c r="ER331" s="208">
        <v>98232.815166666682</v>
      </c>
      <c r="ES331" s="208">
        <v>0</v>
      </c>
      <c r="ET331" s="208">
        <v>981.91816666666671</v>
      </c>
      <c r="EU331" s="208">
        <v>110383</v>
      </c>
      <c r="EV331" s="208">
        <v>0</v>
      </c>
      <c r="EW331" s="208">
        <v>1115</v>
      </c>
      <c r="EX331" s="208">
        <v>-12150</v>
      </c>
      <c r="EY331" s="208">
        <v>0</v>
      </c>
      <c r="EZ331" s="208">
        <v>-133</v>
      </c>
      <c r="FA331" s="208">
        <v>0</v>
      </c>
      <c r="FB331" s="208">
        <v>0</v>
      </c>
      <c r="FC331" s="208">
        <v>0</v>
      </c>
      <c r="FD331" s="208">
        <v>0</v>
      </c>
      <c r="FE331" s="208">
        <v>0</v>
      </c>
      <c r="FF331" s="208">
        <v>0</v>
      </c>
      <c r="FG331" s="208">
        <v>0</v>
      </c>
      <c r="FH331" s="208">
        <v>0</v>
      </c>
      <c r="FI331" s="208">
        <v>0</v>
      </c>
      <c r="FJ331" s="208">
        <v>2338428.4430833329</v>
      </c>
      <c r="FK331" s="208">
        <v>0</v>
      </c>
      <c r="FL331" s="208">
        <v>23531.661083333332</v>
      </c>
      <c r="FM331" s="208">
        <v>2287501</v>
      </c>
      <c r="FN331" s="208">
        <v>0</v>
      </c>
      <c r="FO331" s="208">
        <v>23009</v>
      </c>
      <c r="FP331" s="208">
        <v>50927</v>
      </c>
      <c r="FQ331" s="208">
        <v>0</v>
      </c>
      <c r="FR331" s="208">
        <v>523</v>
      </c>
      <c r="FS331" s="208">
        <v>0</v>
      </c>
      <c r="FT331" s="208">
        <v>0</v>
      </c>
      <c r="FU331" s="208">
        <v>0</v>
      </c>
      <c r="FV331" s="208">
        <v>0</v>
      </c>
      <c r="FW331" s="208">
        <v>0</v>
      </c>
      <c r="FX331" s="208">
        <v>0</v>
      </c>
      <c r="FY331" s="208">
        <v>0</v>
      </c>
      <c r="FZ331" s="208">
        <v>0</v>
      </c>
      <c r="GA331" s="208">
        <v>0</v>
      </c>
      <c r="GB331" s="208">
        <v>7643861</v>
      </c>
      <c r="GC331" s="208">
        <v>0</v>
      </c>
      <c r="GD331" s="208">
        <v>77011</v>
      </c>
      <c r="GE331" s="664">
        <v>0</v>
      </c>
      <c r="GF331" s="664">
        <v>0.99</v>
      </c>
      <c r="GG331" s="664">
        <v>0</v>
      </c>
      <c r="GH331" s="664">
        <v>0.01</v>
      </c>
      <c r="GI331" s="187" t="s">
        <v>742</v>
      </c>
    </row>
    <row r="332" spans="1:191" s="187" customFormat="1" x14ac:dyDescent="0.2">
      <c r="A332" s="187" t="s">
        <v>1827</v>
      </c>
      <c r="B332" s="429" t="s">
        <v>1046</v>
      </c>
      <c r="C332" s="429" t="s">
        <v>1040</v>
      </c>
      <c r="D332" s="208">
        <v>8973161</v>
      </c>
      <c r="E332" s="208">
        <v>-4430063</v>
      </c>
      <c r="F332" s="208">
        <v>4543098</v>
      </c>
      <c r="G332" s="208">
        <v>-21553244.080000013</v>
      </c>
      <c r="H332" s="208">
        <v>-6858358.5899999999</v>
      </c>
      <c r="I332" s="208">
        <v>-28411602.670000002</v>
      </c>
      <c r="J332" s="208">
        <v>30526405.080000002</v>
      </c>
      <c r="K332" s="208">
        <v>2428295.59</v>
      </c>
      <c r="L332" s="208">
        <v>32954700.670000002</v>
      </c>
      <c r="M332" s="208">
        <v>84012718</v>
      </c>
      <c r="N332" s="208">
        <v>84000002</v>
      </c>
      <c r="O332" s="208">
        <v>12716</v>
      </c>
      <c r="P332" s="208">
        <v>52398872</v>
      </c>
      <c r="Q332" s="208">
        <v>48082191</v>
      </c>
      <c r="R332" s="208">
        <v>4316681</v>
      </c>
      <c r="S332" s="208">
        <v>61765120</v>
      </c>
      <c r="T332" s="208">
        <v>3068772.74</v>
      </c>
      <c r="U332" s="208">
        <v>56633458</v>
      </c>
      <c r="V332" s="208">
        <v>2774662</v>
      </c>
      <c r="W332" s="208">
        <v>5131662</v>
      </c>
      <c r="X332" s="208">
        <v>294110.74000000005</v>
      </c>
      <c r="Y332" s="208">
        <v>10156.000000000002</v>
      </c>
      <c r="Z332" s="208">
        <v>14980.099999999999</v>
      </c>
      <c r="AA332" s="208">
        <v>253.9</v>
      </c>
      <c r="AB332" s="208">
        <v>0</v>
      </c>
      <c r="AC332" s="208">
        <v>0</v>
      </c>
      <c r="AD332" s="208">
        <v>0</v>
      </c>
      <c r="AE332" s="208">
        <v>10156</v>
      </c>
      <c r="AF332" s="208">
        <v>14980</v>
      </c>
      <c r="AG332" s="208">
        <v>254</v>
      </c>
      <c r="AH332" s="208">
        <v>9024851</v>
      </c>
      <c r="AI332" s="208">
        <v>9022946.0440624971</v>
      </c>
      <c r="AJ332" s="208">
        <v>0</v>
      </c>
      <c r="AK332" s="208">
        <v>1903.4944791666667</v>
      </c>
      <c r="AL332" s="208">
        <v>7085500</v>
      </c>
      <c r="AM332" s="208">
        <v>7083084</v>
      </c>
      <c r="AN332" s="208">
        <v>0</v>
      </c>
      <c r="AO332" s="208">
        <v>2416</v>
      </c>
      <c r="AP332" s="208">
        <v>1939351</v>
      </c>
      <c r="AQ332" s="208">
        <v>1939863</v>
      </c>
      <c r="AR332" s="208">
        <v>0</v>
      </c>
      <c r="AS332" s="208">
        <v>-512</v>
      </c>
      <c r="AT332" s="208">
        <v>3213589</v>
      </c>
      <c r="AU332" s="208">
        <v>3149317.22</v>
      </c>
      <c r="AV332" s="208">
        <v>0</v>
      </c>
      <c r="AW332" s="208">
        <v>64271.78</v>
      </c>
      <c r="AX332" s="208">
        <v>4139079</v>
      </c>
      <c r="AY332" s="208">
        <v>4056298</v>
      </c>
      <c r="AZ332" s="208">
        <v>0</v>
      </c>
      <c r="BA332" s="208">
        <v>82781</v>
      </c>
      <c r="BB332" s="208">
        <v>-925490</v>
      </c>
      <c r="BC332" s="208">
        <v>-906981</v>
      </c>
      <c r="BD332" s="208">
        <v>0</v>
      </c>
      <c r="BE332" s="208">
        <v>-18509</v>
      </c>
      <c r="BF332" s="208">
        <v>382238</v>
      </c>
      <c r="BG332" s="208">
        <v>382238</v>
      </c>
      <c r="BH332" s="208">
        <v>874976.4</v>
      </c>
      <c r="BI332" s="208">
        <v>874976.4</v>
      </c>
      <c r="BJ332" s="208">
        <v>-492738</v>
      </c>
      <c r="BK332" s="208">
        <v>-492738</v>
      </c>
      <c r="BL332" s="208">
        <v>-906981</v>
      </c>
      <c r="BM332" s="208">
        <v>0</v>
      </c>
      <c r="BN332" s="208">
        <v>-18509</v>
      </c>
      <c r="BO332" s="208">
        <v>805447836.44003594</v>
      </c>
      <c r="BP332" s="208">
        <v>181712009.94336176</v>
      </c>
      <c r="BQ332" s="208">
        <v>8923438.675361434</v>
      </c>
      <c r="BR332" s="208">
        <v>54844152</v>
      </c>
      <c r="BS332" s="208">
        <v>13567074</v>
      </c>
      <c r="BT332" s="208">
        <v>573029</v>
      </c>
      <c r="BU332" s="208">
        <v>759749502</v>
      </c>
      <c r="BV332" s="208">
        <v>171104786</v>
      </c>
      <c r="BW332" s="208">
        <v>8454349</v>
      </c>
      <c r="BX332" s="208">
        <v>100542483</v>
      </c>
      <c r="BY332" s="208">
        <v>24174301</v>
      </c>
      <c r="BZ332" s="208">
        <v>1042120</v>
      </c>
      <c r="CA332" s="208">
        <v>3036933.1920212493</v>
      </c>
      <c r="CB332" s="208">
        <v>539107.24372437515</v>
      </c>
      <c r="CC332" s="208">
        <v>39105.96924395833</v>
      </c>
      <c r="CD332" s="208">
        <v>1760753</v>
      </c>
      <c r="CE332" s="208">
        <v>323944</v>
      </c>
      <c r="CF332" s="208">
        <v>22090</v>
      </c>
      <c r="CG332" s="208">
        <v>1276179</v>
      </c>
      <c r="CH332" s="208">
        <v>215162</v>
      </c>
      <c r="CI332" s="208">
        <v>17014</v>
      </c>
      <c r="CJ332" s="208">
        <v>-218290.79514583337</v>
      </c>
      <c r="CK332" s="208">
        <v>1454.8739166666683</v>
      </c>
      <c r="CL332" s="208">
        <v>-2893.7391875000008</v>
      </c>
      <c r="CM332" s="208">
        <v>-50115.018113333324</v>
      </c>
      <c r="CN332" s="208">
        <v>-16763.371037291665</v>
      </c>
      <c r="CO332" s="208">
        <v>-194.09813062499995</v>
      </c>
      <c r="CP332" s="208">
        <v>-230089.88725833321</v>
      </c>
      <c r="CQ332" s="208">
        <v>-57792.146506458317</v>
      </c>
      <c r="CR332" s="208">
        <v>-2456.8329643750003</v>
      </c>
      <c r="CS332" s="208">
        <v>10304.453333333333</v>
      </c>
      <c r="CT332" s="208">
        <v>2976.2476458333331</v>
      </c>
      <c r="CU332" s="208">
        <v>-115.76347916666667</v>
      </c>
      <c r="CV332" s="208">
        <v>0</v>
      </c>
      <c r="CW332" s="208">
        <v>0</v>
      </c>
      <c r="CX332" s="208">
        <v>0</v>
      </c>
      <c r="CY332" s="208">
        <v>10305</v>
      </c>
      <c r="CZ332" s="208">
        <v>2976</v>
      </c>
      <c r="DA332" s="208">
        <v>-116</v>
      </c>
      <c r="DB332" s="208">
        <v>-31999.585695208334</v>
      </c>
      <c r="DC332" s="208">
        <v>-6225.5749662500002</v>
      </c>
      <c r="DD332" s="208">
        <v>-247.30289062500009</v>
      </c>
      <c r="DE332" s="208">
        <v>2162140.6481916667</v>
      </c>
      <c r="DF332" s="208">
        <v>739287.0335331253</v>
      </c>
      <c r="DG332" s="208">
        <v>25627.35946270834</v>
      </c>
      <c r="DH332" s="208">
        <v>2188083</v>
      </c>
      <c r="DI332" s="208">
        <v>758041</v>
      </c>
      <c r="DJ332" s="208">
        <v>26426</v>
      </c>
      <c r="DK332" s="208">
        <v>-25948</v>
      </c>
      <c r="DL332" s="208">
        <v>-18758</v>
      </c>
      <c r="DM332" s="208">
        <v>-800</v>
      </c>
      <c r="DN332" s="208">
        <v>143054.04159562499</v>
      </c>
      <c r="DO332" s="208">
        <v>40034.329437499997</v>
      </c>
      <c r="DP332" s="208">
        <v>1733.8643106249997</v>
      </c>
      <c r="DQ332" s="208">
        <v>131610</v>
      </c>
      <c r="DR332" s="208">
        <v>41799</v>
      </c>
      <c r="DS332" s="208">
        <v>1524</v>
      </c>
      <c r="DT332" s="208">
        <v>11456</v>
      </c>
      <c r="DU332" s="208">
        <v>-1777</v>
      </c>
      <c r="DV332" s="208">
        <v>198</v>
      </c>
      <c r="DW332" s="208">
        <v>8778093.263691254</v>
      </c>
      <c r="DX332" s="208">
        <v>2960692.9865787495</v>
      </c>
      <c r="DY332" s="208">
        <v>73777.163271666635</v>
      </c>
      <c r="DZ332" s="208">
        <v>9682300</v>
      </c>
      <c r="EA332" s="208">
        <v>3501981</v>
      </c>
      <c r="EB332" s="208">
        <v>77558</v>
      </c>
      <c r="EC332" s="208">
        <v>-904207</v>
      </c>
      <c r="ED332" s="208">
        <v>-541292</v>
      </c>
      <c r="EE332" s="208">
        <v>-3773</v>
      </c>
      <c r="EF332" s="208">
        <v>48100259.264718764</v>
      </c>
      <c r="EG332" s="208">
        <v>17297294.206145827</v>
      </c>
      <c r="EH332" s="208">
        <v>330328.59188541659</v>
      </c>
      <c r="EI332" s="208">
        <v>1329622.6055466661</v>
      </c>
      <c r="EJ332" s="208">
        <v>528113.79914187524</v>
      </c>
      <c r="EK332" s="208">
        <v>307.89229062499965</v>
      </c>
      <c r="EL332" s="208">
        <v>50761848</v>
      </c>
      <c r="EM332" s="208">
        <v>18086389</v>
      </c>
      <c r="EN332" s="208">
        <v>359166</v>
      </c>
      <c r="EO332" s="208">
        <v>-1331967</v>
      </c>
      <c r="EP332" s="208">
        <v>-260973</v>
      </c>
      <c r="EQ332" s="208">
        <v>-28529</v>
      </c>
      <c r="ER332" s="208">
        <v>10053394.896638338</v>
      </c>
      <c r="ES332" s="208">
        <v>2473656.5269999993</v>
      </c>
      <c r="ET332" s="208">
        <v>121306.21409083331</v>
      </c>
      <c r="EU332" s="208">
        <v>10885318</v>
      </c>
      <c r="EV332" s="208">
        <v>2612751</v>
      </c>
      <c r="EW332" s="208">
        <v>129989</v>
      </c>
      <c r="EX332" s="208">
        <v>-831930</v>
      </c>
      <c r="EY332" s="208">
        <v>-139090</v>
      </c>
      <c r="EZ332" s="208">
        <v>-8687</v>
      </c>
      <c r="FA332" s="208">
        <v>0</v>
      </c>
      <c r="FB332" s="208">
        <v>0</v>
      </c>
      <c r="FC332" s="208">
        <v>0</v>
      </c>
      <c r="FD332" s="208">
        <v>0</v>
      </c>
      <c r="FE332" s="208">
        <v>0</v>
      </c>
      <c r="FF332" s="208">
        <v>0</v>
      </c>
      <c r="FG332" s="208">
        <v>0</v>
      </c>
      <c r="FH332" s="208">
        <v>0</v>
      </c>
      <c r="FI332" s="208">
        <v>0</v>
      </c>
      <c r="FJ332" s="208">
        <v>358263728.35530508</v>
      </c>
      <c r="FK332" s="208">
        <v>110055303.2944406</v>
      </c>
      <c r="FL332" s="208">
        <v>2944193.2703791684</v>
      </c>
      <c r="FM332" s="208">
        <v>355127060</v>
      </c>
      <c r="FN332" s="208">
        <v>108379543</v>
      </c>
      <c r="FO332" s="208">
        <v>2926286</v>
      </c>
      <c r="FP332" s="208">
        <v>3136663</v>
      </c>
      <c r="FQ332" s="208">
        <v>1675764</v>
      </c>
      <c r="FR332" s="208">
        <v>17904</v>
      </c>
      <c r="FS332" s="208">
        <v>8978413.9295833334</v>
      </c>
      <c r="FT332" s="208">
        <v>1607212.1904166667</v>
      </c>
      <c r="FU332" s="208">
        <v>29331.521666666671</v>
      </c>
      <c r="FV332" s="208">
        <v>6518039.3799999999</v>
      </c>
      <c r="FW332" s="208">
        <v>943057.04</v>
      </c>
      <c r="FX332" s="208">
        <v>18318.580000000002</v>
      </c>
      <c r="FY332" s="208">
        <v>2460373</v>
      </c>
      <c r="FZ332" s="208">
        <v>664155</v>
      </c>
      <c r="GA332" s="208">
        <v>11014</v>
      </c>
      <c r="GB332" s="208">
        <v>1300617434</v>
      </c>
      <c r="GC332" s="208">
        <v>331443435</v>
      </c>
      <c r="GD332" s="208">
        <v>13056253</v>
      </c>
    </row>
    <row r="333" spans="1:191" s="185" customFormat="1" x14ac:dyDescent="0.2">
      <c r="A333" s="187"/>
      <c r="B333" s="672" t="s">
        <v>1820</v>
      </c>
      <c r="C333" s="672"/>
      <c r="D333" s="677"/>
      <c r="E333" s="678"/>
      <c r="F333" s="678"/>
      <c r="G333" s="679" t="s">
        <v>1822</v>
      </c>
      <c r="H333" s="678"/>
      <c r="I333" s="678"/>
      <c r="J333" s="678"/>
      <c r="K333" s="670"/>
      <c r="L333" s="670"/>
      <c r="M333" s="670"/>
      <c r="N333" s="670"/>
      <c r="O333" s="670"/>
      <c r="P333" s="670"/>
      <c r="Q333" s="670"/>
    </row>
    <row r="334" spans="1:191" s="185" customFormat="1" x14ac:dyDescent="0.2">
      <c r="A334" s="674"/>
      <c r="B334" s="672" t="s">
        <v>1826</v>
      </c>
      <c r="C334" s="672"/>
      <c r="D334" s="677"/>
      <c r="E334" s="678"/>
      <c r="F334" s="678"/>
      <c r="G334" s="675" t="s">
        <v>1825</v>
      </c>
      <c r="H334" s="678"/>
      <c r="I334" s="678"/>
      <c r="J334" s="678"/>
      <c r="K334" s="670"/>
      <c r="L334" s="670"/>
      <c r="M334" s="670"/>
      <c r="N334" s="670"/>
      <c r="O334" s="670"/>
      <c r="P334" s="670"/>
      <c r="Q334" s="670"/>
    </row>
    <row r="335" spans="1:191" x14ac:dyDescent="0.2">
      <c r="A335" s="674"/>
      <c r="B335" s="185"/>
    </row>
    <row r="336" spans="1:191" x14ac:dyDescent="0.2">
      <c r="A336" s="671"/>
    </row>
  </sheetData>
  <autoFilter ref="A5:GI334" xr:uid="{8D45879C-94AB-4C32-B2AD-D729C16D9911}"/>
  <mergeCells count="60">
    <mergeCell ref="AP2:AS2"/>
    <mergeCell ref="D2:F2"/>
    <mergeCell ref="G2:I2"/>
    <mergeCell ref="J2:L2"/>
    <mergeCell ref="S2:T2"/>
    <mergeCell ref="U2:V2"/>
    <mergeCell ref="W2:X2"/>
    <mergeCell ref="Y2:AA2"/>
    <mergeCell ref="AB2:AD2"/>
    <mergeCell ref="AE2:AG2"/>
    <mergeCell ref="AH2:AK2"/>
    <mergeCell ref="AL2:AO2"/>
    <mergeCell ref="CA2:CC2"/>
    <mergeCell ref="AT2:AW2"/>
    <mergeCell ref="AX2:BA2"/>
    <mergeCell ref="BB2:BE2"/>
    <mergeCell ref="BF2:BG2"/>
    <mergeCell ref="BH2:BI2"/>
    <mergeCell ref="BJ2:BK2"/>
    <mergeCell ref="BL2:BN2"/>
    <mergeCell ref="BO2:BQ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EU2:EW2"/>
    <mergeCell ref="DN2:DP2"/>
    <mergeCell ref="DQ2:DS2"/>
    <mergeCell ref="DT2:DV2"/>
    <mergeCell ref="DW2:DY2"/>
    <mergeCell ref="DZ2:EB2"/>
    <mergeCell ref="EC2:EE2"/>
    <mergeCell ref="EF2:EH2"/>
    <mergeCell ref="EI2:EK2"/>
    <mergeCell ref="EL2:EN2"/>
    <mergeCell ref="EO2:EQ2"/>
    <mergeCell ref="ER2:ET2"/>
    <mergeCell ref="GE2:GH2"/>
    <mergeCell ref="EX2:EZ2"/>
    <mergeCell ref="FA2:FC2"/>
    <mergeCell ref="FD2:FF2"/>
    <mergeCell ref="FG2:FI2"/>
    <mergeCell ref="FJ2:FL2"/>
    <mergeCell ref="FM2:FO2"/>
    <mergeCell ref="FP2:FR2"/>
    <mergeCell ref="FS2:FU2"/>
    <mergeCell ref="FV2:FX2"/>
    <mergeCell ref="FY2:GA2"/>
    <mergeCell ref="GB2:G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69F2-AD41-48FE-A0F4-5B095AD6F54A}">
  <dimension ref="A1:FC336"/>
  <sheetViews>
    <sheetView topLeftCell="B1" workbookViewId="0">
      <selection activeCell="B1" sqref="B1"/>
    </sheetView>
  </sheetViews>
  <sheetFormatPr defaultRowHeight="12.75" x14ac:dyDescent="0.2"/>
  <cols>
    <col min="1" max="1" width="3.7109375" style="187" customWidth="1"/>
    <col min="3" max="3" width="27.5703125" bestFit="1" customWidth="1"/>
    <col min="4" max="4" width="12.7109375" bestFit="1" customWidth="1"/>
    <col min="5" max="5" width="13.85546875" bestFit="1" customWidth="1"/>
    <col min="6" max="6" width="12.7109375" bestFit="1" customWidth="1"/>
    <col min="7" max="7" width="11.5703125" customWidth="1"/>
    <col min="8" max="8" width="13.85546875" bestFit="1" customWidth="1"/>
    <col min="9" max="10" width="10.140625" bestFit="1" customWidth="1"/>
    <col min="11" max="11" width="12.7109375" bestFit="1" customWidth="1"/>
    <col min="12" max="16" width="10.140625" bestFit="1" customWidth="1"/>
    <col min="18" max="18" width="10.140625" bestFit="1" customWidth="1"/>
    <col min="19" max="22" width="6.5703125" bestFit="1" customWidth="1"/>
    <col min="24" max="24" width="3" bestFit="1" customWidth="1"/>
    <col min="25" max="25" width="5.5703125" bestFit="1" customWidth="1"/>
    <col min="28" max="28" width="3" bestFit="1" customWidth="1"/>
    <col min="29" max="29" width="6.5703125" bestFit="1" customWidth="1"/>
    <col min="31" max="32" width="7.5703125" bestFit="1" customWidth="1"/>
    <col min="33" max="33" width="12.7109375" bestFit="1" customWidth="1"/>
    <col min="34" max="34" width="11.140625" bestFit="1" customWidth="1"/>
    <col min="35" max="35" width="10.140625" bestFit="1" customWidth="1"/>
    <col min="36" max="36" width="12.7109375" bestFit="1" customWidth="1"/>
    <col min="37" max="39" width="11.140625" bestFit="1" customWidth="1"/>
    <col min="41" max="41" width="12.7109375" bestFit="1" customWidth="1"/>
    <col min="42" max="42" width="10.7109375" bestFit="1" customWidth="1"/>
    <col min="43" max="44" width="11.7109375" bestFit="1" customWidth="1"/>
    <col min="45" max="45" width="9.7109375" bestFit="1" customWidth="1"/>
    <col min="46" max="49" width="11.7109375" bestFit="1" customWidth="1"/>
    <col min="50" max="50" width="9.7109375" bestFit="1" customWidth="1"/>
    <col min="51" max="51" width="11.7109375" bestFit="1" customWidth="1"/>
    <col min="52" max="52" width="10.140625" bestFit="1" customWidth="1"/>
    <col min="53" max="53" width="11.140625" bestFit="1" customWidth="1"/>
    <col min="54" max="54" width="10.140625" bestFit="1" customWidth="1"/>
    <col min="56" max="56" width="11.140625" bestFit="1" customWidth="1"/>
    <col min="57" max="57" width="10.7109375" bestFit="1" customWidth="1"/>
    <col min="58" max="58" width="11.7109375" bestFit="1" customWidth="1"/>
    <col min="59" max="59" width="10.7109375" bestFit="1" customWidth="1"/>
    <col min="60" max="60" width="9.7109375" bestFit="1" customWidth="1"/>
    <col min="61" max="64" width="11.7109375" bestFit="1" customWidth="1"/>
    <col min="65" max="65" width="9.7109375" bestFit="1" customWidth="1"/>
    <col min="66" max="67" width="11.7109375" bestFit="1" customWidth="1"/>
    <col min="68" max="68" width="13.42578125" bestFit="1" customWidth="1"/>
    <col min="69" max="69" width="11.7109375" bestFit="1" customWidth="1"/>
    <col min="70" max="70" width="10.7109375" bestFit="1" customWidth="1"/>
    <col min="71" max="71" width="13.42578125" bestFit="1" customWidth="1"/>
    <col min="72" max="74" width="11.7109375" bestFit="1" customWidth="1"/>
    <col min="75" max="75" width="9.7109375" bestFit="1" customWidth="1"/>
    <col min="76" max="76" width="13.42578125" bestFit="1" customWidth="1"/>
    <col min="77" max="79" width="11.7109375" bestFit="1" customWidth="1"/>
    <col min="80" max="80" width="9.7109375" bestFit="1" customWidth="1"/>
    <col min="81" max="81" width="13.42578125" bestFit="1" customWidth="1"/>
    <col min="82" max="82" width="10.140625" bestFit="1" customWidth="1"/>
    <col min="83" max="83" width="11.140625" bestFit="1" customWidth="1"/>
    <col min="84" max="84" width="10.140625" bestFit="1" customWidth="1"/>
    <col min="86" max="86" width="11.140625" bestFit="1" customWidth="1"/>
    <col min="87" max="87" width="10.140625" bestFit="1" customWidth="1"/>
    <col min="88" max="88" width="11.140625" bestFit="1" customWidth="1"/>
    <col min="89" max="89" width="10.140625" bestFit="1" customWidth="1"/>
    <col min="90" max="90" width="7.5703125" bestFit="1" customWidth="1"/>
    <col min="91" max="91" width="11.140625" bestFit="1" customWidth="1"/>
    <col min="92" max="93" width="10.7109375" bestFit="1" customWidth="1"/>
    <col min="94" max="94" width="10.140625" bestFit="1" customWidth="1"/>
    <col min="95" max="95" width="8.140625" bestFit="1" customWidth="1"/>
    <col min="96" max="96" width="10.7109375" bestFit="1" customWidth="1"/>
    <col min="97" max="99" width="11.7109375" bestFit="1" customWidth="1"/>
    <col min="100" max="100" width="9.7109375" bestFit="1" customWidth="1"/>
    <col min="101" max="102" width="11.7109375" bestFit="1" customWidth="1"/>
    <col min="103" max="103" width="13.42578125" bestFit="1" customWidth="1"/>
    <col min="104" max="104" width="11.7109375" bestFit="1" customWidth="1"/>
    <col min="105" max="105" width="10.7109375" bestFit="1" customWidth="1"/>
    <col min="106" max="106" width="13.42578125" bestFit="1" customWidth="1"/>
    <col min="107" max="109" width="11.7109375" bestFit="1" customWidth="1"/>
    <col min="110" max="110" width="9.7109375" bestFit="1" customWidth="1"/>
    <col min="111" max="112" width="11.7109375" bestFit="1" customWidth="1"/>
    <col min="113" max="113" width="13.42578125" bestFit="1" customWidth="1"/>
    <col min="114" max="114" width="11.7109375" bestFit="1" customWidth="1"/>
    <col min="115" max="115" width="10.7109375" bestFit="1" customWidth="1"/>
    <col min="116" max="116" width="13.42578125" bestFit="1" customWidth="1"/>
    <col min="117" max="117" width="11.140625" bestFit="1" customWidth="1"/>
    <col min="118" max="119" width="10.7109375" bestFit="1" customWidth="1"/>
    <col min="120" max="120" width="9.7109375" bestFit="1" customWidth="1"/>
    <col min="121" max="122" width="11.140625" bestFit="1" customWidth="1"/>
    <col min="123" max="124" width="10.7109375" bestFit="1" customWidth="1"/>
    <col min="125" max="125" width="8.140625" bestFit="1" customWidth="1"/>
    <col min="126" max="126" width="11.140625" bestFit="1" customWidth="1"/>
    <col min="127" max="127" width="11.7109375" bestFit="1" customWidth="1"/>
    <col min="128" max="129" width="10.7109375" bestFit="1" customWidth="1"/>
    <col min="130" max="130" width="8.140625" bestFit="1" customWidth="1"/>
    <col min="131" max="131" width="11.7109375" bestFit="1" customWidth="1"/>
    <col min="132" max="132" width="12.7109375" bestFit="1" customWidth="1"/>
    <col min="133" max="133" width="13.85546875" bestFit="1" customWidth="1"/>
    <col min="134" max="134" width="12.7109375" bestFit="1" customWidth="1"/>
    <col min="135" max="135" width="11.140625" bestFit="1" customWidth="1"/>
    <col min="136" max="136" width="13.85546875" bestFit="1" customWidth="1"/>
    <col min="137" max="137" width="12.7109375" bestFit="1" customWidth="1"/>
    <col min="138" max="138" width="13.85546875" bestFit="1" customWidth="1"/>
    <col min="139" max="139" width="12.7109375" bestFit="1" customWidth="1"/>
    <col min="140" max="140" width="11.140625" bestFit="1" customWidth="1"/>
    <col min="141" max="141" width="13.85546875" bestFit="1" customWidth="1"/>
    <col min="142" max="142" width="9.7109375" bestFit="1" customWidth="1"/>
    <col min="143" max="143" width="11.140625" bestFit="1" customWidth="1"/>
    <col min="144" max="144" width="10.140625" bestFit="1" customWidth="1"/>
    <col min="145" max="145" width="8.140625" bestFit="1" customWidth="1"/>
    <col min="146" max="146" width="11.140625" bestFit="1" customWidth="1"/>
    <col min="147" max="147" width="11.7109375" bestFit="1" customWidth="1"/>
    <col min="148" max="148" width="10.7109375" bestFit="1" customWidth="1"/>
    <col min="149" max="149" width="10.140625" bestFit="1" customWidth="1"/>
    <col min="150" max="150" width="8.140625" bestFit="1" customWidth="1"/>
    <col min="151" max="151" width="10.7109375" bestFit="1" customWidth="1"/>
    <col min="152" max="152" width="4.7109375" bestFit="1" customWidth="1"/>
    <col min="153" max="153" width="5.7109375" bestFit="1" customWidth="1"/>
    <col min="154" max="154" width="4.7109375" bestFit="1" customWidth="1"/>
    <col min="155" max="155" width="4" bestFit="1" customWidth="1"/>
    <col min="156" max="156" width="5.7109375" bestFit="1" customWidth="1"/>
  </cols>
  <sheetData>
    <row r="1" spans="1:159" s="187" customFormat="1" x14ac:dyDescent="0.2">
      <c r="D1" s="187">
        <v>3</v>
      </c>
      <c r="E1" s="187">
        <v>4</v>
      </c>
      <c r="F1" s="187">
        <v>5</v>
      </c>
      <c r="G1" s="187">
        <v>6</v>
      </c>
      <c r="H1" s="187">
        <v>7</v>
      </c>
      <c r="I1" s="187">
        <v>8</v>
      </c>
      <c r="J1" s="187">
        <v>9</v>
      </c>
      <c r="K1" s="187">
        <v>10</v>
      </c>
      <c r="L1" s="187">
        <v>11</v>
      </c>
      <c r="M1" s="187">
        <v>12</v>
      </c>
      <c r="N1" s="187">
        <v>13</v>
      </c>
      <c r="O1" s="187">
        <v>14</v>
      </c>
      <c r="P1" s="187">
        <v>15</v>
      </c>
      <c r="Q1" s="187">
        <v>16</v>
      </c>
      <c r="R1" s="187">
        <v>17</v>
      </c>
      <c r="S1" s="187">
        <v>18</v>
      </c>
      <c r="T1" s="187">
        <v>19</v>
      </c>
      <c r="U1" s="187">
        <v>20</v>
      </c>
      <c r="V1" s="187">
        <v>21</v>
      </c>
      <c r="W1" s="187">
        <v>22</v>
      </c>
      <c r="X1" s="187">
        <v>23</v>
      </c>
      <c r="Y1" s="187">
        <v>24</v>
      </c>
      <c r="Z1" s="187">
        <v>25</v>
      </c>
      <c r="AA1" s="187">
        <v>26</v>
      </c>
      <c r="AB1" s="187">
        <v>27</v>
      </c>
      <c r="AC1" s="187">
        <v>28</v>
      </c>
      <c r="AD1" s="187">
        <v>29</v>
      </c>
      <c r="AE1" s="187">
        <v>30</v>
      </c>
      <c r="AF1" s="187">
        <v>31</v>
      </c>
      <c r="AG1" s="187">
        <v>32</v>
      </c>
      <c r="AH1" s="187">
        <v>33</v>
      </c>
      <c r="AI1" s="187">
        <v>34</v>
      </c>
      <c r="AJ1" s="187">
        <v>35</v>
      </c>
      <c r="AK1" s="187">
        <v>36</v>
      </c>
      <c r="AL1" s="187">
        <v>37</v>
      </c>
      <c r="AM1" s="187">
        <v>38</v>
      </c>
      <c r="AN1" s="187">
        <v>39</v>
      </c>
      <c r="AO1" s="187">
        <v>40</v>
      </c>
      <c r="AP1" s="187">
        <v>41</v>
      </c>
      <c r="AQ1" s="187">
        <v>42</v>
      </c>
      <c r="AR1" s="187">
        <v>43</v>
      </c>
      <c r="AS1" s="187">
        <v>44</v>
      </c>
      <c r="AT1" s="187">
        <v>45</v>
      </c>
      <c r="AU1" s="187">
        <v>46</v>
      </c>
      <c r="AV1" s="187">
        <v>47</v>
      </c>
      <c r="AW1" s="187">
        <v>48</v>
      </c>
      <c r="AX1" s="187">
        <v>49</v>
      </c>
      <c r="AY1" s="187">
        <v>50</v>
      </c>
      <c r="AZ1" s="187">
        <v>51</v>
      </c>
      <c r="BA1" s="187">
        <v>52</v>
      </c>
      <c r="BB1" s="187">
        <v>53</v>
      </c>
      <c r="BC1" s="187">
        <v>54</v>
      </c>
      <c r="BD1" s="187">
        <v>55</v>
      </c>
      <c r="BE1" s="187">
        <v>56</v>
      </c>
      <c r="BF1" s="187">
        <v>57</v>
      </c>
      <c r="BG1" s="187">
        <v>58</v>
      </c>
      <c r="BH1" s="187">
        <v>59</v>
      </c>
      <c r="BI1" s="187">
        <v>60</v>
      </c>
      <c r="BJ1" s="187">
        <v>61</v>
      </c>
      <c r="BK1" s="187">
        <v>62</v>
      </c>
      <c r="BL1" s="187">
        <v>63</v>
      </c>
      <c r="BM1" s="187">
        <v>64</v>
      </c>
      <c r="BN1" s="187">
        <v>65</v>
      </c>
      <c r="BO1" s="187">
        <v>66</v>
      </c>
      <c r="BP1" s="187">
        <v>67</v>
      </c>
      <c r="BQ1" s="187">
        <v>68</v>
      </c>
      <c r="BR1" s="187">
        <v>69</v>
      </c>
      <c r="BS1" s="187">
        <v>70</v>
      </c>
      <c r="BT1" s="187">
        <v>71</v>
      </c>
      <c r="BU1" s="187">
        <v>72</v>
      </c>
      <c r="BV1" s="187">
        <v>73</v>
      </c>
      <c r="BW1" s="187">
        <v>74</v>
      </c>
      <c r="BX1" s="187">
        <v>75</v>
      </c>
      <c r="BY1" s="187">
        <v>76</v>
      </c>
      <c r="BZ1" s="187">
        <v>77</v>
      </c>
      <c r="CA1" s="187">
        <v>78</v>
      </c>
      <c r="CB1" s="187">
        <v>79</v>
      </c>
      <c r="CC1" s="187">
        <v>80</v>
      </c>
      <c r="CD1" s="187">
        <v>81</v>
      </c>
      <c r="CE1" s="187">
        <v>82</v>
      </c>
      <c r="CF1" s="187">
        <v>83</v>
      </c>
      <c r="CG1" s="187">
        <v>84</v>
      </c>
      <c r="CH1" s="187">
        <v>85</v>
      </c>
      <c r="CI1" s="187">
        <v>86</v>
      </c>
      <c r="CJ1" s="187">
        <v>87</v>
      </c>
      <c r="CK1" s="187">
        <v>88</v>
      </c>
      <c r="CL1" s="187">
        <v>89</v>
      </c>
      <c r="CM1" s="187">
        <v>90</v>
      </c>
      <c r="CN1" s="187">
        <v>91</v>
      </c>
      <c r="CO1" s="187">
        <v>92</v>
      </c>
      <c r="CP1" s="187">
        <v>93</v>
      </c>
      <c r="CQ1" s="187">
        <v>94</v>
      </c>
      <c r="CR1" s="187">
        <v>95</v>
      </c>
      <c r="CS1" s="187">
        <v>96</v>
      </c>
      <c r="CT1" s="187">
        <v>97</v>
      </c>
      <c r="CU1" s="187">
        <v>98</v>
      </c>
      <c r="CV1" s="187">
        <v>99</v>
      </c>
      <c r="CW1" s="187">
        <v>100</v>
      </c>
      <c r="CX1" s="187">
        <v>101</v>
      </c>
      <c r="CY1" s="187">
        <v>102</v>
      </c>
      <c r="CZ1" s="187">
        <v>103</v>
      </c>
      <c r="DA1" s="187">
        <v>104</v>
      </c>
      <c r="DB1" s="187">
        <v>105</v>
      </c>
      <c r="DC1" s="187">
        <v>106</v>
      </c>
      <c r="DD1" s="187">
        <v>107</v>
      </c>
      <c r="DE1" s="187">
        <v>108</v>
      </c>
      <c r="DF1" s="187">
        <v>109</v>
      </c>
      <c r="DG1" s="187">
        <v>110</v>
      </c>
      <c r="DH1" s="187">
        <v>111</v>
      </c>
      <c r="DI1" s="187">
        <v>112</v>
      </c>
      <c r="DJ1" s="187">
        <v>113</v>
      </c>
      <c r="DK1" s="187">
        <v>114</v>
      </c>
      <c r="DL1" s="187">
        <v>115</v>
      </c>
      <c r="DM1" s="187">
        <v>116</v>
      </c>
      <c r="DN1" s="187">
        <v>117</v>
      </c>
      <c r="DO1" s="187">
        <v>118</v>
      </c>
      <c r="DP1" s="187">
        <v>119</v>
      </c>
      <c r="DQ1" s="187">
        <v>120</v>
      </c>
      <c r="DR1" s="187">
        <v>121</v>
      </c>
      <c r="DS1" s="187">
        <v>122</v>
      </c>
      <c r="DT1" s="187">
        <v>123</v>
      </c>
      <c r="DU1" s="187">
        <v>124</v>
      </c>
      <c r="DV1" s="187">
        <v>125</v>
      </c>
      <c r="DW1" s="187">
        <v>126</v>
      </c>
      <c r="DX1" s="187">
        <v>127</v>
      </c>
      <c r="DY1" s="187">
        <v>128</v>
      </c>
      <c r="DZ1" s="187">
        <v>129</v>
      </c>
      <c r="EA1" s="187">
        <v>130</v>
      </c>
      <c r="EB1" s="187">
        <v>131</v>
      </c>
      <c r="EC1" s="187">
        <v>132</v>
      </c>
      <c r="ED1" s="187">
        <v>133</v>
      </c>
      <c r="EE1" s="187">
        <v>134</v>
      </c>
      <c r="EF1" s="187">
        <v>135</v>
      </c>
      <c r="EG1" s="187">
        <v>136</v>
      </c>
      <c r="EH1" s="187">
        <v>137</v>
      </c>
      <c r="EI1" s="187">
        <v>138</v>
      </c>
      <c r="EJ1" s="187">
        <v>139</v>
      </c>
      <c r="EK1" s="187">
        <v>140</v>
      </c>
      <c r="EL1" s="187">
        <v>141</v>
      </c>
      <c r="EM1" s="187">
        <v>142</v>
      </c>
      <c r="EN1" s="187">
        <v>143</v>
      </c>
      <c r="EO1" s="187">
        <v>144</v>
      </c>
      <c r="EP1" s="187">
        <v>145</v>
      </c>
      <c r="EQ1" s="187">
        <v>146</v>
      </c>
      <c r="ER1" s="187">
        <v>147</v>
      </c>
      <c r="ES1" s="187">
        <v>148</v>
      </c>
      <c r="ET1" s="187">
        <v>149</v>
      </c>
      <c r="EU1" s="187">
        <v>150</v>
      </c>
      <c r="EV1" s="187">
        <v>151</v>
      </c>
      <c r="EW1" s="187">
        <v>152</v>
      </c>
      <c r="EX1" s="187">
        <v>153</v>
      </c>
      <c r="EY1" s="187">
        <v>154</v>
      </c>
      <c r="EZ1" s="187">
        <v>155</v>
      </c>
    </row>
    <row r="2" spans="1:159" s="428" customFormat="1" ht="63.75" customHeight="1" x14ac:dyDescent="0.2">
      <c r="A2" s="447"/>
      <c r="B2" s="447"/>
      <c r="C2" s="430"/>
      <c r="D2" s="934" t="s">
        <v>1029</v>
      </c>
      <c r="E2" s="934"/>
      <c r="F2" s="934"/>
      <c r="G2" s="934"/>
      <c r="H2" s="934"/>
      <c r="I2" s="934" t="s">
        <v>1030</v>
      </c>
      <c r="J2" s="934"/>
      <c r="K2" s="691" t="s">
        <v>1376</v>
      </c>
      <c r="L2" s="934" t="s">
        <v>1031</v>
      </c>
      <c r="M2" s="934"/>
      <c r="N2" s="934" t="s">
        <v>1032</v>
      </c>
      <c r="O2" s="934"/>
      <c r="P2" s="934" t="s">
        <v>1033</v>
      </c>
      <c r="Q2" s="934"/>
      <c r="R2" s="934"/>
      <c r="S2" s="935" t="s">
        <v>1613</v>
      </c>
      <c r="T2" s="931"/>
      <c r="U2" s="931"/>
      <c r="V2" s="932"/>
      <c r="W2" s="934" t="s">
        <v>1030</v>
      </c>
      <c r="X2" s="934"/>
      <c r="Y2" s="934"/>
      <c r="Z2" s="934"/>
      <c r="AA2" s="935" t="s">
        <v>1372</v>
      </c>
      <c r="AB2" s="931"/>
      <c r="AC2" s="931"/>
      <c r="AD2" s="932"/>
      <c r="AE2" s="935" t="s">
        <v>1373</v>
      </c>
      <c r="AF2" s="931"/>
      <c r="AG2" s="935" t="s">
        <v>1374</v>
      </c>
      <c r="AH2" s="931"/>
      <c r="AI2" s="931"/>
      <c r="AJ2" s="932"/>
      <c r="AK2" s="934" t="s">
        <v>1034</v>
      </c>
      <c r="AL2" s="934"/>
      <c r="AM2" s="934"/>
      <c r="AN2" s="934"/>
      <c r="AO2" s="934"/>
      <c r="AP2" s="934" t="s">
        <v>1035</v>
      </c>
      <c r="AQ2" s="934"/>
      <c r="AR2" s="934"/>
      <c r="AS2" s="934"/>
      <c r="AT2" s="934"/>
      <c r="AU2" s="934" t="s">
        <v>1375</v>
      </c>
      <c r="AV2" s="934"/>
      <c r="AW2" s="934"/>
      <c r="AX2" s="934"/>
      <c r="AY2" s="934"/>
      <c r="AZ2" s="934" t="s">
        <v>1036</v>
      </c>
      <c r="BA2" s="934"/>
      <c r="BB2" s="934"/>
      <c r="BC2" s="934"/>
      <c r="BD2" s="934"/>
      <c r="BE2" s="934" t="s">
        <v>1037</v>
      </c>
      <c r="BF2" s="934"/>
      <c r="BG2" s="934"/>
      <c r="BH2" s="934"/>
      <c r="BI2" s="934"/>
      <c r="BJ2" s="934" t="s">
        <v>1621</v>
      </c>
      <c r="BK2" s="934"/>
      <c r="BL2" s="934"/>
      <c r="BM2" s="934"/>
      <c r="BN2" s="934"/>
      <c r="BO2" s="934" t="s">
        <v>1622</v>
      </c>
      <c r="BP2" s="934"/>
      <c r="BQ2" s="934"/>
      <c r="BR2" s="934"/>
      <c r="BS2" s="934"/>
      <c r="BT2" s="935" t="s">
        <v>1614</v>
      </c>
      <c r="BU2" s="931"/>
      <c r="BV2" s="931"/>
      <c r="BW2" s="931"/>
      <c r="BX2" s="932"/>
      <c r="BY2" s="935" t="s">
        <v>1615</v>
      </c>
      <c r="BZ2" s="938"/>
      <c r="CA2" s="940"/>
      <c r="CB2" s="940"/>
      <c r="CC2" s="941"/>
      <c r="CD2" s="934" t="s">
        <v>1616</v>
      </c>
      <c r="CE2" s="934"/>
      <c r="CF2" s="934"/>
      <c r="CG2" s="934"/>
      <c r="CH2" s="934"/>
      <c r="CI2" s="935" t="s">
        <v>1617</v>
      </c>
      <c r="CJ2" s="931"/>
      <c r="CK2" s="931"/>
      <c r="CL2" s="931"/>
      <c r="CM2" s="932"/>
      <c r="CN2" s="934" t="s">
        <v>1618</v>
      </c>
      <c r="CO2" s="934"/>
      <c r="CP2" s="934"/>
      <c r="CQ2" s="934"/>
      <c r="CR2" s="934"/>
      <c r="CS2" s="935" t="s">
        <v>1619</v>
      </c>
      <c r="CT2" s="938"/>
      <c r="CU2" s="931"/>
      <c r="CV2" s="931"/>
      <c r="CW2" s="932"/>
      <c r="CX2" s="934" t="s">
        <v>1620</v>
      </c>
      <c r="CY2" s="934"/>
      <c r="CZ2" s="934"/>
      <c r="DA2" s="934"/>
      <c r="DB2" s="934"/>
      <c r="DC2" s="935" t="s">
        <v>1614</v>
      </c>
      <c r="DD2" s="931"/>
      <c r="DE2" s="931"/>
      <c r="DF2" s="931"/>
      <c r="DG2" s="932"/>
      <c r="DH2" s="935" t="s">
        <v>1615</v>
      </c>
      <c r="DI2" s="931"/>
      <c r="DJ2" s="931"/>
      <c r="DK2" s="931"/>
      <c r="DL2" s="932"/>
      <c r="DM2" s="934" t="s">
        <v>1623</v>
      </c>
      <c r="DN2" s="934"/>
      <c r="DO2" s="934"/>
      <c r="DP2" s="934"/>
      <c r="DQ2" s="934"/>
      <c r="DR2" s="934" t="s">
        <v>1624</v>
      </c>
      <c r="DS2" s="934"/>
      <c r="DT2" s="934"/>
      <c r="DU2" s="934"/>
      <c r="DV2" s="934"/>
      <c r="DW2" s="934" t="s">
        <v>1038</v>
      </c>
      <c r="DX2" s="934"/>
      <c r="DY2" s="934"/>
      <c r="DZ2" s="934"/>
      <c r="EA2" s="934"/>
      <c r="EB2" s="934" t="s">
        <v>1625</v>
      </c>
      <c r="EC2" s="934"/>
      <c r="ED2" s="934"/>
      <c r="EE2" s="934"/>
      <c r="EF2" s="934"/>
      <c r="EG2" s="934" t="s">
        <v>1626</v>
      </c>
      <c r="EH2" s="934"/>
      <c r="EI2" s="934"/>
      <c r="EJ2" s="934"/>
      <c r="EK2" s="934"/>
      <c r="EL2" s="934" t="s">
        <v>1039</v>
      </c>
      <c r="EM2" s="934"/>
      <c r="EN2" s="934"/>
      <c r="EO2" s="934"/>
      <c r="EP2" s="934"/>
      <c r="EQ2" s="934" t="s">
        <v>1627</v>
      </c>
      <c r="ER2" s="934"/>
      <c r="ES2" s="934"/>
      <c r="ET2" s="934"/>
      <c r="EU2" s="934"/>
      <c r="EV2" s="934" t="s">
        <v>865</v>
      </c>
      <c r="EW2" s="934"/>
      <c r="EX2" s="934"/>
      <c r="EY2" s="934"/>
      <c r="EZ2" s="934"/>
    </row>
    <row r="3" spans="1:159" s="187" customFormat="1" x14ac:dyDescent="0.2">
      <c r="C3" s="187" t="s">
        <v>954</v>
      </c>
      <c r="D3" s="187">
        <v>1</v>
      </c>
      <c r="I3" s="187">
        <v>2</v>
      </c>
      <c r="K3" s="187">
        <v>3</v>
      </c>
      <c r="L3" s="187">
        <v>4</v>
      </c>
      <c r="N3" s="187">
        <v>5</v>
      </c>
      <c r="P3" s="187">
        <v>6</v>
      </c>
      <c r="S3" s="187">
        <v>7</v>
      </c>
      <c r="W3" s="187">
        <v>8</v>
      </c>
      <c r="AA3" s="187">
        <v>9</v>
      </c>
      <c r="AE3" s="187">
        <v>10</v>
      </c>
      <c r="AG3" s="187">
        <v>11</v>
      </c>
      <c r="AK3" s="187">
        <v>12</v>
      </c>
      <c r="AP3" s="187">
        <v>13</v>
      </c>
      <c r="AU3" s="187">
        <v>14</v>
      </c>
      <c r="AZ3" s="187">
        <v>15</v>
      </c>
      <c r="BE3" s="187">
        <v>16</v>
      </c>
      <c r="BJ3" s="187">
        <v>17</v>
      </c>
      <c r="BO3" s="187">
        <v>18</v>
      </c>
      <c r="BT3" s="188" t="s">
        <v>1628</v>
      </c>
      <c r="BY3" s="188" t="s">
        <v>1629</v>
      </c>
      <c r="CD3" s="187">
        <v>19</v>
      </c>
      <c r="CI3" s="187">
        <v>20</v>
      </c>
      <c r="CN3" s="187">
        <v>21</v>
      </c>
      <c r="CS3" s="187">
        <v>22</v>
      </c>
      <c r="CX3" s="187">
        <v>23</v>
      </c>
      <c r="DC3" s="188" t="s">
        <v>1630</v>
      </c>
      <c r="DH3" s="188" t="s">
        <v>1631</v>
      </c>
      <c r="DM3" s="187">
        <v>24</v>
      </c>
      <c r="DR3" s="187">
        <v>25</v>
      </c>
      <c r="DW3" s="187">
        <v>26</v>
      </c>
      <c r="EB3" s="187">
        <v>27</v>
      </c>
      <c r="EG3" s="187">
        <v>28</v>
      </c>
      <c r="EL3" s="187">
        <v>29</v>
      </c>
      <c r="EQ3" s="187">
        <v>30</v>
      </c>
    </row>
    <row r="4" spans="1:159" s="187" customFormat="1" x14ac:dyDescent="0.2">
      <c r="C4" s="187" t="s">
        <v>967</v>
      </c>
      <c r="D4" s="187">
        <v>1</v>
      </c>
      <c r="E4" s="187">
        <v>2</v>
      </c>
      <c r="F4" s="187">
        <v>3</v>
      </c>
      <c r="G4" s="187">
        <v>4</v>
      </c>
      <c r="H4" s="187">
        <v>5</v>
      </c>
      <c r="I4" s="187">
        <v>1</v>
      </c>
      <c r="J4" s="187">
        <v>5</v>
      </c>
      <c r="K4" s="187">
        <v>1</v>
      </c>
      <c r="L4" s="187">
        <v>2</v>
      </c>
      <c r="M4" s="187">
        <v>5</v>
      </c>
      <c r="N4" s="187">
        <v>2</v>
      </c>
      <c r="O4" s="187">
        <v>5</v>
      </c>
      <c r="P4" s="187">
        <v>2</v>
      </c>
      <c r="Q4" s="187">
        <v>3</v>
      </c>
      <c r="R4" s="187">
        <v>5</v>
      </c>
      <c r="S4" s="187">
        <v>2</v>
      </c>
      <c r="T4" s="187">
        <v>3</v>
      </c>
      <c r="U4" s="187">
        <v>4</v>
      </c>
      <c r="V4" s="187">
        <v>5</v>
      </c>
      <c r="W4" s="187">
        <v>2</v>
      </c>
      <c r="X4" s="187">
        <v>3</v>
      </c>
      <c r="Y4" s="187">
        <v>4</v>
      </c>
      <c r="Z4" s="187">
        <v>5</v>
      </c>
      <c r="AA4" s="187">
        <v>2</v>
      </c>
      <c r="AB4" s="187">
        <v>3</v>
      </c>
      <c r="AC4" s="187">
        <v>4</v>
      </c>
      <c r="AD4" s="187">
        <v>5</v>
      </c>
      <c r="AE4" s="187">
        <v>2</v>
      </c>
      <c r="AF4" s="187">
        <v>5</v>
      </c>
      <c r="AG4" s="187">
        <v>2</v>
      </c>
      <c r="AH4" s="187">
        <v>3</v>
      </c>
      <c r="AI4" s="187">
        <v>4</v>
      </c>
      <c r="AJ4" s="187">
        <v>5</v>
      </c>
      <c r="AK4" s="187">
        <v>1</v>
      </c>
      <c r="AL4" s="187">
        <v>2</v>
      </c>
      <c r="AM4" s="187">
        <v>3</v>
      </c>
      <c r="AN4" s="187">
        <v>4</v>
      </c>
      <c r="AO4" s="187">
        <v>5</v>
      </c>
      <c r="AP4" s="187">
        <v>1</v>
      </c>
      <c r="AQ4" s="187">
        <v>2</v>
      </c>
      <c r="AR4" s="187">
        <v>3</v>
      </c>
      <c r="AS4" s="187">
        <v>4</v>
      </c>
      <c r="AT4" s="187">
        <v>5</v>
      </c>
      <c r="AU4" s="187">
        <v>1</v>
      </c>
      <c r="AV4" s="187">
        <v>2</v>
      </c>
      <c r="AW4" s="187">
        <v>3</v>
      </c>
      <c r="AX4" s="187">
        <v>4</v>
      </c>
      <c r="AY4" s="187">
        <v>5</v>
      </c>
      <c r="AZ4" s="187">
        <v>1</v>
      </c>
      <c r="BA4" s="187">
        <v>2</v>
      </c>
      <c r="BB4" s="187">
        <v>3</v>
      </c>
      <c r="BC4" s="187">
        <v>4</v>
      </c>
      <c r="BD4" s="187">
        <v>5</v>
      </c>
      <c r="BE4" s="187">
        <v>1</v>
      </c>
      <c r="BF4" s="187">
        <v>2</v>
      </c>
      <c r="BG4" s="187">
        <v>3</v>
      </c>
      <c r="BH4" s="187">
        <v>4</v>
      </c>
      <c r="BI4" s="187">
        <v>5</v>
      </c>
      <c r="BJ4" s="187">
        <v>1</v>
      </c>
      <c r="BK4" s="187">
        <v>2</v>
      </c>
      <c r="BL4" s="187">
        <v>3</v>
      </c>
      <c r="BM4" s="187">
        <v>4</v>
      </c>
      <c r="BN4" s="187">
        <v>5</v>
      </c>
      <c r="BO4" s="187">
        <v>1</v>
      </c>
      <c r="BP4" s="187">
        <v>2</v>
      </c>
      <c r="BQ4" s="187">
        <v>3</v>
      </c>
      <c r="BR4" s="187">
        <v>4</v>
      </c>
      <c r="BS4" s="187">
        <v>5</v>
      </c>
      <c r="BT4" s="188">
        <v>1</v>
      </c>
      <c r="BU4" s="187">
        <v>2</v>
      </c>
      <c r="BV4" s="187">
        <v>3</v>
      </c>
      <c r="BW4" s="187">
        <v>4</v>
      </c>
      <c r="BX4" s="187">
        <v>5</v>
      </c>
      <c r="BY4" s="188">
        <v>1</v>
      </c>
      <c r="BZ4" s="187">
        <v>2</v>
      </c>
      <c r="CA4" s="187">
        <v>3</v>
      </c>
      <c r="CB4" s="187">
        <v>4</v>
      </c>
      <c r="CC4" s="187">
        <v>5</v>
      </c>
      <c r="CD4" s="187">
        <v>1</v>
      </c>
      <c r="CE4" s="187">
        <v>2</v>
      </c>
      <c r="CF4" s="187">
        <v>3</v>
      </c>
      <c r="CG4" s="187">
        <v>4</v>
      </c>
      <c r="CH4" s="187">
        <v>5</v>
      </c>
      <c r="CI4" s="187">
        <v>1</v>
      </c>
      <c r="CJ4" s="187">
        <v>2</v>
      </c>
      <c r="CK4" s="187">
        <v>3</v>
      </c>
      <c r="CL4" s="187">
        <v>4</v>
      </c>
      <c r="CM4" s="187">
        <v>5</v>
      </c>
      <c r="CN4" s="187">
        <v>1</v>
      </c>
      <c r="CO4" s="187">
        <v>2</v>
      </c>
      <c r="CP4" s="187">
        <v>3</v>
      </c>
      <c r="CQ4" s="187">
        <v>4</v>
      </c>
      <c r="CR4" s="187">
        <v>5</v>
      </c>
      <c r="CS4" s="187">
        <v>1</v>
      </c>
      <c r="CT4" s="187">
        <v>2</v>
      </c>
      <c r="CU4" s="187">
        <v>3</v>
      </c>
      <c r="CV4" s="187">
        <v>4</v>
      </c>
      <c r="CW4" s="187">
        <v>5</v>
      </c>
      <c r="CX4" s="187">
        <v>1</v>
      </c>
      <c r="CY4" s="187">
        <v>2</v>
      </c>
      <c r="CZ4" s="187">
        <v>3</v>
      </c>
      <c r="DA4" s="187">
        <v>4</v>
      </c>
      <c r="DB4" s="187">
        <v>5</v>
      </c>
      <c r="DC4" s="187">
        <v>1</v>
      </c>
      <c r="DD4" s="187">
        <v>2</v>
      </c>
      <c r="DE4" s="187">
        <v>3</v>
      </c>
      <c r="DF4" s="187">
        <v>4</v>
      </c>
      <c r="DG4" s="187">
        <v>5</v>
      </c>
      <c r="DH4" s="187">
        <v>1</v>
      </c>
      <c r="DI4" s="187">
        <v>2</v>
      </c>
      <c r="DJ4" s="187">
        <v>3</v>
      </c>
      <c r="DK4" s="187">
        <v>4</v>
      </c>
      <c r="DL4" s="187">
        <v>5</v>
      </c>
      <c r="DM4" s="187">
        <v>1</v>
      </c>
      <c r="DN4" s="187">
        <v>2</v>
      </c>
      <c r="DO4" s="187">
        <v>3</v>
      </c>
      <c r="DP4" s="187">
        <v>4</v>
      </c>
      <c r="DQ4" s="187">
        <v>5</v>
      </c>
      <c r="DR4" s="187">
        <v>1</v>
      </c>
      <c r="DS4" s="187">
        <v>2</v>
      </c>
      <c r="DT4" s="187">
        <v>3</v>
      </c>
      <c r="DU4" s="187">
        <v>4</v>
      </c>
      <c r="DV4" s="187">
        <v>5</v>
      </c>
      <c r="DW4" s="187">
        <v>1</v>
      </c>
      <c r="DX4" s="187">
        <v>2</v>
      </c>
      <c r="DY4" s="187">
        <v>3</v>
      </c>
      <c r="DZ4" s="187">
        <v>4</v>
      </c>
      <c r="EA4" s="187">
        <v>5</v>
      </c>
      <c r="EB4" s="187">
        <v>1</v>
      </c>
      <c r="EC4" s="187">
        <v>2</v>
      </c>
      <c r="ED4" s="187">
        <v>3</v>
      </c>
      <c r="EE4" s="187">
        <v>4</v>
      </c>
      <c r="EF4" s="187">
        <v>5</v>
      </c>
      <c r="EG4" s="187">
        <v>1</v>
      </c>
      <c r="EH4" s="187">
        <v>2</v>
      </c>
      <c r="EI4" s="187">
        <v>3</v>
      </c>
      <c r="EJ4" s="187">
        <v>4</v>
      </c>
      <c r="EK4" s="187">
        <v>5</v>
      </c>
      <c r="EL4" s="187">
        <v>1</v>
      </c>
      <c r="EM4" s="187">
        <v>2</v>
      </c>
      <c r="EN4" s="187">
        <v>3</v>
      </c>
      <c r="EO4" s="187">
        <v>4</v>
      </c>
      <c r="EP4" s="187">
        <v>5</v>
      </c>
      <c r="EQ4" s="187">
        <v>1</v>
      </c>
      <c r="ER4" s="187">
        <v>2</v>
      </c>
      <c r="ES4" s="187">
        <v>3</v>
      </c>
      <c r="ET4" s="187">
        <v>4</v>
      </c>
      <c r="EU4" s="187">
        <v>5</v>
      </c>
      <c r="EV4" s="187">
        <v>6</v>
      </c>
      <c r="EW4" s="187">
        <v>7</v>
      </c>
      <c r="EX4" s="187">
        <v>8</v>
      </c>
      <c r="EY4" s="187">
        <v>9</v>
      </c>
      <c r="EZ4" s="187">
        <v>10</v>
      </c>
    </row>
    <row r="5" spans="1:159" s="447" customFormat="1" x14ac:dyDescent="0.2">
      <c r="A5" s="187"/>
      <c r="B5" s="447" t="s">
        <v>968</v>
      </c>
      <c r="C5" s="447" t="s">
        <v>969</v>
      </c>
      <c r="FA5" s="447" t="s">
        <v>1053</v>
      </c>
    </row>
    <row r="6" spans="1:159" s="187" customFormat="1" x14ac:dyDescent="0.2">
      <c r="B6" s="429" t="s">
        <v>91</v>
      </c>
      <c r="C6" s="429" t="s">
        <v>90</v>
      </c>
      <c r="D6" s="208">
        <v>8813288</v>
      </c>
      <c r="E6" s="208">
        <v>7050630</v>
      </c>
      <c r="F6" s="208">
        <v>1762658</v>
      </c>
      <c r="G6" s="208">
        <v>0</v>
      </c>
      <c r="H6" s="208">
        <v>17626576</v>
      </c>
      <c r="I6" s="208">
        <v>0</v>
      </c>
      <c r="J6" s="208">
        <v>0</v>
      </c>
      <c r="K6" s="208">
        <v>8813288</v>
      </c>
      <c r="L6" s="208">
        <v>86721</v>
      </c>
      <c r="M6" s="208">
        <v>86721</v>
      </c>
      <c r="N6" s="208">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817276</v>
      </c>
      <c r="AH6" s="208">
        <v>204320</v>
      </c>
      <c r="AI6" s="208">
        <v>0</v>
      </c>
      <c r="AJ6" s="208">
        <v>1021596</v>
      </c>
      <c r="AK6" s="208">
        <v>349925</v>
      </c>
      <c r="AL6" s="208">
        <v>279940</v>
      </c>
      <c r="AM6" s="208">
        <v>69985</v>
      </c>
      <c r="AN6" s="208">
        <v>0</v>
      </c>
      <c r="AO6" s="208">
        <v>699850</v>
      </c>
      <c r="AP6" s="208">
        <v>-959711</v>
      </c>
      <c r="AQ6" s="208">
        <v>-767769</v>
      </c>
      <c r="AR6" s="208">
        <v>-191942</v>
      </c>
      <c r="AS6" s="208">
        <v>0</v>
      </c>
      <c r="AT6" s="208">
        <v>-1919422</v>
      </c>
      <c r="AU6" s="208">
        <v>-181735</v>
      </c>
      <c r="AV6" s="208">
        <v>-145388</v>
      </c>
      <c r="AW6" s="208">
        <v>-36347</v>
      </c>
      <c r="AX6" s="208">
        <v>0</v>
      </c>
      <c r="AY6" s="208">
        <v>-363470</v>
      </c>
      <c r="AZ6" s="208">
        <v>-563</v>
      </c>
      <c r="BA6" s="208">
        <v>-450</v>
      </c>
      <c r="BB6" s="208">
        <v>-113</v>
      </c>
      <c r="BC6" s="208">
        <v>0</v>
      </c>
      <c r="BD6" s="208">
        <v>-1126</v>
      </c>
      <c r="BE6" s="208">
        <v>-10653</v>
      </c>
      <c r="BF6" s="208">
        <v>-8523</v>
      </c>
      <c r="BG6" s="208">
        <v>-2131</v>
      </c>
      <c r="BH6" s="208">
        <v>0</v>
      </c>
      <c r="BI6" s="208">
        <v>-21307</v>
      </c>
      <c r="BJ6" s="208">
        <v>-192951</v>
      </c>
      <c r="BK6" s="208">
        <v>-154361</v>
      </c>
      <c r="BL6" s="208">
        <v>-38591</v>
      </c>
      <c r="BM6" s="208">
        <v>0</v>
      </c>
      <c r="BN6" s="208">
        <v>-385903</v>
      </c>
      <c r="BO6" s="208">
        <v>-491279</v>
      </c>
      <c r="BP6" s="208">
        <v>-393023</v>
      </c>
      <c r="BQ6" s="208">
        <v>-98256</v>
      </c>
      <c r="BR6" s="208">
        <v>0</v>
      </c>
      <c r="BS6" s="208">
        <v>-982558</v>
      </c>
      <c r="BT6" s="208">
        <v>-491279</v>
      </c>
      <c r="BU6" s="208">
        <v>-393023</v>
      </c>
      <c r="BV6" s="208">
        <v>-98256</v>
      </c>
      <c r="BW6" s="208">
        <v>0</v>
      </c>
      <c r="BX6" s="208">
        <v>-982558</v>
      </c>
      <c r="BY6" s="208">
        <v>0</v>
      </c>
      <c r="BZ6" s="208">
        <v>0</v>
      </c>
      <c r="CA6" s="208">
        <v>0</v>
      </c>
      <c r="CB6" s="208">
        <v>0</v>
      </c>
      <c r="CC6" s="208">
        <v>0</v>
      </c>
      <c r="CD6" s="208">
        <v>0</v>
      </c>
      <c r="CE6" s="208">
        <v>0</v>
      </c>
      <c r="CF6" s="208">
        <v>0</v>
      </c>
      <c r="CG6" s="208">
        <v>0</v>
      </c>
      <c r="CH6" s="208">
        <v>0</v>
      </c>
      <c r="CI6" s="208">
        <v>3573</v>
      </c>
      <c r="CJ6" s="208">
        <v>2858</v>
      </c>
      <c r="CK6" s="208">
        <v>715</v>
      </c>
      <c r="CL6" s="208">
        <v>0</v>
      </c>
      <c r="CM6" s="208">
        <v>7146</v>
      </c>
      <c r="CN6" s="208">
        <v>0</v>
      </c>
      <c r="CO6" s="208">
        <v>0</v>
      </c>
      <c r="CP6" s="208">
        <v>0</v>
      </c>
      <c r="CQ6" s="208">
        <v>0</v>
      </c>
      <c r="CR6" s="208">
        <v>0</v>
      </c>
      <c r="CS6" s="208">
        <v>168427</v>
      </c>
      <c r="CT6" s="208">
        <v>134742</v>
      </c>
      <c r="CU6" s="208">
        <v>33685</v>
      </c>
      <c r="CV6" s="208">
        <v>0</v>
      </c>
      <c r="CW6" s="208">
        <v>336854</v>
      </c>
      <c r="CX6" s="208">
        <v>-319279</v>
      </c>
      <c r="CY6" s="208">
        <v>-255423</v>
      </c>
      <c r="CZ6" s="208">
        <v>-63856</v>
      </c>
      <c r="DA6" s="208">
        <v>0</v>
      </c>
      <c r="DB6" s="208">
        <v>-638558</v>
      </c>
      <c r="DC6" s="208">
        <v>-491279</v>
      </c>
      <c r="DD6" s="208">
        <v>-393023</v>
      </c>
      <c r="DE6" s="208">
        <v>-98256</v>
      </c>
      <c r="DF6" s="208">
        <v>0</v>
      </c>
      <c r="DG6" s="208">
        <v>-982558</v>
      </c>
      <c r="DH6" s="208">
        <v>172000</v>
      </c>
      <c r="DI6" s="208">
        <v>137600</v>
      </c>
      <c r="DJ6" s="208">
        <v>34400</v>
      </c>
      <c r="DK6" s="208">
        <v>0</v>
      </c>
      <c r="DL6" s="208">
        <v>344000</v>
      </c>
      <c r="DM6" s="208">
        <v>-408046</v>
      </c>
      <c r="DN6" s="208">
        <v>-326437</v>
      </c>
      <c r="DO6" s="208">
        <v>-81610</v>
      </c>
      <c r="DP6" s="208">
        <v>0</v>
      </c>
      <c r="DQ6" s="208">
        <v>-816093</v>
      </c>
      <c r="DR6" s="208">
        <v>56916</v>
      </c>
      <c r="DS6" s="208">
        <v>45532</v>
      </c>
      <c r="DT6" s="208">
        <v>11383</v>
      </c>
      <c r="DU6" s="208">
        <v>0</v>
      </c>
      <c r="DV6" s="208">
        <v>113831</v>
      </c>
      <c r="DW6" s="208">
        <v>-464962</v>
      </c>
      <c r="DX6" s="208">
        <v>-371969</v>
      </c>
      <c r="DY6" s="208">
        <v>-92993</v>
      </c>
      <c r="DZ6" s="208">
        <v>0</v>
      </c>
      <c r="EA6" s="208">
        <v>-929924</v>
      </c>
      <c r="EB6" s="208">
        <v>9133007</v>
      </c>
      <c r="EC6" s="208">
        <v>7306406</v>
      </c>
      <c r="ED6" s="208">
        <v>1826602</v>
      </c>
      <c r="EE6" s="208">
        <v>0</v>
      </c>
      <c r="EF6" s="208">
        <v>18266015</v>
      </c>
      <c r="EG6" s="208">
        <v>8813288</v>
      </c>
      <c r="EH6" s="208">
        <v>7050630</v>
      </c>
      <c r="EI6" s="208">
        <v>1762658</v>
      </c>
      <c r="EJ6" s="208">
        <v>0</v>
      </c>
      <c r="EK6" s="208">
        <v>17626576</v>
      </c>
      <c r="EL6" s="208">
        <v>-319719</v>
      </c>
      <c r="EM6" s="208">
        <v>-255776</v>
      </c>
      <c r="EN6" s="208">
        <v>-63944</v>
      </c>
      <c r="EO6" s="208">
        <v>0</v>
      </c>
      <c r="EP6" s="208">
        <v>-639439</v>
      </c>
      <c r="EQ6" s="208">
        <v>-784681</v>
      </c>
      <c r="ER6" s="208">
        <v>-627745</v>
      </c>
      <c r="ES6" s="208">
        <v>-156937</v>
      </c>
      <c r="ET6" s="208">
        <v>0</v>
      </c>
      <c r="EU6" s="208">
        <v>-1569363</v>
      </c>
      <c r="EV6" s="666">
        <v>0.5</v>
      </c>
      <c r="EW6" s="666">
        <v>0.4</v>
      </c>
      <c r="EX6" s="666">
        <v>0.1</v>
      </c>
      <c r="EY6" s="666">
        <v>0</v>
      </c>
      <c r="EZ6" s="666">
        <v>1</v>
      </c>
      <c r="FA6" s="187" t="s">
        <v>1054</v>
      </c>
      <c r="FC6" s="187">
        <v>0</v>
      </c>
    </row>
    <row r="7" spans="1:159" s="187" customFormat="1" x14ac:dyDescent="0.2">
      <c r="B7" s="429" t="s">
        <v>93</v>
      </c>
      <c r="C7" s="429" t="s">
        <v>92</v>
      </c>
      <c r="D7" s="208">
        <v>13813783</v>
      </c>
      <c r="E7" s="208">
        <v>11051027</v>
      </c>
      <c r="F7" s="208">
        <v>2762757</v>
      </c>
      <c r="G7" s="208">
        <v>0</v>
      </c>
      <c r="H7" s="208">
        <v>27627567</v>
      </c>
      <c r="I7" s="208">
        <v>0</v>
      </c>
      <c r="J7" s="208">
        <v>0</v>
      </c>
      <c r="K7" s="208">
        <v>13813783</v>
      </c>
      <c r="L7" s="208">
        <v>182468</v>
      </c>
      <c r="M7" s="208">
        <v>182468</v>
      </c>
      <c r="N7" s="208">
        <v>0</v>
      </c>
      <c r="O7" s="208">
        <v>0</v>
      </c>
      <c r="P7" s="208">
        <v>372905</v>
      </c>
      <c r="Q7" s="208">
        <v>9066</v>
      </c>
      <c r="R7" s="208">
        <v>381971</v>
      </c>
      <c r="S7" s="208">
        <v>0</v>
      </c>
      <c r="T7" s="208">
        <v>0</v>
      </c>
      <c r="U7" s="208">
        <v>0</v>
      </c>
      <c r="V7" s="208">
        <v>0</v>
      </c>
      <c r="W7" s="208">
        <v>0</v>
      </c>
      <c r="X7" s="208">
        <v>0</v>
      </c>
      <c r="Y7" s="208">
        <v>0</v>
      </c>
      <c r="Z7" s="208">
        <v>0</v>
      </c>
      <c r="AA7" s="208">
        <v>0</v>
      </c>
      <c r="AB7" s="208">
        <v>0</v>
      </c>
      <c r="AC7" s="208">
        <v>0</v>
      </c>
      <c r="AD7" s="208">
        <v>0</v>
      </c>
      <c r="AE7" s="208">
        <v>0</v>
      </c>
      <c r="AF7" s="208">
        <v>0</v>
      </c>
      <c r="AG7" s="208">
        <v>1860261</v>
      </c>
      <c r="AH7" s="208">
        <v>463137</v>
      </c>
      <c r="AI7" s="208">
        <v>0</v>
      </c>
      <c r="AJ7" s="208">
        <v>2323398</v>
      </c>
      <c r="AK7" s="208">
        <v>279967</v>
      </c>
      <c r="AL7" s="208">
        <v>223974</v>
      </c>
      <c r="AM7" s="208">
        <v>55994</v>
      </c>
      <c r="AN7" s="208">
        <v>0</v>
      </c>
      <c r="AO7" s="208">
        <v>559935</v>
      </c>
      <c r="AP7" s="208">
        <v>-120371</v>
      </c>
      <c r="AQ7" s="208">
        <v>-96296</v>
      </c>
      <c r="AR7" s="208">
        <v>-24074</v>
      </c>
      <c r="AS7" s="208">
        <v>0</v>
      </c>
      <c r="AT7" s="208">
        <v>-240741</v>
      </c>
      <c r="AU7" s="208">
        <v>-195617</v>
      </c>
      <c r="AV7" s="208">
        <v>-156494</v>
      </c>
      <c r="AW7" s="208">
        <v>-39123</v>
      </c>
      <c r="AX7" s="208">
        <v>0</v>
      </c>
      <c r="AY7" s="208">
        <v>-391234</v>
      </c>
      <c r="AZ7" s="208">
        <v>112474</v>
      </c>
      <c r="BA7" s="208">
        <v>89980</v>
      </c>
      <c r="BB7" s="208">
        <v>22495</v>
      </c>
      <c r="BC7" s="208">
        <v>0</v>
      </c>
      <c r="BD7" s="208">
        <v>224949</v>
      </c>
      <c r="BE7" s="208">
        <v>-41852</v>
      </c>
      <c r="BF7" s="208">
        <v>-33482</v>
      </c>
      <c r="BG7" s="208">
        <v>-8371</v>
      </c>
      <c r="BH7" s="208">
        <v>0</v>
      </c>
      <c r="BI7" s="208">
        <v>-83705</v>
      </c>
      <c r="BJ7" s="208">
        <v>-124995</v>
      </c>
      <c r="BK7" s="208">
        <v>-99996</v>
      </c>
      <c r="BL7" s="208">
        <v>-24999</v>
      </c>
      <c r="BM7" s="208">
        <v>0</v>
      </c>
      <c r="BN7" s="208">
        <v>-249990</v>
      </c>
      <c r="BO7" s="208">
        <v>-855333</v>
      </c>
      <c r="BP7" s="208">
        <v>-684266</v>
      </c>
      <c r="BQ7" s="208">
        <v>-171067</v>
      </c>
      <c r="BR7" s="208">
        <v>0</v>
      </c>
      <c r="BS7" s="208">
        <v>-1710666</v>
      </c>
      <c r="BT7" s="208">
        <v>-340658</v>
      </c>
      <c r="BU7" s="208">
        <v>-272527</v>
      </c>
      <c r="BV7" s="208">
        <v>-68132</v>
      </c>
      <c r="BW7" s="208">
        <v>0</v>
      </c>
      <c r="BX7" s="208">
        <v>-681317</v>
      </c>
      <c r="BY7" s="208">
        <v>-514674</v>
      </c>
      <c r="BZ7" s="208">
        <v>-411740</v>
      </c>
      <c r="CA7" s="208">
        <v>-102935</v>
      </c>
      <c r="CB7" s="208">
        <v>0</v>
      </c>
      <c r="CC7" s="208">
        <v>-1029349</v>
      </c>
      <c r="CD7" s="208">
        <v>109701</v>
      </c>
      <c r="CE7" s="208">
        <v>87761</v>
      </c>
      <c r="CF7" s="208">
        <v>21940</v>
      </c>
      <c r="CG7" s="208">
        <v>0</v>
      </c>
      <c r="CH7" s="208">
        <v>219402</v>
      </c>
      <c r="CI7" s="208">
        <v>45628</v>
      </c>
      <c r="CJ7" s="208">
        <v>36503</v>
      </c>
      <c r="CK7" s="208">
        <v>9126</v>
      </c>
      <c r="CL7" s="208">
        <v>0</v>
      </c>
      <c r="CM7" s="208">
        <v>91257</v>
      </c>
      <c r="CN7" s="208">
        <v>-112422</v>
      </c>
      <c r="CO7" s="208">
        <v>-89938</v>
      </c>
      <c r="CP7" s="208">
        <v>-22485</v>
      </c>
      <c r="CQ7" s="208">
        <v>0</v>
      </c>
      <c r="CR7" s="208">
        <v>-224845</v>
      </c>
      <c r="CS7" s="208">
        <v>-610808</v>
      </c>
      <c r="CT7" s="208">
        <v>-488646</v>
      </c>
      <c r="CU7" s="208">
        <v>-122162</v>
      </c>
      <c r="CV7" s="208">
        <v>0</v>
      </c>
      <c r="CW7" s="208">
        <v>-1221616</v>
      </c>
      <c r="CX7" s="208">
        <v>-1423234</v>
      </c>
      <c r="CY7" s="208">
        <v>-1138586</v>
      </c>
      <c r="CZ7" s="208">
        <v>-284648</v>
      </c>
      <c r="DA7" s="208">
        <v>0</v>
      </c>
      <c r="DB7" s="208">
        <v>-2846468</v>
      </c>
      <c r="DC7" s="208">
        <v>-343379</v>
      </c>
      <c r="DD7" s="208">
        <v>-274704</v>
      </c>
      <c r="DE7" s="208">
        <v>-68677</v>
      </c>
      <c r="DF7" s="208">
        <v>0</v>
      </c>
      <c r="DG7" s="208">
        <v>-686760</v>
      </c>
      <c r="DH7" s="208">
        <v>-1079854</v>
      </c>
      <c r="DI7" s="208">
        <v>-863883</v>
      </c>
      <c r="DJ7" s="208">
        <v>-215971</v>
      </c>
      <c r="DK7" s="208">
        <v>0</v>
      </c>
      <c r="DL7" s="208">
        <v>-2159708</v>
      </c>
      <c r="DM7" s="208">
        <v>-641579</v>
      </c>
      <c r="DN7" s="208">
        <v>-513265</v>
      </c>
      <c r="DO7" s="208">
        <v>-128315</v>
      </c>
      <c r="DP7" s="208">
        <v>0</v>
      </c>
      <c r="DQ7" s="208">
        <v>-1283159</v>
      </c>
      <c r="DR7" s="208">
        <v>-704494</v>
      </c>
      <c r="DS7" s="208">
        <v>-563595</v>
      </c>
      <c r="DT7" s="208">
        <v>-140899</v>
      </c>
      <c r="DU7" s="208">
        <v>0</v>
      </c>
      <c r="DV7" s="208">
        <v>-1408988</v>
      </c>
      <c r="DW7" s="208">
        <v>62915</v>
      </c>
      <c r="DX7" s="208">
        <v>50330</v>
      </c>
      <c r="DY7" s="208">
        <v>12584</v>
      </c>
      <c r="DZ7" s="208">
        <v>0</v>
      </c>
      <c r="EA7" s="208">
        <v>125829</v>
      </c>
      <c r="EB7" s="208">
        <v>13843935</v>
      </c>
      <c r="EC7" s="208">
        <v>11075148</v>
      </c>
      <c r="ED7" s="208">
        <v>2768787</v>
      </c>
      <c r="EE7" s="208">
        <v>0</v>
      </c>
      <c r="EF7" s="208">
        <v>27687870</v>
      </c>
      <c r="EG7" s="208">
        <v>13813783</v>
      </c>
      <c r="EH7" s="208">
        <v>11051027</v>
      </c>
      <c r="EI7" s="208">
        <v>2762757</v>
      </c>
      <c r="EJ7" s="208">
        <v>0</v>
      </c>
      <c r="EK7" s="208">
        <v>27627567</v>
      </c>
      <c r="EL7" s="208">
        <v>-30152</v>
      </c>
      <c r="EM7" s="208">
        <v>-24121</v>
      </c>
      <c r="EN7" s="208">
        <v>-6030</v>
      </c>
      <c r="EO7" s="208">
        <v>0</v>
      </c>
      <c r="EP7" s="208">
        <v>-60303</v>
      </c>
      <c r="EQ7" s="208">
        <v>32763</v>
      </c>
      <c r="ER7" s="208">
        <v>26209</v>
      </c>
      <c r="ES7" s="208">
        <v>6554</v>
      </c>
      <c r="ET7" s="208">
        <v>0</v>
      </c>
      <c r="EU7" s="208">
        <v>65526</v>
      </c>
      <c r="EV7" s="666">
        <v>0.5</v>
      </c>
      <c r="EW7" s="666">
        <v>0.4</v>
      </c>
      <c r="EX7" s="666">
        <v>0.1</v>
      </c>
      <c r="EY7" s="666">
        <v>0</v>
      </c>
      <c r="EZ7" s="666">
        <v>1</v>
      </c>
      <c r="FA7" s="187" t="s">
        <v>1054</v>
      </c>
      <c r="FC7" s="187">
        <v>0</v>
      </c>
    </row>
    <row r="8" spans="1:159" s="187" customFormat="1" x14ac:dyDescent="0.2">
      <c r="B8" s="429" t="s">
        <v>95</v>
      </c>
      <c r="C8" s="429" t="s">
        <v>94</v>
      </c>
      <c r="D8" s="208">
        <v>0</v>
      </c>
      <c r="E8" s="208">
        <v>15006116</v>
      </c>
      <c r="F8" s="208">
        <v>14705994</v>
      </c>
      <c r="G8" s="208">
        <v>300122</v>
      </c>
      <c r="H8" s="208">
        <v>30012232</v>
      </c>
      <c r="I8" s="208">
        <v>0</v>
      </c>
      <c r="J8" s="208">
        <v>0</v>
      </c>
      <c r="K8" s="208">
        <v>0</v>
      </c>
      <c r="L8" s="208">
        <v>149481</v>
      </c>
      <c r="M8" s="208">
        <v>149481</v>
      </c>
      <c r="N8" s="208">
        <v>0</v>
      </c>
      <c r="O8" s="208">
        <v>0</v>
      </c>
      <c r="P8" s="208">
        <v>6299</v>
      </c>
      <c r="Q8" s="208">
        <v>0</v>
      </c>
      <c r="R8" s="208">
        <v>6299</v>
      </c>
      <c r="S8" s="208">
        <v>0</v>
      </c>
      <c r="T8" s="208">
        <v>0</v>
      </c>
      <c r="U8" s="208">
        <v>0</v>
      </c>
      <c r="V8" s="208">
        <v>0</v>
      </c>
      <c r="W8" s="208">
        <v>0</v>
      </c>
      <c r="X8" s="208">
        <v>0</v>
      </c>
      <c r="Y8" s="208">
        <v>0</v>
      </c>
      <c r="Z8" s="208">
        <v>0</v>
      </c>
      <c r="AA8" s="208">
        <v>0</v>
      </c>
      <c r="AB8" s="208">
        <v>0</v>
      </c>
      <c r="AC8" s="208">
        <v>0</v>
      </c>
      <c r="AD8" s="208">
        <v>0</v>
      </c>
      <c r="AE8" s="208">
        <v>0</v>
      </c>
      <c r="AF8" s="208">
        <v>0</v>
      </c>
      <c r="AG8" s="208">
        <v>2048265</v>
      </c>
      <c r="AH8" s="208">
        <v>2007158</v>
      </c>
      <c r="AI8" s="208">
        <v>40962</v>
      </c>
      <c r="AJ8" s="208">
        <v>4096385</v>
      </c>
      <c r="AK8" s="208">
        <v>-1</v>
      </c>
      <c r="AL8" s="208">
        <v>269343</v>
      </c>
      <c r="AM8" s="208">
        <v>263956</v>
      </c>
      <c r="AN8" s="208">
        <v>5387</v>
      </c>
      <c r="AO8" s="208">
        <v>538685</v>
      </c>
      <c r="AP8" s="208">
        <v>0</v>
      </c>
      <c r="AQ8" s="208">
        <v>-651057</v>
      </c>
      <c r="AR8" s="208">
        <v>-638036</v>
      </c>
      <c r="AS8" s="208">
        <v>-13021</v>
      </c>
      <c r="AT8" s="208">
        <v>-1302114</v>
      </c>
      <c r="AU8" s="208">
        <v>0</v>
      </c>
      <c r="AV8" s="208">
        <v>-252200</v>
      </c>
      <c r="AW8" s="208">
        <v>-247156</v>
      </c>
      <c r="AX8" s="208">
        <v>-5044</v>
      </c>
      <c r="AY8" s="208">
        <v>-504400</v>
      </c>
      <c r="AZ8" s="208">
        <v>-1</v>
      </c>
      <c r="BA8" s="208">
        <v>80038</v>
      </c>
      <c r="BB8" s="208">
        <v>78437</v>
      </c>
      <c r="BC8" s="208">
        <v>1601</v>
      </c>
      <c r="BD8" s="208">
        <v>160075</v>
      </c>
      <c r="BE8" s="208">
        <v>1</v>
      </c>
      <c r="BF8" s="208">
        <v>-97188</v>
      </c>
      <c r="BG8" s="208">
        <v>-95244</v>
      </c>
      <c r="BH8" s="208">
        <v>-1944</v>
      </c>
      <c r="BI8" s="208">
        <v>-194375</v>
      </c>
      <c r="BJ8" s="208">
        <v>0</v>
      </c>
      <c r="BK8" s="208">
        <v>-269350</v>
      </c>
      <c r="BL8" s="208">
        <v>-263963</v>
      </c>
      <c r="BM8" s="208">
        <v>-5387</v>
      </c>
      <c r="BN8" s="208">
        <v>-538700</v>
      </c>
      <c r="BO8" s="208">
        <v>0</v>
      </c>
      <c r="BP8" s="208">
        <v>-1375000</v>
      </c>
      <c r="BQ8" s="208">
        <v>-1347500</v>
      </c>
      <c r="BR8" s="208">
        <v>-27500</v>
      </c>
      <c r="BS8" s="208">
        <v>-2750000</v>
      </c>
      <c r="BT8" s="208">
        <v>0</v>
      </c>
      <c r="BU8" s="208">
        <v>-600000</v>
      </c>
      <c r="BV8" s="208">
        <v>-588000</v>
      </c>
      <c r="BW8" s="208">
        <v>-12000</v>
      </c>
      <c r="BX8" s="208">
        <v>-1200000</v>
      </c>
      <c r="BY8" s="208">
        <v>0</v>
      </c>
      <c r="BZ8" s="208">
        <v>-775000</v>
      </c>
      <c r="CA8" s="208">
        <v>-759500</v>
      </c>
      <c r="CB8" s="208">
        <v>-15500</v>
      </c>
      <c r="CC8" s="208">
        <v>-1550000</v>
      </c>
      <c r="CD8" s="208">
        <v>0</v>
      </c>
      <c r="CE8" s="208">
        <v>198502</v>
      </c>
      <c r="CF8" s="208">
        <v>194531</v>
      </c>
      <c r="CG8" s="208">
        <v>3970</v>
      </c>
      <c r="CH8" s="208">
        <v>397003</v>
      </c>
      <c r="CI8" s="208">
        <v>0</v>
      </c>
      <c r="CJ8" s="208">
        <v>0</v>
      </c>
      <c r="CK8" s="208">
        <v>0</v>
      </c>
      <c r="CL8" s="208">
        <v>0</v>
      </c>
      <c r="CM8" s="208">
        <v>0</v>
      </c>
      <c r="CN8" s="208">
        <v>0</v>
      </c>
      <c r="CO8" s="208">
        <v>-282752</v>
      </c>
      <c r="CP8" s="208">
        <v>-277096</v>
      </c>
      <c r="CQ8" s="208">
        <v>-5655</v>
      </c>
      <c r="CR8" s="208">
        <v>-565503</v>
      </c>
      <c r="CS8" s="208">
        <v>0</v>
      </c>
      <c r="CT8" s="208">
        <v>-872800</v>
      </c>
      <c r="CU8" s="208">
        <v>-855344</v>
      </c>
      <c r="CV8" s="208">
        <v>-17456</v>
      </c>
      <c r="CW8" s="208">
        <v>-1745600</v>
      </c>
      <c r="CX8" s="208">
        <v>0</v>
      </c>
      <c r="CY8" s="208">
        <v>-2332050</v>
      </c>
      <c r="CZ8" s="208">
        <v>-2285409</v>
      </c>
      <c r="DA8" s="208">
        <v>-46641</v>
      </c>
      <c r="DB8" s="208">
        <v>-4664100</v>
      </c>
      <c r="DC8" s="208">
        <v>0</v>
      </c>
      <c r="DD8" s="208">
        <v>-684250</v>
      </c>
      <c r="DE8" s="208">
        <v>-670565</v>
      </c>
      <c r="DF8" s="208">
        <v>-13685</v>
      </c>
      <c r="DG8" s="208">
        <v>-1368500</v>
      </c>
      <c r="DH8" s="208">
        <v>0</v>
      </c>
      <c r="DI8" s="208">
        <v>-1647800</v>
      </c>
      <c r="DJ8" s="208">
        <v>-1614844</v>
      </c>
      <c r="DK8" s="208">
        <v>-32956</v>
      </c>
      <c r="DL8" s="208">
        <v>-3295600</v>
      </c>
      <c r="DM8" s="208">
        <v>326343</v>
      </c>
      <c r="DN8" s="208">
        <v>261074</v>
      </c>
      <c r="DO8" s="208">
        <v>58741</v>
      </c>
      <c r="DP8" s="208">
        <v>6527</v>
      </c>
      <c r="DQ8" s="208">
        <v>652685</v>
      </c>
      <c r="DR8" s="208">
        <v>278897</v>
      </c>
      <c r="DS8" s="208">
        <v>223118</v>
      </c>
      <c r="DT8" s="208">
        <v>50201</v>
      </c>
      <c r="DU8" s="208">
        <v>5578</v>
      </c>
      <c r="DV8" s="208">
        <v>557794</v>
      </c>
      <c r="DW8" s="208">
        <v>47446</v>
      </c>
      <c r="DX8" s="208">
        <v>37956</v>
      </c>
      <c r="DY8" s="208">
        <v>8540</v>
      </c>
      <c r="DZ8" s="208">
        <v>949</v>
      </c>
      <c r="EA8" s="208">
        <v>94891</v>
      </c>
      <c r="EB8" s="208">
        <v>0</v>
      </c>
      <c r="EC8" s="208">
        <v>14810852</v>
      </c>
      <c r="ED8" s="208">
        <v>14514634</v>
      </c>
      <c r="EE8" s="208">
        <v>296217</v>
      </c>
      <c r="EF8" s="208">
        <v>29621703</v>
      </c>
      <c r="EG8" s="208">
        <v>0</v>
      </c>
      <c r="EH8" s="208">
        <v>15006116</v>
      </c>
      <c r="EI8" s="208">
        <v>14705994</v>
      </c>
      <c r="EJ8" s="208">
        <v>300122</v>
      </c>
      <c r="EK8" s="208">
        <v>30012232</v>
      </c>
      <c r="EL8" s="208">
        <v>0</v>
      </c>
      <c r="EM8" s="208">
        <v>195264</v>
      </c>
      <c r="EN8" s="208">
        <v>191360</v>
      </c>
      <c r="EO8" s="208">
        <v>3905</v>
      </c>
      <c r="EP8" s="208">
        <v>390529</v>
      </c>
      <c r="EQ8" s="208">
        <v>47446</v>
      </c>
      <c r="ER8" s="208">
        <v>233220</v>
      </c>
      <c r="ES8" s="208">
        <v>199900</v>
      </c>
      <c r="ET8" s="208">
        <v>4854</v>
      </c>
      <c r="EU8" s="208">
        <v>485420</v>
      </c>
      <c r="EV8" s="666">
        <v>0</v>
      </c>
      <c r="EW8" s="666">
        <v>0.5</v>
      </c>
      <c r="EX8" s="666">
        <v>0.49</v>
      </c>
      <c r="EY8" s="666">
        <v>0.01</v>
      </c>
      <c r="EZ8" s="666">
        <v>1</v>
      </c>
      <c r="FA8" s="187" t="s">
        <v>1054</v>
      </c>
      <c r="FC8" s="187">
        <v>0</v>
      </c>
    </row>
    <row r="9" spans="1:159" s="187" customFormat="1" x14ac:dyDescent="0.2">
      <c r="B9" s="429" t="s">
        <v>97</v>
      </c>
      <c r="C9" s="429" t="s">
        <v>96</v>
      </c>
      <c r="D9" s="208">
        <v>17070908</v>
      </c>
      <c r="E9" s="208">
        <v>13656726</v>
      </c>
      <c r="F9" s="208">
        <v>3414182</v>
      </c>
      <c r="G9" s="208">
        <v>0</v>
      </c>
      <c r="H9" s="208">
        <v>34141816</v>
      </c>
      <c r="I9" s="208">
        <v>0</v>
      </c>
      <c r="J9" s="208">
        <v>0</v>
      </c>
      <c r="K9" s="208">
        <v>17070908</v>
      </c>
      <c r="L9" s="208">
        <v>184923</v>
      </c>
      <c r="M9" s="208">
        <v>184923</v>
      </c>
      <c r="N9" s="208">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2021571</v>
      </c>
      <c r="AH9" s="208">
        <v>505392</v>
      </c>
      <c r="AI9" s="208">
        <v>0</v>
      </c>
      <c r="AJ9" s="208">
        <v>2526963</v>
      </c>
      <c r="AK9" s="208">
        <v>326098</v>
      </c>
      <c r="AL9" s="208">
        <v>260879</v>
      </c>
      <c r="AM9" s="208">
        <v>65220</v>
      </c>
      <c r="AN9" s="208">
        <v>0</v>
      </c>
      <c r="AO9" s="208">
        <v>652197</v>
      </c>
      <c r="AP9" s="208">
        <v>-507594</v>
      </c>
      <c r="AQ9" s="208">
        <v>-406076</v>
      </c>
      <c r="AR9" s="208">
        <v>-101519</v>
      </c>
      <c r="AS9" s="208">
        <v>0</v>
      </c>
      <c r="AT9" s="208">
        <v>-1015189</v>
      </c>
      <c r="AU9" s="208">
        <v>-187500</v>
      </c>
      <c r="AV9" s="208">
        <v>-150000</v>
      </c>
      <c r="AW9" s="208">
        <v>-37500</v>
      </c>
      <c r="AX9" s="208">
        <v>0</v>
      </c>
      <c r="AY9" s="208">
        <v>-375000</v>
      </c>
      <c r="AZ9" s="208">
        <v>132503</v>
      </c>
      <c r="BA9" s="208">
        <v>106003</v>
      </c>
      <c r="BB9" s="208">
        <v>26501</v>
      </c>
      <c r="BC9" s="208">
        <v>0</v>
      </c>
      <c r="BD9" s="208">
        <v>265007</v>
      </c>
      <c r="BE9" s="208">
        <v>-118503</v>
      </c>
      <c r="BF9" s="208">
        <v>-94803</v>
      </c>
      <c r="BG9" s="208">
        <v>-23701</v>
      </c>
      <c r="BH9" s="208">
        <v>0</v>
      </c>
      <c r="BI9" s="208">
        <v>-237007</v>
      </c>
      <c r="BJ9" s="208">
        <v>-173500</v>
      </c>
      <c r="BK9" s="208">
        <v>-138800</v>
      </c>
      <c r="BL9" s="208">
        <v>-34700</v>
      </c>
      <c r="BM9" s="208">
        <v>0</v>
      </c>
      <c r="BN9" s="208">
        <v>-347000</v>
      </c>
      <c r="BO9" s="208">
        <v>-2137500</v>
      </c>
      <c r="BP9" s="208">
        <v>-1710000</v>
      </c>
      <c r="BQ9" s="208">
        <v>-427500</v>
      </c>
      <c r="BR9" s="208">
        <v>0</v>
      </c>
      <c r="BS9" s="208">
        <v>-4275000</v>
      </c>
      <c r="BT9" s="208">
        <v>0</v>
      </c>
      <c r="BU9" s="208">
        <v>0</v>
      </c>
      <c r="BV9" s="208">
        <v>0</v>
      </c>
      <c r="BW9" s="208">
        <v>0</v>
      </c>
      <c r="BX9" s="208">
        <v>0</v>
      </c>
      <c r="BY9" s="208">
        <v>-2137500</v>
      </c>
      <c r="BZ9" s="208">
        <v>-1710000</v>
      </c>
      <c r="CA9" s="208">
        <v>-427500</v>
      </c>
      <c r="CB9" s="208">
        <v>0</v>
      </c>
      <c r="CC9" s="208">
        <v>-4275000</v>
      </c>
      <c r="CD9" s="208">
        <v>322024</v>
      </c>
      <c r="CE9" s="208">
        <v>257620</v>
      </c>
      <c r="CF9" s="208">
        <v>64405</v>
      </c>
      <c r="CG9" s="208">
        <v>0</v>
      </c>
      <c r="CH9" s="208">
        <v>644049</v>
      </c>
      <c r="CI9" s="208">
        <v>0</v>
      </c>
      <c r="CJ9" s="208">
        <v>0</v>
      </c>
      <c r="CK9" s="208">
        <v>0</v>
      </c>
      <c r="CL9" s="208">
        <v>0</v>
      </c>
      <c r="CM9" s="208">
        <v>0</v>
      </c>
      <c r="CN9" s="208">
        <v>-1777024</v>
      </c>
      <c r="CO9" s="208">
        <v>-1421620</v>
      </c>
      <c r="CP9" s="208">
        <v>-355405</v>
      </c>
      <c r="CQ9" s="208">
        <v>0</v>
      </c>
      <c r="CR9" s="208">
        <v>-3554049</v>
      </c>
      <c r="CS9" s="208">
        <v>0</v>
      </c>
      <c r="CT9" s="208">
        <v>0</v>
      </c>
      <c r="CU9" s="208">
        <v>0</v>
      </c>
      <c r="CV9" s="208">
        <v>0</v>
      </c>
      <c r="CW9" s="208">
        <v>0</v>
      </c>
      <c r="CX9" s="208">
        <v>-3592500</v>
      </c>
      <c r="CY9" s="208">
        <v>-2874000</v>
      </c>
      <c r="CZ9" s="208">
        <v>-718500</v>
      </c>
      <c r="DA9" s="208">
        <v>0</v>
      </c>
      <c r="DB9" s="208">
        <v>-7185000</v>
      </c>
      <c r="DC9" s="208">
        <v>-1455000</v>
      </c>
      <c r="DD9" s="208">
        <v>-1164000</v>
      </c>
      <c r="DE9" s="208">
        <v>-291000</v>
      </c>
      <c r="DF9" s="208">
        <v>0</v>
      </c>
      <c r="DG9" s="208">
        <v>-2910000</v>
      </c>
      <c r="DH9" s="208">
        <v>-2137500</v>
      </c>
      <c r="DI9" s="208">
        <v>-1710000</v>
      </c>
      <c r="DJ9" s="208">
        <v>-427500</v>
      </c>
      <c r="DK9" s="208">
        <v>0</v>
      </c>
      <c r="DL9" s="208">
        <v>-4275000</v>
      </c>
      <c r="DM9" s="208">
        <v>329827</v>
      </c>
      <c r="DN9" s="208">
        <v>263864</v>
      </c>
      <c r="DO9" s="208">
        <v>65967</v>
      </c>
      <c r="DP9" s="208">
        <v>0</v>
      </c>
      <c r="DQ9" s="208">
        <v>659658</v>
      </c>
      <c r="DR9" s="208">
        <v>-36163</v>
      </c>
      <c r="DS9" s="208">
        <v>-28930</v>
      </c>
      <c r="DT9" s="208">
        <v>-7233</v>
      </c>
      <c r="DU9" s="208">
        <v>0</v>
      </c>
      <c r="DV9" s="208">
        <v>-72326</v>
      </c>
      <c r="DW9" s="208">
        <v>365990</v>
      </c>
      <c r="DX9" s="208">
        <v>292794</v>
      </c>
      <c r="DY9" s="208">
        <v>73200</v>
      </c>
      <c r="DZ9" s="208">
        <v>0</v>
      </c>
      <c r="EA9" s="208">
        <v>731984</v>
      </c>
      <c r="EB9" s="208">
        <v>18379955</v>
      </c>
      <c r="EC9" s="208">
        <v>14703964</v>
      </c>
      <c r="ED9" s="208">
        <v>3675991</v>
      </c>
      <c r="EE9" s="208">
        <v>0</v>
      </c>
      <c r="EF9" s="208">
        <v>36759910</v>
      </c>
      <c r="EG9" s="208">
        <v>17070908</v>
      </c>
      <c r="EH9" s="208">
        <v>13656726</v>
      </c>
      <c r="EI9" s="208">
        <v>3414182</v>
      </c>
      <c r="EJ9" s="208">
        <v>0</v>
      </c>
      <c r="EK9" s="208">
        <v>34141816</v>
      </c>
      <c r="EL9" s="208">
        <v>-1309047</v>
      </c>
      <c r="EM9" s="208">
        <v>-1047238</v>
      </c>
      <c r="EN9" s="208">
        <v>-261809</v>
      </c>
      <c r="EO9" s="208">
        <v>0</v>
      </c>
      <c r="EP9" s="208">
        <v>-2618094</v>
      </c>
      <c r="EQ9" s="208">
        <v>-943057</v>
      </c>
      <c r="ER9" s="208">
        <v>-754444</v>
      </c>
      <c r="ES9" s="208">
        <v>-188609</v>
      </c>
      <c r="ET9" s="208">
        <v>0</v>
      </c>
      <c r="EU9" s="208">
        <v>-1886110</v>
      </c>
      <c r="EV9" s="666">
        <v>0.5</v>
      </c>
      <c r="EW9" s="666">
        <v>0.4</v>
      </c>
      <c r="EX9" s="666">
        <v>0.1</v>
      </c>
      <c r="EY9" s="666">
        <v>0</v>
      </c>
      <c r="EZ9" s="666">
        <v>1</v>
      </c>
      <c r="FA9" s="187" t="s">
        <v>1054</v>
      </c>
      <c r="FC9" s="187">
        <v>0</v>
      </c>
    </row>
    <row r="10" spans="1:159" s="187" customFormat="1" x14ac:dyDescent="0.2">
      <c r="B10" s="429" t="s">
        <v>99</v>
      </c>
      <c r="C10" s="429" t="s">
        <v>98</v>
      </c>
      <c r="D10" s="208">
        <v>18185085</v>
      </c>
      <c r="E10" s="208">
        <v>14548068</v>
      </c>
      <c r="F10" s="208">
        <v>3273315</v>
      </c>
      <c r="G10" s="208">
        <v>363702</v>
      </c>
      <c r="H10" s="208">
        <v>36370170</v>
      </c>
      <c r="I10" s="208">
        <v>0</v>
      </c>
      <c r="J10" s="208">
        <v>0</v>
      </c>
      <c r="K10" s="208">
        <v>18185085</v>
      </c>
      <c r="L10" s="208">
        <v>130283</v>
      </c>
      <c r="M10" s="208">
        <v>130283</v>
      </c>
      <c r="N10" s="208">
        <v>0</v>
      </c>
      <c r="O10" s="208">
        <v>0</v>
      </c>
      <c r="P10" s="208">
        <v>22564</v>
      </c>
      <c r="Q10" s="208">
        <v>0</v>
      </c>
      <c r="R10" s="208">
        <v>22564</v>
      </c>
      <c r="S10" s="208">
        <v>0</v>
      </c>
      <c r="T10" s="208">
        <v>0</v>
      </c>
      <c r="U10" s="208">
        <v>0</v>
      </c>
      <c r="V10" s="208">
        <v>0</v>
      </c>
      <c r="W10" s="208">
        <v>0</v>
      </c>
      <c r="X10" s="208">
        <v>0</v>
      </c>
      <c r="Y10" s="208">
        <v>0</v>
      </c>
      <c r="Z10" s="208">
        <v>0</v>
      </c>
      <c r="AA10" s="208">
        <v>0</v>
      </c>
      <c r="AB10" s="208">
        <v>0</v>
      </c>
      <c r="AC10" s="208">
        <v>0</v>
      </c>
      <c r="AD10" s="208">
        <v>0</v>
      </c>
      <c r="AE10" s="208">
        <v>0</v>
      </c>
      <c r="AF10" s="208">
        <v>0</v>
      </c>
      <c r="AG10" s="208">
        <v>1313500</v>
      </c>
      <c r="AH10" s="208">
        <v>295286</v>
      </c>
      <c r="AI10" s="208">
        <v>32808</v>
      </c>
      <c r="AJ10" s="208">
        <v>1641594</v>
      </c>
      <c r="AK10" s="208">
        <v>560025</v>
      </c>
      <c r="AL10" s="208">
        <v>448019</v>
      </c>
      <c r="AM10" s="208">
        <v>100804</v>
      </c>
      <c r="AN10" s="208">
        <v>11200</v>
      </c>
      <c r="AO10" s="208">
        <v>1120048</v>
      </c>
      <c r="AP10" s="208">
        <v>-87248</v>
      </c>
      <c r="AQ10" s="208">
        <v>-69799</v>
      </c>
      <c r="AR10" s="208">
        <v>-15705</v>
      </c>
      <c r="AS10" s="208">
        <v>-1745</v>
      </c>
      <c r="AT10" s="208">
        <v>-174497</v>
      </c>
      <c r="AU10" s="208">
        <v>-262719</v>
      </c>
      <c r="AV10" s="208">
        <v>-210176</v>
      </c>
      <c r="AW10" s="208">
        <v>-47290</v>
      </c>
      <c r="AX10" s="208">
        <v>-5254</v>
      </c>
      <c r="AY10" s="208">
        <v>-525439</v>
      </c>
      <c r="AZ10" s="208">
        <v>131652</v>
      </c>
      <c r="BA10" s="208">
        <v>105322</v>
      </c>
      <c r="BB10" s="208">
        <v>23697</v>
      </c>
      <c r="BC10" s="208">
        <v>2633</v>
      </c>
      <c r="BD10" s="208">
        <v>263304</v>
      </c>
      <c r="BE10" s="208">
        <v>-114189</v>
      </c>
      <c r="BF10" s="208">
        <v>-91351</v>
      </c>
      <c r="BG10" s="208">
        <v>-20554</v>
      </c>
      <c r="BH10" s="208">
        <v>-2284</v>
      </c>
      <c r="BI10" s="208">
        <v>-228378</v>
      </c>
      <c r="BJ10" s="208">
        <v>-245256</v>
      </c>
      <c r="BK10" s="208">
        <v>-196205</v>
      </c>
      <c r="BL10" s="208">
        <v>-44147</v>
      </c>
      <c r="BM10" s="208">
        <v>-4905</v>
      </c>
      <c r="BN10" s="208">
        <v>-490513</v>
      </c>
      <c r="BO10" s="208">
        <v>-1512974</v>
      </c>
      <c r="BP10" s="208">
        <v>-1210380</v>
      </c>
      <c r="BQ10" s="208">
        <v>-272336</v>
      </c>
      <c r="BR10" s="208">
        <v>-30260</v>
      </c>
      <c r="BS10" s="208">
        <v>-3025950</v>
      </c>
      <c r="BT10" s="208">
        <v>-690958</v>
      </c>
      <c r="BU10" s="208">
        <v>-552766</v>
      </c>
      <c r="BV10" s="208">
        <v>-124372</v>
      </c>
      <c r="BW10" s="208">
        <v>-13819</v>
      </c>
      <c r="BX10" s="208">
        <v>-1381915</v>
      </c>
      <c r="BY10" s="208">
        <v>-822018</v>
      </c>
      <c r="BZ10" s="208">
        <v>-657614</v>
      </c>
      <c r="CA10" s="208">
        <v>-147963</v>
      </c>
      <c r="CB10" s="208">
        <v>-16440</v>
      </c>
      <c r="CC10" s="208">
        <v>-1644035</v>
      </c>
      <c r="CD10" s="208">
        <v>116150</v>
      </c>
      <c r="CE10" s="208">
        <v>92920</v>
      </c>
      <c r="CF10" s="208">
        <v>20907</v>
      </c>
      <c r="CG10" s="208">
        <v>2323</v>
      </c>
      <c r="CH10" s="208">
        <v>232300</v>
      </c>
      <c r="CI10" s="208">
        <v>30172</v>
      </c>
      <c r="CJ10" s="208">
        <v>24138</v>
      </c>
      <c r="CK10" s="208">
        <v>5431</v>
      </c>
      <c r="CL10" s="208">
        <v>603</v>
      </c>
      <c r="CM10" s="208">
        <v>60344</v>
      </c>
      <c r="CN10" s="208">
        <v>-180481</v>
      </c>
      <c r="CO10" s="208">
        <v>-144384</v>
      </c>
      <c r="CP10" s="208">
        <v>-32486</v>
      </c>
      <c r="CQ10" s="208">
        <v>-3610</v>
      </c>
      <c r="CR10" s="208">
        <v>-360961</v>
      </c>
      <c r="CS10" s="208">
        <v>-195784</v>
      </c>
      <c r="CT10" s="208">
        <v>-156627</v>
      </c>
      <c r="CU10" s="208">
        <v>-35241</v>
      </c>
      <c r="CV10" s="208">
        <v>-3916</v>
      </c>
      <c r="CW10" s="208">
        <v>-391568</v>
      </c>
      <c r="CX10" s="208">
        <v>-1742917</v>
      </c>
      <c r="CY10" s="208">
        <v>-1394333</v>
      </c>
      <c r="CZ10" s="208">
        <v>-313725</v>
      </c>
      <c r="DA10" s="208">
        <v>-34860</v>
      </c>
      <c r="DB10" s="208">
        <v>-3485835</v>
      </c>
      <c r="DC10" s="208">
        <v>-755289</v>
      </c>
      <c r="DD10" s="208">
        <v>-604230</v>
      </c>
      <c r="DE10" s="208">
        <v>-135951</v>
      </c>
      <c r="DF10" s="208">
        <v>-15106</v>
      </c>
      <c r="DG10" s="208">
        <v>-1510576</v>
      </c>
      <c r="DH10" s="208">
        <v>-987630</v>
      </c>
      <c r="DI10" s="208">
        <v>-790103</v>
      </c>
      <c r="DJ10" s="208">
        <v>-177773</v>
      </c>
      <c r="DK10" s="208">
        <v>-19753</v>
      </c>
      <c r="DL10" s="208">
        <v>-1975259</v>
      </c>
      <c r="DM10" s="208">
        <v>-794693</v>
      </c>
      <c r="DN10" s="208">
        <v>-635754</v>
      </c>
      <c r="DO10" s="208">
        <v>-143044</v>
      </c>
      <c r="DP10" s="208">
        <v>-15893</v>
      </c>
      <c r="DQ10" s="208">
        <v>-1589384</v>
      </c>
      <c r="DR10" s="208">
        <v>-89949</v>
      </c>
      <c r="DS10" s="208">
        <v>-71959</v>
      </c>
      <c r="DT10" s="208">
        <v>-16191</v>
      </c>
      <c r="DU10" s="208">
        <v>-1799</v>
      </c>
      <c r="DV10" s="208">
        <v>-179898</v>
      </c>
      <c r="DW10" s="208">
        <v>-704744</v>
      </c>
      <c r="DX10" s="208">
        <v>-563795</v>
      </c>
      <c r="DY10" s="208">
        <v>-126853</v>
      </c>
      <c r="DZ10" s="208">
        <v>-14094</v>
      </c>
      <c r="EA10" s="208">
        <v>-1409486</v>
      </c>
      <c r="EB10" s="208">
        <v>18769244</v>
      </c>
      <c r="EC10" s="208">
        <v>15015396</v>
      </c>
      <c r="ED10" s="208">
        <v>3378464</v>
      </c>
      <c r="EE10" s="208">
        <v>375385</v>
      </c>
      <c r="EF10" s="208">
        <v>37538489</v>
      </c>
      <c r="EG10" s="208">
        <v>18185085</v>
      </c>
      <c r="EH10" s="208">
        <v>14548068</v>
      </c>
      <c r="EI10" s="208">
        <v>3273315</v>
      </c>
      <c r="EJ10" s="208">
        <v>363702</v>
      </c>
      <c r="EK10" s="208">
        <v>36370170</v>
      </c>
      <c r="EL10" s="208">
        <v>-584159</v>
      </c>
      <c r="EM10" s="208">
        <v>-467328</v>
      </c>
      <c r="EN10" s="208">
        <v>-105149</v>
      </c>
      <c r="EO10" s="208">
        <v>-11683</v>
      </c>
      <c r="EP10" s="208">
        <v>-1168319</v>
      </c>
      <c r="EQ10" s="208">
        <v>-1288903</v>
      </c>
      <c r="ER10" s="208">
        <v>-1031123</v>
      </c>
      <c r="ES10" s="208">
        <v>-232002</v>
      </c>
      <c r="ET10" s="208">
        <v>-25777</v>
      </c>
      <c r="EU10" s="208">
        <v>-2577805</v>
      </c>
      <c r="EV10" s="666">
        <v>0.5</v>
      </c>
      <c r="EW10" s="666">
        <v>0.4</v>
      </c>
      <c r="EX10" s="666">
        <v>0.09</v>
      </c>
      <c r="EY10" s="666">
        <v>0.01</v>
      </c>
      <c r="EZ10" s="666">
        <v>1</v>
      </c>
      <c r="FA10" s="187" t="s">
        <v>1054</v>
      </c>
      <c r="FC10" s="187">
        <v>0</v>
      </c>
    </row>
    <row r="11" spans="1:159" s="187" customFormat="1" x14ac:dyDescent="0.2">
      <c r="B11" s="429" t="s">
        <v>101</v>
      </c>
      <c r="C11" s="429" t="s">
        <v>100</v>
      </c>
      <c r="D11" s="208">
        <v>0</v>
      </c>
      <c r="E11" s="208">
        <v>20218431</v>
      </c>
      <c r="F11" s="208">
        <v>29822186</v>
      </c>
      <c r="G11" s="208">
        <v>505461</v>
      </c>
      <c r="H11" s="208">
        <v>50546078</v>
      </c>
      <c r="I11" s="208">
        <v>0</v>
      </c>
      <c r="J11" s="208">
        <v>0</v>
      </c>
      <c r="K11" s="208">
        <v>0</v>
      </c>
      <c r="L11" s="208">
        <v>186007</v>
      </c>
      <c r="M11" s="208">
        <v>186007</v>
      </c>
      <c r="N11" s="208">
        <v>0</v>
      </c>
      <c r="O11" s="208">
        <v>0</v>
      </c>
      <c r="P11" s="208">
        <v>100198</v>
      </c>
      <c r="Q11" s="208">
        <v>0</v>
      </c>
      <c r="R11" s="208">
        <v>100198</v>
      </c>
      <c r="S11" s="208">
        <v>0</v>
      </c>
      <c r="T11" s="208">
        <v>0</v>
      </c>
      <c r="U11" s="208">
        <v>0</v>
      </c>
      <c r="V11" s="208">
        <v>0</v>
      </c>
      <c r="W11" s="208">
        <v>0</v>
      </c>
      <c r="X11" s="208">
        <v>0</v>
      </c>
      <c r="Y11" s="208">
        <v>0</v>
      </c>
      <c r="Z11" s="208">
        <v>0</v>
      </c>
      <c r="AA11" s="208">
        <v>0</v>
      </c>
      <c r="AB11" s="208">
        <v>0</v>
      </c>
      <c r="AC11" s="208">
        <v>0</v>
      </c>
      <c r="AD11" s="208">
        <v>0</v>
      </c>
      <c r="AE11" s="208">
        <v>0</v>
      </c>
      <c r="AF11" s="208">
        <v>0</v>
      </c>
      <c r="AG11" s="208">
        <v>1968836</v>
      </c>
      <c r="AH11" s="208">
        <v>2900647</v>
      </c>
      <c r="AI11" s="208">
        <v>49163</v>
      </c>
      <c r="AJ11" s="208">
        <v>4918646</v>
      </c>
      <c r="AK11" s="208">
        <v>0</v>
      </c>
      <c r="AL11" s="208">
        <v>410790</v>
      </c>
      <c r="AM11" s="208">
        <v>605916</v>
      </c>
      <c r="AN11" s="208">
        <v>10270</v>
      </c>
      <c r="AO11" s="208">
        <v>1026976</v>
      </c>
      <c r="AP11" s="208">
        <v>0</v>
      </c>
      <c r="AQ11" s="208">
        <v>-263308</v>
      </c>
      <c r="AR11" s="208">
        <v>-388379</v>
      </c>
      <c r="AS11" s="208">
        <v>-6583</v>
      </c>
      <c r="AT11" s="208">
        <v>-658270</v>
      </c>
      <c r="AU11" s="208">
        <v>-1</v>
      </c>
      <c r="AV11" s="208">
        <v>-100215</v>
      </c>
      <c r="AW11" s="208">
        <v>-147817</v>
      </c>
      <c r="AX11" s="208">
        <v>-2505</v>
      </c>
      <c r="AY11" s="208">
        <v>-250538</v>
      </c>
      <c r="AZ11" s="208">
        <v>1</v>
      </c>
      <c r="BA11" s="208">
        <v>100215</v>
      </c>
      <c r="BB11" s="208">
        <v>147817</v>
      </c>
      <c r="BC11" s="208">
        <v>2505</v>
      </c>
      <c r="BD11" s="208">
        <v>250538</v>
      </c>
      <c r="BE11" s="208">
        <v>1</v>
      </c>
      <c r="BF11" s="208">
        <v>-134467</v>
      </c>
      <c r="BG11" s="208">
        <v>-198339</v>
      </c>
      <c r="BH11" s="208">
        <v>-3362</v>
      </c>
      <c r="BI11" s="208">
        <v>-336167</v>
      </c>
      <c r="BJ11" s="208">
        <v>1</v>
      </c>
      <c r="BK11" s="208">
        <v>-134467</v>
      </c>
      <c r="BL11" s="208">
        <v>-198339</v>
      </c>
      <c r="BM11" s="208">
        <v>-3362</v>
      </c>
      <c r="BN11" s="208">
        <v>-336167</v>
      </c>
      <c r="BO11" s="208">
        <v>0</v>
      </c>
      <c r="BP11" s="208">
        <v>-1528060</v>
      </c>
      <c r="BQ11" s="208">
        <v>-2253889</v>
      </c>
      <c r="BR11" s="208">
        <v>-38202</v>
      </c>
      <c r="BS11" s="208">
        <v>-3820151</v>
      </c>
      <c r="BT11" s="208">
        <v>0</v>
      </c>
      <c r="BU11" s="208">
        <v>-426152</v>
      </c>
      <c r="BV11" s="208">
        <v>-628575</v>
      </c>
      <c r="BW11" s="208">
        <v>-10654</v>
      </c>
      <c r="BX11" s="208">
        <v>-1065381</v>
      </c>
      <c r="BY11" s="208">
        <v>0</v>
      </c>
      <c r="BZ11" s="208">
        <v>-1101908</v>
      </c>
      <c r="CA11" s="208">
        <v>-1625314</v>
      </c>
      <c r="CB11" s="208">
        <v>-27548</v>
      </c>
      <c r="CC11" s="208">
        <v>-2754770</v>
      </c>
      <c r="CD11" s="208">
        <v>0</v>
      </c>
      <c r="CE11" s="208">
        <v>15005</v>
      </c>
      <c r="CF11" s="208">
        <v>22132</v>
      </c>
      <c r="CG11" s="208">
        <v>375</v>
      </c>
      <c r="CH11" s="208">
        <v>37512</v>
      </c>
      <c r="CI11" s="208">
        <v>0</v>
      </c>
      <c r="CJ11" s="208">
        <v>21504</v>
      </c>
      <c r="CK11" s="208">
        <v>31718</v>
      </c>
      <c r="CL11" s="208">
        <v>538</v>
      </c>
      <c r="CM11" s="208">
        <v>53760</v>
      </c>
      <c r="CN11" s="208">
        <v>0</v>
      </c>
      <c r="CO11" s="208">
        <v>0</v>
      </c>
      <c r="CP11" s="208">
        <v>0</v>
      </c>
      <c r="CQ11" s="208">
        <v>0</v>
      </c>
      <c r="CR11" s="208">
        <v>0</v>
      </c>
      <c r="CS11" s="208">
        <v>0</v>
      </c>
      <c r="CT11" s="208">
        <v>0</v>
      </c>
      <c r="CU11" s="208">
        <v>0</v>
      </c>
      <c r="CV11" s="208">
        <v>0</v>
      </c>
      <c r="CW11" s="208">
        <v>0</v>
      </c>
      <c r="CX11" s="208">
        <v>0</v>
      </c>
      <c r="CY11" s="208">
        <v>-1491551</v>
      </c>
      <c r="CZ11" s="208">
        <v>-2200039</v>
      </c>
      <c r="DA11" s="208">
        <v>-37289</v>
      </c>
      <c r="DB11" s="208">
        <v>-3728879</v>
      </c>
      <c r="DC11" s="208">
        <v>0</v>
      </c>
      <c r="DD11" s="208">
        <v>-411147</v>
      </c>
      <c r="DE11" s="208">
        <v>-606443</v>
      </c>
      <c r="DF11" s="208">
        <v>-10279</v>
      </c>
      <c r="DG11" s="208">
        <v>-1027869</v>
      </c>
      <c r="DH11" s="208">
        <v>0</v>
      </c>
      <c r="DI11" s="208">
        <v>-1080404</v>
      </c>
      <c r="DJ11" s="208">
        <v>-1593596</v>
      </c>
      <c r="DK11" s="208">
        <v>-27010</v>
      </c>
      <c r="DL11" s="208">
        <v>-2701010</v>
      </c>
      <c r="DM11" s="208">
        <v>-900213</v>
      </c>
      <c r="DN11" s="208">
        <v>-720170</v>
      </c>
      <c r="DO11" s="208">
        <v>-162039</v>
      </c>
      <c r="DP11" s="208">
        <v>-18004</v>
      </c>
      <c r="DQ11" s="208">
        <v>-1800426</v>
      </c>
      <c r="DR11" s="208">
        <v>-153642</v>
      </c>
      <c r="DS11" s="208">
        <v>-122914</v>
      </c>
      <c r="DT11" s="208">
        <v>-27656</v>
      </c>
      <c r="DU11" s="208">
        <v>-3073</v>
      </c>
      <c r="DV11" s="208">
        <v>-307285</v>
      </c>
      <c r="DW11" s="208">
        <v>-746571</v>
      </c>
      <c r="DX11" s="208">
        <v>-597256</v>
      </c>
      <c r="DY11" s="208">
        <v>-134383</v>
      </c>
      <c r="DZ11" s="208">
        <v>-14931</v>
      </c>
      <c r="EA11" s="208">
        <v>-1493141</v>
      </c>
      <c r="EB11" s="208">
        <v>0</v>
      </c>
      <c r="EC11" s="208">
        <v>19532485</v>
      </c>
      <c r="ED11" s="208">
        <v>28810416</v>
      </c>
      <c r="EE11" s="208">
        <v>488312</v>
      </c>
      <c r="EF11" s="208">
        <v>48831213</v>
      </c>
      <c r="EG11" s="208">
        <v>0</v>
      </c>
      <c r="EH11" s="208">
        <v>20218431</v>
      </c>
      <c r="EI11" s="208">
        <v>29822186</v>
      </c>
      <c r="EJ11" s="208">
        <v>505461</v>
      </c>
      <c r="EK11" s="208">
        <v>50546078</v>
      </c>
      <c r="EL11" s="208">
        <v>0</v>
      </c>
      <c r="EM11" s="208">
        <v>685946</v>
      </c>
      <c r="EN11" s="208">
        <v>1011770</v>
      </c>
      <c r="EO11" s="208">
        <v>17149</v>
      </c>
      <c r="EP11" s="208">
        <v>1714865</v>
      </c>
      <c r="EQ11" s="208">
        <v>-746571</v>
      </c>
      <c r="ER11" s="208">
        <v>88690</v>
      </c>
      <c r="ES11" s="208">
        <v>877387</v>
      </c>
      <c r="ET11" s="208">
        <v>2218</v>
      </c>
      <c r="EU11" s="208">
        <v>221724</v>
      </c>
      <c r="EV11" s="666">
        <v>0</v>
      </c>
      <c r="EW11" s="666">
        <v>0.4</v>
      </c>
      <c r="EX11" s="666">
        <v>0.59</v>
      </c>
      <c r="EY11" s="666">
        <v>0.01</v>
      </c>
      <c r="EZ11" s="666">
        <v>1</v>
      </c>
      <c r="FA11" s="187" t="s">
        <v>1054</v>
      </c>
      <c r="FC11" s="187">
        <v>0</v>
      </c>
    </row>
    <row r="12" spans="1:159" s="187" customFormat="1" x14ac:dyDescent="0.2">
      <c r="B12" s="429" t="s">
        <v>103</v>
      </c>
      <c r="C12" s="429" t="s">
        <v>102</v>
      </c>
      <c r="D12" s="208">
        <v>26048711</v>
      </c>
      <c r="E12" s="208">
        <v>20838968</v>
      </c>
      <c r="F12" s="208">
        <v>4688768</v>
      </c>
      <c r="G12" s="208">
        <v>520974</v>
      </c>
      <c r="H12" s="208">
        <v>52097421</v>
      </c>
      <c r="I12" s="208">
        <v>221059</v>
      </c>
      <c r="J12" s="208">
        <v>221059</v>
      </c>
      <c r="K12" s="208">
        <v>25827652</v>
      </c>
      <c r="L12" s="208">
        <v>224065</v>
      </c>
      <c r="M12" s="208">
        <v>224065</v>
      </c>
      <c r="N12" s="208">
        <v>523808</v>
      </c>
      <c r="O12" s="208">
        <v>523808</v>
      </c>
      <c r="P12" s="208">
        <v>0</v>
      </c>
      <c r="Q12" s="208">
        <v>226780</v>
      </c>
      <c r="R12" s="208">
        <v>226780</v>
      </c>
      <c r="S12" s="208">
        <v>0</v>
      </c>
      <c r="T12" s="208">
        <v>0</v>
      </c>
      <c r="U12" s="208">
        <v>0</v>
      </c>
      <c r="V12" s="208">
        <v>0</v>
      </c>
      <c r="W12" s="208">
        <v>221059.45208333334</v>
      </c>
      <c r="X12" s="208">
        <v>0</v>
      </c>
      <c r="Y12" s="208">
        <v>0</v>
      </c>
      <c r="Z12" s="208">
        <v>221059.45208333334</v>
      </c>
      <c r="AA12" s="208">
        <v>0</v>
      </c>
      <c r="AB12" s="208">
        <v>0</v>
      </c>
      <c r="AC12" s="208">
        <v>0</v>
      </c>
      <c r="AD12" s="208">
        <v>0</v>
      </c>
      <c r="AE12" s="208">
        <v>0</v>
      </c>
      <c r="AF12" s="208">
        <v>0</v>
      </c>
      <c r="AG12" s="208">
        <v>2415262</v>
      </c>
      <c r="AH12" s="208">
        <v>544360</v>
      </c>
      <c r="AI12" s="208">
        <v>59907</v>
      </c>
      <c r="AJ12" s="208">
        <v>3019529</v>
      </c>
      <c r="AK12" s="208">
        <v>69748</v>
      </c>
      <c r="AL12" s="208">
        <v>55799</v>
      </c>
      <c r="AM12" s="208">
        <v>12555</v>
      </c>
      <c r="AN12" s="208">
        <v>1395</v>
      </c>
      <c r="AO12" s="208">
        <v>139497</v>
      </c>
      <c r="AP12" s="208">
        <v>-592927</v>
      </c>
      <c r="AQ12" s="208">
        <v>-474342</v>
      </c>
      <c r="AR12" s="208">
        <v>-106727</v>
      </c>
      <c r="AS12" s="208">
        <v>-11859</v>
      </c>
      <c r="AT12" s="208">
        <v>-1185855</v>
      </c>
      <c r="AU12" s="208">
        <v>-47927</v>
      </c>
      <c r="AV12" s="208">
        <v>-38342</v>
      </c>
      <c r="AW12" s="208">
        <v>-8627</v>
      </c>
      <c r="AX12" s="208">
        <v>-959</v>
      </c>
      <c r="AY12" s="208">
        <v>-95855</v>
      </c>
      <c r="AZ12" s="208">
        <v>0</v>
      </c>
      <c r="BA12" s="208">
        <v>0</v>
      </c>
      <c r="BB12" s="208">
        <v>0</v>
      </c>
      <c r="BC12" s="208">
        <v>0</v>
      </c>
      <c r="BD12" s="208">
        <v>0</v>
      </c>
      <c r="BE12" s="208">
        <v>22357</v>
      </c>
      <c r="BF12" s="208">
        <v>17885</v>
      </c>
      <c r="BG12" s="208">
        <v>4024</v>
      </c>
      <c r="BH12" s="208">
        <v>447</v>
      </c>
      <c r="BI12" s="208">
        <v>44713</v>
      </c>
      <c r="BJ12" s="208">
        <v>-25570</v>
      </c>
      <c r="BK12" s="208">
        <v>-20457</v>
      </c>
      <c r="BL12" s="208">
        <v>-4603</v>
      </c>
      <c r="BM12" s="208">
        <v>-512</v>
      </c>
      <c r="BN12" s="208">
        <v>-51142</v>
      </c>
      <c r="BO12" s="208">
        <v>-2077125</v>
      </c>
      <c r="BP12" s="208">
        <v>-1661700</v>
      </c>
      <c r="BQ12" s="208">
        <v>-373883</v>
      </c>
      <c r="BR12" s="208">
        <v>-41543</v>
      </c>
      <c r="BS12" s="208">
        <v>-4154251</v>
      </c>
      <c r="BT12" s="208">
        <v>0</v>
      </c>
      <c r="BU12" s="208">
        <v>0</v>
      </c>
      <c r="BV12" s="208">
        <v>0</v>
      </c>
      <c r="BW12" s="208">
        <v>0</v>
      </c>
      <c r="BX12" s="208">
        <v>0</v>
      </c>
      <c r="BY12" s="208">
        <v>-2077125</v>
      </c>
      <c r="BZ12" s="208">
        <v>-1661700</v>
      </c>
      <c r="CA12" s="208">
        <v>-373883</v>
      </c>
      <c r="CB12" s="208">
        <v>-41543</v>
      </c>
      <c r="CC12" s="208">
        <v>-4154251</v>
      </c>
      <c r="CD12" s="208">
        <v>0</v>
      </c>
      <c r="CE12" s="208">
        <v>0</v>
      </c>
      <c r="CF12" s="208">
        <v>0</v>
      </c>
      <c r="CG12" s="208">
        <v>0</v>
      </c>
      <c r="CH12" s="208">
        <v>0</v>
      </c>
      <c r="CI12" s="208">
        <v>0</v>
      </c>
      <c r="CJ12" s="208">
        <v>0</v>
      </c>
      <c r="CK12" s="208">
        <v>0</v>
      </c>
      <c r="CL12" s="208">
        <v>0</v>
      </c>
      <c r="CM12" s="208">
        <v>0</v>
      </c>
      <c r="CN12" s="208">
        <v>-466164</v>
      </c>
      <c r="CO12" s="208">
        <v>-372931</v>
      </c>
      <c r="CP12" s="208">
        <v>-83909</v>
      </c>
      <c r="CQ12" s="208">
        <v>-9323</v>
      </c>
      <c r="CR12" s="208">
        <v>-932327</v>
      </c>
      <c r="CS12" s="208">
        <v>-8031</v>
      </c>
      <c r="CT12" s="208">
        <v>-6426</v>
      </c>
      <c r="CU12" s="208">
        <v>-1446</v>
      </c>
      <c r="CV12" s="208">
        <v>-161</v>
      </c>
      <c r="CW12" s="208">
        <v>-16064</v>
      </c>
      <c r="CX12" s="208">
        <v>-2551320</v>
      </c>
      <c r="CY12" s="208">
        <v>-2041057</v>
      </c>
      <c r="CZ12" s="208">
        <v>-459238</v>
      </c>
      <c r="DA12" s="208">
        <v>-51027</v>
      </c>
      <c r="DB12" s="208">
        <v>-5102642</v>
      </c>
      <c r="DC12" s="208">
        <v>-466164</v>
      </c>
      <c r="DD12" s="208">
        <v>-372931</v>
      </c>
      <c r="DE12" s="208">
        <v>-83909</v>
      </c>
      <c r="DF12" s="208">
        <v>-9323</v>
      </c>
      <c r="DG12" s="208">
        <v>-932327</v>
      </c>
      <c r="DH12" s="208">
        <v>-2085156</v>
      </c>
      <c r="DI12" s="208">
        <v>-1668126</v>
      </c>
      <c r="DJ12" s="208">
        <v>-375329</v>
      </c>
      <c r="DK12" s="208">
        <v>-41704</v>
      </c>
      <c r="DL12" s="208">
        <v>-4170315</v>
      </c>
      <c r="DM12" s="208">
        <v>562828</v>
      </c>
      <c r="DN12" s="208">
        <v>450265</v>
      </c>
      <c r="DO12" s="208">
        <v>101311</v>
      </c>
      <c r="DP12" s="208">
        <v>11257</v>
      </c>
      <c r="DQ12" s="208">
        <v>1125661</v>
      </c>
      <c r="DR12" s="208">
        <v>1050348</v>
      </c>
      <c r="DS12" s="208">
        <v>840278</v>
      </c>
      <c r="DT12" s="208">
        <v>189063</v>
      </c>
      <c r="DU12" s="208">
        <v>21007</v>
      </c>
      <c r="DV12" s="208">
        <v>2100696</v>
      </c>
      <c r="DW12" s="208">
        <v>-487520</v>
      </c>
      <c r="DX12" s="208">
        <v>-390013</v>
      </c>
      <c r="DY12" s="208">
        <v>-87752</v>
      </c>
      <c r="DZ12" s="208">
        <v>-9750</v>
      </c>
      <c r="EA12" s="208">
        <v>-975035</v>
      </c>
      <c r="EB12" s="208">
        <v>26920211</v>
      </c>
      <c r="EC12" s="208">
        <v>21536169</v>
      </c>
      <c r="ED12" s="208">
        <v>4845638</v>
      </c>
      <c r="EE12" s="208">
        <v>538404</v>
      </c>
      <c r="EF12" s="208">
        <v>53840422</v>
      </c>
      <c r="EG12" s="208">
        <v>26048711</v>
      </c>
      <c r="EH12" s="208">
        <v>20838968</v>
      </c>
      <c r="EI12" s="208">
        <v>4688768</v>
      </c>
      <c r="EJ12" s="208">
        <v>520974</v>
      </c>
      <c r="EK12" s="208">
        <v>52097421</v>
      </c>
      <c r="EL12" s="208">
        <v>-871500</v>
      </c>
      <c r="EM12" s="208">
        <v>-697201</v>
      </c>
      <c r="EN12" s="208">
        <v>-156870</v>
      </c>
      <c r="EO12" s="208">
        <v>-17430</v>
      </c>
      <c r="EP12" s="208">
        <v>-1743001</v>
      </c>
      <c r="EQ12" s="208">
        <v>-1359020</v>
      </c>
      <c r="ER12" s="208">
        <v>-1087214</v>
      </c>
      <c r="ES12" s="208">
        <v>-244622</v>
      </c>
      <c r="ET12" s="208">
        <v>-27180</v>
      </c>
      <c r="EU12" s="208">
        <v>-2718036</v>
      </c>
      <c r="EV12" s="666">
        <v>0.5</v>
      </c>
      <c r="EW12" s="666">
        <v>0.4</v>
      </c>
      <c r="EX12" s="666">
        <v>0.09</v>
      </c>
      <c r="EY12" s="666">
        <v>0.01</v>
      </c>
      <c r="EZ12" s="666">
        <v>1</v>
      </c>
      <c r="FA12" s="187" t="s">
        <v>1054</v>
      </c>
      <c r="FC12" s="187">
        <v>0</v>
      </c>
    </row>
    <row r="13" spans="1:159" s="187" customFormat="1" x14ac:dyDescent="0.2">
      <c r="B13" s="429" t="s">
        <v>105</v>
      </c>
      <c r="C13" s="429" t="s">
        <v>104</v>
      </c>
      <c r="D13" s="208">
        <v>0</v>
      </c>
      <c r="E13" s="208">
        <v>17477663</v>
      </c>
      <c r="F13" s="208">
        <v>4369416</v>
      </c>
      <c r="G13" s="208">
        <v>0</v>
      </c>
      <c r="H13" s="208">
        <v>21847079</v>
      </c>
      <c r="I13" s="208">
        <v>0</v>
      </c>
      <c r="J13" s="208">
        <v>0</v>
      </c>
      <c r="K13" s="208">
        <v>0</v>
      </c>
      <c r="L13" s="208">
        <v>129887</v>
      </c>
      <c r="M13" s="208">
        <v>129887</v>
      </c>
      <c r="N13" s="208">
        <v>94965</v>
      </c>
      <c r="O13" s="208">
        <v>94965</v>
      </c>
      <c r="P13" s="208">
        <v>13607</v>
      </c>
      <c r="Q13" s="208">
        <v>0</v>
      </c>
      <c r="R13" s="208">
        <v>13607</v>
      </c>
      <c r="S13" s="208">
        <v>0</v>
      </c>
      <c r="T13" s="208">
        <v>0</v>
      </c>
      <c r="U13" s="208">
        <v>0</v>
      </c>
      <c r="V13" s="208">
        <v>0</v>
      </c>
      <c r="W13" s="208">
        <v>0</v>
      </c>
      <c r="X13" s="208">
        <v>0</v>
      </c>
      <c r="Y13" s="208">
        <v>0</v>
      </c>
      <c r="Z13" s="208">
        <v>0</v>
      </c>
      <c r="AA13" s="208">
        <v>0</v>
      </c>
      <c r="AB13" s="208">
        <v>0</v>
      </c>
      <c r="AC13" s="208">
        <v>0</v>
      </c>
      <c r="AD13" s="208">
        <v>0</v>
      </c>
      <c r="AE13" s="208">
        <v>0</v>
      </c>
      <c r="AF13" s="208">
        <v>0</v>
      </c>
      <c r="AG13" s="208">
        <v>2744888</v>
      </c>
      <c r="AH13" s="208">
        <v>685273</v>
      </c>
      <c r="AI13" s="208">
        <v>0</v>
      </c>
      <c r="AJ13" s="208">
        <v>3430161</v>
      </c>
      <c r="AK13" s="208">
        <v>0</v>
      </c>
      <c r="AL13" s="208">
        <v>344855</v>
      </c>
      <c r="AM13" s="208">
        <v>86214</v>
      </c>
      <c r="AN13" s="208">
        <v>0</v>
      </c>
      <c r="AO13" s="208">
        <v>431069</v>
      </c>
      <c r="AP13" s="208">
        <v>0</v>
      </c>
      <c r="AQ13" s="208">
        <v>-272614</v>
      </c>
      <c r="AR13" s="208">
        <v>-68154</v>
      </c>
      <c r="AS13" s="208">
        <v>0</v>
      </c>
      <c r="AT13" s="208">
        <v>-340768</v>
      </c>
      <c r="AU13" s="208">
        <v>0</v>
      </c>
      <c r="AV13" s="208">
        <v>-266543</v>
      </c>
      <c r="AW13" s="208">
        <v>-66636</v>
      </c>
      <c r="AX13" s="208">
        <v>0</v>
      </c>
      <c r="AY13" s="208">
        <v>-333179</v>
      </c>
      <c r="AZ13" s="208">
        <v>0</v>
      </c>
      <c r="BA13" s="208">
        <v>65664</v>
      </c>
      <c r="BB13" s="208">
        <v>16416</v>
      </c>
      <c r="BC13" s="208">
        <v>0</v>
      </c>
      <c r="BD13" s="208">
        <v>82080</v>
      </c>
      <c r="BE13" s="208">
        <v>0</v>
      </c>
      <c r="BF13" s="208">
        <v>-36400</v>
      </c>
      <c r="BG13" s="208">
        <v>-9100</v>
      </c>
      <c r="BH13" s="208">
        <v>0</v>
      </c>
      <c r="BI13" s="208">
        <v>-45500</v>
      </c>
      <c r="BJ13" s="208">
        <v>0</v>
      </c>
      <c r="BK13" s="208">
        <v>-237279</v>
      </c>
      <c r="BL13" s="208">
        <v>-59320</v>
      </c>
      <c r="BM13" s="208">
        <v>0</v>
      </c>
      <c r="BN13" s="208">
        <v>-296599</v>
      </c>
      <c r="BO13" s="208">
        <v>0</v>
      </c>
      <c r="BP13" s="208">
        <v>-1577231</v>
      </c>
      <c r="BQ13" s="208">
        <v>-394308</v>
      </c>
      <c r="BR13" s="208">
        <v>0</v>
      </c>
      <c r="BS13" s="208">
        <v>-1971539</v>
      </c>
      <c r="BT13" s="208">
        <v>0</v>
      </c>
      <c r="BU13" s="208">
        <v>-894370</v>
      </c>
      <c r="BV13" s="208">
        <v>-223592</v>
      </c>
      <c r="BW13" s="208">
        <v>0</v>
      </c>
      <c r="BX13" s="208">
        <v>-1117962</v>
      </c>
      <c r="BY13" s="208">
        <v>0</v>
      </c>
      <c r="BZ13" s="208">
        <v>-682862</v>
      </c>
      <c r="CA13" s="208">
        <v>-170715</v>
      </c>
      <c r="CB13" s="208">
        <v>0</v>
      </c>
      <c r="CC13" s="208">
        <v>-853577</v>
      </c>
      <c r="CD13" s="208">
        <v>0</v>
      </c>
      <c r="CE13" s="208">
        <v>221050</v>
      </c>
      <c r="CF13" s="208">
        <v>55262</v>
      </c>
      <c r="CG13" s="208">
        <v>0</v>
      </c>
      <c r="CH13" s="208">
        <v>276312</v>
      </c>
      <c r="CI13" s="208">
        <v>0</v>
      </c>
      <c r="CJ13" s="208">
        <v>0</v>
      </c>
      <c r="CK13" s="208">
        <v>0</v>
      </c>
      <c r="CL13" s="208">
        <v>0</v>
      </c>
      <c r="CM13" s="208">
        <v>0</v>
      </c>
      <c r="CN13" s="208">
        <v>0</v>
      </c>
      <c r="CO13" s="208">
        <v>-380015</v>
      </c>
      <c r="CP13" s="208">
        <v>-95004</v>
      </c>
      <c r="CQ13" s="208">
        <v>0</v>
      </c>
      <c r="CR13" s="208">
        <v>-475019</v>
      </c>
      <c r="CS13" s="208">
        <v>0</v>
      </c>
      <c r="CT13" s="208">
        <v>-940999</v>
      </c>
      <c r="CU13" s="208">
        <v>-235250</v>
      </c>
      <c r="CV13" s="208">
        <v>0</v>
      </c>
      <c r="CW13" s="208">
        <v>-1176249</v>
      </c>
      <c r="CX13" s="208">
        <v>0</v>
      </c>
      <c r="CY13" s="208">
        <v>-2677195</v>
      </c>
      <c r="CZ13" s="208">
        <v>-669300</v>
      </c>
      <c r="DA13" s="208">
        <v>0</v>
      </c>
      <c r="DB13" s="208">
        <v>-3346495</v>
      </c>
      <c r="DC13" s="208">
        <v>0</v>
      </c>
      <c r="DD13" s="208">
        <v>-1053335</v>
      </c>
      <c r="DE13" s="208">
        <v>-263334</v>
      </c>
      <c r="DF13" s="208">
        <v>0</v>
      </c>
      <c r="DG13" s="208">
        <v>-1316669</v>
      </c>
      <c r="DH13" s="208">
        <v>0</v>
      </c>
      <c r="DI13" s="208">
        <v>-1623861</v>
      </c>
      <c r="DJ13" s="208">
        <v>-405965</v>
      </c>
      <c r="DK13" s="208">
        <v>0</v>
      </c>
      <c r="DL13" s="208">
        <v>-2029826</v>
      </c>
      <c r="DM13" s="208">
        <v>-772349</v>
      </c>
      <c r="DN13" s="208">
        <v>-617880</v>
      </c>
      <c r="DO13" s="208">
        <v>-154470</v>
      </c>
      <c r="DP13" s="208">
        <v>0</v>
      </c>
      <c r="DQ13" s="208">
        <v>-1544699</v>
      </c>
      <c r="DR13" s="208">
        <v>-1570264</v>
      </c>
      <c r="DS13" s="208">
        <v>-1256212</v>
      </c>
      <c r="DT13" s="208">
        <v>-314053</v>
      </c>
      <c r="DU13" s="208">
        <v>0</v>
      </c>
      <c r="DV13" s="208">
        <v>-3140529</v>
      </c>
      <c r="DW13" s="208">
        <v>797915</v>
      </c>
      <c r="DX13" s="208">
        <v>638332</v>
      </c>
      <c r="DY13" s="208">
        <v>159583</v>
      </c>
      <c r="DZ13" s="208">
        <v>0</v>
      </c>
      <c r="EA13" s="208">
        <v>1595830</v>
      </c>
      <c r="EB13" s="208">
        <v>0</v>
      </c>
      <c r="EC13" s="208">
        <v>18488782</v>
      </c>
      <c r="ED13" s="208">
        <v>4622195</v>
      </c>
      <c r="EE13" s="208">
        <v>0</v>
      </c>
      <c r="EF13" s="208">
        <v>23110977</v>
      </c>
      <c r="EG13" s="208">
        <v>0</v>
      </c>
      <c r="EH13" s="208">
        <v>17477663</v>
      </c>
      <c r="EI13" s="208">
        <v>4369416</v>
      </c>
      <c r="EJ13" s="208">
        <v>0</v>
      </c>
      <c r="EK13" s="208">
        <v>21847079</v>
      </c>
      <c r="EL13" s="208">
        <v>0</v>
      </c>
      <c r="EM13" s="208">
        <v>-1011119</v>
      </c>
      <c r="EN13" s="208">
        <v>-252779</v>
      </c>
      <c r="EO13" s="208">
        <v>0</v>
      </c>
      <c r="EP13" s="208">
        <v>-1263898</v>
      </c>
      <c r="EQ13" s="208">
        <v>797915</v>
      </c>
      <c r="ER13" s="208">
        <v>-372787</v>
      </c>
      <c r="ES13" s="208">
        <v>-93196</v>
      </c>
      <c r="ET13" s="208">
        <v>0</v>
      </c>
      <c r="EU13" s="208">
        <v>331932</v>
      </c>
      <c r="EV13" s="666">
        <v>0</v>
      </c>
      <c r="EW13" s="666">
        <v>0.8</v>
      </c>
      <c r="EX13" s="666">
        <v>0.2</v>
      </c>
      <c r="EY13" s="666">
        <v>0</v>
      </c>
      <c r="EZ13" s="666">
        <v>1</v>
      </c>
      <c r="FA13" s="187" t="s">
        <v>1054</v>
      </c>
      <c r="FC13" s="187">
        <v>0</v>
      </c>
    </row>
    <row r="14" spans="1:159" s="187" customFormat="1" x14ac:dyDescent="0.2">
      <c r="B14" s="429" t="s">
        <v>107</v>
      </c>
      <c r="C14" s="429" t="s">
        <v>106</v>
      </c>
      <c r="D14" s="208">
        <v>0</v>
      </c>
      <c r="E14" s="208">
        <v>39189612</v>
      </c>
      <c r="F14" s="208">
        <v>22044156</v>
      </c>
      <c r="G14" s="208">
        <v>0</v>
      </c>
      <c r="H14" s="208">
        <v>61233768</v>
      </c>
      <c r="I14" s="208">
        <v>0</v>
      </c>
      <c r="J14" s="208">
        <v>0</v>
      </c>
      <c r="K14" s="208">
        <v>0</v>
      </c>
      <c r="L14" s="208">
        <v>203979</v>
      </c>
      <c r="M14" s="208">
        <v>203979</v>
      </c>
      <c r="N14" s="208">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3569797</v>
      </c>
      <c r="AH14" s="208">
        <v>2008010</v>
      </c>
      <c r="AI14" s="208">
        <v>0</v>
      </c>
      <c r="AJ14" s="208">
        <v>5577807</v>
      </c>
      <c r="AK14" s="208">
        <v>0</v>
      </c>
      <c r="AL14" s="208">
        <v>5195290</v>
      </c>
      <c r="AM14" s="208">
        <v>2922351</v>
      </c>
      <c r="AN14" s="208">
        <v>0</v>
      </c>
      <c r="AO14" s="208">
        <v>8117641</v>
      </c>
      <c r="AP14" s="208">
        <v>0</v>
      </c>
      <c r="AQ14" s="208">
        <v>-884301</v>
      </c>
      <c r="AR14" s="208">
        <v>-497420</v>
      </c>
      <c r="AS14" s="208">
        <v>0</v>
      </c>
      <c r="AT14" s="208">
        <v>-1381721</v>
      </c>
      <c r="AU14" s="208">
        <v>0</v>
      </c>
      <c r="AV14" s="208">
        <v>-4265315</v>
      </c>
      <c r="AW14" s="208">
        <v>-2399239</v>
      </c>
      <c r="AX14" s="208">
        <v>0</v>
      </c>
      <c r="AY14" s="208">
        <v>-6664554</v>
      </c>
      <c r="AZ14" s="208">
        <v>0</v>
      </c>
      <c r="BA14" s="208">
        <v>0</v>
      </c>
      <c r="BB14" s="208">
        <v>0</v>
      </c>
      <c r="BC14" s="208">
        <v>0</v>
      </c>
      <c r="BD14" s="208">
        <v>0</v>
      </c>
      <c r="BE14" s="208">
        <v>0</v>
      </c>
      <c r="BF14" s="208">
        <v>-407965</v>
      </c>
      <c r="BG14" s="208">
        <v>-229481</v>
      </c>
      <c r="BH14" s="208">
        <v>0</v>
      </c>
      <c r="BI14" s="208">
        <v>-637446</v>
      </c>
      <c r="BJ14" s="208">
        <v>0</v>
      </c>
      <c r="BK14" s="208">
        <v>-4673280</v>
      </c>
      <c r="BL14" s="208">
        <v>-2628720</v>
      </c>
      <c r="BM14" s="208">
        <v>0</v>
      </c>
      <c r="BN14" s="208">
        <v>-7302000</v>
      </c>
      <c r="BO14" s="208">
        <v>0</v>
      </c>
      <c r="BP14" s="208">
        <v>-7371801</v>
      </c>
      <c r="BQ14" s="208">
        <v>-4146638</v>
      </c>
      <c r="BR14" s="208">
        <v>0</v>
      </c>
      <c r="BS14" s="208">
        <v>-11518439</v>
      </c>
      <c r="BT14" s="208">
        <v>0</v>
      </c>
      <c r="BU14" s="208">
        <v>0</v>
      </c>
      <c r="BV14" s="208">
        <v>0</v>
      </c>
      <c r="BW14" s="208">
        <v>0</v>
      </c>
      <c r="BX14" s="208">
        <v>0</v>
      </c>
      <c r="BY14" s="208">
        <v>0</v>
      </c>
      <c r="BZ14" s="208">
        <v>-7371801</v>
      </c>
      <c r="CA14" s="208">
        <v>-4146638</v>
      </c>
      <c r="CB14" s="208">
        <v>0</v>
      </c>
      <c r="CC14" s="208">
        <v>-11518439</v>
      </c>
      <c r="CD14" s="208">
        <v>0</v>
      </c>
      <c r="CE14" s="208">
        <v>0</v>
      </c>
      <c r="CF14" s="208">
        <v>0</v>
      </c>
      <c r="CG14" s="208">
        <v>0</v>
      </c>
      <c r="CH14" s="208">
        <v>0</v>
      </c>
      <c r="CI14" s="208">
        <v>0</v>
      </c>
      <c r="CJ14" s="208">
        <v>0</v>
      </c>
      <c r="CK14" s="208">
        <v>0</v>
      </c>
      <c r="CL14" s="208">
        <v>0</v>
      </c>
      <c r="CM14" s="208">
        <v>0</v>
      </c>
      <c r="CN14" s="208">
        <v>0</v>
      </c>
      <c r="CO14" s="208">
        <v>-1799073</v>
      </c>
      <c r="CP14" s="208">
        <v>-1011979</v>
      </c>
      <c r="CQ14" s="208">
        <v>0</v>
      </c>
      <c r="CR14" s="208">
        <v>-2811052</v>
      </c>
      <c r="CS14" s="208">
        <v>0</v>
      </c>
      <c r="CT14" s="208">
        <v>3207472</v>
      </c>
      <c r="CU14" s="208">
        <v>1804203</v>
      </c>
      <c r="CV14" s="208">
        <v>0</v>
      </c>
      <c r="CW14" s="208">
        <v>5011675</v>
      </c>
      <c r="CX14" s="208">
        <v>0</v>
      </c>
      <c r="CY14" s="208">
        <v>-5963402</v>
      </c>
      <c r="CZ14" s="208">
        <v>-3354414</v>
      </c>
      <c r="DA14" s="208">
        <v>0</v>
      </c>
      <c r="DB14" s="208">
        <v>-9317816</v>
      </c>
      <c r="DC14" s="208">
        <v>0</v>
      </c>
      <c r="DD14" s="208">
        <v>-1799073</v>
      </c>
      <c r="DE14" s="208">
        <v>-1011979</v>
      </c>
      <c r="DF14" s="208">
        <v>0</v>
      </c>
      <c r="DG14" s="208">
        <v>-2811052</v>
      </c>
      <c r="DH14" s="208">
        <v>0</v>
      </c>
      <c r="DI14" s="208">
        <v>-4164329</v>
      </c>
      <c r="DJ14" s="208">
        <v>-2342435</v>
      </c>
      <c r="DK14" s="208">
        <v>0</v>
      </c>
      <c r="DL14" s="208">
        <v>-6506764</v>
      </c>
      <c r="DM14" s="208">
        <v>12646</v>
      </c>
      <c r="DN14" s="208">
        <v>-398603</v>
      </c>
      <c r="DO14" s="208">
        <v>-942724</v>
      </c>
      <c r="DP14" s="208">
        <v>0</v>
      </c>
      <c r="DQ14" s="208">
        <v>-1328681</v>
      </c>
      <c r="DR14" s="208">
        <v>939438</v>
      </c>
      <c r="DS14" s="208">
        <v>447776</v>
      </c>
      <c r="DT14" s="208">
        <v>105373</v>
      </c>
      <c r="DU14" s="208">
        <v>0</v>
      </c>
      <c r="DV14" s="208">
        <v>1492587</v>
      </c>
      <c r="DW14" s="208">
        <v>-926792</v>
      </c>
      <c r="DX14" s="208">
        <v>-846379</v>
      </c>
      <c r="DY14" s="208">
        <v>-1048097</v>
      </c>
      <c r="DZ14" s="208">
        <v>0</v>
      </c>
      <c r="EA14" s="208">
        <v>-2821268</v>
      </c>
      <c r="EB14" s="208">
        <v>0</v>
      </c>
      <c r="EC14" s="208">
        <v>38977211</v>
      </c>
      <c r="ED14" s="208">
        <v>21924681</v>
      </c>
      <c r="EE14" s="208">
        <v>0</v>
      </c>
      <c r="EF14" s="208">
        <v>60901892</v>
      </c>
      <c r="EG14" s="208">
        <v>0</v>
      </c>
      <c r="EH14" s="208">
        <v>39189612</v>
      </c>
      <c r="EI14" s="208">
        <v>22044156</v>
      </c>
      <c r="EJ14" s="208">
        <v>0</v>
      </c>
      <c r="EK14" s="208">
        <v>61233768</v>
      </c>
      <c r="EL14" s="208">
        <v>0</v>
      </c>
      <c r="EM14" s="208">
        <v>212401</v>
      </c>
      <c r="EN14" s="208">
        <v>119475</v>
      </c>
      <c r="EO14" s="208">
        <v>0</v>
      </c>
      <c r="EP14" s="208">
        <v>331876</v>
      </c>
      <c r="EQ14" s="208">
        <v>-926792</v>
      </c>
      <c r="ER14" s="208">
        <v>-633978</v>
      </c>
      <c r="ES14" s="208">
        <v>-928622</v>
      </c>
      <c r="ET14" s="208">
        <v>0</v>
      </c>
      <c r="EU14" s="208">
        <v>-2489392</v>
      </c>
      <c r="EV14" s="666">
        <v>0</v>
      </c>
      <c r="EW14" s="666">
        <v>0.64</v>
      </c>
      <c r="EX14" s="666">
        <v>0.36</v>
      </c>
      <c r="EY14" s="666">
        <v>0</v>
      </c>
      <c r="EZ14" s="666">
        <v>1</v>
      </c>
      <c r="FA14" s="187" t="s">
        <v>1055</v>
      </c>
      <c r="FC14" s="187">
        <v>0</v>
      </c>
    </row>
    <row r="15" spans="1:159" s="187" customFormat="1" x14ac:dyDescent="0.2">
      <c r="B15" s="429" t="s">
        <v>109</v>
      </c>
      <c r="C15" s="429" t="s">
        <v>108</v>
      </c>
      <c r="D15" s="208">
        <v>0</v>
      </c>
      <c r="E15" s="208">
        <v>70549394</v>
      </c>
      <c r="F15" s="208">
        <v>39684034</v>
      </c>
      <c r="G15" s="208">
        <v>0</v>
      </c>
      <c r="H15" s="208">
        <v>110233428</v>
      </c>
      <c r="I15" s="208">
        <v>0</v>
      </c>
      <c r="J15" s="208">
        <v>0</v>
      </c>
      <c r="K15" s="208">
        <v>0</v>
      </c>
      <c r="L15" s="208">
        <v>418217</v>
      </c>
      <c r="M15" s="208">
        <v>418217</v>
      </c>
      <c r="N15" s="208">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6298584</v>
      </c>
      <c r="AH15" s="208">
        <v>3534987</v>
      </c>
      <c r="AI15" s="208">
        <v>0</v>
      </c>
      <c r="AJ15" s="208">
        <v>9833571</v>
      </c>
      <c r="AK15" s="208">
        <v>0</v>
      </c>
      <c r="AL15" s="208">
        <v>7932104</v>
      </c>
      <c r="AM15" s="208">
        <v>4461808</v>
      </c>
      <c r="AN15" s="208">
        <v>0</v>
      </c>
      <c r="AO15" s="208">
        <v>12393912</v>
      </c>
      <c r="AP15" s="208">
        <v>0</v>
      </c>
      <c r="AQ15" s="208">
        <v>-6612070</v>
      </c>
      <c r="AR15" s="208">
        <v>-3719289</v>
      </c>
      <c r="AS15" s="208">
        <v>0</v>
      </c>
      <c r="AT15" s="208">
        <v>-10331359</v>
      </c>
      <c r="AU15" s="208">
        <v>0</v>
      </c>
      <c r="AV15" s="208">
        <v>-3840664</v>
      </c>
      <c r="AW15" s="208">
        <v>-2160374</v>
      </c>
      <c r="AX15" s="208">
        <v>0</v>
      </c>
      <c r="AY15" s="208">
        <v>-6001038</v>
      </c>
      <c r="AZ15" s="208">
        <v>0</v>
      </c>
      <c r="BA15" s="208">
        <v>343801</v>
      </c>
      <c r="BB15" s="208">
        <v>193388</v>
      </c>
      <c r="BC15" s="208">
        <v>0</v>
      </c>
      <c r="BD15" s="208">
        <v>537189</v>
      </c>
      <c r="BE15" s="208">
        <v>0</v>
      </c>
      <c r="BF15" s="208">
        <v>-1958682</v>
      </c>
      <c r="BG15" s="208">
        <v>-1101758</v>
      </c>
      <c r="BH15" s="208">
        <v>0</v>
      </c>
      <c r="BI15" s="208">
        <v>-3060440</v>
      </c>
      <c r="BJ15" s="208">
        <v>0</v>
      </c>
      <c r="BK15" s="208">
        <v>-5455545</v>
      </c>
      <c r="BL15" s="208">
        <v>-3068744</v>
      </c>
      <c r="BM15" s="208">
        <v>0</v>
      </c>
      <c r="BN15" s="208">
        <v>-8524289</v>
      </c>
      <c r="BO15" s="208">
        <v>0</v>
      </c>
      <c r="BP15" s="208">
        <v>-8416825</v>
      </c>
      <c r="BQ15" s="208">
        <v>-4734464</v>
      </c>
      <c r="BR15" s="208">
        <v>0</v>
      </c>
      <c r="BS15" s="208">
        <v>-13151289</v>
      </c>
      <c r="BT15" s="208">
        <v>0</v>
      </c>
      <c r="BU15" s="208">
        <v>-5057956</v>
      </c>
      <c r="BV15" s="208">
        <v>-2845100</v>
      </c>
      <c r="BW15" s="208">
        <v>0</v>
      </c>
      <c r="BX15" s="208">
        <v>-7903056</v>
      </c>
      <c r="BY15" s="208">
        <v>0</v>
      </c>
      <c r="BZ15" s="208">
        <v>-3358869</v>
      </c>
      <c r="CA15" s="208">
        <v>-1889364</v>
      </c>
      <c r="CB15" s="208">
        <v>0</v>
      </c>
      <c r="CC15" s="208">
        <v>-5248233</v>
      </c>
      <c r="CD15" s="208">
        <v>0</v>
      </c>
      <c r="CE15" s="208">
        <v>2372547</v>
      </c>
      <c r="CF15" s="208">
        <v>1334557</v>
      </c>
      <c r="CG15" s="208">
        <v>0</v>
      </c>
      <c r="CH15" s="208">
        <v>3707104</v>
      </c>
      <c r="CI15" s="208">
        <v>0</v>
      </c>
      <c r="CJ15" s="208">
        <v>25101</v>
      </c>
      <c r="CK15" s="208">
        <v>14120</v>
      </c>
      <c r="CL15" s="208">
        <v>0</v>
      </c>
      <c r="CM15" s="208">
        <v>39221</v>
      </c>
      <c r="CN15" s="208">
        <v>0</v>
      </c>
      <c r="CO15" s="208">
        <v>-403142</v>
      </c>
      <c r="CP15" s="208">
        <v>-226767</v>
      </c>
      <c r="CQ15" s="208">
        <v>0</v>
      </c>
      <c r="CR15" s="208">
        <v>-629909</v>
      </c>
      <c r="CS15" s="208">
        <v>0</v>
      </c>
      <c r="CT15" s="208">
        <v>0</v>
      </c>
      <c r="CU15" s="208">
        <v>0</v>
      </c>
      <c r="CV15" s="208">
        <v>0</v>
      </c>
      <c r="CW15" s="208">
        <v>0</v>
      </c>
      <c r="CX15" s="208">
        <v>0</v>
      </c>
      <c r="CY15" s="208">
        <v>-6422319</v>
      </c>
      <c r="CZ15" s="208">
        <v>-3612554</v>
      </c>
      <c r="DA15" s="208">
        <v>0</v>
      </c>
      <c r="DB15" s="208">
        <v>-10034873</v>
      </c>
      <c r="DC15" s="208">
        <v>0</v>
      </c>
      <c r="DD15" s="208">
        <v>-3088551</v>
      </c>
      <c r="DE15" s="208">
        <v>-1737310</v>
      </c>
      <c r="DF15" s="208">
        <v>0</v>
      </c>
      <c r="DG15" s="208">
        <v>-4825861</v>
      </c>
      <c r="DH15" s="208">
        <v>0</v>
      </c>
      <c r="DI15" s="208">
        <v>-3333768</v>
      </c>
      <c r="DJ15" s="208">
        <v>-1875244</v>
      </c>
      <c r="DK15" s="208">
        <v>0</v>
      </c>
      <c r="DL15" s="208">
        <v>-5209012</v>
      </c>
      <c r="DM15" s="208">
        <v>-2753511</v>
      </c>
      <c r="DN15" s="208">
        <v>-2459981</v>
      </c>
      <c r="DO15" s="208">
        <v>-2986441</v>
      </c>
      <c r="DP15" s="208">
        <v>0</v>
      </c>
      <c r="DQ15" s="208">
        <v>-8199933</v>
      </c>
      <c r="DR15" s="208">
        <v>-1745100</v>
      </c>
      <c r="DS15" s="208">
        <v>-1543240</v>
      </c>
      <c r="DT15" s="208">
        <v>-1855796</v>
      </c>
      <c r="DU15" s="208">
        <v>0</v>
      </c>
      <c r="DV15" s="208">
        <v>-5144136</v>
      </c>
      <c r="DW15" s="208">
        <v>-1008411</v>
      </c>
      <c r="DX15" s="208">
        <v>-916741</v>
      </c>
      <c r="DY15" s="208">
        <v>-1130645</v>
      </c>
      <c r="DZ15" s="208">
        <v>0</v>
      </c>
      <c r="EA15" s="208">
        <v>-3055797</v>
      </c>
      <c r="EB15" s="208">
        <v>0</v>
      </c>
      <c r="EC15" s="208">
        <v>74409498</v>
      </c>
      <c r="ED15" s="208">
        <v>41855342</v>
      </c>
      <c r="EE15" s="208">
        <v>0</v>
      </c>
      <c r="EF15" s="208">
        <v>116264840</v>
      </c>
      <c r="EG15" s="208">
        <v>0</v>
      </c>
      <c r="EH15" s="208">
        <v>70549394</v>
      </c>
      <c r="EI15" s="208">
        <v>39684034</v>
      </c>
      <c r="EJ15" s="208">
        <v>0</v>
      </c>
      <c r="EK15" s="208">
        <v>110233428</v>
      </c>
      <c r="EL15" s="208">
        <v>0</v>
      </c>
      <c r="EM15" s="208">
        <v>-3860104</v>
      </c>
      <c r="EN15" s="208">
        <v>-2171308</v>
      </c>
      <c r="EO15" s="208">
        <v>0</v>
      </c>
      <c r="EP15" s="208">
        <v>-6031412</v>
      </c>
      <c r="EQ15" s="208">
        <v>-1008411</v>
      </c>
      <c r="ER15" s="208">
        <v>-4776845</v>
      </c>
      <c r="ES15" s="208">
        <v>-3301953</v>
      </c>
      <c r="ET15" s="208">
        <v>0</v>
      </c>
      <c r="EU15" s="208">
        <v>-9087209</v>
      </c>
      <c r="EV15" s="666">
        <v>0</v>
      </c>
      <c r="EW15" s="666">
        <v>0.64</v>
      </c>
      <c r="EX15" s="666">
        <v>0.36</v>
      </c>
      <c r="EY15" s="666">
        <v>0</v>
      </c>
      <c r="EZ15" s="666">
        <v>1</v>
      </c>
      <c r="FA15" s="187" t="s">
        <v>1055</v>
      </c>
      <c r="FC15" s="187">
        <v>0</v>
      </c>
    </row>
    <row r="16" spans="1:159" s="187" customFormat="1" x14ac:dyDescent="0.2">
      <c r="B16" s="429" t="s">
        <v>111</v>
      </c>
      <c r="C16" s="429" t="s">
        <v>110</v>
      </c>
      <c r="D16" s="208">
        <v>23544172</v>
      </c>
      <c r="E16" s="208">
        <v>23073289</v>
      </c>
      <c r="F16" s="208">
        <v>0</v>
      </c>
      <c r="G16" s="208">
        <v>470883</v>
      </c>
      <c r="H16" s="208">
        <v>47088344</v>
      </c>
      <c r="I16" s="208">
        <v>275415</v>
      </c>
      <c r="J16" s="208">
        <v>275415</v>
      </c>
      <c r="K16" s="208">
        <v>23268757</v>
      </c>
      <c r="L16" s="208">
        <v>259756</v>
      </c>
      <c r="M16" s="208">
        <v>259756</v>
      </c>
      <c r="N16" s="208">
        <v>518133</v>
      </c>
      <c r="O16" s="208">
        <v>518133</v>
      </c>
      <c r="P16" s="208">
        <v>48314</v>
      </c>
      <c r="Q16" s="208">
        <v>0</v>
      </c>
      <c r="R16" s="208">
        <v>48314</v>
      </c>
      <c r="S16" s="208">
        <v>0</v>
      </c>
      <c r="T16" s="208">
        <v>0</v>
      </c>
      <c r="U16" s="208">
        <v>0</v>
      </c>
      <c r="V16" s="208">
        <v>0</v>
      </c>
      <c r="W16" s="208">
        <v>275415.19791666669</v>
      </c>
      <c r="X16" s="208">
        <v>0</v>
      </c>
      <c r="Y16" s="208">
        <v>0</v>
      </c>
      <c r="Z16" s="208">
        <v>275415.19791666669</v>
      </c>
      <c r="AA16" s="208">
        <v>0</v>
      </c>
      <c r="AB16" s="208">
        <v>0</v>
      </c>
      <c r="AC16" s="208">
        <v>0</v>
      </c>
      <c r="AD16" s="208">
        <v>0</v>
      </c>
      <c r="AE16" s="208">
        <v>0</v>
      </c>
      <c r="AF16" s="208">
        <v>0</v>
      </c>
      <c r="AG16" s="208">
        <v>3226861</v>
      </c>
      <c r="AH16" s="208">
        <v>0</v>
      </c>
      <c r="AI16" s="208">
        <v>65503</v>
      </c>
      <c r="AJ16" s="208">
        <v>3292364</v>
      </c>
      <c r="AK16" s="208">
        <v>500740</v>
      </c>
      <c r="AL16" s="208">
        <v>490725</v>
      </c>
      <c r="AM16" s="208">
        <v>0</v>
      </c>
      <c r="AN16" s="208">
        <v>10015</v>
      </c>
      <c r="AO16" s="208">
        <v>1001480</v>
      </c>
      <c r="AP16" s="208">
        <v>-215507</v>
      </c>
      <c r="AQ16" s="208">
        <v>-211196</v>
      </c>
      <c r="AR16" s="208">
        <v>0</v>
      </c>
      <c r="AS16" s="208">
        <v>-4310</v>
      </c>
      <c r="AT16" s="208">
        <v>-431013</v>
      </c>
      <c r="AU16" s="208">
        <v>-824501</v>
      </c>
      <c r="AV16" s="208">
        <v>-808010</v>
      </c>
      <c r="AW16" s="208">
        <v>0</v>
      </c>
      <c r="AX16" s="208">
        <v>-16490</v>
      </c>
      <c r="AY16" s="208">
        <v>-1649001</v>
      </c>
      <c r="AZ16" s="208">
        <v>442973</v>
      </c>
      <c r="BA16" s="208">
        <v>434113</v>
      </c>
      <c r="BB16" s="208">
        <v>0</v>
      </c>
      <c r="BC16" s="208">
        <v>8859</v>
      </c>
      <c r="BD16" s="208">
        <v>885945</v>
      </c>
      <c r="BE16" s="208">
        <v>-462933</v>
      </c>
      <c r="BF16" s="208">
        <v>-453675</v>
      </c>
      <c r="BG16" s="208">
        <v>0</v>
      </c>
      <c r="BH16" s="208">
        <v>-9259</v>
      </c>
      <c r="BI16" s="208">
        <v>-925867</v>
      </c>
      <c r="BJ16" s="208">
        <v>-844461</v>
      </c>
      <c r="BK16" s="208">
        <v>-827572</v>
      </c>
      <c r="BL16" s="208">
        <v>0</v>
      </c>
      <c r="BM16" s="208">
        <v>-16890</v>
      </c>
      <c r="BN16" s="208">
        <v>-1688923</v>
      </c>
      <c r="BO16" s="208">
        <v>-4376214</v>
      </c>
      <c r="BP16" s="208">
        <v>-4288689</v>
      </c>
      <c r="BQ16" s="208">
        <v>0</v>
      </c>
      <c r="BR16" s="208">
        <v>-87524</v>
      </c>
      <c r="BS16" s="208">
        <v>-8752427</v>
      </c>
      <c r="BT16" s="208">
        <v>-1517613</v>
      </c>
      <c r="BU16" s="208">
        <v>-1487260</v>
      </c>
      <c r="BV16" s="208">
        <v>0</v>
      </c>
      <c r="BW16" s="208">
        <v>-30352</v>
      </c>
      <c r="BX16" s="208">
        <v>-3035225</v>
      </c>
      <c r="BY16" s="208">
        <v>-2858601</v>
      </c>
      <c r="BZ16" s="208">
        <v>-2801429</v>
      </c>
      <c r="CA16" s="208">
        <v>0</v>
      </c>
      <c r="CB16" s="208">
        <v>-57172</v>
      </c>
      <c r="CC16" s="208">
        <v>-5717202</v>
      </c>
      <c r="CD16" s="208">
        <v>258706</v>
      </c>
      <c r="CE16" s="208">
        <v>253532</v>
      </c>
      <c r="CF16" s="208">
        <v>0</v>
      </c>
      <c r="CG16" s="208">
        <v>5174</v>
      </c>
      <c r="CH16" s="208">
        <v>517412</v>
      </c>
      <c r="CI16" s="208">
        <v>0</v>
      </c>
      <c r="CJ16" s="208">
        <v>0</v>
      </c>
      <c r="CK16" s="208">
        <v>0</v>
      </c>
      <c r="CL16" s="208">
        <v>0</v>
      </c>
      <c r="CM16" s="208">
        <v>0</v>
      </c>
      <c r="CN16" s="208">
        <v>-219440</v>
      </c>
      <c r="CO16" s="208">
        <v>-215052</v>
      </c>
      <c r="CP16" s="208">
        <v>0</v>
      </c>
      <c r="CQ16" s="208">
        <v>-4389</v>
      </c>
      <c r="CR16" s="208">
        <v>-438881</v>
      </c>
      <c r="CS16" s="208">
        <v>-1903496</v>
      </c>
      <c r="CT16" s="208">
        <v>-1865427</v>
      </c>
      <c r="CU16" s="208">
        <v>0</v>
      </c>
      <c r="CV16" s="208">
        <v>-38070</v>
      </c>
      <c r="CW16" s="208">
        <v>-3806993</v>
      </c>
      <c r="CX16" s="208">
        <v>-6240444</v>
      </c>
      <c r="CY16" s="208">
        <v>-6115636</v>
      </c>
      <c r="CZ16" s="208">
        <v>0</v>
      </c>
      <c r="DA16" s="208">
        <v>-124809</v>
      </c>
      <c r="DB16" s="208">
        <v>-12480889</v>
      </c>
      <c r="DC16" s="208">
        <v>-1478347</v>
      </c>
      <c r="DD16" s="208">
        <v>-1448780</v>
      </c>
      <c r="DE16" s="208">
        <v>0</v>
      </c>
      <c r="DF16" s="208">
        <v>-29567</v>
      </c>
      <c r="DG16" s="208">
        <v>-2956694</v>
      </c>
      <c r="DH16" s="208">
        <v>-4762097</v>
      </c>
      <c r="DI16" s="208">
        <v>-4666856</v>
      </c>
      <c r="DJ16" s="208">
        <v>0</v>
      </c>
      <c r="DK16" s="208">
        <v>-95242</v>
      </c>
      <c r="DL16" s="208">
        <v>-9524195</v>
      </c>
      <c r="DM16" s="208">
        <v>495507</v>
      </c>
      <c r="DN16" s="208">
        <v>485597</v>
      </c>
      <c r="DO16" s="208">
        <v>0</v>
      </c>
      <c r="DP16" s="208">
        <v>9910</v>
      </c>
      <c r="DQ16" s="208">
        <v>991014</v>
      </c>
      <c r="DR16" s="208">
        <v>-30867</v>
      </c>
      <c r="DS16" s="208">
        <v>-30249</v>
      </c>
      <c r="DT16" s="208">
        <v>0</v>
      </c>
      <c r="DU16" s="208">
        <v>-617</v>
      </c>
      <c r="DV16" s="208">
        <v>-61733</v>
      </c>
      <c r="DW16" s="208">
        <v>526374</v>
      </c>
      <c r="DX16" s="208">
        <v>515846</v>
      </c>
      <c r="DY16" s="208">
        <v>0</v>
      </c>
      <c r="DZ16" s="208">
        <v>10527</v>
      </c>
      <c r="EA16" s="208">
        <v>1052747</v>
      </c>
      <c r="EB16" s="208">
        <v>22748980</v>
      </c>
      <c r="EC16" s="208">
        <v>22294001</v>
      </c>
      <c r="ED16" s="208">
        <v>0</v>
      </c>
      <c r="EE16" s="208">
        <v>454980</v>
      </c>
      <c r="EF16" s="208">
        <v>45497961</v>
      </c>
      <c r="EG16" s="208">
        <v>23544172</v>
      </c>
      <c r="EH16" s="208">
        <v>23073289</v>
      </c>
      <c r="EI16" s="208">
        <v>0</v>
      </c>
      <c r="EJ16" s="208">
        <v>470883</v>
      </c>
      <c r="EK16" s="208">
        <v>47088344</v>
      </c>
      <c r="EL16" s="208">
        <v>795192</v>
      </c>
      <c r="EM16" s="208">
        <v>779288</v>
      </c>
      <c r="EN16" s="208">
        <v>0</v>
      </c>
      <c r="EO16" s="208">
        <v>15903</v>
      </c>
      <c r="EP16" s="208">
        <v>1590383</v>
      </c>
      <c r="EQ16" s="208">
        <v>1321566</v>
      </c>
      <c r="ER16" s="208">
        <v>1295134</v>
      </c>
      <c r="ES16" s="208">
        <v>0</v>
      </c>
      <c r="ET16" s="208">
        <v>26430</v>
      </c>
      <c r="EU16" s="208">
        <v>2643130</v>
      </c>
      <c r="EV16" s="666">
        <v>0.5</v>
      </c>
      <c r="EW16" s="666">
        <v>0.49</v>
      </c>
      <c r="EX16" s="666">
        <v>0</v>
      </c>
      <c r="EY16" s="666">
        <v>0.01</v>
      </c>
      <c r="EZ16" s="666">
        <v>1</v>
      </c>
      <c r="FA16" s="187" t="s">
        <v>1056</v>
      </c>
      <c r="FC16" s="187">
        <v>0</v>
      </c>
    </row>
    <row r="17" spans="2:159" s="187" customFormat="1" x14ac:dyDescent="0.2">
      <c r="B17" s="429" t="s">
        <v>113</v>
      </c>
      <c r="C17" s="429" t="s">
        <v>112</v>
      </c>
      <c r="D17" s="208">
        <v>10868341</v>
      </c>
      <c r="E17" s="208">
        <v>8694673</v>
      </c>
      <c r="F17" s="208">
        <v>2173668</v>
      </c>
      <c r="G17" s="208">
        <v>0</v>
      </c>
      <c r="H17" s="208">
        <v>21736682</v>
      </c>
      <c r="I17" s="208">
        <v>0</v>
      </c>
      <c r="J17" s="208">
        <v>0</v>
      </c>
      <c r="K17" s="208">
        <v>10868341</v>
      </c>
      <c r="L17" s="208">
        <v>92558</v>
      </c>
      <c r="M17" s="208">
        <v>92558</v>
      </c>
      <c r="N17" s="208">
        <v>0</v>
      </c>
      <c r="O17" s="208">
        <v>0</v>
      </c>
      <c r="P17" s="208">
        <v>157208</v>
      </c>
      <c r="Q17" s="208">
        <v>0</v>
      </c>
      <c r="R17" s="208">
        <v>157208</v>
      </c>
      <c r="S17" s="208">
        <v>0</v>
      </c>
      <c r="T17" s="208">
        <v>0</v>
      </c>
      <c r="U17" s="208">
        <v>0</v>
      </c>
      <c r="V17" s="208">
        <v>0</v>
      </c>
      <c r="W17" s="208">
        <v>0</v>
      </c>
      <c r="X17" s="208">
        <v>0</v>
      </c>
      <c r="Y17" s="208">
        <v>0</v>
      </c>
      <c r="Z17" s="208">
        <v>0</v>
      </c>
      <c r="AA17" s="208">
        <v>0</v>
      </c>
      <c r="AB17" s="208">
        <v>0</v>
      </c>
      <c r="AC17" s="208">
        <v>0</v>
      </c>
      <c r="AD17" s="208">
        <v>0</v>
      </c>
      <c r="AE17" s="208">
        <v>0</v>
      </c>
      <c r="AF17" s="208">
        <v>0</v>
      </c>
      <c r="AG17" s="208">
        <v>868253</v>
      </c>
      <c r="AH17" s="208">
        <v>216163</v>
      </c>
      <c r="AI17" s="208">
        <v>0</v>
      </c>
      <c r="AJ17" s="208">
        <v>1084416</v>
      </c>
      <c r="AK17" s="208">
        <v>747266</v>
      </c>
      <c r="AL17" s="208">
        <v>597812</v>
      </c>
      <c r="AM17" s="208">
        <v>149453</v>
      </c>
      <c r="AN17" s="208">
        <v>0</v>
      </c>
      <c r="AO17" s="208">
        <v>1494531</v>
      </c>
      <c r="AP17" s="208">
        <v>-389306</v>
      </c>
      <c r="AQ17" s="208">
        <v>-311445</v>
      </c>
      <c r="AR17" s="208">
        <v>-77861</v>
      </c>
      <c r="AS17" s="208">
        <v>0</v>
      </c>
      <c r="AT17" s="208">
        <v>-778612</v>
      </c>
      <c r="AU17" s="208">
        <v>-655046</v>
      </c>
      <c r="AV17" s="208">
        <v>-524037</v>
      </c>
      <c r="AW17" s="208">
        <v>-131009</v>
      </c>
      <c r="AX17" s="208">
        <v>0</v>
      </c>
      <c r="AY17" s="208">
        <v>-1310092</v>
      </c>
      <c r="AZ17" s="208">
        <v>44989</v>
      </c>
      <c r="BA17" s="208">
        <v>35991</v>
      </c>
      <c r="BB17" s="208">
        <v>8998</v>
      </c>
      <c r="BC17" s="208">
        <v>0</v>
      </c>
      <c r="BD17" s="208">
        <v>89978</v>
      </c>
      <c r="BE17" s="208">
        <v>-9013</v>
      </c>
      <c r="BF17" s="208">
        <v>-7210</v>
      </c>
      <c r="BG17" s="208">
        <v>-1803</v>
      </c>
      <c r="BH17" s="208">
        <v>0</v>
      </c>
      <c r="BI17" s="208">
        <v>-18026</v>
      </c>
      <c r="BJ17" s="208">
        <v>-619070</v>
      </c>
      <c r="BK17" s="208">
        <v>-495256</v>
      </c>
      <c r="BL17" s="208">
        <v>-123814</v>
      </c>
      <c r="BM17" s="208">
        <v>0</v>
      </c>
      <c r="BN17" s="208">
        <v>-1238140</v>
      </c>
      <c r="BO17" s="208">
        <v>-682671</v>
      </c>
      <c r="BP17" s="208">
        <v>-546136</v>
      </c>
      <c r="BQ17" s="208">
        <v>-136534</v>
      </c>
      <c r="BR17" s="208">
        <v>0</v>
      </c>
      <c r="BS17" s="208">
        <v>-1365341</v>
      </c>
      <c r="BT17" s="208">
        <v>-545258</v>
      </c>
      <c r="BU17" s="208">
        <v>-436207</v>
      </c>
      <c r="BV17" s="208">
        <v>-109052</v>
      </c>
      <c r="BW17" s="208">
        <v>0</v>
      </c>
      <c r="BX17" s="208">
        <v>-1090517</v>
      </c>
      <c r="BY17" s="208">
        <v>-137412</v>
      </c>
      <c r="BZ17" s="208">
        <v>-109930</v>
      </c>
      <c r="CA17" s="208">
        <v>-27482</v>
      </c>
      <c r="CB17" s="208">
        <v>0</v>
      </c>
      <c r="CC17" s="208">
        <v>-274824</v>
      </c>
      <c r="CD17" s="208">
        <v>0</v>
      </c>
      <c r="CE17" s="208">
        <v>0</v>
      </c>
      <c r="CF17" s="208">
        <v>0</v>
      </c>
      <c r="CG17" s="208">
        <v>0</v>
      </c>
      <c r="CH17" s="208">
        <v>0</v>
      </c>
      <c r="CI17" s="208">
        <v>10009</v>
      </c>
      <c r="CJ17" s="208">
        <v>8007</v>
      </c>
      <c r="CK17" s="208">
        <v>2002</v>
      </c>
      <c r="CL17" s="208">
        <v>0</v>
      </c>
      <c r="CM17" s="208">
        <v>20018</v>
      </c>
      <c r="CN17" s="208">
        <v>93254</v>
      </c>
      <c r="CO17" s="208">
        <v>74603</v>
      </c>
      <c r="CP17" s="208">
        <v>18651</v>
      </c>
      <c r="CQ17" s="208">
        <v>0</v>
      </c>
      <c r="CR17" s="208">
        <v>186508</v>
      </c>
      <c r="CS17" s="208">
        <v>-144934</v>
      </c>
      <c r="CT17" s="208">
        <v>-115947</v>
      </c>
      <c r="CU17" s="208">
        <v>-28987</v>
      </c>
      <c r="CV17" s="208">
        <v>0</v>
      </c>
      <c r="CW17" s="208">
        <v>-289868</v>
      </c>
      <c r="CX17" s="208">
        <v>-724342</v>
      </c>
      <c r="CY17" s="208">
        <v>-579473</v>
      </c>
      <c r="CZ17" s="208">
        <v>-144868</v>
      </c>
      <c r="DA17" s="208">
        <v>0</v>
      </c>
      <c r="DB17" s="208">
        <v>-1448683</v>
      </c>
      <c r="DC17" s="208">
        <v>-452004</v>
      </c>
      <c r="DD17" s="208">
        <v>-361604</v>
      </c>
      <c r="DE17" s="208">
        <v>-90401</v>
      </c>
      <c r="DF17" s="208">
        <v>0</v>
      </c>
      <c r="DG17" s="208">
        <v>-904009</v>
      </c>
      <c r="DH17" s="208">
        <v>-272337</v>
      </c>
      <c r="DI17" s="208">
        <v>-217870</v>
      </c>
      <c r="DJ17" s="208">
        <v>-54467</v>
      </c>
      <c r="DK17" s="208">
        <v>0</v>
      </c>
      <c r="DL17" s="208">
        <v>-544674</v>
      </c>
      <c r="DM17" s="208">
        <v>-448582</v>
      </c>
      <c r="DN17" s="208">
        <v>-358867</v>
      </c>
      <c r="DO17" s="208">
        <v>-89716</v>
      </c>
      <c r="DP17" s="208">
        <v>0</v>
      </c>
      <c r="DQ17" s="208">
        <v>-897165</v>
      </c>
      <c r="DR17" s="208">
        <v>-203061</v>
      </c>
      <c r="DS17" s="208">
        <v>-162449</v>
      </c>
      <c r="DT17" s="208">
        <v>-40612</v>
      </c>
      <c r="DU17" s="208">
        <v>0</v>
      </c>
      <c r="DV17" s="208">
        <v>-406122</v>
      </c>
      <c r="DW17" s="208">
        <v>-245521</v>
      </c>
      <c r="DX17" s="208">
        <v>-196418</v>
      </c>
      <c r="DY17" s="208">
        <v>-49104</v>
      </c>
      <c r="DZ17" s="208">
        <v>0</v>
      </c>
      <c r="EA17" s="208">
        <v>-491043</v>
      </c>
      <c r="EB17" s="208">
        <v>10359523</v>
      </c>
      <c r="EC17" s="208">
        <v>8287619</v>
      </c>
      <c r="ED17" s="208">
        <v>2071905</v>
      </c>
      <c r="EE17" s="208">
        <v>0</v>
      </c>
      <c r="EF17" s="208">
        <v>20719047</v>
      </c>
      <c r="EG17" s="208">
        <v>10868341</v>
      </c>
      <c r="EH17" s="208">
        <v>8694673</v>
      </c>
      <c r="EI17" s="208">
        <v>2173668</v>
      </c>
      <c r="EJ17" s="208">
        <v>0</v>
      </c>
      <c r="EK17" s="208">
        <v>21736682</v>
      </c>
      <c r="EL17" s="208">
        <v>508818</v>
      </c>
      <c r="EM17" s="208">
        <v>407054</v>
      </c>
      <c r="EN17" s="208">
        <v>101763</v>
      </c>
      <c r="EO17" s="208">
        <v>0</v>
      </c>
      <c r="EP17" s="208">
        <v>1017635</v>
      </c>
      <c r="EQ17" s="208">
        <v>263297</v>
      </c>
      <c r="ER17" s="208">
        <v>210636</v>
      </c>
      <c r="ES17" s="208">
        <v>52659</v>
      </c>
      <c r="ET17" s="208">
        <v>0</v>
      </c>
      <c r="EU17" s="208">
        <v>526592</v>
      </c>
      <c r="EV17" s="666">
        <v>0.5</v>
      </c>
      <c r="EW17" s="666">
        <v>0.4</v>
      </c>
      <c r="EX17" s="666">
        <v>0.1</v>
      </c>
      <c r="EY17" s="666">
        <v>0</v>
      </c>
      <c r="EZ17" s="666">
        <v>1</v>
      </c>
      <c r="FA17" s="187" t="s">
        <v>1054</v>
      </c>
      <c r="FC17" s="187">
        <v>0</v>
      </c>
    </row>
    <row r="18" spans="2:159" s="187" customFormat="1" x14ac:dyDescent="0.2">
      <c r="B18" s="429" t="s">
        <v>115</v>
      </c>
      <c r="C18" s="429" t="s">
        <v>114</v>
      </c>
      <c r="D18" s="208">
        <v>38710447</v>
      </c>
      <c r="E18" s="208">
        <v>30968357</v>
      </c>
      <c r="F18" s="208">
        <v>6967880</v>
      </c>
      <c r="G18" s="208">
        <v>774209</v>
      </c>
      <c r="H18" s="208">
        <v>77420893</v>
      </c>
      <c r="I18" s="208">
        <v>0</v>
      </c>
      <c r="J18" s="208">
        <v>0</v>
      </c>
      <c r="K18" s="208">
        <v>38710447</v>
      </c>
      <c r="L18" s="208">
        <v>229014</v>
      </c>
      <c r="M18" s="208">
        <v>229014</v>
      </c>
      <c r="N18" s="208">
        <v>0</v>
      </c>
      <c r="O18" s="208">
        <v>0</v>
      </c>
      <c r="P18" s="208">
        <v>51218</v>
      </c>
      <c r="Q18" s="208">
        <v>0</v>
      </c>
      <c r="R18" s="208">
        <v>51218</v>
      </c>
      <c r="S18" s="208">
        <v>0</v>
      </c>
      <c r="T18" s="208">
        <v>0</v>
      </c>
      <c r="U18" s="208">
        <v>0</v>
      </c>
      <c r="V18" s="208">
        <v>0</v>
      </c>
      <c r="W18" s="208">
        <v>0</v>
      </c>
      <c r="X18" s="208">
        <v>0</v>
      </c>
      <c r="Y18" s="208">
        <v>0</v>
      </c>
      <c r="Z18" s="208">
        <v>0</v>
      </c>
      <c r="AA18" s="208">
        <v>0</v>
      </c>
      <c r="AB18" s="208">
        <v>0</v>
      </c>
      <c r="AC18" s="208">
        <v>0</v>
      </c>
      <c r="AD18" s="208">
        <v>0</v>
      </c>
      <c r="AE18" s="208">
        <v>0</v>
      </c>
      <c r="AF18" s="208">
        <v>0</v>
      </c>
      <c r="AG18" s="208">
        <v>2537440</v>
      </c>
      <c r="AH18" s="208">
        <v>570660</v>
      </c>
      <c r="AI18" s="208">
        <v>63407</v>
      </c>
      <c r="AJ18" s="208">
        <v>3171507</v>
      </c>
      <c r="AK18" s="208">
        <v>828920</v>
      </c>
      <c r="AL18" s="208">
        <v>663135</v>
      </c>
      <c r="AM18" s="208">
        <v>149205</v>
      </c>
      <c r="AN18" s="208">
        <v>16578</v>
      </c>
      <c r="AO18" s="208">
        <v>1657838</v>
      </c>
      <c r="AP18" s="208">
        <v>-1084112</v>
      </c>
      <c r="AQ18" s="208">
        <v>-867289</v>
      </c>
      <c r="AR18" s="208">
        <v>-195140</v>
      </c>
      <c r="AS18" s="208">
        <v>-21682</v>
      </c>
      <c r="AT18" s="208">
        <v>-2168223</v>
      </c>
      <c r="AU18" s="208">
        <v>-347250</v>
      </c>
      <c r="AV18" s="208">
        <v>-277800</v>
      </c>
      <c r="AW18" s="208">
        <v>-62505</v>
      </c>
      <c r="AX18" s="208">
        <v>-6945</v>
      </c>
      <c r="AY18" s="208">
        <v>-694500</v>
      </c>
      <c r="AZ18" s="208">
        <v>153974</v>
      </c>
      <c r="BA18" s="208">
        <v>123179</v>
      </c>
      <c r="BB18" s="208">
        <v>27715</v>
      </c>
      <c r="BC18" s="208">
        <v>3079</v>
      </c>
      <c r="BD18" s="208">
        <v>307947</v>
      </c>
      <c r="BE18" s="208">
        <v>-306724</v>
      </c>
      <c r="BF18" s="208">
        <v>-245379</v>
      </c>
      <c r="BG18" s="208">
        <v>-55210</v>
      </c>
      <c r="BH18" s="208">
        <v>-6134</v>
      </c>
      <c r="BI18" s="208">
        <v>-613447</v>
      </c>
      <c r="BJ18" s="208">
        <v>-500000</v>
      </c>
      <c r="BK18" s="208">
        <v>-400000</v>
      </c>
      <c r="BL18" s="208">
        <v>-90000</v>
      </c>
      <c r="BM18" s="208">
        <v>-10000</v>
      </c>
      <c r="BN18" s="208">
        <v>-1000000</v>
      </c>
      <c r="BO18" s="208">
        <v>-3912500</v>
      </c>
      <c r="BP18" s="208">
        <v>-3130000</v>
      </c>
      <c r="BQ18" s="208">
        <v>-704250</v>
      </c>
      <c r="BR18" s="208">
        <v>-78250</v>
      </c>
      <c r="BS18" s="208">
        <v>-7825000</v>
      </c>
      <c r="BT18" s="208">
        <v>-2062500</v>
      </c>
      <c r="BU18" s="208">
        <v>-1650000</v>
      </c>
      <c r="BV18" s="208">
        <v>-371250</v>
      </c>
      <c r="BW18" s="208">
        <v>-41250</v>
      </c>
      <c r="BX18" s="208">
        <v>-4125000</v>
      </c>
      <c r="BY18" s="208">
        <v>-1850000</v>
      </c>
      <c r="BZ18" s="208">
        <v>-1480000</v>
      </c>
      <c r="CA18" s="208">
        <v>-333000</v>
      </c>
      <c r="CB18" s="208">
        <v>-37000</v>
      </c>
      <c r="CC18" s="208">
        <v>-3700000</v>
      </c>
      <c r="CD18" s="208">
        <v>590404</v>
      </c>
      <c r="CE18" s="208">
        <v>472324</v>
      </c>
      <c r="CF18" s="208">
        <v>106273</v>
      </c>
      <c r="CG18" s="208">
        <v>11808</v>
      </c>
      <c r="CH18" s="208">
        <v>1180809</v>
      </c>
      <c r="CI18" s="208">
        <v>0</v>
      </c>
      <c r="CJ18" s="208">
        <v>0</v>
      </c>
      <c r="CK18" s="208">
        <v>0</v>
      </c>
      <c r="CL18" s="208">
        <v>0</v>
      </c>
      <c r="CM18" s="208">
        <v>0</v>
      </c>
      <c r="CN18" s="208">
        <v>-77904</v>
      </c>
      <c r="CO18" s="208">
        <v>-62324</v>
      </c>
      <c r="CP18" s="208">
        <v>-14023</v>
      </c>
      <c r="CQ18" s="208">
        <v>-1558</v>
      </c>
      <c r="CR18" s="208">
        <v>-155809</v>
      </c>
      <c r="CS18" s="208">
        <v>-2350000</v>
      </c>
      <c r="CT18" s="208">
        <v>-1880000</v>
      </c>
      <c r="CU18" s="208">
        <v>-423000</v>
      </c>
      <c r="CV18" s="208">
        <v>-47000</v>
      </c>
      <c r="CW18" s="208">
        <v>-4700000</v>
      </c>
      <c r="CX18" s="208">
        <v>-5750000</v>
      </c>
      <c r="CY18" s="208">
        <v>-4600000</v>
      </c>
      <c r="CZ18" s="208">
        <v>-1035000</v>
      </c>
      <c r="DA18" s="208">
        <v>-115000</v>
      </c>
      <c r="DB18" s="208">
        <v>-11500000</v>
      </c>
      <c r="DC18" s="208">
        <v>-1550000</v>
      </c>
      <c r="DD18" s="208">
        <v>-1240000</v>
      </c>
      <c r="DE18" s="208">
        <v>-279000</v>
      </c>
      <c r="DF18" s="208">
        <v>-31000</v>
      </c>
      <c r="DG18" s="208">
        <v>-3100000</v>
      </c>
      <c r="DH18" s="208">
        <v>-4200000</v>
      </c>
      <c r="DI18" s="208">
        <v>-3360000</v>
      </c>
      <c r="DJ18" s="208">
        <v>-756000</v>
      </c>
      <c r="DK18" s="208">
        <v>-84000</v>
      </c>
      <c r="DL18" s="208">
        <v>-8400000</v>
      </c>
      <c r="DM18" s="208">
        <v>5079024</v>
      </c>
      <c r="DN18" s="208">
        <v>4063219</v>
      </c>
      <c r="DO18" s="208">
        <v>914225</v>
      </c>
      <c r="DP18" s="208">
        <v>101580</v>
      </c>
      <c r="DQ18" s="208">
        <v>10158047</v>
      </c>
      <c r="DR18" s="208">
        <v>4741932</v>
      </c>
      <c r="DS18" s="208">
        <v>3793546</v>
      </c>
      <c r="DT18" s="208">
        <v>853548</v>
      </c>
      <c r="DU18" s="208">
        <v>94839</v>
      </c>
      <c r="DV18" s="208">
        <v>9483865</v>
      </c>
      <c r="DW18" s="208">
        <v>337092</v>
      </c>
      <c r="DX18" s="208">
        <v>269673</v>
      </c>
      <c r="DY18" s="208">
        <v>60677</v>
      </c>
      <c r="DZ18" s="208">
        <v>6741</v>
      </c>
      <c r="EA18" s="208">
        <v>674182</v>
      </c>
      <c r="EB18" s="208">
        <v>40015898</v>
      </c>
      <c r="EC18" s="208">
        <v>32012718</v>
      </c>
      <c r="ED18" s="208">
        <v>7202862</v>
      </c>
      <c r="EE18" s="208">
        <v>800318</v>
      </c>
      <c r="EF18" s="208">
        <v>80031796</v>
      </c>
      <c r="EG18" s="208">
        <v>38710447</v>
      </c>
      <c r="EH18" s="208">
        <v>30968357</v>
      </c>
      <c r="EI18" s="208">
        <v>6967880</v>
      </c>
      <c r="EJ18" s="208">
        <v>774209</v>
      </c>
      <c r="EK18" s="208">
        <v>77420893</v>
      </c>
      <c r="EL18" s="208">
        <v>-1305451</v>
      </c>
      <c r="EM18" s="208">
        <v>-1044361</v>
      </c>
      <c r="EN18" s="208">
        <v>-234982</v>
      </c>
      <c r="EO18" s="208">
        <v>-26109</v>
      </c>
      <c r="EP18" s="208">
        <v>-2610903</v>
      </c>
      <c r="EQ18" s="208">
        <v>-968359</v>
      </c>
      <c r="ER18" s="208">
        <v>-774688</v>
      </c>
      <c r="ES18" s="208">
        <v>-174305</v>
      </c>
      <c r="ET18" s="208">
        <v>-19368</v>
      </c>
      <c r="EU18" s="208">
        <v>-1936721</v>
      </c>
      <c r="EV18" s="666">
        <v>0.5</v>
      </c>
      <c r="EW18" s="666">
        <v>0.4</v>
      </c>
      <c r="EX18" s="666">
        <v>0.09</v>
      </c>
      <c r="EY18" s="666">
        <v>0.01</v>
      </c>
      <c r="EZ18" s="666">
        <v>1</v>
      </c>
      <c r="FA18" s="187" t="s">
        <v>1054</v>
      </c>
      <c r="FC18" s="187">
        <v>0</v>
      </c>
    </row>
    <row r="19" spans="2:159" s="187" customFormat="1" x14ac:dyDescent="0.2">
      <c r="B19" s="429" t="s">
        <v>117</v>
      </c>
      <c r="C19" s="429" t="s">
        <v>116</v>
      </c>
      <c r="D19" s="208">
        <v>33161244</v>
      </c>
      <c r="E19" s="208">
        <v>26528995</v>
      </c>
      <c r="F19" s="208">
        <v>5969024</v>
      </c>
      <c r="G19" s="208">
        <v>663225</v>
      </c>
      <c r="H19" s="208">
        <v>66322488</v>
      </c>
      <c r="I19" s="208">
        <v>438662</v>
      </c>
      <c r="J19" s="208">
        <v>438662</v>
      </c>
      <c r="K19" s="208">
        <v>32722582</v>
      </c>
      <c r="L19" s="208">
        <v>203240</v>
      </c>
      <c r="M19" s="208">
        <v>203240</v>
      </c>
      <c r="N19" s="208">
        <v>0</v>
      </c>
      <c r="O19" s="208">
        <v>0</v>
      </c>
      <c r="P19" s="208">
        <v>92088</v>
      </c>
      <c r="Q19" s="208">
        <v>235090</v>
      </c>
      <c r="R19" s="208">
        <v>327178</v>
      </c>
      <c r="S19" s="208">
        <v>0</v>
      </c>
      <c r="T19" s="208">
        <v>0</v>
      </c>
      <c r="U19" s="208">
        <v>0</v>
      </c>
      <c r="V19" s="208">
        <v>0</v>
      </c>
      <c r="W19" s="208">
        <v>438662.46875</v>
      </c>
      <c r="X19" s="208">
        <v>0</v>
      </c>
      <c r="Y19" s="208">
        <v>0</v>
      </c>
      <c r="Z19" s="208">
        <v>438662.46875</v>
      </c>
      <c r="AA19" s="208">
        <v>0</v>
      </c>
      <c r="AB19" s="208">
        <v>0</v>
      </c>
      <c r="AC19" s="208">
        <v>0</v>
      </c>
      <c r="AD19" s="208">
        <v>0</v>
      </c>
      <c r="AE19" s="208">
        <v>0</v>
      </c>
      <c r="AF19" s="208">
        <v>0</v>
      </c>
      <c r="AG19" s="208">
        <v>1731248</v>
      </c>
      <c r="AH19" s="208">
        <v>387493</v>
      </c>
      <c r="AI19" s="208">
        <v>42458</v>
      </c>
      <c r="AJ19" s="208">
        <v>2161199</v>
      </c>
      <c r="AK19" s="208">
        <v>586516</v>
      </c>
      <c r="AL19" s="208">
        <v>469213</v>
      </c>
      <c r="AM19" s="208">
        <v>105573</v>
      </c>
      <c r="AN19" s="208">
        <v>11730</v>
      </c>
      <c r="AO19" s="208">
        <v>1173032</v>
      </c>
      <c r="AP19" s="208">
        <v>-937242</v>
      </c>
      <c r="AQ19" s="208">
        <v>-749794</v>
      </c>
      <c r="AR19" s="208">
        <v>-168704</v>
      </c>
      <c r="AS19" s="208">
        <v>-18745</v>
      </c>
      <c r="AT19" s="208">
        <v>-1874485</v>
      </c>
      <c r="AU19" s="208">
        <v>-187501</v>
      </c>
      <c r="AV19" s="208">
        <v>-150000</v>
      </c>
      <c r="AW19" s="208">
        <v>-33750</v>
      </c>
      <c r="AX19" s="208">
        <v>-3750</v>
      </c>
      <c r="AY19" s="208">
        <v>-375001</v>
      </c>
      <c r="AZ19" s="208">
        <v>187500</v>
      </c>
      <c r="BA19" s="208">
        <v>150000</v>
      </c>
      <c r="BB19" s="208">
        <v>33750</v>
      </c>
      <c r="BC19" s="208">
        <v>3750</v>
      </c>
      <c r="BD19" s="208">
        <v>375000</v>
      </c>
      <c r="BE19" s="208">
        <v>-325000</v>
      </c>
      <c r="BF19" s="208">
        <v>-260000</v>
      </c>
      <c r="BG19" s="208">
        <v>-58500</v>
      </c>
      <c r="BH19" s="208">
        <v>-6500</v>
      </c>
      <c r="BI19" s="208">
        <v>-650000</v>
      </c>
      <c r="BJ19" s="208">
        <v>-325001</v>
      </c>
      <c r="BK19" s="208">
        <v>-260000</v>
      </c>
      <c r="BL19" s="208">
        <v>-58500</v>
      </c>
      <c r="BM19" s="208">
        <v>-6500</v>
      </c>
      <c r="BN19" s="208">
        <v>-650001</v>
      </c>
      <c r="BO19" s="208">
        <v>-4375000</v>
      </c>
      <c r="BP19" s="208">
        <v>-3500000</v>
      </c>
      <c r="BQ19" s="208">
        <v>-787500</v>
      </c>
      <c r="BR19" s="208">
        <v>-87500</v>
      </c>
      <c r="BS19" s="208">
        <v>-8750000</v>
      </c>
      <c r="BT19" s="208">
        <v>-2575000</v>
      </c>
      <c r="BU19" s="208">
        <v>-2060000</v>
      </c>
      <c r="BV19" s="208">
        <v>-463500</v>
      </c>
      <c r="BW19" s="208">
        <v>-51500</v>
      </c>
      <c r="BX19" s="208">
        <v>-5150000</v>
      </c>
      <c r="BY19" s="208">
        <v>-1800000</v>
      </c>
      <c r="BZ19" s="208">
        <v>-1440000</v>
      </c>
      <c r="CA19" s="208">
        <v>-324000</v>
      </c>
      <c r="CB19" s="208">
        <v>-36000</v>
      </c>
      <c r="CC19" s="208">
        <v>-3600000</v>
      </c>
      <c r="CD19" s="208">
        <v>1480384</v>
      </c>
      <c r="CE19" s="208">
        <v>1184308</v>
      </c>
      <c r="CF19" s="208">
        <v>266469</v>
      </c>
      <c r="CG19" s="208">
        <v>29608</v>
      </c>
      <c r="CH19" s="208">
        <v>2960769</v>
      </c>
      <c r="CI19" s="208">
        <v>499361</v>
      </c>
      <c r="CJ19" s="208">
        <v>399488</v>
      </c>
      <c r="CK19" s="208">
        <v>89885</v>
      </c>
      <c r="CL19" s="208">
        <v>9987</v>
      </c>
      <c r="CM19" s="208">
        <v>998721</v>
      </c>
      <c r="CN19" s="208">
        <v>-655384</v>
      </c>
      <c r="CO19" s="208">
        <v>-524308</v>
      </c>
      <c r="CP19" s="208">
        <v>-117969</v>
      </c>
      <c r="CQ19" s="208">
        <v>-13108</v>
      </c>
      <c r="CR19" s="208">
        <v>-1310769</v>
      </c>
      <c r="CS19" s="208">
        <v>-2249361</v>
      </c>
      <c r="CT19" s="208">
        <v>-1799488</v>
      </c>
      <c r="CU19" s="208">
        <v>-404885</v>
      </c>
      <c r="CV19" s="208">
        <v>-44987</v>
      </c>
      <c r="CW19" s="208">
        <v>-4498721</v>
      </c>
      <c r="CX19" s="208">
        <v>-5300000</v>
      </c>
      <c r="CY19" s="208">
        <v>-4240000</v>
      </c>
      <c r="CZ19" s="208">
        <v>-954000</v>
      </c>
      <c r="DA19" s="208">
        <v>-106000</v>
      </c>
      <c r="DB19" s="208">
        <v>-10600000</v>
      </c>
      <c r="DC19" s="208">
        <v>-1750000</v>
      </c>
      <c r="DD19" s="208">
        <v>-1400000</v>
      </c>
      <c r="DE19" s="208">
        <v>-315000</v>
      </c>
      <c r="DF19" s="208">
        <v>-35000</v>
      </c>
      <c r="DG19" s="208">
        <v>-3500000</v>
      </c>
      <c r="DH19" s="208">
        <v>-3550000</v>
      </c>
      <c r="DI19" s="208">
        <v>-2840000</v>
      </c>
      <c r="DJ19" s="208">
        <v>-639000</v>
      </c>
      <c r="DK19" s="208">
        <v>-71000</v>
      </c>
      <c r="DL19" s="208">
        <v>-7100000</v>
      </c>
      <c r="DM19" s="208">
        <v>-121596</v>
      </c>
      <c r="DN19" s="208">
        <v>-97278</v>
      </c>
      <c r="DO19" s="208">
        <v>-21887</v>
      </c>
      <c r="DP19" s="208">
        <v>-2432</v>
      </c>
      <c r="DQ19" s="208">
        <v>-243193</v>
      </c>
      <c r="DR19" s="208">
        <v>-493034</v>
      </c>
      <c r="DS19" s="208">
        <v>-394428</v>
      </c>
      <c r="DT19" s="208">
        <v>-88746</v>
      </c>
      <c r="DU19" s="208">
        <v>-9861</v>
      </c>
      <c r="DV19" s="208">
        <v>-986069</v>
      </c>
      <c r="DW19" s="208">
        <v>371438</v>
      </c>
      <c r="DX19" s="208">
        <v>297150</v>
      </c>
      <c r="DY19" s="208">
        <v>66859</v>
      </c>
      <c r="DZ19" s="208">
        <v>7429</v>
      </c>
      <c r="EA19" s="208">
        <v>742876</v>
      </c>
      <c r="EB19" s="208">
        <v>36088386</v>
      </c>
      <c r="EC19" s="208">
        <v>28870709</v>
      </c>
      <c r="ED19" s="208">
        <v>6495909</v>
      </c>
      <c r="EE19" s="208">
        <v>721768</v>
      </c>
      <c r="EF19" s="208">
        <v>72176772</v>
      </c>
      <c r="EG19" s="208">
        <v>33161244</v>
      </c>
      <c r="EH19" s="208">
        <v>26528995</v>
      </c>
      <c r="EI19" s="208">
        <v>5969024</v>
      </c>
      <c r="EJ19" s="208">
        <v>663225</v>
      </c>
      <c r="EK19" s="208">
        <v>66322488</v>
      </c>
      <c r="EL19" s="208">
        <v>-2927142</v>
      </c>
      <c r="EM19" s="208">
        <v>-2341714</v>
      </c>
      <c r="EN19" s="208">
        <v>-526885</v>
      </c>
      <c r="EO19" s="208">
        <v>-58543</v>
      </c>
      <c r="EP19" s="208">
        <v>-5854284</v>
      </c>
      <c r="EQ19" s="208">
        <v>-2555704</v>
      </c>
      <c r="ER19" s="208">
        <v>-2044564</v>
      </c>
      <c r="ES19" s="208">
        <v>-460026</v>
      </c>
      <c r="ET19" s="208">
        <v>-51114</v>
      </c>
      <c r="EU19" s="208">
        <v>-5111408</v>
      </c>
      <c r="EV19" s="666">
        <v>0.5</v>
      </c>
      <c r="EW19" s="666">
        <v>0.4</v>
      </c>
      <c r="EX19" s="666">
        <v>0.09</v>
      </c>
      <c r="EY19" s="666">
        <v>0.01</v>
      </c>
      <c r="EZ19" s="666">
        <v>1</v>
      </c>
      <c r="FA19" s="187" t="s">
        <v>1054</v>
      </c>
      <c r="FC19" s="187">
        <v>0</v>
      </c>
    </row>
    <row r="20" spans="2:159" s="187" customFormat="1" x14ac:dyDescent="0.2">
      <c r="B20" s="429" t="s">
        <v>119</v>
      </c>
      <c r="C20" s="429" t="s">
        <v>118</v>
      </c>
      <c r="D20" s="208">
        <v>21082976</v>
      </c>
      <c r="E20" s="208">
        <v>16866381</v>
      </c>
      <c r="F20" s="208">
        <v>3794936</v>
      </c>
      <c r="G20" s="208">
        <v>421660</v>
      </c>
      <c r="H20" s="208">
        <v>42165953</v>
      </c>
      <c r="I20" s="208">
        <v>0</v>
      </c>
      <c r="J20" s="208">
        <v>0</v>
      </c>
      <c r="K20" s="208">
        <v>21082976</v>
      </c>
      <c r="L20" s="208">
        <v>167375</v>
      </c>
      <c r="M20" s="208">
        <v>167375</v>
      </c>
      <c r="N20" s="208">
        <v>0</v>
      </c>
      <c r="O20" s="208">
        <v>0</v>
      </c>
      <c r="P20" s="208">
        <v>589979</v>
      </c>
      <c r="Q20" s="208">
        <v>0</v>
      </c>
      <c r="R20" s="208">
        <v>589979</v>
      </c>
      <c r="S20" s="208">
        <v>0</v>
      </c>
      <c r="T20" s="208">
        <v>0</v>
      </c>
      <c r="U20" s="208">
        <v>0</v>
      </c>
      <c r="V20" s="208">
        <v>0</v>
      </c>
      <c r="W20" s="208">
        <v>0</v>
      </c>
      <c r="X20" s="208">
        <v>0</v>
      </c>
      <c r="Y20" s="208">
        <v>0</v>
      </c>
      <c r="Z20" s="208">
        <v>0</v>
      </c>
      <c r="AA20" s="208">
        <v>0</v>
      </c>
      <c r="AB20" s="208">
        <v>0</v>
      </c>
      <c r="AC20" s="208">
        <v>0</v>
      </c>
      <c r="AD20" s="208">
        <v>0</v>
      </c>
      <c r="AE20" s="208">
        <v>0</v>
      </c>
      <c r="AF20" s="208">
        <v>0</v>
      </c>
      <c r="AG20" s="208">
        <v>1767709</v>
      </c>
      <c r="AH20" s="208">
        <v>394691</v>
      </c>
      <c r="AI20" s="208">
        <v>43855</v>
      </c>
      <c r="AJ20" s="208">
        <v>2206255</v>
      </c>
      <c r="AK20" s="208">
        <v>1170448</v>
      </c>
      <c r="AL20" s="208">
        <v>936358</v>
      </c>
      <c r="AM20" s="208">
        <v>210681</v>
      </c>
      <c r="AN20" s="208">
        <v>23409</v>
      </c>
      <c r="AO20" s="208">
        <v>2340896</v>
      </c>
      <c r="AP20" s="208">
        <v>-409444</v>
      </c>
      <c r="AQ20" s="208">
        <v>-327556</v>
      </c>
      <c r="AR20" s="208">
        <v>-73700</v>
      </c>
      <c r="AS20" s="208">
        <v>-8189</v>
      </c>
      <c r="AT20" s="208">
        <v>-818889</v>
      </c>
      <c r="AU20" s="208">
        <v>-704040</v>
      </c>
      <c r="AV20" s="208">
        <v>-563232</v>
      </c>
      <c r="AW20" s="208">
        <v>-126727</v>
      </c>
      <c r="AX20" s="208">
        <v>-14081</v>
      </c>
      <c r="AY20" s="208">
        <v>-1408080</v>
      </c>
      <c r="AZ20" s="208">
        <v>469214</v>
      </c>
      <c r="BA20" s="208">
        <v>375370</v>
      </c>
      <c r="BB20" s="208">
        <v>84458</v>
      </c>
      <c r="BC20" s="208">
        <v>9384</v>
      </c>
      <c r="BD20" s="208">
        <v>938426</v>
      </c>
      <c r="BE20" s="208">
        <v>-243748</v>
      </c>
      <c r="BF20" s="208">
        <v>-194998</v>
      </c>
      <c r="BG20" s="208">
        <v>-43875</v>
      </c>
      <c r="BH20" s="208">
        <v>-4875</v>
      </c>
      <c r="BI20" s="208">
        <v>-487496</v>
      </c>
      <c r="BJ20" s="208">
        <v>-478574</v>
      </c>
      <c r="BK20" s="208">
        <v>-382860</v>
      </c>
      <c r="BL20" s="208">
        <v>-86144</v>
      </c>
      <c r="BM20" s="208">
        <v>-9572</v>
      </c>
      <c r="BN20" s="208">
        <v>-957150</v>
      </c>
      <c r="BO20" s="208">
        <v>-1917880</v>
      </c>
      <c r="BP20" s="208">
        <v>-1534304</v>
      </c>
      <c r="BQ20" s="208">
        <v>-345218</v>
      </c>
      <c r="BR20" s="208">
        <v>-38358</v>
      </c>
      <c r="BS20" s="208">
        <v>-3835760</v>
      </c>
      <c r="BT20" s="208">
        <v>-1917880</v>
      </c>
      <c r="BU20" s="208">
        <v>-1534304</v>
      </c>
      <c r="BV20" s="208">
        <v>-345218</v>
      </c>
      <c r="BW20" s="208">
        <v>-38358</v>
      </c>
      <c r="BX20" s="208">
        <v>-3835760</v>
      </c>
      <c r="BY20" s="208">
        <v>0</v>
      </c>
      <c r="BZ20" s="208">
        <v>0</v>
      </c>
      <c r="CA20" s="208">
        <v>0</v>
      </c>
      <c r="CB20" s="208">
        <v>0</v>
      </c>
      <c r="CC20" s="208">
        <v>0</v>
      </c>
      <c r="CD20" s="208">
        <v>252860</v>
      </c>
      <c r="CE20" s="208">
        <v>202288</v>
      </c>
      <c r="CF20" s="208">
        <v>45515</v>
      </c>
      <c r="CG20" s="208">
        <v>5057</v>
      </c>
      <c r="CH20" s="208">
        <v>505720</v>
      </c>
      <c r="CI20" s="208">
        <v>0</v>
      </c>
      <c r="CJ20" s="208">
        <v>0</v>
      </c>
      <c r="CK20" s="208">
        <v>0</v>
      </c>
      <c r="CL20" s="208">
        <v>0</v>
      </c>
      <c r="CM20" s="208">
        <v>0</v>
      </c>
      <c r="CN20" s="208">
        <v>-223911</v>
      </c>
      <c r="CO20" s="208">
        <v>-179129</v>
      </c>
      <c r="CP20" s="208">
        <v>-40304</v>
      </c>
      <c r="CQ20" s="208">
        <v>-4478</v>
      </c>
      <c r="CR20" s="208">
        <v>-447822</v>
      </c>
      <c r="CS20" s="208">
        <v>-701240</v>
      </c>
      <c r="CT20" s="208">
        <v>-560992</v>
      </c>
      <c r="CU20" s="208">
        <v>-126223</v>
      </c>
      <c r="CV20" s="208">
        <v>-14025</v>
      </c>
      <c r="CW20" s="208">
        <v>-1402480</v>
      </c>
      <c r="CX20" s="208">
        <v>-2590171</v>
      </c>
      <c r="CY20" s="208">
        <v>-2072137</v>
      </c>
      <c r="CZ20" s="208">
        <v>-466230</v>
      </c>
      <c r="DA20" s="208">
        <v>-51804</v>
      </c>
      <c r="DB20" s="208">
        <v>-5180342</v>
      </c>
      <c r="DC20" s="208">
        <v>-1888931</v>
      </c>
      <c r="DD20" s="208">
        <v>-1511145</v>
      </c>
      <c r="DE20" s="208">
        <v>-340007</v>
      </c>
      <c r="DF20" s="208">
        <v>-37779</v>
      </c>
      <c r="DG20" s="208">
        <v>-3777862</v>
      </c>
      <c r="DH20" s="208">
        <v>-701240</v>
      </c>
      <c r="DI20" s="208">
        <v>-560992</v>
      </c>
      <c r="DJ20" s="208">
        <v>-126223</v>
      </c>
      <c r="DK20" s="208">
        <v>-14025</v>
      </c>
      <c r="DL20" s="208">
        <v>-1402480</v>
      </c>
      <c r="DM20" s="208">
        <v>774289</v>
      </c>
      <c r="DN20" s="208">
        <v>619431</v>
      </c>
      <c r="DO20" s="208">
        <v>139372</v>
      </c>
      <c r="DP20" s="208">
        <v>15486</v>
      </c>
      <c r="DQ20" s="208">
        <v>1548578</v>
      </c>
      <c r="DR20" s="208">
        <v>-881588</v>
      </c>
      <c r="DS20" s="208">
        <v>-705270</v>
      </c>
      <c r="DT20" s="208">
        <v>-158686</v>
      </c>
      <c r="DU20" s="208">
        <v>-17632</v>
      </c>
      <c r="DV20" s="208">
        <v>-1763176</v>
      </c>
      <c r="DW20" s="208">
        <v>1655877</v>
      </c>
      <c r="DX20" s="208">
        <v>1324701</v>
      </c>
      <c r="DY20" s="208">
        <v>298058</v>
      </c>
      <c r="DZ20" s="208">
        <v>33118</v>
      </c>
      <c r="EA20" s="208">
        <v>3311754</v>
      </c>
      <c r="EB20" s="208">
        <v>21017151</v>
      </c>
      <c r="EC20" s="208">
        <v>16813721</v>
      </c>
      <c r="ED20" s="208">
        <v>3783087</v>
      </c>
      <c r="EE20" s="208">
        <v>420343</v>
      </c>
      <c r="EF20" s="208">
        <v>42034302</v>
      </c>
      <c r="EG20" s="208">
        <v>21082976</v>
      </c>
      <c r="EH20" s="208">
        <v>16866381</v>
      </c>
      <c r="EI20" s="208">
        <v>3794936</v>
      </c>
      <c r="EJ20" s="208">
        <v>421660</v>
      </c>
      <c r="EK20" s="208">
        <v>42165953</v>
      </c>
      <c r="EL20" s="208">
        <v>65825</v>
      </c>
      <c r="EM20" s="208">
        <v>52660</v>
      </c>
      <c r="EN20" s="208">
        <v>11849</v>
      </c>
      <c r="EO20" s="208">
        <v>1317</v>
      </c>
      <c r="EP20" s="208">
        <v>131651</v>
      </c>
      <c r="EQ20" s="208">
        <v>1721702</v>
      </c>
      <c r="ER20" s="208">
        <v>1377361</v>
      </c>
      <c r="ES20" s="208">
        <v>309907</v>
      </c>
      <c r="ET20" s="208">
        <v>34435</v>
      </c>
      <c r="EU20" s="208">
        <v>3443405</v>
      </c>
      <c r="EV20" s="666">
        <v>0.5</v>
      </c>
      <c r="EW20" s="666">
        <v>0.4</v>
      </c>
      <c r="EX20" s="666">
        <v>0.09</v>
      </c>
      <c r="EY20" s="666">
        <v>0.01</v>
      </c>
      <c r="EZ20" s="666">
        <v>1</v>
      </c>
      <c r="FA20" s="187" t="s">
        <v>1054</v>
      </c>
      <c r="FC20" s="187">
        <v>0</v>
      </c>
    </row>
    <row r="21" spans="2:159" s="187" customFormat="1" x14ac:dyDescent="0.2">
      <c r="B21" s="429" t="s">
        <v>121</v>
      </c>
      <c r="C21" s="429" t="s">
        <v>120</v>
      </c>
      <c r="D21" s="208">
        <v>1</v>
      </c>
      <c r="E21" s="208">
        <v>62380871</v>
      </c>
      <c r="F21" s="208">
        <v>3318131</v>
      </c>
      <c r="G21" s="208">
        <v>663626</v>
      </c>
      <c r="H21" s="208">
        <v>66362629</v>
      </c>
      <c r="I21" s="208">
        <v>0</v>
      </c>
      <c r="J21" s="208">
        <v>0</v>
      </c>
      <c r="K21" s="208">
        <v>1</v>
      </c>
      <c r="L21" s="208">
        <v>261134</v>
      </c>
      <c r="M21" s="208">
        <v>261134</v>
      </c>
      <c r="N21" s="208">
        <v>653881</v>
      </c>
      <c r="O21" s="208">
        <v>653881</v>
      </c>
      <c r="P21" s="208">
        <v>28507</v>
      </c>
      <c r="Q21" s="208">
        <v>0</v>
      </c>
      <c r="R21" s="208">
        <v>28507</v>
      </c>
      <c r="S21" s="208">
        <v>0</v>
      </c>
      <c r="T21" s="208">
        <v>0</v>
      </c>
      <c r="U21" s="208">
        <v>0</v>
      </c>
      <c r="V21" s="208">
        <v>0</v>
      </c>
      <c r="W21" s="208">
        <v>0</v>
      </c>
      <c r="X21" s="208">
        <v>0</v>
      </c>
      <c r="Y21" s="208">
        <v>0</v>
      </c>
      <c r="Z21" s="208">
        <v>0</v>
      </c>
      <c r="AA21" s="208">
        <v>0</v>
      </c>
      <c r="AB21" s="208">
        <v>0</v>
      </c>
      <c r="AC21" s="208">
        <v>0</v>
      </c>
      <c r="AD21" s="208">
        <v>0</v>
      </c>
      <c r="AE21" s="208">
        <v>0</v>
      </c>
      <c r="AF21" s="208">
        <v>0</v>
      </c>
      <c r="AG21" s="208">
        <v>6642195</v>
      </c>
      <c r="AH21" s="208">
        <v>343546</v>
      </c>
      <c r="AI21" s="208">
        <v>68708</v>
      </c>
      <c r="AJ21" s="208">
        <v>7054449</v>
      </c>
      <c r="AK21" s="208">
        <v>0</v>
      </c>
      <c r="AL21" s="208">
        <v>1533125</v>
      </c>
      <c r="AM21" s="208">
        <v>81549</v>
      </c>
      <c r="AN21" s="208">
        <v>16310</v>
      </c>
      <c r="AO21" s="208">
        <v>1630984</v>
      </c>
      <c r="AP21" s="208">
        <v>0</v>
      </c>
      <c r="AQ21" s="208">
        <v>-2156537</v>
      </c>
      <c r="AR21" s="208">
        <v>-114709</v>
      </c>
      <c r="AS21" s="208">
        <v>-22942</v>
      </c>
      <c r="AT21" s="208">
        <v>-2294188</v>
      </c>
      <c r="AU21" s="208">
        <v>1</v>
      </c>
      <c r="AV21" s="208">
        <v>-383215</v>
      </c>
      <c r="AW21" s="208">
        <v>-20384</v>
      </c>
      <c r="AX21" s="208">
        <v>-4077</v>
      </c>
      <c r="AY21" s="208">
        <v>-407675</v>
      </c>
      <c r="AZ21" s="208">
        <v>-1</v>
      </c>
      <c r="BA21" s="208">
        <v>221606</v>
      </c>
      <c r="BB21" s="208">
        <v>11788</v>
      </c>
      <c r="BC21" s="208">
        <v>2358</v>
      </c>
      <c r="BD21" s="208">
        <v>235751</v>
      </c>
      <c r="BE21" s="208">
        <v>0</v>
      </c>
      <c r="BF21" s="208">
        <v>-273506</v>
      </c>
      <c r="BG21" s="208">
        <v>-14548</v>
      </c>
      <c r="BH21" s="208">
        <v>-2910</v>
      </c>
      <c r="BI21" s="208">
        <v>-290964</v>
      </c>
      <c r="BJ21" s="208">
        <v>0</v>
      </c>
      <c r="BK21" s="208">
        <v>-435115</v>
      </c>
      <c r="BL21" s="208">
        <v>-23144</v>
      </c>
      <c r="BM21" s="208">
        <v>-4629</v>
      </c>
      <c r="BN21" s="208">
        <v>-462888</v>
      </c>
      <c r="BO21" s="208">
        <v>0</v>
      </c>
      <c r="BP21" s="208">
        <v>-6529693</v>
      </c>
      <c r="BQ21" s="208">
        <v>-347324</v>
      </c>
      <c r="BR21" s="208">
        <v>-69465</v>
      </c>
      <c r="BS21" s="208">
        <v>-6946482</v>
      </c>
      <c r="BT21" s="208">
        <v>1</v>
      </c>
      <c r="BU21" s="208">
        <v>-3663813</v>
      </c>
      <c r="BV21" s="208">
        <v>-194884</v>
      </c>
      <c r="BW21" s="208">
        <v>-38977</v>
      </c>
      <c r="BX21" s="208">
        <v>-3897673</v>
      </c>
      <c r="BY21" s="208">
        <v>-1</v>
      </c>
      <c r="BZ21" s="208">
        <v>-2865880</v>
      </c>
      <c r="CA21" s="208">
        <v>-152440</v>
      </c>
      <c r="CB21" s="208">
        <v>-30488</v>
      </c>
      <c r="CC21" s="208">
        <v>-3048809</v>
      </c>
      <c r="CD21" s="208">
        <v>-1</v>
      </c>
      <c r="CE21" s="208">
        <v>409613</v>
      </c>
      <c r="CF21" s="208">
        <v>21788</v>
      </c>
      <c r="CG21" s="208">
        <v>4358</v>
      </c>
      <c r="CH21" s="208">
        <v>435758</v>
      </c>
      <c r="CI21" s="208">
        <v>0</v>
      </c>
      <c r="CJ21" s="208">
        <v>0</v>
      </c>
      <c r="CK21" s="208">
        <v>0</v>
      </c>
      <c r="CL21" s="208">
        <v>0</v>
      </c>
      <c r="CM21" s="208">
        <v>0</v>
      </c>
      <c r="CN21" s="208">
        <v>0</v>
      </c>
      <c r="CO21" s="208">
        <v>629994</v>
      </c>
      <c r="CP21" s="208">
        <v>33510</v>
      </c>
      <c r="CQ21" s="208">
        <v>6702</v>
      </c>
      <c r="CR21" s="208">
        <v>670206</v>
      </c>
      <c r="CS21" s="208">
        <v>0</v>
      </c>
      <c r="CT21" s="208">
        <v>-3102489</v>
      </c>
      <c r="CU21" s="208">
        <v>-165026</v>
      </c>
      <c r="CV21" s="208">
        <v>-33005</v>
      </c>
      <c r="CW21" s="208">
        <v>-3300520</v>
      </c>
      <c r="CX21" s="208">
        <v>-1</v>
      </c>
      <c r="CY21" s="208">
        <v>-8592575</v>
      </c>
      <c r="CZ21" s="208">
        <v>-457052</v>
      </c>
      <c r="DA21" s="208">
        <v>-91410</v>
      </c>
      <c r="DB21" s="208">
        <v>-9141038</v>
      </c>
      <c r="DC21" s="208">
        <v>0</v>
      </c>
      <c r="DD21" s="208">
        <v>-2624206</v>
      </c>
      <c r="DE21" s="208">
        <v>-139586</v>
      </c>
      <c r="DF21" s="208">
        <v>-27917</v>
      </c>
      <c r="DG21" s="208">
        <v>-2791709</v>
      </c>
      <c r="DH21" s="208">
        <v>-1</v>
      </c>
      <c r="DI21" s="208">
        <v>-5968369</v>
      </c>
      <c r="DJ21" s="208">
        <v>-317466</v>
      </c>
      <c r="DK21" s="208">
        <v>-63493</v>
      </c>
      <c r="DL21" s="208">
        <v>-6349329</v>
      </c>
      <c r="DM21" s="208">
        <v>-821130</v>
      </c>
      <c r="DN21" s="208">
        <v>-1472848</v>
      </c>
      <c r="DO21" s="208">
        <v>-35539</v>
      </c>
      <c r="DP21" s="208">
        <v>-23530</v>
      </c>
      <c r="DQ21" s="208">
        <v>-2353048</v>
      </c>
      <c r="DR21" s="208">
        <v>-821511</v>
      </c>
      <c r="DS21" s="208">
        <v>-1731034</v>
      </c>
      <c r="DT21" s="208">
        <v>-49253</v>
      </c>
      <c r="DU21" s="208">
        <v>-26281</v>
      </c>
      <c r="DV21" s="208">
        <v>-2628079</v>
      </c>
      <c r="DW21" s="208">
        <v>381</v>
      </c>
      <c r="DX21" s="208">
        <v>258186</v>
      </c>
      <c r="DY21" s="208">
        <v>13714</v>
      </c>
      <c r="DZ21" s="208">
        <v>2751</v>
      </c>
      <c r="EA21" s="208">
        <v>275031</v>
      </c>
      <c r="EB21" s="208">
        <v>0</v>
      </c>
      <c r="EC21" s="208">
        <v>61878990</v>
      </c>
      <c r="ED21" s="208">
        <v>3291436</v>
      </c>
      <c r="EE21" s="208">
        <v>658287</v>
      </c>
      <c r="EF21" s="208">
        <v>65828713</v>
      </c>
      <c r="EG21" s="208">
        <v>0</v>
      </c>
      <c r="EH21" s="208">
        <v>62380872</v>
      </c>
      <c r="EI21" s="208">
        <v>3318131</v>
      </c>
      <c r="EJ21" s="208">
        <v>663626</v>
      </c>
      <c r="EK21" s="208">
        <v>66362629</v>
      </c>
      <c r="EL21" s="208">
        <v>0</v>
      </c>
      <c r="EM21" s="208">
        <v>501882</v>
      </c>
      <c r="EN21" s="208">
        <v>26695</v>
      </c>
      <c r="EO21" s="208">
        <v>5339</v>
      </c>
      <c r="EP21" s="208">
        <v>533916</v>
      </c>
      <c r="EQ21" s="208">
        <v>381</v>
      </c>
      <c r="ER21" s="208">
        <v>760068</v>
      </c>
      <c r="ES21" s="208">
        <v>40409</v>
      </c>
      <c r="ET21" s="208">
        <v>8090</v>
      </c>
      <c r="EU21" s="208">
        <v>808947</v>
      </c>
      <c r="EV21" s="666">
        <v>0</v>
      </c>
      <c r="EW21" s="666">
        <v>0.94</v>
      </c>
      <c r="EX21" s="666">
        <v>0.05</v>
      </c>
      <c r="EY21" s="666">
        <v>0.01</v>
      </c>
      <c r="EZ21" s="666">
        <v>1</v>
      </c>
      <c r="FA21" s="187" t="s">
        <v>742</v>
      </c>
      <c r="FC21" s="187">
        <v>0</v>
      </c>
    </row>
    <row r="22" spans="2:159" s="187" customFormat="1" x14ac:dyDescent="0.2">
      <c r="B22" s="429" t="s">
        <v>123</v>
      </c>
      <c r="C22" s="429" t="s">
        <v>122</v>
      </c>
      <c r="D22" s="208">
        <v>30576082</v>
      </c>
      <c r="E22" s="208">
        <v>29964560</v>
      </c>
      <c r="F22" s="208">
        <v>0</v>
      </c>
      <c r="G22" s="208">
        <v>611522</v>
      </c>
      <c r="H22" s="208">
        <v>61152164</v>
      </c>
      <c r="I22" s="208">
        <v>0</v>
      </c>
      <c r="J22" s="208">
        <v>0</v>
      </c>
      <c r="K22" s="208">
        <v>30576082</v>
      </c>
      <c r="L22" s="208">
        <v>228106</v>
      </c>
      <c r="M22" s="208">
        <v>228106</v>
      </c>
      <c r="N22" s="208">
        <v>0</v>
      </c>
      <c r="O22" s="208">
        <v>0</v>
      </c>
      <c r="P22" s="208">
        <v>658913</v>
      </c>
      <c r="Q22" s="208">
        <v>0</v>
      </c>
      <c r="R22" s="208">
        <v>658913</v>
      </c>
      <c r="S22" s="208">
        <v>0</v>
      </c>
      <c r="T22" s="208">
        <v>0</v>
      </c>
      <c r="U22" s="208">
        <v>0</v>
      </c>
      <c r="V22" s="208">
        <v>0</v>
      </c>
      <c r="W22" s="208">
        <v>0</v>
      </c>
      <c r="X22" s="208">
        <v>0</v>
      </c>
      <c r="Y22" s="208">
        <v>0</v>
      </c>
      <c r="Z22" s="208">
        <v>0</v>
      </c>
      <c r="AA22" s="208">
        <v>0</v>
      </c>
      <c r="AB22" s="208">
        <v>0</v>
      </c>
      <c r="AC22" s="208">
        <v>0</v>
      </c>
      <c r="AD22" s="208">
        <v>0</v>
      </c>
      <c r="AE22" s="208">
        <v>0</v>
      </c>
      <c r="AF22" s="208">
        <v>0</v>
      </c>
      <c r="AG22" s="208">
        <v>2877287</v>
      </c>
      <c r="AH22" s="208">
        <v>0</v>
      </c>
      <c r="AI22" s="208">
        <v>58413</v>
      </c>
      <c r="AJ22" s="208">
        <v>2935700</v>
      </c>
      <c r="AK22" s="208">
        <v>1322723</v>
      </c>
      <c r="AL22" s="208">
        <v>1296268</v>
      </c>
      <c r="AM22" s="208">
        <v>0</v>
      </c>
      <c r="AN22" s="208">
        <v>26454</v>
      </c>
      <c r="AO22" s="208">
        <v>2645445</v>
      </c>
      <c r="AP22" s="208">
        <v>-491452</v>
      </c>
      <c r="AQ22" s="208">
        <v>-481623</v>
      </c>
      <c r="AR22" s="208">
        <v>0</v>
      </c>
      <c r="AS22" s="208">
        <v>-9829</v>
      </c>
      <c r="AT22" s="208">
        <v>-982904</v>
      </c>
      <c r="AU22" s="208">
        <v>-1038809</v>
      </c>
      <c r="AV22" s="208">
        <v>-1018032</v>
      </c>
      <c r="AW22" s="208">
        <v>0</v>
      </c>
      <c r="AX22" s="208">
        <v>-20776</v>
      </c>
      <c r="AY22" s="208">
        <v>-2077617</v>
      </c>
      <c r="AZ22" s="208">
        <v>80832</v>
      </c>
      <c r="BA22" s="208">
        <v>79216</v>
      </c>
      <c r="BB22" s="208">
        <v>0</v>
      </c>
      <c r="BC22" s="208">
        <v>1617</v>
      </c>
      <c r="BD22" s="208">
        <v>161665</v>
      </c>
      <c r="BE22" s="208">
        <v>-83000</v>
      </c>
      <c r="BF22" s="208">
        <v>-81340</v>
      </c>
      <c r="BG22" s="208">
        <v>0</v>
      </c>
      <c r="BH22" s="208">
        <v>-1660</v>
      </c>
      <c r="BI22" s="208">
        <v>-166000</v>
      </c>
      <c r="BJ22" s="208">
        <v>-1040977</v>
      </c>
      <c r="BK22" s="208">
        <v>-1020156</v>
      </c>
      <c r="BL22" s="208">
        <v>0</v>
      </c>
      <c r="BM22" s="208">
        <v>-20819</v>
      </c>
      <c r="BN22" s="208">
        <v>-2081952</v>
      </c>
      <c r="BO22" s="208">
        <v>-4274051</v>
      </c>
      <c r="BP22" s="208">
        <v>-4188570</v>
      </c>
      <c r="BQ22" s="208">
        <v>0</v>
      </c>
      <c r="BR22" s="208">
        <v>-85481</v>
      </c>
      <c r="BS22" s="208">
        <v>-8548102</v>
      </c>
      <c r="BT22" s="208">
        <v>-2520446</v>
      </c>
      <c r="BU22" s="208">
        <v>-2470038</v>
      </c>
      <c r="BV22" s="208">
        <v>0</v>
      </c>
      <c r="BW22" s="208">
        <v>-50409</v>
      </c>
      <c r="BX22" s="208">
        <v>-5040893</v>
      </c>
      <c r="BY22" s="208">
        <v>-1753605</v>
      </c>
      <c r="BZ22" s="208">
        <v>-1718532</v>
      </c>
      <c r="CA22" s="208">
        <v>0</v>
      </c>
      <c r="CB22" s="208">
        <v>-35072</v>
      </c>
      <c r="CC22" s="208">
        <v>-3507209</v>
      </c>
      <c r="CD22" s="208">
        <v>298636</v>
      </c>
      <c r="CE22" s="208">
        <v>292663</v>
      </c>
      <c r="CF22" s="208">
        <v>0</v>
      </c>
      <c r="CG22" s="208">
        <v>5973</v>
      </c>
      <c r="CH22" s="208">
        <v>597272</v>
      </c>
      <c r="CI22" s="208">
        <v>126345</v>
      </c>
      <c r="CJ22" s="208">
        <v>123818</v>
      </c>
      <c r="CK22" s="208">
        <v>0</v>
      </c>
      <c r="CL22" s="208">
        <v>2527</v>
      </c>
      <c r="CM22" s="208">
        <v>252690</v>
      </c>
      <c r="CN22" s="208">
        <v>-320851</v>
      </c>
      <c r="CO22" s="208">
        <v>-314433</v>
      </c>
      <c r="CP22" s="208">
        <v>0</v>
      </c>
      <c r="CQ22" s="208">
        <v>-6417</v>
      </c>
      <c r="CR22" s="208">
        <v>-641701</v>
      </c>
      <c r="CS22" s="208">
        <v>-1076440</v>
      </c>
      <c r="CT22" s="208">
        <v>-1054912</v>
      </c>
      <c r="CU22" s="208">
        <v>0</v>
      </c>
      <c r="CV22" s="208">
        <v>-21529</v>
      </c>
      <c r="CW22" s="208">
        <v>-2152881</v>
      </c>
      <c r="CX22" s="208">
        <v>-5246361</v>
      </c>
      <c r="CY22" s="208">
        <v>-5141434</v>
      </c>
      <c r="CZ22" s="208">
        <v>0</v>
      </c>
      <c r="DA22" s="208">
        <v>-104927</v>
      </c>
      <c r="DB22" s="208">
        <v>-10492722</v>
      </c>
      <c r="DC22" s="208">
        <v>-2542661</v>
      </c>
      <c r="DD22" s="208">
        <v>-2491808</v>
      </c>
      <c r="DE22" s="208">
        <v>0</v>
      </c>
      <c r="DF22" s="208">
        <v>-50853</v>
      </c>
      <c r="DG22" s="208">
        <v>-5085322</v>
      </c>
      <c r="DH22" s="208">
        <v>-2703700</v>
      </c>
      <c r="DI22" s="208">
        <v>-2649626</v>
      </c>
      <c r="DJ22" s="208">
        <v>0</v>
      </c>
      <c r="DK22" s="208">
        <v>-54074</v>
      </c>
      <c r="DL22" s="208">
        <v>-5407400</v>
      </c>
      <c r="DM22" s="208">
        <v>-1284008</v>
      </c>
      <c r="DN22" s="208">
        <v>-1258327</v>
      </c>
      <c r="DO22" s="208">
        <v>0</v>
      </c>
      <c r="DP22" s="208">
        <v>-25680</v>
      </c>
      <c r="DQ22" s="208">
        <v>-2568015</v>
      </c>
      <c r="DR22" s="208">
        <v>-867489</v>
      </c>
      <c r="DS22" s="208">
        <v>-850139</v>
      </c>
      <c r="DT22" s="208">
        <v>0</v>
      </c>
      <c r="DU22" s="208">
        <v>-17350</v>
      </c>
      <c r="DV22" s="208">
        <v>-1734978</v>
      </c>
      <c r="DW22" s="208">
        <v>-416519</v>
      </c>
      <c r="DX22" s="208">
        <v>-408188</v>
      </c>
      <c r="DY22" s="208">
        <v>0</v>
      </c>
      <c r="DZ22" s="208">
        <v>-8330</v>
      </c>
      <c r="EA22" s="208">
        <v>-833037</v>
      </c>
      <c r="EB22" s="208">
        <v>30743869</v>
      </c>
      <c r="EC22" s="208">
        <v>30128991</v>
      </c>
      <c r="ED22" s="208">
        <v>0</v>
      </c>
      <c r="EE22" s="208">
        <v>614877</v>
      </c>
      <c r="EF22" s="208">
        <v>61487737</v>
      </c>
      <c r="EG22" s="208">
        <v>30576082</v>
      </c>
      <c r="EH22" s="208">
        <v>29964560</v>
      </c>
      <c r="EI22" s="208">
        <v>0</v>
      </c>
      <c r="EJ22" s="208">
        <v>611522</v>
      </c>
      <c r="EK22" s="208">
        <v>61152164</v>
      </c>
      <c r="EL22" s="208">
        <v>-167787</v>
      </c>
      <c r="EM22" s="208">
        <v>-164431</v>
      </c>
      <c r="EN22" s="208">
        <v>0</v>
      </c>
      <c r="EO22" s="208">
        <v>-3355</v>
      </c>
      <c r="EP22" s="208">
        <v>-335573</v>
      </c>
      <c r="EQ22" s="208">
        <v>-584306</v>
      </c>
      <c r="ER22" s="208">
        <v>-572619</v>
      </c>
      <c r="ES22" s="208">
        <v>0</v>
      </c>
      <c r="ET22" s="208">
        <v>-11685</v>
      </c>
      <c r="EU22" s="208">
        <v>-1168610</v>
      </c>
      <c r="EV22" s="666">
        <v>0.5</v>
      </c>
      <c r="EW22" s="666">
        <v>0.49</v>
      </c>
      <c r="EX22" s="666">
        <v>0</v>
      </c>
      <c r="EY22" s="666">
        <v>0.01</v>
      </c>
      <c r="EZ22" s="666">
        <v>1</v>
      </c>
      <c r="FA22" s="187" t="s">
        <v>742</v>
      </c>
      <c r="FC22" s="187">
        <v>0</v>
      </c>
    </row>
    <row r="23" spans="2:159" s="187" customFormat="1" x14ac:dyDescent="0.2">
      <c r="B23" s="429" t="s">
        <v>125</v>
      </c>
      <c r="C23" s="429" t="s">
        <v>124</v>
      </c>
      <c r="D23" s="208">
        <v>0</v>
      </c>
      <c r="E23" s="208">
        <v>47747003</v>
      </c>
      <c r="F23" s="208">
        <v>26857689</v>
      </c>
      <c r="G23" s="208">
        <v>0</v>
      </c>
      <c r="H23" s="208">
        <v>74604692</v>
      </c>
      <c r="I23" s="208">
        <v>0</v>
      </c>
      <c r="J23" s="208">
        <v>0</v>
      </c>
      <c r="K23" s="208">
        <v>0</v>
      </c>
      <c r="L23" s="208">
        <v>251511</v>
      </c>
      <c r="M23" s="208">
        <v>251511</v>
      </c>
      <c r="N23" s="208">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4450610</v>
      </c>
      <c r="AH23" s="208">
        <v>2503469</v>
      </c>
      <c r="AI23" s="208">
        <v>0</v>
      </c>
      <c r="AJ23" s="208">
        <v>6954079</v>
      </c>
      <c r="AK23" s="208">
        <v>0</v>
      </c>
      <c r="AL23" s="208">
        <v>1217844</v>
      </c>
      <c r="AM23" s="208">
        <v>685037</v>
      </c>
      <c r="AN23" s="208">
        <v>0</v>
      </c>
      <c r="AO23" s="208">
        <v>1902881</v>
      </c>
      <c r="AP23" s="208">
        <v>0</v>
      </c>
      <c r="AQ23" s="208">
        <v>-869106</v>
      </c>
      <c r="AR23" s="208">
        <v>-488872</v>
      </c>
      <c r="AS23" s="208">
        <v>0</v>
      </c>
      <c r="AT23" s="208">
        <v>-1357978</v>
      </c>
      <c r="AU23" s="208">
        <v>0</v>
      </c>
      <c r="AV23" s="208">
        <v>-918400</v>
      </c>
      <c r="AW23" s="208">
        <v>-516600</v>
      </c>
      <c r="AX23" s="208">
        <v>0</v>
      </c>
      <c r="AY23" s="208">
        <v>-1435000</v>
      </c>
      <c r="AZ23" s="208">
        <v>0</v>
      </c>
      <c r="BA23" s="208">
        <v>0</v>
      </c>
      <c r="BB23" s="208">
        <v>0</v>
      </c>
      <c r="BC23" s="208">
        <v>0</v>
      </c>
      <c r="BD23" s="208">
        <v>0</v>
      </c>
      <c r="BE23" s="208">
        <v>0</v>
      </c>
      <c r="BF23" s="208">
        <v>0</v>
      </c>
      <c r="BG23" s="208">
        <v>0</v>
      </c>
      <c r="BH23" s="208">
        <v>0</v>
      </c>
      <c r="BI23" s="208">
        <v>0</v>
      </c>
      <c r="BJ23" s="208">
        <v>0</v>
      </c>
      <c r="BK23" s="208">
        <v>-918400</v>
      </c>
      <c r="BL23" s="208">
        <v>-516600</v>
      </c>
      <c r="BM23" s="208">
        <v>0</v>
      </c>
      <c r="BN23" s="208">
        <v>-1435000</v>
      </c>
      <c r="BO23" s="208">
        <v>0</v>
      </c>
      <c r="BP23" s="208">
        <v>-5056035</v>
      </c>
      <c r="BQ23" s="208">
        <v>-2844019</v>
      </c>
      <c r="BR23" s="208">
        <v>0</v>
      </c>
      <c r="BS23" s="208">
        <v>-7900054</v>
      </c>
      <c r="BT23" s="208">
        <v>0</v>
      </c>
      <c r="BU23" s="208">
        <v>0</v>
      </c>
      <c r="BV23" s="208">
        <v>0</v>
      </c>
      <c r="BW23" s="208">
        <v>0</v>
      </c>
      <c r="BX23" s="208">
        <v>0</v>
      </c>
      <c r="BY23" s="208">
        <v>0</v>
      </c>
      <c r="BZ23" s="208">
        <v>-5056035</v>
      </c>
      <c r="CA23" s="208">
        <v>-2844019</v>
      </c>
      <c r="CB23" s="208">
        <v>0</v>
      </c>
      <c r="CC23" s="208">
        <v>-7900054</v>
      </c>
      <c r="CD23" s="208">
        <v>0</v>
      </c>
      <c r="CE23" s="208">
        <v>0</v>
      </c>
      <c r="CF23" s="208">
        <v>0</v>
      </c>
      <c r="CG23" s="208">
        <v>0</v>
      </c>
      <c r="CH23" s="208">
        <v>0</v>
      </c>
      <c r="CI23" s="208">
        <v>0</v>
      </c>
      <c r="CJ23" s="208">
        <v>0</v>
      </c>
      <c r="CK23" s="208">
        <v>0</v>
      </c>
      <c r="CL23" s="208">
        <v>0</v>
      </c>
      <c r="CM23" s="208">
        <v>0</v>
      </c>
      <c r="CN23" s="208">
        <v>0</v>
      </c>
      <c r="CO23" s="208">
        <v>0</v>
      </c>
      <c r="CP23" s="208">
        <v>0</v>
      </c>
      <c r="CQ23" s="208">
        <v>0</v>
      </c>
      <c r="CR23" s="208">
        <v>0</v>
      </c>
      <c r="CS23" s="208">
        <v>0</v>
      </c>
      <c r="CT23" s="208">
        <v>0</v>
      </c>
      <c r="CU23" s="208">
        <v>0</v>
      </c>
      <c r="CV23" s="208">
        <v>0</v>
      </c>
      <c r="CW23" s="208">
        <v>0</v>
      </c>
      <c r="CX23" s="208">
        <v>0</v>
      </c>
      <c r="CY23" s="208">
        <v>-5056035</v>
      </c>
      <c r="CZ23" s="208">
        <v>-2844019</v>
      </c>
      <c r="DA23" s="208">
        <v>0</v>
      </c>
      <c r="DB23" s="208">
        <v>-7900054</v>
      </c>
      <c r="DC23" s="208">
        <v>0</v>
      </c>
      <c r="DD23" s="208">
        <v>0</v>
      </c>
      <c r="DE23" s="208">
        <v>0</v>
      </c>
      <c r="DF23" s="208">
        <v>0</v>
      </c>
      <c r="DG23" s="208">
        <v>0</v>
      </c>
      <c r="DH23" s="208">
        <v>0</v>
      </c>
      <c r="DI23" s="208">
        <v>-5056035</v>
      </c>
      <c r="DJ23" s="208">
        <v>-2844019</v>
      </c>
      <c r="DK23" s="208">
        <v>0</v>
      </c>
      <c r="DL23" s="208">
        <v>-7900054</v>
      </c>
      <c r="DM23" s="208">
        <v>-987058</v>
      </c>
      <c r="DN23" s="208">
        <v>-676025</v>
      </c>
      <c r="DO23" s="208">
        <v>-590330</v>
      </c>
      <c r="DP23" s="208">
        <v>0</v>
      </c>
      <c r="DQ23" s="208">
        <v>-2253413</v>
      </c>
      <c r="DR23" s="208">
        <v>-2391072</v>
      </c>
      <c r="DS23" s="208">
        <v>-1952400</v>
      </c>
      <c r="DT23" s="208">
        <v>-2164528</v>
      </c>
      <c r="DU23" s="208">
        <v>0</v>
      </c>
      <c r="DV23" s="208">
        <v>-6508000</v>
      </c>
      <c r="DW23" s="208">
        <v>1404014</v>
      </c>
      <c r="DX23" s="208">
        <v>1276375</v>
      </c>
      <c r="DY23" s="208">
        <v>1574198</v>
      </c>
      <c r="DZ23" s="208">
        <v>0</v>
      </c>
      <c r="EA23" s="208">
        <v>4254587</v>
      </c>
      <c r="EB23" s="208">
        <v>0</v>
      </c>
      <c r="EC23" s="208">
        <v>46291233</v>
      </c>
      <c r="ED23" s="208">
        <v>26038818</v>
      </c>
      <c r="EE23" s="208">
        <v>0</v>
      </c>
      <c r="EF23" s="208">
        <v>72330051</v>
      </c>
      <c r="EG23" s="208">
        <v>0</v>
      </c>
      <c r="EH23" s="208">
        <v>47747003</v>
      </c>
      <c r="EI23" s="208">
        <v>26857689</v>
      </c>
      <c r="EJ23" s="208">
        <v>0</v>
      </c>
      <c r="EK23" s="208">
        <v>74604692</v>
      </c>
      <c r="EL23" s="208">
        <v>0</v>
      </c>
      <c r="EM23" s="208">
        <v>1455770</v>
      </c>
      <c r="EN23" s="208">
        <v>818871</v>
      </c>
      <c r="EO23" s="208">
        <v>0</v>
      </c>
      <c r="EP23" s="208">
        <v>2274641</v>
      </c>
      <c r="EQ23" s="208">
        <v>1404014</v>
      </c>
      <c r="ER23" s="208">
        <v>2732145</v>
      </c>
      <c r="ES23" s="208">
        <v>2393069</v>
      </c>
      <c r="ET23" s="208">
        <v>0</v>
      </c>
      <c r="EU23" s="208">
        <v>6529228</v>
      </c>
      <c r="EV23" s="666">
        <v>0</v>
      </c>
      <c r="EW23" s="666">
        <v>0.64</v>
      </c>
      <c r="EX23" s="666">
        <v>0.36</v>
      </c>
      <c r="EY23" s="666">
        <v>0</v>
      </c>
      <c r="EZ23" s="666">
        <v>1</v>
      </c>
      <c r="FA23" s="187" t="s">
        <v>1055</v>
      </c>
      <c r="FC23" s="187">
        <v>0</v>
      </c>
    </row>
    <row r="24" spans="2:159" s="187" customFormat="1" x14ac:dyDescent="0.2">
      <c r="B24" s="429" t="s">
        <v>127</v>
      </c>
      <c r="C24" s="429" t="s">
        <v>126</v>
      </c>
      <c r="D24" s="208">
        <v>0</v>
      </c>
      <c r="E24" s="208">
        <v>424230895</v>
      </c>
      <c r="F24" s="208">
        <v>0</v>
      </c>
      <c r="G24" s="208">
        <v>4285161</v>
      </c>
      <c r="H24" s="208">
        <v>428516056</v>
      </c>
      <c r="I24" s="208">
        <v>0</v>
      </c>
      <c r="J24" s="208">
        <v>0</v>
      </c>
      <c r="K24" s="208">
        <v>0</v>
      </c>
      <c r="L24" s="208">
        <v>1879843</v>
      </c>
      <c r="M24" s="208">
        <v>1879843</v>
      </c>
      <c r="N24" s="208">
        <v>94660</v>
      </c>
      <c r="O24" s="208">
        <v>94660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41355898</v>
      </c>
      <c r="AH24" s="208">
        <v>0</v>
      </c>
      <c r="AI24" s="208">
        <v>400016</v>
      </c>
      <c r="AJ24" s="208">
        <v>41755914</v>
      </c>
      <c r="AK24" s="208">
        <v>0</v>
      </c>
      <c r="AL24" s="208">
        <v>95006942</v>
      </c>
      <c r="AM24" s="208">
        <v>0</v>
      </c>
      <c r="AN24" s="208">
        <v>959666</v>
      </c>
      <c r="AO24" s="208">
        <v>95966608</v>
      </c>
      <c r="AP24" s="208">
        <v>0</v>
      </c>
      <c r="AQ24" s="208">
        <v>-17850705</v>
      </c>
      <c r="AR24" s="208">
        <v>0</v>
      </c>
      <c r="AS24" s="208">
        <v>-180310</v>
      </c>
      <c r="AT24" s="208">
        <v>-18031015</v>
      </c>
      <c r="AU24" s="208">
        <v>0</v>
      </c>
      <c r="AV24" s="208">
        <v>-52525381</v>
      </c>
      <c r="AW24" s="208">
        <v>0</v>
      </c>
      <c r="AX24" s="208">
        <v>-530559</v>
      </c>
      <c r="AY24" s="208">
        <v>-53055940</v>
      </c>
      <c r="AZ24" s="208">
        <v>0</v>
      </c>
      <c r="BA24" s="208">
        <v>11817637</v>
      </c>
      <c r="BB24" s="208">
        <v>0</v>
      </c>
      <c r="BC24" s="208">
        <v>119370</v>
      </c>
      <c r="BD24" s="208">
        <v>11937007</v>
      </c>
      <c r="BE24" s="208">
        <v>0</v>
      </c>
      <c r="BF24" s="208">
        <v>-11276741</v>
      </c>
      <c r="BG24" s="208">
        <v>0</v>
      </c>
      <c r="BH24" s="208">
        <v>-113906</v>
      </c>
      <c r="BI24" s="208">
        <v>-11390647</v>
      </c>
      <c r="BJ24" s="208">
        <v>0</v>
      </c>
      <c r="BK24" s="208">
        <v>-51984485</v>
      </c>
      <c r="BL24" s="208">
        <v>0</v>
      </c>
      <c r="BM24" s="208">
        <v>-525095</v>
      </c>
      <c r="BN24" s="208">
        <v>-52509580</v>
      </c>
      <c r="BO24" s="208">
        <v>0</v>
      </c>
      <c r="BP24" s="208">
        <v>-35136443</v>
      </c>
      <c r="BQ24" s="208">
        <v>0</v>
      </c>
      <c r="BR24" s="208">
        <v>-354914</v>
      </c>
      <c r="BS24" s="208">
        <v>-35491357</v>
      </c>
      <c r="BT24" s="208">
        <v>0</v>
      </c>
      <c r="BU24" s="208">
        <v>-34142010</v>
      </c>
      <c r="BV24" s="208">
        <v>0</v>
      </c>
      <c r="BW24" s="208">
        <v>-344869</v>
      </c>
      <c r="BX24" s="208">
        <v>-34486879</v>
      </c>
      <c r="BY24" s="208">
        <v>0</v>
      </c>
      <c r="BZ24" s="208">
        <v>-994433</v>
      </c>
      <c r="CA24" s="208">
        <v>0</v>
      </c>
      <c r="CB24" s="208">
        <v>-10045</v>
      </c>
      <c r="CC24" s="208">
        <v>-1004478</v>
      </c>
      <c r="CD24" s="208">
        <v>0</v>
      </c>
      <c r="CE24" s="208">
        <v>13758872</v>
      </c>
      <c r="CF24" s="208">
        <v>0</v>
      </c>
      <c r="CG24" s="208">
        <v>138979</v>
      </c>
      <c r="CH24" s="208">
        <v>13897851</v>
      </c>
      <c r="CI24" s="208">
        <v>0</v>
      </c>
      <c r="CJ24" s="208">
        <v>5359337</v>
      </c>
      <c r="CK24" s="208">
        <v>0</v>
      </c>
      <c r="CL24" s="208">
        <v>54135</v>
      </c>
      <c r="CM24" s="208">
        <v>5413472</v>
      </c>
      <c r="CN24" s="208">
        <v>0</v>
      </c>
      <c r="CO24" s="208">
        <v>12004578</v>
      </c>
      <c r="CP24" s="208">
        <v>0</v>
      </c>
      <c r="CQ24" s="208">
        <v>121258</v>
      </c>
      <c r="CR24" s="208">
        <v>12125836</v>
      </c>
      <c r="CS24" s="208">
        <v>1</v>
      </c>
      <c r="CT24" s="208">
        <v>-17029634</v>
      </c>
      <c r="CU24" s="208">
        <v>0</v>
      </c>
      <c r="CV24" s="208">
        <v>-172017</v>
      </c>
      <c r="CW24" s="208">
        <v>-17201650</v>
      </c>
      <c r="CX24" s="208">
        <v>1</v>
      </c>
      <c r="CY24" s="208">
        <v>-21043290</v>
      </c>
      <c r="CZ24" s="208">
        <v>0</v>
      </c>
      <c r="DA24" s="208">
        <v>-212559</v>
      </c>
      <c r="DB24" s="208">
        <v>-21255848</v>
      </c>
      <c r="DC24" s="208">
        <v>0</v>
      </c>
      <c r="DD24" s="208">
        <v>-8378560</v>
      </c>
      <c r="DE24" s="208">
        <v>0</v>
      </c>
      <c r="DF24" s="208">
        <v>-84632</v>
      </c>
      <c r="DG24" s="208">
        <v>-8463192</v>
      </c>
      <c r="DH24" s="208">
        <v>1</v>
      </c>
      <c r="DI24" s="208">
        <v>-12664730</v>
      </c>
      <c r="DJ24" s="208">
        <v>0</v>
      </c>
      <c r="DK24" s="208">
        <v>-127927</v>
      </c>
      <c r="DL24" s="208">
        <v>-12792656</v>
      </c>
      <c r="DM24" s="208">
        <v>-1823762</v>
      </c>
      <c r="DN24" s="208">
        <v>17404069</v>
      </c>
      <c r="DO24" s="208">
        <v>0</v>
      </c>
      <c r="DP24" s="208">
        <v>157377</v>
      </c>
      <c r="DQ24" s="208">
        <v>15737684</v>
      </c>
      <c r="DR24" s="208">
        <v>-1839667</v>
      </c>
      <c r="DS24" s="208">
        <v>16116305</v>
      </c>
      <c r="DT24" s="208">
        <v>0</v>
      </c>
      <c r="DU24" s="208">
        <v>144209</v>
      </c>
      <c r="DV24" s="208">
        <v>14420847</v>
      </c>
      <c r="DW24" s="208">
        <v>15905</v>
      </c>
      <c r="DX24" s="208">
        <v>1287764</v>
      </c>
      <c r="DY24" s="208">
        <v>0</v>
      </c>
      <c r="DZ24" s="208">
        <v>13168</v>
      </c>
      <c r="EA24" s="208">
        <v>1316837</v>
      </c>
      <c r="EB24" s="208">
        <v>0</v>
      </c>
      <c r="EC24" s="208">
        <v>418063805</v>
      </c>
      <c r="ED24" s="208">
        <v>0</v>
      </c>
      <c r="EE24" s="208">
        <v>4222867</v>
      </c>
      <c r="EF24" s="208">
        <v>422286672</v>
      </c>
      <c r="EG24" s="208">
        <v>0</v>
      </c>
      <c r="EH24" s="208">
        <v>424230895</v>
      </c>
      <c r="EI24" s="208">
        <v>0</v>
      </c>
      <c r="EJ24" s="208">
        <v>4285161</v>
      </c>
      <c r="EK24" s="208">
        <v>428516056</v>
      </c>
      <c r="EL24" s="208">
        <v>0</v>
      </c>
      <c r="EM24" s="208">
        <v>6167090</v>
      </c>
      <c r="EN24" s="208">
        <v>0</v>
      </c>
      <c r="EO24" s="208">
        <v>62294</v>
      </c>
      <c r="EP24" s="208">
        <v>6229384</v>
      </c>
      <c r="EQ24" s="208">
        <v>15905</v>
      </c>
      <c r="ER24" s="208">
        <v>7454854</v>
      </c>
      <c r="ES24" s="208">
        <v>0</v>
      </c>
      <c r="ET24" s="208">
        <v>75462</v>
      </c>
      <c r="EU24" s="208">
        <v>7546221</v>
      </c>
      <c r="EV24" s="666">
        <v>0</v>
      </c>
      <c r="EW24" s="666">
        <v>0.99</v>
      </c>
      <c r="EX24" s="666">
        <v>0</v>
      </c>
      <c r="EY24" s="666">
        <v>0.01</v>
      </c>
      <c r="EZ24" s="666">
        <v>1</v>
      </c>
      <c r="FA24" s="187" t="s">
        <v>1056</v>
      </c>
      <c r="FC24" s="187">
        <v>0</v>
      </c>
    </row>
    <row r="25" spans="2:159" s="187" customFormat="1" x14ac:dyDescent="0.2">
      <c r="B25" s="429" t="s">
        <v>129</v>
      </c>
      <c r="C25" s="429" t="s">
        <v>128</v>
      </c>
      <c r="D25" s="208">
        <v>23202848</v>
      </c>
      <c r="E25" s="208">
        <v>18562279</v>
      </c>
      <c r="F25" s="208">
        <v>4176513</v>
      </c>
      <c r="G25" s="208">
        <v>464057</v>
      </c>
      <c r="H25" s="208">
        <v>46405697</v>
      </c>
      <c r="I25" s="208">
        <v>0</v>
      </c>
      <c r="J25" s="208">
        <v>0</v>
      </c>
      <c r="K25" s="208">
        <v>23202848</v>
      </c>
      <c r="L25" s="208">
        <v>103755</v>
      </c>
      <c r="M25" s="208">
        <v>103755</v>
      </c>
      <c r="N25" s="208">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1141811</v>
      </c>
      <c r="AH25" s="208">
        <v>256908</v>
      </c>
      <c r="AI25" s="208">
        <v>28545</v>
      </c>
      <c r="AJ25" s="208">
        <v>1427264</v>
      </c>
      <c r="AK25" s="208">
        <v>212299</v>
      </c>
      <c r="AL25" s="208">
        <v>169839</v>
      </c>
      <c r="AM25" s="208">
        <v>38214</v>
      </c>
      <c r="AN25" s="208">
        <v>4246</v>
      </c>
      <c r="AO25" s="208">
        <v>424598</v>
      </c>
      <c r="AP25" s="208">
        <v>-768778</v>
      </c>
      <c r="AQ25" s="208">
        <v>-615022</v>
      </c>
      <c r="AR25" s="208">
        <v>-138380</v>
      </c>
      <c r="AS25" s="208">
        <v>-15376</v>
      </c>
      <c r="AT25" s="208">
        <v>-1537556</v>
      </c>
      <c r="AU25" s="208">
        <v>-96431</v>
      </c>
      <c r="AV25" s="208">
        <v>-77144</v>
      </c>
      <c r="AW25" s="208">
        <v>-17357</v>
      </c>
      <c r="AX25" s="208">
        <v>-1929</v>
      </c>
      <c r="AY25" s="208">
        <v>-192861</v>
      </c>
      <c r="AZ25" s="208">
        <v>0</v>
      </c>
      <c r="BA25" s="208">
        <v>0</v>
      </c>
      <c r="BB25" s="208">
        <v>0</v>
      </c>
      <c r="BC25" s="208">
        <v>0</v>
      </c>
      <c r="BD25" s="208">
        <v>0</v>
      </c>
      <c r="BE25" s="208">
        <v>61024</v>
      </c>
      <c r="BF25" s="208">
        <v>48820</v>
      </c>
      <c r="BG25" s="208">
        <v>10985</v>
      </c>
      <c r="BH25" s="208">
        <v>1221</v>
      </c>
      <c r="BI25" s="208">
        <v>122050</v>
      </c>
      <c r="BJ25" s="208">
        <v>-35407</v>
      </c>
      <c r="BK25" s="208">
        <v>-28324</v>
      </c>
      <c r="BL25" s="208">
        <v>-6372</v>
      </c>
      <c r="BM25" s="208">
        <v>-708</v>
      </c>
      <c r="BN25" s="208">
        <v>-70811</v>
      </c>
      <c r="BO25" s="208">
        <v>-2385000</v>
      </c>
      <c r="BP25" s="208">
        <v>-1908000</v>
      </c>
      <c r="BQ25" s="208">
        <v>-429300</v>
      </c>
      <c r="BR25" s="208">
        <v>-47700</v>
      </c>
      <c r="BS25" s="208">
        <v>-4770000</v>
      </c>
      <c r="BT25" s="208">
        <v>-1345000</v>
      </c>
      <c r="BU25" s="208">
        <v>-1076000</v>
      </c>
      <c r="BV25" s="208">
        <v>-242100</v>
      </c>
      <c r="BW25" s="208">
        <v>-26900</v>
      </c>
      <c r="BX25" s="208">
        <v>-2690000</v>
      </c>
      <c r="BY25" s="208">
        <v>-1040000</v>
      </c>
      <c r="BZ25" s="208">
        <v>-832000</v>
      </c>
      <c r="CA25" s="208">
        <v>-187200</v>
      </c>
      <c r="CB25" s="208">
        <v>-20800</v>
      </c>
      <c r="CC25" s="208">
        <v>-2080000</v>
      </c>
      <c r="CD25" s="208">
        <v>6704</v>
      </c>
      <c r="CE25" s="208">
        <v>5363</v>
      </c>
      <c r="CF25" s="208">
        <v>1207</v>
      </c>
      <c r="CG25" s="208">
        <v>134</v>
      </c>
      <c r="CH25" s="208">
        <v>13408</v>
      </c>
      <c r="CI25" s="208">
        <v>0</v>
      </c>
      <c r="CJ25" s="208">
        <v>0</v>
      </c>
      <c r="CK25" s="208">
        <v>0</v>
      </c>
      <c r="CL25" s="208">
        <v>0</v>
      </c>
      <c r="CM25" s="208">
        <v>0</v>
      </c>
      <c r="CN25" s="208">
        <v>283296</v>
      </c>
      <c r="CO25" s="208">
        <v>226637</v>
      </c>
      <c r="CP25" s="208">
        <v>50993</v>
      </c>
      <c r="CQ25" s="208">
        <v>5666</v>
      </c>
      <c r="CR25" s="208">
        <v>566592</v>
      </c>
      <c r="CS25" s="208">
        <v>-592000</v>
      </c>
      <c r="CT25" s="208">
        <v>-473600</v>
      </c>
      <c r="CU25" s="208">
        <v>-106560</v>
      </c>
      <c r="CV25" s="208">
        <v>-11840</v>
      </c>
      <c r="CW25" s="208">
        <v>-1184000</v>
      </c>
      <c r="CX25" s="208">
        <v>-2687000</v>
      </c>
      <c r="CY25" s="208">
        <v>-2149600</v>
      </c>
      <c r="CZ25" s="208">
        <v>-483660</v>
      </c>
      <c r="DA25" s="208">
        <v>-53740</v>
      </c>
      <c r="DB25" s="208">
        <v>-5374000</v>
      </c>
      <c r="DC25" s="208">
        <v>-1055000</v>
      </c>
      <c r="DD25" s="208">
        <v>-844000</v>
      </c>
      <c r="DE25" s="208">
        <v>-189900</v>
      </c>
      <c r="DF25" s="208">
        <v>-21100</v>
      </c>
      <c r="DG25" s="208">
        <v>-2110000</v>
      </c>
      <c r="DH25" s="208">
        <v>-1632000</v>
      </c>
      <c r="DI25" s="208">
        <v>-1305600</v>
      </c>
      <c r="DJ25" s="208">
        <v>-293760</v>
      </c>
      <c r="DK25" s="208">
        <v>-32640</v>
      </c>
      <c r="DL25" s="208">
        <v>-3264000</v>
      </c>
      <c r="DM25" s="208">
        <v>-446792</v>
      </c>
      <c r="DN25" s="208">
        <v>-357432</v>
      </c>
      <c r="DO25" s="208">
        <v>-80422</v>
      </c>
      <c r="DP25" s="208">
        <v>-8935</v>
      </c>
      <c r="DQ25" s="208">
        <v>-893581</v>
      </c>
      <c r="DR25" s="208">
        <v>-835767</v>
      </c>
      <c r="DS25" s="208">
        <v>-668614</v>
      </c>
      <c r="DT25" s="208">
        <v>-150438</v>
      </c>
      <c r="DU25" s="208">
        <v>-16715</v>
      </c>
      <c r="DV25" s="208">
        <v>-1671534</v>
      </c>
      <c r="DW25" s="208">
        <v>388975</v>
      </c>
      <c r="DX25" s="208">
        <v>311182</v>
      </c>
      <c r="DY25" s="208">
        <v>70016</v>
      </c>
      <c r="DZ25" s="208">
        <v>7780</v>
      </c>
      <c r="EA25" s="208">
        <v>777953</v>
      </c>
      <c r="EB25" s="208">
        <v>23861846</v>
      </c>
      <c r="EC25" s="208">
        <v>19089477</v>
      </c>
      <c r="ED25" s="208">
        <v>4295132</v>
      </c>
      <c r="EE25" s="208">
        <v>477237</v>
      </c>
      <c r="EF25" s="208">
        <v>47723692</v>
      </c>
      <c r="EG25" s="208">
        <v>23202848</v>
      </c>
      <c r="EH25" s="208">
        <v>18562279</v>
      </c>
      <c r="EI25" s="208">
        <v>4176513</v>
      </c>
      <c r="EJ25" s="208">
        <v>464057</v>
      </c>
      <c r="EK25" s="208">
        <v>46405697</v>
      </c>
      <c r="EL25" s="208">
        <v>-658998</v>
      </c>
      <c r="EM25" s="208">
        <v>-527198</v>
      </c>
      <c r="EN25" s="208">
        <v>-118619</v>
      </c>
      <c r="EO25" s="208">
        <v>-13180</v>
      </c>
      <c r="EP25" s="208">
        <v>-1317995</v>
      </c>
      <c r="EQ25" s="208">
        <v>-270023</v>
      </c>
      <c r="ER25" s="208">
        <v>-216016</v>
      </c>
      <c r="ES25" s="208">
        <v>-48603</v>
      </c>
      <c r="ET25" s="208">
        <v>-5400</v>
      </c>
      <c r="EU25" s="208">
        <v>-540042</v>
      </c>
      <c r="EV25" s="666">
        <v>0.5</v>
      </c>
      <c r="EW25" s="666">
        <v>0.4</v>
      </c>
      <c r="EX25" s="666">
        <v>0.09</v>
      </c>
      <c r="EY25" s="666">
        <v>0.01</v>
      </c>
      <c r="EZ25" s="666">
        <v>1</v>
      </c>
      <c r="FA25" s="187" t="s">
        <v>1054</v>
      </c>
      <c r="FC25" s="187">
        <v>0</v>
      </c>
    </row>
    <row r="26" spans="2:159" s="187" customFormat="1" x14ac:dyDescent="0.2">
      <c r="B26" s="429" t="s">
        <v>131</v>
      </c>
      <c r="C26" s="429" t="s">
        <v>130</v>
      </c>
      <c r="D26" s="208">
        <v>21001869</v>
      </c>
      <c r="E26" s="208">
        <v>20581832</v>
      </c>
      <c r="F26" s="208">
        <v>0</v>
      </c>
      <c r="G26" s="208">
        <v>420037</v>
      </c>
      <c r="H26" s="208">
        <v>42003738</v>
      </c>
      <c r="I26" s="208">
        <v>0</v>
      </c>
      <c r="J26" s="208">
        <v>0</v>
      </c>
      <c r="K26" s="208">
        <v>21001869</v>
      </c>
      <c r="L26" s="208">
        <v>249825</v>
      </c>
      <c r="M26" s="208">
        <v>249825</v>
      </c>
      <c r="N26" s="208">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3006912</v>
      </c>
      <c r="AH26" s="208">
        <v>0</v>
      </c>
      <c r="AI26" s="208">
        <v>61366</v>
      </c>
      <c r="AJ26" s="208">
        <v>3068278</v>
      </c>
      <c r="AK26" s="208">
        <v>1428625</v>
      </c>
      <c r="AL26" s="208">
        <v>1400052</v>
      </c>
      <c r="AM26" s="208">
        <v>0</v>
      </c>
      <c r="AN26" s="208">
        <v>28572</v>
      </c>
      <c r="AO26" s="208">
        <v>2857249</v>
      </c>
      <c r="AP26" s="208">
        <v>-265806</v>
      </c>
      <c r="AQ26" s="208">
        <v>-260490</v>
      </c>
      <c r="AR26" s="208">
        <v>0</v>
      </c>
      <c r="AS26" s="208">
        <v>-5316</v>
      </c>
      <c r="AT26" s="208">
        <v>-531612</v>
      </c>
      <c r="AU26" s="208">
        <v>-855500</v>
      </c>
      <c r="AV26" s="208">
        <v>-838390</v>
      </c>
      <c r="AW26" s="208">
        <v>0</v>
      </c>
      <c r="AX26" s="208">
        <v>-17110</v>
      </c>
      <c r="AY26" s="208">
        <v>-1711000</v>
      </c>
      <c r="AZ26" s="208">
        <v>249403</v>
      </c>
      <c r="BA26" s="208">
        <v>244415</v>
      </c>
      <c r="BB26" s="208">
        <v>0</v>
      </c>
      <c r="BC26" s="208">
        <v>4988</v>
      </c>
      <c r="BD26" s="208">
        <v>498806</v>
      </c>
      <c r="BE26" s="208">
        <v>-312903</v>
      </c>
      <c r="BF26" s="208">
        <v>-306645</v>
      </c>
      <c r="BG26" s="208">
        <v>0</v>
      </c>
      <c r="BH26" s="208">
        <v>-6258</v>
      </c>
      <c r="BI26" s="208">
        <v>-625806</v>
      </c>
      <c r="BJ26" s="208">
        <v>-919000</v>
      </c>
      <c r="BK26" s="208">
        <v>-900620</v>
      </c>
      <c r="BL26" s="208">
        <v>0</v>
      </c>
      <c r="BM26" s="208">
        <v>-18380</v>
      </c>
      <c r="BN26" s="208">
        <v>-1838000</v>
      </c>
      <c r="BO26" s="208">
        <v>-1715666</v>
      </c>
      <c r="BP26" s="208">
        <v>-1681353</v>
      </c>
      <c r="BQ26" s="208">
        <v>0</v>
      </c>
      <c r="BR26" s="208">
        <v>-34313</v>
      </c>
      <c r="BS26" s="208">
        <v>-3431332</v>
      </c>
      <c r="BT26" s="208">
        <v>-390416</v>
      </c>
      <c r="BU26" s="208">
        <v>-382608</v>
      </c>
      <c r="BV26" s="208">
        <v>0</v>
      </c>
      <c r="BW26" s="208">
        <v>-7808</v>
      </c>
      <c r="BX26" s="208">
        <v>-780832</v>
      </c>
      <c r="BY26" s="208">
        <v>-1325250</v>
      </c>
      <c r="BZ26" s="208">
        <v>-1298745</v>
      </c>
      <c r="CA26" s="208">
        <v>0</v>
      </c>
      <c r="CB26" s="208">
        <v>-26505</v>
      </c>
      <c r="CC26" s="208">
        <v>-2650500</v>
      </c>
      <c r="CD26" s="208">
        <v>195000</v>
      </c>
      <c r="CE26" s="208">
        <v>191100</v>
      </c>
      <c r="CF26" s="208">
        <v>0</v>
      </c>
      <c r="CG26" s="208">
        <v>3900</v>
      </c>
      <c r="CH26" s="208">
        <v>390000</v>
      </c>
      <c r="CI26" s="208">
        <v>0</v>
      </c>
      <c r="CJ26" s="208">
        <v>0</v>
      </c>
      <c r="CK26" s="208">
        <v>0</v>
      </c>
      <c r="CL26" s="208">
        <v>0</v>
      </c>
      <c r="CM26" s="208">
        <v>0</v>
      </c>
      <c r="CN26" s="208">
        <v>-195434</v>
      </c>
      <c r="CO26" s="208">
        <v>-191525</v>
      </c>
      <c r="CP26" s="208">
        <v>0</v>
      </c>
      <c r="CQ26" s="208">
        <v>-3909</v>
      </c>
      <c r="CR26" s="208">
        <v>-390868</v>
      </c>
      <c r="CS26" s="208">
        <v>9350</v>
      </c>
      <c r="CT26" s="208">
        <v>9163</v>
      </c>
      <c r="CU26" s="208">
        <v>0</v>
      </c>
      <c r="CV26" s="208">
        <v>187</v>
      </c>
      <c r="CW26" s="208">
        <v>18700</v>
      </c>
      <c r="CX26" s="208">
        <v>-1706750</v>
      </c>
      <c r="CY26" s="208">
        <v>-1672615</v>
      </c>
      <c r="CZ26" s="208">
        <v>0</v>
      </c>
      <c r="DA26" s="208">
        <v>-34135</v>
      </c>
      <c r="DB26" s="208">
        <v>-3413500</v>
      </c>
      <c r="DC26" s="208">
        <v>-390850</v>
      </c>
      <c r="DD26" s="208">
        <v>-383033</v>
      </c>
      <c r="DE26" s="208">
        <v>0</v>
      </c>
      <c r="DF26" s="208">
        <v>-7817</v>
      </c>
      <c r="DG26" s="208">
        <v>-781700</v>
      </c>
      <c r="DH26" s="208">
        <v>-1315900</v>
      </c>
      <c r="DI26" s="208">
        <v>-1289582</v>
      </c>
      <c r="DJ26" s="208">
        <v>0</v>
      </c>
      <c r="DK26" s="208">
        <v>-26318</v>
      </c>
      <c r="DL26" s="208">
        <v>-2631800</v>
      </c>
      <c r="DM26" s="208">
        <v>784795</v>
      </c>
      <c r="DN26" s="208">
        <v>769099</v>
      </c>
      <c r="DO26" s="208">
        <v>0</v>
      </c>
      <c r="DP26" s="208">
        <v>15696</v>
      </c>
      <c r="DQ26" s="208">
        <v>1569590</v>
      </c>
      <c r="DR26" s="208">
        <v>225095</v>
      </c>
      <c r="DS26" s="208">
        <v>220593</v>
      </c>
      <c r="DT26" s="208">
        <v>0</v>
      </c>
      <c r="DU26" s="208">
        <v>4502</v>
      </c>
      <c r="DV26" s="208">
        <v>450190</v>
      </c>
      <c r="DW26" s="208">
        <v>559700</v>
      </c>
      <c r="DX26" s="208">
        <v>548506</v>
      </c>
      <c r="DY26" s="208">
        <v>0</v>
      </c>
      <c r="DZ26" s="208">
        <v>11194</v>
      </c>
      <c r="EA26" s="208">
        <v>1119400</v>
      </c>
      <c r="EB26" s="208">
        <v>20080322</v>
      </c>
      <c r="EC26" s="208">
        <v>19678716</v>
      </c>
      <c r="ED26" s="208">
        <v>0</v>
      </c>
      <c r="EE26" s="208">
        <v>401606</v>
      </c>
      <c r="EF26" s="208">
        <v>40160644</v>
      </c>
      <c r="EG26" s="208">
        <v>21001869</v>
      </c>
      <c r="EH26" s="208">
        <v>20581832</v>
      </c>
      <c r="EI26" s="208">
        <v>0</v>
      </c>
      <c r="EJ26" s="208">
        <v>420037</v>
      </c>
      <c r="EK26" s="208">
        <v>42003738</v>
      </c>
      <c r="EL26" s="208">
        <v>921547</v>
      </c>
      <c r="EM26" s="208">
        <v>903116</v>
      </c>
      <c r="EN26" s="208">
        <v>0</v>
      </c>
      <c r="EO26" s="208">
        <v>18431</v>
      </c>
      <c r="EP26" s="208">
        <v>1843094</v>
      </c>
      <c r="EQ26" s="208">
        <v>1481247</v>
      </c>
      <c r="ER26" s="208">
        <v>1451622</v>
      </c>
      <c r="ES26" s="208">
        <v>0</v>
      </c>
      <c r="ET26" s="208">
        <v>29625</v>
      </c>
      <c r="EU26" s="208">
        <v>2962494</v>
      </c>
      <c r="EV26" s="666">
        <v>0.5</v>
      </c>
      <c r="EW26" s="666">
        <v>0.49</v>
      </c>
      <c r="EX26" s="666">
        <v>0</v>
      </c>
      <c r="EY26" s="666">
        <v>0.01</v>
      </c>
      <c r="EZ26" s="666">
        <v>1</v>
      </c>
      <c r="FA26" s="187" t="s">
        <v>742</v>
      </c>
      <c r="FC26" s="187">
        <v>0</v>
      </c>
    </row>
    <row r="27" spans="2:159" s="187" customFormat="1" x14ac:dyDescent="0.2">
      <c r="B27" s="429" t="s">
        <v>133</v>
      </c>
      <c r="C27" s="429" t="s">
        <v>132</v>
      </c>
      <c r="D27" s="208">
        <v>21283235</v>
      </c>
      <c r="E27" s="208">
        <v>20857570</v>
      </c>
      <c r="F27" s="208">
        <v>0</v>
      </c>
      <c r="G27" s="208">
        <v>425665</v>
      </c>
      <c r="H27" s="208">
        <v>42566470</v>
      </c>
      <c r="I27" s="208">
        <v>234365</v>
      </c>
      <c r="J27" s="208">
        <v>234365</v>
      </c>
      <c r="K27" s="208">
        <v>21048870</v>
      </c>
      <c r="L27" s="208">
        <v>259324</v>
      </c>
      <c r="M27" s="208">
        <v>259324</v>
      </c>
      <c r="N27" s="208">
        <v>209522</v>
      </c>
      <c r="O27" s="208">
        <v>209522</v>
      </c>
      <c r="P27" s="208">
        <v>2435</v>
      </c>
      <c r="Q27" s="208">
        <v>0</v>
      </c>
      <c r="R27" s="208">
        <v>2435</v>
      </c>
      <c r="S27" s="208">
        <v>0</v>
      </c>
      <c r="T27" s="208">
        <v>0</v>
      </c>
      <c r="U27" s="208">
        <v>0</v>
      </c>
      <c r="V27" s="208">
        <v>0</v>
      </c>
      <c r="W27" s="208">
        <v>234364.52916666667</v>
      </c>
      <c r="X27" s="208">
        <v>0</v>
      </c>
      <c r="Y27" s="208">
        <v>0</v>
      </c>
      <c r="Z27" s="208">
        <v>234364.52916666667</v>
      </c>
      <c r="AA27" s="208">
        <v>0</v>
      </c>
      <c r="AB27" s="208">
        <v>0</v>
      </c>
      <c r="AC27" s="208">
        <v>0</v>
      </c>
      <c r="AD27" s="208">
        <v>0</v>
      </c>
      <c r="AE27" s="208">
        <v>0</v>
      </c>
      <c r="AF27" s="208">
        <v>0</v>
      </c>
      <c r="AG27" s="208">
        <v>3764485</v>
      </c>
      <c r="AH27" s="208">
        <v>0</v>
      </c>
      <c r="AI27" s="208">
        <v>73079</v>
      </c>
      <c r="AJ27" s="208">
        <v>3837564</v>
      </c>
      <c r="AK27" s="208">
        <v>3031989</v>
      </c>
      <c r="AL27" s="208">
        <v>2971350</v>
      </c>
      <c r="AM27" s="208">
        <v>0</v>
      </c>
      <c r="AN27" s="208">
        <v>60640</v>
      </c>
      <c r="AO27" s="208">
        <v>6063979</v>
      </c>
      <c r="AP27" s="208">
        <v>-107845</v>
      </c>
      <c r="AQ27" s="208">
        <v>-105688</v>
      </c>
      <c r="AR27" s="208">
        <v>0</v>
      </c>
      <c r="AS27" s="208">
        <v>-2157</v>
      </c>
      <c r="AT27" s="208">
        <v>-215690</v>
      </c>
      <c r="AU27" s="208">
        <v>-1267374</v>
      </c>
      <c r="AV27" s="208">
        <v>-1242027</v>
      </c>
      <c r="AW27" s="208">
        <v>0</v>
      </c>
      <c r="AX27" s="208">
        <v>-25347</v>
      </c>
      <c r="AY27" s="208">
        <v>-2534748</v>
      </c>
      <c r="AZ27" s="208">
        <v>703174</v>
      </c>
      <c r="BA27" s="208">
        <v>689111</v>
      </c>
      <c r="BB27" s="208">
        <v>0</v>
      </c>
      <c r="BC27" s="208">
        <v>14063</v>
      </c>
      <c r="BD27" s="208">
        <v>1406348</v>
      </c>
      <c r="BE27" s="208">
        <v>-741500</v>
      </c>
      <c r="BF27" s="208">
        <v>-726670</v>
      </c>
      <c r="BG27" s="208">
        <v>0</v>
      </c>
      <c r="BH27" s="208">
        <v>-14830</v>
      </c>
      <c r="BI27" s="208">
        <v>-1483000</v>
      </c>
      <c r="BJ27" s="208">
        <v>-1305700</v>
      </c>
      <c r="BK27" s="208">
        <v>-1279586</v>
      </c>
      <c r="BL27" s="208">
        <v>0</v>
      </c>
      <c r="BM27" s="208">
        <v>-26114</v>
      </c>
      <c r="BN27" s="208">
        <v>-2611400</v>
      </c>
      <c r="BO27" s="208">
        <v>-4998839</v>
      </c>
      <c r="BP27" s="208">
        <v>-4898863</v>
      </c>
      <c r="BQ27" s="208">
        <v>0</v>
      </c>
      <c r="BR27" s="208">
        <v>-99977</v>
      </c>
      <c r="BS27" s="208">
        <v>-9997679</v>
      </c>
      <c r="BT27" s="208">
        <v>-3605578</v>
      </c>
      <c r="BU27" s="208">
        <v>-3533466</v>
      </c>
      <c r="BV27" s="208">
        <v>0</v>
      </c>
      <c r="BW27" s="208">
        <v>-72112</v>
      </c>
      <c r="BX27" s="208">
        <v>-7211156</v>
      </c>
      <c r="BY27" s="208">
        <v>-1393262</v>
      </c>
      <c r="BZ27" s="208">
        <v>-1365396</v>
      </c>
      <c r="CA27" s="208">
        <v>0</v>
      </c>
      <c r="CB27" s="208">
        <v>-27865</v>
      </c>
      <c r="CC27" s="208">
        <v>-2786523</v>
      </c>
      <c r="CD27" s="208">
        <v>513161</v>
      </c>
      <c r="CE27" s="208">
        <v>502898</v>
      </c>
      <c r="CF27" s="208">
        <v>0</v>
      </c>
      <c r="CG27" s="208">
        <v>10263</v>
      </c>
      <c r="CH27" s="208">
        <v>1026322</v>
      </c>
      <c r="CI27" s="208">
        <v>96976</v>
      </c>
      <c r="CJ27" s="208">
        <v>95037</v>
      </c>
      <c r="CK27" s="208">
        <v>0</v>
      </c>
      <c r="CL27" s="208">
        <v>1940</v>
      </c>
      <c r="CM27" s="208">
        <v>193953</v>
      </c>
      <c r="CN27" s="208">
        <v>-1349296</v>
      </c>
      <c r="CO27" s="208">
        <v>-1322310</v>
      </c>
      <c r="CP27" s="208">
        <v>0</v>
      </c>
      <c r="CQ27" s="208">
        <v>-26986</v>
      </c>
      <c r="CR27" s="208">
        <v>-2698592</v>
      </c>
      <c r="CS27" s="208">
        <v>-160704</v>
      </c>
      <c r="CT27" s="208">
        <v>-157490</v>
      </c>
      <c r="CU27" s="208">
        <v>0</v>
      </c>
      <c r="CV27" s="208">
        <v>-3214</v>
      </c>
      <c r="CW27" s="208">
        <v>-321408</v>
      </c>
      <c r="CX27" s="208">
        <v>-5898702</v>
      </c>
      <c r="CY27" s="208">
        <v>-5780728</v>
      </c>
      <c r="CZ27" s="208">
        <v>0</v>
      </c>
      <c r="DA27" s="208">
        <v>-117974</v>
      </c>
      <c r="DB27" s="208">
        <v>-11797404</v>
      </c>
      <c r="DC27" s="208">
        <v>-4441713</v>
      </c>
      <c r="DD27" s="208">
        <v>-4352878</v>
      </c>
      <c r="DE27" s="208">
        <v>0</v>
      </c>
      <c r="DF27" s="208">
        <v>-88835</v>
      </c>
      <c r="DG27" s="208">
        <v>-8883426</v>
      </c>
      <c r="DH27" s="208">
        <v>-1456990</v>
      </c>
      <c r="DI27" s="208">
        <v>-1427849</v>
      </c>
      <c r="DJ27" s="208">
        <v>0</v>
      </c>
      <c r="DK27" s="208">
        <v>-29139</v>
      </c>
      <c r="DL27" s="208">
        <v>-2913978</v>
      </c>
      <c r="DM27" s="208">
        <v>-2072320</v>
      </c>
      <c r="DN27" s="208">
        <v>-2030874</v>
      </c>
      <c r="DO27" s="208">
        <v>0</v>
      </c>
      <c r="DP27" s="208">
        <v>-41447</v>
      </c>
      <c r="DQ27" s="208">
        <v>-4144641</v>
      </c>
      <c r="DR27" s="208">
        <v>227940</v>
      </c>
      <c r="DS27" s="208">
        <v>223382</v>
      </c>
      <c r="DT27" s="208">
        <v>0</v>
      </c>
      <c r="DU27" s="208">
        <v>4559</v>
      </c>
      <c r="DV27" s="208">
        <v>455881</v>
      </c>
      <c r="DW27" s="208">
        <v>-2300260</v>
      </c>
      <c r="DX27" s="208">
        <v>-2254256</v>
      </c>
      <c r="DY27" s="208">
        <v>0</v>
      </c>
      <c r="DZ27" s="208">
        <v>-46006</v>
      </c>
      <c r="EA27" s="208">
        <v>-4600522</v>
      </c>
      <c r="EB27" s="208">
        <v>20138113</v>
      </c>
      <c r="EC27" s="208">
        <v>19735351</v>
      </c>
      <c r="ED27" s="208">
        <v>0</v>
      </c>
      <c r="EE27" s="208">
        <v>402762</v>
      </c>
      <c r="EF27" s="208">
        <v>40276226</v>
      </c>
      <c r="EG27" s="208">
        <v>21283235</v>
      </c>
      <c r="EH27" s="208">
        <v>20857570</v>
      </c>
      <c r="EI27" s="208">
        <v>0</v>
      </c>
      <c r="EJ27" s="208">
        <v>425665</v>
      </c>
      <c r="EK27" s="208">
        <v>42566470</v>
      </c>
      <c r="EL27" s="208">
        <v>1145122</v>
      </c>
      <c r="EM27" s="208">
        <v>1122219</v>
      </c>
      <c r="EN27" s="208">
        <v>0</v>
      </c>
      <c r="EO27" s="208">
        <v>22903</v>
      </c>
      <c r="EP27" s="208">
        <v>2290244</v>
      </c>
      <c r="EQ27" s="208">
        <v>-1155138</v>
      </c>
      <c r="ER27" s="208">
        <v>-1132037</v>
      </c>
      <c r="ES27" s="208">
        <v>0</v>
      </c>
      <c r="ET27" s="208">
        <v>-23103</v>
      </c>
      <c r="EU27" s="208">
        <v>-2310278</v>
      </c>
      <c r="EV27" s="666">
        <v>0.5</v>
      </c>
      <c r="EW27" s="666">
        <v>0.49</v>
      </c>
      <c r="EX27" s="666">
        <v>0</v>
      </c>
      <c r="EY27" s="666">
        <v>0.01</v>
      </c>
      <c r="EZ27" s="666">
        <v>1</v>
      </c>
      <c r="FA27" s="187" t="s">
        <v>742</v>
      </c>
      <c r="FC27" s="187">
        <v>0</v>
      </c>
    </row>
    <row r="28" spans="2:159" s="187" customFormat="1" x14ac:dyDescent="0.2">
      <c r="B28" s="429" t="s">
        <v>135</v>
      </c>
      <c r="C28" s="429" t="s">
        <v>134</v>
      </c>
      <c r="D28" s="208">
        <v>0</v>
      </c>
      <c r="E28" s="208">
        <v>14558202</v>
      </c>
      <c r="F28" s="208">
        <v>14267038</v>
      </c>
      <c r="G28" s="208">
        <v>291164</v>
      </c>
      <c r="H28" s="208">
        <v>29116404</v>
      </c>
      <c r="I28" s="208">
        <v>0</v>
      </c>
      <c r="J28" s="208">
        <v>0</v>
      </c>
      <c r="K28" s="208">
        <v>0</v>
      </c>
      <c r="L28" s="208">
        <v>95941</v>
      </c>
      <c r="M28" s="208">
        <v>95941</v>
      </c>
      <c r="N28" s="208">
        <v>0</v>
      </c>
      <c r="O28" s="208">
        <v>0</v>
      </c>
      <c r="P28" s="208">
        <v>64423</v>
      </c>
      <c r="Q28" s="208">
        <v>0</v>
      </c>
      <c r="R28" s="208">
        <v>64423</v>
      </c>
      <c r="S28" s="208">
        <v>0</v>
      </c>
      <c r="T28" s="208">
        <v>0</v>
      </c>
      <c r="U28" s="208">
        <v>0</v>
      </c>
      <c r="V28" s="208">
        <v>0</v>
      </c>
      <c r="W28" s="208">
        <v>0</v>
      </c>
      <c r="X28" s="208">
        <v>0</v>
      </c>
      <c r="Y28" s="208">
        <v>0</v>
      </c>
      <c r="Z28" s="208">
        <v>0</v>
      </c>
      <c r="AA28" s="208">
        <v>0</v>
      </c>
      <c r="AB28" s="208">
        <v>0</v>
      </c>
      <c r="AC28" s="208">
        <v>0</v>
      </c>
      <c r="AD28" s="208">
        <v>0</v>
      </c>
      <c r="AE28" s="208">
        <v>0</v>
      </c>
      <c r="AF28" s="208">
        <v>0</v>
      </c>
      <c r="AG28" s="208">
        <v>1116350</v>
      </c>
      <c r="AH28" s="208">
        <v>1092575</v>
      </c>
      <c r="AI28" s="208">
        <v>22298</v>
      </c>
      <c r="AJ28" s="208">
        <v>2231223</v>
      </c>
      <c r="AK28" s="208">
        <v>0</v>
      </c>
      <c r="AL28" s="208">
        <v>159971</v>
      </c>
      <c r="AM28" s="208">
        <v>156772</v>
      </c>
      <c r="AN28" s="208">
        <v>3199</v>
      </c>
      <c r="AO28" s="208">
        <v>319942</v>
      </c>
      <c r="AP28" s="208">
        <v>0</v>
      </c>
      <c r="AQ28" s="208">
        <v>-432706</v>
      </c>
      <c r="AR28" s="208">
        <v>-424052</v>
      </c>
      <c r="AS28" s="208">
        <v>-8654</v>
      </c>
      <c r="AT28" s="208">
        <v>-865412</v>
      </c>
      <c r="AU28" s="208">
        <v>0</v>
      </c>
      <c r="AV28" s="208">
        <v>-121708</v>
      </c>
      <c r="AW28" s="208">
        <v>-119273</v>
      </c>
      <c r="AX28" s="208">
        <v>-2434</v>
      </c>
      <c r="AY28" s="208">
        <v>-243415</v>
      </c>
      <c r="AZ28" s="208">
        <v>0</v>
      </c>
      <c r="BA28" s="208">
        <v>0</v>
      </c>
      <c r="BB28" s="208">
        <v>0</v>
      </c>
      <c r="BC28" s="208">
        <v>0</v>
      </c>
      <c r="BD28" s="208">
        <v>0</v>
      </c>
      <c r="BE28" s="208">
        <v>0</v>
      </c>
      <c r="BF28" s="208">
        <v>23685</v>
      </c>
      <c r="BG28" s="208">
        <v>23211</v>
      </c>
      <c r="BH28" s="208">
        <v>474</v>
      </c>
      <c r="BI28" s="208">
        <v>47370</v>
      </c>
      <c r="BJ28" s="208">
        <v>0</v>
      </c>
      <c r="BK28" s="208">
        <v>-98023</v>
      </c>
      <c r="BL28" s="208">
        <v>-96062</v>
      </c>
      <c r="BM28" s="208">
        <v>-1960</v>
      </c>
      <c r="BN28" s="208">
        <v>-196045</v>
      </c>
      <c r="BO28" s="208">
        <v>1</v>
      </c>
      <c r="BP28" s="208">
        <v>-2845725</v>
      </c>
      <c r="BQ28" s="208">
        <v>-2788811</v>
      </c>
      <c r="BR28" s="208">
        <v>-56915</v>
      </c>
      <c r="BS28" s="208">
        <v>-5691450</v>
      </c>
      <c r="BT28" s="208">
        <v>0</v>
      </c>
      <c r="BU28" s="208">
        <v>-544058</v>
      </c>
      <c r="BV28" s="208">
        <v>-533176</v>
      </c>
      <c r="BW28" s="208">
        <v>-10881</v>
      </c>
      <c r="BX28" s="208">
        <v>-1088115</v>
      </c>
      <c r="BY28" s="208">
        <v>0</v>
      </c>
      <c r="BZ28" s="208">
        <v>-2301668</v>
      </c>
      <c r="CA28" s="208">
        <v>-2255634</v>
      </c>
      <c r="CB28" s="208">
        <v>-46033</v>
      </c>
      <c r="CC28" s="208">
        <v>-4603335</v>
      </c>
      <c r="CD28" s="208">
        <v>0</v>
      </c>
      <c r="CE28" s="208">
        <v>176909</v>
      </c>
      <c r="CF28" s="208">
        <v>173370</v>
      </c>
      <c r="CG28" s="208">
        <v>3538</v>
      </c>
      <c r="CH28" s="208">
        <v>353817</v>
      </c>
      <c r="CI28" s="208">
        <v>0</v>
      </c>
      <c r="CJ28" s="208">
        <v>0</v>
      </c>
      <c r="CK28" s="208">
        <v>0</v>
      </c>
      <c r="CL28" s="208">
        <v>0</v>
      </c>
      <c r="CM28" s="208">
        <v>0</v>
      </c>
      <c r="CN28" s="208">
        <v>0</v>
      </c>
      <c r="CO28" s="208">
        <v>224020</v>
      </c>
      <c r="CP28" s="208">
        <v>219539</v>
      </c>
      <c r="CQ28" s="208">
        <v>4480</v>
      </c>
      <c r="CR28" s="208">
        <v>448039</v>
      </c>
      <c r="CS28" s="208">
        <v>0</v>
      </c>
      <c r="CT28" s="208">
        <v>496117</v>
      </c>
      <c r="CU28" s="208">
        <v>486194</v>
      </c>
      <c r="CV28" s="208">
        <v>9922</v>
      </c>
      <c r="CW28" s="208">
        <v>992233</v>
      </c>
      <c r="CX28" s="208">
        <v>1</v>
      </c>
      <c r="CY28" s="208">
        <v>-1948679</v>
      </c>
      <c r="CZ28" s="208">
        <v>-1909708</v>
      </c>
      <c r="DA28" s="208">
        <v>-38975</v>
      </c>
      <c r="DB28" s="208">
        <v>-3897361</v>
      </c>
      <c r="DC28" s="208">
        <v>0</v>
      </c>
      <c r="DD28" s="208">
        <v>-143129</v>
      </c>
      <c r="DE28" s="208">
        <v>-140267</v>
      </c>
      <c r="DF28" s="208">
        <v>-2863</v>
      </c>
      <c r="DG28" s="208">
        <v>-286259</v>
      </c>
      <c r="DH28" s="208">
        <v>0</v>
      </c>
      <c r="DI28" s="208">
        <v>-1805551</v>
      </c>
      <c r="DJ28" s="208">
        <v>-1769440</v>
      </c>
      <c r="DK28" s="208">
        <v>-36111</v>
      </c>
      <c r="DL28" s="208">
        <v>-3611102</v>
      </c>
      <c r="DM28" s="208">
        <v>-1646882</v>
      </c>
      <c r="DN28" s="208">
        <v>-1317508</v>
      </c>
      <c r="DO28" s="208">
        <v>-296440</v>
      </c>
      <c r="DP28" s="208">
        <v>-32938</v>
      </c>
      <c r="DQ28" s="208">
        <v>-3293768</v>
      </c>
      <c r="DR28" s="208">
        <v>177065</v>
      </c>
      <c r="DS28" s="208">
        <v>141652</v>
      </c>
      <c r="DT28" s="208">
        <v>31872</v>
      </c>
      <c r="DU28" s="208">
        <v>3541</v>
      </c>
      <c r="DV28" s="208">
        <v>354130</v>
      </c>
      <c r="DW28" s="208">
        <v>-1823947</v>
      </c>
      <c r="DX28" s="208">
        <v>-1459160</v>
      </c>
      <c r="DY28" s="208">
        <v>-328312</v>
      </c>
      <c r="DZ28" s="208">
        <v>-36479</v>
      </c>
      <c r="EA28" s="208">
        <v>-3647898</v>
      </c>
      <c r="EB28" s="208">
        <v>0</v>
      </c>
      <c r="EC28" s="208">
        <v>12860352</v>
      </c>
      <c r="ED28" s="208">
        <v>12603145</v>
      </c>
      <c r="EE28" s="208">
        <v>257207</v>
      </c>
      <c r="EF28" s="208">
        <v>25720704</v>
      </c>
      <c r="EG28" s="208">
        <v>0</v>
      </c>
      <c r="EH28" s="208">
        <v>14558202</v>
      </c>
      <c r="EI28" s="208">
        <v>14267038</v>
      </c>
      <c r="EJ28" s="208">
        <v>291164</v>
      </c>
      <c r="EK28" s="208">
        <v>29116404</v>
      </c>
      <c r="EL28" s="208">
        <v>0</v>
      </c>
      <c r="EM28" s="208">
        <v>1697850</v>
      </c>
      <c r="EN28" s="208">
        <v>1663893</v>
      </c>
      <c r="EO28" s="208">
        <v>33957</v>
      </c>
      <c r="EP28" s="208">
        <v>3395700</v>
      </c>
      <c r="EQ28" s="208">
        <v>-1823947</v>
      </c>
      <c r="ER28" s="208">
        <v>238690</v>
      </c>
      <c r="ES28" s="208">
        <v>1335581</v>
      </c>
      <c r="ET28" s="208">
        <v>-2522</v>
      </c>
      <c r="EU28" s="208">
        <v>-252198</v>
      </c>
      <c r="EV28" s="666">
        <v>0</v>
      </c>
      <c r="EW28" s="666">
        <v>0.5</v>
      </c>
      <c r="EX28" s="666">
        <v>0.49</v>
      </c>
      <c r="EY28" s="666">
        <v>0.01</v>
      </c>
      <c r="EZ28" s="666">
        <v>1</v>
      </c>
      <c r="FA28" s="187" t="s">
        <v>1054</v>
      </c>
      <c r="FC28" s="187">
        <v>0</v>
      </c>
    </row>
    <row r="29" spans="2:159" s="187" customFormat="1" x14ac:dyDescent="0.2">
      <c r="B29" s="429" t="s">
        <v>137</v>
      </c>
      <c r="C29" s="429" t="s">
        <v>136</v>
      </c>
      <c r="D29" s="208">
        <v>0</v>
      </c>
      <c r="E29" s="208">
        <v>78990285</v>
      </c>
      <c r="F29" s="208">
        <v>0</v>
      </c>
      <c r="G29" s="208">
        <v>797882</v>
      </c>
      <c r="H29" s="208">
        <v>79788167</v>
      </c>
      <c r="I29" s="208">
        <v>0</v>
      </c>
      <c r="J29" s="208">
        <v>0</v>
      </c>
      <c r="K29" s="208">
        <v>0</v>
      </c>
      <c r="L29" s="208">
        <v>392835</v>
      </c>
      <c r="M29" s="208">
        <v>392835</v>
      </c>
      <c r="N29" s="208">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10544143</v>
      </c>
      <c r="AH29" s="208">
        <v>0</v>
      </c>
      <c r="AI29" s="208">
        <v>106506</v>
      </c>
      <c r="AJ29" s="208">
        <v>10650649</v>
      </c>
      <c r="AK29" s="208">
        <v>0</v>
      </c>
      <c r="AL29" s="208">
        <v>7953151</v>
      </c>
      <c r="AM29" s="208">
        <v>0</v>
      </c>
      <c r="AN29" s="208">
        <v>80335</v>
      </c>
      <c r="AO29" s="208">
        <v>8033486</v>
      </c>
      <c r="AP29" s="208">
        <v>0</v>
      </c>
      <c r="AQ29" s="208">
        <v>-1428691</v>
      </c>
      <c r="AR29" s="208">
        <v>0</v>
      </c>
      <c r="AS29" s="208">
        <v>-14431</v>
      </c>
      <c r="AT29" s="208">
        <v>-1443122</v>
      </c>
      <c r="AU29" s="208">
        <v>0</v>
      </c>
      <c r="AV29" s="208">
        <v>-4697199</v>
      </c>
      <c r="AW29" s="208">
        <v>0</v>
      </c>
      <c r="AX29" s="208">
        <v>-47446</v>
      </c>
      <c r="AY29" s="208">
        <v>-4744645</v>
      </c>
      <c r="AZ29" s="208">
        <v>0</v>
      </c>
      <c r="BA29" s="208">
        <v>1970215</v>
      </c>
      <c r="BB29" s="208">
        <v>0</v>
      </c>
      <c r="BC29" s="208">
        <v>19901</v>
      </c>
      <c r="BD29" s="208">
        <v>1990116</v>
      </c>
      <c r="BE29" s="208">
        <v>0</v>
      </c>
      <c r="BF29" s="208">
        <v>-2510804</v>
      </c>
      <c r="BG29" s="208">
        <v>0</v>
      </c>
      <c r="BH29" s="208">
        <v>-25362</v>
      </c>
      <c r="BI29" s="208">
        <v>-2536166</v>
      </c>
      <c r="BJ29" s="208">
        <v>0</v>
      </c>
      <c r="BK29" s="208">
        <v>-5237788</v>
      </c>
      <c r="BL29" s="208">
        <v>0</v>
      </c>
      <c r="BM29" s="208">
        <v>-52907</v>
      </c>
      <c r="BN29" s="208">
        <v>-5290695</v>
      </c>
      <c r="BO29" s="208">
        <v>0</v>
      </c>
      <c r="BP29" s="208">
        <v>-9033361</v>
      </c>
      <c r="BQ29" s="208">
        <v>0</v>
      </c>
      <c r="BR29" s="208">
        <v>-91246</v>
      </c>
      <c r="BS29" s="208">
        <v>-9124607</v>
      </c>
      <c r="BT29" s="208">
        <v>0</v>
      </c>
      <c r="BU29" s="208">
        <v>-5152085</v>
      </c>
      <c r="BV29" s="208">
        <v>0</v>
      </c>
      <c r="BW29" s="208">
        <v>-52041</v>
      </c>
      <c r="BX29" s="208">
        <v>-5204126</v>
      </c>
      <c r="BY29" s="208">
        <v>0</v>
      </c>
      <c r="BZ29" s="208">
        <v>-3881276</v>
      </c>
      <c r="CA29" s="208">
        <v>0</v>
      </c>
      <c r="CB29" s="208">
        <v>-39205</v>
      </c>
      <c r="CC29" s="208">
        <v>-3920481</v>
      </c>
      <c r="CD29" s="208">
        <v>0</v>
      </c>
      <c r="CE29" s="208">
        <v>991381</v>
      </c>
      <c r="CF29" s="208">
        <v>0</v>
      </c>
      <c r="CG29" s="208">
        <v>10014</v>
      </c>
      <c r="CH29" s="208">
        <v>1001395</v>
      </c>
      <c r="CI29" s="208">
        <v>0</v>
      </c>
      <c r="CJ29" s="208">
        <v>1512473</v>
      </c>
      <c r="CK29" s="208">
        <v>0</v>
      </c>
      <c r="CL29" s="208">
        <v>15278</v>
      </c>
      <c r="CM29" s="208">
        <v>1527751</v>
      </c>
      <c r="CN29" s="208">
        <v>0</v>
      </c>
      <c r="CO29" s="208">
        <v>0</v>
      </c>
      <c r="CP29" s="208">
        <v>0</v>
      </c>
      <c r="CQ29" s="208">
        <v>0</v>
      </c>
      <c r="CR29" s="208">
        <v>0</v>
      </c>
      <c r="CS29" s="208">
        <v>0</v>
      </c>
      <c r="CT29" s="208">
        <v>-5045959</v>
      </c>
      <c r="CU29" s="208">
        <v>0</v>
      </c>
      <c r="CV29" s="208">
        <v>-50969</v>
      </c>
      <c r="CW29" s="208">
        <v>-5096928</v>
      </c>
      <c r="CX29" s="208">
        <v>0</v>
      </c>
      <c r="CY29" s="208">
        <v>-11575466</v>
      </c>
      <c r="CZ29" s="208">
        <v>0</v>
      </c>
      <c r="DA29" s="208">
        <v>-116923</v>
      </c>
      <c r="DB29" s="208">
        <v>-11692389</v>
      </c>
      <c r="DC29" s="208">
        <v>0</v>
      </c>
      <c r="DD29" s="208">
        <v>-4160704</v>
      </c>
      <c r="DE29" s="208">
        <v>0</v>
      </c>
      <c r="DF29" s="208">
        <v>-42027</v>
      </c>
      <c r="DG29" s="208">
        <v>-4202731</v>
      </c>
      <c r="DH29" s="208">
        <v>0</v>
      </c>
      <c r="DI29" s="208">
        <v>-7414762</v>
      </c>
      <c r="DJ29" s="208">
        <v>0</v>
      </c>
      <c r="DK29" s="208">
        <v>-74896</v>
      </c>
      <c r="DL29" s="208">
        <v>-7489658</v>
      </c>
      <c r="DM29" s="208">
        <v>-568237</v>
      </c>
      <c r="DN29" s="208">
        <v>-27892</v>
      </c>
      <c r="DO29" s="208">
        <v>0</v>
      </c>
      <c r="DP29" s="208">
        <v>-6022</v>
      </c>
      <c r="DQ29" s="208">
        <v>-602150</v>
      </c>
      <c r="DR29" s="208">
        <v>-462651</v>
      </c>
      <c r="DS29" s="208">
        <v>-1571264</v>
      </c>
      <c r="DT29" s="208">
        <v>0</v>
      </c>
      <c r="DU29" s="208">
        <v>-20545</v>
      </c>
      <c r="DV29" s="208">
        <v>-2054460</v>
      </c>
      <c r="DW29" s="208">
        <v>-105586</v>
      </c>
      <c r="DX29" s="208">
        <v>1543372</v>
      </c>
      <c r="DY29" s="208">
        <v>0</v>
      </c>
      <c r="DZ29" s="208">
        <v>14523</v>
      </c>
      <c r="EA29" s="208">
        <v>1452310</v>
      </c>
      <c r="EB29" s="208">
        <v>0</v>
      </c>
      <c r="EC29" s="208">
        <v>78575759</v>
      </c>
      <c r="ED29" s="208">
        <v>0</v>
      </c>
      <c r="EE29" s="208">
        <v>793695</v>
      </c>
      <c r="EF29" s="208">
        <v>79369454</v>
      </c>
      <c r="EG29" s="208">
        <v>0</v>
      </c>
      <c r="EH29" s="208">
        <v>78990285</v>
      </c>
      <c r="EI29" s="208">
        <v>0</v>
      </c>
      <c r="EJ29" s="208">
        <v>797882</v>
      </c>
      <c r="EK29" s="208">
        <v>79788167</v>
      </c>
      <c r="EL29" s="208">
        <v>0</v>
      </c>
      <c r="EM29" s="208">
        <v>414526</v>
      </c>
      <c r="EN29" s="208">
        <v>0</v>
      </c>
      <c r="EO29" s="208">
        <v>4187</v>
      </c>
      <c r="EP29" s="208">
        <v>418713</v>
      </c>
      <c r="EQ29" s="208">
        <v>-105586</v>
      </c>
      <c r="ER29" s="208">
        <v>1957898</v>
      </c>
      <c r="ES29" s="208">
        <v>0</v>
      </c>
      <c r="ET29" s="208">
        <v>18710</v>
      </c>
      <c r="EU29" s="208">
        <v>1871023</v>
      </c>
      <c r="EV29" s="666">
        <v>0</v>
      </c>
      <c r="EW29" s="666">
        <v>0.99</v>
      </c>
      <c r="EX29" s="666">
        <v>0</v>
      </c>
      <c r="EY29" s="666">
        <v>0.01</v>
      </c>
      <c r="EZ29" s="666">
        <v>1</v>
      </c>
      <c r="FA29" s="187" t="s">
        <v>1056</v>
      </c>
      <c r="FC29" s="187">
        <v>0</v>
      </c>
    </row>
    <row r="30" spans="2:159" s="187" customFormat="1" x14ac:dyDescent="0.2">
      <c r="B30" s="429" t="s">
        <v>139</v>
      </c>
      <c r="C30" s="429" t="s">
        <v>138</v>
      </c>
      <c r="D30" s="208">
        <v>0</v>
      </c>
      <c r="E30" s="208">
        <v>13132175</v>
      </c>
      <c r="F30" s="208">
        <v>8754784</v>
      </c>
      <c r="G30" s="208">
        <v>0</v>
      </c>
      <c r="H30" s="208">
        <v>21886959</v>
      </c>
      <c r="I30" s="208">
        <v>0</v>
      </c>
      <c r="J30" s="208">
        <v>0</v>
      </c>
      <c r="K30" s="208">
        <v>0</v>
      </c>
      <c r="L30" s="208">
        <v>91672</v>
      </c>
      <c r="M30" s="208">
        <v>91672</v>
      </c>
      <c r="N30" s="208">
        <v>0</v>
      </c>
      <c r="O30" s="208">
        <v>0</v>
      </c>
      <c r="P30" s="208">
        <v>170056</v>
      </c>
      <c r="Q30" s="208">
        <v>0</v>
      </c>
      <c r="R30" s="208">
        <v>170056</v>
      </c>
      <c r="S30" s="208">
        <v>0</v>
      </c>
      <c r="T30" s="208">
        <v>0</v>
      </c>
      <c r="U30" s="208">
        <v>0</v>
      </c>
      <c r="V30" s="208">
        <v>0</v>
      </c>
      <c r="W30" s="208">
        <v>0</v>
      </c>
      <c r="X30" s="208">
        <v>0</v>
      </c>
      <c r="Y30" s="208">
        <v>0</v>
      </c>
      <c r="Z30" s="208">
        <v>0</v>
      </c>
      <c r="AA30" s="208">
        <v>0</v>
      </c>
      <c r="AB30" s="208">
        <v>0</v>
      </c>
      <c r="AC30" s="208">
        <v>0</v>
      </c>
      <c r="AD30" s="208">
        <v>0</v>
      </c>
      <c r="AE30" s="208">
        <v>0</v>
      </c>
      <c r="AF30" s="208">
        <v>0</v>
      </c>
      <c r="AG30" s="208">
        <v>1463559</v>
      </c>
      <c r="AH30" s="208">
        <v>973107</v>
      </c>
      <c r="AI30" s="208">
        <v>0</v>
      </c>
      <c r="AJ30" s="208">
        <v>2436666</v>
      </c>
      <c r="AK30" s="208">
        <v>0</v>
      </c>
      <c r="AL30" s="208">
        <v>651431</v>
      </c>
      <c r="AM30" s="208">
        <v>434287</v>
      </c>
      <c r="AN30" s="208">
        <v>0</v>
      </c>
      <c r="AO30" s="208">
        <v>1085718</v>
      </c>
      <c r="AP30" s="208">
        <v>0</v>
      </c>
      <c r="AQ30" s="208">
        <v>-346555</v>
      </c>
      <c r="AR30" s="208">
        <v>-231037</v>
      </c>
      <c r="AS30" s="208">
        <v>0</v>
      </c>
      <c r="AT30" s="208">
        <v>-577592</v>
      </c>
      <c r="AU30" s="208">
        <v>0</v>
      </c>
      <c r="AV30" s="208">
        <v>-99280</v>
      </c>
      <c r="AW30" s="208">
        <v>-66187</v>
      </c>
      <c r="AX30" s="208">
        <v>0</v>
      </c>
      <c r="AY30" s="208">
        <v>-165467</v>
      </c>
      <c r="AZ30" s="208">
        <v>0</v>
      </c>
      <c r="BA30" s="208">
        <v>49477</v>
      </c>
      <c r="BB30" s="208">
        <v>32984</v>
      </c>
      <c r="BC30" s="208">
        <v>0</v>
      </c>
      <c r="BD30" s="208">
        <v>82461</v>
      </c>
      <c r="BE30" s="208">
        <v>0</v>
      </c>
      <c r="BF30" s="208">
        <v>-310196</v>
      </c>
      <c r="BG30" s="208">
        <v>-206798</v>
      </c>
      <c r="BH30" s="208">
        <v>0</v>
      </c>
      <c r="BI30" s="208">
        <v>-516994</v>
      </c>
      <c r="BJ30" s="208">
        <v>0</v>
      </c>
      <c r="BK30" s="208">
        <v>-359999</v>
      </c>
      <c r="BL30" s="208">
        <v>-240001</v>
      </c>
      <c r="BM30" s="208">
        <v>0</v>
      </c>
      <c r="BN30" s="208">
        <v>-600000</v>
      </c>
      <c r="BO30" s="208">
        <v>0</v>
      </c>
      <c r="BP30" s="208">
        <v>-1880975</v>
      </c>
      <c r="BQ30" s="208">
        <v>-1253983</v>
      </c>
      <c r="BR30" s="208">
        <v>0</v>
      </c>
      <c r="BS30" s="208">
        <v>-3134958</v>
      </c>
      <c r="BT30" s="208">
        <v>0</v>
      </c>
      <c r="BU30" s="208">
        <v>-1324475</v>
      </c>
      <c r="BV30" s="208">
        <v>-882983</v>
      </c>
      <c r="BW30" s="208">
        <v>0</v>
      </c>
      <c r="BX30" s="208">
        <v>-2207458</v>
      </c>
      <c r="BY30" s="208">
        <v>0</v>
      </c>
      <c r="BZ30" s="208">
        <v>-556500</v>
      </c>
      <c r="CA30" s="208">
        <v>-371000</v>
      </c>
      <c r="CB30" s="208">
        <v>0</v>
      </c>
      <c r="CC30" s="208">
        <v>-927500</v>
      </c>
      <c r="CD30" s="208">
        <v>0</v>
      </c>
      <c r="CE30" s="208">
        <v>0</v>
      </c>
      <c r="CF30" s="208">
        <v>0</v>
      </c>
      <c r="CG30" s="208">
        <v>0</v>
      </c>
      <c r="CH30" s="208">
        <v>0</v>
      </c>
      <c r="CI30" s="208">
        <v>0</v>
      </c>
      <c r="CJ30" s="208">
        <v>0</v>
      </c>
      <c r="CK30" s="208">
        <v>0</v>
      </c>
      <c r="CL30" s="208">
        <v>0</v>
      </c>
      <c r="CM30" s="208">
        <v>0</v>
      </c>
      <c r="CN30" s="208">
        <v>0</v>
      </c>
      <c r="CO30" s="208">
        <v>1084475</v>
      </c>
      <c r="CP30" s="208">
        <v>722983</v>
      </c>
      <c r="CQ30" s="208">
        <v>0</v>
      </c>
      <c r="CR30" s="208">
        <v>1807458</v>
      </c>
      <c r="CS30" s="208">
        <v>0</v>
      </c>
      <c r="CT30" s="208">
        <v>256500</v>
      </c>
      <c r="CU30" s="208">
        <v>171000</v>
      </c>
      <c r="CV30" s="208">
        <v>0</v>
      </c>
      <c r="CW30" s="208">
        <v>427500</v>
      </c>
      <c r="CX30" s="208">
        <v>0</v>
      </c>
      <c r="CY30" s="208">
        <v>-540000</v>
      </c>
      <c r="CZ30" s="208">
        <v>-360000</v>
      </c>
      <c r="DA30" s="208">
        <v>0</v>
      </c>
      <c r="DB30" s="208">
        <v>-900000</v>
      </c>
      <c r="DC30" s="208">
        <v>0</v>
      </c>
      <c r="DD30" s="208">
        <v>-240000</v>
      </c>
      <c r="DE30" s="208">
        <v>-160000</v>
      </c>
      <c r="DF30" s="208">
        <v>0</v>
      </c>
      <c r="DG30" s="208">
        <v>-400000</v>
      </c>
      <c r="DH30" s="208">
        <v>0</v>
      </c>
      <c r="DI30" s="208">
        <v>-300000</v>
      </c>
      <c r="DJ30" s="208">
        <v>-200000</v>
      </c>
      <c r="DK30" s="208">
        <v>0</v>
      </c>
      <c r="DL30" s="208">
        <v>-500000</v>
      </c>
      <c r="DM30" s="208">
        <v>-512121</v>
      </c>
      <c r="DN30" s="208">
        <v>-409699</v>
      </c>
      <c r="DO30" s="208">
        <v>-102425</v>
      </c>
      <c r="DP30" s="208">
        <v>0</v>
      </c>
      <c r="DQ30" s="208">
        <v>-1024245</v>
      </c>
      <c r="DR30" s="208">
        <v>-493475</v>
      </c>
      <c r="DS30" s="208">
        <v>-394780</v>
      </c>
      <c r="DT30" s="208">
        <v>-98695</v>
      </c>
      <c r="DU30" s="208">
        <v>0</v>
      </c>
      <c r="DV30" s="208">
        <v>-986950</v>
      </c>
      <c r="DW30" s="208">
        <v>-18646</v>
      </c>
      <c r="DX30" s="208">
        <v>-14919</v>
      </c>
      <c r="DY30" s="208">
        <v>-3730</v>
      </c>
      <c r="DZ30" s="208">
        <v>0</v>
      </c>
      <c r="EA30" s="208">
        <v>-37295</v>
      </c>
      <c r="EB30" s="208">
        <v>0</v>
      </c>
      <c r="EC30" s="208">
        <v>11714473</v>
      </c>
      <c r="ED30" s="208">
        <v>7809649</v>
      </c>
      <c r="EE30" s="208">
        <v>0</v>
      </c>
      <c r="EF30" s="208">
        <v>19524122</v>
      </c>
      <c r="EG30" s="208">
        <v>0</v>
      </c>
      <c r="EH30" s="208">
        <v>13132175</v>
      </c>
      <c r="EI30" s="208">
        <v>8754784</v>
      </c>
      <c r="EJ30" s="208">
        <v>0</v>
      </c>
      <c r="EK30" s="208">
        <v>21886959</v>
      </c>
      <c r="EL30" s="208">
        <v>0</v>
      </c>
      <c r="EM30" s="208">
        <v>1417702</v>
      </c>
      <c r="EN30" s="208">
        <v>945135</v>
      </c>
      <c r="EO30" s="208">
        <v>0</v>
      </c>
      <c r="EP30" s="208">
        <v>2362837</v>
      </c>
      <c r="EQ30" s="208">
        <v>-18646</v>
      </c>
      <c r="ER30" s="208">
        <v>1402783</v>
      </c>
      <c r="ES30" s="208">
        <v>941405</v>
      </c>
      <c r="ET30" s="208">
        <v>0</v>
      </c>
      <c r="EU30" s="208">
        <v>2325542</v>
      </c>
      <c r="EV30" s="666">
        <v>0</v>
      </c>
      <c r="EW30" s="666">
        <v>0.6</v>
      </c>
      <c r="EX30" s="666">
        <v>0.4</v>
      </c>
      <c r="EY30" s="666">
        <v>0</v>
      </c>
      <c r="EZ30" s="666">
        <v>1</v>
      </c>
      <c r="FA30" s="187" t="s">
        <v>1054</v>
      </c>
      <c r="FC30" s="187">
        <v>0</v>
      </c>
    </row>
    <row r="31" spans="2:159" s="187" customFormat="1" x14ac:dyDescent="0.2">
      <c r="B31" s="429" t="s">
        <v>141</v>
      </c>
      <c r="C31" s="429" t="s">
        <v>140</v>
      </c>
      <c r="D31" s="208">
        <v>29258667</v>
      </c>
      <c r="E31" s="208">
        <v>28673493</v>
      </c>
      <c r="F31" s="208">
        <v>0</v>
      </c>
      <c r="G31" s="208">
        <v>585173</v>
      </c>
      <c r="H31" s="208">
        <v>58517333</v>
      </c>
      <c r="I31" s="208">
        <v>0</v>
      </c>
      <c r="J31" s="208">
        <v>0</v>
      </c>
      <c r="K31" s="208">
        <v>29258667</v>
      </c>
      <c r="L31" s="208">
        <v>291069</v>
      </c>
      <c r="M31" s="208">
        <v>291069</v>
      </c>
      <c r="N31" s="208">
        <v>0</v>
      </c>
      <c r="O31" s="208">
        <v>0</v>
      </c>
      <c r="P31" s="208">
        <v>226</v>
      </c>
      <c r="Q31" s="208">
        <v>0</v>
      </c>
      <c r="R31" s="208">
        <v>226</v>
      </c>
      <c r="S31" s="208">
        <v>0</v>
      </c>
      <c r="T31" s="208">
        <v>0</v>
      </c>
      <c r="U31" s="208">
        <v>0</v>
      </c>
      <c r="V31" s="208">
        <v>0</v>
      </c>
      <c r="W31" s="208">
        <v>0</v>
      </c>
      <c r="X31" s="208">
        <v>0</v>
      </c>
      <c r="Y31" s="208">
        <v>0</v>
      </c>
      <c r="Z31" s="208">
        <v>0</v>
      </c>
      <c r="AA31" s="208">
        <v>0</v>
      </c>
      <c r="AB31" s="208">
        <v>0</v>
      </c>
      <c r="AC31" s="208">
        <v>0</v>
      </c>
      <c r="AD31" s="208">
        <v>0</v>
      </c>
      <c r="AE31" s="208">
        <v>0</v>
      </c>
      <c r="AF31" s="208">
        <v>0</v>
      </c>
      <c r="AG31" s="208">
        <v>3379118</v>
      </c>
      <c r="AH31" s="208">
        <v>0</v>
      </c>
      <c r="AI31" s="208">
        <v>68960</v>
      </c>
      <c r="AJ31" s="208">
        <v>3448078</v>
      </c>
      <c r="AK31" s="208">
        <v>2361538</v>
      </c>
      <c r="AL31" s="208">
        <v>2314307</v>
      </c>
      <c r="AM31" s="208">
        <v>0</v>
      </c>
      <c r="AN31" s="208">
        <v>47231</v>
      </c>
      <c r="AO31" s="208">
        <v>4723076</v>
      </c>
      <c r="AP31" s="208">
        <v>-178982</v>
      </c>
      <c r="AQ31" s="208">
        <v>-175403</v>
      </c>
      <c r="AR31" s="208">
        <v>0</v>
      </c>
      <c r="AS31" s="208">
        <v>-3580</v>
      </c>
      <c r="AT31" s="208">
        <v>-357965</v>
      </c>
      <c r="AU31" s="208">
        <v>-1009018</v>
      </c>
      <c r="AV31" s="208">
        <v>-988838</v>
      </c>
      <c r="AW31" s="208">
        <v>0</v>
      </c>
      <c r="AX31" s="208">
        <v>-20180</v>
      </c>
      <c r="AY31" s="208">
        <v>-2018036</v>
      </c>
      <c r="AZ31" s="208">
        <v>-832</v>
      </c>
      <c r="BA31" s="208">
        <v>-815</v>
      </c>
      <c r="BB31" s="208">
        <v>0</v>
      </c>
      <c r="BC31" s="208">
        <v>-17</v>
      </c>
      <c r="BD31" s="208">
        <v>-1664</v>
      </c>
      <c r="BE31" s="208">
        <v>-330872</v>
      </c>
      <c r="BF31" s="208">
        <v>-324255</v>
      </c>
      <c r="BG31" s="208">
        <v>0</v>
      </c>
      <c r="BH31" s="208">
        <v>-6617</v>
      </c>
      <c r="BI31" s="208">
        <v>-661744</v>
      </c>
      <c r="BJ31" s="208">
        <v>-1340722</v>
      </c>
      <c r="BK31" s="208">
        <v>-1313908</v>
      </c>
      <c r="BL31" s="208">
        <v>0</v>
      </c>
      <c r="BM31" s="208">
        <v>-26814</v>
      </c>
      <c r="BN31" s="208">
        <v>-2681444</v>
      </c>
      <c r="BO31" s="208">
        <v>-425403</v>
      </c>
      <c r="BP31" s="208">
        <v>-416894</v>
      </c>
      <c r="BQ31" s="208">
        <v>0</v>
      </c>
      <c r="BR31" s="208">
        <v>-8508</v>
      </c>
      <c r="BS31" s="208">
        <v>-850805</v>
      </c>
      <c r="BT31" s="208">
        <v>0</v>
      </c>
      <c r="BU31" s="208">
        <v>0</v>
      </c>
      <c r="BV31" s="208">
        <v>0</v>
      </c>
      <c r="BW31" s="208">
        <v>0</v>
      </c>
      <c r="BX31" s="208">
        <v>0</v>
      </c>
      <c r="BY31" s="208">
        <v>-425403</v>
      </c>
      <c r="BZ31" s="208">
        <v>-416894</v>
      </c>
      <c r="CA31" s="208">
        <v>0</v>
      </c>
      <c r="CB31" s="208">
        <v>-8508</v>
      </c>
      <c r="CC31" s="208">
        <v>-850805</v>
      </c>
      <c r="CD31" s="208">
        <v>569293</v>
      </c>
      <c r="CE31" s="208">
        <v>557907</v>
      </c>
      <c r="CF31" s="208">
        <v>0</v>
      </c>
      <c r="CG31" s="208">
        <v>11386</v>
      </c>
      <c r="CH31" s="208">
        <v>1138586</v>
      </c>
      <c r="CI31" s="208">
        <v>0</v>
      </c>
      <c r="CJ31" s="208">
        <v>0</v>
      </c>
      <c r="CK31" s="208">
        <v>0</v>
      </c>
      <c r="CL31" s="208">
        <v>0</v>
      </c>
      <c r="CM31" s="208">
        <v>0</v>
      </c>
      <c r="CN31" s="208">
        <v>-1842567</v>
      </c>
      <c r="CO31" s="208">
        <v>-1805716</v>
      </c>
      <c r="CP31" s="208">
        <v>0</v>
      </c>
      <c r="CQ31" s="208">
        <v>-36851</v>
      </c>
      <c r="CR31" s="208">
        <v>-3685134</v>
      </c>
      <c r="CS31" s="208">
        <v>-1866823</v>
      </c>
      <c r="CT31" s="208">
        <v>-1829487</v>
      </c>
      <c r="CU31" s="208">
        <v>0</v>
      </c>
      <c r="CV31" s="208">
        <v>-37336</v>
      </c>
      <c r="CW31" s="208">
        <v>-3733646</v>
      </c>
      <c r="CX31" s="208">
        <v>-3565500</v>
      </c>
      <c r="CY31" s="208">
        <v>-3494190</v>
      </c>
      <c r="CZ31" s="208">
        <v>0</v>
      </c>
      <c r="DA31" s="208">
        <v>-71309</v>
      </c>
      <c r="DB31" s="208">
        <v>-7130999</v>
      </c>
      <c r="DC31" s="208">
        <v>-1273274</v>
      </c>
      <c r="DD31" s="208">
        <v>-1247809</v>
      </c>
      <c r="DE31" s="208">
        <v>0</v>
      </c>
      <c r="DF31" s="208">
        <v>-25465</v>
      </c>
      <c r="DG31" s="208">
        <v>-2546548</v>
      </c>
      <c r="DH31" s="208">
        <v>-2292226</v>
      </c>
      <c r="DI31" s="208">
        <v>-2246381</v>
      </c>
      <c r="DJ31" s="208">
        <v>0</v>
      </c>
      <c r="DK31" s="208">
        <v>-45844</v>
      </c>
      <c r="DL31" s="208">
        <v>-4584451</v>
      </c>
      <c r="DM31" s="208">
        <v>-3074532</v>
      </c>
      <c r="DN31" s="208">
        <v>-3013042</v>
      </c>
      <c r="DO31" s="208">
        <v>0</v>
      </c>
      <c r="DP31" s="208">
        <v>-61491</v>
      </c>
      <c r="DQ31" s="208">
        <v>-6149064</v>
      </c>
      <c r="DR31" s="208">
        <v>-2396391</v>
      </c>
      <c r="DS31" s="208">
        <v>-2348463</v>
      </c>
      <c r="DT31" s="208">
        <v>0</v>
      </c>
      <c r="DU31" s="208">
        <v>-47928</v>
      </c>
      <c r="DV31" s="208">
        <v>-4792782</v>
      </c>
      <c r="DW31" s="208">
        <v>-678141</v>
      </c>
      <c r="DX31" s="208">
        <v>-664579</v>
      </c>
      <c r="DY31" s="208">
        <v>0</v>
      </c>
      <c r="DZ31" s="208">
        <v>-13563</v>
      </c>
      <c r="EA31" s="208">
        <v>-1356282</v>
      </c>
      <c r="EB31" s="208">
        <v>31441062</v>
      </c>
      <c r="EC31" s="208">
        <v>30812241</v>
      </c>
      <c r="ED31" s="208">
        <v>0</v>
      </c>
      <c r="EE31" s="208">
        <v>628821</v>
      </c>
      <c r="EF31" s="208">
        <v>62882124</v>
      </c>
      <c r="EG31" s="208">
        <v>29258667</v>
      </c>
      <c r="EH31" s="208">
        <v>28673493</v>
      </c>
      <c r="EI31" s="208">
        <v>0</v>
      </c>
      <c r="EJ31" s="208">
        <v>585173</v>
      </c>
      <c r="EK31" s="208">
        <v>58517333</v>
      </c>
      <c r="EL31" s="208">
        <v>-2182395</v>
      </c>
      <c r="EM31" s="208">
        <v>-2138748</v>
      </c>
      <c r="EN31" s="208">
        <v>0</v>
      </c>
      <c r="EO31" s="208">
        <v>-43648</v>
      </c>
      <c r="EP31" s="208">
        <v>-4364791</v>
      </c>
      <c r="EQ31" s="208">
        <v>-2860536</v>
      </c>
      <c r="ER31" s="208">
        <v>-2803327</v>
      </c>
      <c r="ES31" s="208">
        <v>0</v>
      </c>
      <c r="ET31" s="208">
        <v>-57211</v>
      </c>
      <c r="EU31" s="208">
        <v>-5721073</v>
      </c>
      <c r="EV31" s="666">
        <v>0.5</v>
      </c>
      <c r="EW31" s="666">
        <v>0.49</v>
      </c>
      <c r="EX31" s="666">
        <v>0</v>
      </c>
      <c r="EY31" s="666">
        <v>0.01</v>
      </c>
      <c r="EZ31" s="666">
        <v>1</v>
      </c>
      <c r="FA31" s="187" t="s">
        <v>742</v>
      </c>
      <c r="FC31" s="187">
        <v>0</v>
      </c>
    </row>
    <row r="32" spans="2:159" s="187" customFormat="1" x14ac:dyDescent="0.2">
      <c r="B32" s="429" t="s">
        <v>143</v>
      </c>
      <c r="C32" s="429" t="s">
        <v>142</v>
      </c>
      <c r="D32" s="208">
        <v>0</v>
      </c>
      <c r="E32" s="208">
        <v>79135900</v>
      </c>
      <c r="F32" s="208">
        <v>0</v>
      </c>
      <c r="G32" s="208">
        <v>799353</v>
      </c>
      <c r="H32" s="208">
        <v>79935253</v>
      </c>
      <c r="I32" s="208">
        <v>0</v>
      </c>
      <c r="J32" s="208">
        <v>0</v>
      </c>
      <c r="K32" s="208">
        <v>0</v>
      </c>
      <c r="L32" s="208">
        <v>140882</v>
      </c>
      <c r="M32" s="208">
        <v>140882</v>
      </c>
      <c r="N32" s="208">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3211379</v>
      </c>
      <c r="AH32" s="208">
        <v>0</v>
      </c>
      <c r="AI32" s="208">
        <v>32438</v>
      </c>
      <c r="AJ32" s="208">
        <v>3243817</v>
      </c>
      <c r="AK32" s="208">
        <v>0</v>
      </c>
      <c r="AL32" s="208">
        <v>3297582</v>
      </c>
      <c r="AM32" s="208">
        <v>0</v>
      </c>
      <c r="AN32" s="208">
        <v>33309</v>
      </c>
      <c r="AO32" s="208">
        <v>3330891</v>
      </c>
      <c r="AP32" s="208">
        <v>0</v>
      </c>
      <c r="AQ32" s="208">
        <v>-5342353</v>
      </c>
      <c r="AR32" s="208">
        <v>0</v>
      </c>
      <c r="AS32" s="208">
        <v>-53963</v>
      </c>
      <c r="AT32" s="208">
        <v>-5396316</v>
      </c>
      <c r="AU32" s="208">
        <v>0</v>
      </c>
      <c r="AV32" s="208">
        <v>-805266</v>
      </c>
      <c r="AW32" s="208">
        <v>0</v>
      </c>
      <c r="AX32" s="208">
        <v>-8134</v>
      </c>
      <c r="AY32" s="208">
        <v>-813400</v>
      </c>
      <c r="AZ32" s="208">
        <v>0</v>
      </c>
      <c r="BA32" s="208">
        <v>0</v>
      </c>
      <c r="BB32" s="208">
        <v>0</v>
      </c>
      <c r="BC32" s="208">
        <v>0</v>
      </c>
      <c r="BD32" s="208">
        <v>0</v>
      </c>
      <c r="BE32" s="208">
        <v>0</v>
      </c>
      <c r="BF32" s="208">
        <v>-167112</v>
      </c>
      <c r="BG32" s="208">
        <v>0</v>
      </c>
      <c r="BH32" s="208">
        <v>-1688</v>
      </c>
      <c r="BI32" s="208">
        <v>-168800</v>
      </c>
      <c r="BJ32" s="208">
        <v>0</v>
      </c>
      <c r="BK32" s="208">
        <v>-972378</v>
      </c>
      <c r="BL32" s="208">
        <v>0</v>
      </c>
      <c r="BM32" s="208">
        <v>-9822</v>
      </c>
      <c r="BN32" s="208">
        <v>-982200</v>
      </c>
      <c r="BO32" s="208">
        <v>0</v>
      </c>
      <c r="BP32" s="208">
        <v>-15337667</v>
      </c>
      <c r="BQ32" s="208">
        <v>0</v>
      </c>
      <c r="BR32" s="208">
        <v>-154926</v>
      </c>
      <c r="BS32" s="208">
        <v>-15492593</v>
      </c>
      <c r="BT32" s="208">
        <v>0</v>
      </c>
      <c r="BU32" s="208">
        <v>0</v>
      </c>
      <c r="BV32" s="208">
        <v>0</v>
      </c>
      <c r="BW32" s="208">
        <v>0</v>
      </c>
      <c r="BX32" s="208">
        <v>0</v>
      </c>
      <c r="BY32" s="208">
        <v>0</v>
      </c>
      <c r="BZ32" s="208">
        <v>-15337667</v>
      </c>
      <c r="CA32" s="208">
        <v>0</v>
      </c>
      <c r="CB32" s="208">
        <v>-154926</v>
      </c>
      <c r="CC32" s="208">
        <v>-15492593</v>
      </c>
      <c r="CD32" s="208">
        <v>0</v>
      </c>
      <c r="CE32" s="208">
        <v>719141</v>
      </c>
      <c r="CF32" s="208">
        <v>0</v>
      </c>
      <c r="CG32" s="208">
        <v>7264</v>
      </c>
      <c r="CH32" s="208">
        <v>726405</v>
      </c>
      <c r="CI32" s="208">
        <v>0</v>
      </c>
      <c r="CJ32" s="208">
        <v>0</v>
      </c>
      <c r="CK32" s="208">
        <v>0</v>
      </c>
      <c r="CL32" s="208">
        <v>0</v>
      </c>
      <c r="CM32" s="208">
        <v>0</v>
      </c>
      <c r="CN32" s="208">
        <v>0</v>
      </c>
      <c r="CO32" s="208">
        <v>7547224</v>
      </c>
      <c r="CP32" s="208">
        <v>0</v>
      </c>
      <c r="CQ32" s="208">
        <v>76235</v>
      </c>
      <c r="CR32" s="208">
        <v>7623459</v>
      </c>
      <c r="CS32" s="208">
        <v>0</v>
      </c>
      <c r="CT32" s="208">
        <v>-2344285</v>
      </c>
      <c r="CU32" s="208">
        <v>0</v>
      </c>
      <c r="CV32" s="208">
        <v>-23680</v>
      </c>
      <c r="CW32" s="208">
        <v>-2367965</v>
      </c>
      <c r="CX32" s="208">
        <v>0</v>
      </c>
      <c r="CY32" s="208">
        <v>-9415587</v>
      </c>
      <c r="CZ32" s="208">
        <v>0</v>
      </c>
      <c r="DA32" s="208">
        <v>-95107</v>
      </c>
      <c r="DB32" s="208">
        <v>-9510694</v>
      </c>
      <c r="DC32" s="208">
        <v>0</v>
      </c>
      <c r="DD32" s="208">
        <v>8266365</v>
      </c>
      <c r="DE32" s="208">
        <v>0</v>
      </c>
      <c r="DF32" s="208">
        <v>83499</v>
      </c>
      <c r="DG32" s="208">
        <v>8349864</v>
      </c>
      <c r="DH32" s="208">
        <v>0</v>
      </c>
      <c r="DI32" s="208">
        <v>-17681952</v>
      </c>
      <c r="DJ32" s="208">
        <v>0</v>
      </c>
      <c r="DK32" s="208">
        <v>-178606</v>
      </c>
      <c r="DL32" s="208">
        <v>-17860558</v>
      </c>
      <c r="DM32" s="208">
        <v>-2474003</v>
      </c>
      <c r="DN32" s="208">
        <v>-2424523</v>
      </c>
      <c r="DO32" s="208">
        <v>0</v>
      </c>
      <c r="DP32" s="208">
        <v>-49481</v>
      </c>
      <c r="DQ32" s="208">
        <v>-4948007</v>
      </c>
      <c r="DR32" s="208">
        <v>3107401</v>
      </c>
      <c r="DS32" s="208">
        <v>3045252</v>
      </c>
      <c r="DT32" s="208">
        <v>0</v>
      </c>
      <c r="DU32" s="208">
        <v>62148</v>
      </c>
      <c r="DV32" s="208">
        <v>6214801</v>
      </c>
      <c r="DW32" s="208">
        <v>-5581404</v>
      </c>
      <c r="DX32" s="208">
        <v>-5469775</v>
      </c>
      <c r="DY32" s="208">
        <v>0</v>
      </c>
      <c r="DZ32" s="208">
        <v>-111629</v>
      </c>
      <c r="EA32" s="208">
        <v>-11162808</v>
      </c>
      <c r="EB32" s="208">
        <v>0</v>
      </c>
      <c r="EC32" s="208">
        <v>69034050</v>
      </c>
      <c r="ED32" s="208">
        <v>0</v>
      </c>
      <c r="EE32" s="208">
        <v>697314</v>
      </c>
      <c r="EF32" s="208">
        <v>69731364</v>
      </c>
      <c r="EG32" s="208">
        <v>0</v>
      </c>
      <c r="EH32" s="208">
        <v>79135900</v>
      </c>
      <c r="EI32" s="208">
        <v>0</v>
      </c>
      <c r="EJ32" s="208">
        <v>799353</v>
      </c>
      <c r="EK32" s="208">
        <v>79935253</v>
      </c>
      <c r="EL32" s="208">
        <v>0</v>
      </c>
      <c r="EM32" s="208">
        <v>10101850</v>
      </c>
      <c r="EN32" s="208">
        <v>0</v>
      </c>
      <c r="EO32" s="208">
        <v>102039</v>
      </c>
      <c r="EP32" s="208">
        <v>10203889</v>
      </c>
      <c r="EQ32" s="208">
        <v>-5581404</v>
      </c>
      <c r="ER32" s="208">
        <v>4632075</v>
      </c>
      <c r="ES32" s="208">
        <v>0</v>
      </c>
      <c r="ET32" s="208">
        <v>-9590</v>
      </c>
      <c r="EU32" s="208">
        <v>-958919</v>
      </c>
      <c r="EV32" s="666">
        <v>0</v>
      </c>
      <c r="EW32" s="666">
        <v>0.99</v>
      </c>
      <c r="EX32" s="666">
        <v>0</v>
      </c>
      <c r="EY32" s="666">
        <v>0.01</v>
      </c>
      <c r="EZ32" s="666">
        <v>1</v>
      </c>
      <c r="FA32" s="187" t="s">
        <v>742</v>
      </c>
      <c r="FC32" s="187">
        <v>0</v>
      </c>
    </row>
    <row r="33" spans="1:159" s="187" customFormat="1" x14ac:dyDescent="0.2">
      <c r="B33" s="429" t="s">
        <v>145</v>
      </c>
      <c r="C33" s="429" t="s">
        <v>144</v>
      </c>
      <c r="D33" s="208">
        <v>0</v>
      </c>
      <c r="E33" s="208">
        <v>129612248</v>
      </c>
      <c r="F33" s="208">
        <v>0</v>
      </c>
      <c r="G33" s="208">
        <v>1309215</v>
      </c>
      <c r="H33" s="208">
        <v>130921463</v>
      </c>
      <c r="I33" s="208">
        <v>0</v>
      </c>
      <c r="J33" s="208">
        <v>0</v>
      </c>
      <c r="K33" s="208">
        <v>0</v>
      </c>
      <c r="L33" s="208">
        <v>728336</v>
      </c>
      <c r="M33" s="208">
        <v>728336</v>
      </c>
      <c r="N33" s="208">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20943138</v>
      </c>
      <c r="AH33" s="208">
        <v>0</v>
      </c>
      <c r="AI33" s="208">
        <v>211545</v>
      </c>
      <c r="AJ33" s="208">
        <v>21154683</v>
      </c>
      <c r="AK33" s="208">
        <v>0</v>
      </c>
      <c r="AL33" s="208">
        <v>7180351</v>
      </c>
      <c r="AM33" s="208">
        <v>0</v>
      </c>
      <c r="AN33" s="208">
        <v>72529</v>
      </c>
      <c r="AO33" s="208">
        <v>7252880</v>
      </c>
      <c r="AP33" s="208">
        <v>0</v>
      </c>
      <c r="AQ33" s="208">
        <v>-1184559</v>
      </c>
      <c r="AR33" s="208">
        <v>0</v>
      </c>
      <c r="AS33" s="208">
        <v>-11965</v>
      </c>
      <c r="AT33" s="208">
        <v>-1196524</v>
      </c>
      <c r="AU33" s="208">
        <v>0</v>
      </c>
      <c r="AV33" s="208">
        <v>-3873491</v>
      </c>
      <c r="AW33" s="208">
        <v>0</v>
      </c>
      <c r="AX33" s="208">
        <v>-39126</v>
      </c>
      <c r="AY33" s="208">
        <v>-3912617</v>
      </c>
      <c r="AZ33" s="208">
        <v>-0.14999999990686774</v>
      </c>
      <c r="BA33" s="208">
        <v>2272797</v>
      </c>
      <c r="BB33" s="208">
        <v>0</v>
      </c>
      <c r="BC33" s="208">
        <v>22958</v>
      </c>
      <c r="BD33" s="208">
        <v>2295754.85</v>
      </c>
      <c r="BE33" s="208">
        <v>0</v>
      </c>
      <c r="BF33" s="208">
        <v>-734585</v>
      </c>
      <c r="BG33" s="208">
        <v>0</v>
      </c>
      <c r="BH33" s="208">
        <v>-7420</v>
      </c>
      <c r="BI33" s="208">
        <v>-742005</v>
      </c>
      <c r="BJ33" s="208">
        <v>-0.14999999990686774</v>
      </c>
      <c r="BK33" s="208">
        <v>-2335279</v>
      </c>
      <c r="BL33" s="208">
        <v>0</v>
      </c>
      <c r="BM33" s="208">
        <v>-23588</v>
      </c>
      <c r="BN33" s="208">
        <v>-2358867.15</v>
      </c>
      <c r="BO33" s="208">
        <v>0</v>
      </c>
      <c r="BP33" s="208">
        <v>-15113056</v>
      </c>
      <c r="BQ33" s="208">
        <v>0</v>
      </c>
      <c r="BR33" s="208">
        <v>-152657</v>
      </c>
      <c r="BS33" s="208">
        <v>-15265713</v>
      </c>
      <c r="BT33" s="208">
        <v>0</v>
      </c>
      <c r="BU33" s="208">
        <v>-8183056</v>
      </c>
      <c r="BV33" s="208">
        <v>0</v>
      </c>
      <c r="BW33" s="208">
        <v>-82657</v>
      </c>
      <c r="BX33" s="208">
        <v>-8265713</v>
      </c>
      <c r="BY33" s="208">
        <v>0</v>
      </c>
      <c r="BZ33" s="208">
        <v>-6930000</v>
      </c>
      <c r="CA33" s="208">
        <v>0</v>
      </c>
      <c r="CB33" s="208">
        <v>-70000</v>
      </c>
      <c r="CC33" s="208">
        <v>-7000000</v>
      </c>
      <c r="CD33" s="208">
        <v>0</v>
      </c>
      <c r="CE33" s="208">
        <v>1800572</v>
      </c>
      <c r="CF33" s="208">
        <v>0</v>
      </c>
      <c r="CG33" s="208">
        <v>18188</v>
      </c>
      <c r="CH33" s="208">
        <v>1818760</v>
      </c>
      <c r="CI33" s="208">
        <v>0</v>
      </c>
      <c r="CJ33" s="208">
        <v>1308194</v>
      </c>
      <c r="CK33" s="208">
        <v>0</v>
      </c>
      <c r="CL33" s="208">
        <v>13214</v>
      </c>
      <c r="CM33" s="208">
        <v>1321408</v>
      </c>
      <c r="CN33" s="208">
        <v>0</v>
      </c>
      <c r="CO33" s="208">
        <v>-1485000</v>
      </c>
      <c r="CP33" s="208">
        <v>0</v>
      </c>
      <c r="CQ33" s="208">
        <v>-15000</v>
      </c>
      <c r="CR33" s="208">
        <v>-1500000</v>
      </c>
      <c r="CS33" s="208">
        <v>0</v>
      </c>
      <c r="CT33" s="208">
        <v>-6878922</v>
      </c>
      <c r="CU33" s="208">
        <v>0</v>
      </c>
      <c r="CV33" s="208">
        <v>-69484</v>
      </c>
      <c r="CW33" s="208">
        <v>-6948406</v>
      </c>
      <c r="CX33" s="208">
        <v>0</v>
      </c>
      <c r="CY33" s="208">
        <v>-20368212</v>
      </c>
      <c r="CZ33" s="208">
        <v>0</v>
      </c>
      <c r="DA33" s="208">
        <v>-205739</v>
      </c>
      <c r="DB33" s="208">
        <v>-20573951</v>
      </c>
      <c r="DC33" s="208">
        <v>0</v>
      </c>
      <c r="DD33" s="208">
        <v>-7867484</v>
      </c>
      <c r="DE33" s="208">
        <v>0</v>
      </c>
      <c r="DF33" s="208">
        <v>-79469</v>
      </c>
      <c r="DG33" s="208">
        <v>-7946953</v>
      </c>
      <c r="DH33" s="208">
        <v>0</v>
      </c>
      <c r="DI33" s="208">
        <v>-12500728</v>
      </c>
      <c r="DJ33" s="208">
        <v>0</v>
      </c>
      <c r="DK33" s="208">
        <v>-126270</v>
      </c>
      <c r="DL33" s="208">
        <v>-12626998</v>
      </c>
      <c r="DM33" s="208">
        <v>-1867629</v>
      </c>
      <c r="DN33" s="208">
        <v>-1830277</v>
      </c>
      <c r="DO33" s="208">
        <v>0</v>
      </c>
      <c r="DP33" s="208">
        <v>-37352</v>
      </c>
      <c r="DQ33" s="208">
        <v>-3735258</v>
      </c>
      <c r="DR33" s="208">
        <v>-691487</v>
      </c>
      <c r="DS33" s="208">
        <v>-677658</v>
      </c>
      <c r="DT33" s="208">
        <v>0</v>
      </c>
      <c r="DU33" s="208">
        <v>-13830</v>
      </c>
      <c r="DV33" s="208">
        <v>-1382975</v>
      </c>
      <c r="DW33" s="208">
        <v>-1176142</v>
      </c>
      <c r="DX33" s="208">
        <v>-1152619</v>
      </c>
      <c r="DY33" s="208">
        <v>0</v>
      </c>
      <c r="DZ33" s="208">
        <v>-23522</v>
      </c>
      <c r="EA33" s="208">
        <v>-2352283</v>
      </c>
      <c r="EB33" s="208">
        <v>0</v>
      </c>
      <c r="EC33" s="208">
        <v>127370939</v>
      </c>
      <c r="ED33" s="208">
        <v>0</v>
      </c>
      <c r="EE33" s="208">
        <v>1286575</v>
      </c>
      <c r="EF33" s="208">
        <v>128657514</v>
      </c>
      <c r="EG33" s="208">
        <v>0</v>
      </c>
      <c r="EH33" s="208">
        <v>129612248</v>
      </c>
      <c r="EI33" s="208">
        <v>0</v>
      </c>
      <c r="EJ33" s="208">
        <v>1309215</v>
      </c>
      <c r="EK33" s="208">
        <v>130921463</v>
      </c>
      <c r="EL33" s="208">
        <v>0</v>
      </c>
      <c r="EM33" s="208">
        <v>2241309</v>
      </c>
      <c r="EN33" s="208">
        <v>0</v>
      </c>
      <c r="EO33" s="208">
        <v>22640</v>
      </c>
      <c r="EP33" s="208">
        <v>2263949</v>
      </c>
      <c r="EQ33" s="208">
        <v>-1176142</v>
      </c>
      <c r="ER33" s="208">
        <v>1088690</v>
      </c>
      <c r="ES33" s="208">
        <v>0</v>
      </c>
      <c r="ET33" s="208">
        <v>-882</v>
      </c>
      <c r="EU33" s="208">
        <v>-88334</v>
      </c>
      <c r="EV33" s="666">
        <v>0</v>
      </c>
      <c r="EW33" s="666">
        <v>0.99</v>
      </c>
      <c r="EX33" s="666">
        <v>0</v>
      </c>
      <c r="EY33" s="666">
        <v>0.01</v>
      </c>
      <c r="EZ33" s="666">
        <v>1</v>
      </c>
      <c r="FA33" s="187" t="s">
        <v>1056</v>
      </c>
      <c r="FC33" s="187">
        <v>0</v>
      </c>
    </row>
    <row r="34" spans="1:159" s="187" customFormat="1" x14ac:dyDescent="0.2">
      <c r="B34" s="429" t="s">
        <v>147</v>
      </c>
      <c r="C34" s="429" t="s">
        <v>146</v>
      </c>
      <c r="D34" s="208">
        <v>21066258</v>
      </c>
      <c r="E34" s="208">
        <v>16853006</v>
      </c>
      <c r="F34" s="208">
        <v>3791926</v>
      </c>
      <c r="G34" s="208">
        <v>421325</v>
      </c>
      <c r="H34" s="208">
        <v>42132515</v>
      </c>
      <c r="I34" s="208">
        <v>0</v>
      </c>
      <c r="J34" s="208">
        <v>0</v>
      </c>
      <c r="K34" s="208">
        <v>21066258</v>
      </c>
      <c r="L34" s="208">
        <v>192808</v>
      </c>
      <c r="M34" s="208">
        <v>192808</v>
      </c>
      <c r="N34" s="208">
        <v>0</v>
      </c>
      <c r="O34" s="208">
        <v>0</v>
      </c>
      <c r="P34" s="208">
        <v>97132</v>
      </c>
      <c r="Q34" s="208">
        <v>104696</v>
      </c>
      <c r="R34" s="208">
        <v>201828</v>
      </c>
      <c r="S34" s="208">
        <v>0</v>
      </c>
      <c r="T34" s="208">
        <v>0</v>
      </c>
      <c r="U34" s="208">
        <v>0</v>
      </c>
      <c r="V34" s="208">
        <v>0</v>
      </c>
      <c r="W34" s="208">
        <v>0</v>
      </c>
      <c r="X34" s="208">
        <v>0</v>
      </c>
      <c r="Y34" s="208">
        <v>0</v>
      </c>
      <c r="Z34" s="208">
        <v>0</v>
      </c>
      <c r="AA34" s="208">
        <v>0</v>
      </c>
      <c r="AB34" s="208">
        <v>0</v>
      </c>
      <c r="AC34" s="208">
        <v>0</v>
      </c>
      <c r="AD34" s="208">
        <v>0</v>
      </c>
      <c r="AE34" s="208">
        <v>0</v>
      </c>
      <c r="AF34" s="208">
        <v>0</v>
      </c>
      <c r="AG34" s="208">
        <v>2128404</v>
      </c>
      <c r="AH34" s="208">
        <v>480789</v>
      </c>
      <c r="AI34" s="208">
        <v>53153</v>
      </c>
      <c r="AJ34" s="208">
        <v>2662346</v>
      </c>
      <c r="AK34" s="208">
        <v>264153</v>
      </c>
      <c r="AL34" s="208">
        <v>211322</v>
      </c>
      <c r="AM34" s="208">
        <v>47547</v>
      </c>
      <c r="AN34" s="208">
        <v>5283</v>
      </c>
      <c r="AO34" s="208">
        <v>528305</v>
      </c>
      <c r="AP34" s="208">
        <v>-187272</v>
      </c>
      <c r="AQ34" s="208">
        <v>-149818</v>
      </c>
      <c r="AR34" s="208">
        <v>-33709</v>
      </c>
      <c r="AS34" s="208">
        <v>-3745</v>
      </c>
      <c r="AT34" s="208">
        <v>-374544</v>
      </c>
      <c r="AU34" s="208">
        <v>-89259</v>
      </c>
      <c r="AV34" s="208">
        <v>-71406</v>
      </c>
      <c r="AW34" s="208">
        <v>-16066</v>
      </c>
      <c r="AX34" s="208">
        <v>-1785</v>
      </c>
      <c r="AY34" s="208">
        <v>-178516</v>
      </c>
      <c r="AZ34" s="208">
        <v>122759</v>
      </c>
      <c r="BA34" s="208">
        <v>98207</v>
      </c>
      <c r="BB34" s="208">
        <v>22097</v>
      </c>
      <c r="BC34" s="208">
        <v>2455</v>
      </c>
      <c r="BD34" s="208">
        <v>245518</v>
      </c>
      <c r="BE34" s="208">
        <v>-80830</v>
      </c>
      <c r="BF34" s="208">
        <v>-64665</v>
      </c>
      <c r="BG34" s="208">
        <v>-14550</v>
      </c>
      <c r="BH34" s="208">
        <v>-1617</v>
      </c>
      <c r="BI34" s="208">
        <v>-161662</v>
      </c>
      <c r="BJ34" s="208">
        <v>-47330</v>
      </c>
      <c r="BK34" s="208">
        <v>-37864</v>
      </c>
      <c r="BL34" s="208">
        <v>-8519</v>
      </c>
      <c r="BM34" s="208">
        <v>-947</v>
      </c>
      <c r="BN34" s="208">
        <v>-94660</v>
      </c>
      <c r="BO34" s="208">
        <v>-1347790</v>
      </c>
      <c r="BP34" s="208">
        <v>-1078232</v>
      </c>
      <c r="BQ34" s="208">
        <v>-242602</v>
      </c>
      <c r="BR34" s="208">
        <v>-26956</v>
      </c>
      <c r="BS34" s="208">
        <v>-2695580</v>
      </c>
      <c r="BT34" s="208">
        <v>0</v>
      </c>
      <c r="BU34" s="208">
        <v>0</v>
      </c>
      <c r="BV34" s="208">
        <v>0</v>
      </c>
      <c r="BW34" s="208">
        <v>0</v>
      </c>
      <c r="BX34" s="208">
        <v>0</v>
      </c>
      <c r="BY34" s="208">
        <v>-1347790</v>
      </c>
      <c r="BZ34" s="208">
        <v>-1078232</v>
      </c>
      <c r="CA34" s="208">
        <v>-242602</v>
      </c>
      <c r="CB34" s="208">
        <v>-26956</v>
      </c>
      <c r="CC34" s="208">
        <v>-2695580</v>
      </c>
      <c r="CD34" s="208">
        <v>126444</v>
      </c>
      <c r="CE34" s="208">
        <v>101155</v>
      </c>
      <c r="CF34" s="208">
        <v>22760</v>
      </c>
      <c r="CG34" s="208">
        <v>2529</v>
      </c>
      <c r="CH34" s="208">
        <v>252888</v>
      </c>
      <c r="CI34" s="208">
        <v>0</v>
      </c>
      <c r="CJ34" s="208">
        <v>0</v>
      </c>
      <c r="CK34" s="208">
        <v>0</v>
      </c>
      <c r="CL34" s="208">
        <v>0</v>
      </c>
      <c r="CM34" s="208">
        <v>0</v>
      </c>
      <c r="CN34" s="208">
        <v>297316</v>
      </c>
      <c r="CO34" s="208">
        <v>237853</v>
      </c>
      <c r="CP34" s="208">
        <v>53517</v>
      </c>
      <c r="CQ34" s="208">
        <v>5946</v>
      </c>
      <c r="CR34" s="208">
        <v>594632</v>
      </c>
      <c r="CS34" s="208">
        <v>-620929</v>
      </c>
      <c r="CT34" s="208">
        <v>-496743</v>
      </c>
      <c r="CU34" s="208">
        <v>-111767</v>
      </c>
      <c r="CV34" s="208">
        <v>-12419</v>
      </c>
      <c r="CW34" s="208">
        <v>-1241858</v>
      </c>
      <c r="CX34" s="208">
        <v>-1544959</v>
      </c>
      <c r="CY34" s="208">
        <v>-1235967</v>
      </c>
      <c r="CZ34" s="208">
        <v>-278092</v>
      </c>
      <c r="DA34" s="208">
        <v>-30900</v>
      </c>
      <c r="DB34" s="208">
        <v>-3089918</v>
      </c>
      <c r="DC34" s="208">
        <v>423760</v>
      </c>
      <c r="DD34" s="208">
        <v>339008</v>
      </c>
      <c r="DE34" s="208">
        <v>76277</v>
      </c>
      <c r="DF34" s="208">
        <v>8475</v>
      </c>
      <c r="DG34" s="208">
        <v>847520</v>
      </c>
      <c r="DH34" s="208">
        <v>-1968719</v>
      </c>
      <c r="DI34" s="208">
        <v>-1574975</v>
      </c>
      <c r="DJ34" s="208">
        <v>-354369</v>
      </c>
      <c r="DK34" s="208">
        <v>-39375</v>
      </c>
      <c r="DL34" s="208">
        <v>-3937438</v>
      </c>
      <c r="DM34" s="208">
        <v>1199807</v>
      </c>
      <c r="DN34" s="208">
        <v>959843</v>
      </c>
      <c r="DO34" s="208">
        <v>215965</v>
      </c>
      <c r="DP34" s="208">
        <v>23995</v>
      </c>
      <c r="DQ34" s="208">
        <v>2399610</v>
      </c>
      <c r="DR34" s="208">
        <v>907088</v>
      </c>
      <c r="DS34" s="208">
        <v>725670</v>
      </c>
      <c r="DT34" s="208">
        <v>163276</v>
      </c>
      <c r="DU34" s="208">
        <v>18142</v>
      </c>
      <c r="DV34" s="208">
        <v>1814176</v>
      </c>
      <c r="DW34" s="208">
        <v>292719</v>
      </c>
      <c r="DX34" s="208">
        <v>234173</v>
      </c>
      <c r="DY34" s="208">
        <v>52689</v>
      </c>
      <c r="DZ34" s="208">
        <v>5853</v>
      </c>
      <c r="EA34" s="208">
        <v>585434</v>
      </c>
      <c r="EB34" s="208">
        <v>20946064</v>
      </c>
      <c r="EC34" s="208">
        <v>16756852</v>
      </c>
      <c r="ED34" s="208">
        <v>3770292</v>
      </c>
      <c r="EE34" s="208">
        <v>418921</v>
      </c>
      <c r="EF34" s="208">
        <v>41892129</v>
      </c>
      <c r="EG34" s="208">
        <v>21066258</v>
      </c>
      <c r="EH34" s="208">
        <v>16853006</v>
      </c>
      <c r="EI34" s="208">
        <v>3791926</v>
      </c>
      <c r="EJ34" s="208">
        <v>421325</v>
      </c>
      <c r="EK34" s="208">
        <v>42132515</v>
      </c>
      <c r="EL34" s="208">
        <v>120194</v>
      </c>
      <c r="EM34" s="208">
        <v>96154</v>
      </c>
      <c r="EN34" s="208">
        <v>21634</v>
      </c>
      <c r="EO34" s="208">
        <v>2404</v>
      </c>
      <c r="EP34" s="208">
        <v>240386</v>
      </c>
      <c r="EQ34" s="208">
        <v>412913</v>
      </c>
      <c r="ER34" s="208">
        <v>330327</v>
      </c>
      <c r="ES34" s="208">
        <v>74323</v>
      </c>
      <c r="ET34" s="208">
        <v>8257</v>
      </c>
      <c r="EU34" s="208">
        <v>825820</v>
      </c>
      <c r="EV34" s="666">
        <v>0.5</v>
      </c>
      <c r="EW34" s="666">
        <v>0.4</v>
      </c>
      <c r="EX34" s="666">
        <v>0.09</v>
      </c>
      <c r="EY34" s="666">
        <v>0.01</v>
      </c>
      <c r="EZ34" s="666">
        <v>1</v>
      </c>
      <c r="FA34" s="187" t="s">
        <v>1054</v>
      </c>
      <c r="FC34" s="187">
        <v>0</v>
      </c>
    </row>
    <row r="35" spans="1:159" s="187" customFormat="1" x14ac:dyDescent="0.2">
      <c r="B35" s="429" t="s">
        <v>149</v>
      </c>
      <c r="C35" s="429" t="s">
        <v>148</v>
      </c>
      <c r="D35" s="208">
        <v>14738594</v>
      </c>
      <c r="E35" s="208">
        <v>11790876</v>
      </c>
      <c r="F35" s="208">
        <v>2947719</v>
      </c>
      <c r="G35" s="208">
        <v>0</v>
      </c>
      <c r="H35" s="208">
        <v>29477189</v>
      </c>
      <c r="I35" s="208">
        <v>0</v>
      </c>
      <c r="J35" s="208">
        <v>0</v>
      </c>
      <c r="K35" s="208">
        <v>14738594</v>
      </c>
      <c r="L35" s="208">
        <v>163384</v>
      </c>
      <c r="M35" s="208">
        <v>163384</v>
      </c>
      <c r="N35" s="208">
        <v>0</v>
      </c>
      <c r="O35" s="208">
        <v>0</v>
      </c>
      <c r="P35" s="208">
        <v>2385940</v>
      </c>
      <c r="Q35" s="208">
        <v>0</v>
      </c>
      <c r="R35" s="208">
        <v>2385940</v>
      </c>
      <c r="S35" s="208">
        <v>0</v>
      </c>
      <c r="T35" s="208">
        <v>0</v>
      </c>
      <c r="U35" s="208">
        <v>0</v>
      </c>
      <c r="V35" s="208">
        <v>0</v>
      </c>
      <c r="W35" s="208">
        <v>0</v>
      </c>
      <c r="X35" s="208">
        <v>0</v>
      </c>
      <c r="Y35" s="208">
        <v>0</v>
      </c>
      <c r="Z35" s="208">
        <v>0</v>
      </c>
      <c r="AA35" s="208">
        <v>0</v>
      </c>
      <c r="AB35" s="208">
        <v>0</v>
      </c>
      <c r="AC35" s="208">
        <v>0</v>
      </c>
      <c r="AD35" s="208">
        <v>0</v>
      </c>
      <c r="AE35" s="208">
        <v>0</v>
      </c>
      <c r="AF35" s="208">
        <v>0</v>
      </c>
      <c r="AG35" s="208">
        <v>1889703</v>
      </c>
      <c r="AH35" s="208">
        <v>458757</v>
      </c>
      <c r="AI35" s="208">
        <v>0</v>
      </c>
      <c r="AJ35" s="208">
        <v>2348460</v>
      </c>
      <c r="AK35" s="208">
        <v>1092431</v>
      </c>
      <c r="AL35" s="208">
        <v>873945</v>
      </c>
      <c r="AM35" s="208">
        <v>218486</v>
      </c>
      <c r="AN35" s="208">
        <v>0</v>
      </c>
      <c r="AO35" s="208">
        <v>2184862</v>
      </c>
      <c r="AP35" s="208">
        <v>-427714</v>
      </c>
      <c r="AQ35" s="208">
        <v>-342172</v>
      </c>
      <c r="AR35" s="208">
        <v>-85543</v>
      </c>
      <c r="AS35" s="208">
        <v>0</v>
      </c>
      <c r="AT35" s="208">
        <v>-855429</v>
      </c>
      <c r="AU35" s="208">
        <v>-265461.54000000004</v>
      </c>
      <c r="AV35" s="208">
        <v>-212369</v>
      </c>
      <c r="AW35" s="208">
        <v>-53092</v>
      </c>
      <c r="AX35" s="208">
        <v>0</v>
      </c>
      <c r="AY35" s="208">
        <v>-530922.54</v>
      </c>
      <c r="AZ35" s="208">
        <v>63732</v>
      </c>
      <c r="BA35" s="208">
        <v>50986</v>
      </c>
      <c r="BB35" s="208">
        <v>12746</v>
      </c>
      <c r="BC35" s="208">
        <v>0</v>
      </c>
      <c r="BD35" s="208">
        <v>127464</v>
      </c>
      <c r="BE35" s="208">
        <v>-152001</v>
      </c>
      <c r="BF35" s="208">
        <v>-121600</v>
      </c>
      <c r="BG35" s="208">
        <v>-30400</v>
      </c>
      <c r="BH35" s="208">
        <v>0</v>
      </c>
      <c r="BI35" s="208">
        <v>-304001</v>
      </c>
      <c r="BJ35" s="208">
        <v>-353730.54000000004</v>
      </c>
      <c r="BK35" s="208">
        <v>-282983</v>
      </c>
      <c r="BL35" s="208">
        <v>-70746</v>
      </c>
      <c r="BM35" s="208">
        <v>0</v>
      </c>
      <c r="BN35" s="208">
        <v>-707459.54</v>
      </c>
      <c r="BO35" s="208">
        <v>-777393</v>
      </c>
      <c r="BP35" s="208">
        <v>-621915</v>
      </c>
      <c r="BQ35" s="208">
        <v>-155479</v>
      </c>
      <c r="BR35" s="208">
        <v>0</v>
      </c>
      <c r="BS35" s="208">
        <v>-1554787</v>
      </c>
      <c r="BT35" s="208">
        <v>-478847</v>
      </c>
      <c r="BU35" s="208">
        <v>-383078</v>
      </c>
      <c r="BV35" s="208">
        <v>-95770</v>
      </c>
      <c r="BW35" s="208">
        <v>0</v>
      </c>
      <c r="BX35" s="208">
        <v>-957695</v>
      </c>
      <c r="BY35" s="208">
        <v>-298546</v>
      </c>
      <c r="BZ35" s="208">
        <v>-238837</v>
      </c>
      <c r="CA35" s="208">
        <v>-59709</v>
      </c>
      <c r="CB35" s="208">
        <v>0</v>
      </c>
      <c r="CC35" s="208">
        <v>-597092</v>
      </c>
      <c r="CD35" s="208">
        <v>228560</v>
      </c>
      <c r="CE35" s="208">
        <v>182848</v>
      </c>
      <c r="CF35" s="208">
        <v>45712</v>
      </c>
      <c r="CG35" s="208">
        <v>0</v>
      </c>
      <c r="CH35" s="208">
        <v>457120</v>
      </c>
      <c r="CI35" s="208">
        <v>4730</v>
      </c>
      <c r="CJ35" s="208">
        <v>3784</v>
      </c>
      <c r="CK35" s="208">
        <v>946</v>
      </c>
      <c r="CL35" s="208">
        <v>0</v>
      </c>
      <c r="CM35" s="208">
        <v>9460</v>
      </c>
      <c r="CN35" s="208">
        <v>-539172</v>
      </c>
      <c r="CO35" s="208">
        <v>-431338</v>
      </c>
      <c r="CP35" s="208">
        <v>-107834</v>
      </c>
      <c r="CQ35" s="208">
        <v>0</v>
      </c>
      <c r="CR35" s="208">
        <v>-1078344</v>
      </c>
      <c r="CS35" s="208">
        <v>-1263609</v>
      </c>
      <c r="CT35" s="208">
        <v>-1010888</v>
      </c>
      <c r="CU35" s="208">
        <v>-252722</v>
      </c>
      <c r="CV35" s="208">
        <v>0</v>
      </c>
      <c r="CW35" s="208">
        <v>-2527219</v>
      </c>
      <c r="CX35" s="208">
        <v>-2346884</v>
      </c>
      <c r="CY35" s="208">
        <v>-1877509</v>
      </c>
      <c r="CZ35" s="208">
        <v>-469377</v>
      </c>
      <c r="DA35" s="208">
        <v>0</v>
      </c>
      <c r="DB35" s="208">
        <v>-4693770</v>
      </c>
      <c r="DC35" s="208">
        <v>-789459</v>
      </c>
      <c r="DD35" s="208">
        <v>-631568</v>
      </c>
      <c r="DE35" s="208">
        <v>-157892</v>
      </c>
      <c r="DF35" s="208">
        <v>0</v>
      </c>
      <c r="DG35" s="208">
        <v>-1578919</v>
      </c>
      <c r="DH35" s="208">
        <v>-1557425</v>
      </c>
      <c r="DI35" s="208">
        <v>-1245941</v>
      </c>
      <c r="DJ35" s="208">
        <v>-311485</v>
      </c>
      <c r="DK35" s="208">
        <v>0</v>
      </c>
      <c r="DL35" s="208">
        <v>-3114851</v>
      </c>
      <c r="DM35" s="208">
        <v>364436</v>
      </c>
      <c r="DN35" s="208">
        <v>291547</v>
      </c>
      <c r="DO35" s="208">
        <v>72886</v>
      </c>
      <c r="DP35" s="208">
        <v>0</v>
      </c>
      <c r="DQ35" s="208">
        <v>728869</v>
      </c>
      <c r="DR35" s="208">
        <v>494724</v>
      </c>
      <c r="DS35" s="208">
        <v>395780</v>
      </c>
      <c r="DT35" s="208">
        <v>98945</v>
      </c>
      <c r="DU35" s="208">
        <v>0</v>
      </c>
      <c r="DV35" s="208">
        <v>989449</v>
      </c>
      <c r="DW35" s="208">
        <v>-130288</v>
      </c>
      <c r="DX35" s="208">
        <v>-104233</v>
      </c>
      <c r="DY35" s="208">
        <v>-26059</v>
      </c>
      <c r="DZ35" s="208">
        <v>0</v>
      </c>
      <c r="EA35" s="208">
        <v>-260580</v>
      </c>
      <c r="EB35" s="208">
        <v>16016563</v>
      </c>
      <c r="EC35" s="208">
        <v>12813250</v>
      </c>
      <c r="ED35" s="208">
        <v>3203313</v>
      </c>
      <c r="EE35" s="208">
        <v>0</v>
      </c>
      <c r="EF35" s="208">
        <v>32033126</v>
      </c>
      <c r="EG35" s="208">
        <v>14738594</v>
      </c>
      <c r="EH35" s="208">
        <v>11790876</v>
      </c>
      <c r="EI35" s="208">
        <v>2947719</v>
      </c>
      <c r="EJ35" s="208">
        <v>0</v>
      </c>
      <c r="EK35" s="208">
        <v>29477189</v>
      </c>
      <c r="EL35" s="208">
        <v>-1277969</v>
      </c>
      <c r="EM35" s="208">
        <v>-1022374</v>
      </c>
      <c r="EN35" s="208">
        <v>-255594</v>
      </c>
      <c r="EO35" s="208">
        <v>0</v>
      </c>
      <c r="EP35" s="208">
        <v>-2555937</v>
      </c>
      <c r="EQ35" s="208">
        <v>-1408257</v>
      </c>
      <c r="ER35" s="208">
        <v>-1126607</v>
      </c>
      <c r="ES35" s="208">
        <v>-281653</v>
      </c>
      <c r="ET35" s="208">
        <v>0</v>
      </c>
      <c r="EU35" s="208">
        <v>-2816517</v>
      </c>
      <c r="EV35" s="666">
        <v>0.5</v>
      </c>
      <c r="EW35" s="666">
        <v>0.4</v>
      </c>
      <c r="EX35" s="666">
        <v>0.1</v>
      </c>
      <c r="EY35" s="666">
        <v>0</v>
      </c>
      <c r="EZ35" s="666">
        <v>1</v>
      </c>
      <c r="FA35" s="187" t="s">
        <v>1054</v>
      </c>
      <c r="FC35" s="187">
        <v>0</v>
      </c>
    </row>
    <row r="36" spans="1:159" s="187" customFormat="1" x14ac:dyDescent="0.2">
      <c r="B36" s="429" t="s">
        <v>151</v>
      </c>
      <c r="C36" s="429" t="s">
        <v>150</v>
      </c>
      <c r="D36" s="208">
        <v>0</v>
      </c>
      <c r="E36" s="208">
        <v>85794398</v>
      </c>
      <c r="F36" s="208">
        <v>48259349</v>
      </c>
      <c r="G36" s="208">
        <v>0</v>
      </c>
      <c r="H36" s="208">
        <v>134053747</v>
      </c>
      <c r="I36" s="208">
        <v>0</v>
      </c>
      <c r="J36" s="208">
        <v>0</v>
      </c>
      <c r="K36" s="208">
        <v>0</v>
      </c>
      <c r="L36" s="208">
        <v>418540</v>
      </c>
      <c r="M36" s="208">
        <v>418540</v>
      </c>
      <c r="N36" s="208">
        <v>0</v>
      </c>
      <c r="O36" s="208">
        <v>0</v>
      </c>
      <c r="P36" s="208">
        <v>0</v>
      </c>
      <c r="Q36" s="208">
        <v>0</v>
      </c>
      <c r="R36" s="208">
        <v>0</v>
      </c>
      <c r="S36" s="208">
        <v>0</v>
      </c>
      <c r="T36" s="208">
        <v>0</v>
      </c>
      <c r="U36" s="208">
        <v>0</v>
      </c>
      <c r="V36" s="208">
        <v>0</v>
      </c>
      <c r="W36" s="208">
        <v>0</v>
      </c>
      <c r="X36" s="208">
        <v>0</v>
      </c>
      <c r="Y36" s="208">
        <v>0</v>
      </c>
      <c r="Z36" s="208">
        <v>0</v>
      </c>
      <c r="AA36" s="208">
        <v>0</v>
      </c>
      <c r="AB36" s="208">
        <v>0</v>
      </c>
      <c r="AC36" s="208">
        <v>0</v>
      </c>
      <c r="AD36" s="208">
        <v>0</v>
      </c>
      <c r="AE36" s="208">
        <v>0</v>
      </c>
      <c r="AF36" s="208">
        <v>0</v>
      </c>
      <c r="AG36" s="208">
        <v>7254311</v>
      </c>
      <c r="AH36" s="208">
        <v>4080549</v>
      </c>
      <c r="AI36" s="208">
        <v>0</v>
      </c>
      <c r="AJ36" s="208">
        <v>11334860</v>
      </c>
      <c r="AK36" s="208">
        <v>0</v>
      </c>
      <c r="AL36" s="208">
        <v>5316710</v>
      </c>
      <c r="AM36" s="208">
        <v>2990650</v>
      </c>
      <c r="AN36" s="208">
        <v>0</v>
      </c>
      <c r="AO36" s="208">
        <v>8307360</v>
      </c>
      <c r="AP36" s="208">
        <v>0</v>
      </c>
      <c r="AQ36" s="208">
        <v>-6490317</v>
      </c>
      <c r="AR36" s="208">
        <v>-3650803</v>
      </c>
      <c r="AS36" s="208">
        <v>0</v>
      </c>
      <c r="AT36" s="208">
        <v>-10141120</v>
      </c>
      <c r="AU36" s="208">
        <v>0</v>
      </c>
      <c r="AV36" s="208">
        <v>-2195260</v>
      </c>
      <c r="AW36" s="208">
        <v>-1234833</v>
      </c>
      <c r="AX36" s="208">
        <v>0</v>
      </c>
      <c r="AY36" s="208">
        <v>-3430093</v>
      </c>
      <c r="AZ36" s="208">
        <v>0</v>
      </c>
      <c r="BA36" s="208">
        <v>739231</v>
      </c>
      <c r="BB36" s="208">
        <v>415818</v>
      </c>
      <c r="BC36" s="208">
        <v>0</v>
      </c>
      <c r="BD36" s="208">
        <v>1155049</v>
      </c>
      <c r="BE36" s="208">
        <v>0</v>
      </c>
      <c r="BF36" s="208">
        <v>152808</v>
      </c>
      <c r="BG36" s="208">
        <v>85955</v>
      </c>
      <c r="BH36" s="208">
        <v>0</v>
      </c>
      <c r="BI36" s="208">
        <v>238763</v>
      </c>
      <c r="BJ36" s="208">
        <v>0</v>
      </c>
      <c r="BK36" s="208">
        <v>-1303221</v>
      </c>
      <c r="BL36" s="208">
        <v>-733060</v>
      </c>
      <c r="BM36" s="208">
        <v>0</v>
      </c>
      <c r="BN36" s="208">
        <v>-2036281</v>
      </c>
      <c r="BO36" s="208">
        <v>0</v>
      </c>
      <c r="BP36" s="208">
        <v>-12343060</v>
      </c>
      <c r="BQ36" s="208">
        <v>-6942971</v>
      </c>
      <c r="BR36" s="208">
        <v>0</v>
      </c>
      <c r="BS36" s="208">
        <v>-19286031</v>
      </c>
      <c r="BT36" s="208">
        <v>0</v>
      </c>
      <c r="BU36" s="208">
        <v>-12343060</v>
      </c>
      <c r="BV36" s="208">
        <v>-6942971</v>
      </c>
      <c r="BW36" s="208">
        <v>0</v>
      </c>
      <c r="BX36" s="208">
        <v>-19286031</v>
      </c>
      <c r="BY36" s="208">
        <v>0</v>
      </c>
      <c r="BZ36" s="208">
        <v>0</v>
      </c>
      <c r="CA36" s="208">
        <v>0</v>
      </c>
      <c r="CB36" s="208">
        <v>0</v>
      </c>
      <c r="CC36" s="208">
        <v>0</v>
      </c>
      <c r="CD36" s="208">
        <v>0</v>
      </c>
      <c r="CE36" s="208">
        <v>0</v>
      </c>
      <c r="CF36" s="208">
        <v>0</v>
      </c>
      <c r="CG36" s="208">
        <v>0</v>
      </c>
      <c r="CH36" s="208">
        <v>0</v>
      </c>
      <c r="CI36" s="208">
        <v>0</v>
      </c>
      <c r="CJ36" s="208">
        <v>0</v>
      </c>
      <c r="CK36" s="208">
        <v>0</v>
      </c>
      <c r="CL36" s="208">
        <v>0</v>
      </c>
      <c r="CM36" s="208">
        <v>0</v>
      </c>
      <c r="CN36" s="208">
        <v>0</v>
      </c>
      <c r="CO36" s="208">
        <v>4176791</v>
      </c>
      <c r="CP36" s="208">
        <v>2349445</v>
      </c>
      <c r="CQ36" s="208">
        <v>0</v>
      </c>
      <c r="CR36" s="208">
        <v>6526236</v>
      </c>
      <c r="CS36" s="208">
        <v>0</v>
      </c>
      <c r="CT36" s="208">
        <v>0</v>
      </c>
      <c r="CU36" s="208">
        <v>0</v>
      </c>
      <c r="CV36" s="208">
        <v>0</v>
      </c>
      <c r="CW36" s="208">
        <v>0</v>
      </c>
      <c r="CX36" s="208">
        <v>0</v>
      </c>
      <c r="CY36" s="208">
        <v>-8166269</v>
      </c>
      <c r="CZ36" s="208">
        <v>-4593526</v>
      </c>
      <c r="DA36" s="208">
        <v>0</v>
      </c>
      <c r="DB36" s="208">
        <v>-12759795</v>
      </c>
      <c r="DC36" s="208">
        <v>0</v>
      </c>
      <c r="DD36" s="208">
        <v>-8166269</v>
      </c>
      <c r="DE36" s="208">
        <v>-4593526</v>
      </c>
      <c r="DF36" s="208">
        <v>0</v>
      </c>
      <c r="DG36" s="208">
        <v>-12759795</v>
      </c>
      <c r="DH36" s="208">
        <v>0</v>
      </c>
      <c r="DI36" s="208">
        <v>0</v>
      </c>
      <c r="DJ36" s="208">
        <v>0</v>
      </c>
      <c r="DK36" s="208">
        <v>0</v>
      </c>
      <c r="DL36" s="208">
        <v>0</v>
      </c>
      <c r="DM36" s="208">
        <v>-1964268.5</v>
      </c>
      <c r="DN36" s="208">
        <v>-1708619.9</v>
      </c>
      <c r="DO36" s="208">
        <v>-2022512.6</v>
      </c>
      <c r="DP36" s="208">
        <v>0</v>
      </c>
      <c r="DQ36" s="208">
        <v>-5695401</v>
      </c>
      <c r="DR36" s="208">
        <v>76661</v>
      </c>
      <c r="DS36" s="208">
        <v>69692</v>
      </c>
      <c r="DT36" s="208">
        <v>85953</v>
      </c>
      <c r="DU36" s="208">
        <v>0</v>
      </c>
      <c r="DV36" s="208">
        <v>232306</v>
      </c>
      <c r="DW36" s="208">
        <v>-2040929.5</v>
      </c>
      <c r="DX36" s="208">
        <v>-1778311.9</v>
      </c>
      <c r="DY36" s="208">
        <v>-2108465.6</v>
      </c>
      <c r="DZ36" s="208">
        <v>0</v>
      </c>
      <c r="EA36" s="208">
        <v>-5927707</v>
      </c>
      <c r="EB36" s="208">
        <v>0</v>
      </c>
      <c r="EC36" s="208">
        <v>83573192</v>
      </c>
      <c r="ED36" s="208">
        <v>47009920</v>
      </c>
      <c r="EE36" s="208">
        <v>0</v>
      </c>
      <c r="EF36" s="208">
        <v>130583112</v>
      </c>
      <c r="EG36" s="208">
        <v>0</v>
      </c>
      <c r="EH36" s="208">
        <v>85794398</v>
      </c>
      <c r="EI36" s="208">
        <v>48259349</v>
      </c>
      <c r="EJ36" s="208">
        <v>0</v>
      </c>
      <c r="EK36" s="208">
        <v>134053747</v>
      </c>
      <c r="EL36" s="208">
        <v>0</v>
      </c>
      <c r="EM36" s="208">
        <v>2221206</v>
      </c>
      <c r="EN36" s="208">
        <v>1249429</v>
      </c>
      <c r="EO36" s="208">
        <v>0</v>
      </c>
      <c r="EP36" s="208">
        <v>3470635</v>
      </c>
      <c r="EQ36" s="208">
        <v>-2040929.5</v>
      </c>
      <c r="ER36" s="208">
        <v>442894.10000000009</v>
      </c>
      <c r="ES36" s="208">
        <v>-859036.60000000009</v>
      </c>
      <c r="ET36" s="208">
        <v>0</v>
      </c>
      <c r="EU36" s="208">
        <v>-2457072</v>
      </c>
      <c r="EV36" s="666">
        <v>0</v>
      </c>
      <c r="EW36" s="666">
        <v>0.64</v>
      </c>
      <c r="EX36" s="666">
        <v>0.36</v>
      </c>
      <c r="EY36" s="666">
        <v>0</v>
      </c>
      <c r="EZ36" s="666">
        <v>1</v>
      </c>
      <c r="FA36" s="187" t="s">
        <v>1055</v>
      </c>
      <c r="FC36" s="187">
        <v>0</v>
      </c>
    </row>
    <row r="37" spans="1:159" s="187" customFormat="1" x14ac:dyDescent="0.2">
      <c r="B37" s="429" t="s">
        <v>153</v>
      </c>
      <c r="C37" s="429" t="s">
        <v>152</v>
      </c>
      <c r="D37" s="208">
        <v>13886534</v>
      </c>
      <c r="E37" s="208">
        <v>11109228</v>
      </c>
      <c r="F37" s="208">
        <v>2499576</v>
      </c>
      <c r="G37" s="208">
        <v>277731</v>
      </c>
      <c r="H37" s="208">
        <v>27773069</v>
      </c>
      <c r="I37" s="208">
        <v>0</v>
      </c>
      <c r="J37" s="208">
        <v>0</v>
      </c>
      <c r="K37" s="208">
        <v>13886534</v>
      </c>
      <c r="L37" s="208">
        <v>105452</v>
      </c>
      <c r="M37" s="208">
        <v>105452</v>
      </c>
      <c r="N37" s="208">
        <v>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1136293</v>
      </c>
      <c r="AH37" s="208">
        <v>255667</v>
      </c>
      <c r="AI37" s="208">
        <v>28405</v>
      </c>
      <c r="AJ37" s="208">
        <v>1420365</v>
      </c>
      <c r="AK37" s="208">
        <v>1877012</v>
      </c>
      <c r="AL37" s="208">
        <v>1501610</v>
      </c>
      <c r="AM37" s="208">
        <v>337862</v>
      </c>
      <c r="AN37" s="208">
        <v>37540</v>
      </c>
      <c r="AO37" s="208">
        <v>3754024</v>
      </c>
      <c r="AP37" s="208">
        <v>-382261</v>
      </c>
      <c r="AQ37" s="208">
        <v>-305809</v>
      </c>
      <c r="AR37" s="208">
        <v>-68807</v>
      </c>
      <c r="AS37" s="208">
        <v>-7645</v>
      </c>
      <c r="AT37" s="208">
        <v>-764522</v>
      </c>
      <c r="AU37" s="208">
        <v>-541306</v>
      </c>
      <c r="AV37" s="208">
        <v>-433045</v>
      </c>
      <c r="AW37" s="208">
        <v>-97435</v>
      </c>
      <c r="AX37" s="208">
        <v>-10826</v>
      </c>
      <c r="AY37" s="208">
        <v>-1082612</v>
      </c>
      <c r="AZ37" s="208">
        <v>0</v>
      </c>
      <c r="BA37" s="208">
        <v>0</v>
      </c>
      <c r="BB37" s="208">
        <v>0</v>
      </c>
      <c r="BC37" s="208">
        <v>0</v>
      </c>
      <c r="BD37" s="208">
        <v>0</v>
      </c>
      <c r="BE37" s="208">
        <v>12348</v>
      </c>
      <c r="BF37" s="208">
        <v>9878</v>
      </c>
      <c r="BG37" s="208">
        <v>2223</v>
      </c>
      <c r="BH37" s="208">
        <v>247</v>
      </c>
      <c r="BI37" s="208">
        <v>24696</v>
      </c>
      <c r="BJ37" s="208">
        <v>-528958</v>
      </c>
      <c r="BK37" s="208">
        <v>-423167</v>
      </c>
      <c r="BL37" s="208">
        <v>-95212</v>
      </c>
      <c r="BM37" s="208">
        <v>-10579</v>
      </c>
      <c r="BN37" s="208">
        <v>-1057916</v>
      </c>
      <c r="BO37" s="208">
        <v>-1701579</v>
      </c>
      <c r="BP37" s="208">
        <v>-1361263</v>
      </c>
      <c r="BQ37" s="208">
        <v>-306284</v>
      </c>
      <c r="BR37" s="208">
        <v>-34032</v>
      </c>
      <c r="BS37" s="208">
        <v>-3403158</v>
      </c>
      <c r="BT37" s="208">
        <v>-1201579</v>
      </c>
      <c r="BU37" s="208">
        <v>-961263</v>
      </c>
      <c r="BV37" s="208">
        <v>-216284</v>
      </c>
      <c r="BW37" s="208">
        <v>-24032</v>
      </c>
      <c r="BX37" s="208">
        <v>-2403158</v>
      </c>
      <c r="BY37" s="208">
        <v>-500000</v>
      </c>
      <c r="BZ37" s="208">
        <v>-400000</v>
      </c>
      <c r="CA37" s="208">
        <v>-90000</v>
      </c>
      <c r="CB37" s="208">
        <v>-10000</v>
      </c>
      <c r="CC37" s="208">
        <v>-1000000</v>
      </c>
      <c r="CD37" s="208">
        <v>751291</v>
      </c>
      <c r="CE37" s="208">
        <v>601033</v>
      </c>
      <c r="CF37" s="208">
        <v>135232</v>
      </c>
      <c r="CG37" s="208">
        <v>15026</v>
      </c>
      <c r="CH37" s="208">
        <v>1502582</v>
      </c>
      <c r="CI37" s="208">
        <v>0</v>
      </c>
      <c r="CJ37" s="208">
        <v>0</v>
      </c>
      <c r="CK37" s="208">
        <v>0</v>
      </c>
      <c r="CL37" s="208">
        <v>0</v>
      </c>
      <c r="CM37" s="208">
        <v>0</v>
      </c>
      <c r="CN37" s="208">
        <v>-142500</v>
      </c>
      <c r="CO37" s="208">
        <v>-114000</v>
      </c>
      <c r="CP37" s="208">
        <v>-25650</v>
      </c>
      <c r="CQ37" s="208">
        <v>-2850</v>
      </c>
      <c r="CR37" s="208">
        <v>-285000</v>
      </c>
      <c r="CS37" s="208">
        <v>-282500</v>
      </c>
      <c r="CT37" s="208">
        <v>-226000</v>
      </c>
      <c r="CU37" s="208">
        <v>-50850</v>
      </c>
      <c r="CV37" s="208">
        <v>-5650</v>
      </c>
      <c r="CW37" s="208">
        <v>-565000</v>
      </c>
      <c r="CX37" s="208">
        <v>-1375288</v>
      </c>
      <c r="CY37" s="208">
        <v>-1100230</v>
      </c>
      <c r="CZ37" s="208">
        <v>-247552</v>
      </c>
      <c r="DA37" s="208">
        <v>-27506</v>
      </c>
      <c r="DB37" s="208">
        <v>-2750576</v>
      </c>
      <c r="DC37" s="208">
        <v>-592788</v>
      </c>
      <c r="DD37" s="208">
        <v>-474230</v>
      </c>
      <c r="DE37" s="208">
        <v>-106702</v>
      </c>
      <c r="DF37" s="208">
        <v>-11856</v>
      </c>
      <c r="DG37" s="208">
        <v>-1185576</v>
      </c>
      <c r="DH37" s="208">
        <v>-782500</v>
      </c>
      <c r="DI37" s="208">
        <v>-626000</v>
      </c>
      <c r="DJ37" s="208">
        <v>-140850</v>
      </c>
      <c r="DK37" s="208">
        <v>-15650</v>
      </c>
      <c r="DL37" s="208">
        <v>-1565000</v>
      </c>
      <c r="DM37" s="208">
        <v>-454197</v>
      </c>
      <c r="DN37" s="208">
        <v>-363357.80000000005</v>
      </c>
      <c r="DO37" s="208">
        <v>-81755.179999999993</v>
      </c>
      <c r="DP37" s="208">
        <v>-9084.02</v>
      </c>
      <c r="DQ37" s="208">
        <v>-908394</v>
      </c>
      <c r="DR37" s="208">
        <v>-375000</v>
      </c>
      <c r="DS37" s="208">
        <v>-300000</v>
      </c>
      <c r="DT37" s="208">
        <v>-67500</v>
      </c>
      <c r="DU37" s="208">
        <v>-7500</v>
      </c>
      <c r="DV37" s="208">
        <v>-750000</v>
      </c>
      <c r="DW37" s="208">
        <v>-79197</v>
      </c>
      <c r="DX37" s="208">
        <v>-63357.800000000047</v>
      </c>
      <c r="DY37" s="208">
        <v>-14255.179999999993</v>
      </c>
      <c r="DZ37" s="208">
        <v>-1584.0200000000004</v>
      </c>
      <c r="EA37" s="208">
        <v>-158394</v>
      </c>
      <c r="EB37" s="208">
        <v>14323731</v>
      </c>
      <c r="EC37" s="208">
        <v>11458984</v>
      </c>
      <c r="ED37" s="208">
        <v>2578271</v>
      </c>
      <c r="EE37" s="208">
        <v>286475</v>
      </c>
      <c r="EF37" s="208">
        <v>28647461</v>
      </c>
      <c r="EG37" s="208">
        <v>13886534</v>
      </c>
      <c r="EH37" s="208">
        <v>11109228</v>
      </c>
      <c r="EI37" s="208">
        <v>2499576</v>
      </c>
      <c r="EJ37" s="208">
        <v>277731</v>
      </c>
      <c r="EK37" s="208">
        <v>27773069</v>
      </c>
      <c r="EL37" s="208">
        <v>-437197</v>
      </c>
      <c r="EM37" s="208">
        <v>-349756</v>
      </c>
      <c r="EN37" s="208">
        <v>-78695</v>
      </c>
      <c r="EO37" s="208">
        <v>-8744</v>
      </c>
      <c r="EP37" s="208">
        <v>-874392</v>
      </c>
      <c r="EQ37" s="208">
        <v>-516394</v>
      </c>
      <c r="ER37" s="208">
        <v>-413113.80000000005</v>
      </c>
      <c r="ES37" s="208">
        <v>-92950.18</v>
      </c>
      <c r="ET37" s="208">
        <v>-10328.02</v>
      </c>
      <c r="EU37" s="208">
        <v>-1032786</v>
      </c>
      <c r="EV37" s="666">
        <v>0.5</v>
      </c>
      <c r="EW37" s="666">
        <v>0.4</v>
      </c>
      <c r="EX37" s="666">
        <v>0.09</v>
      </c>
      <c r="EY37" s="666">
        <v>0.01</v>
      </c>
      <c r="EZ37" s="666">
        <v>1</v>
      </c>
      <c r="FA37" s="187" t="s">
        <v>1054</v>
      </c>
      <c r="FC37" s="187">
        <v>0</v>
      </c>
    </row>
    <row r="38" spans="1:159" s="187" customFormat="1" x14ac:dyDescent="0.2">
      <c r="B38" s="429" t="s">
        <v>155</v>
      </c>
      <c r="C38" s="429" t="s">
        <v>154</v>
      </c>
      <c r="D38" s="208">
        <v>56500444</v>
      </c>
      <c r="E38" s="208">
        <v>55370435</v>
      </c>
      <c r="F38" s="208">
        <v>0</v>
      </c>
      <c r="G38" s="208">
        <v>1130009</v>
      </c>
      <c r="H38" s="208">
        <v>113000888</v>
      </c>
      <c r="I38" s="208">
        <v>0</v>
      </c>
      <c r="J38" s="208">
        <v>0</v>
      </c>
      <c r="K38" s="208">
        <v>56500444</v>
      </c>
      <c r="L38" s="208">
        <v>442154</v>
      </c>
      <c r="M38" s="208">
        <v>442154</v>
      </c>
      <c r="N38" s="208">
        <v>0</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6178360</v>
      </c>
      <c r="AH38" s="208">
        <v>0</v>
      </c>
      <c r="AI38" s="208">
        <v>126090</v>
      </c>
      <c r="AJ38" s="208">
        <v>6304450</v>
      </c>
      <c r="AK38" s="208">
        <v>3192691</v>
      </c>
      <c r="AL38" s="208">
        <v>3128837</v>
      </c>
      <c r="AM38" s="208">
        <v>0</v>
      </c>
      <c r="AN38" s="208">
        <v>63854</v>
      </c>
      <c r="AO38" s="208">
        <v>6385382</v>
      </c>
      <c r="AP38" s="208">
        <v>-2027936</v>
      </c>
      <c r="AQ38" s="208">
        <v>-1987378</v>
      </c>
      <c r="AR38" s="208">
        <v>0</v>
      </c>
      <c r="AS38" s="208">
        <v>-40559</v>
      </c>
      <c r="AT38" s="208">
        <v>-4055873</v>
      </c>
      <c r="AU38" s="208">
        <v>-1119421</v>
      </c>
      <c r="AV38" s="208">
        <v>-1097032</v>
      </c>
      <c r="AW38" s="208">
        <v>0</v>
      </c>
      <c r="AX38" s="208">
        <v>-22388</v>
      </c>
      <c r="AY38" s="208">
        <v>-2238841</v>
      </c>
      <c r="AZ38" s="208">
        <v>118595</v>
      </c>
      <c r="BA38" s="208">
        <v>116223</v>
      </c>
      <c r="BB38" s="208">
        <v>0</v>
      </c>
      <c r="BC38" s="208">
        <v>2372</v>
      </c>
      <c r="BD38" s="208">
        <v>237190</v>
      </c>
      <c r="BE38" s="208">
        <v>-515920</v>
      </c>
      <c r="BF38" s="208">
        <v>-505601</v>
      </c>
      <c r="BG38" s="208">
        <v>0</v>
      </c>
      <c r="BH38" s="208">
        <v>-10318</v>
      </c>
      <c r="BI38" s="208">
        <v>-1031839</v>
      </c>
      <c r="BJ38" s="208">
        <v>-1516746</v>
      </c>
      <c r="BK38" s="208">
        <v>-1486410</v>
      </c>
      <c r="BL38" s="208">
        <v>0</v>
      </c>
      <c r="BM38" s="208">
        <v>-30334</v>
      </c>
      <c r="BN38" s="208">
        <v>-3033490</v>
      </c>
      <c r="BO38" s="208">
        <v>-4506605</v>
      </c>
      <c r="BP38" s="208">
        <v>-4416472</v>
      </c>
      <c r="BQ38" s="208">
        <v>0</v>
      </c>
      <c r="BR38" s="208">
        <v>-90132</v>
      </c>
      <c r="BS38" s="208">
        <v>-9013209</v>
      </c>
      <c r="BT38" s="208">
        <v>-1457680</v>
      </c>
      <c r="BU38" s="208">
        <v>-1428527</v>
      </c>
      <c r="BV38" s="208">
        <v>0</v>
      </c>
      <c r="BW38" s="208">
        <v>-29154</v>
      </c>
      <c r="BX38" s="208">
        <v>-2915361</v>
      </c>
      <c r="BY38" s="208">
        <v>-3048924</v>
      </c>
      <c r="BZ38" s="208">
        <v>-2987946</v>
      </c>
      <c r="CA38" s="208">
        <v>0</v>
      </c>
      <c r="CB38" s="208">
        <v>-60978</v>
      </c>
      <c r="CC38" s="208">
        <v>-6097848</v>
      </c>
      <c r="CD38" s="208">
        <v>191652</v>
      </c>
      <c r="CE38" s="208">
        <v>187819</v>
      </c>
      <c r="CF38" s="208">
        <v>0</v>
      </c>
      <c r="CG38" s="208">
        <v>3833</v>
      </c>
      <c r="CH38" s="208">
        <v>383304</v>
      </c>
      <c r="CI38" s="208">
        <v>189716</v>
      </c>
      <c r="CJ38" s="208">
        <v>185922</v>
      </c>
      <c r="CK38" s="208">
        <v>0</v>
      </c>
      <c r="CL38" s="208">
        <v>3794</v>
      </c>
      <c r="CM38" s="208">
        <v>379432</v>
      </c>
      <c r="CN38" s="208">
        <v>-510075</v>
      </c>
      <c r="CO38" s="208">
        <v>-499874</v>
      </c>
      <c r="CP38" s="208">
        <v>0</v>
      </c>
      <c r="CQ38" s="208">
        <v>-10202</v>
      </c>
      <c r="CR38" s="208">
        <v>-1020151</v>
      </c>
      <c r="CS38" s="208">
        <v>-2946040</v>
      </c>
      <c r="CT38" s="208">
        <v>-2887120</v>
      </c>
      <c r="CU38" s="208">
        <v>0</v>
      </c>
      <c r="CV38" s="208">
        <v>-58921</v>
      </c>
      <c r="CW38" s="208">
        <v>-5892081</v>
      </c>
      <c r="CX38" s="208">
        <v>-7581352</v>
      </c>
      <c r="CY38" s="208">
        <v>-7429725</v>
      </c>
      <c r="CZ38" s="208">
        <v>0</v>
      </c>
      <c r="DA38" s="208">
        <v>-151628</v>
      </c>
      <c r="DB38" s="208">
        <v>-15162705</v>
      </c>
      <c r="DC38" s="208">
        <v>-1776103</v>
      </c>
      <c r="DD38" s="208">
        <v>-1740582</v>
      </c>
      <c r="DE38" s="208">
        <v>0</v>
      </c>
      <c r="DF38" s="208">
        <v>-35523</v>
      </c>
      <c r="DG38" s="208">
        <v>-3552208</v>
      </c>
      <c r="DH38" s="208">
        <v>-5805248</v>
      </c>
      <c r="DI38" s="208">
        <v>-5689144</v>
      </c>
      <c r="DJ38" s="208">
        <v>0</v>
      </c>
      <c r="DK38" s="208">
        <v>-116105</v>
      </c>
      <c r="DL38" s="208">
        <v>-11610497</v>
      </c>
      <c r="DM38" s="208">
        <v>-1885011</v>
      </c>
      <c r="DN38" s="208">
        <v>-1847311</v>
      </c>
      <c r="DO38" s="208">
        <v>0</v>
      </c>
      <c r="DP38" s="208">
        <v>-37700</v>
      </c>
      <c r="DQ38" s="208">
        <v>-3770022</v>
      </c>
      <c r="DR38" s="208">
        <v>-1724000</v>
      </c>
      <c r="DS38" s="208">
        <v>-1689520</v>
      </c>
      <c r="DT38" s="208">
        <v>0</v>
      </c>
      <c r="DU38" s="208">
        <v>-34480</v>
      </c>
      <c r="DV38" s="208">
        <v>-3448000</v>
      </c>
      <c r="DW38" s="208">
        <v>-161011</v>
      </c>
      <c r="DX38" s="208">
        <v>-157791</v>
      </c>
      <c r="DY38" s="208">
        <v>0</v>
      </c>
      <c r="DZ38" s="208">
        <v>-3220</v>
      </c>
      <c r="EA38" s="208">
        <v>-322022</v>
      </c>
      <c r="EB38" s="208">
        <v>58427013</v>
      </c>
      <c r="EC38" s="208">
        <v>57258472</v>
      </c>
      <c r="ED38" s="208">
        <v>0</v>
      </c>
      <c r="EE38" s="208">
        <v>1168540</v>
      </c>
      <c r="EF38" s="208">
        <v>116854025</v>
      </c>
      <c r="EG38" s="208">
        <v>56500444</v>
      </c>
      <c r="EH38" s="208">
        <v>55370435</v>
      </c>
      <c r="EI38" s="208">
        <v>0</v>
      </c>
      <c r="EJ38" s="208">
        <v>1130009</v>
      </c>
      <c r="EK38" s="208">
        <v>113000888</v>
      </c>
      <c r="EL38" s="208">
        <v>-1926569</v>
      </c>
      <c r="EM38" s="208">
        <v>-1888037</v>
      </c>
      <c r="EN38" s="208">
        <v>0</v>
      </c>
      <c r="EO38" s="208">
        <v>-38531</v>
      </c>
      <c r="EP38" s="208">
        <v>-3853137</v>
      </c>
      <c r="EQ38" s="208">
        <v>-2087580</v>
      </c>
      <c r="ER38" s="208">
        <v>-2045828</v>
      </c>
      <c r="ES38" s="208">
        <v>0</v>
      </c>
      <c r="ET38" s="208">
        <v>-41751</v>
      </c>
      <c r="EU38" s="208">
        <v>-4175159</v>
      </c>
      <c r="EV38" s="666">
        <v>0.5</v>
      </c>
      <c r="EW38" s="666">
        <v>0.49</v>
      </c>
      <c r="EX38" s="666">
        <v>0</v>
      </c>
      <c r="EY38" s="666">
        <v>0.01</v>
      </c>
      <c r="EZ38" s="666">
        <v>1</v>
      </c>
      <c r="FA38" s="187" t="s">
        <v>742</v>
      </c>
      <c r="FC38" s="187">
        <v>0</v>
      </c>
    </row>
    <row r="39" spans="1:159" s="187" customFormat="1" x14ac:dyDescent="0.2">
      <c r="A39" s="188"/>
      <c r="B39" s="429" t="s">
        <v>157</v>
      </c>
      <c r="C39" s="429" t="s">
        <v>156</v>
      </c>
      <c r="D39" s="208">
        <v>-6.0000002384185791E-2</v>
      </c>
      <c r="E39" s="208">
        <v>194730082</v>
      </c>
      <c r="F39" s="208">
        <v>10357983</v>
      </c>
      <c r="G39" s="208">
        <v>2071597</v>
      </c>
      <c r="H39" s="208">
        <v>207159661.94</v>
      </c>
      <c r="I39" s="208">
        <v>0</v>
      </c>
      <c r="J39" s="208">
        <v>0</v>
      </c>
      <c r="K39" s="208">
        <v>-6.0000002384185791E-2</v>
      </c>
      <c r="L39" s="208">
        <v>714145</v>
      </c>
      <c r="M39" s="208">
        <v>714145</v>
      </c>
      <c r="N39" s="208">
        <v>4398785</v>
      </c>
      <c r="O39" s="208">
        <v>4398785</v>
      </c>
      <c r="P39" s="208">
        <v>172874</v>
      </c>
      <c r="Q39" s="208">
        <v>0.33000000001629815</v>
      </c>
      <c r="R39" s="208">
        <v>172874.33000000002</v>
      </c>
      <c r="S39" s="208">
        <v>0</v>
      </c>
      <c r="T39" s="208">
        <v>0</v>
      </c>
      <c r="U39" s="208">
        <v>0</v>
      </c>
      <c r="V39" s="208">
        <v>0</v>
      </c>
      <c r="W39" s="208">
        <v>0</v>
      </c>
      <c r="X39" s="208">
        <v>0</v>
      </c>
      <c r="Y39" s="208">
        <v>0</v>
      </c>
      <c r="Z39" s="208">
        <v>0</v>
      </c>
      <c r="AA39" s="208">
        <v>0</v>
      </c>
      <c r="AB39" s="208">
        <v>0</v>
      </c>
      <c r="AC39" s="208">
        <v>0</v>
      </c>
      <c r="AD39" s="208">
        <v>0</v>
      </c>
      <c r="AE39" s="208">
        <v>0</v>
      </c>
      <c r="AF39" s="208">
        <v>0</v>
      </c>
      <c r="AG39" s="208">
        <v>17337782</v>
      </c>
      <c r="AH39" s="208">
        <v>810781</v>
      </c>
      <c r="AI39" s="208">
        <v>162158</v>
      </c>
      <c r="AJ39" s="208">
        <v>18310721</v>
      </c>
      <c r="AK39" s="208">
        <v>0</v>
      </c>
      <c r="AL39" s="208">
        <v>4092226</v>
      </c>
      <c r="AM39" s="208">
        <v>217672</v>
      </c>
      <c r="AN39" s="208">
        <v>43534</v>
      </c>
      <c r="AO39" s="208">
        <v>4353432</v>
      </c>
      <c r="AP39" s="208">
        <v>0</v>
      </c>
      <c r="AQ39" s="208">
        <v>-1945859</v>
      </c>
      <c r="AR39" s="208">
        <v>-103503</v>
      </c>
      <c r="AS39" s="208">
        <v>-20701</v>
      </c>
      <c r="AT39" s="208">
        <v>-2070063</v>
      </c>
      <c r="AU39" s="208">
        <v>0</v>
      </c>
      <c r="AV39" s="208">
        <v>-2336840</v>
      </c>
      <c r="AW39" s="208">
        <v>-124300</v>
      </c>
      <c r="AX39" s="208">
        <v>-24860</v>
      </c>
      <c r="AY39" s="208">
        <v>-2486000</v>
      </c>
      <c r="AZ39" s="208">
        <v>0</v>
      </c>
      <c r="BA39" s="208">
        <v>960415</v>
      </c>
      <c r="BB39" s="208">
        <v>51086</v>
      </c>
      <c r="BC39" s="208">
        <v>10217</v>
      </c>
      <c r="BD39" s="208">
        <v>1021718</v>
      </c>
      <c r="BE39" s="208">
        <v>0</v>
      </c>
      <c r="BF39" s="208">
        <v>-115355</v>
      </c>
      <c r="BG39" s="208">
        <v>-6136</v>
      </c>
      <c r="BH39" s="208">
        <v>-1227</v>
      </c>
      <c r="BI39" s="208">
        <v>-122718</v>
      </c>
      <c r="BJ39" s="208">
        <v>0</v>
      </c>
      <c r="BK39" s="208">
        <v>-1491780</v>
      </c>
      <c r="BL39" s="208">
        <v>-79350</v>
      </c>
      <c r="BM39" s="208">
        <v>-15870</v>
      </c>
      <c r="BN39" s="208">
        <v>-1587000</v>
      </c>
      <c r="BO39" s="208">
        <v>-1</v>
      </c>
      <c r="BP39" s="208">
        <v>-23715644</v>
      </c>
      <c r="BQ39" s="208">
        <v>-1261470</v>
      </c>
      <c r="BR39" s="208">
        <v>-252294</v>
      </c>
      <c r="BS39" s="208">
        <v>-25229409</v>
      </c>
      <c r="BT39" s="208">
        <v>0</v>
      </c>
      <c r="BU39" s="208">
        <v>-13280697</v>
      </c>
      <c r="BV39" s="208">
        <v>-706420</v>
      </c>
      <c r="BW39" s="208">
        <v>-141284</v>
      </c>
      <c r="BX39" s="208">
        <v>-14128401</v>
      </c>
      <c r="BY39" s="208">
        <v>0</v>
      </c>
      <c r="BZ39" s="208">
        <v>-10434948</v>
      </c>
      <c r="CA39" s="208">
        <v>-555050</v>
      </c>
      <c r="CB39" s="208">
        <v>-111010</v>
      </c>
      <c r="CC39" s="208">
        <v>-11101008</v>
      </c>
      <c r="CD39" s="208">
        <v>0</v>
      </c>
      <c r="CE39" s="208">
        <v>3348719</v>
      </c>
      <c r="CF39" s="208">
        <v>178123</v>
      </c>
      <c r="CG39" s="208">
        <v>35625</v>
      </c>
      <c r="CH39" s="208">
        <v>3562467</v>
      </c>
      <c r="CI39" s="208">
        <v>0</v>
      </c>
      <c r="CJ39" s="208">
        <v>0</v>
      </c>
      <c r="CK39" s="208">
        <v>0</v>
      </c>
      <c r="CL39" s="208">
        <v>0</v>
      </c>
      <c r="CM39" s="208">
        <v>0</v>
      </c>
      <c r="CN39" s="208">
        <v>0.27000000001862645</v>
      </c>
      <c r="CO39" s="208">
        <v>3796417</v>
      </c>
      <c r="CP39" s="208">
        <v>201937</v>
      </c>
      <c r="CQ39" s="208">
        <v>40387</v>
      </c>
      <c r="CR39" s="208">
        <v>4038741.27</v>
      </c>
      <c r="CS39" s="208">
        <v>0</v>
      </c>
      <c r="CT39" s="208">
        <v>-10341989</v>
      </c>
      <c r="CU39" s="208">
        <v>-550106</v>
      </c>
      <c r="CV39" s="208">
        <v>-110021</v>
      </c>
      <c r="CW39" s="208">
        <v>-11002116</v>
      </c>
      <c r="CX39" s="208">
        <v>-0.72999999998137355</v>
      </c>
      <c r="CY39" s="208">
        <v>-26912497</v>
      </c>
      <c r="CZ39" s="208">
        <v>-1431516</v>
      </c>
      <c r="DA39" s="208">
        <v>-286303</v>
      </c>
      <c r="DB39" s="208">
        <v>-28630316.73</v>
      </c>
      <c r="DC39" s="208">
        <v>0.27000000001862645</v>
      </c>
      <c r="DD39" s="208">
        <v>-6135561</v>
      </c>
      <c r="DE39" s="208">
        <v>-326360</v>
      </c>
      <c r="DF39" s="208">
        <v>-65272</v>
      </c>
      <c r="DG39" s="208">
        <v>-6527192.7300000004</v>
      </c>
      <c r="DH39" s="208">
        <v>0</v>
      </c>
      <c r="DI39" s="208">
        <v>-20776937</v>
      </c>
      <c r="DJ39" s="208">
        <v>-1105156</v>
      </c>
      <c r="DK39" s="208">
        <v>-221031</v>
      </c>
      <c r="DL39" s="208">
        <v>-22103124</v>
      </c>
      <c r="DM39" s="208">
        <v>-6099168</v>
      </c>
      <c r="DN39" s="208">
        <v>-6222235</v>
      </c>
      <c r="DO39" s="208">
        <v>17395</v>
      </c>
      <c r="DP39" s="208">
        <v>-118504</v>
      </c>
      <c r="DQ39" s="208">
        <v>-12422512</v>
      </c>
      <c r="DR39" s="208">
        <v>-7129511</v>
      </c>
      <c r="DS39" s="208">
        <v>-6721110</v>
      </c>
      <c r="DT39" s="208">
        <v>14139</v>
      </c>
      <c r="DU39" s="208">
        <v>-139762</v>
      </c>
      <c r="DV39" s="208">
        <v>-13976244</v>
      </c>
      <c r="DW39" s="208">
        <v>1030343</v>
      </c>
      <c r="DX39" s="208">
        <v>498875</v>
      </c>
      <c r="DY39" s="208">
        <v>3256</v>
      </c>
      <c r="DZ39" s="208">
        <v>21258</v>
      </c>
      <c r="EA39" s="208">
        <v>1553732</v>
      </c>
      <c r="EB39" s="208">
        <v>0</v>
      </c>
      <c r="EC39" s="208">
        <v>197400637</v>
      </c>
      <c r="ED39" s="208">
        <v>10500034</v>
      </c>
      <c r="EE39" s="208">
        <v>2100007</v>
      </c>
      <c r="EF39" s="208">
        <v>210000678</v>
      </c>
      <c r="EG39" s="208">
        <v>0</v>
      </c>
      <c r="EH39" s="208">
        <v>194730081.94</v>
      </c>
      <c r="EI39" s="208">
        <v>10357983</v>
      </c>
      <c r="EJ39" s="208">
        <v>2071597</v>
      </c>
      <c r="EK39" s="208">
        <v>207159661.94</v>
      </c>
      <c r="EL39" s="208">
        <v>0</v>
      </c>
      <c r="EM39" s="208">
        <v>-2670555.0600000024</v>
      </c>
      <c r="EN39" s="208">
        <v>-142051</v>
      </c>
      <c r="EO39" s="208">
        <v>-28410</v>
      </c>
      <c r="EP39" s="208">
        <v>-2841016.0600000024</v>
      </c>
      <c r="EQ39" s="208">
        <v>1030343</v>
      </c>
      <c r="ER39" s="208">
        <v>-2171680.0600000024</v>
      </c>
      <c r="ES39" s="208">
        <v>-138795</v>
      </c>
      <c r="ET39" s="208">
        <v>-7152</v>
      </c>
      <c r="EU39" s="208">
        <v>-1287284.0600000024</v>
      </c>
      <c r="EV39" s="666">
        <v>0</v>
      </c>
      <c r="EW39" s="666">
        <v>0.94</v>
      </c>
      <c r="EX39" s="666">
        <v>0.05</v>
      </c>
      <c r="EY39" s="666">
        <v>0.01</v>
      </c>
      <c r="EZ39" s="666">
        <v>1</v>
      </c>
      <c r="FA39" s="187" t="s">
        <v>742</v>
      </c>
      <c r="FC39" s="187">
        <v>0</v>
      </c>
    </row>
    <row r="40" spans="1:159" s="187" customFormat="1" x14ac:dyDescent="0.2">
      <c r="B40" s="429" t="s">
        <v>159</v>
      </c>
      <c r="C40" s="429" t="s">
        <v>158</v>
      </c>
      <c r="D40" s="208">
        <v>14201360</v>
      </c>
      <c r="E40" s="208">
        <v>11361088</v>
      </c>
      <c r="F40" s="208">
        <v>2840272</v>
      </c>
      <c r="G40" s="208">
        <v>0</v>
      </c>
      <c r="H40" s="208">
        <v>28402720</v>
      </c>
      <c r="I40" s="208">
        <v>0</v>
      </c>
      <c r="J40" s="208">
        <v>0</v>
      </c>
      <c r="K40" s="208">
        <v>14201360</v>
      </c>
      <c r="L40" s="208">
        <v>139228</v>
      </c>
      <c r="M40" s="208">
        <v>139228</v>
      </c>
      <c r="N40" s="208">
        <v>0</v>
      </c>
      <c r="O40" s="208">
        <v>0</v>
      </c>
      <c r="P40" s="208">
        <v>162673</v>
      </c>
      <c r="Q40" s="208">
        <v>0</v>
      </c>
      <c r="R40" s="208">
        <v>162673</v>
      </c>
      <c r="S40" s="208">
        <v>0</v>
      </c>
      <c r="T40" s="208">
        <v>0</v>
      </c>
      <c r="U40" s="208">
        <v>0</v>
      </c>
      <c r="V40" s="208">
        <v>0</v>
      </c>
      <c r="W40" s="208">
        <v>0</v>
      </c>
      <c r="X40" s="208">
        <v>0</v>
      </c>
      <c r="Y40" s="208">
        <v>0</v>
      </c>
      <c r="Z40" s="208">
        <v>0</v>
      </c>
      <c r="AA40" s="208">
        <v>0</v>
      </c>
      <c r="AB40" s="208">
        <v>0</v>
      </c>
      <c r="AC40" s="208">
        <v>0</v>
      </c>
      <c r="AD40" s="208">
        <v>0</v>
      </c>
      <c r="AE40" s="208">
        <v>0</v>
      </c>
      <c r="AF40" s="208">
        <v>0</v>
      </c>
      <c r="AG40" s="208">
        <v>1518967</v>
      </c>
      <c r="AH40" s="208">
        <v>378811</v>
      </c>
      <c r="AI40" s="208">
        <v>0</v>
      </c>
      <c r="AJ40" s="208">
        <v>1897778</v>
      </c>
      <c r="AK40" s="208">
        <v>132807</v>
      </c>
      <c r="AL40" s="208">
        <v>106245</v>
      </c>
      <c r="AM40" s="208">
        <v>26561</v>
      </c>
      <c r="AN40" s="208">
        <v>0</v>
      </c>
      <c r="AO40" s="208">
        <v>265613</v>
      </c>
      <c r="AP40" s="208">
        <v>-321496</v>
      </c>
      <c r="AQ40" s="208">
        <v>-257196</v>
      </c>
      <c r="AR40" s="208">
        <v>-64299</v>
      </c>
      <c r="AS40" s="208">
        <v>0</v>
      </c>
      <c r="AT40" s="208">
        <v>-642991</v>
      </c>
      <c r="AU40" s="208">
        <v>-84316</v>
      </c>
      <c r="AV40" s="208">
        <v>-67452</v>
      </c>
      <c r="AW40" s="208">
        <v>-16863</v>
      </c>
      <c r="AX40" s="208">
        <v>0</v>
      </c>
      <c r="AY40" s="208">
        <v>-168631</v>
      </c>
      <c r="AZ40" s="208">
        <v>102806</v>
      </c>
      <c r="BA40" s="208">
        <v>82245</v>
      </c>
      <c r="BB40" s="208">
        <v>20561</v>
      </c>
      <c r="BC40" s="208">
        <v>0</v>
      </c>
      <c r="BD40" s="208">
        <v>205612</v>
      </c>
      <c r="BE40" s="208">
        <v>-77365</v>
      </c>
      <c r="BF40" s="208">
        <v>-61892</v>
      </c>
      <c r="BG40" s="208">
        <v>-15473</v>
      </c>
      <c r="BH40" s="208">
        <v>0</v>
      </c>
      <c r="BI40" s="208">
        <v>-154730</v>
      </c>
      <c r="BJ40" s="208">
        <v>-58875</v>
      </c>
      <c r="BK40" s="208">
        <v>-47099</v>
      </c>
      <c r="BL40" s="208">
        <v>-11775</v>
      </c>
      <c r="BM40" s="208">
        <v>0</v>
      </c>
      <c r="BN40" s="208">
        <v>-117749</v>
      </c>
      <c r="BO40" s="208">
        <v>-1542852</v>
      </c>
      <c r="BP40" s="208">
        <v>-1234281</v>
      </c>
      <c r="BQ40" s="208">
        <v>-308570</v>
      </c>
      <c r="BR40" s="208">
        <v>0</v>
      </c>
      <c r="BS40" s="208">
        <v>-3085703</v>
      </c>
      <c r="BT40" s="208">
        <v>0</v>
      </c>
      <c r="BU40" s="208">
        <v>0</v>
      </c>
      <c r="BV40" s="208">
        <v>0</v>
      </c>
      <c r="BW40" s="208">
        <v>0</v>
      </c>
      <c r="BX40" s="208">
        <v>0</v>
      </c>
      <c r="BY40" s="208">
        <v>-1542852</v>
      </c>
      <c r="BZ40" s="208">
        <v>-1234281</v>
      </c>
      <c r="CA40" s="208">
        <v>-308570</v>
      </c>
      <c r="CB40" s="208">
        <v>0</v>
      </c>
      <c r="CC40" s="208">
        <v>-3085703</v>
      </c>
      <c r="CD40" s="208">
        <v>34982</v>
      </c>
      <c r="CE40" s="208">
        <v>27986</v>
      </c>
      <c r="CF40" s="208">
        <v>6996</v>
      </c>
      <c r="CG40" s="208">
        <v>0</v>
      </c>
      <c r="CH40" s="208">
        <v>69964</v>
      </c>
      <c r="CI40" s="208">
        <v>41312</v>
      </c>
      <c r="CJ40" s="208">
        <v>33050</v>
      </c>
      <c r="CK40" s="208">
        <v>8263</v>
      </c>
      <c r="CL40" s="208">
        <v>0</v>
      </c>
      <c r="CM40" s="208">
        <v>82625</v>
      </c>
      <c r="CN40" s="208">
        <v>-262144</v>
      </c>
      <c r="CO40" s="208">
        <v>-209716</v>
      </c>
      <c r="CP40" s="208">
        <v>-52429</v>
      </c>
      <c r="CQ40" s="208">
        <v>0</v>
      </c>
      <c r="CR40" s="208">
        <v>-524289</v>
      </c>
      <c r="CS40" s="208">
        <v>-902757</v>
      </c>
      <c r="CT40" s="208">
        <v>-722206</v>
      </c>
      <c r="CU40" s="208">
        <v>-180552</v>
      </c>
      <c r="CV40" s="208">
        <v>0</v>
      </c>
      <c r="CW40" s="208">
        <v>-1805515</v>
      </c>
      <c r="CX40" s="208">
        <v>-2631459</v>
      </c>
      <c r="CY40" s="208">
        <v>-2105167</v>
      </c>
      <c r="CZ40" s="208">
        <v>-526292</v>
      </c>
      <c r="DA40" s="208">
        <v>0</v>
      </c>
      <c r="DB40" s="208">
        <v>-5262918</v>
      </c>
      <c r="DC40" s="208">
        <v>-227162</v>
      </c>
      <c r="DD40" s="208">
        <v>-181730</v>
      </c>
      <c r="DE40" s="208">
        <v>-45433</v>
      </c>
      <c r="DF40" s="208">
        <v>0</v>
      </c>
      <c r="DG40" s="208">
        <v>-454325</v>
      </c>
      <c r="DH40" s="208">
        <v>-2404297</v>
      </c>
      <c r="DI40" s="208">
        <v>-1923437</v>
      </c>
      <c r="DJ40" s="208">
        <v>-480859</v>
      </c>
      <c r="DK40" s="208">
        <v>0</v>
      </c>
      <c r="DL40" s="208">
        <v>-4808593</v>
      </c>
      <c r="DM40" s="208">
        <v>-1052485</v>
      </c>
      <c r="DN40" s="208">
        <v>-841988</v>
      </c>
      <c r="DO40" s="208">
        <v>-210497</v>
      </c>
      <c r="DP40" s="208">
        <v>0</v>
      </c>
      <c r="DQ40" s="208">
        <v>-2104970</v>
      </c>
      <c r="DR40" s="208">
        <v>-118301</v>
      </c>
      <c r="DS40" s="208">
        <v>-94641</v>
      </c>
      <c r="DT40" s="208">
        <v>-23660</v>
      </c>
      <c r="DU40" s="208">
        <v>0</v>
      </c>
      <c r="DV40" s="208">
        <v>-236602</v>
      </c>
      <c r="DW40" s="208">
        <v>-934184</v>
      </c>
      <c r="DX40" s="208">
        <v>-747347</v>
      </c>
      <c r="DY40" s="208">
        <v>-186837</v>
      </c>
      <c r="DZ40" s="208">
        <v>0</v>
      </c>
      <c r="EA40" s="208">
        <v>-1868368</v>
      </c>
      <c r="EB40" s="208">
        <v>14893417</v>
      </c>
      <c r="EC40" s="208">
        <v>11914734</v>
      </c>
      <c r="ED40" s="208">
        <v>2978684</v>
      </c>
      <c r="EE40" s="208">
        <v>0</v>
      </c>
      <c r="EF40" s="208">
        <v>29786835</v>
      </c>
      <c r="EG40" s="208">
        <v>14201360</v>
      </c>
      <c r="EH40" s="208">
        <v>11361088</v>
      </c>
      <c r="EI40" s="208">
        <v>2840272</v>
      </c>
      <c r="EJ40" s="208">
        <v>0</v>
      </c>
      <c r="EK40" s="208">
        <v>28402720</v>
      </c>
      <c r="EL40" s="208">
        <v>-692057</v>
      </c>
      <c r="EM40" s="208">
        <v>-553646</v>
      </c>
      <c r="EN40" s="208">
        <v>-138412</v>
      </c>
      <c r="EO40" s="208">
        <v>0</v>
      </c>
      <c r="EP40" s="208">
        <v>-1384115</v>
      </c>
      <c r="EQ40" s="208">
        <v>-1626241</v>
      </c>
      <c r="ER40" s="208">
        <v>-1300993</v>
      </c>
      <c r="ES40" s="208">
        <v>-325249</v>
      </c>
      <c r="ET40" s="208">
        <v>0</v>
      </c>
      <c r="EU40" s="208">
        <v>-3252483</v>
      </c>
      <c r="EV40" s="666">
        <v>0.5</v>
      </c>
      <c r="EW40" s="666">
        <v>0.4</v>
      </c>
      <c r="EX40" s="666">
        <v>0.1</v>
      </c>
      <c r="EY40" s="666">
        <v>0</v>
      </c>
      <c r="EZ40" s="666">
        <v>1</v>
      </c>
      <c r="FA40" s="187" t="s">
        <v>1054</v>
      </c>
      <c r="FC40" s="187">
        <v>0</v>
      </c>
    </row>
    <row r="41" spans="1:159" s="187" customFormat="1" x14ac:dyDescent="0.2">
      <c r="B41" s="429" t="s">
        <v>161</v>
      </c>
      <c r="C41" s="429" t="s">
        <v>160</v>
      </c>
      <c r="D41" s="208">
        <v>0</v>
      </c>
      <c r="E41" s="208">
        <v>59852936</v>
      </c>
      <c r="F41" s="208">
        <v>33667277</v>
      </c>
      <c r="G41" s="208">
        <v>0</v>
      </c>
      <c r="H41" s="208">
        <v>93520213</v>
      </c>
      <c r="I41" s="208">
        <v>0</v>
      </c>
      <c r="J41" s="208">
        <v>0</v>
      </c>
      <c r="K41" s="208">
        <v>0</v>
      </c>
      <c r="L41" s="208">
        <v>333958</v>
      </c>
      <c r="M41" s="208">
        <v>333958</v>
      </c>
      <c r="N41" s="208">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5447332</v>
      </c>
      <c r="AH41" s="208">
        <v>3064124</v>
      </c>
      <c r="AI41" s="208">
        <v>0</v>
      </c>
      <c r="AJ41" s="208">
        <v>8511456</v>
      </c>
      <c r="AK41" s="208">
        <v>0</v>
      </c>
      <c r="AL41" s="208">
        <v>1983686</v>
      </c>
      <c r="AM41" s="208">
        <v>1115824</v>
      </c>
      <c r="AN41" s="208">
        <v>0</v>
      </c>
      <c r="AO41" s="208">
        <v>3099510</v>
      </c>
      <c r="AP41" s="208">
        <v>0</v>
      </c>
      <c r="AQ41" s="208">
        <v>-3615688</v>
      </c>
      <c r="AR41" s="208">
        <v>-2033825</v>
      </c>
      <c r="AS41" s="208">
        <v>0</v>
      </c>
      <c r="AT41" s="208">
        <v>-5649513</v>
      </c>
      <c r="AU41" s="208">
        <v>0</v>
      </c>
      <c r="AV41" s="208">
        <v>-515557</v>
      </c>
      <c r="AW41" s="208">
        <v>-290001</v>
      </c>
      <c r="AX41" s="208">
        <v>0</v>
      </c>
      <c r="AY41" s="208">
        <v>-805558</v>
      </c>
      <c r="AZ41" s="208">
        <v>0</v>
      </c>
      <c r="BA41" s="208">
        <v>315384</v>
      </c>
      <c r="BB41" s="208">
        <v>177404</v>
      </c>
      <c r="BC41" s="208">
        <v>0</v>
      </c>
      <c r="BD41" s="208">
        <v>492788</v>
      </c>
      <c r="BE41" s="208">
        <v>0</v>
      </c>
      <c r="BF41" s="208">
        <v>-496632</v>
      </c>
      <c r="BG41" s="208">
        <v>-279356</v>
      </c>
      <c r="BH41" s="208">
        <v>0</v>
      </c>
      <c r="BI41" s="208">
        <v>-775988</v>
      </c>
      <c r="BJ41" s="208">
        <v>0</v>
      </c>
      <c r="BK41" s="208">
        <v>-696805</v>
      </c>
      <c r="BL41" s="208">
        <v>-391953</v>
      </c>
      <c r="BM41" s="208">
        <v>0</v>
      </c>
      <c r="BN41" s="208">
        <v>-1088758</v>
      </c>
      <c r="BO41" s="208">
        <v>0</v>
      </c>
      <c r="BP41" s="208">
        <v>-7457225</v>
      </c>
      <c r="BQ41" s="208">
        <v>-4194689</v>
      </c>
      <c r="BR41" s="208">
        <v>0</v>
      </c>
      <c r="BS41" s="208">
        <v>-11651914</v>
      </c>
      <c r="BT41" s="208">
        <v>0</v>
      </c>
      <c r="BU41" s="208">
        <v>-4264324</v>
      </c>
      <c r="BV41" s="208">
        <v>-2398682</v>
      </c>
      <c r="BW41" s="208">
        <v>0</v>
      </c>
      <c r="BX41" s="208">
        <v>-6663006</v>
      </c>
      <c r="BY41" s="208">
        <v>0</v>
      </c>
      <c r="BZ41" s="208">
        <v>-3192901</v>
      </c>
      <c r="CA41" s="208">
        <v>-1796007</v>
      </c>
      <c r="CB41" s="208">
        <v>0</v>
      </c>
      <c r="CC41" s="208">
        <v>-4988908</v>
      </c>
      <c r="CD41" s="208">
        <v>0</v>
      </c>
      <c r="CE41" s="208">
        <v>639086</v>
      </c>
      <c r="CF41" s="208">
        <v>359486</v>
      </c>
      <c r="CG41" s="208">
        <v>0</v>
      </c>
      <c r="CH41" s="208">
        <v>998572</v>
      </c>
      <c r="CI41" s="208">
        <v>0</v>
      </c>
      <c r="CJ41" s="208">
        <v>142945</v>
      </c>
      <c r="CK41" s="208">
        <v>80406</v>
      </c>
      <c r="CL41" s="208">
        <v>0</v>
      </c>
      <c r="CM41" s="208">
        <v>223351</v>
      </c>
      <c r="CN41" s="208">
        <v>0</v>
      </c>
      <c r="CO41" s="208">
        <v>-858428</v>
      </c>
      <c r="CP41" s="208">
        <v>-482866</v>
      </c>
      <c r="CQ41" s="208">
        <v>0</v>
      </c>
      <c r="CR41" s="208">
        <v>-1341294</v>
      </c>
      <c r="CS41" s="208">
        <v>0</v>
      </c>
      <c r="CT41" s="208">
        <v>-722207</v>
      </c>
      <c r="CU41" s="208">
        <v>-406241</v>
      </c>
      <c r="CV41" s="208">
        <v>0</v>
      </c>
      <c r="CW41" s="208">
        <v>-1128448</v>
      </c>
      <c r="CX41" s="208">
        <v>0</v>
      </c>
      <c r="CY41" s="208">
        <v>-8255829</v>
      </c>
      <c r="CZ41" s="208">
        <v>-4643904</v>
      </c>
      <c r="DA41" s="208">
        <v>0</v>
      </c>
      <c r="DB41" s="208">
        <v>-12899733</v>
      </c>
      <c r="DC41" s="208">
        <v>0</v>
      </c>
      <c r="DD41" s="208">
        <v>-4483666</v>
      </c>
      <c r="DE41" s="208">
        <v>-2522062</v>
      </c>
      <c r="DF41" s="208">
        <v>0</v>
      </c>
      <c r="DG41" s="208">
        <v>-7005728</v>
      </c>
      <c r="DH41" s="208">
        <v>0</v>
      </c>
      <c r="DI41" s="208">
        <v>-3772163</v>
      </c>
      <c r="DJ41" s="208">
        <v>-2121842</v>
      </c>
      <c r="DK41" s="208">
        <v>0</v>
      </c>
      <c r="DL41" s="208">
        <v>-5894005</v>
      </c>
      <c r="DM41" s="208">
        <v>-1078454.0999999996</v>
      </c>
      <c r="DN41" s="208">
        <v>-798993</v>
      </c>
      <c r="DO41" s="208">
        <v>-785863</v>
      </c>
      <c r="DP41" s="208">
        <v>0</v>
      </c>
      <c r="DQ41" s="208">
        <v>-2663310.0999999996</v>
      </c>
      <c r="DR41" s="208">
        <v>-519315</v>
      </c>
      <c r="DS41" s="208">
        <v>-290683</v>
      </c>
      <c r="DT41" s="208">
        <v>-158946</v>
      </c>
      <c r="DU41" s="208">
        <v>0</v>
      </c>
      <c r="DV41" s="208">
        <v>-968944</v>
      </c>
      <c r="DW41" s="208">
        <v>-559139.09999999963</v>
      </c>
      <c r="DX41" s="208">
        <v>-508310</v>
      </c>
      <c r="DY41" s="208">
        <v>-626917</v>
      </c>
      <c r="DZ41" s="208">
        <v>0</v>
      </c>
      <c r="EA41" s="208">
        <v>-1694366.0999999996</v>
      </c>
      <c r="EB41" s="208">
        <v>0</v>
      </c>
      <c r="EC41" s="208">
        <v>60650351</v>
      </c>
      <c r="ED41" s="208">
        <v>34115823</v>
      </c>
      <c r="EE41" s="208">
        <v>0</v>
      </c>
      <c r="EF41" s="208">
        <v>94766174</v>
      </c>
      <c r="EG41" s="208">
        <v>0</v>
      </c>
      <c r="EH41" s="208">
        <v>59852936</v>
      </c>
      <c r="EI41" s="208">
        <v>33667277</v>
      </c>
      <c r="EJ41" s="208">
        <v>0</v>
      </c>
      <c r="EK41" s="208">
        <v>93520213</v>
      </c>
      <c r="EL41" s="208">
        <v>0</v>
      </c>
      <c r="EM41" s="208">
        <v>-797415</v>
      </c>
      <c r="EN41" s="208">
        <v>-448546</v>
      </c>
      <c r="EO41" s="208">
        <v>0</v>
      </c>
      <c r="EP41" s="208">
        <v>-1245961</v>
      </c>
      <c r="EQ41" s="208">
        <v>-559139.09999999963</v>
      </c>
      <c r="ER41" s="208">
        <v>-1305725</v>
      </c>
      <c r="ES41" s="208">
        <v>-1075463</v>
      </c>
      <c r="ET41" s="208">
        <v>0</v>
      </c>
      <c r="EU41" s="208">
        <v>-2940327.0999999996</v>
      </c>
      <c r="EV41" s="666">
        <v>0</v>
      </c>
      <c r="EW41" s="666">
        <v>0.64</v>
      </c>
      <c r="EX41" s="666">
        <v>0.36</v>
      </c>
      <c r="EY41" s="666">
        <v>0</v>
      </c>
      <c r="EZ41" s="666">
        <v>1</v>
      </c>
      <c r="FA41" s="187" t="s">
        <v>1055</v>
      </c>
      <c r="FC41" s="187">
        <v>0</v>
      </c>
    </row>
    <row r="42" spans="1:159" s="187" customFormat="1" x14ac:dyDescent="0.2">
      <c r="B42" s="429" t="s">
        <v>163</v>
      </c>
      <c r="C42" s="429" t="s">
        <v>162</v>
      </c>
      <c r="D42" s="208">
        <v>11777031</v>
      </c>
      <c r="E42" s="208">
        <v>9421626</v>
      </c>
      <c r="F42" s="208">
        <v>2119866</v>
      </c>
      <c r="G42" s="208">
        <v>235541</v>
      </c>
      <c r="H42" s="208">
        <v>23554064</v>
      </c>
      <c r="I42" s="208">
        <v>0</v>
      </c>
      <c r="J42" s="208">
        <v>0</v>
      </c>
      <c r="K42" s="208">
        <v>11777031</v>
      </c>
      <c r="L42" s="208">
        <v>120902</v>
      </c>
      <c r="M42" s="208">
        <v>120902</v>
      </c>
      <c r="N42" s="208">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1405323</v>
      </c>
      <c r="AH42" s="208">
        <v>316197</v>
      </c>
      <c r="AI42" s="208">
        <v>35133</v>
      </c>
      <c r="AJ42" s="208">
        <v>1756653</v>
      </c>
      <c r="AK42" s="208">
        <v>694579</v>
      </c>
      <c r="AL42" s="208">
        <v>555664</v>
      </c>
      <c r="AM42" s="208">
        <v>125024</v>
      </c>
      <c r="AN42" s="208">
        <v>13892</v>
      </c>
      <c r="AO42" s="208">
        <v>1389159</v>
      </c>
      <c r="AP42" s="208">
        <v>-374631</v>
      </c>
      <c r="AQ42" s="208">
        <v>-299704</v>
      </c>
      <c r="AR42" s="208">
        <v>-67433</v>
      </c>
      <c r="AS42" s="208">
        <v>-7493</v>
      </c>
      <c r="AT42" s="208">
        <v>-749261</v>
      </c>
      <c r="AU42" s="208">
        <v>-586990</v>
      </c>
      <c r="AV42" s="208">
        <v>-469592</v>
      </c>
      <c r="AW42" s="208">
        <v>-105658</v>
      </c>
      <c r="AX42" s="208">
        <v>-11740</v>
      </c>
      <c r="AY42" s="208">
        <v>-1173980</v>
      </c>
      <c r="AZ42" s="208">
        <v>361789</v>
      </c>
      <c r="BA42" s="208">
        <v>289432</v>
      </c>
      <c r="BB42" s="208">
        <v>65122</v>
      </c>
      <c r="BC42" s="208">
        <v>7236</v>
      </c>
      <c r="BD42" s="208">
        <v>723579</v>
      </c>
      <c r="BE42" s="208">
        <v>-227803</v>
      </c>
      <c r="BF42" s="208">
        <v>-182243</v>
      </c>
      <c r="BG42" s="208">
        <v>-41005</v>
      </c>
      <c r="BH42" s="208">
        <v>-4556</v>
      </c>
      <c r="BI42" s="208">
        <v>-455607</v>
      </c>
      <c r="BJ42" s="208">
        <v>-453004</v>
      </c>
      <c r="BK42" s="208">
        <v>-362403</v>
      </c>
      <c r="BL42" s="208">
        <v>-81541</v>
      </c>
      <c r="BM42" s="208">
        <v>-9060</v>
      </c>
      <c r="BN42" s="208">
        <v>-906008</v>
      </c>
      <c r="BO42" s="208">
        <v>-1628824</v>
      </c>
      <c r="BP42" s="208">
        <v>-1303060</v>
      </c>
      <c r="BQ42" s="208">
        <v>-293189</v>
      </c>
      <c r="BR42" s="208">
        <v>-32577</v>
      </c>
      <c r="BS42" s="208">
        <v>-3257650</v>
      </c>
      <c r="BT42" s="208">
        <v>-997916</v>
      </c>
      <c r="BU42" s="208">
        <v>-798333</v>
      </c>
      <c r="BV42" s="208">
        <v>-179625</v>
      </c>
      <c r="BW42" s="208">
        <v>-19958</v>
      </c>
      <c r="BX42" s="208">
        <v>-1995832</v>
      </c>
      <c r="BY42" s="208">
        <v>-630909</v>
      </c>
      <c r="BZ42" s="208">
        <v>-504727</v>
      </c>
      <c r="CA42" s="208">
        <v>-113564</v>
      </c>
      <c r="CB42" s="208">
        <v>-12618</v>
      </c>
      <c r="CC42" s="208">
        <v>-1261818</v>
      </c>
      <c r="CD42" s="208">
        <v>540169</v>
      </c>
      <c r="CE42" s="208">
        <v>432135</v>
      </c>
      <c r="CF42" s="208">
        <v>97230</v>
      </c>
      <c r="CG42" s="208">
        <v>10803</v>
      </c>
      <c r="CH42" s="208">
        <v>1080337</v>
      </c>
      <c r="CI42" s="208">
        <v>0</v>
      </c>
      <c r="CJ42" s="208">
        <v>0</v>
      </c>
      <c r="CK42" s="208">
        <v>0</v>
      </c>
      <c r="CL42" s="208">
        <v>0</v>
      </c>
      <c r="CM42" s="208">
        <v>0</v>
      </c>
      <c r="CN42" s="208">
        <v>66218</v>
      </c>
      <c r="CO42" s="208">
        <v>52974</v>
      </c>
      <c r="CP42" s="208">
        <v>11919</v>
      </c>
      <c r="CQ42" s="208">
        <v>1324</v>
      </c>
      <c r="CR42" s="208">
        <v>132435</v>
      </c>
      <c r="CS42" s="208">
        <v>-616047</v>
      </c>
      <c r="CT42" s="208">
        <v>-492838</v>
      </c>
      <c r="CU42" s="208">
        <v>-110889</v>
      </c>
      <c r="CV42" s="208">
        <v>-12321</v>
      </c>
      <c r="CW42" s="208">
        <v>-1232095</v>
      </c>
      <c r="CX42" s="208">
        <v>-1638484</v>
      </c>
      <c r="CY42" s="208">
        <v>-1310789</v>
      </c>
      <c r="CZ42" s="208">
        <v>-294929</v>
      </c>
      <c r="DA42" s="208">
        <v>-32771</v>
      </c>
      <c r="DB42" s="208">
        <v>-3276973</v>
      </c>
      <c r="DC42" s="208">
        <v>-391529</v>
      </c>
      <c r="DD42" s="208">
        <v>-313224</v>
      </c>
      <c r="DE42" s="208">
        <v>-70476</v>
      </c>
      <c r="DF42" s="208">
        <v>-7831</v>
      </c>
      <c r="DG42" s="208">
        <v>-783060</v>
      </c>
      <c r="DH42" s="208">
        <v>-1246956</v>
      </c>
      <c r="DI42" s="208">
        <v>-997565</v>
      </c>
      <c r="DJ42" s="208">
        <v>-224453</v>
      </c>
      <c r="DK42" s="208">
        <v>-24939</v>
      </c>
      <c r="DL42" s="208">
        <v>-2493913</v>
      </c>
      <c r="DM42" s="208">
        <v>-147993</v>
      </c>
      <c r="DN42" s="208">
        <v>-118394</v>
      </c>
      <c r="DO42" s="208">
        <v>-26639</v>
      </c>
      <c r="DP42" s="208">
        <v>-2960</v>
      </c>
      <c r="DQ42" s="208">
        <v>-295986</v>
      </c>
      <c r="DR42" s="208">
        <v>1740917</v>
      </c>
      <c r="DS42" s="208">
        <v>1392734</v>
      </c>
      <c r="DT42" s="208">
        <v>313365</v>
      </c>
      <c r="DU42" s="208">
        <v>34818</v>
      </c>
      <c r="DV42" s="208">
        <v>3481834</v>
      </c>
      <c r="DW42" s="208">
        <v>-1888910</v>
      </c>
      <c r="DX42" s="208">
        <v>-1511128</v>
      </c>
      <c r="DY42" s="208">
        <v>-340004</v>
      </c>
      <c r="DZ42" s="208">
        <v>-37778</v>
      </c>
      <c r="EA42" s="208">
        <v>-3777820</v>
      </c>
      <c r="EB42" s="208">
        <v>12341000</v>
      </c>
      <c r="EC42" s="208">
        <v>9872800</v>
      </c>
      <c r="ED42" s="208">
        <v>2221380</v>
      </c>
      <c r="EE42" s="208">
        <v>246820</v>
      </c>
      <c r="EF42" s="208">
        <v>24682000</v>
      </c>
      <c r="EG42" s="208">
        <v>11777031</v>
      </c>
      <c r="EH42" s="208">
        <v>9421626</v>
      </c>
      <c r="EI42" s="208">
        <v>2119866</v>
      </c>
      <c r="EJ42" s="208">
        <v>235541</v>
      </c>
      <c r="EK42" s="208">
        <v>23554064</v>
      </c>
      <c r="EL42" s="208">
        <v>-563969</v>
      </c>
      <c r="EM42" s="208">
        <v>-451174</v>
      </c>
      <c r="EN42" s="208">
        <v>-101514</v>
      </c>
      <c r="EO42" s="208">
        <v>-11279</v>
      </c>
      <c r="EP42" s="208">
        <v>-1127936</v>
      </c>
      <c r="EQ42" s="208">
        <v>-2452879</v>
      </c>
      <c r="ER42" s="208">
        <v>-1962302</v>
      </c>
      <c r="ES42" s="208">
        <v>-441518</v>
      </c>
      <c r="ET42" s="208">
        <v>-49057</v>
      </c>
      <c r="EU42" s="208">
        <v>-4905756</v>
      </c>
      <c r="EV42" s="666">
        <v>0.5</v>
      </c>
      <c r="EW42" s="666">
        <v>0.4</v>
      </c>
      <c r="EX42" s="666">
        <v>0.09</v>
      </c>
      <c r="EY42" s="666">
        <v>0.01</v>
      </c>
      <c r="EZ42" s="666">
        <v>1</v>
      </c>
      <c r="FA42" s="187" t="s">
        <v>1054</v>
      </c>
      <c r="FC42" s="187">
        <v>0</v>
      </c>
    </row>
    <row r="43" spans="1:159" s="187" customFormat="1" x14ac:dyDescent="0.2">
      <c r="B43" s="429" t="s">
        <v>165</v>
      </c>
      <c r="C43" s="429" t="s">
        <v>164</v>
      </c>
      <c r="D43" s="208">
        <v>19110874</v>
      </c>
      <c r="E43" s="208">
        <v>15288700</v>
      </c>
      <c r="F43" s="208">
        <v>3822175</v>
      </c>
      <c r="G43" s="208">
        <v>0</v>
      </c>
      <c r="H43" s="208">
        <v>38221749</v>
      </c>
      <c r="I43" s="208">
        <v>0</v>
      </c>
      <c r="J43" s="208">
        <v>0</v>
      </c>
      <c r="K43" s="208">
        <v>19110874</v>
      </c>
      <c r="L43" s="208">
        <v>112353</v>
      </c>
      <c r="M43" s="208">
        <v>112353</v>
      </c>
      <c r="N43" s="208">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1312386</v>
      </c>
      <c r="AH43" s="208">
        <v>328098</v>
      </c>
      <c r="AI43" s="208">
        <v>0</v>
      </c>
      <c r="AJ43" s="208">
        <v>1640484</v>
      </c>
      <c r="AK43" s="208">
        <v>742706</v>
      </c>
      <c r="AL43" s="208">
        <v>594165</v>
      </c>
      <c r="AM43" s="208">
        <v>148541</v>
      </c>
      <c r="AN43" s="208">
        <v>0</v>
      </c>
      <c r="AO43" s="208">
        <v>1485412</v>
      </c>
      <c r="AP43" s="208">
        <v>-16323</v>
      </c>
      <c r="AQ43" s="208">
        <v>-13058</v>
      </c>
      <c r="AR43" s="208">
        <v>-3265</v>
      </c>
      <c r="AS43" s="208">
        <v>0</v>
      </c>
      <c r="AT43" s="208">
        <v>-32646</v>
      </c>
      <c r="AU43" s="208">
        <v>-722272</v>
      </c>
      <c r="AV43" s="208">
        <v>-577817</v>
      </c>
      <c r="AW43" s="208">
        <v>-144454</v>
      </c>
      <c r="AX43" s="208">
        <v>0</v>
      </c>
      <c r="AY43" s="208">
        <v>-1444543</v>
      </c>
      <c r="AZ43" s="208">
        <v>177257</v>
      </c>
      <c r="BA43" s="208">
        <v>141806</v>
      </c>
      <c r="BB43" s="208">
        <v>35452</v>
      </c>
      <c r="BC43" s="208">
        <v>0</v>
      </c>
      <c r="BD43" s="208">
        <v>354515</v>
      </c>
      <c r="BE43" s="208">
        <v>80538</v>
      </c>
      <c r="BF43" s="208">
        <v>64431</v>
      </c>
      <c r="BG43" s="208">
        <v>16108</v>
      </c>
      <c r="BH43" s="208">
        <v>0</v>
      </c>
      <c r="BI43" s="208">
        <v>161077</v>
      </c>
      <c r="BJ43" s="208">
        <v>-464477</v>
      </c>
      <c r="BK43" s="208">
        <v>-371580</v>
      </c>
      <c r="BL43" s="208">
        <v>-92894</v>
      </c>
      <c r="BM43" s="208">
        <v>0</v>
      </c>
      <c r="BN43" s="208">
        <v>-928951</v>
      </c>
      <c r="BO43" s="208">
        <v>-1115701</v>
      </c>
      <c r="BP43" s="208">
        <v>-892561</v>
      </c>
      <c r="BQ43" s="208">
        <v>-223140</v>
      </c>
      <c r="BR43" s="208">
        <v>0</v>
      </c>
      <c r="BS43" s="208">
        <v>-2231402</v>
      </c>
      <c r="BT43" s="208">
        <v>0</v>
      </c>
      <c r="BU43" s="208">
        <v>0</v>
      </c>
      <c r="BV43" s="208">
        <v>0</v>
      </c>
      <c r="BW43" s="208">
        <v>0</v>
      </c>
      <c r="BX43" s="208">
        <v>0</v>
      </c>
      <c r="BY43" s="208">
        <v>-1115701</v>
      </c>
      <c r="BZ43" s="208">
        <v>-892561</v>
      </c>
      <c r="CA43" s="208">
        <v>-223140</v>
      </c>
      <c r="CB43" s="208">
        <v>0</v>
      </c>
      <c r="CC43" s="208">
        <v>-2231402</v>
      </c>
      <c r="CD43" s="208">
        <v>189302</v>
      </c>
      <c r="CE43" s="208">
        <v>151441</v>
      </c>
      <c r="CF43" s="208">
        <v>37860</v>
      </c>
      <c r="CG43" s="208">
        <v>0</v>
      </c>
      <c r="CH43" s="208">
        <v>378603</v>
      </c>
      <c r="CI43" s="208">
        <v>0</v>
      </c>
      <c r="CJ43" s="208">
        <v>0</v>
      </c>
      <c r="CK43" s="208">
        <v>0</v>
      </c>
      <c r="CL43" s="208">
        <v>0</v>
      </c>
      <c r="CM43" s="208">
        <v>0</v>
      </c>
      <c r="CN43" s="208">
        <v>-775501</v>
      </c>
      <c r="CO43" s="208">
        <v>-620401</v>
      </c>
      <c r="CP43" s="208">
        <v>-155100</v>
      </c>
      <c r="CQ43" s="208">
        <v>0</v>
      </c>
      <c r="CR43" s="208">
        <v>-1551002</v>
      </c>
      <c r="CS43" s="208">
        <v>0</v>
      </c>
      <c r="CT43" s="208">
        <v>0</v>
      </c>
      <c r="CU43" s="208">
        <v>0</v>
      </c>
      <c r="CV43" s="208">
        <v>0</v>
      </c>
      <c r="CW43" s="208">
        <v>0</v>
      </c>
      <c r="CX43" s="208">
        <v>-1701900</v>
      </c>
      <c r="CY43" s="208">
        <v>-1361521</v>
      </c>
      <c r="CZ43" s="208">
        <v>-340380</v>
      </c>
      <c r="DA43" s="208">
        <v>0</v>
      </c>
      <c r="DB43" s="208">
        <v>-3403801</v>
      </c>
      <c r="DC43" s="208">
        <v>-586199</v>
      </c>
      <c r="DD43" s="208">
        <v>-468960</v>
      </c>
      <c r="DE43" s="208">
        <v>-117240</v>
      </c>
      <c r="DF43" s="208">
        <v>0</v>
      </c>
      <c r="DG43" s="208">
        <v>-1172399</v>
      </c>
      <c r="DH43" s="208">
        <v>-1115701</v>
      </c>
      <c r="DI43" s="208">
        <v>-892561</v>
      </c>
      <c r="DJ43" s="208">
        <v>-223140</v>
      </c>
      <c r="DK43" s="208">
        <v>0</v>
      </c>
      <c r="DL43" s="208">
        <v>-2231402</v>
      </c>
      <c r="DM43" s="208">
        <v>-1399024</v>
      </c>
      <c r="DN43" s="208">
        <v>-1119220</v>
      </c>
      <c r="DO43" s="208">
        <v>-279805</v>
      </c>
      <c r="DP43" s="208">
        <v>0</v>
      </c>
      <c r="DQ43" s="208">
        <v>-2798049</v>
      </c>
      <c r="DR43" s="208">
        <v>-1121421</v>
      </c>
      <c r="DS43" s="208">
        <v>-897137</v>
      </c>
      <c r="DT43" s="208">
        <v>-224284</v>
      </c>
      <c r="DU43" s="208">
        <v>0</v>
      </c>
      <c r="DV43" s="208">
        <v>-2242842</v>
      </c>
      <c r="DW43" s="208">
        <v>-277603</v>
      </c>
      <c r="DX43" s="208">
        <v>-222083</v>
      </c>
      <c r="DY43" s="208">
        <v>-55521</v>
      </c>
      <c r="DZ43" s="208">
        <v>0</v>
      </c>
      <c r="EA43" s="208">
        <v>-555207</v>
      </c>
      <c r="EB43" s="208">
        <v>20525294</v>
      </c>
      <c r="EC43" s="208">
        <v>16420235</v>
      </c>
      <c r="ED43" s="208">
        <v>4105059</v>
      </c>
      <c r="EE43" s="208">
        <v>0</v>
      </c>
      <c r="EF43" s="208">
        <v>41050588</v>
      </c>
      <c r="EG43" s="208">
        <v>19110874</v>
      </c>
      <c r="EH43" s="208">
        <v>15288700</v>
      </c>
      <c r="EI43" s="208">
        <v>3822175</v>
      </c>
      <c r="EJ43" s="208">
        <v>0</v>
      </c>
      <c r="EK43" s="208">
        <v>38221749</v>
      </c>
      <c r="EL43" s="208">
        <v>-1414420</v>
      </c>
      <c r="EM43" s="208">
        <v>-1131535</v>
      </c>
      <c r="EN43" s="208">
        <v>-282884</v>
      </c>
      <c r="EO43" s="208">
        <v>0</v>
      </c>
      <c r="EP43" s="208">
        <v>-2828839</v>
      </c>
      <c r="EQ43" s="208">
        <v>-1692023</v>
      </c>
      <c r="ER43" s="208">
        <v>-1353618</v>
      </c>
      <c r="ES43" s="208">
        <v>-338405</v>
      </c>
      <c r="ET43" s="208">
        <v>0</v>
      </c>
      <c r="EU43" s="208">
        <v>-3384046</v>
      </c>
      <c r="EV43" s="666">
        <v>0.5</v>
      </c>
      <c r="EW43" s="666">
        <v>0.4</v>
      </c>
      <c r="EX43" s="666">
        <v>0.1</v>
      </c>
      <c r="EY43" s="666">
        <v>0</v>
      </c>
      <c r="EZ43" s="666">
        <v>1</v>
      </c>
      <c r="FA43" s="187" t="s">
        <v>1054</v>
      </c>
      <c r="FC43" s="187">
        <v>0</v>
      </c>
    </row>
    <row r="44" spans="1:159" s="187" customFormat="1" x14ac:dyDescent="0.2">
      <c r="B44" s="429" t="s">
        <v>167</v>
      </c>
      <c r="C44" s="429" t="s">
        <v>166</v>
      </c>
      <c r="D44" s="208">
        <v>13523276</v>
      </c>
      <c r="E44" s="208">
        <v>10818621</v>
      </c>
      <c r="F44" s="208">
        <v>2434190</v>
      </c>
      <c r="G44" s="208">
        <v>270466</v>
      </c>
      <c r="H44" s="208">
        <v>27046553</v>
      </c>
      <c r="I44" s="208">
        <v>112521</v>
      </c>
      <c r="J44" s="208">
        <v>112521</v>
      </c>
      <c r="K44" s="208">
        <v>13410755</v>
      </c>
      <c r="L44" s="208">
        <v>103272</v>
      </c>
      <c r="M44" s="208">
        <v>103272</v>
      </c>
      <c r="N44" s="208">
        <v>0</v>
      </c>
      <c r="O44" s="208">
        <v>0</v>
      </c>
      <c r="P44" s="208">
        <v>0</v>
      </c>
      <c r="Q44" s="208">
        <v>0</v>
      </c>
      <c r="R44" s="208">
        <v>0</v>
      </c>
      <c r="S44" s="208">
        <v>0</v>
      </c>
      <c r="T44" s="208">
        <v>0</v>
      </c>
      <c r="U44" s="208">
        <v>0</v>
      </c>
      <c r="V44" s="208">
        <v>0</v>
      </c>
      <c r="W44" s="208">
        <v>112520.83333333334</v>
      </c>
      <c r="X44" s="208">
        <v>0</v>
      </c>
      <c r="Y44" s="208">
        <v>0</v>
      </c>
      <c r="Z44" s="208">
        <v>112520.83333333334</v>
      </c>
      <c r="AA44" s="208">
        <v>0</v>
      </c>
      <c r="AB44" s="208">
        <v>0</v>
      </c>
      <c r="AC44" s="208">
        <v>0</v>
      </c>
      <c r="AD44" s="208">
        <v>0</v>
      </c>
      <c r="AE44" s="208">
        <v>0</v>
      </c>
      <c r="AF44" s="208">
        <v>0</v>
      </c>
      <c r="AG44" s="208">
        <v>1074046</v>
      </c>
      <c r="AH44" s="208">
        <v>241661</v>
      </c>
      <c r="AI44" s="208">
        <v>26851</v>
      </c>
      <c r="AJ44" s="208">
        <v>1342558</v>
      </c>
      <c r="AK44" s="208">
        <v>223911</v>
      </c>
      <c r="AL44" s="208">
        <v>179129</v>
      </c>
      <c r="AM44" s="208">
        <v>40304</v>
      </c>
      <c r="AN44" s="208">
        <v>4478</v>
      </c>
      <c r="AO44" s="208">
        <v>447822</v>
      </c>
      <c r="AP44" s="208">
        <v>-206375</v>
      </c>
      <c r="AQ44" s="208">
        <v>-165099</v>
      </c>
      <c r="AR44" s="208">
        <v>-37147</v>
      </c>
      <c r="AS44" s="208">
        <v>-4127</v>
      </c>
      <c r="AT44" s="208">
        <v>-412748</v>
      </c>
      <c r="AU44" s="208">
        <v>-334500</v>
      </c>
      <c r="AV44" s="208">
        <v>-267600</v>
      </c>
      <c r="AW44" s="208">
        <v>-60210</v>
      </c>
      <c r="AX44" s="208">
        <v>-6690</v>
      </c>
      <c r="AY44" s="208">
        <v>-669000</v>
      </c>
      <c r="AZ44" s="208">
        <v>151442</v>
      </c>
      <c r="BA44" s="208">
        <v>121154</v>
      </c>
      <c r="BB44" s="208">
        <v>27260</v>
      </c>
      <c r="BC44" s="208">
        <v>3029</v>
      </c>
      <c r="BD44" s="208">
        <v>302885</v>
      </c>
      <c r="BE44" s="208">
        <v>31057</v>
      </c>
      <c r="BF44" s="208">
        <v>24846</v>
      </c>
      <c r="BG44" s="208">
        <v>5590</v>
      </c>
      <c r="BH44" s="208">
        <v>621</v>
      </c>
      <c r="BI44" s="208">
        <v>62114</v>
      </c>
      <c r="BJ44" s="208">
        <v>-152001</v>
      </c>
      <c r="BK44" s="208">
        <v>-121600</v>
      </c>
      <c r="BL44" s="208">
        <v>-27360</v>
      </c>
      <c r="BM44" s="208">
        <v>-3040</v>
      </c>
      <c r="BN44" s="208">
        <v>-304001</v>
      </c>
      <c r="BO44" s="208">
        <v>-687454</v>
      </c>
      <c r="BP44" s="208">
        <v>-549963</v>
      </c>
      <c r="BQ44" s="208">
        <v>-123742</v>
      </c>
      <c r="BR44" s="208">
        <v>-13749</v>
      </c>
      <c r="BS44" s="208">
        <v>-1374908</v>
      </c>
      <c r="BT44" s="208">
        <v>-665130</v>
      </c>
      <c r="BU44" s="208">
        <v>-532105</v>
      </c>
      <c r="BV44" s="208">
        <v>-119724</v>
      </c>
      <c r="BW44" s="208">
        <v>-13303</v>
      </c>
      <c r="BX44" s="208">
        <v>-1330262</v>
      </c>
      <c r="BY44" s="208">
        <v>-22324</v>
      </c>
      <c r="BZ44" s="208">
        <v>-17858</v>
      </c>
      <c r="CA44" s="208">
        <v>-4018</v>
      </c>
      <c r="CB44" s="208">
        <v>-446</v>
      </c>
      <c r="CC44" s="208">
        <v>-44646</v>
      </c>
      <c r="CD44" s="208">
        <v>465651</v>
      </c>
      <c r="CE44" s="208">
        <v>372520</v>
      </c>
      <c r="CF44" s="208">
        <v>83817</v>
      </c>
      <c r="CG44" s="208">
        <v>9313</v>
      </c>
      <c r="CH44" s="208">
        <v>931301</v>
      </c>
      <c r="CI44" s="208">
        <v>0</v>
      </c>
      <c r="CJ44" s="208">
        <v>0</v>
      </c>
      <c r="CK44" s="208">
        <v>0</v>
      </c>
      <c r="CL44" s="208">
        <v>0</v>
      </c>
      <c r="CM44" s="208">
        <v>0</v>
      </c>
      <c r="CN44" s="208">
        <v>-190144</v>
      </c>
      <c r="CO44" s="208">
        <v>-152115</v>
      </c>
      <c r="CP44" s="208">
        <v>-34226</v>
      </c>
      <c r="CQ44" s="208">
        <v>-3803</v>
      </c>
      <c r="CR44" s="208">
        <v>-380288</v>
      </c>
      <c r="CS44" s="208">
        <v>-13114</v>
      </c>
      <c r="CT44" s="208">
        <v>-10492</v>
      </c>
      <c r="CU44" s="208">
        <v>-2361</v>
      </c>
      <c r="CV44" s="208">
        <v>-262</v>
      </c>
      <c r="CW44" s="208">
        <v>-26229</v>
      </c>
      <c r="CX44" s="208">
        <v>-425061</v>
      </c>
      <c r="CY44" s="208">
        <v>-340050</v>
      </c>
      <c r="CZ44" s="208">
        <v>-76512</v>
      </c>
      <c r="DA44" s="208">
        <v>-8501</v>
      </c>
      <c r="DB44" s="208">
        <v>-850124</v>
      </c>
      <c r="DC44" s="208">
        <v>-389623</v>
      </c>
      <c r="DD44" s="208">
        <v>-311700</v>
      </c>
      <c r="DE44" s="208">
        <v>-70133</v>
      </c>
      <c r="DF44" s="208">
        <v>-7793</v>
      </c>
      <c r="DG44" s="208">
        <v>-779249</v>
      </c>
      <c r="DH44" s="208">
        <v>-35438</v>
      </c>
      <c r="DI44" s="208">
        <v>-28350</v>
      </c>
      <c r="DJ44" s="208">
        <v>-6379</v>
      </c>
      <c r="DK44" s="208">
        <v>-708</v>
      </c>
      <c r="DL44" s="208">
        <v>-70875</v>
      </c>
      <c r="DM44" s="208">
        <v>-645727.6799999997</v>
      </c>
      <c r="DN44" s="208">
        <v>-516581</v>
      </c>
      <c r="DO44" s="208">
        <v>-116231</v>
      </c>
      <c r="DP44" s="208">
        <v>-12914</v>
      </c>
      <c r="DQ44" s="208">
        <v>-1291453.6799999997</v>
      </c>
      <c r="DR44" s="208">
        <v>-900929</v>
      </c>
      <c r="DS44" s="208">
        <v>-720744</v>
      </c>
      <c r="DT44" s="208">
        <v>-162167</v>
      </c>
      <c r="DU44" s="208">
        <v>-18019</v>
      </c>
      <c r="DV44" s="208">
        <v>-1801859</v>
      </c>
      <c r="DW44" s="208">
        <v>255201.3200000003</v>
      </c>
      <c r="DX44" s="208">
        <v>204163</v>
      </c>
      <c r="DY44" s="208">
        <v>45936</v>
      </c>
      <c r="DZ44" s="208">
        <v>5105</v>
      </c>
      <c r="EA44" s="208">
        <v>510405.3200000003</v>
      </c>
      <c r="EB44" s="208">
        <v>13997359</v>
      </c>
      <c r="EC44" s="208">
        <v>11197888</v>
      </c>
      <c r="ED44" s="208">
        <v>2519525</v>
      </c>
      <c r="EE44" s="208">
        <v>279947</v>
      </c>
      <c r="EF44" s="208">
        <v>27994719</v>
      </c>
      <c r="EG44" s="208">
        <v>13523276</v>
      </c>
      <c r="EH44" s="208">
        <v>10818621</v>
      </c>
      <c r="EI44" s="208">
        <v>2434190</v>
      </c>
      <c r="EJ44" s="208">
        <v>270466</v>
      </c>
      <c r="EK44" s="208">
        <v>27046553</v>
      </c>
      <c r="EL44" s="208">
        <v>-474083</v>
      </c>
      <c r="EM44" s="208">
        <v>-379267</v>
      </c>
      <c r="EN44" s="208">
        <v>-85335</v>
      </c>
      <c r="EO44" s="208">
        <v>-9481</v>
      </c>
      <c r="EP44" s="208">
        <v>-948166</v>
      </c>
      <c r="EQ44" s="208">
        <v>-218881.6799999997</v>
      </c>
      <c r="ER44" s="208">
        <v>-175104</v>
      </c>
      <c r="ES44" s="208">
        <v>-39399</v>
      </c>
      <c r="ET44" s="208">
        <v>-4376</v>
      </c>
      <c r="EU44" s="208">
        <v>-437760.6799999997</v>
      </c>
      <c r="EV44" s="666">
        <v>0.5</v>
      </c>
      <c r="EW44" s="666">
        <v>0.4</v>
      </c>
      <c r="EX44" s="666">
        <v>0.09</v>
      </c>
      <c r="EY44" s="666">
        <v>0.01</v>
      </c>
      <c r="EZ44" s="666">
        <v>1</v>
      </c>
      <c r="FA44" s="187" t="s">
        <v>1054</v>
      </c>
      <c r="FC44" s="187">
        <v>0</v>
      </c>
    </row>
    <row r="45" spans="1:159" s="187" customFormat="1" x14ac:dyDescent="0.2">
      <c r="B45" s="429" t="s">
        <v>169</v>
      </c>
      <c r="C45" s="429" t="s">
        <v>168</v>
      </c>
      <c r="D45" s="208">
        <v>12994282</v>
      </c>
      <c r="E45" s="208">
        <v>10395426</v>
      </c>
      <c r="F45" s="208">
        <v>2338971</v>
      </c>
      <c r="G45" s="208">
        <v>259886</v>
      </c>
      <c r="H45" s="208">
        <v>25988565</v>
      </c>
      <c r="I45" s="208">
        <v>0</v>
      </c>
      <c r="J45" s="208">
        <v>0</v>
      </c>
      <c r="K45" s="208">
        <v>12994282</v>
      </c>
      <c r="L45" s="208">
        <v>148187</v>
      </c>
      <c r="M45" s="208">
        <v>148187</v>
      </c>
      <c r="N45" s="208">
        <v>0</v>
      </c>
      <c r="O45" s="208">
        <v>0</v>
      </c>
      <c r="P45" s="208">
        <v>234779</v>
      </c>
      <c r="Q45" s="208">
        <v>0</v>
      </c>
      <c r="R45" s="208">
        <v>234779</v>
      </c>
      <c r="S45" s="208">
        <v>0</v>
      </c>
      <c r="T45" s="208">
        <v>0</v>
      </c>
      <c r="U45" s="208">
        <v>0</v>
      </c>
      <c r="V45" s="208">
        <v>0</v>
      </c>
      <c r="W45" s="208">
        <v>0</v>
      </c>
      <c r="X45" s="208">
        <v>0</v>
      </c>
      <c r="Y45" s="208">
        <v>0</v>
      </c>
      <c r="Z45" s="208">
        <v>0</v>
      </c>
      <c r="AA45" s="208">
        <v>0</v>
      </c>
      <c r="AB45" s="208">
        <v>0</v>
      </c>
      <c r="AC45" s="208">
        <v>0</v>
      </c>
      <c r="AD45" s="208">
        <v>0</v>
      </c>
      <c r="AE45" s="208">
        <v>0</v>
      </c>
      <c r="AF45" s="208">
        <v>0</v>
      </c>
      <c r="AG45" s="208">
        <v>1341746</v>
      </c>
      <c r="AH45" s="208">
        <v>300682</v>
      </c>
      <c r="AI45" s="208">
        <v>33410</v>
      </c>
      <c r="AJ45" s="208">
        <v>1675838</v>
      </c>
      <c r="AK45" s="208">
        <v>1522331</v>
      </c>
      <c r="AL45" s="208">
        <v>1217866</v>
      </c>
      <c r="AM45" s="208">
        <v>274020</v>
      </c>
      <c r="AN45" s="208">
        <v>30447</v>
      </c>
      <c r="AO45" s="208">
        <v>3044664</v>
      </c>
      <c r="AP45" s="208">
        <v>-307244</v>
      </c>
      <c r="AQ45" s="208">
        <v>-245795</v>
      </c>
      <c r="AR45" s="208">
        <v>-55304</v>
      </c>
      <c r="AS45" s="208">
        <v>-6145</v>
      </c>
      <c r="AT45" s="208">
        <v>-614488</v>
      </c>
      <c r="AU45" s="208">
        <v>-681895.33999999985</v>
      </c>
      <c r="AV45" s="208">
        <v>-545516</v>
      </c>
      <c r="AW45" s="208">
        <v>-122741</v>
      </c>
      <c r="AX45" s="208">
        <v>-13638</v>
      </c>
      <c r="AY45" s="208">
        <v>-1363790.3399999999</v>
      </c>
      <c r="AZ45" s="208">
        <v>165657</v>
      </c>
      <c r="BA45" s="208">
        <v>132526</v>
      </c>
      <c r="BB45" s="208">
        <v>29818</v>
      </c>
      <c r="BC45" s="208">
        <v>3313</v>
      </c>
      <c r="BD45" s="208">
        <v>331314</v>
      </c>
      <c r="BE45" s="208">
        <v>-441481</v>
      </c>
      <c r="BF45" s="208">
        <v>-353186</v>
      </c>
      <c r="BG45" s="208">
        <v>-79467</v>
      </c>
      <c r="BH45" s="208">
        <v>-8830</v>
      </c>
      <c r="BI45" s="208">
        <v>-882964</v>
      </c>
      <c r="BJ45" s="208">
        <v>-957719.33999999985</v>
      </c>
      <c r="BK45" s="208">
        <v>-766176</v>
      </c>
      <c r="BL45" s="208">
        <v>-172390</v>
      </c>
      <c r="BM45" s="208">
        <v>-19155</v>
      </c>
      <c r="BN45" s="208">
        <v>-1915440.3399999999</v>
      </c>
      <c r="BO45" s="208">
        <v>-3302460</v>
      </c>
      <c r="BP45" s="208">
        <v>-2641968</v>
      </c>
      <c r="BQ45" s="208">
        <v>-594443</v>
      </c>
      <c r="BR45" s="208">
        <v>-66049</v>
      </c>
      <c r="BS45" s="208">
        <v>-6604920</v>
      </c>
      <c r="BT45" s="208">
        <v>-2663192</v>
      </c>
      <c r="BU45" s="208">
        <v>-2130553</v>
      </c>
      <c r="BV45" s="208">
        <v>-479374</v>
      </c>
      <c r="BW45" s="208">
        <v>-53264</v>
      </c>
      <c r="BX45" s="208">
        <v>-5326383</v>
      </c>
      <c r="BY45" s="208">
        <v>-639269</v>
      </c>
      <c r="BZ45" s="208">
        <v>-511415</v>
      </c>
      <c r="CA45" s="208">
        <v>-115068</v>
      </c>
      <c r="CB45" s="208">
        <v>-12785</v>
      </c>
      <c r="CC45" s="208">
        <v>-1278537</v>
      </c>
      <c r="CD45" s="208">
        <v>208053</v>
      </c>
      <c r="CE45" s="208">
        <v>166443</v>
      </c>
      <c r="CF45" s="208">
        <v>37450</v>
      </c>
      <c r="CG45" s="208">
        <v>4161</v>
      </c>
      <c r="CH45" s="208">
        <v>416107</v>
      </c>
      <c r="CI45" s="208">
        <v>0</v>
      </c>
      <c r="CJ45" s="208">
        <v>0</v>
      </c>
      <c r="CK45" s="208">
        <v>0</v>
      </c>
      <c r="CL45" s="208">
        <v>0</v>
      </c>
      <c r="CM45" s="208">
        <v>0</v>
      </c>
      <c r="CN45" s="208">
        <v>253301</v>
      </c>
      <c r="CO45" s="208">
        <v>202641</v>
      </c>
      <c r="CP45" s="208">
        <v>45594</v>
      </c>
      <c r="CQ45" s="208">
        <v>5066</v>
      </c>
      <c r="CR45" s="208">
        <v>506602</v>
      </c>
      <c r="CS45" s="208">
        <v>-919504</v>
      </c>
      <c r="CT45" s="208">
        <v>-735603</v>
      </c>
      <c r="CU45" s="208">
        <v>-165511</v>
      </c>
      <c r="CV45" s="208">
        <v>-18390</v>
      </c>
      <c r="CW45" s="208">
        <v>-1839008</v>
      </c>
      <c r="CX45" s="208">
        <v>-3760610</v>
      </c>
      <c r="CY45" s="208">
        <v>-3008487</v>
      </c>
      <c r="CZ45" s="208">
        <v>-676910</v>
      </c>
      <c r="DA45" s="208">
        <v>-75212</v>
      </c>
      <c r="DB45" s="208">
        <v>-7521219</v>
      </c>
      <c r="DC45" s="208">
        <v>-2201838</v>
      </c>
      <c r="DD45" s="208">
        <v>-1761469</v>
      </c>
      <c r="DE45" s="208">
        <v>-396330</v>
      </c>
      <c r="DF45" s="208">
        <v>-44037</v>
      </c>
      <c r="DG45" s="208">
        <v>-4403674</v>
      </c>
      <c r="DH45" s="208">
        <v>-1558773</v>
      </c>
      <c r="DI45" s="208">
        <v>-1247018</v>
      </c>
      <c r="DJ45" s="208">
        <v>-280579</v>
      </c>
      <c r="DK45" s="208">
        <v>-31175</v>
      </c>
      <c r="DL45" s="208">
        <v>-3117545</v>
      </c>
      <c r="DM45" s="208">
        <v>508351</v>
      </c>
      <c r="DN45" s="208">
        <v>406681</v>
      </c>
      <c r="DO45" s="208">
        <v>91504</v>
      </c>
      <c r="DP45" s="208">
        <v>10166</v>
      </c>
      <c r="DQ45" s="208">
        <v>1016702</v>
      </c>
      <c r="DR45" s="208">
        <v>646714</v>
      </c>
      <c r="DS45" s="208">
        <v>517370</v>
      </c>
      <c r="DT45" s="208">
        <v>116408</v>
      </c>
      <c r="DU45" s="208">
        <v>12934</v>
      </c>
      <c r="DV45" s="208">
        <v>1293426</v>
      </c>
      <c r="DW45" s="208">
        <v>-138363</v>
      </c>
      <c r="DX45" s="208">
        <v>-110689</v>
      </c>
      <c r="DY45" s="208">
        <v>-24904</v>
      </c>
      <c r="DZ45" s="208">
        <v>-2768</v>
      </c>
      <c r="EA45" s="208">
        <v>-276724</v>
      </c>
      <c r="EB45" s="208">
        <v>13674178</v>
      </c>
      <c r="EC45" s="208">
        <v>10939343</v>
      </c>
      <c r="ED45" s="208">
        <v>2461352</v>
      </c>
      <c r="EE45" s="208">
        <v>273484</v>
      </c>
      <c r="EF45" s="208">
        <v>27348357</v>
      </c>
      <c r="EG45" s="208">
        <v>12994282</v>
      </c>
      <c r="EH45" s="208">
        <v>10395426</v>
      </c>
      <c r="EI45" s="208">
        <v>2338971</v>
      </c>
      <c r="EJ45" s="208">
        <v>259886</v>
      </c>
      <c r="EK45" s="208">
        <v>25988565</v>
      </c>
      <c r="EL45" s="208">
        <v>-679896</v>
      </c>
      <c r="EM45" s="208">
        <v>-543917</v>
      </c>
      <c r="EN45" s="208">
        <v>-122381</v>
      </c>
      <c r="EO45" s="208">
        <v>-13598</v>
      </c>
      <c r="EP45" s="208">
        <v>-1359792</v>
      </c>
      <c r="EQ45" s="208">
        <v>-818259</v>
      </c>
      <c r="ER45" s="208">
        <v>-654606</v>
      </c>
      <c r="ES45" s="208">
        <v>-147285</v>
      </c>
      <c r="ET45" s="208">
        <v>-16366</v>
      </c>
      <c r="EU45" s="208">
        <v>-1636516</v>
      </c>
      <c r="EV45" s="666">
        <v>0.5</v>
      </c>
      <c r="EW45" s="666">
        <v>0.4</v>
      </c>
      <c r="EX45" s="666">
        <v>0.09</v>
      </c>
      <c r="EY45" s="666">
        <v>0.01</v>
      </c>
      <c r="EZ45" s="666">
        <v>1</v>
      </c>
      <c r="FA45" s="187" t="s">
        <v>1054</v>
      </c>
      <c r="FC45" s="187">
        <v>0</v>
      </c>
    </row>
    <row r="46" spans="1:159" s="187" customFormat="1" x14ac:dyDescent="0.2">
      <c r="B46" s="429" t="s">
        <v>171</v>
      </c>
      <c r="C46" s="429" t="s">
        <v>170</v>
      </c>
      <c r="D46" s="208">
        <v>0</v>
      </c>
      <c r="E46" s="208">
        <v>51795385</v>
      </c>
      <c r="F46" s="208">
        <v>0</v>
      </c>
      <c r="G46" s="208">
        <v>523186</v>
      </c>
      <c r="H46" s="208">
        <v>52318571</v>
      </c>
      <c r="I46" s="208">
        <v>0</v>
      </c>
      <c r="J46" s="208">
        <v>0</v>
      </c>
      <c r="K46" s="208">
        <v>0</v>
      </c>
      <c r="L46" s="208">
        <v>239552</v>
      </c>
      <c r="M46" s="208">
        <v>239552</v>
      </c>
      <c r="N46" s="208">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7138058</v>
      </c>
      <c r="AH46" s="208">
        <v>0</v>
      </c>
      <c r="AI46" s="208">
        <v>72103</v>
      </c>
      <c r="AJ46" s="208">
        <v>7210161</v>
      </c>
      <c r="AK46" s="208">
        <v>0</v>
      </c>
      <c r="AL46" s="208">
        <v>6941581</v>
      </c>
      <c r="AM46" s="208">
        <v>0</v>
      </c>
      <c r="AN46" s="208">
        <v>70117</v>
      </c>
      <c r="AO46" s="208">
        <v>7011698</v>
      </c>
      <c r="AP46" s="208">
        <v>0</v>
      </c>
      <c r="AQ46" s="208">
        <v>-1529127</v>
      </c>
      <c r="AR46" s="208">
        <v>0</v>
      </c>
      <c r="AS46" s="208">
        <v>-15446</v>
      </c>
      <c r="AT46" s="208">
        <v>-1544573</v>
      </c>
      <c r="AU46" s="208">
        <v>0</v>
      </c>
      <c r="AV46" s="208">
        <v>-3925993</v>
      </c>
      <c r="AW46" s="208">
        <v>0</v>
      </c>
      <c r="AX46" s="208">
        <v>-39656</v>
      </c>
      <c r="AY46" s="208">
        <v>-3965649</v>
      </c>
      <c r="AZ46" s="208">
        <v>0</v>
      </c>
      <c r="BA46" s="208">
        <v>264568</v>
      </c>
      <c r="BB46" s="208">
        <v>0</v>
      </c>
      <c r="BC46" s="208">
        <v>2672</v>
      </c>
      <c r="BD46" s="208">
        <v>267240</v>
      </c>
      <c r="BE46" s="208">
        <v>0</v>
      </c>
      <c r="BF46" s="208">
        <v>-510459</v>
      </c>
      <c r="BG46" s="208">
        <v>0</v>
      </c>
      <c r="BH46" s="208">
        <v>-5156</v>
      </c>
      <c r="BI46" s="208">
        <v>-515615</v>
      </c>
      <c r="BJ46" s="208">
        <v>0</v>
      </c>
      <c r="BK46" s="208">
        <v>-4171884</v>
      </c>
      <c r="BL46" s="208">
        <v>0</v>
      </c>
      <c r="BM46" s="208">
        <v>-42140</v>
      </c>
      <c r="BN46" s="208">
        <v>-4214024</v>
      </c>
      <c r="BO46" s="208">
        <v>0</v>
      </c>
      <c r="BP46" s="208">
        <v>-12768438</v>
      </c>
      <c r="BQ46" s="208">
        <v>0</v>
      </c>
      <c r="BR46" s="208">
        <v>-128974</v>
      </c>
      <c r="BS46" s="208">
        <v>-12897412</v>
      </c>
      <c r="BT46" s="208">
        <v>0</v>
      </c>
      <c r="BU46" s="208">
        <v>-5299894</v>
      </c>
      <c r="BV46" s="208">
        <v>0</v>
      </c>
      <c r="BW46" s="208">
        <v>-53534</v>
      </c>
      <c r="BX46" s="208">
        <v>-5353428</v>
      </c>
      <c r="BY46" s="208">
        <v>0</v>
      </c>
      <c r="BZ46" s="208">
        <v>-7468544</v>
      </c>
      <c r="CA46" s="208">
        <v>0</v>
      </c>
      <c r="CB46" s="208">
        <v>-75440</v>
      </c>
      <c r="CC46" s="208">
        <v>-7543984</v>
      </c>
      <c r="CD46" s="208">
        <v>0</v>
      </c>
      <c r="CE46" s="208">
        <v>1192213</v>
      </c>
      <c r="CF46" s="208">
        <v>0</v>
      </c>
      <c r="CG46" s="208">
        <v>12043</v>
      </c>
      <c r="CH46" s="208">
        <v>1204256</v>
      </c>
      <c r="CI46" s="208">
        <v>0</v>
      </c>
      <c r="CJ46" s="208">
        <v>460450</v>
      </c>
      <c r="CK46" s="208">
        <v>0</v>
      </c>
      <c r="CL46" s="208">
        <v>4651</v>
      </c>
      <c r="CM46" s="208">
        <v>465101</v>
      </c>
      <c r="CN46" s="208">
        <v>0</v>
      </c>
      <c r="CO46" s="208">
        <v>-488946</v>
      </c>
      <c r="CP46" s="208">
        <v>0</v>
      </c>
      <c r="CQ46" s="208">
        <v>-4939</v>
      </c>
      <c r="CR46" s="208">
        <v>-493885</v>
      </c>
      <c r="CS46" s="208">
        <v>0</v>
      </c>
      <c r="CT46" s="208">
        <v>1845187</v>
      </c>
      <c r="CU46" s="208">
        <v>0</v>
      </c>
      <c r="CV46" s="208">
        <v>18638</v>
      </c>
      <c r="CW46" s="208">
        <v>1863825</v>
      </c>
      <c r="CX46" s="208">
        <v>0</v>
      </c>
      <c r="CY46" s="208">
        <v>-9759534</v>
      </c>
      <c r="CZ46" s="208">
        <v>0</v>
      </c>
      <c r="DA46" s="208">
        <v>-98581</v>
      </c>
      <c r="DB46" s="208">
        <v>-9858115</v>
      </c>
      <c r="DC46" s="208">
        <v>0</v>
      </c>
      <c r="DD46" s="208">
        <v>-4596627</v>
      </c>
      <c r="DE46" s="208">
        <v>0</v>
      </c>
      <c r="DF46" s="208">
        <v>-46430</v>
      </c>
      <c r="DG46" s="208">
        <v>-4643057</v>
      </c>
      <c r="DH46" s="208">
        <v>0</v>
      </c>
      <c r="DI46" s="208">
        <v>-5162907</v>
      </c>
      <c r="DJ46" s="208">
        <v>0</v>
      </c>
      <c r="DK46" s="208">
        <v>-52151</v>
      </c>
      <c r="DL46" s="208">
        <v>-5215058</v>
      </c>
      <c r="DM46" s="208">
        <v>74527</v>
      </c>
      <c r="DN46" s="208">
        <v>-5107961.34</v>
      </c>
      <c r="DO46" s="208">
        <v>0</v>
      </c>
      <c r="DP46" s="208">
        <v>-50842.66</v>
      </c>
      <c r="DQ46" s="208">
        <v>-5084277</v>
      </c>
      <c r="DR46" s="208">
        <v>425998</v>
      </c>
      <c r="DS46" s="208">
        <v>-2386487</v>
      </c>
      <c r="DT46" s="208">
        <v>0</v>
      </c>
      <c r="DU46" s="208">
        <v>-19803</v>
      </c>
      <c r="DV46" s="208">
        <v>-1980292</v>
      </c>
      <c r="DW46" s="208">
        <v>-351471</v>
      </c>
      <c r="DX46" s="208">
        <v>-2721474.34</v>
      </c>
      <c r="DY46" s="208">
        <v>0</v>
      </c>
      <c r="DZ46" s="208">
        <v>-31039.660000000003</v>
      </c>
      <c r="EA46" s="208">
        <v>-3103985</v>
      </c>
      <c r="EB46" s="208">
        <v>0</v>
      </c>
      <c r="EC46" s="208">
        <v>46484711</v>
      </c>
      <c r="ED46" s="208">
        <v>0</v>
      </c>
      <c r="EE46" s="208">
        <v>469543</v>
      </c>
      <c r="EF46" s="208">
        <v>46954254</v>
      </c>
      <c r="EG46" s="208">
        <v>0</v>
      </c>
      <c r="EH46" s="208">
        <v>51795385</v>
      </c>
      <c r="EI46" s="208">
        <v>0</v>
      </c>
      <c r="EJ46" s="208">
        <v>523186</v>
      </c>
      <c r="EK46" s="208">
        <v>52318571</v>
      </c>
      <c r="EL46" s="208">
        <v>0</v>
      </c>
      <c r="EM46" s="208">
        <v>5310674</v>
      </c>
      <c r="EN46" s="208">
        <v>0</v>
      </c>
      <c r="EO46" s="208">
        <v>53643</v>
      </c>
      <c r="EP46" s="208">
        <v>5364317</v>
      </c>
      <c r="EQ46" s="208">
        <v>-351471</v>
      </c>
      <c r="ER46" s="208">
        <v>2589199.66</v>
      </c>
      <c r="ES46" s="208">
        <v>0</v>
      </c>
      <c r="ET46" s="208">
        <v>22603.339999999997</v>
      </c>
      <c r="EU46" s="208">
        <v>2260332</v>
      </c>
      <c r="EV46" s="666">
        <v>0</v>
      </c>
      <c r="EW46" s="666">
        <v>0.99</v>
      </c>
      <c r="EX46" s="666">
        <v>0</v>
      </c>
      <c r="EY46" s="666">
        <v>0.01</v>
      </c>
      <c r="EZ46" s="666">
        <v>1</v>
      </c>
      <c r="FA46" s="187" t="s">
        <v>1056</v>
      </c>
      <c r="FC46" s="187">
        <v>0</v>
      </c>
    </row>
    <row r="47" spans="1:159" s="187" customFormat="1" x14ac:dyDescent="0.2">
      <c r="B47" s="429" t="s">
        <v>173</v>
      </c>
      <c r="C47" s="429" t="s">
        <v>172</v>
      </c>
      <c r="D47" s="208">
        <v>-9.0000003576278687E-2</v>
      </c>
      <c r="E47" s="208">
        <v>53461093</v>
      </c>
      <c r="F47" s="208">
        <v>0</v>
      </c>
      <c r="G47" s="208">
        <v>540011</v>
      </c>
      <c r="H47" s="208">
        <v>54001103.909999996</v>
      </c>
      <c r="I47" s="208">
        <v>0</v>
      </c>
      <c r="J47" s="208">
        <v>0</v>
      </c>
      <c r="K47" s="208">
        <v>-9.0000003576278687E-2</v>
      </c>
      <c r="L47" s="208">
        <v>350505</v>
      </c>
      <c r="M47" s="208">
        <v>350505</v>
      </c>
      <c r="N47" s="208">
        <v>0</v>
      </c>
      <c r="O47" s="208">
        <v>0</v>
      </c>
      <c r="P47" s="208">
        <v>481356</v>
      </c>
      <c r="Q47" s="208">
        <v>0</v>
      </c>
      <c r="R47" s="208">
        <v>481356</v>
      </c>
      <c r="S47" s="208">
        <v>0</v>
      </c>
      <c r="T47" s="208">
        <v>0</v>
      </c>
      <c r="U47" s="208">
        <v>0</v>
      </c>
      <c r="V47" s="208">
        <v>0</v>
      </c>
      <c r="W47" s="208">
        <v>0</v>
      </c>
      <c r="X47" s="208">
        <v>0</v>
      </c>
      <c r="Y47" s="208">
        <v>0</v>
      </c>
      <c r="Z47" s="208">
        <v>0</v>
      </c>
      <c r="AA47" s="208">
        <v>0</v>
      </c>
      <c r="AB47" s="208">
        <v>0</v>
      </c>
      <c r="AC47" s="208">
        <v>0</v>
      </c>
      <c r="AD47" s="208">
        <v>0</v>
      </c>
      <c r="AE47" s="208">
        <v>0</v>
      </c>
      <c r="AF47" s="208">
        <v>0</v>
      </c>
      <c r="AG47" s="208">
        <v>9189059</v>
      </c>
      <c r="AH47" s="208">
        <v>0</v>
      </c>
      <c r="AI47" s="208">
        <v>92706</v>
      </c>
      <c r="AJ47" s="208">
        <v>9281765</v>
      </c>
      <c r="AK47" s="208">
        <v>0.33000000007450581</v>
      </c>
      <c r="AL47" s="208">
        <v>6709517</v>
      </c>
      <c r="AM47" s="208">
        <v>0</v>
      </c>
      <c r="AN47" s="208">
        <v>67773</v>
      </c>
      <c r="AO47" s="208">
        <v>6777290.3300000001</v>
      </c>
      <c r="AP47" s="208">
        <v>0</v>
      </c>
      <c r="AQ47" s="208">
        <v>-1896998</v>
      </c>
      <c r="AR47" s="208">
        <v>0</v>
      </c>
      <c r="AS47" s="208">
        <v>-19162</v>
      </c>
      <c r="AT47" s="208">
        <v>-1916160</v>
      </c>
      <c r="AU47" s="208">
        <v>0</v>
      </c>
      <c r="AV47" s="208">
        <v>-3481825</v>
      </c>
      <c r="AW47" s="208">
        <v>0</v>
      </c>
      <c r="AX47" s="208">
        <v>-35170</v>
      </c>
      <c r="AY47" s="208">
        <v>-3516995</v>
      </c>
      <c r="AZ47" s="208">
        <v>0.48999999999978172</v>
      </c>
      <c r="BA47" s="208">
        <v>-2537</v>
      </c>
      <c r="BB47" s="208">
        <v>0</v>
      </c>
      <c r="BC47" s="208">
        <v>-26</v>
      </c>
      <c r="BD47" s="208">
        <v>-2562.5100000000002</v>
      </c>
      <c r="BE47" s="208">
        <v>-8.999999996740371E-2</v>
      </c>
      <c r="BF47" s="208">
        <v>-835247</v>
      </c>
      <c r="BG47" s="208">
        <v>0</v>
      </c>
      <c r="BH47" s="208">
        <v>-8437</v>
      </c>
      <c r="BI47" s="208">
        <v>-843684.09</v>
      </c>
      <c r="BJ47" s="208">
        <v>0.40000000003237801</v>
      </c>
      <c r="BK47" s="208">
        <v>-4319609</v>
      </c>
      <c r="BL47" s="208">
        <v>0</v>
      </c>
      <c r="BM47" s="208">
        <v>-43633</v>
      </c>
      <c r="BN47" s="208">
        <v>-4363241.5999999996</v>
      </c>
      <c r="BO47" s="208">
        <v>0</v>
      </c>
      <c r="BP47" s="208">
        <v>-7174209</v>
      </c>
      <c r="BQ47" s="208">
        <v>0</v>
      </c>
      <c r="BR47" s="208">
        <v>-72467</v>
      </c>
      <c r="BS47" s="208">
        <v>-7246676</v>
      </c>
      <c r="BT47" s="208">
        <v>0</v>
      </c>
      <c r="BU47" s="208">
        <v>-4370535</v>
      </c>
      <c r="BV47" s="208">
        <v>0</v>
      </c>
      <c r="BW47" s="208">
        <v>-44147</v>
      </c>
      <c r="BX47" s="208">
        <v>-4414682</v>
      </c>
      <c r="BY47" s="208">
        <v>0</v>
      </c>
      <c r="BZ47" s="208">
        <v>-2803674</v>
      </c>
      <c r="CA47" s="208">
        <v>0</v>
      </c>
      <c r="CB47" s="208">
        <v>-28320</v>
      </c>
      <c r="CC47" s="208">
        <v>-2831994</v>
      </c>
      <c r="CD47" s="208">
        <v>0</v>
      </c>
      <c r="CE47" s="208">
        <v>1627983</v>
      </c>
      <c r="CF47" s="208">
        <v>0</v>
      </c>
      <c r="CG47" s="208">
        <v>16444</v>
      </c>
      <c r="CH47" s="208">
        <v>1644427</v>
      </c>
      <c r="CI47" s="208">
        <v>0</v>
      </c>
      <c r="CJ47" s="208">
        <v>340543</v>
      </c>
      <c r="CK47" s="208">
        <v>0</v>
      </c>
      <c r="CL47" s="208">
        <v>3440</v>
      </c>
      <c r="CM47" s="208">
        <v>343983</v>
      </c>
      <c r="CN47" s="208">
        <v>0</v>
      </c>
      <c r="CO47" s="208">
        <v>-971336</v>
      </c>
      <c r="CP47" s="208">
        <v>0</v>
      </c>
      <c r="CQ47" s="208">
        <v>-9811</v>
      </c>
      <c r="CR47" s="208">
        <v>-981147</v>
      </c>
      <c r="CS47" s="208">
        <v>0</v>
      </c>
      <c r="CT47" s="208">
        <v>-3305773</v>
      </c>
      <c r="CU47" s="208">
        <v>0</v>
      </c>
      <c r="CV47" s="208">
        <v>-33392</v>
      </c>
      <c r="CW47" s="208">
        <v>-3339165</v>
      </c>
      <c r="CX47" s="208">
        <v>0</v>
      </c>
      <c r="CY47" s="208">
        <v>-9482792</v>
      </c>
      <c r="CZ47" s="208">
        <v>0</v>
      </c>
      <c r="DA47" s="208">
        <v>-95786</v>
      </c>
      <c r="DB47" s="208">
        <v>-9578578</v>
      </c>
      <c r="DC47" s="208">
        <v>0</v>
      </c>
      <c r="DD47" s="208">
        <v>-3713888</v>
      </c>
      <c r="DE47" s="208">
        <v>0</v>
      </c>
      <c r="DF47" s="208">
        <v>-37514</v>
      </c>
      <c r="DG47" s="208">
        <v>-3751402</v>
      </c>
      <c r="DH47" s="208">
        <v>0</v>
      </c>
      <c r="DI47" s="208">
        <v>-5768904</v>
      </c>
      <c r="DJ47" s="208">
        <v>0</v>
      </c>
      <c r="DK47" s="208">
        <v>-58272</v>
      </c>
      <c r="DL47" s="208">
        <v>-5827176</v>
      </c>
      <c r="DM47" s="208">
        <v>967509</v>
      </c>
      <c r="DN47" s="208">
        <v>948160</v>
      </c>
      <c r="DO47" s="208">
        <v>0</v>
      </c>
      <c r="DP47" s="208">
        <v>19351</v>
      </c>
      <c r="DQ47" s="208">
        <v>1935020</v>
      </c>
      <c r="DR47" s="208">
        <v>-605887</v>
      </c>
      <c r="DS47" s="208">
        <v>-593770</v>
      </c>
      <c r="DT47" s="208">
        <v>0</v>
      </c>
      <c r="DU47" s="208">
        <v>-12118</v>
      </c>
      <c r="DV47" s="208">
        <v>-1211775</v>
      </c>
      <c r="DW47" s="208">
        <v>1573396</v>
      </c>
      <c r="DX47" s="208">
        <v>1541930</v>
      </c>
      <c r="DY47" s="208">
        <v>0</v>
      </c>
      <c r="DZ47" s="208">
        <v>31469</v>
      </c>
      <c r="EA47" s="208">
        <v>3146795</v>
      </c>
      <c r="EB47" s="208">
        <v>0</v>
      </c>
      <c r="EC47" s="208">
        <v>53511923</v>
      </c>
      <c r="ED47" s="208">
        <v>0</v>
      </c>
      <c r="EE47" s="208">
        <v>540524</v>
      </c>
      <c r="EF47" s="208">
        <v>54052447</v>
      </c>
      <c r="EG47" s="208">
        <v>0</v>
      </c>
      <c r="EH47" s="208">
        <v>53461092.909999996</v>
      </c>
      <c r="EI47" s="208">
        <v>0</v>
      </c>
      <c r="EJ47" s="208">
        <v>540011</v>
      </c>
      <c r="EK47" s="208">
        <v>54001103.909999996</v>
      </c>
      <c r="EL47" s="208">
        <v>0</v>
      </c>
      <c r="EM47" s="208">
        <v>-50830.090000003576</v>
      </c>
      <c r="EN47" s="208">
        <v>0</v>
      </c>
      <c r="EO47" s="208">
        <v>-513</v>
      </c>
      <c r="EP47" s="208">
        <v>-51343.090000003576</v>
      </c>
      <c r="EQ47" s="208">
        <v>1573396</v>
      </c>
      <c r="ER47" s="208">
        <v>1491099.9099999964</v>
      </c>
      <c r="ES47" s="208">
        <v>0</v>
      </c>
      <c r="ET47" s="208">
        <v>30956</v>
      </c>
      <c r="EU47" s="208">
        <v>3095451.9099999964</v>
      </c>
      <c r="EV47" s="666">
        <v>0</v>
      </c>
      <c r="EW47" s="666">
        <v>0.99</v>
      </c>
      <c r="EX47" s="666">
        <v>0</v>
      </c>
      <c r="EY47" s="666">
        <v>0.01</v>
      </c>
      <c r="EZ47" s="666">
        <v>1</v>
      </c>
      <c r="FA47" s="187" t="s">
        <v>1056</v>
      </c>
      <c r="FC47" s="187">
        <v>0</v>
      </c>
    </row>
    <row r="48" spans="1:159" s="187" customFormat="1" x14ac:dyDescent="0.2">
      <c r="B48" s="429" t="s">
        <v>175</v>
      </c>
      <c r="C48" s="429" t="s">
        <v>174</v>
      </c>
      <c r="D48" s="208">
        <v>54624079</v>
      </c>
      <c r="E48" s="208">
        <v>43699263</v>
      </c>
      <c r="F48" s="208">
        <v>9832334</v>
      </c>
      <c r="G48" s="208">
        <v>1092482</v>
      </c>
      <c r="H48" s="208">
        <v>109248158</v>
      </c>
      <c r="I48" s="208">
        <v>0</v>
      </c>
      <c r="J48" s="208">
        <v>0</v>
      </c>
      <c r="K48" s="208">
        <v>54624079</v>
      </c>
      <c r="L48" s="208">
        <v>234320</v>
      </c>
      <c r="M48" s="208">
        <v>234320</v>
      </c>
      <c r="N48" s="208">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2140032</v>
      </c>
      <c r="AH48" s="208">
        <v>481507</v>
      </c>
      <c r="AI48" s="208">
        <v>53501</v>
      </c>
      <c r="AJ48" s="208">
        <v>2675040</v>
      </c>
      <c r="AK48" s="208">
        <v>1351348</v>
      </c>
      <c r="AL48" s="208">
        <v>1081079</v>
      </c>
      <c r="AM48" s="208">
        <v>243243</v>
      </c>
      <c r="AN48" s="208">
        <v>27027</v>
      </c>
      <c r="AO48" s="208">
        <v>2702697</v>
      </c>
      <c r="AP48" s="208">
        <v>-1072870</v>
      </c>
      <c r="AQ48" s="208">
        <v>-858295</v>
      </c>
      <c r="AR48" s="208">
        <v>-193116</v>
      </c>
      <c r="AS48" s="208">
        <v>-21457</v>
      </c>
      <c r="AT48" s="208">
        <v>-2145738</v>
      </c>
      <c r="AU48" s="208">
        <v>-434503</v>
      </c>
      <c r="AV48" s="208">
        <v>-347602</v>
      </c>
      <c r="AW48" s="208">
        <v>-78211</v>
      </c>
      <c r="AX48" s="208">
        <v>-8690</v>
      </c>
      <c r="AY48" s="208">
        <v>-869006</v>
      </c>
      <c r="AZ48" s="208">
        <v>0</v>
      </c>
      <c r="BA48" s="208">
        <v>0</v>
      </c>
      <c r="BB48" s="208">
        <v>0</v>
      </c>
      <c r="BC48" s="208">
        <v>0</v>
      </c>
      <c r="BD48" s="208">
        <v>0</v>
      </c>
      <c r="BE48" s="208">
        <v>-471936</v>
      </c>
      <c r="BF48" s="208">
        <v>-377549</v>
      </c>
      <c r="BG48" s="208">
        <v>-84949</v>
      </c>
      <c r="BH48" s="208">
        <v>-9439</v>
      </c>
      <c r="BI48" s="208">
        <v>-943873</v>
      </c>
      <c r="BJ48" s="208">
        <v>-906439</v>
      </c>
      <c r="BK48" s="208">
        <v>-725151</v>
      </c>
      <c r="BL48" s="208">
        <v>-163160</v>
      </c>
      <c r="BM48" s="208">
        <v>-18129</v>
      </c>
      <c r="BN48" s="208">
        <v>-1812879</v>
      </c>
      <c r="BO48" s="208">
        <v>-5129665</v>
      </c>
      <c r="BP48" s="208">
        <v>-4103732</v>
      </c>
      <c r="BQ48" s="208">
        <v>-923340</v>
      </c>
      <c r="BR48" s="208">
        <v>-102593</v>
      </c>
      <c r="BS48" s="208">
        <v>-10259330</v>
      </c>
      <c r="BT48" s="208">
        <v>-2437941</v>
      </c>
      <c r="BU48" s="208">
        <v>-1950354</v>
      </c>
      <c r="BV48" s="208">
        <v>-438830</v>
      </c>
      <c r="BW48" s="208">
        <v>-48759</v>
      </c>
      <c r="BX48" s="208">
        <v>-4875884</v>
      </c>
      <c r="BY48" s="208">
        <v>-2691724</v>
      </c>
      <c r="BZ48" s="208">
        <v>-2153378</v>
      </c>
      <c r="CA48" s="208">
        <v>-484510</v>
      </c>
      <c r="CB48" s="208">
        <v>-53834</v>
      </c>
      <c r="CC48" s="208">
        <v>-5383446</v>
      </c>
      <c r="CD48" s="208">
        <v>195992</v>
      </c>
      <c r="CE48" s="208">
        <v>156794</v>
      </c>
      <c r="CF48" s="208">
        <v>35279</v>
      </c>
      <c r="CG48" s="208">
        <v>3920</v>
      </c>
      <c r="CH48" s="208">
        <v>391985</v>
      </c>
      <c r="CI48" s="208">
        <v>0</v>
      </c>
      <c r="CJ48" s="208">
        <v>0</v>
      </c>
      <c r="CK48" s="208">
        <v>0</v>
      </c>
      <c r="CL48" s="208">
        <v>0</v>
      </c>
      <c r="CM48" s="208">
        <v>0</v>
      </c>
      <c r="CN48" s="208">
        <v>732459</v>
      </c>
      <c r="CO48" s="208">
        <v>585967</v>
      </c>
      <c r="CP48" s="208">
        <v>131843</v>
      </c>
      <c r="CQ48" s="208">
        <v>14649</v>
      </c>
      <c r="CR48" s="208">
        <v>1464918</v>
      </c>
      <c r="CS48" s="208">
        <v>-859595</v>
      </c>
      <c r="CT48" s="208">
        <v>-687676</v>
      </c>
      <c r="CU48" s="208">
        <v>-154727</v>
      </c>
      <c r="CV48" s="208">
        <v>-17192</v>
      </c>
      <c r="CW48" s="208">
        <v>-1719190</v>
      </c>
      <c r="CX48" s="208">
        <v>-5060809</v>
      </c>
      <c r="CY48" s="208">
        <v>-4048647</v>
      </c>
      <c r="CZ48" s="208">
        <v>-910945</v>
      </c>
      <c r="DA48" s="208">
        <v>-101216</v>
      </c>
      <c r="DB48" s="208">
        <v>-10121617</v>
      </c>
      <c r="DC48" s="208">
        <v>-1509490</v>
      </c>
      <c r="DD48" s="208">
        <v>-1207593</v>
      </c>
      <c r="DE48" s="208">
        <v>-271708</v>
      </c>
      <c r="DF48" s="208">
        <v>-30190</v>
      </c>
      <c r="DG48" s="208">
        <v>-3018981</v>
      </c>
      <c r="DH48" s="208">
        <v>-3551319</v>
      </c>
      <c r="DI48" s="208">
        <v>-2841054</v>
      </c>
      <c r="DJ48" s="208">
        <v>-639237</v>
      </c>
      <c r="DK48" s="208">
        <v>-71026</v>
      </c>
      <c r="DL48" s="208">
        <v>-7102636</v>
      </c>
      <c r="DM48" s="208">
        <v>361478</v>
      </c>
      <c r="DN48" s="208">
        <v>289181</v>
      </c>
      <c r="DO48" s="208">
        <v>65065</v>
      </c>
      <c r="DP48" s="208">
        <v>7229</v>
      </c>
      <c r="DQ48" s="208">
        <v>722953</v>
      </c>
      <c r="DR48" s="208">
        <v>-532714</v>
      </c>
      <c r="DS48" s="208">
        <v>-426172</v>
      </c>
      <c r="DT48" s="208">
        <v>-95889</v>
      </c>
      <c r="DU48" s="208">
        <v>-10654</v>
      </c>
      <c r="DV48" s="208">
        <v>-1065429</v>
      </c>
      <c r="DW48" s="208">
        <v>894192</v>
      </c>
      <c r="DX48" s="208">
        <v>715353</v>
      </c>
      <c r="DY48" s="208">
        <v>160954</v>
      </c>
      <c r="DZ48" s="208">
        <v>17883</v>
      </c>
      <c r="EA48" s="208">
        <v>1788382</v>
      </c>
      <c r="EB48" s="208">
        <v>53512122</v>
      </c>
      <c r="EC48" s="208">
        <v>42809697</v>
      </c>
      <c r="ED48" s="208">
        <v>9632182</v>
      </c>
      <c r="EE48" s="208">
        <v>1070242</v>
      </c>
      <c r="EF48" s="208">
        <v>107024243</v>
      </c>
      <c r="EG48" s="208">
        <v>54624079</v>
      </c>
      <c r="EH48" s="208">
        <v>43699263</v>
      </c>
      <c r="EI48" s="208">
        <v>9832334</v>
      </c>
      <c r="EJ48" s="208">
        <v>1092482</v>
      </c>
      <c r="EK48" s="208">
        <v>109248158</v>
      </c>
      <c r="EL48" s="208">
        <v>1111957</v>
      </c>
      <c r="EM48" s="208">
        <v>889566</v>
      </c>
      <c r="EN48" s="208">
        <v>200152</v>
      </c>
      <c r="EO48" s="208">
        <v>22240</v>
      </c>
      <c r="EP48" s="208">
        <v>2223915</v>
      </c>
      <c r="EQ48" s="208">
        <v>2006149</v>
      </c>
      <c r="ER48" s="208">
        <v>1604919</v>
      </c>
      <c r="ES48" s="208">
        <v>361106</v>
      </c>
      <c r="ET48" s="208">
        <v>40123</v>
      </c>
      <c r="EU48" s="208">
        <v>4012297</v>
      </c>
      <c r="EV48" s="666">
        <v>0.5</v>
      </c>
      <c r="EW48" s="666">
        <v>0.4</v>
      </c>
      <c r="EX48" s="666">
        <v>0.09</v>
      </c>
      <c r="EY48" s="666">
        <v>0.01</v>
      </c>
      <c r="EZ48" s="666">
        <v>1</v>
      </c>
      <c r="FA48" s="187" t="s">
        <v>1054</v>
      </c>
      <c r="FC48" s="187">
        <v>0</v>
      </c>
    </row>
    <row r="49" spans="2:159" s="187" customFormat="1" x14ac:dyDescent="0.2">
      <c r="B49" s="429" t="s">
        <v>177</v>
      </c>
      <c r="C49" s="429" t="s">
        <v>176</v>
      </c>
      <c r="D49" s="208">
        <v>0.14999997615814209</v>
      </c>
      <c r="E49" s="208">
        <v>407607844</v>
      </c>
      <c r="F49" s="208">
        <v>229279412</v>
      </c>
      <c r="G49" s="208">
        <v>0</v>
      </c>
      <c r="H49" s="208">
        <v>636887256.14999998</v>
      </c>
      <c r="I49" s="208">
        <v>0</v>
      </c>
      <c r="J49" s="208">
        <v>0</v>
      </c>
      <c r="K49" s="208">
        <v>0.14999997615814209</v>
      </c>
      <c r="L49" s="208">
        <v>1262515</v>
      </c>
      <c r="M49" s="208">
        <v>1262515</v>
      </c>
      <c r="N49" s="208">
        <v>0</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14924213</v>
      </c>
      <c r="AH49" s="208">
        <v>8394870</v>
      </c>
      <c r="AI49" s="208">
        <v>0</v>
      </c>
      <c r="AJ49" s="208">
        <v>23319083</v>
      </c>
      <c r="AK49" s="208">
        <v>0</v>
      </c>
      <c r="AL49" s="208">
        <v>6451892</v>
      </c>
      <c r="AM49" s="208">
        <v>3629189</v>
      </c>
      <c r="AN49" s="208">
        <v>0</v>
      </c>
      <c r="AO49" s="208">
        <v>10081081</v>
      </c>
      <c r="AP49" s="208">
        <v>0</v>
      </c>
      <c r="AQ49" s="208">
        <v>-6521081</v>
      </c>
      <c r="AR49" s="208">
        <v>-3668108</v>
      </c>
      <c r="AS49" s="208">
        <v>0</v>
      </c>
      <c r="AT49" s="208">
        <v>-10189189</v>
      </c>
      <c r="AU49" s="208">
        <v>0</v>
      </c>
      <c r="AV49" s="208">
        <v>-5237092</v>
      </c>
      <c r="AW49" s="208">
        <v>-2945864</v>
      </c>
      <c r="AX49" s="208">
        <v>0</v>
      </c>
      <c r="AY49" s="208">
        <v>-8182956</v>
      </c>
      <c r="AZ49" s="208">
        <v>0</v>
      </c>
      <c r="BA49" s="208">
        <v>1690372</v>
      </c>
      <c r="BB49" s="208">
        <v>950834</v>
      </c>
      <c r="BC49" s="208">
        <v>0</v>
      </c>
      <c r="BD49" s="208">
        <v>2641206</v>
      </c>
      <c r="BE49" s="208">
        <v>0</v>
      </c>
      <c r="BF49" s="208">
        <v>-1174883</v>
      </c>
      <c r="BG49" s="208">
        <v>-660872</v>
      </c>
      <c r="BH49" s="208">
        <v>0</v>
      </c>
      <c r="BI49" s="208">
        <v>-1835755</v>
      </c>
      <c r="BJ49" s="208">
        <v>0</v>
      </c>
      <c r="BK49" s="208">
        <v>-4721603</v>
      </c>
      <c r="BL49" s="208">
        <v>-2655902</v>
      </c>
      <c r="BM49" s="208">
        <v>0</v>
      </c>
      <c r="BN49" s="208">
        <v>-7377505</v>
      </c>
      <c r="BO49" s="208">
        <v>0</v>
      </c>
      <c r="BP49" s="208">
        <v>-38245129</v>
      </c>
      <c r="BQ49" s="208">
        <v>-21512885</v>
      </c>
      <c r="BR49" s="208">
        <v>0</v>
      </c>
      <c r="BS49" s="208">
        <v>-59758014</v>
      </c>
      <c r="BT49" s="208">
        <v>0</v>
      </c>
      <c r="BU49" s="208">
        <v>-10293802</v>
      </c>
      <c r="BV49" s="208">
        <v>-5790263</v>
      </c>
      <c r="BW49" s="208">
        <v>0</v>
      </c>
      <c r="BX49" s="208">
        <v>-16084065</v>
      </c>
      <c r="BY49" s="208">
        <v>0</v>
      </c>
      <c r="BZ49" s="208">
        <v>-27951327</v>
      </c>
      <c r="CA49" s="208">
        <v>-15722622</v>
      </c>
      <c r="CB49" s="208">
        <v>0</v>
      </c>
      <c r="CC49" s="208">
        <v>-43673949</v>
      </c>
      <c r="CD49" s="208">
        <v>0</v>
      </c>
      <c r="CE49" s="208">
        <v>10315457</v>
      </c>
      <c r="CF49" s="208">
        <v>5802445</v>
      </c>
      <c r="CG49" s="208">
        <v>0</v>
      </c>
      <c r="CH49" s="208">
        <v>16117902</v>
      </c>
      <c r="CI49" s="208">
        <v>0</v>
      </c>
      <c r="CJ49" s="208">
        <v>13309227</v>
      </c>
      <c r="CK49" s="208">
        <v>7486440</v>
      </c>
      <c r="CL49" s="208">
        <v>0</v>
      </c>
      <c r="CM49" s="208">
        <v>20795667</v>
      </c>
      <c r="CN49" s="208">
        <v>0</v>
      </c>
      <c r="CO49" s="208">
        <v>-6400000</v>
      </c>
      <c r="CP49" s="208">
        <v>-3600000</v>
      </c>
      <c r="CQ49" s="208">
        <v>0</v>
      </c>
      <c r="CR49" s="208">
        <v>-10000000</v>
      </c>
      <c r="CS49" s="208">
        <v>0</v>
      </c>
      <c r="CT49" s="208">
        <v>-17184763</v>
      </c>
      <c r="CU49" s="208">
        <v>-9666429</v>
      </c>
      <c r="CV49" s="208">
        <v>0</v>
      </c>
      <c r="CW49" s="208">
        <v>-26851192</v>
      </c>
      <c r="CX49" s="208">
        <v>0</v>
      </c>
      <c r="CY49" s="208">
        <v>-38205208</v>
      </c>
      <c r="CZ49" s="208">
        <v>-21490429</v>
      </c>
      <c r="DA49" s="208">
        <v>0</v>
      </c>
      <c r="DB49" s="208">
        <v>-59695637</v>
      </c>
      <c r="DC49" s="208">
        <v>0</v>
      </c>
      <c r="DD49" s="208">
        <v>-6378345</v>
      </c>
      <c r="DE49" s="208">
        <v>-3587818</v>
      </c>
      <c r="DF49" s="208">
        <v>0</v>
      </c>
      <c r="DG49" s="208">
        <v>-9966163</v>
      </c>
      <c r="DH49" s="208">
        <v>0</v>
      </c>
      <c r="DI49" s="208">
        <v>-31826863</v>
      </c>
      <c r="DJ49" s="208">
        <v>-17902611</v>
      </c>
      <c r="DK49" s="208">
        <v>0</v>
      </c>
      <c r="DL49" s="208">
        <v>-49729474</v>
      </c>
      <c r="DM49" s="208">
        <v>-14119889</v>
      </c>
      <c r="DN49" s="208">
        <v>-11890013</v>
      </c>
      <c r="DO49" s="208">
        <v>-13623474</v>
      </c>
      <c r="DP49" s="208">
        <v>0</v>
      </c>
      <c r="DQ49" s="208">
        <v>-39633376</v>
      </c>
      <c r="DR49" s="208">
        <v>-12244149</v>
      </c>
      <c r="DS49" s="208">
        <v>-10012460</v>
      </c>
      <c r="DT49" s="208">
        <v>-11118256</v>
      </c>
      <c r="DU49" s="208">
        <v>0</v>
      </c>
      <c r="DV49" s="208">
        <v>-33374865</v>
      </c>
      <c r="DW49" s="208">
        <v>-1875740</v>
      </c>
      <c r="DX49" s="208">
        <v>-1877553</v>
      </c>
      <c r="DY49" s="208">
        <v>-2505218</v>
      </c>
      <c r="DZ49" s="208">
        <v>0</v>
      </c>
      <c r="EA49" s="208">
        <v>-6258511</v>
      </c>
      <c r="EB49" s="208">
        <v>0</v>
      </c>
      <c r="EC49" s="208">
        <v>410880000</v>
      </c>
      <c r="ED49" s="208">
        <v>231120000</v>
      </c>
      <c r="EE49" s="208">
        <v>0</v>
      </c>
      <c r="EF49" s="208">
        <v>642000000</v>
      </c>
      <c r="EG49" s="208">
        <v>0</v>
      </c>
      <c r="EH49" s="208">
        <v>407607844.14999998</v>
      </c>
      <c r="EI49" s="208">
        <v>229279412</v>
      </c>
      <c r="EJ49" s="208">
        <v>0</v>
      </c>
      <c r="EK49" s="208">
        <v>636887256.14999998</v>
      </c>
      <c r="EL49" s="208">
        <v>0</v>
      </c>
      <c r="EM49" s="208">
        <v>-3272155.8500000238</v>
      </c>
      <c r="EN49" s="208">
        <v>-1840588</v>
      </c>
      <c r="EO49" s="208">
        <v>0</v>
      </c>
      <c r="EP49" s="208">
        <v>-5112743.8500000238</v>
      </c>
      <c r="EQ49" s="208">
        <v>-1875740</v>
      </c>
      <c r="ER49" s="208">
        <v>-5149708.8500000238</v>
      </c>
      <c r="ES49" s="208">
        <v>-4345806</v>
      </c>
      <c r="ET49" s="208">
        <v>0</v>
      </c>
      <c r="EU49" s="208">
        <v>-11371254.850000024</v>
      </c>
      <c r="EV49" s="666">
        <v>0</v>
      </c>
      <c r="EW49" s="666">
        <v>0.64</v>
      </c>
      <c r="EX49" s="666">
        <v>0.36</v>
      </c>
      <c r="EY49" s="666">
        <v>0</v>
      </c>
      <c r="EZ49" s="666">
        <v>1</v>
      </c>
      <c r="FA49" s="187" t="s">
        <v>1057</v>
      </c>
      <c r="FC49" s="187">
        <v>0</v>
      </c>
    </row>
    <row r="50" spans="2:159" s="187" customFormat="1" x14ac:dyDescent="0.2">
      <c r="B50" s="429" t="s">
        <v>179</v>
      </c>
      <c r="C50" s="429" t="s">
        <v>178</v>
      </c>
      <c r="D50" s="208">
        <v>15257822</v>
      </c>
      <c r="E50" s="208">
        <v>12206257</v>
      </c>
      <c r="F50" s="208">
        <v>2746408</v>
      </c>
      <c r="G50" s="208">
        <v>305156</v>
      </c>
      <c r="H50" s="208">
        <v>30515643</v>
      </c>
      <c r="I50" s="208">
        <v>0</v>
      </c>
      <c r="J50" s="208">
        <v>0</v>
      </c>
      <c r="K50" s="208">
        <v>15257822</v>
      </c>
      <c r="L50" s="208">
        <v>132868</v>
      </c>
      <c r="M50" s="208">
        <v>132868</v>
      </c>
      <c r="N50" s="208">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1622015</v>
      </c>
      <c r="AH50" s="208">
        <v>364953</v>
      </c>
      <c r="AI50" s="208">
        <v>40550</v>
      </c>
      <c r="AJ50" s="208">
        <v>2027518</v>
      </c>
      <c r="AK50" s="208">
        <v>615625</v>
      </c>
      <c r="AL50" s="208">
        <v>492499</v>
      </c>
      <c r="AM50" s="208">
        <v>110812</v>
      </c>
      <c r="AN50" s="208">
        <v>12312</v>
      </c>
      <c r="AO50" s="208">
        <v>1231248</v>
      </c>
      <c r="AP50" s="208">
        <v>-124040</v>
      </c>
      <c r="AQ50" s="208">
        <v>-99232</v>
      </c>
      <c r="AR50" s="208">
        <v>-22327</v>
      </c>
      <c r="AS50" s="208">
        <v>-2481</v>
      </c>
      <c r="AT50" s="208">
        <v>-248080</v>
      </c>
      <c r="AU50" s="208">
        <v>-620341</v>
      </c>
      <c r="AV50" s="208">
        <v>-496274</v>
      </c>
      <c r="AW50" s="208">
        <v>-111662</v>
      </c>
      <c r="AX50" s="208">
        <v>-12407</v>
      </c>
      <c r="AY50" s="208">
        <v>-1240684</v>
      </c>
      <c r="AZ50" s="208">
        <v>222975</v>
      </c>
      <c r="BA50" s="208">
        <v>178380</v>
      </c>
      <c r="BB50" s="208">
        <v>40136</v>
      </c>
      <c r="BC50" s="208">
        <v>4460</v>
      </c>
      <c r="BD50" s="208">
        <v>445951</v>
      </c>
      <c r="BE50" s="208">
        <v>-60971</v>
      </c>
      <c r="BF50" s="208">
        <v>-48776</v>
      </c>
      <c r="BG50" s="208">
        <v>-10975</v>
      </c>
      <c r="BH50" s="208">
        <v>-1219</v>
      </c>
      <c r="BI50" s="208">
        <v>-121941</v>
      </c>
      <c r="BJ50" s="208">
        <v>-458337</v>
      </c>
      <c r="BK50" s="208">
        <v>-366670</v>
      </c>
      <c r="BL50" s="208">
        <v>-82501</v>
      </c>
      <c r="BM50" s="208">
        <v>-9166</v>
      </c>
      <c r="BN50" s="208">
        <v>-916674</v>
      </c>
      <c r="BO50" s="208">
        <v>-2601289</v>
      </c>
      <c r="BP50" s="208">
        <v>-2081031</v>
      </c>
      <c r="BQ50" s="208">
        <v>-468232</v>
      </c>
      <c r="BR50" s="208">
        <v>-52026</v>
      </c>
      <c r="BS50" s="208">
        <v>-5202578</v>
      </c>
      <c r="BT50" s="208">
        <v>-1737919</v>
      </c>
      <c r="BU50" s="208">
        <v>-1390335</v>
      </c>
      <c r="BV50" s="208">
        <v>-312825</v>
      </c>
      <c r="BW50" s="208">
        <v>-34758</v>
      </c>
      <c r="BX50" s="208">
        <v>-3475837</v>
      </c>
      <c r="BY50" s="208">
        <v>-863371</v>
      </c>
      <c r="BZ50" s="208">
        <v>-690696</v>
      </c>
      <c r="CA50" s="208">
        <v>-155407</v>
      </c>
      <c r="CB50" s="208">
        <v>-17267</v>
      </c>
      <c r="CC50" s="208">
        <v>-1726741</v>
      </c>
      <c r="CD50" s="208">
        <v>37370</v>
      </c>
      <c r="CE50" s="208">
        <v>29895</v>
      </c>
      <c r="CF50" s="208">
        <v>6726</v>
      </c>
      <c r="CG50" s="208">
        <v>747</v>
      </c>
      <c r="CH50" s="208">
        <v>74738</v>
      </c>
      <c r="CI50" s="208">
        <v>79476</v>
      </c>
      <c r="CJ50" s="208">
        <v>63582</v>
      </c>
      <c r="CK50" s="208">
        <v>14306</v>
      </c>
      <c r="CL50" s="208">
        <v>1590</v>
      </c>
      <c r="CM50" s="208">
        <v>158954</v>
      </c>
      <c r="CN50" s="208">
        <v>-751859</v>
      </c>
      <c r="CO50" s="208">
        <v>-601486</v>
      </c>
      <c r="CP50" s="208">
        <v>-135334</v>
      </c>
      <c r="CQ50" s="208">
        <v>-15037</v>
      </c>
      <c r="CR50" s="208">
        <v>-1503716</v>
      </c>
      <c r="CS50" s="208">
        <v>-569708</v>
      </c>
      <c r="CT50" s="208">
        <v>-455766</v>
      </c>
      <c r="CU50" s="208">
        <v>-102547</v>
      </c>
      <c r="CV50" s="208">
        <v>-11394</v>
      </c>
      <c r="CW50" s="208">
        <v>-1139415</v>
      </c>
      <c r="CX50" s="208">
        <v>-3806010</v>
      </c>
      <c r="CY50" s="208">
        <v>-3044806</v>
      </c>
      <c r="CZ50" s="208">
        <v>-685081</v>
      </c>
      <c r="DA50" s="208">
        <v>-76120</v>
      </c>
      <c r="DB50" s="208">
        <v>-7612017</v>
      </c>
      <c r="DC50" s="208">
        <v>-2452408</v>
      </c>
      <c r="DD50" s="208">
        <v>-1961926</v>
      </c>
      <c r="DE50" s="208">
        <v>-441433</v>
      </c>
      <c r="DF50" s="208">
        <v>-49048</v>
      </c>
      <c r="DG50" s="208">
        <v>-4904815</v>
      </c>
      <c r="DH50" s="208">
        <v>-1353603</v>
      </c>
      <c r="DI50" s="208">
        <v>-1082880</v>
      </c>
      <c r="DJ50" s="208">
        <v>-243648</v>
      </c>
      <c r="DK50" s="208">
        <v>-27071</v>
      </c>
      <c r="DL50" s="208">
        <v>-2707202</v>
      </c>
      <c r="DM50" s="208">
        <v>327254</v>
      </c>
      <c r="DN50" s="208">
        <v>261803</v>
      </c>
      <c r="DO50" s="208">
        <v>58905</v>
      </c>
      <c r="DP50" s="208">
        <v>6545</v>
      </c>
      <c r="DQ50" s="208">
        <v>654507</v>
      </c>
      <c r="DR50" s="208">
        <v>-148862</v>
      </c>
      <c r="DS50" s="208">
        <v>-119090</v>
      </c>
      <c r="DT50" s="208">
        <v>-26795</v>
      </c>
      <c r="DU50" s="208">
        <v>-2977</v>
      </c>
      <c r="DV50" s="208">
        <v>-297724</v>
      </c>
      <c r="DW50" s="208">
        <v>476116</v>
      </c>
      <c r="DX50" s="208">
        <v>380893</v>
      </c>
      <c r="DY50" s="208">
        <v>85700</v>
      </c>
      <c r="DZ50" s="208">
        <v>9522</v>
      </c>
      <c r="EA50" s="208">
        <v>952231</v>
      </c>
      <c r="EB50" s="208">
        <v>15798509</v>
      </c>
      <c r="EC50" s="208">
        <v>12638808</v>
      </c>
      <c r="ED50" s="208">
        <v>2843732</v>
      </c>
      <c r="EE50" s="208">
        <v>315970</v>
      </c>
      <c r="EF50" s="208">
        <v>31597019</v>
      </c>
      <c r="EG50" s="208">
        <v>15257822</v>
      </c>
      <c r="EH50" s="208">
        <v>12206257</v>
      </c>
      <c r="EI50" s="208">
        <v>2746408</v>
      </c>
      <c r="EJ50" s="208">
        <v>305156</v>
      </c>
      <c r="EK50" s="208">
        <v>30515643</v>
      </c>
      <c r="EL50" s="208">
        <v>-540687</v>
      </c>
      <c r="EM50" s="208">
        <v>-432551</v>
      </c>
      <c r="EN50" s="208">
        <v>-97324</v>
      </c>
      <c r="EO50" s="208">
        <v>-10814</v>
      </c>
      <c r="EP50" s="208">
        <v>-1081376</v>
      </c>
      <c r="EQ50" s="208">
        <v>-64571</v>
      </c>
      <c r="ER50" s="208">
        <v>-51658</v>
      </c>
      <c r="ES50" s="208">
        <v>-11624</v>
      </c>
      <c r="ET50" s="208">
        <v>-1292</v>
      </c>
      <c r="EU50" s="208">
        <v>-129145</v>
      </c>
      <c r="EV50" s="666">
        <v>0.5</v>
      </c>
      <c r="EW50" s="666">
        <v>0.4</v>
      </c>
      <c r="EX50" s="666">
        <v>0.09</v>
      </c>
      <c r="EY50" s="666">
        <v>0.01</v>
      </c>
      <c r="EZ50" s="666">
        <v>1</v>
      </c>
      <c r="FA50" s="187" t="s">
        <v>1054</v>
      </c>
      <c r="FC50" s="187">
        <v>0</v>
      </c>
    </row>
    <row r="51" spans="2:159" s="187" customFormat="1" x14ac:dyDescent="0.2">
      <c r="B51" s="429" t="s">
        <v>181</v>
      </c>
      <c r="C51" s="429" t="s">
        <v>180</v>
      </c>
      <c r="D51" s="208">
        <v>0</v>
      </c>
      <c r="E51" s="208">
        <v>20245912</v>
      </c>
      <c r="F51" s="208">
        <v>29862720</v>
      </c>
      <c r="G51" s="208">
        <v>506148</v>
      </c>
      <c r="H51" s="208">
        <v>50614780</v>
      </c>
      <c r="I51" s="208">
        <v>0</v>
      </c>
      <c r="J51" s="208">
        <v>0</v>
      </c>
      <c r="K51" s="208">
        <v>0</v>
      </c>
      <c r="L51" s="208">
        <v>229160</v>
      </c>
      <c r="M51" s="208">
        <v>229160</v>
      </c>
      <c r="N51" s="208">
        <v>0</v>
      </c>
      <c r="O51" s="208">
        <v>0</v>
      </c>
      <c r="P51" s="208">
        <v>326686</v>
      </c>
      <c r="Q51" s="208">
        <v>0</v>
      </c>
      <c r="R51" s="208">
        <v>326686</v>
      </c>
      <c r="S51" s="208">
        <v>0</v>
      </c>
      <c r="T51" s="208">
        <v>0</v>
      </c>
      <c r="U51" s="208">
        <v>0</v>
      </c>
      <c r="V51" s="208">
        <v>0</v>
      </c>
      <c r="W51" s="208">
        <v>0</v>
      </c>
      <c r="X51" s="208">
        <v>0</v>
      </c>
      <c r="Y51" s="208">
        <v>0</v>
      </c>
      <c r="Z51" s="208">
        <v>0</v>
      </c>
      <c r="AA51" s="208">
        <v>0</v>
      </c>
      <c r="AB51" s="208">
        <v>0</v>
      </c>
      <c r="AC51" s="208">
        <v>0</v>
      </c>
      <c r="AD51" s="208">
        <v>0</v>
      </c>
      <c r="AE51" s="208">
        <v>0</v>
      </c>
      <c r="AF51" s="208">
        <v>0</v>
      </c>
      <c r="AG51" s="208">
        <v>2295035</v>
      </c>
      <c r="AH51" s="208">
        <v>3374134</v>
      </c>
      <c r="AI51" s="208">
        <v>57188</v>
      </c>
      <c r="AJ51" s="208">
        <v>5726357</v>
      </c>
      <c r="AK51" s="208">
        <v>0</v>
      </c>
      <c r="AL51" s="208">
        <v>656401</v>
      </c>
      <c r="AM51" s="208">
        <v>968192</v>
      </c>
      <c r="AN51" s="208">
        <v>16410</v>
      </c>
      <c r="AO51" s="208">
        <v>1641003</v>
      </c>
      <c r="AP51" s="208">
        <v>0</v>
      </c>
      <c r="AQ51" s="208">
        <v>-562559</v>
      </c>
      <c r="AR51" s="208">
        <v>-829775</v>
      </c>
      <c r="AS51" s="208">
        <v>-14064</v>
      </c>
      <c r="AT51" s="208">
        <v>-1406398</v>
      </c>
      <c r="AU51" s="208">
        <v>-1</v>
      </c>
      <c r="AV51" s="208">
        <v>-212006</v>
      </c>
      <c r="AW51" s="208">
        <v>-312709</v>
      </c>
      <c r="AX51" s="208">
        <v>-5300</v>
      </c>
      <c r="AY51" s="208">
        <v>-530016</v>
      </c>
      <c r="AZ51" s="208">
        <v>0</v>
      </c>
      <c r="BA51" s="208">
        <v>74413</v>
      </c>
      <c r="BB51" s="208">
        <v>109759</v>
      </c>
      <c r="BC51" s="208">
        <v>1860</v>
      </c>
      <c r="BD51" s="208">
        <v>186032</v>
      </c>
      <c r="BE51" s="208">
        <v>0</v>
      </c>
      <c r="BF51" s="208">
        <v>-188691</v>
      </c>
      <c r="BG51" s="208">
        <v>-278320</v>
      </c>
      <c r="BH51" s="208">
        <v>-4717</v>
      </c>
      <c r="BI51" s="208">
        <v>-471728</v>
      </c>
      <c r="BJ51" s="208">
        <v>-1</v>
      </c>
      <c r="BK51" s="208">
        <v>-326284</v>
      </c>
      <c r="BL51" s="208">
        <v>-481270</v>
      </c>
      <c r="BM51" s="208">
        <v>-8157</v>
      </c>
      <c r="BN51" s="208">
        <v>-815712</v>
      </c>
      <c r="BO51" s="208">
        <v>0</v>
      </c>
      <c r="BP51" s="208">
        <v>-2437936</v>
      </c>
      <c r="BQ51" s="208">
        <v>-3595955</v>
      </c>
      <c r="BR51" s="208">
        <v>-60948</v>
      </c>
      <c r="BS51" s="208">
        <v>-6094839</v>
      </c>
      <c r="BT51" s="208">
        <v>0</v>
      </c>
      <c r="BU51" s="208">
        <v>-956078</v>
      </c>
      <c r="BV51" s="208">
        <v>-1410216</v>
      </c>
      <c r="BW51" s="208">
        <v>-23902</v>
      </c>
      <c r="BX51" s="208">
        <v>-2390196</v>
      </c>
      <c r="BY51" s="208">
        <v>-1</v>
      </c>
      <c r="BZ51" s="208">
        <v>-1481857</v>
      </c>
      <c r="CA51" s="208">
        <v>-2185739</v>
      </c>
      <c r="CB51" s="208">
        <v>-37046</v>
      </c>
      <c r="CC51" s="208">
        <v>-3704643</v>
      </c>
      <c r="CD51" s="208">
        <v>0</v>
      </c>
      <c r="CE51" s="208">
        <v>89315</v>
      </c>
      <c r="CF51" s="208">
        <v>131739</v>
      </c>
      <c r="CG51" s="208">
        <v>2233</v>
      </c>
      <c r="CH51" s="208">
        <v>223287</v>
      </c>
      <c r="CI51" s="208">
        <v>0</v>
      </c>
      <c r="CJ51" s="208">
        <v>0</v>
      </c>
      <c r="CK51" s="208">
        <v>0</v>
      </c>
      <c r="CL51" s="208">
        <v>0</v>
      </c>
      <c r="CM51" s="208">
        <v>0</v>
      </c>
      <c r="CN51" s="208">
        <v>0</v>
      </c>
      <c r="CO51" s="208">
        <v>221442</v>
      </c>
      <c r="CP51" s="208">
        <v>326628</v>
      </c>
      <c r="CQ51" s="208">
        <v>5536</v>
      </c>
      <c r="CR51" s="208">
        <v>553606</v>
      </c>
      <c r="CS51" s="208">
        <v>0</v>
      </c>
      <c r="CT51" s="208">
        <v>-573511</v>
      </c>
      <c r="CU51" s="208">
        <v>-845928</v>
      </c>
      <c r="CV51" s="208">
        <v>-14338</v>
      </c>
      <c r="CW51" s="208">
        <v>-1433777</v>
      </c>
      <c r="CX51" s="208">
        <v>0</v>
      </c>
      <c r="CY51" s="208">
        <v>-2700690</v>
      </c>
      <c r="CZ51" s="208">
        <v>-3983516</v>
      </c>
      <c r="DA51" s="208">
        <v>-67517</v>
      </c>
      <c r="DB51" s="208">
        <v>-6751723</v>
      </c>
      <c r="DC51" s="208">
        <v>0</v>
      </c>
      <c r="DD51" s="208">
        <v>-645321</v>
      </c>
      <c r="DE51" s="208">
        <v>-951849</v>
      </c>
      <c r="DF51" s="208">
        <v>-16133</v>
      </c>
      <c r="DG51" s="208">
        <v>-1613303</v>
      </c>
      <c r="DH51" s="208">
        <v>-1</v>
      </c>
      <c r="DI51" s="208">
        <v>-2055368</v>
      </c>
      <c r="DJ51" s="208">
        <v>-3031667</v>
      </c>
      <c r="DK51" s="208">
        <v>-51384</v>
      </c>
      <c r="DL51" s="208">
        <v>-5138420</v>
      </c>
      <c r="DM51" s="208">
        <v>753397</v>
      </c>
      <c r="DN51" s="208">
        <v>117152</v>
      </c>
      <c r="DO51" s="208">
        <v>135612</v>
      </c>
      <c r="DP51" s="208">
        <v>15070</v>
      </c>
      <c r="DQ51" s="208">
        <v>1021231</v>
      </c>
      <c r="DR51" s="208">
        <v>-38176</v>
      </c>
      <c r="DS51" s="208">
        <v>-30542</v>
      </c>
      <c r="DT51" s="208">
        <v>-6872</v>
      </c>
      <c r="DU51" s="208">
        <v>-764</v>
      </c>
      <c r="DV51" s="208">
        <v>-76354</v>
      </c>
      <c r="DW51" s="208">
        <v>791573</v>
      </c>
      <c r="DX51" s="208">
        <v>147694</v>
      </c>
      <c r="DY51" s="208">
        <v>142484</v>
      </c>
      <c r="DZ51" s="208">
        <v>15834</v>
      </c>
      <c r="EA51" s="208">
        <v>1097585</v>
      </c>
      <c r="EB51" s="208">
        <v>0</v>
      </c>
      <c r="EC51" s="208">
        <v>19982841</v>
      </c>
      <c r="ED51" s="208">
        <v>29474691</v>
      </c>
      <c r="EE51" s="208">
        <v>499571</v>
      </c>
      <c r="EF51" s="208">
        <v>49957103</v>
      </c>
      <c r="EG51" s="208">
        <v>0</v>
      </c>
      <c r="EH51" s="208">
        <v>20245912</v>
      </c>
      <c r="EI51" s="208">
        <v>29862720</v>
      </c>
      <c r="EJ51" s="208">
        <v>506148</v>
      </c>
      <c r="EK51" s="208">
        <v>50614780</v>
      </c>
      <c r="EL51" s="208">
        <v>0</v>
      </c>
      <c r="EM51" s="208">
        <v>263071</v>
      </c>
      <c r="EN51" s="208">
        <v>388029</v>
      </c>
      <c r="EO51" s="208">
        <v>6577</v>
      </c>
      <c r="EP51" s="208">
        <v>657677</v>
      </c>
      <c r="EQ51" s="208">
        <v>791573</v>
      </c>
      <c r="ER51" s="208">
        <v>410765</v>
      </c>
      <c r="ES51" s="208">
        <v>530513</v>
      </c>
      <c r="ET51" s="208">
        <v>22411</v>
      </c>
      <c r="EU51" s="208">
        <v>1755262</v>
      </c>
      <c r="EV51" s="666">
        <v>0</v>
      </c>
      <c r="EW51" s="666">
        <v>0.4</v>
      </c>
      <c r="EX51" s="666">
        <v>0.59</v>
      </c>
      <c r="EY51" s="666">
        <v>0.01</v>
      </c>
      <c r="EZ51" s="666">
        <v>1</v>
      </c>
      <c r="FA51" s="187" t="s">
        <v>1054</v>
      </c>
      <c r="FC51" s="187">
        <v>0</v>
      </c>
    </row>
    <row r="52" spans="2:159" s="187" customFormat="1" x14ac:dyDescent="0.2">
      <c r="B52" s="429" t="s">
        <v>183</v>
      </c>
      <c r="C52" s="429" t="s">
        <v>182</v>
      </c>
      <c r="D52" s="208">
        <v>20032343</v>
      </c>
      <c r="E52" s="208">
        <v>16025875</v>
      </c>
      <c r="F52" s="208">
        <v>4006469</v>
      </c>
      <c r="G52" s="208">
        <v>0</v>
      </c>
      <c r="H52" s="208">
        <v>40064687</v>
      </c>
      <c r="I52" s="208">
        <v>130082</v>
      </c>
      <c r="J52" s="208">
        <v>130082</v>
      </c>
      <c r="K52" s="208">
        <v>19902261</v>
      </c>
      <c r="L52" s="208">
        <v>178507</v>
      </c>
      <c r="M52" s="208">
        <v>178507</v>
      </c>
      <c r="N52" s="208">
        <v>0</v>
      </c>
      <c r="O52" s="208">
        <v>0</v>
      </c>
      <c r="P52" s="208">
        <v>319449</v>
      </c>
      <c r="Q52" s="208">
        <v>0</v>
      </c>
      <c r="R52" s="208">
        <v>319449</v>
      </c>
      <c r="S52" s="208">
        <v>0</v>
      </c>
      <c r="T52" s="208">
        <v>0</v>
      </c>
      <c r="U52" s="208">
        <v>0</v>
      </c>
      <c r="V52" s="208">
        <v>0</v>
      </c>
      <c r="W52" s="208">
        <v>130082.26666666668</v>
      </c>
      <c r="X52" s="208">
        <v>0</v>
      </c>
      <c r="Y52" s="208">
        <v>0</v>
      </c>
      <c r="Z52" s="208">
        <v>130082.26666666668</v>
      </c>
      <c r="AA52" s="208">
        <v>0</v>
      </c>
      <c r="AB52" s="208">
        <v>0</v>
      </c>
      <c r="AC52" s="208">
        <v>0</v>
      </c>
      <c r="AD52" s="208">
        <v>0</v>
      </c>
      <c r="AE52" s="208">
        <v>0</v>
      </c>
      <c r="AF52" s="208">
        <v>0</v>
      </c>
      <c r="AG52" s="208">
        <v>1792522</v>
      </c>
      <c r="AH52" s="208">
        <v>427875</v>
      </c>
      <c r="AI52" s="208">
        <v>0</v>
      </c>
      <c r="AJ52" s="208">
        <v>2220397</v>
      </c>
      <c r="AK52" s="208">
        <v>610284</v>
      </c>
      <c r="AL52" s="208">
        <v>488227</v>
      </c>
      <c r="AM52" s="208">
        <v>122057</v>
      </c>
      <c r="AN52" s="208">
        <v>0</v>
      </c>
      <c r="AO52" s="208">
        <v>1220568</v>
      </c>
      <c r="AP52" s="208">
        <v>-293257</v>
      </c>
      <c r="AQ52" s="208">
        <v>-234605</v>
      </c>
      <c r="AR52" s="208">
        <v>-58651</v>
      </c>
      <c r="AS52" s="208">
        <v>0</v>
      </c>
      <c r="AT52" s="208">
        <v>-586513</v>
      </c>
      <c r="AU52" s="208">
        <v>-145114</v>
      </c>
      <c r="AV52" s="208">
        <v>-116091</v>
      </c>
      <c r="AW52" s="208">
        <v>-29023</v>
      </c>
      <c r="AX52" s="208">
        <v>0</v>
      </c>
      <c r="AY52" s="208">
        <v>-290228</v>
      </c>
      <c r="AZ52" s="208">
        <v>145114</v>
      </c>
      <c r="BA52" s="208">
        <v>116091</v>
      </c>
      <c r="BB52" s="208">
        <v>29023</v>
      </c>
      <c r="BC52" s="208">
        <v>0</v>
      </c>
      <c r="BD52" s="208">
        <v>290228</v>
      </c>
      <c r="BE52" s="208">
        <v>-131469</v>
      </c>
      <c r="BF52" s="208">
        <v>-105176</v>
      </c>
      <c r="BG52" s="208">
        <v>-26294</v>
      </c>
      <c r="BH52" s="208">
        <v>0</v>
      </c>
      <c r="BI52" s="208">
        <v>-262939</v>
      </c>
      <c r="BJ52" s="208">
        <v>-131469</v>
      </c>
      <c r="BK52" s="208">
        <v>-105176</v>
      </c>
      <c r="BL52" s="208">
        <v>-26294</v>
      </c>
      <c r="BM52" s="208">
        <v>0</v>
      </c>
      <c r="BN52" s="208">
        <v>-262939</v>
      </c>
      <c r="BO52" s="208">
        <v>-860367</v>
      </c>
      <c r="BP52" s="208">
        <v>-688293</v>
      </c>
      <c r="BQ52" s="208">
        <v>-172073</v>
      </c>
      <c r="BR52" s="208">
        <v>0</v>
      </c>
      <c r="BS52" s="208">
        <v>-1720733</v>
      </c>
      <c r="BT52" s="208">
        <v>-263072</v>
      </c>
      <c r="BU52" s="208">
        <v>-210457</v>
      </c>
      <c r="BV52" s="208">
        <v>-52614</v>
      </c>
      <c r="BW52" s="208">
        <v>0</v>
      </c>
      <c r="BX52" s="208">
        <v>-526143</v>
      </c>
      <c r="BY52" s="208">
        <v>-597295</v>
      </c>
      <c r="BZ52" s="208">
        <v>-477836</v>
      </c>
      <c r="CA52" s="208">
        <v>-119459</v>
      </c>
      <c r="CB52" s="208">
        <v>0</v>
      </c>
      <c r="CC52" s="208">
        <v>-1194590</v>
      </c>
      <c r="CD52" s="208">
        <v>57642</v>
      </c>
      <c r="CE52" s="208">
        <v>46113</v>
      </c>
      <c r="CF52" s="208">
        <v>11528</v>
      </c>
      <c r="CG52" s="208">
        <v>0</v>
      </c>
      <c r="CH52" s="208">
        <v>115283</v>
      </c>
      <c r="CI52" s="208">
        <v>89433</v>
      </c>
      <c r="CJ52" s="208">
        <v>71547</v>
      </c>
      <c r="CK52" s="208">
        <v>17887</v>
      </c>
      <c r="CL52" s="208">
        <v>0</v>
      </c>
      <c r="CM52" s="208">
        <v>178867</v>
      </c>
      <c r="CN52" s="208">
        <v>-150783</v>
      </c>
      <c r="CO52" s="208">
        <v>-120626</v>
      </c>
      <c r="CP52" s="208">
        <v>-30157</v>
      </c>
      <c r="CQ52" s="208">
        <v>0</v>
      </c>
      <c r="CR52" s="208">
        <v>-301566</v>
      </c>
      <c r="CS52" s="208">
        <v>-786522</v>
      </c>
      <c r="CT52" s="208">
        <v>-629218</v>
      </c>
      <c r="CU52" s="208">
        <v>-157304</v>
      </c>
      <c r="CV52" s="208">
        <v>0</v>
      </c>
      <c r="CW52" s="208">
        <v>-1573044</v>
      </c>
      <c r="CX52" s="208">
        <v>-1650597</v>
      </c>
      <c r="CY52" s="208">
        <v>-1320477</v>
      </c>
      <c r="CZ52" s="208">
        <v>-330119</v>
      </c>
      <c r="DA52" s="208">
        <v>0</v>
      </c>
      <c r="DB52" s="208">
        <v>-3301193</v>
      </c>
      <c r="DC52" s="208">
        <v>-356213</v>
      </c>
      <c r="DD52" s="208">
        <v>-284970</v>
      </c>
      <c r="DE52" s="208">
        <v>-71243</v>
      </c>
      <c r="DF52" s="208">
        <v>0</v>
      </c>
      <c r="DG52" s="208">
        <v>-712426</v>
      </c>
      <c r="DH52" s="208">
        <v>-1294384</v>
      </c>
      <c r="DI52" s="208">
        <v>-1035507</v>
      </c>
      <c r="DJ52" s="208">
        <v>-258876</v>
      </c>
      <c r="DK52" s="208">
        <v>0</v>
      </c>
      <c r="DL52" s="208">
        <v>-2588767</v>
      </c>
      <c r="DM52" s="208">
        <v>-625864</v>
      </c>
      <c r="DN52" s="208">
        <v>-500692</v>
      </c>
      <c r="DO52" s="208">
        <v>-125173</v>
      </c>
      <c r="DP52" s="208">
        <v>0</v>
      </c>
      <c r="DQ52" s="208">
        <v>-1251729</v>
      </c>
      <c r="DR52" s="208">
        <v>-1044393</v>
      </c>
      <c r="DS52" s="208">
        <v>-835515</v>
      </c>
      <c r="DT52" s="208">
        <v>-208879</v>
      </c>
      <c r="DU52" s="208">
        <v>0</v>
      </c>
      <c r="DV52" s="208">
        <v>-2088787</v>
      </c>
      <c r="DW52" s="208">
        <v>418529</v>
      </c>
      <c r="DX52" s="208">
        <v>334823</v>
      </c>
      <c r="DY52" s="208">
        <v>83706</v>
      </c>
      <c r="DZ52" s="208">
        <v>0</v>
      </c>
      <c r="EA52" s="208">
        <v>837058</v>
      </c>
      <c r="EB52" s="208">
        <v>20382111</v>
      </c>
      <c r="EC52" s="208">
        <v>16305689</v>
      </c>
      <c r="ED52" s="208">
        <v>4076422</v>
      </c>
      <c r="EE52" s="208">
        <v>0</v>
      </c>
      <c r="EF52" s="208">
        <v>40764222</v>
      </c>
      <c r="EG52" s="208">
        <v>20032343</v>
      </c>
      <c r="EH52" s="208">
        <v>16025875</v>
      </c>
      <c r="EI52" s="208">
        <v>4006469</v>
      </c>
      <c r="EJ52" s="208">
        <v>0</v>
      </c>
      <c r="EK52" s="208">
        <v>40064687</v>
      </c>
      <c r="EL52" s="208">
        <v>-349768</v>
      </c>
      <c r="EM52" s="208">
        <v>-279814</v>
      </c>
      <c r="EN52" s="208">
        <v>-69953</v>
      </c>
      <c r="EO52" s="208">
        <v>0</v>
      </c>
      <c r="EP52" s="208">
        <v>-699535</v>
      </c>
      <c r="EQ52" s="208">
        <v>68761</v>
      </c>
      <c r="ER52" s="208">
        <v>55009</v>
      </c>
      <c r="ES52" s="208">
        <v>13753</v>
      </c>
      <c r="ET52" s="208">
        <v>0</v>
      </c>
      <c r="EU52" s="208">
        <v>137523</v>
      </c>
      <c r="EV52" s="666">
        <v>0.5</v>
      </c>
      <c r="EW52" s="666">
        <v>0.4</v>
      </c>
      <c r="EX52" s="666">
        <v>0.1</v>
      </c>
      <c r="EY52" s="666">
        <v>0</v>
      </c>
      <c r="EZ52" s="666">
        <v>1</v>
      </c>
      <c r="FA52" s="187" t="s">
        <v>1054</v>
      </c>
      <c r="FC52" s="187">
        <v>0</v>
      </c>
    </row>
    <row r="53" spans="2:159" s="187" customFormat="1" x14ac:dyDescent="0.2">
      <c r="B53" s="429" t="s">
        <v>185</v>
      </c>
      <c r="C53" s="429" t="s">
        <v>184</v>
      </c>
      <c r="D53" s="208">
        <v>6764187.5199999996</v>
      </c>
      <c r="E53" s="208">
        <v>5411350</v>
      </c>
      <c r="F53" s="208">
        <v>1217554</v>
      </c>
      <c r="G53" s="208">
        <v>135284</v>
      </c>
      <c r="H53" s="208">
        <v>13528375.52</v>
      </c>
      <c r="I53" s="208">
        <v>0</v>
      </c>
      <c r="J53" s="208">
        <v>0</v>
      </c>
      <c r="K53" s="208">
        <v>6764187.5199999996</v>
      </c>
      <c r="L53" s="208">
        <v>78327</v>
      </c>
      <c r="M53" s="208">
        <v>78327</v>
      </c>
      <c r="N53" s="208">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1072962</v>
      </c>
      <c r="AH53" s="208">
        <v>241417</v>
      </c>
      <c r="AI53" s="208">
        <v>26824</v>
      </c>
      <c r="AJ53" s="208">
        <v>1341203</v>
      </c>
      <c r="AK53" s="208">
        <v>115364</v>
      </c>
      <c r="AL53" s="208">
        <v>92292</v>
      </c>
      <c r="AM53" s="208">
        <v>20766</v>
      </c>
      <c r="AN53" s="208">
        <v>2307</v>
      </c>
      <c r="AO53" s="208">
        <v>230729</v>
      </c>
      <c r="AP53" s="208">
        <v>-147631</v>
      </c>
      <c r="AQ53" s="208">
        <v>-118104</v>
      </c>
      <c r="AR53" s="208">
        <v>-26573</v>
      </c>
      <c r="AS53" s="208">
        <v>-2953</v>
      </c>
      <c r="AT53" s="208">
        <v>-295261</v>
      </c>
      <c r="AU53" s="208">
        <v>-99713</v>
      </c>
      <c r="AV53" s="208">
        <v>-79770</v>
      </c>
      <c r="AW53" s="208">
        <v>-17948</v>
      </c>
      <c r="AX53" s="208">
        <v>-1994</v>
      </c>
      <c r="AY53" s="208">
        <v>-199425</v>
      </c>
      <c r="AZ53" s="208">
        <v>56126.710000000006</v>
      </c>
      <c r="BA53" s="208">
        <v>44901</v>
      </c>
      <c r="BB53" s="208">
        <v>10103</v>
      </c>
      <c r="BC53" s="208">
        <v>1123</v>
      </c>
      <c r="BD53" s="208">
        <v>112253.71</v>
      </c>
      <c r="BE53" s="208">
        <v>-47451.479999999996</v>
      </c>
      <c r="BF53" s="208">
        <v>-37961</v>
      </c>
      <c r="BG53" s="208">
        <v>-8541</v>
      </c>
      <c r="BH53" s="208">
        <v>-949</v>
      </c>
      <c r="BI53" s="208">
        <v>-94902.48</v>
      </c>
      <c r="BJ53" s="208">
        <v>-91037.76999999999</v>
      </c>
      <c r="BK53" s="208">
        <v>-72830</v>
      </c>
      <c r="BL53" s="208">
        <v>-16386</v>
      </c>
      <c r="BM53" s="208">
        <v>-1820</v>
      </c>
      <c r="BN53" s="208">
        <v>-182073.77</v>
      </c>
      <c r="BO53" s="208">
        <v>-980000</v>
      </c>
      <c r="BP53" s="208">
        <v>-784000</v>
      </c>
      <c r="BQ53" s="208">
        <v>-176400</v>
      </c>
      <c r="BR53" s="208">
        <v>-19600</v>
      </c>
      <c r="BS53" s="208">
        <v>-1960000</v>
      </c>
      <c r="BT53" s="208">
        <v>-638000</v>
      </c>
      <c r="BU53" s="208">
        <v>-510400</v>
      </c>
      <c r="BV53" s="208">
        <v>-114840</v>
      </c>
      <c r="BW53" s="208">
        <v>-12760</v>
      </c>
      <c r="BX53" s="208">
        <v>-1276000</v>
      </c>
      <c r="BY53" s="208">
        <v>-342000</v>
      </c>
      <c r="BZ53" s="208">
        <v>-273600</v>
      </c>
      <c r="CA53" s="208">
        <v>-61560</v>
      </c>
      <c r="CB53" s="208">
        <v>-6840</v>
      </c>
      <c r="CC53" s="208">
        <v>-684000</v>
      </c>
      <c r="CD53" s="208">
        <v>58460</v>
      </c>
      <c r="CE53" s="208">
        <v>46768</v>
      </c>
      <c r="CF53" s="208">
        <v>10523</v>
      </c>
      <c r="CG53" s="208">
        <v>1169</v>
      </c>
      <c r="CH53" s="208">
        <v>116920</v>
      </c>
      <c r="CI53" s="208">
        <v>6184</v>
      </c>
      <c r="CJ53" s="208">
        <v>4947</v>
      </c>
      <c r="CK53" s="208">
        <v>1113</v>
      </c>
      <c r="CL53" s="208">
        <v>124</v>
      </c>
      <c r="CM53" s="208">
        <v>12368</v>
      </c>
      <c r="CN53" s="208">
        <v>-28960</v>
      </c>
      <c r="CO53" s="208">
        <v>-23168</v>
      </c>
      <c r="CP53" s="208">
        <v>-5213</v>
      </c>
      <c r="CQ53" s="208">
        <v>-579</v>
      </c>
      <c r="CR53" s="208">
        <v>-57920</v>
      </c>
      <c r="CS53" s="208">
        <v>-392684</v>
      </c>
      <c r="CT53" s="208">
        <v>-314147</v>
      </c>
      <c r="CU53" s="208">
        <v>-70683</v>
      </c>
      <c r="CV53" s="208">
        <v>-7854</v>
      </c>
      <c r="CW53" s="208">
        <v>-785368</v>
      </c>
      <c r="CX53" s="208">
        <v>-1337000</v>
      </c>
      <c r="CY53" s="208">
        <v>-1069600</v>
      </c>
      <c r="CZ53" s="208">
        <v>-240660</v>
      </c>
      <c r="DA53" s="208">
        <v>-26740</v>
      </c>
      <c r="DB53" s="208">
        <v>-2674000</v>
      </c>
      <c r="DC53" s="208">
        <v>-608500</v>
      </c>
      <c r="DD53" s="208">
        <v>-486800</v>
      </c>
      <c r="DE53" s="208">
        <v>-109530</v>
      </c>
      <c r="DF53" s="208">
        <v>-12170</v>
      </c>
      <c r="DG53" s="208">
        <v>-1217000</v>
      </c>
      <c r="DH53" s="208">
        <v>-728500</v>
      </c>
      <c r="DI53" s="208">
        <v>-582800</v>
      </c>
      <c r="DJ53" s="208">
        <v>-131130</v>
      </c>
      <c r="DK53" s="208">
        <v>-14570</v>
      </c>
      <c r="DL53" s="208">
        <v>-1457000</v>
      </c>
      <c r="DM53" s="208">
        <v>-160933</v>
      </c>
      <c r="DN53" s="208">
        <v>-128749</v>
      </c>
      <c r="DO53" s="208">
        <v>-28969</v>
      </c>
      <c r="DP53" s="208">
        <v>-3220</v>
      </c>
      <c r="DQ53" s="208">
        <v>-321871</v>
      </c>
      <c r="DR53" s="208">
        <v>-137875</v>
      </c>
      <c r="DS53" s="208">
        <v>-110301</v>
      </c>
      <c r="DT53" s="208">
        <v>-24818</v>
      </c>
      <c r="DU53" s="208">
        <v>-2758</v>
      </c>
      <c r="DV53" s="208">
        <v>-275752</v>
      </c>
      <c r="DW53" s="208">
        <v>-23058</v>
      </c>
      <c r="DX53" s="208">
        <v>-18448</v>
      </c>
      <c r="DY53" s="208">
        <v>-4151</v>
      </c>
      <c r="DZ53" s="208">
        <v>-462</v>
      </c>
      <c r="EA53" s="208">
        <v>-46119</v>
      </c>
      <c r="EB53" s="208">
        <v>6975115</v>
      </c>
      <c r="EC53" s="208">
        <v>5580092</v>
      </c>
      <c r="ED53" s="208">
        <v>1255521</v>
      </c>
      <c r="EE53" s="208">
        <v>139502</v>
      </c>
      <c r="EF53" s="208">
        <v>13950230</v>
      </c>
      <c r="EG53" s="208">
        <v>6764187.5199999996</v>
      </c>
      <c r="EH53" s="208">
        <v>5411350</v>
      </c>
      <c r="EI53" s="208">
        <v>1217554</v>
      </c>
      <c r="EJ53" s="208">
        <v>135284</v>
      </c>
      <c r="EK53" s="208">
        <v>13528375.52</v>
      </c>
      <c r="EL53" s="208">
        <v>-210927.48000000045</v>
      </c>
      <c r="EM53" s="208">
        <v>-168742</v>
      </c>
      <c r="EN53" s="208">
        <v>-37967</v>
      </c>
      <c r="EO53" s="208">
        <v>-4218</v>
      </c>
      <c r="EP53" s="208">
        <v>-421854.48000000045</v>
      </c>
      <c r="EQ53" s="208">
        <v>-233985.48000000045</v>
      </c>
      <c r="ER53" s="208">
        <v>-187190</v>
      </c>
      <c r="ES53" s="208">
        <v>-42118</v>
      </c>
      <c r="ET53" s="208">
        <v>-4680</v>
      </c>
      <c r="EU53" s="208">
        <v>-467973.48000000045</v>
      </c>
      <c r="EV53" s="666">
        <v>0.5</v>
      </c>
      <c r="EW53" s="666">
        <v>0.4</v>
      </c>
      <c r="EX53" s="666">
        <v>0.09</v>
      </c>
      <c r="EY53" s="666">
        <v>0.01</v>
      </c>
      <c r="EZ53" s="666">
        <v>1</v>
      </c>
      <c r="FA53" s="187" t="s">
        <v>1054</v>
      </c>
      <c r="FC53" s="187">
        <v>0</v>
      </c>
    </row>
    <row r="54" spans="2:159" s="187" customFormat="1" x14ac:dyDescent="0.2">
      <c r="B54" s="429" t="s">
        <v>187</v>
      </c>
      <c r="C54" s="429" t="s">
        <v>186</v>
      </c>
      <c r="D54" s="208">
        <v>43457573</v>
      </c>
      <c r="E54" s="208">
        <v>42588422</v>
      </c>
      <c r="F54" s="208">
        <v>0</v>
      </c>
      <c r="G54" s="208">
        <v>869151</v>
      </c>
      <c r="H54" s="208">
        <v>86915146</v>
      </c>
      <c r="I54" s="208">
        <v>0</v>
      </c>
      <c r="J54" s="208">
        <v>0</v>
      </c>
      <c r="K54" s="208">
        <v>43457573</v>
      </c>
      <c r="L54" s="208">
        <v>302614</v>
      </c>
      <c r="M54" s="208">
        <v>302614</v>
      </c>
      <c r="N54" s="208">
        <v>0</v>
      </c>
      <c r="O54" s="208">
        <v>0</v>
      </c>
      <c r="P54" s="208">
        <v>371991</v>
      </c>
      <c r="Q54" s="208">
        <v>0</v>
      </c>
      <c r="R54" s="208">
        <v>371991</v>
      </c>
      <c r="S54" s="208">
        <v>0</v>
      </c>
      <c r="T54" s="208">
        <v>0</v>
      </c>
      <c r="U54" s="208">
        <v>0</v>
      </c>
      <c r="V54" s="208">
        <v>0</v>
      </c>
      <c r="W54" s="208">
        <v>0</v>
      </c>
      <c r="X54" s="208">
        <v>0</v>
      </c>
      <c r="Y54" s="208">
        <v>0</v>
      </c>
      <c r="Z54" s="208">
        <v>0</v>
      </c>
      <c r="AA54" s="208">
        <v>0</v>
      </c>
      <c r="AB54" s="208">
        <v>0</v>
      </c>
      <c r="AC54" s="208">
        <v>0</v>
      </c>
      <c r="AD54" s="208">
        <v>0</v>
      </c>
      <c r="AE54" s="208">
        <v>0</v>
      </c>
      <c r="AF54" s="208">
        <v>0</v>
      </c>
      <c r="AG54" s="208">
        <v>4307885</v>
      </c>
      <c r="AH54" s="208">
        <v>0</v>
      </c>
      <c r="AI54" s="208">
        <v>87630</v>
      </c>
      <c r="AJ54" s="208">
        <v>4395515</v>
      </c>
      <c r="AK54" s="208">
        <v>1527268</v>
      </c>
      <c r="AL54" s="208">
        <v>1496722</v>
      </c>
      <c r="AM54" s="208">
        <v>0</v>
      </c>
      <c r="AN54" s="208">
        <v>30545</v>
      </c>
      <c r="AO54" s="208">
        <v>3054535</v>
      </c>
      <c r="AP54" s="208">
        <v>-333125</v>
      </c>
      <c r="AQ54" s="208">
        <v>-326462</v>
      </c>
      <c r="AR54" s="208">
        <v>0</v>
      </c>
      <c r="AS54" s="208">
        <v>-6662</v>
      </c>
      <c r="AT54" s="208">
        <v>-666249</v>
      </c>
      <c r="AU54" s="208">
        <v>-251320</v>
      </c>
      <c r="AV54" s="208">
        <v>-246294</v>
      </c>
      <c r="AW54" s="208">
        <v>0</v>
      </c>
      <c r="AX54" s="208">
        <v>-5026</v>
      </c>
      <c r="AY54" s="208">
        <v>-502640</v>
      </c>
      <c r="AZ54" s="208">
        <v>243734</v>
      </c>
      <c r="BA54" s="208">
        <v>238860</v>
      </c>
      <c r="BB54" s="208">
        <v>0</v>
      </c>
      <c r="BC54" s="208">
        <v>4875</v>
      </c>
      <c r="BD54" s="208">
        <v>487469</v>
      </c>
      <c r="BE54" s="208">
        <v>-254901</v>
      </c>
      <c r="BF54" s="208">
        <v>-249802</v>
      </c>
      <c r="BG54" s="208">
        <v>0</v>
      </c>
      <c r="BH54" s="208">
        <v>-5098</v>
      </c>
      <c r="BI54" s="208">
        <v>-509801</v>
      </c>
      <c r="BJ54" s="208">
        <v>-262487</v>
      </c>
      <c r="BK54" s="208">
        <v>-257236</v>
      </c>
      <c r="BL54" s="208">
        <v>0</v>
      </c>
      <c r="BM54" s="208">
        <v>-5249</v>
      </c>
      <c r="BN54" s="208">
        <v>-524972</v>
      </c>
      <c r="BO54" s="208">
        <v>-2150573</v>
      </c>
      <c r="BP54" s="208">
        <v>-2107562</v>
      </c>
      <c r="BQ54" s="208">
        <v>0</v>
      </c>
      <c r="BR54" s="208">
        <v>-43011</v>
      </c>
      <c r="BS54" s="208">
        <v>-4301146</v>
      </c>
      <c r="BT54" s="208">
        <v>0</v>
      </c>
      <c r="BU54" s="208">
        <v>0</v>
      </c>
      <c r="BV54" s="208">
        <v>0</v>
      </c>
      <c r="BW54" s="208">
        <v>0</v>
      </c>
      <c r="BX54" s="208">
        <v>0</v>
      </c>
      <c r="BY54" s="208">
        <v>-2150573</v>
      </c>
      <c r="BZ54" s="208">
        <v>-2107562</v>
      </c>
      <c r="CA54" s="208">
        <v>0</v>
      </c>
      <c r="CB54" s="208">
        <v>-43011</v>
      </c>
      <c r="CC54" s="208">
        <v>-4301146</v>
      </c>
      <c r="CD54" s="208">
        <v>924462</v>
      </c>
      <c r="CE54" s="208">
        <v>905972</v>
      </c>
      <c r="CF54" s="208">
        <v>0</v>
      </c>
      <c r="CG54" s="208">
        <v>18489</v>
      </c>
      <c r="CH54" s="208">
        <v>1848923</v>
      </c>
      <c r="CI54" s="208">
        <v>17337</v>
      </c>
      <c r="CJ54" s="208">
        <v>16991</v>
      </c>
      <c r="CK54" s="208">
        <v>0</v>
      </c>
      <c r="CL54" s="208">
        <v>347</v>
      </c>
      <c r="CM54" s="208">
        <v>34675</v>
      </c>
      <c r="CN54" s="208">
        <v>-83705</v>
      </c>
      <c r="CO54" s="208">
        <v>-82031</v>
      </c>
      <c r="CP54" s="208">
        <v>0</v>
      </c>
      <c r="CQ54" s="208">
        <v>-1674</v>
      </c>
      <c r="CR54" s="208">
        <v>-167410</v>
      </c>
      <c r="CS54" s="208">
        <v>62909</v>
      </c>
      <c r="CT54" s="208">
        <v>61651</v>
      </c>
      <c r="CU54" s="208">
        <v>0</v>
      </c>
      <c r="CV54" s="208">
        <v>1258</v>
      </c>
      <c r="CW54" s="208">
        <v>125818</v>
      </c>
      <c r="CX54" s="208">
        <v>-1229570</v>
      </c>
      <c r="CY54" s="208">
        <v>-1204979</v>
      </c>
      <c r="CZ54" s="208">
        <v>0</v>
      </c>
      <c r="DA54" s="208">
        <v>-24591</v>
      </c>
      <c r="DB54" s="208">
        <v>-2459140</v>
      </c>
      <c r="DC54" s="208">
        <v>840757</v>
      </c>
      <c r="DD54" s="208">
        <v>823941</v>
      </c>
      <c r="DE54" s="208">
        <v>0</v>
      </c>
      <c r="DF54" s="208">
        <v>16815</v>
      </c>
      <c r="DG54" s="208">
        <v>1681513</v>
      </c>
      <c r="DH54" s="208">
        <v>-2070327</v>
      </c>
      <c r="DI54" s="208">
        <v>-2028920</v>
      </c>
      <c r="DJ54" s="208">
        <v>0</v>
      </c>
      <c r="DK54" s="208">
        <v>-41406</v>
      </c>
      <c r="DL54" s="208">
        <v>-4140653</v>
      </c>
      <c r="DM54" s="208">
        <v>-707290</v>
      </c>
      <c r="DN54" s="208">
        <v>-693143</v>
      </c>
      <c r="DO54" s="208">
        <v>0</v>
      </c>
      <c r="DP54" s="208">
        <v>-14146</v>
      </c>
      <c r="DQ54" s="208">
        <v>-1414579</v>
      </c>
      <c r="DR54" s="208">
        <v>-963500</v>
      </c>
      <c r="DS54" s="208">
        <v>-944230</v>
      </c>
      <c r="DT54" s="208">
        <v>0</v>
      </c>
      <c r="DU54" s="208">
        <v>-19270</v>
      </c>
      <c r="DV54" s="208">
        <v>-1927000</v>
      </c>
      <c r="DW54" s="208">
        <v>256210</v>
      </c>
      <c r="DX54" s="208">
        <v>251087</v>
      </c>
      <c r="DY54" s="208">
        <v>0</v>
      </c>
      <c r="DZ54" s="208">
        <v>5124</v>
      </c>
      <c r="EA54" s="208">
        <v>512421</v>
      </c>
      <c r="EB54" s="208">
        <v>43078796</v>
      </c>
      <c r="EC54" s="208">
        <v>42217220</v>
      </c>
      <c r="ED54" s="208">
        <v>0</v>
      </c>
      <c r="EE54" s="208">
        <v>861576</v>
      </c>
      <c r="EF54" s="208">
        <v>86157592</v>
      </c>
      <c r="EG54" s="208">
        <v>43457573</v>
      </c>
      <c r="EH54" s="208">
        <v>42588422</v>
      </c>
      <c r="EI54" s="208">
        <v>0</v>
      </c>
      <c r="EJ54" s="208">
        <v>869151</v>
      </c>
      <c r="EK54" s="208">
        <v>86915146</v>
      </c>
      <c r="EL54" s="208">
        <v>378777</v>
      </c>
      <c r="EM54" s="208">
        <v>371202</v>
      </c>
      <c r="EN54" s="208">
        <v>0</v>
      </c>
      <c r="EO54" s="208">
        <v>7575</v>
      </c>
      <c r="EP54" s="208">
        <v>757554</v>
      </c>
      <c r="EQ54" s="208">
        <v>634987</v>
      </c>
      <c r="ER54" s="208">
        <v>622289</v>
      </c>
      <c r="ES54" s="208">
        <v>0</v>
      </c>
      <c r="ET54" s="208">
        <v>12699</v>
      </c>
      <c r="EU54" s="208">
        <v>1269975</v>
      </c>
      <c r="EV54" s="666">
        <v>0.5</v>
      </c>
      <c r="EW54" s="666">
        <v>0.49</v>
      </c>
      <c r="EX54" s="666">
        <v>0</v>
      </c>
      <c r="EY54" s="666">
        <v>0.01</v>
      </c>
      <c r="EZ54" s="666">
        <v>1</v>
      </c>
      <c r="FA54" s="187" t="s">
        <v>742</v>
      </c>
      <c r="FC54" s="187">
        <v>0</v>
      </c>
    </row>
    <row r="55" spans="2:159" s="187" customFormat="1" x14ac:dyDescent="0.2">
      <c r="B55" s="429" t="s">
        <v>189</v>
      </c>
      <c r="C55" s="429" t="s">
        <v>188</v>
      </c>
      <c r="D55" s="208">
        <v>22273332</v>
      </c>
      <c r="E55" s="208">
        <v>17818666</v>
      </c>
      <c r="F55" s="208">
        <v>4009200</v>
      </c>
      <c r="G55" s="208">
        <v>445467</v>
      </c>
      <c r="H55" s="208">
        <v>44546665</v>
      </c>
      <c r="I55" s="208">
        <v>0</v>
      </c>
      <c r="J55" s="208">
        <v>0</v>
      </c>
      <c r="K55" s="208">
        <v>22273332</v>
      </c>
      <c r="L55" s="208">
        <v>192801</v>
      </c>
      <c r="M55" s="208">
        <v>192801</v>
      </c>
      <c r="N55" s="208">
        <v>222402</v>
      </c>
      <c r="O55" s="208">
        <v>222402</v>
      </c>
      <c r="P55" s="208">
        <v>183388</v>
      </c>
      <c r="Q55" s="208">
        <v>4224</v>
      </c>
      <c r="R55" s="208">
        <v>187612</v>
      </c>
      <c r="S55" s="208">
        <v>0</v>
      </c>
      <c r="T55" s="208">
        <v>0</v>
      </c>
      <c r="U55" s="208">
        <v>0</v>
      </c>
      <c r="V55" s="208">
        <v>0</v>
      </c>
      <c r="W55" s="208">
        <v>0</v>
      </c>
      <c r="X55" s="208">
        <v>0</v>
      </c>
      <c r="Y55" s="208">
        <v>0</v>
      </c>
      <c r="Z55" s="208">
        <v>0</v>
      </c>
      <c r="AA55" s="208">
        <v>0</v>
      </c>
      <c r="AB55" s="208">
        <v>0</v>
      </c>
      <c r="AC55" s="208">
        <v>0</v>
      </c>
      <c r="AD55" s="208">
        <v>0</v>
      </c>
      <c r="AE55" s="208">
        <v>0</v>
      </c>
      <c r="AF55" s="208">
        <v>0</v>
      </c>
      <c r="AG55" s="208">
        <v>2268014</v>
      </c>
      <c r="AH55" s="208">
        <v>508306</v>
      </c>
      <c r="AI55" s="208">
        <v>56468</v>
      </c>
      <c r="AJ55" s="208">
        <v>2832788</v>
      </c>
      <c r="AK55" s="208">
        <v>502792</v>
      </c>
      <c r="AL55" s="208">
        <v>402233</v>
      </c>
      <c r="AM55" s="208">
        <v>90502</v>
      </c>
      <c r="AN55" s="208">
        <v>10056</v>
      </c>
      <c r="AO55" s="208">
        <v>1005583</v>
      </c>
      <c r="AP55" s="208">
        <v>-356996</v>
      </c>
      <c r="AQ55" s="208">
        <v>-285597</v>
      </c>
      <c r="AR55" s="208">
        <v>-64259</v>
      </c>
      <c r="AS55" s="208">
        <v>-7140</v>
      </c>
      <c r="AT55" s="208">
        <v>-713992</v>
      </c>
      <c r="AU55" s="208">
        <v>-196760</v>
      </c>
      <c r="AV55" s="208">
        <v>-157408</v>
      </c>
      <c r="AW55" s="208">
        <v>-35417</v>
      </c>
      <c r="AX55" s="208">
        <v>-3935</v>
      </c>
      <c r="AY55" s="208">
        <v>-393520</v>
      </c>
      <c r="AZ55" s="208">
        <v>109944</v>
      </c>
      <c r="BA55" s="208">
        <v>87956</v>
      </c>
      <c r="BB55" s="208">
        <v>19790</v>
      </c>
      <c r="BC55" s="208">
        <v>2199</v>
      </c>
      <c r="BD55" s="208">
        <v>219889</v>
      </c>
      <c r="BE55" s="208">
        <v>-168039</v>
      </c>
      <c r="BF55" s="208">
        <v>-134431</v>
      </c>
      <c r="BG55" s="208">
        <v>-30247</v>
      </c>
      <c r="BH55" s="208">
        <v>-3361</v>
      </c>
      <c r="BI55" s="208">
        <v>-336078</v>
      </c>
      <c r="BJ55" s="208">
        <v>-254855</v>
      </c>
      <c r="BK55" s="208">
        <v>-203883</v>
      </c>
      <c r="BL55" s="208">
        <v>-45874</v>
      </c>
      <c r="BM55" s="208">
        <v>-5097</v>
      </c>
      <c r="BN55" s="208">
        <v>-509709</v>
      </c>
      <c r="BO55" s="208">
        <v>-2046009</v>
      </c>
      <c r="BP55" s="208">
        <v>-1636807</v>
      </c>
      <c r="BQ55" s="208">
        <v>-368282</v>
      </c>
      <c r="BR55" s="208">
        <v>-40920</v>
      </c>
      <c r="BS55" s="208">
        <v>-4092018</v>
      </c>
      <c r="BT55" s="208">
        <v>-685418</v>
      </c>
      <c r="BU55" s="208">
        <v>-548334</v>
      </c>
      <c r="BV55" s="208">
        <v>-123375</v>
      </c>
      <c r="BW55" s="208">
        <v>-13708</v>
      </c>
      <c r="BX55" s="208">
        <v>-1370835</v>
      </c>
      <c r="BY55" s="208">
        <v>-1360592</v>
      </c>
      <c r="BZ55" s="208">
        <v>-1088473</v>
      </c>
      <c r="CA55" s="208">
        <v>-244906</v>
      </c>
      <c r="CB55" s="208">
        <v>-27212</v>
      </c>
      <c r="CC55" s="208">
        <v>-2721183</v>
      </c>
      <c r="CD55" s="208">
        <v>106524</v>
      </c>
      <c r="CE55" s="208">
        <v>85219</v>
      </c>
      <c r="CF55" s="208">
        <v>19174</v>
      </c>
      <c r="CG55" s="208">
        <v>2130</v>
      </c>
      <c r="CH55" s="208">
        <v>213047</v>
      </c>
      <c r="CI55" s="208">
        <v>141833</v>
      </c>
      <c r="CJ55" s="208">
        <v>113467</v>
      </c>
      <c r="CK55" s="208">
        <v>25530</v>
      </c>
      <c r="CL55" s="208">
        <v>2837</v>
      </c>
      <c r="CM55" s="208">
        <v>283667</v>
      </c>
      <c r="CN55" s="208">
        <v>-200566</v>
      </c>
      <c r="CO55" s="208">
        <v>-160453</v>
      </c>
      <c r="CP55" s="208">
        <v>-36102</v>
      </c>
      <c r="CQ55" s="208">
        <v>-4011</v>
      </c>
      <c r="CR55" s="208">
        <v>-401132</v>
      </c>
      <c r="CS55" s="208">
        <v>-1361104</v>
      </c>
      <c r="CT55" s="208">
        <v>-1088884</v>
      </c>
      <c r="CU55" s="208">
        <v>-244999</v>
      </c>
      <c r="CV55" s="208">
        <v>-27222</v>
      </c>
      <c r="CW55" s="208">
        <v>-2722209</v>
      </c>
      <c r="CX55" s="208">
        <v>-3359322</v>
      </c>
      <c r="CY55" s="208">
        <v>-2687458</v>
      </c>
      <c r="CZ55" s="208">
        <v>-604679</v>
      </c>
      <c r="DA55" s="208">
        <v>-67186</v>
      </c>
      <c r="DB55" s="208">
        <v>-6718645</v>
      </c>
      <c r="DC55" s="208">
        <v>-779460</v>
      </c>
      <c r="DD55" s="208">
        <v>-623568</v>
      </c>
      <c r="DE55" s="208">
        <v>-140303</v>
      </c>
      <c r="DF55" s="208">
        <v>-15589</v>
      </c>
      <c r="DG55" s="208">
        <v>-1558920</v>
      </c>
      <c r="DH55" s="208">
        <v>-2579863</v>
      </c>
      <c r="DI55" s="208">
        <v>-2063890</v>
      </c>
      <c r="DJ55" s="208">
        <v>-464375</v>
      </c>
      <c r="DK55" s="208">
        <v>-51597</v>
      </c>
      <c r="DL55" s="208">
        <v>-5159725</v>
      </c>
      <c r="DM55" s="208">
        <v>-818266</v>
      </c>
      <c r="DN55" s="208">
        <v>-654616</v>
      </c>
      <c r="DO55" s="208">
        <v>-147289</v>
      </c>
      <c r="DP55" s="208">
        <v>-16366</v>
      </c>
      <c r="DQ55" s="208">
        <v>-1636537</v>
      </c>
      <c r="DR55" s="208">
        <v>-388241</v>
      </c>
      <c r="DS55" s="208">
        <v>-310592</v>
      </c>
      <c r="DT55" s="208">
        <v>-69883</v>
      </c>
      <c r="DU55" s="208">
        <v>-7765</v>
      </c>
      <c r="DV55" s="208">
        <v>-776481</v>
      </c>
      <c r="DW55" s="208">
        <v>-430025</v>
      </c>
      <c r="DX55" s="208">
        <v>-344024</v>
      </c>
      <c r="DY55" s="208">
        <v>-77406</v>
      </c>
      <c r="DZ55" s="208">
        <v>-8601</v>
      </c>
      <c r="EA55" s="208">
        <v>-860056</v>
      </c>
      <c r="EB55" s="208">
        <v>22942905</v>
      </c>
      <c r="EC55" s="208">
        <v>18354324</v>
      </c>
      <c r="ED55" s="208">
        <v>4129723</v>
      </c>
      <c r="EE55" s="208">
        <v>458858</v>
      </c>
      <c r="EF55" s="208">
        <v>45885810</v>
      </c>
      <c r="EG55" s="208">
        <v>22273332</v>
      </c>
      <c r="EH55" s="208">
        <v>17818666</v>
      </c>
      <c r="EI55" s="208">
        <v>4009200</v>
      </c>
      <c r="EJ55" s="208">
        <v>445467</v>
      </c>
      <c r="EK55" s="208">
        <v>44546665</v>
      </c>
      <c r="EL55" s="208">
        <v>-669573</v>
      </c>
      <c r="EM55" s="208">
        <v>-535658</v>
      </c>
      <c r="EN55" s="208">
        <v>-120523</v>
      </c>
      <c r="EO55" s="208">
        <v>-13391</v>
      </c>
      <c r="EP55" s="208">
        <v>-1339145</v>
      </c>
      <c r="EQ55" s="208">
        <v>-1099598</v>
      </c>
      <c r="ER55" s="208">
        <v>-879682</v>
      </c>
      <c r="ES55" s="208">
        <v>-197929</v>
      </c>
      <c r="ET55" s="208">
        <v>-21992</v>
      </c>
      <c r="EU55" s="208">
        <v>-2199201</v>
      </c>
      <c r="EV55" s="666">
        <v>0.5</v>
      </c>
      <c r="EW55" s="666">
        <v>0.4</v>
      </c>
      <c r="EX55" s="666">
        <v>0.09</v>
      </c>
      <c r="EY55" s="666">
        <v>0.01</v>
      </c>
      <c r="EZ55" s="666">
        <v>1</v>
      </c>
      <c r="FA55" s="187" t="s">
        <v>1054</v>
      </c>
      <c r="FC55" s="187">
        <v>0</v>
      </c>
    </row>
    <row r="56" spans="2:159" s="187" customFormat="1" x14ac:dyDescent="0.2">
      <c r="B56" s="429" t="s">
        <v>191</v>
      </c>
      <c r="C56" s="429" t="s">
        <v>190</v>
      </c>
      <c r="D56" s="208">
        <v>39307912.700000003</v>
      </c>
      <c r="E56" s="208">
        <v>31446330</v>
      </c>
      <c r="F56" s="208">
        <v>7075424</v>
      </c>
      <c r="G56" s="208">
        <v>786158</v>
      </c>
      <c r="H56" s="208">
        <v>78615824.700000003</v>
      </c>
      <c r="I56" s="208">
        <v>0</v>
      </c>
      <c r="J56" s="208">
        <v>0</v>
      </c>
      <c r="K56" s="208">
        <v>39307912.700000003</v>
      </c>
      <c r="L56" s="208">
        <v>217641</v>
      </c>
      <c r="M56" s="208">
        <v>217641</v>
      </c>
      <c r="N56" s="208">
        <v>0</v>
      </c>
      <c r="O56" s="208">
        <v>0</v>
      </c>
      <c r="P56" s="208">
        <v>0</v>
      </c>
      <c r="Q56" s="208">
        <v>0</v>
      </c>
      <c r="R56" s="208">
        <v>0</v>
      </c>
      <c r="S56" s="208">
        <v>0</v>
      </c>
      <c r="T56" s="208">
        <v>0</v>
      </c>
      <c r="U56" s="208">
        <v>0</v>
      </c>
      <c r="V56" s="208">
        <v>0</v>
      </c>
      <c r="W56" s="208">
        <v>0</v>
      </c>
      <c r="X56" s="208">
        <v>0</v>
      </c>
      <c r="Y56" s="208">
        <v>0</v>
      </c>
      <c r="Z56" s="208">
        <v>0</v>
      </c>
      <c r="AA56" s="208">
        <v>0</v>
      </c>
      <c r="AB56" s="208">
        <v>0</v>
      </c>
      <c r="AC56" s="208">
        <v>0</v>
      </c>
      <c r="AD56" s="208">
        <v>0</v>
      </c>
      <c r="AE56" s="208">
        <v>0</v>
      </c>
      <c r="AF56" s="208">
        <v>0</v>
      </c>
      <c r="AG56" s="208">
        <v>2520733</v>
      </c>
      <c r="AH56" s="208">
        <v>567165</v>
      </c>
      <c r="AI56" s="208">
        <v>63020</v>
      </c>
      <c r="AJ56" s="208">
        <v>3150918</v>
      </c>
      <c r="AK56" s="208">
        <v>1377409</v>
      </c>
      <c r="AL56" s="208">
        <v>1101927</v>
      </c>
      <c r="AM56" s="208">
        <v>247934</v>
      </c>
      <c r="AN56" s="208">
        <v>27548</v>
      </c>
      <c r="AO56" s="208">
        <v>2754818</v>
      </c>
      <c r="AP56" s="208">
        <v>-1199959</v>
      </c>
      <c r="AQ56" s="208">
        <v>-959966</v>
      </c>
      <c r="AR56" s="208">
        <v>-215992</v>
      </c>
      <c r="AS56" s="208">
        <v>-23999</v>
      </c>
      <c r="AT56" s="208">
        <v>-2399916</v>
      </c>
      <c r="AU56" s="208">
        <v>-459157.65</v>
      </c>
      <c r="AV56" s="208">
        <v>-367326</v>
      </c>
      <c r="AW56" s="208">
        <v>-82648</v>
      </c>
      <c r="AX56" s="208">
        <v>-9183</v>
      </c>
      <c r="AY56" s="208">
        <v>-918314.65</v>
      </c>
      <c r="AZ56" s="208">
        <v>0</v>
      </c>
      <c r="BA56" s="208">
        <v>0</v>
      </c>
      <c r="BB56" s="208">
        <v>0</v>
      </c>
      <c r="BC56" s="208">
        <v>0</v>
      </c>
      <c r="BD56" s="208">
        <v>0</v>
      </c>
      <c r="BE56" s="208">
        <v>-38202</v>
      </c>
      <c r="BF56" s="208">
        <v>-30562</v>
      </c>
      <c r="BG56" s="208">
        <v>-6876</v>
      </c>
      <c r="BH56" s="208">
        <v>-764</v>
      </c>
      <c r="BI56" s="208">
        <v>-76404</v>
      </c>
      <c r="BJ56" s="208">
        <v>-497359.65</v>
      </c>
      <c r="BK56" s="208">
        <v>-397888</v>
      </c>
      <c r="BL56" s="208">
        <v>-89524</v>
      </c>
      <c r="BM56" s="208">
        <v>-9947</v>
      </c>
      <c r="BN56" s="208">
        <v>-994718.65</v>
      </c>
      <c r="BO56" s="208">
        <v>-4761559</v>
      </c>
      <c r="BP56" s="208">
        <v>-3809248</v>
      </c>
      <c r="BQ56" s="208">
        <v>-857081</v>
      </c>
      <c r="BR56" s="208">
        <v>-95231</v>
      </c>
      <c r="BS56" s="208">
        <v>-9523119</v>
      </c>
      <c r="BT56" s="208">
        <v>-4021172</v>
      </c>
      <c r="BU56" s="208">
        <v>-3216938</v>
      </c>
      <c r="BV56" s="208">
        <v>-723811</v>
      </c>
      <c r="BW56" s="208">
        <v>-80423</v>
      </c>
      <c r="BX56" s="208">
        <v>-8042344</v>
      </c>
      <c r="BY56" s="208">
        <v>-740387</v>
      </c>
      <c r="BZ56" s="208">
        <v>-592310</v>
      </c>
      <c r="CA56" s="208">
        <v>-133270</v>
      </c>
      <c r="CB56" s="208">
        <v>-14808</v>
      </c>
      <c r="CC56" s="208">
        <v>-1480775</v>
      </c>
      <c r="CD56" s="208">
        <v>675241</v>
      </c>
      <c r="CE56" s="208">
        <v>540194</v>
      </c>
      <c r="CF56" s="208">
        <v>121544</v>
      </c>
      <c r="CG56" s="208">
        <v>13505</v>
      </c>
      <c r="CH56" s="208">
        <v>1350484</v>
      </c>
      <c r="CI56" s="208">
        <v>0</v>
      </c>
      <c r="CJ56" s="208">
        <v>0</v>
      </c>
      <c r="CK56" s="208">
        <v>0</v>
      </c>
      <c r="CL56" s="208">
        <v>0</v>
      </c>
      <c r="CM56" s="208">
        <v>0</v>
      </c>
      <c r="CN56" s="208">
        <v>492454</v>
      </c>
      <c r="CO56" s="208">
        <v>393964</v>
      </c>
      <c r="CP56" s="208">
        <v>88642</v>
      </c>
      <c r="CQ56" s="208">
        <v>9849</v>
      </c>
      <c r="CR56" s="208">
        <v>984909</v>
      </c>
      <c r="CS56" s="208">
        <v>-1016012</v>
      </c>
      <c r="CT56" s="208">
        <v>-812810</v>
      </c>
      <c r="CU56" s="208">
        <v>-182882</v>
      </c>
      <c r="CV56" s="208">
        <v>-20320</v>
      </c>
      <c r="CW56" s="208">
        <v>-2032024</v>
      </c>
      <c r="CX56" s="208">
        <v>-4609876</v>
      </c>
      <c r="CY56" s="208">
        <v>-3687900</v>
      </c>
      <c r="CZ56" s="208">
        <v>-829777</v>
      </c>
      <c r="DA56" s="208">
        <v>-92197</v>
      </c>
      <c r="DB56" s="208">
        <v>-9219750</v>
      </c>
      <c r="DC56" s="208">
        <v>-2853477</v>
      </c>
      <c r="DD56" s="208">
        <v>-2282780</v>
      </c>
      <c r="DE56" s="208">
        <v>-513625</v>
      </c>
      <c r="DF56" s="208">
        <v>-57069</v>
      </c>
      <c r="DG56" s="208">
        <v>-5706951</v>
      </c>
      <c r="DH56" s="208">
        <v>-1756399</v>
      </c>
      <c r="DI56" s="208">
        <v>-1405120</v>
      </c>
      <c r="DJ56" s="208">
        <v>-316152</v>
      </c>
      <c r="DK56" s="208">
        <v>-35128</v>
      </c>
      <c r="DL56" s="208">
        <v>-3512799</v>
      </c>
      <c r="DM56" s="208">
        <v>480028.91000000003</v>
      </c>
      <c r="DN56" s="208">
        <v>384023.13</v>
      </c>
      <c r="DO56" s="208">
        <v>86405.2</v>
      </c>
      <c r="DP56" s="208">
        <v>9600.58</v>
      </c>
      <c r="DQ56" s="208">
        <v>960058</v>
      </c>
      <c r="DR56" s="208">
        <v>-411633</v>
      </c>
      <c r="DS56" s="208">
        <v>-329307</v>
      </c>
      <c r="DT56" s="208">
        <v>-74094</v>
      </c>
      <c r="DU56" s="208">
        <v>-8233</v>
      </c>
      <c r="DV56" s="208">
        <v>-823267</v>
      </c>
      <c r="DW56" s="208">
        <v>891661.91</v>
      </c>
      <c r="DX56" s="208">
        <v>713330.13</v>
      </c>
      <c r="DY56" s="208">
        <v>160499.20000000001</v>
      </c>
      <c r="DZ56" s="208">
        <v>17833.580000000002</v>
      </c>
      <c r="EA56" s="208">
        <v>1783325</v>
      </c>
      <c r="EB56" s="208">
        <v>38995452</v>
      </c>
      <c r="EC56" s="208">
        <v>31196362</v>
      </c>
      <c r="ED56" s="208">
        <v>7019181</v>
      </c>
      <c r="EE56" s="208">
        <v>779909</v>
      </c>
      <c r="EF56" s="208">
        <v>77990904</v>
      </c>
      <c r="EG56" s="208">
        <v>39307912.700000003</v>
      </c>
      <c r="EH56" s="208">
        <v>31446330</v>
      </c>
      <c r="EI56" s="208">
        <v>7075424</v>
      </c>
      <c r="EJ56" s="208">
        <v>786158</v>
      </c>
      <c r="EK56" s="208">
        <v>78615824.700000003</v>
      </c>
      <c r="EL56" s="208">
        <v>312460.70000000298</v>
      </c>
      <c r="EM56" s="208">
        <v>249968</v>
      </c>
      <c r="EN56" s="208">
        <v>56243</v>
      </c>
      <c r="EO56" s="208">
        <v>6249</v>
      </c>
      <c r="EP56" s="208">
        <v>624920.70000000298</v>
      </c>
      <c r="EQ56" s="208">
        <v>1204122.6100000031</v>
      </c>
      <c r="ER56" s="208">
        <v>963298.13</v>
      </c>
      <c r="ES56" s="208">
        <v>216742.2</v>
      </c>
      <c r="ET56" s="208">
        <v>24082.58</v>
      </c>
      <c r="EU56" s="208">
        <v>2408245.700000003</v>
      </c>
      <c r="EV56" s="666">
        <v>0.5</v>
      </c>
      <c r="EW56" s="666">
        <v>0.4</v>
      </c>
      <c r="EX56" s="666">
        <v>0.09</v>
      </c>
      <c r="EY56" s="666">
        <v>0.01</v>
      </c>
      <c r="EZ56" s="666">
        <v>1</v>
      </c>
      <c r="FA56" s="187" t="s">
        <v>1054</v>
      </c>
      <c r="FC56" s="187">
        <v>0</v>
      </c>
    </row>
    <row r="57" spans="2:159" s="187" customFormat="1" x14ac:dyDescent="0.2">
      <c r="B57" s="429" t="s">
        <v>193</v>
      </c>
      <c r="C57" s="429" t="s">
        <v>192</v>
      </c>
      <c r="D57" s="208">
        <v>0</v>
      </c>
      <c r="E57" s="208">
        <v>26576636</v>
      </c>
      <c r="F57" s="208">
        <v>26576636</v>
      </c>
      <c r="G57" s="208">
        <v>0</v>
      </c>
      <c r="H57" s="208">
        <v>53153272</v>
      </c>
      <c r="I57" s="208">
        <v>0</v>
      </c>
      <c r="J57" s="208">
        <v>0</v>
      </c>
      <c r="K57" s="208">
        <v>0</v>
      </c>
      <c r="L57" s="208">
        <v>170056</v>
      </c>
      <c r="M57" s="208">
        <v>170056</v>
      </c>
      <c r="N57" s="208">
        <v>0</v>
      </c>
      <c r="O57" s="208">
        <v>0</v>
      </c>
      <c r="P57" s="208">
        <v>0</v>
      </c>
      <c r="Q57" s="208">
        <v>0</v>
      </c>
      <c r="R57" s="208">
        <v>0</v>
      </c>
      <c r="S57" s="208">
        <v>0</v>
      </c>
      <c r="T57" s="208">
        <v>0</v>
      </c>
      <c r="U57" s="208">
        <v>0</v>
      </c>
      <c r="V57" s="208">
        <v>0</v>
      </c>
      <c r="W57" s="208">
        <v>0</v>
      </c>
      <c r="X57" s="208">
        <v>0</v>
      </c>
      <c r="Y57" s="208">
        <v>0</v>
      </c>
      <c r="Z57" s="208">
        <v>0</v>
      </c>
      <c r="AA57" s="208">
        <v>0</v>
      </c>
      <c r="AB57" s="208">
        <v>0</v>
      </c>
      <c r="AC57" s="208">
        <v>0</v>
      </c>
      <c r="AD57" s="208">
        <v>0</v>
      </c>
      <c r="AE57" s="208">
        <v>0</v>
      </c>
      <c r="AF57" s="208">
        <v>0</v>
      </c>
      <c r="AG57" s="208">
        <v>2196725</v>
      </c>
      <c r="AH57" s="208">
        <v>2196725</v>
      </c>
      <c r="AI57" s="208">
        <v>0</v>
      </c>
      <c r="AJ57" s="208">
        <v>4393450</v>
      </c>
      <c r="AK57" s="208">
        <v>-1</v>
      </c>
      <c r="AL57" s="208">
        <v>504182</v>
      </c>
      <c r="AM57" s="208">
        <v>504182</v>
      </c>
      <c r="AN57" s="208">
        <v>0</v>
      </c>
      <c r="AO57" s="208">
        <v>1008363</v>
      </c>
      <c r="AP57" s="208">
        <v>0</v>
      </c>
      <c r="AQ57" s="208">
        <v>-2442074</v>
      </c>
      <c r="AR57" s="208">
        <v>-2442074</v>
      </c>
      <c r="AS57" s="208">
        <v>0</v>
      </c>
      <c r="AT57" s="208">
        <v>-4884148</v>
      </c>
      <c r="AU57" s="208">
        <v>0</v>
      </c>
      <c r="AV57" s="208">
        <v>-221047</v>
      </c>
      <c r="AW57" s="208">
        <v>-221047</v>
      </c>
      <c r="AX57" s="208">
        <v>0</v>
      </c>
      <c r="AY57" s="208">
        <v>-442094</v>
      </c>
      <c r="AZ57" s="208">
        <v>-1</v>
      </c>
      <c r="BA57" s="208">
        <v>115705</v>
      </c>
      <c r="BB57" s="208">
        <v>115705</v>
      </c>
      <c r="BC57" s="208">
        <v>0</v>
      </c>
      <c r="BD57" s="208">
        <v>231409</v>
      </c>
      <c r="BE57" s="208">
        <v>0</v>
      </c>
      <c r="BF57" s="208">
        <v>-95599</v>
      </c>
      <c r="BG57" s="208">
        <v>-95599</v>
      </c>
      <c r="BH57" s="208">
        <v>0</v>
      </c>
      <c r="BI57" s="208">
        <v>-191198</v>
      </c>
      <c r="BJ57" s="208">
        <v>-1</v>
      </c>
      <c r="BK57" s="208">
        <v>-200941</v>
      </c>
      <c r="BL57" s="208">
        <v>-200941</v>
      </c>
      <c r="BM57" s="208">
        <v>0</v>
      </c>
      <c r="BN57" s="208">
        <v>-401883</v>
      </c>
      <c r="BO57" s="208">
        <v>0</v>
      </c>
      <c r="BP57" s="208">
        <v>-1413032</v>
      </c>
      <c r="BQ57" s="208">
        <v>-1413032</v>
      </c>
      <c r="BR57" s="208">
        <v>0</v>
      </c>
      <c r="BS57" s="208">
        <v>-2826064</v>
      </c>
      <c r="BT57" s="208">
        <v>1</v>
      </c>
      <c r="BU57" s="208">
        <v>-979074</v>
      </c>
      <c r="BV57" s="208">
        <v>-979074</v>
      </c>
      <c r="BW57" s="208">
        <v>0</v>
      </c>
      <c r="BX57" s="208">
        <v>-1958147</v>
      </c>
      <c r="BY57" s="208">
        <v>1</v>
      </c>
      <c r="BZ57" s="208">
        <v>-433959</v>
      </c>
      <c r="CA57" s="208">
        <v>-433959</v>
      </c>
      <c r="CB57" s="208">
        <v>0</v>
      </c>
      <c r="CC57" s="208">
        <v>-867917</v>
      </c>
      <c r="CD57" s="208">
        <v>-1</v>
      </c>
      <c r="CE57" s="208">
        <v>632007</v>
      </c>
      <c r="CF57" s="208">
        <v>632007</v>
      </c>
      <c r="CG57" s="208">
        <v>0</v>
      </c>
      <c r="CH57" s="208">
        <v>1264013</v>
      </c>
      <c r="CI57" s="208">
        <v>0</v>
      </c>
      <c r="CJ57" s="208">
        <v>256277</v>
      </c>
      <c r="CK57" s="208">
        <v>256277</v>
      </c>
      <c r="CL57" s="208">
        <v>0</v>
      </c>
      <c r="CM57" s="208">
        <v>512554</v>
      </c>
      <c r="CN57" s="208">
        <v>1</v>
      </c>
      <c r="CO57" s="208">
        <v>-493151</v>
      </c>
      <c r="CP57" s="208">
        <v>-493151</v>
      </c>
      <c r="CQ57" s="208">
        <v>0</v>
      </c>
      <c r="CR57" s="208">
        <v>-986301</v>
      </c>
      <c r="CS57" s="208">
        <v>0</v>
      </c>
      <c r="CT57" s="208">
        <v>-610000</v>
      </c>
      <c r="CU57" s="208">
        <v>-610000</v>
      </c>
      <c r="CV57" s="208">
        <v>0</v>
      </c>
      <c r="CW57" s="208">
        <v>-1220000</v>
      </c>
      <c r="CX57" s="208">
        <v>0</v>
      </c>
      <c r="CY57" s="208">
        <v>-1627899</v>
      </c>
      <c r="CZ57" s="208">
        <v>-1627899</v>
      </c>
      <c r="DA57" s="208">
        <v>0</v>
      </c>
      <c r="DB57" s="208">
        <v>-3255798</v>
      </c>
      <c r="DC57" s="208">
        <v>1</v>
      </c>
      <c r="DD57" s="208">
        <v>-840218</v>
      </c>
      <c r="DE57" s="208">
        <v>-840218</v>
      </c>
      <c r="DF57" s="208">
        <v>0</v>
      </c>
      <c r="DG57" s="208">
        <v>-1680435</v>
      </c>
      <c r="DH57" s="208">
        <v>1</v>
      </c>
      <c r="DI57" s="208">
        <v>-787682</v>
      </c>
      <c r="DJ57" s="208">
        <v>-787682</v>
      </c>
      <c r="DK57" s="208">
        <v>0</v>
      </c>
      <c r="DL57" s="208">
        <v>-1575363</v>
      </c>
      <c r="DM57" s="208">
        <v>-840742</v>
      </c>
      <c r="DN57" s="208">
        <v>-672593</v>
      </c>
      <c r="DO57" s="208">
        <v>-168149</v>
      </c>
      <c r="DP57" s="208">
        <v>0</v>
      </c>
      <c r="DQ57" s="208">
        <v>-1681484</v>
      </c>
      <c r="DR57" s="208">
        <v>-932137</v>
      </c>
      <c r="DS57" s="208">
        <v>-745710</v>
      </c>
      <c r="DT57" s="208">
        <v>-186428</v>
      </c>
      <c r="DU57" s="208">
        <v>0</v>
      </c>
      <c r="DV57" s="208">
        <v>-1864275</v>
      </c>
      <c r="DW57" s="208">
        <v>91395</v>
      </c>
      <c r="DX57" s="208">
        <v>73117</v>
      </c>
      <c r="DY57" s="208">
        <v>18279</v>
      </c>
      <c r="DZ57" s="208">
        <v>0</v>
      </c>
      <c r="EA57" s="208">
        <v>182791</v>
      </c>
      <c r="EB57" s="208">
        <v>0</v>
      </c>
      <c r="EC57" s="208">
        <v>27178479</v>
      </c>
      <c r="ED57" s="208">
        <v>27178479</v>
      </c>
      <c r="EE57" s="208">
        <v>0</v>
      </c>
      <c r="EF57" s="208">
        <v>54356958</v>
      </c>
      <c r="EG57" s="208">
        <v>0</v>
      </c>
      <c r="EH57" s="208">
        <v>26576636</v>
      </c>
      <c r="EI57" s="208">
        <v>26576636</v>
      </c>
      <c r="EJ57" s="208">
        <v>0</v>
      </c>
      <c r="EK57" s="208">
        <v>53153272</v>
      </c>
      <c r="EL57" s="208">
        <v>0</v>
      </c>
      <c r="EM57" s="208">
        <v>-601843</v>
      </c>
      <c r="EN57" s="208">
        <v>-601843</v>
      </c>
      <c r="EO57" s="208">
        <v>0</v>
      </c>
      <c r="EP57" s="208">
        <v>-1203686</v>
      </c>
      <c r="EQ57" s="208">
        <v>91395</v>
      </c>
      <c r="ER57" s="208">
        <v>-528726</v>
      </c>
      <c r="ES57" s="208">
        <v>-583564</v>
      </c>
      <c r="ET57" s="208">
        <v>0</v>
      </c>
      <c r="EU57" s="208">
        <v>-1020895</v>
      </c>
      <c r="EV57" s="666">
        <v>0</v>
      </c>
      <c r="EW57" s="666">
        <v>0.5</v>
      </c>
      <c r="EX57" s="666">
        <v>0.5</v>
      </c>
      <c r="EY57" s="666">
        <v>0</v>
      </c>
      <c r="EZ57" s="666">
        <v>1</v>
      </c>
      <c r="FA57" s="187" t="s">
        <v>1054</v>
      </c>
      <c r="FC57" s="187">
        <v>0</v>
      </c>
    </row>
    <row r="58" spans="2:159" s="187" customFormat="1" x14ac:dyDescent="0.2">
      <c r="B58" s="429" t="s">
        <v>195</v>
      </c>
      <c r="C58" s="429" t="s">
        <v>194</v>
      </c>
      <c r="D58" s="208">
        <v>46612314</v>
      </c>
      <c r="E58" s="208">
        <v>37289851</v>
      </c>
      <c r="F58" s="208">
        <v>9322463</v>
      </c>
      <c r="G58" s="208">
        <v>0</v>
      </c>
      <c r="H58" s="208">
        <v>93224628</v>
      </c>
      <c r="I58" s="208">
        <v>0</v>
      </c>
      <c r="J58" s="208">
        <v>0</v>
      </c>
      <c r="K58" s="208">
        <v>46612314</v>
      </c>
      <c r="L58" s="208">
        <v>227084</v>
      </c>
      <c r="M58" s="208">
        <v>227084</v>
      </c>
      <c r="N58" s="208">
        <v>0</v>
      </c>
      <c r="O58" s="208">
        <v>0</v>
      </c>
      <c r="P58" s="208">
        <v>261758</v>
      </c>
      <c r="Q58" s="208">
        <v>237873</v>
      </c>
      <c r="R58" s="208">
        <v>499631</v>
      </c>
      <c r="S58" s="208">
        <v>0</v>
      </c>
      <c r="T58" s="208">
        <v>0</v>
      </c>
      <c r="U58" s="208">
        <v>0</v>
      </c>
      <c r="V58" s="208">
        <v>0</v>
      </c>
      <c r="W58" s="208">
        <v>0</v>
      </c>
      <c r="X58" s="208">
        <v>0</v>
      </c>
      <c r="Y58" s="208">
        <v>0</v>
      </c>
      <c r="Z58" s="208">
        <v>0</v>
      </c>
      <c r="AA58" s="208">
        <v>0</v>
      </c>
      <c r="AB58" s="208">
        <v>0</v>
      </c>
      <c r="AC58" s="208">
        <v>0</v>
      </c>
      <c r="AD58" s="208">
        <v>0</v>
      </c>
      <c r="AE58" s="208">
        <v>0</v>
      </c>
      <c r="AF58" s="208">
        <v>0</v>
      </c>
      <c r="AG58" s="208">
        <v>2505048</v>
      </c>
      <c r="AH58" s="208">
        <v>630214</v>
      </c>
      <c r="AI58" s="208">
        <v>0</v>
      </c>
      <c r="AJ58" s="208">
        <v>3135262</v>
      </c>
      <c r="AK58" s="208">
        <v>1414323</v>
      </c>
      <c r="AL58" s="208">
        <v>1131458</v>
      </c>
      <c r="AM58" s="208">
        <v>282865</v>
      </c>
      <c r="AN58" s="208">
        <v>0</v>
      </c>
      <c r="AO58" s="208">
        <v>2828646</v>
      </c>
      <c r="AP58" s="208">
        <v>-1493612</v>
      </c>
      <c r="AQ58" s="208">
        <v>-1194890</v>
      </c>
      <c r="AR58" s="208">
        <v>-298723</v>
      </c>
      <c r="AS58" s="208">
        <v>0</v>
      </c>
      <c r="AT58" s="208">
        <v>-2987225</v>
      </c>
      <c r="AU58" s="208">
        <v>-418712</v>
      </c>
      <c r="AV58" s="208">
        <v>-334970</v>
      </c>
      <c r="AW58" s="208">
        <v>-83742</v>
      </c>
      <c r="AX58" s="208">
        <v>0</v>
      </c>
      <c r="AY58" s="208">
        <v>-837424</v>
      </c>
      <c r="AZ58" s="208">
        <v>0</v>
      </c>
      <c r="BA58" s="208">
        <v>0</v>
      </c>
      <c r="BB58" s="208">
        <v>0</v>
      </c>
      <c r="BC58" s="208">
        <v>0</v>
      </c>
      <c r="BD58" s="208">
        <v>0</v>
      </c>
      <c r="BE58" s="208">
        <v>279177</v>
      </c>
      <c r="BF58" s="208">
        <v>223341</v>
      </c>
      <c r="BG58" s="208">
        <v>55835</v>
      </c>
      <c r="BH58" s="208">
        <v>0</v>
      </c>
      <c r="BI58" s="208">
        <v>558353</v>
      </c>
      <c r="BJ58" s="208">
        <v>-139535</v>
      </c>
      <c r="BK58" s="208">
        <v>-111629</v>
      </c>
      <c r="BL58" s="208">
        <v>-27907</v>
      </c>
      <c r="BM58" s="208">
        <v>0</v>
      </c>
      <c r="BN58" s="208">
        <v>-279071</v>
      </c>
      <c r="BO58" s="208">
        <v>-4745239</v>
      </c>
      <c r="BP58" s="208">
        <v>-3796192</v>
      </c>
      <c r="BQ58" s="208">
        <v>-949048</v>
      </c>
      <c r="BR58" s="208">
        <v>0</v>
      </c>
      <c r="BS58" s="208">
        <v>-9490479</v>
      </c>
      <c r="BT58" s="208">
        <v>-2644277</v>
      </c>
      <c r="BU58" s="208">
        <v>-2115422</v>
      </c>
      <c r="BV58" s="208">
        <v>-528856</v>
      </c>
      <c r="BW58" s="208">
        <v>0</v>
      </c>
      <c r="BX58" s="208">
        <v>-5288555</v>
      </c>
      <c r="BY58" s="208">
        <v>-2100962</v>
      </c>
      <c r="BZ58" s="208">
        <v>-1680770</v>
      </c>
      <c r="CA58" s="208">
        <v>-420192</v>
      </c>
      <c r="CB58" s="208">
        <v>0</v>
      </c>
      <c r="CC58" s="208">
        <v>-4201924</v>
      </c>
      <c r="CD58" s="208">
        <v>1095504</v>
      </c>
      <c r="CE58" s="208">
        <v>876404</v>
      </c>
      <c r="CF58" s="208">
        <v>219101</v>
      </c>
      <c r="CG58" s="208">
        <v>0</v>
      </c>
      <c r="CH58" s="208">
        <v>2191009</v>
      </c>
      <c r="CI58" s="208">
        <v>60616</v>
      </c>
      <c r="CJ58" s="208">
        <v>48492</v>
      </c>
      <c r="CK58" s="208">
        <v>12123</v>
      </c>
      <c r="CL58" s="208">
        <v>0</v>
      </c>
      <c r="CM58" s="208">
        <v>121231</v>
      </c>
      <c r="CN58" s="208">
        <v>-280922</v>
      </c>
      <c r="CO58" s="208">
        <v>-224737</v>
      </c>
      <c r="CP58" s="208">
        <v>-56184</v>
      </c>
      <c r="CQ58" s="208">
        <v>0</v>
      </c>
      <c r="CR58" s="208">
        <v>-561843</v>
      </c>
      <c r="CS58" s="208">
        <v>-2296497</v>
      </c>
      <c r="CT58" s="208">
        <v>-1837198</v>
      </c>
      <c r="CU58" s="208">
        <v>-459299</v>
      </c>
      <c r="CV58" s="208">
        <v>0</v>
      </c>
      <c r="CW58" s="208">
        <v>-4592994</v>
      </c>
      <c r="CX58" s="208">
        <v>-6166538</v>
      </c>
      <c r="CY58" s="208">
        <v>-4933231</v>
      </c>
      <c r="CZ58" s="208">
        <v>-1233307</v>
      </c>
      <c r="DA58" s="208">
        <v>0</v>
      </c>
      <c r="DB58" s="208">
        <v>-12333076</v>
      </c>
      <c r="DC58" s="208">
        <v>-1829695</v>
      </c>
      <c r="DD58" s="208">
        <v>-1463755</v>
      </c>
      <c r="DE58" s="208">
        <v>-365939</v>
      </c>
      <c r="DF58" s="208">
        <v>0</v>
      </c>
      <c r="DG58" s="208">
        <v>-3659389</v>
      </c>
      <c r="DH58" s="208">
        <v>-4336843</v>
      </c>
      <c r="DI58" s="208">
        <v>-3469476</v>
      </c>
      <c r="DJ58" s="208">
        <v>-867368</v>
      </c>
      <c r="DK58" s="208">
        <v>0</v>
      </c>
      <c r="DL58" s="208">
        <v>-8673687</v>
      </c>
      <c r="DM58" s="208">
        <v>1000091</v>
      </c>
      <c r="DN58" s="208">
        <v>800072</v>
      </c>
      <c r="DO58" s="208">
        <v>200018</v>
      </c>
      <c r="DP58" s="208">
        <v>0</v>
      </c>
      <c r="DQ58" s="208">
        <v>2000181</v>
      </c>
      <c r="DR58" s="208">
        <v>279132</v>
      </c>
      <c r="DS58" s="208">
        <v>223306</v>
      </c>
      <c r="DT58" s="208">
        <v>55826</v>
      </c>
      <c r="DU58" s="208">
        <v>0</v>
      </c>
      <c r="DV58" s="208">
        <v>558264</v>
      </c>
      <c r="DW58" s="208">
        <v>720959</v>
      </c>
      <c r="DX58" s="208">
        <v>576766</v>
      </c>
      <c r="DY58" s="208">
        <v>144192</v>
      </c>
      <c r="DZ58" s="208">
        <v>0</v>
      </c>
      <c r="EA58" s="208">
        <v>1441917</v>
      </c>
      <c r="EB58" s="208">
        <v>46285718</v>
      </c>
      <c r="EC58" s="208">
        <v>37028575</v>
      </c>
      <c r="ED58" s="208">
        <v>9257144</v>
      </c>
      <c r="EE58" s="208">
        <v>0</v>
      </c>
      <c r="EF58" s="208">
        <v>92571437</v>
      </c>
      <c r="EG58" s="208">
        <v>46612314</v>
      </c>
      <c r="EH58" s="208">
        <v>37289851</v>
      </c>
      <c r="EI58" s="208">
        <v>9322463</v>
      </c>
      <c r="EJ58" s="208">
        <v>0</v>
      </c>
      <c r="EK58" s="208">
        <v>93224628</v>
      </c>
      <c r="EL58" s="208">
        <v>326596</v>
      </c>
      <c r="EM58" s="208">
        <v>261276</v>
      </c>
      <c r="EN58" s="208">
        <v>65319</v>
      </c>
      <c r="EO58" s="208">
        <v>0</v>
      </c>
      <c r="EP58" s="208">
        <v>653191</v>
      </c>
      <c r="EQ58" s="208">
        <v>1047555</v>
      </c>
      <c r="ER58" s="208">
        <v>838042</v>
      </c>
      <c r="ES58" s="208">
        <v>209511</v>
      </c>
      <c r="ET58" s="208">
        <v>0</v>
      </c>
      <c r="EU58" s="208">
        <v>2095108</v>
      </c>
      <c r="EV58" s="666">
        <v>0.5</v>
      </c>
      <c r="EW58" s="666">
        <v>0.4</v>
      </c>
      <c r="EX58" s="666">
        <v>0.1</v>
      </c>
      <c r="EY58" s="666">
        <v>0</v>
      </c>
      <c r="EZ58" s="666">
        <v>1</v>
      </c>
      <c r="FA58" s="187" t="s">
        <v>1054</v>
      </c>
      <c r="FC58" s="187">
        <v>0</v>
      </c>
    </row>
    <row r="59" spans="2:159" s="187" customFormat="1" x14ac:dyDescent="0.2">
      <c r="B59" s="429" t="s">
        <v>197</v>
      </c>
      <c r="C59" s="429" t="s">
        <v>196</v>
      </c>
      <c r="D59" s="208">
        <v>67799369</v>
      </c>
      <c r="E59" s="208">
        <v>66443381</v>
      </c>
      <c r="F59" s="208">
        <v>0</v>
      </c>
      <c r="G59" s="208">
        <v>1355987</v>
      </c>
      <c r="H59" s="208">
        <v>135598737</v>
      </c>
      <c r="I59" s="208">
        <v>180855</v>
      </c>
      <c r="J59" s="208">
        <v>180855</v>
      </c>
      <c r="K59" s="208">
        <v>67618514</v>
      </c>
      <c r="L59" s="208">
        <v>566053</v>
      </c>
      <c r="M59" s="208">
        <v>566053</v>
      </c>
      <c r="N59" s="208">
        <v>175012</v>
      </c>
      <c r="O59" s="208">
        <v>175012</v>
      </c>
      <c r="P59" s="208">
        <v>129799</v>
      </c>
      <c r="Q59" s="208">
        <v>0</v>
      </c>
      <c r="R59" s="208">
        <v>129799</v>
      </c>
      <c r="S59" s="208">
        <v>0</v>
      </c>
      <c r="T59" s="208">
        <v>0</v>
      </c>
      <c r="U59" s="208">
        <v>0</v>
      </c>
      <c r="V59" s="208">
        <v>0</v>
      </c>
      <c r="W59" s="208">
        <v>180854.73541666666</v>
      </c>
      <c r="X59" s="208">
        <v>0</v>
      </c>
      <c r="Y59" s="208">
        <v>0</v>
      </c>
      <c r="Z59" s="208">
        <v>180854.73541666666</v>
      </c>
      <c r="AA59" s="208">
        <v>0</v>
      </c>
      <c r="AB59" s="208">
        <v>0</v>
      </c>
      <c r="AC59" s="208">
        <v>0</v>
      </c>
      <c r="AD59" s="208">
        <v>0</v>
      </c>
      <c r="AE59" s="208">
        <v>0</v>
      </c>
      <c r="AF59" s="208">
        <v>0</v>
      </c>
      <c r="AG59" s="208">
        <v>7361559</v>
      </c>
      <c r="AH59" s="208">
        <v>0</v>
      </c>
      <c r="AI59" s="208">
        <v>149901</v>
      </c>
      <c r="AJ59" s="208">
        <v>7511460</v>
      </c>
      <c r="AK59" s="208">
        <v>2248051</v>
      </c>
      <c r="AL59" s="208">
        <v>2203089</v>
      </c>
      <c r="AM59" s="208">
        <v>0</v>
      </c>
      <c r="AN59" s="208">
        <v>44961</v>
      </c>
      <c r="AO59" s="208">
        <v>4496101</v>
      </c>
      <c r="AP59" s="208">
        <v>-311341</v>
      </c>
      <c r="AQ59" s="208">
        <v>-305114</v>
      </c>
      <c r="AR59" s="208">
        <v>0</v>
      </c>
      <c r="AS59" s="208">
        <v>-6227</v>
      </c>
      <c r="AT59" s="208">
        <v>-622682</v>
      </c>
      <c r="AU59" s="208">
        <v>-854067</v>
      </c>
      <c r="AV59" s="208">
        <v>-836985</v>
      </c>
      <c r="AW59" s="208">
        <v>0</v>
      </c>
      <c r="AX59" s="208">
        <v>-17081</v>
      </c>
      <c r="AY59" s="208">
        <v>-1708133</v>
      </c>
      <c r="AZ59" s="208">
        <v>502643</v>
      </c>
      <c r="BA59" s="208">
        <v>492591</v>
      </c>
      <c r="BB59" s="208">
        <v>0</v>
      </c>
      <c r="BC59" s="208">
        <v>10053</v>
      </c>
      <c r="BD59" s="208">
        <v>1005287</v>
      </c>
      <c r="BE59" s="208">
        <v>-351716</v>
      </c>
      <c r="BF59" s="208">
        <v>-344681</v>
      </c>
      <c r="BG59" s="208">
        <v>0</v>
      </c>
      <c r="BH59" s="208">
        <v>-7034</v>
      </c>
      <c r="BI59" s="208">
        <v>-703431</v>
      </c>
      <c r="BJ59" s="208">
        <v>-703140</v>
      </c>
      <c r="BK59" s="208">
        <v>-689075</v>
      </c>
      <c r="BL59" s="208">
        <v>0</v>
      </c>
      <c r="BM59" s="208">
        <v>-14062</v>
      </c>
      <c r="BN59" s="208">
        <v>-1406277</v>
      </c>
      <c r="BO59" s="208">
        <v>-7849980</v>
      </c>
      <c r="BP59" s="208">
        <v>-7692981</v>
      </c>
      <c r="BQ59" s="208">
        <v>0</v>
      </c>
      <c r="BR59" s="208">
        <v>-157000</v>
      </c>
      <c r="BS59" s="208">
        <v>-15699961</v>
      </c>
      <c r="BT59" s="208">
        <v>-7849980</v>
      </c>
      <c r="BU59" s="208">
        <v>-7692981</v>
      </c>
      <c r="BV59" s="208">
        <v>0</v>
      </c>
      <c r="BW59" s="208">
        <v>-157000</v>
      </c>
      <c r="BX59" s="208">
        <v>-15699961</v>
      </c>
      <c r="BY59" s="208">
        <v>0</v>
      </c>
      <c r="BZ59" s="208">
        <v>0</v>
      </c>
      <c r="CA59" s="208">
        <v>0</v>
      </c>
      <c r="CB59" s="208">
        <v>0</v>
      </c>
      <c r="CC59" s="208">
        <v>0</v>
      </c>
      <c r="CD59" s="208">
        <v>6855037</v>
      </c>
      <c r="CE59" s="208">
        <v>6717937</v>
      </c>
      <c r="CF59" s="208">
        <v>0</v>
      </c>
      <c r="CG59" s="208">
        <v>137101</v>
      </c>
      <c r="CH59" s="208">
        <v>13710075</v>
      </c>
      <c r="CI59" s="208">
        <v>0</v>
      </c>
      <c r="CJ59" s="208">
        <v>0</v>
      </c>
      <c r="CK59" s="208">
        <v>0</v>
      </c>
      <c r="CL59" s="208">
        <v>0</v>
      </c>
      <c r="CM59" s="208">
        <v>0</v>
      </c>
      <c r="CN59" s="208">
        <v>-3586124</v>
      </c>
      <c r="CO59" s="208">
        <v>-3514401</v>
      </c>
      <c r="CP59" s="208">
        <v>0</v>
      </c>
      <c r="CQ59" s="208">
        <v>-71722</v>
      </c>
      <c r="CR59" s="208">
        <v>-7172247</v>
      </c>
      <c r="CS59" s="208">
        <v>-3141777</v>
      </c>
      <c r="CT59" s="208">
        <v>-3078941</v>
      </c>
      <c r="CU59" s="208">
        <v>0</v>
      </c>
      <c r="CV59" s="208">
        <v>-62836</v>
      </c>
      <c r="CW59" s="208">
        <v>-6283554</v>
      </c>
      <c r="CX59" s="208">
        <v>-7722844</v>
      </c>
      <c r="CY59" s="208">
        <v>-7568386</v>
      </c>
      <c r="CZ59" s="208">
        <v>0</v>
      </c>
      <c r="DA59" s="208">
        <v>-154457</v>
      </c>
      <c r="DB59" s="208">
        <v>-15445687</v>
      </c>
      <c r="DC59" s="208">
        <v>-4581067</v>
      </c>
      <c r="DD59" s="208">
        <v>-4489445</v>
      </c>
      <c r="DE59" s="208">
        <v>0</v>
      </c>
      <c r="DF59" s="208">
        <v>-91621</v>
      </c>
      <c r="DG59" s="208">
        <v>-9162133</v>
      </c>
      <c r="DH59" s="208">
        <v>-3141777</v>
      </c>
      <c r="DI59" s="208">
        <v>-3078941</v>
      </c>
      <c r="DJ59" s="208">
        <v>0</v>
      </c>
      <c r="DK59" s="208">
        <v>-62836</v>
      </c>
      <c r="DL59" s="208">
        <v>-6283554</v>
      </c>
      <c r="DM59" s="208">
        <v>803980</v>
      </c>
      <c r="DN59" s="208">
        <v>787899</v>
      </c>
      <c r="DO59" s="208">
        <v>0</v>
      </c>
      <c r="DP59" s="208">
        <v>16078</v>
      </c>
      <c r="DQ59" s="208">
        <v>1607957</v>
      </c>
      <c r="DR59" s="208">
        <v>311914</v>
      </c>
      <c r="DS59" s="208">
        <v>305675</v>
      </c>
      <c r="DT59" s="208">
        <v>0</v>
      </c>
      <c r="DU59" s="208">
        <v>6238</v>
      </c>
      <c r="DV59" s="208">
        <v>623827</v>
      </c>
      <c r="DW59" s="208">
        <v>492066</v>
      </c>
      <c r="DX59" s="208">
        <v>482224</v>
      </c>
      <c r="DY59" s="208">
        <v>0</v>
      </c>
      <c r="DZ59" s="208">
        <v>9840</v>
      </c>
      <c r="EA59" s="208">
        <v>984130</v>
      </c>
      <c r="EB59" s="208">
        <v>67881797</v>
      </c>
      <c r="EC59" s="208">
        <v>66524162</v>
      </c>
      <c r="ED59" s="208">
        <v>0</v>
      </c>
      <c r="EE59" s="208">
        <v>1357636</v>
      </c>
      <c r="EF59" s="208">
        <v>135763595</v>
      </c>
      <c r="EG59" s="208">
        <v>67799369</v>
      </c>
      <c r="EH59" s="208">
        <v>66443381</v>
      </c>
      <c r="EI59" s="208">
        <v>0</v>
      </c>
      <c r="EJ59" s="208">
        <v>1355987</v>
      </c>
      <c r="EK59" s="208">
        <v>135598737</v>
      </c>
      <c r="EL59" s="208">
        <v>-82428</v>
      </c>
      <c r="EM59" s="208">
        <v>-80781</v>
      </c>
      <c r="EN59" s="208">
        <v>0</v>
      </c>
      <c r="EO59" s="208">
        <v>-1649</v>
      </c>
      <c r="EP59" s="208">
        <v>-164858</v>
      </c>
      <c r="EQ59" s="208">
        <v>409638</v>
      </c>
      <c r="ER59" s="208">
        <v>401443</v>
      </c>
      <c r="ES59" s="208">
        <v>0</v>
      </c>
      <c r="ET59" s="208">
        <v>8191</v>
      </c>
      <c r="EU59" s="208">
        <v>819272</v>
      </c>
      <c r="EV59" s="666">
        <v>0.5</v>
      </c>
      <c r="EW59" s="666">
        <v>0.49</v>
      </c>
      <c r="EX59" s="666">
        <v>0</v>
      </c>
      <c r="EY59" s="666">
        <v>0.01</v>
      </c>
      <c r="EZ59" s="666">
        <v>1</v>
      </c>
      <c r="FA59" s="187" t="s">
        <v>742</v>
      </c>
      <c r="FC59" s="187">
        <v>0</v>
      </c>
    </row>
    <row r="60" spans="2:159" s="187" customFormat="1" x14ac:dyDescent="0.2">
      <c r="B60" s="429" t="s">
        <v>199</v>
      </c>
      <c r="C60" s="429" t="s">
        <v>855</v>
      </c>
      <c r="D60" s="208">
        <v>68282203</v>
      </c>
      <c r="E60" s="208">
        <v>66916559</v>
      </c>
      <c r="F60" s="208">
        <v>0</v>
      </c>
      <c r="G60" s="208">
        <v>1365644</v>
      </c>
      <c r="H60" s="208">
        <v>136564406</v>
      </c>
      <c r="I60" s="208">
        <v>210171</v>
      </c>
      <c r="J60" s="208">
        <v>210171</v>
      </c>
      <c r="K60" s="208">
        <v>68072032</v>
      </c>
      <c r="L60" s="208">
        <v>478716</v>
      </c>
      <c r="M60" s="208">
        <v>478716</v>
      </c>
      <c r="N60" s="208">
        <v>20209</v>
      </c>
      <c r="O60" s="208">
        <v>20209</v>
      </c>
      <c r="P60" s="208">
        <v>585489</v>
      </c>
      <c r="Q60" s="208">
        <v>0</v>
      </c>
      <c r="R60" s="208">
        <v>585489</v>
      </c>
      <c r="S60" s="208">
        <v>0</v>
      </c>
      <c r="T60" s="208">
        <v>0</v>
      </c>
      <c r="U60" s="208">
        <v>0</v>
      </c>
      <c r="V60" s="208">
        <v>0</v>
      </c>
      <c r="W60" s="208">
        <v>210170.50416666668</v>
      </c>
      <c r="X60" s="208">
        <v>0</v>
      </c>
      <c r="Y60" s="208">
        <v>0</v>
      </c>
      <c r="Z60" s="208">
        <v>210170.50416666668</v>
      </c>
      <c r="AA60" s="208">
        <v>0</v>
      </c>
      <c r="AB60" s="208">
        <v>0</v>
      </c>
      <c r="AC60" s="208">
        <v>0</v>
      </c>
      <c r="AD60" s="208">
        <v>0</v>
      </c>
      <c r="AE60" s="208">
        <v>0</v>
      </c>
      <c r="AF60" s="208">
        <v>0</v>
      </c>
      <c r="AG60" s="208">
        <v>5894261</v>
      </c>
      <c r="AH60" s="208">
        <v>0</v>
      </c>
      <c r="AI60" s="208">
        <v>119968</v>
      </c>
      <c r="AJ60" s="208">
        <v>6014229</v>
      </c>
      <c r="AK60" s="208">
        <v>2477664</v>
      </c>
      <c r="AL60" s="208">
        <v>2428110</v>
      </c>
      <c r="AM60" s="208">
        <v>0</v>
      </c>
      <c r="AN60" s="208">
        <v>49553</v>
      </c>
      <c r="AO60" s="208">
        <v>4955327</v>
      </c>
      <c r="AP60" s="208">
        <v>-2227231</v>
      </c>
      <c r="AQ60" s="208">
        <v>-2182686</v>
      </c>
      <c r="AR60" s="208">
        <v>0</v>
      </c>
      <c r="AS60" s="208">
        <v>-44545</v>
      </c>
      <c r="AT60" s="208">
        <v>-4454462</v>
      </c>
      <c r="AU60" s="208">
        <v>-1475780</v>
      </c>
      <c r="AV60" s="208">
        <v>-1446264</v>
      </c>
      <c r="AW60" s="208">
        <v>0</v>
      </c>
      <c r="AX60" s="208">
        <v>-29516</v>
      </c>
      <c r="AY60" s="208">
        <v>-2951560</v>
      </c>
      <c r="AZ60" s="208">
        <v>13798</v>
      </c>
      <c r="BA60" s="208">
        <v>13522</v>
      </c>
      <c r="BB60" s="208">
        <v>0</v>
      </c>
      <c r="BC60" s="208">
        <v>276</v>
      </c>
      <c r="BD60" s="208">
        <v>27596</v>
      </c>
      <c r="BE60" s="208">
        <v>-543712</v>
      </c>
      <c r="BF60" s="208">
        <v>-532837</v>
      </c>
      <c r="BG60" s="208">
        <v>0</v>
      </c>
      <c r="BH60" s="208">
        <v>-10874</v>
      </c>
      <c r="BI60" s="208">
        <v>-1087423</v>
      </c>
      <c r="BJ60" s="208">
        <v>-2005694</v>
      </c>
      <c r="BK60" s="208">
        <v>-1965579</v>
      </c>
      <c r="BL60" s="208">
        <v>0</v>
      </c>
      <c r="BM60" s="208">
        <v>-40114</v>
      </c>
      <c r="BN60" s="208">
        <v>-4011387</v>
      </c>
      <c r="BO60" s="208">
        <v>-12431980</v>
      </c>
      <c r="BP60" s="208">
        <v>-12183340</v>
      </c>
      <c r="BQ60" s="208">
        <v>0</v>
      </c>
      <c r="BR60" s="208">
        <v>-248640</v>
      </c>
      <c r="BS60" s="208">
        <v>-24863960</v>
      </c>
      <c r="BT60" s="208">
        <v>0</v>
      </c>
      <c r="BU60" s="208">
        <v>0</v>
      </c>
      <c r="BV60" s="208">
        <v>0</v>
      </c>
      <c r="BW60" s="208">
        <v>0</v>
      </c>
      <c r="BX60" s="208">
        <v>0</v>
      </c>
      <c r="BY60" s="208">
        <v>-12431980</v>
      </c>
      <c r="BZ60" s="208">
        <v>-12183340</v>
      </c>
      <c r="CA60" s="208">
        <v>0</v>
      </c>
      <c r="CB60" s="208">
        <v>-248640</v>
      </c>
      <c r="CC60" s="208">
        <v>-24863960</v>
      </c>
      <c r="CD60" s="208">
        <v>3889483</v>
      </c>
      <c r="CE60" s="208">
        <v>3811694</v>
      </c>
      <c r="CF60" s="208">
        <v>0</v>
      </c>
      <c r="CG60" s="208">
        <v>77790</v>
      </c>
      <c r="CH60" s="208">
        <v>7778967</v>
      </c>
      <c r="CI60" s="208">
        <v>1524426</v>
      </c>
      <c r="CJ60" s="208">
        <v>1493938</v>
      </c>
      <c r="CK60" s="208">
        <v>0</v>
      </c>
      <c r="CL60" s="208">
        <v>30489</v>
      </c>
      <c r="CM60" s="208">
        <v>3048853</v>
      </c>
      <c r="CN60" s="208">
        <v>-1686784</v>
      </c>
      <c r="CO60" s="208">
        <v>-1653049</v>
      </c>
      <c r="CP60" s="208">
        <v>0</v>
      </c>
      <c r="CQ60" s="208">
        <v>-33736</v>
      </c>
      <c r="CR60" s="208">
        <v>-3373569</v>
      </c>
      <c r="CS60" s="208">
        <v>-5794094</v>
      </c>
      <c r="CT60" s="208">
        <v>-5678212</v>
      </c>
      <c r="CU60" s="208">
        <v>0</v>
      </c>
      <c r="CV60" s="208">
        <v>-115882</v>
      </c>
      <c r="CW60" s="208">
        <v>-11588188</v>
      </c>
      <c r="CX60" s="208">
        <v>-14498949</v>
      </c>
      <c r="CY60" s="208">
        <v>-14208969</v>
      </c>
      <c r="CZ60" s="208">
        <v>0</v>
      </c>
      <c r="DA60" s="208">
        <v>-289979</v>
      </c>
      <c r="DB60" s="208">
        <v>-28997897</v>
      </c>
      <c r="DC60" s="208">
        <v>2202699</v>
      </c>
      <c r="DD60" s="208">
        <v>2158645</v>
      </c>
      <c r="DE60" s="208">
        <v>0</v>
      </c>
      <c r="DF60" s="208">
        <v>44054</v>
      </c>
      <c r="DG60" s="208">
        <v>4405398</v>
      </c>
      <c r="DH60" s="208">
        <v>-16701648</v>
      </c>
      <c r="DI60" s="208">
        <v>-16367614</v>
      </c>
      <c r="DJ60" s="208">
        <v>0</v>
      </c>
      <c r="DK60" s="208">
        <v>-334033</v>
      </c>
      <c r="DL60" s="208">
        <v>-33403295</v>
      </c>
      <c r="DM60" s="208">
        <v>798897</v>
      </c>
      <c r="DN60" s="208">
        <v>782919</v>
      </c>
      <c r="DO60" s="208">
        <v>0</v>
      </c>
      <c r="DP60" s="208">
        <v>15978</v>
      </c>
      <c r="DQ60" s="208">
        <v>1597794</v>
      </c>
      <c r="DR60" s="208">
        <v>0</v>
      </c>
      <c r="DS60" s="208">
        <v>0</v>
      </c>
      <c r="DT60" s="208">
        <v>0</v>
      </c>
      <c r="DU60" s="208">
        <v>0</v>
      </c>
      <c r="DV60" s="208">
        <v>0</v>
      </c>
      <c r="DW60" s="208">
        <v>798897</v>
      </c>
      <c r="DX60" s="208">
        <v>782919</v>
      </c>
      <c r="DY60" s="208">
        <v>0</v>
      </c>
      <c r="DZ60" s="208">
        <v>15978</v>
      </c>
      <c r="EA60" s="208">
        <v>1597794</v>
      </c>
      <c r="EB60" s="208">
        <v>69750180</v>
      </c>
      <c r="EC60" s="208">
        <v>68355177</v>
      </c>
      <c r="ED60" s="208">
        <v>0</v>
      </c>
      <c r="EE60" s="208">
        <v>1395004</v>
      </c>
      <c r="EF60" s="208">
        <v>139500361</v>
      </c>
      <c r="EG60" s="208">
        <v>68282203</v>
      </c>
      <c r="EH60" s="208">
        <v>66916559</v>
      </c>
      <c r="EI60" s="208">
        <v>0</v>
      </c>
      <c r="EJ60" s="208">
        <v>1365644</v>
      </c>
      <c r="EK60" s="208">
        <v>136564406</v>
      </c>
      <c r="EL60" s="208">
        <v>-1467977</v>
      </c>
      <c r="EM60" s="208">
        <v>-1438618</v>
      </c>
      <c r="EN60" s="208">
        <v>0</v>
      </c>
      <c r="EO60" s="208">
        <v>-29360</v>
      </c>
      <c r="EP60" s="208">
        <v>-2935955</v>
      </c>
      <c r="EQ60" s="208">
        <v>-669080</v>
      </c>
      <c r="ER60" s="208">
        <v>-655699</v>
      </c>
      <c r="ES60" s="208">
        <v>0</v>
      </c>
      <c r="ET60" s="208">
        <v>-13382</v>
      </c>
      <c r="EU60" s="208">
        <v>-1338161</v>
      </c>
      <c r="EV60" s="666">
        <v>0.5</v>
      </c>
      <c r="EW60" s="666">
        <v>0.49</v>
      </c>
      <c r="EX60" s="666">
        <v>0</v>
      </c>
      <c r="EY60" s="666">
        <v>0.01</v>
      </c>
      <c r="EZ60" s="666">
        <v>1</v>
      </c>
      <c r="FA60" s="187" t="s">
        <v>742</v>
      </c>
      <c r="FC60" s="187">
        <v>0</v>
      </c>
    </row>
    <row r="61" spans="2:159" s="187" customFormat="1" x14ac:dyDescent="0.2">
      <c r="B61" s="429" t="s">
        <v>201</v>
      </c>
      <c r="C61" s="429" t="s">
        <v>200</v>
      </c>
      <c r="D61" s="208">
        <v>0</v>
      </c>
      <c r="E61" s="208">
        <v>18656770</v>
      </c>
      <c r="F61" s="208">
        <v>18283635</v>
      </c>
      <c r="G61" s="208">
        <v>373135</v>
      </c>
      <c r="H61" s="208">
        <v>37313540</v>
      </c>
      <c r="I61" s="208">
        <v>0</v>
      </c>
      <c r="J61" s="208">
        <v>0</v>
      </c>
      <c r="K61" s="208">
        <v>0</v>
      </c>
      <c r="L61" s="208">
        <v>164099</v>
      </c>
      <c r="M61" s="208">
        <v>164099</v>
      </c>
      <c r="N61" s="208">
        <v>1204152</v>
      </c>
      <c r="O61" s="208">
        <v>1204152</v>
      </c>
      <c r="P61" s="208">
        <v>49882</v>
      </c>
      <c r="Q61" s="208">
        <v>0</v>
      </c>
      <c r="R61" s="208">
        <v>49882</v>
      </c>
      <c r="S61" s="208">
        <v>0</v>
      </c>
      <c r="T61" s="208">
        <v>0</v>
      </c>
      <c r="U61" s="208">
        <v>0</v>
      </c>
      <c r="V61" s="208">
        <v>0</v>
      </c>
      <c r="W61" s="208">
        <v>0</v>
      </c>
      <c r="X61" s="208">
        <v>0</v>
      </c>
      <c r="Y61" s="208">
        <v>0</v>
      </c>
      <c r="Z61" s="208">
        <v>0</v>
      </c>
      <c r="AA61" s="208">
        <v>0</v>
      </c>
      <c r="AB61" s="208">
        <v>0</v>
      </c>
      <c r="AC61" s="208">
        <v>0</v>
      </c>
      <c r="AD61" s="208">
        <v>0</v>
      </c>
      <c r="AE61" s="208">
        <v>0</v>
      </c>
      <c r="AF61" s="208">
        <v>0</v>
      </c>
      <c r="AG61" s="208">
        <v>2298779</v>
      </c>
      <c r="AH61" s="208">
        <v>2224639</v>
      </c>
      <c r="AI61" s="208">
        <v>45401</v>
      </c>
      <c r="AJ61" s="208">
        <v>4568819</v>
      </c>
      <c r="AK61" s="208">
        <v>0</v>
      </c>
      <c r="AL61" s="208">
        <v>746623</v>
      </c>
      <c r="AM61" s="208">
        <v>731690</v>
      </c>
      <c r="AN61" s="208">
        <v>14932</v>
      </c>
      <c r="AO61" s="208">
        <v>1493245</v>
      </c>
      <c r="AP61" s="208">
        <v>0</v>
      </c>
      <c r="AQ61" s="208">
        <v>-221499</v>
      </c>
      <c r="AR61" s="208">
        <v>-217069</v>
      </c>
      <c r="AS61" s="208">
        <v>-4430</v>
      </c>
      <c r="AT61" s="208">
        <v>-442998</v>
      </c>
      <c r="AU61" s="208">
        <v>0</v>
      </c>
      <c r="AV61" s="208">
        <v>-337420</v>
      </c>
      <c r="AW61" s="208">
        <v>-330671</v>
      </c>
      <c r="AX61" s="208">
        <v>-6748</v>
      </c>
      <c r="AY61" s="208">
        <v>-674839</v>
      </c>
      <c r="AZ61" s="208">
        <v>-1</v>
      </c>
      <c r="BA61" s="208">
        <v>62330</v>
      </c>
      <c r="BB61" s="208">
        <v>61083</v>
      </c>
      <c r="BC61" s="208">
        <v>1247</v>
      </c>
      <c r="BD61" s="208">
        <v>124659</v>
      </c>
      <c r="BE61" s="208">
        <v>-1</v>
      </c>
      <c r="BF61" s="208">
        <v>61996</v>
      </c>
      <c r="BG61" s="208">
        <v>60756</v>
      </c>
      <c r="BH61" s="208">
        <v>1240</v>
      </c>
      <c r="BI61" s="208">
        <v>123991</v>
      </c>
      <c r="BJ61" s="208">
        <v>-2</v>
      </c>
      <c r="BK61" s="208">
        <v>-213094</v>
      </c>
      <c r="BL61" s="208">
        <v>-208832</v>
      </c>
      <c r="BM61" s="208">
        <v>-4261</v>
      </c>
      <c r="BN61" s="208">
        <v>-426189</v>
      </c>
      <c r="BO61" s="208">
        <v>0</v>
      </c>
      <c r="BP61" s="208">
        <v>-1726901</v>
      </c>
      <c r="BQ61" s="208">
        <v>-1692363</v>
      </c>
      <c r="BR61" s="208">
        <v>-34538</v>
      </c>
      <c r="BS61" s="208">
        <v>-3453802</v>
      </c>
      <c r="BT61" s="208">
        <v>1</v>
      </c>
      <c r="BU61" s="208">
        <v>-1087438</v>
      </c>
      <c r="BV61" s="208">
        <v>-1065689</v>
      </c>
      <c r="BW61" s="208">
        <v>-21749</v>
      </c>
      <c r="BX61" s="208">
        <v>-2174875</v>
      </c>
      <c r="BY61" s="208">
        <v>0</v>
      </c>
      <c r="BZ61" s="208">
        <v>-639464</v>
      </c>
      <c r="CA61" s="208">
        <v>-626674</v>
      </c>
      <c r="CB61" s="208">
        <v>-12789</v>
      </c>
      <c r="CC61" s="208">
        <v>-1278927</v>
      </c>
      <c r="CD61" s="208">
        <v>0</v>
      </c>
      <c r="CE61" s="208">
        <v>404707</v>
      </c>
      <c r="CF61" s="208">
        <v>396612</v>
      </c>
      <c r="CG61" s="208">
        <v>8094</v>
      </c>
      <c r="CH61" s="208">
        <v>809413</v>
      </c>
      <c r="CI61" s="208">
        <v>0</v>
      </c>
      <c r="CJ61" s="208">
        <v>0</v>
      </c>
      <c r="CK61" s="208">
        <v>0</v>
      </c>
      <c r="CL61" s="208">
        <v>0</v>
      </c>
      <c r="CM61" s="208">
        <v>0</v>
      </c>
      <c r="CN61" s="208">
        <v>0</v>
      </c>
      <c r="CO61" s="208">
        <v>-256972</v>
      </c>
      <c r="CP61" s="208">
        <v>-251833</v>
      </c>
      <c r="CQ61" s="208">
        <v>-5139</v>
      </c>
      <c r="CR61" s="208">
        <v>-513944</v>
      </c>
      <c r="CS61" s="208">
        <v>0</v>
      </c>
      <c r="CT61" s="208">
        <v>-785618</v>
      </c>
      <c r="CU61" s="208">
        <v>-769906</v>
      </c>
      <c r="CV61" s="208">
        <v>-15712</v>
      </c>
      <c r="CW61" s="208">
        <v>-1571236</v>
      </c>
      <c r="CX61" s="208">
        <v>0</v>
      </c>
      <c r="CY61" s="208">
        <v>-2364784</v>
      </c>
      <c r="CZ61" s="208">
        <v>-2317490</v>
      </c>
      <c r="DA61" s="208">
        <v>-47295</v>
      </c>
      <c r="DB61" s="208">
        <v>-4729569</v>
      </c>
      <c r="DC61" s="208">
        <v>1</v>
      </c>
      <c r="DD61" s="208">
        <v>-939703</v>
      </c>
      <c r="DE61" s="208">
        <v>-920910</v>
      </c>
      <c r="DF61" s="208">
        <v>-18794</v>
      </c>
      <c r="DG61" s="208">
        <v>-1879406</v>
      </c>
      <c r="DH61" s="208">
        <v>0</v>
      </c>
      <c r="DI61" s="208">
        <v>-1425082</v>
      </c>
      <c r="DJ61" s="208">
        <v>-1396580</v>
      </c>
      <c r="DK61" s="208">
        <v>-28501</v>
      </c>
      <c r="DL61" s="208">
        <v>-2850163</v>
      </c>
      <c r="DM61" s="208">
        <v>-1950138</v>
      </c>
      <c r="DN61" s="208">
        <v>-1560111</v>
      </c>
      <c r="DO61" s="208">
        <v>-351025</v>
      </c>
      <c r="DP61" s="208">
        <v>-39003</v>
      </c>
      <c r="DQ61" s="208">
        <v>-3900277</v>
      </c>
      <c r="DR61" s="208">
        <v>-360044</v>
      </c>
      <c r="DS61" s="208">
        <v>-288036</v>
      </c>
      <c r="DT61" s="208">
        <v>-64808</v>
      </c>
      <c r="DU61" s="208">
        <v>-7201</v>
      </c>
      <c r="DV61" s="208">
        <v>-720089</v>
      </c>
      <c r="DW61" s="208">
        <v>-1590094</v>
      </c>
      <c r="DX61" s="208">
        <v>-1272075</v>
      </c>
      <c r="DY61" s="208">
        <v>-286217</v>
      </c>
      <c r="DZ61" s="208">
        <v>-31802</v>
      </c>
      <c r="EA61" s="208">
        <v>-3180188</v>
      </c>
      <c r="EB61" s="208">
        <v>0</v>
      </c>
      <c r="EC61" s="208">
        <v>18114224</v>
      </c>
      <c r="ED61" s="208">
        <v>17751940</v>
      </c>
      <c r="EE61" s="208">
        <v>362284</v>
      </c>
      <c r="EF61" s="208">
        <v>36228448</v>
      </c>
      <c r="EG61" s="208">
        <v>0</v>
      </c>
      <c r="EH61" s="208">
        <v>18656770</v>
      </c>
      <c r="EI61" s="208">
        <v>18283635</v>
      </c>
      <c r="EJ61" s="208">
        <v>373135</v>
      </c>
      <c r="EK61" s="208">
        <v>37313540</v>
      </c>
      <c r="EL61" s="208">
        <v>0</v>
      </c>
      <c r="EM61" s="208">
        <v>542546</v>
      </c>
      <c r="EN61" s="208">
        <v>531695</v>
      </c>
      <c r="EO61" s="208">
        <v>10851</v>
      </c>
      <c r="EP61" s="208">
        <v>1085092</v>
      </c>
      <c r="EQ61" s="208">
        <v>-1590094</v>
      </c>
      <c r="ER61" s="208">
        <v>-729529</v>
      </c>
      <c r="ES61" s="208">
        <v>245478</v>
      </c>
      <c r="ET61" s="208">
        <v>-20951</v>
      </c>
      <c r="EU61" s="208">
        <v>-2095096</v>
      </c>
      <c r="EV61" s="666">
        <v>0</v>
      </c>
      <c r="EW61" s="666">
        <v>0.5</v>
      </c>
      <c r="EX61" s="666">
        <v>0.49</v>
      </c>
      <c r="EY61" s="666">
        <v>0.01</v>
      </c>
      <c r="EZ61" s="666">
        <v>1</v>
      </c>
      <c r="FA61" s="187" t="s">
        <v>1054</v>
      </c>
      <c r="FC61" s="187">
        <v>0</v>
      </c>
    </row>
    <row r="62" spans="2:159" s="187" customFormat="1" x14ac:dyDescent="0.2">
      <c r="B62" s="429" t="s">
        <v>203</v>
      </c>
      <c r="C62" s="429" t="s">
        <v>202</v>
      </c>
      <c r="D62" s="208">
        <v>23878581.609999992</v>
      </c>
      <c r="E62" s="208">
        <v>19102865</v>
      </c>
      <c r="F62" s="208">
        <v>4775716</v>
      </c>
      <c r="G62" s="208">
        <v>0</v>
      </c>
      <c r="H62" s="208">
        <v>47757162.609999992</v>
      </c>
      <c r="I62" s="208">
        <v>0</v>
      </c>
      <c r="J62" s="208">
        <v>0</v>
      </c>
      <c r="K62" s="208">
        <v>23878581.609999992</v>
      </c>
      <c r="L62" s="208">
        <v>198581</v>
      </c>
      <c r="M62" s="208">
        <v>198581</v>
      </c>
      <c r="N62" s="208">
        <v>0</v>
      </c>
      <c r="O62" s="208">
        <v>0</v>
      </c>
      <c r="P62" s="208">
        <v>123492</v>
      </c>
      <c r="Q62" s="208">
        <v>15074</v>
      </c>
      <c r="R62" s="208">
        <v>138566</v>
      </c>
      <c r="S62" s="208">
        <v>0</v>
      </c>
      <c r="T62" s="208">
        <v>0</v>
      </c>
      <c r="U62" s="208">
        <v>0</v>
      </c>
      <c r="V62" s="208">
        <v>0</v>
      </c>
      <c r="W62" s="208">
        <v>0</v>
      </c>
      <c r="X62" s="208">
        <v>0</v>
      </c>
      <c r="Y62" s="208">
        <v>0</v>
      </c>
      <c r="Z62" s="208">
        <v>0</v>
      </c>
      <c r="AA62" s="208">
        <v>0</v>
      </c>
      <c r="AB62" s="208">
        <v>0</v>
      </c>
      <c r="AC62" s="208">
        <v>0</v>
      </c>
      <c r="AD62" s="208">
        <v>0</v>
      </c>
      <c r="AE62" s="208">
        <v>0</v>
      </c>
      <c r="AF62" s="208">
        <v>0</v>
      </c>
      <c r="AG62" s="208">
        <v>2300696</v>
      </c>
      <c r="AH62" s="208">
        <v>574811</v>
      </c>
      <c r="AI62" s="208">
        <v>0</v>
      </c>
      <c r="AJ62" s="208">
        <v>2875507</v>
      </c>
      <c r="AK62" s="208">
        <v>889322.31</v>
      </c>
      <c r="AL62" s="208">
        <v>711459</v>
      </c>
      <c r="AM62" s="208">
        <v>177865</v>
      </c>
      <c r="AN62" s="208">
        <v>0</v>
      </c>
      <c r="AO62" s="208">
        <v>1778646.31</v>
      </c>
      <c r="AP62" s="208">
        <v>-314215</v>
      </c>
      <c r="AQ62" s="208">
        <v>-251372</v>
      </c>
      <c r="AR62" s="208">
        <v>-62843</v>
      </c>
      <c r="AS62" s="208">
        <v>0</v>
      </c>
      <c r="AT62" s="208">
        <v>-628430</v>
      </c>
      <c r="AU62" s="208">
        <v>-435069.27</v>
      </c>
      <c r="AV62" s="208">
        <v>-348056</v>
      </c>
      <c r="AW62" s="208">
        <v>-87014</v>
      </c>
      <c r="AX62" s="208">
        <v>0</v>
      </c>
      <c r="AY62" s="208">
        <v>-870139.27</v>
      </c>
      <c r="AZ62" s="208">
        <v>419012</v>
      </c>
      <c r="BA62" s="208">
        <v>335210</v>
      </c>
      <c r="BB62" s="208">
        <v>83803</v>
      </c>
      <c r="BC62" s="208">
        <v>0</v>
      </c>
      <c r="BD62" s="208">
        <v>838025</v>
      </c>
      <c r="BE62" s="208">
        <v>-244475</v>
      </c>
      <c r="BF62" s="208">
        <v>-195580</v>
      </c>
      <c r="BG62" s="208">
        <v>-48895</v>
      </c>
      <c r="BH62" s="208">
        <v>0</v>
      </c>
      <c r="BI62" s="208">
        <v>-488950</v>
      </c>
      <c r="BJ62" s="208">
        <v>-260532.27000000002</v>
      </c>
      <c r="BK62" s="208">
        <v>-208426</v>
      </c>
      <c r="BL62" s="208">
        <v>-52106</v>
      </c>
      <c r="BM62" s="208">
        <v>0</v>
      </c>
      <c r="BN62" s="208">
        <v>-521064.27</v>
      </c>
      <c r="BO62" s="208">
        <v>-2550000</v>
      </c>
      <c r="BP62" s="208">
        <v>-2040000</v>
      </c>
      <c r="BQ62" s="208">
        <v>-510000</v>
      </c>
      <c r="BR62" s="208">
        <v>0</v>
      </c>
      <c r="BS62" s="208">
        <v>-5100000</v>
      </c>
      <c r="BT62" s="208">
        <v>-1050000</v>
      </c>
      <c r="BU62" s="208">
        <v>-840000</v>
      </c>
      <c r="BV62" s="208">
        <v>-210000</v>
      </c>
      <c r="BW62" s="208">
        <v>0</v>
      </c>
      <c r="BX62" s="208">
        <v>-2100000</v>
      </c>
      <c r="BY62" s="208">
        <v>-1500000</v>
      </c>
      <c r="BZ62" s="208">
        <v>-1200000</v>
      </c>
      <c r="CA62" s="208">
        <v>-300000</v>
      </c>
      <c r="CB62" s="208">
        <v>0</v>
      </c>
      <c r="CC62" s="208">
        <v>-3000000</v>
      </c>
      <c r="CD62" s="208">
        <v>165413</v>
      </c>
      <c r="CE62" s="208">
        <v>132330</v>
      </c>
      <c r="CF62" s="208">
        <v>33083</v>
      </c>
      <c r="CG62" s="208">
        <v>0</v>
      </c>
      <c r="CH62" s="208">
        <v>330826</v>
      </c>
      <c r="CI62" s="208">
        <v>163624</v>
      </c>
      <c r="CJ62" s="208">
        <v>130900</v>
      </c>
      <c r="CK62" s="208">
        <v>32725</v>
      </c>
      <c r="CL62" s="208">
        <v>0</v>
      </c>
      <c r="CM62" s="208">
        <v>327249</v>
      </c>
      <c r="CN62" s="208">
        <v>0</v>
      </c>
      <c r="CO62" s="208">
        <v>0</v>
      </c>
      <c r="CP62" s="208">
        <v>0</v>
      </c>
      <c r="CQ62" s="208">
        <v>0</v>
      </c>
      <c r="CR62" s="208">
        <v>0</v>
      </c>
      <c r="CS62" s="208">
        <v>-900000</v>
      </c>
      <c r="CT62" s="208">
        <v>-720000</v>
      </c>
      <c r="CU62" s="208">
        <v>-180000</v>
      </c>
      <c r="CV62" s="208">
        <v>0</v>
      </c>
      <c r="CW62" s="208">
        <v>-1800000</v>
      </c>
      <c r="CX62" s="208">
        <v>-3120963</v>
      </c>
      <c r="CY62" s="208">
        <v>-2496770</v>
      </c>
      <c r="CZ62" s="208">
        <v>-624192</v>
      </c>
      <c r="DA62" s="208">
        <v>0</v>
      </c>
      <c r="DB62" s="208">
        <v>-6241925</v>
      </c>
      <c r="DC62" s="208">
        <v>-884587</v>
      </c>
      <c r="DD62" s="208">
        <v>-707670</v>
      </c>
      <c r="DE62" s="208">
        <v>-176917</v>
      </c>
      <c r="DF62" s="208">
        <v>0</v>
      </c>
      <c r="DG62" s="208">
        <v>-1769174</v>
      </c>
      <c r="DH62" s="208">
        <v>-2236376</v>
      </c>
      <c r="DI62" s="208">
        <v>-1789100</v>
      </c>
      <c r="DJ62" s="208">
        <v>-447275</v>
      </c>
      <c r="DK62" s="208">
        <v>0</v>
      </c>
      <c r="DL62" s="208">
        <v>-4472751</v>
      </c>
      <c r="DM62" s="208">
        <v>-872092</v>
      </c>
      <c r="DN62" s="208">
        <v>-697672</v>
      </c>
      <c r="DO62" s="208">
        <v>-174418</v>
      </c>
      <c r="DP62" s="208">
        <v>0</v>
      </c>
      <c r="DQ62" s="208">
        <v>-1744182</v>
      </c>
      <c r="DR62" s="208">
        <v>-1132208</v>
      </c>
      <c r="DS62" s="208">
        <v>-905767</v>
      </c>
      <c r="DT62" s="208">
        <v>-226442</v>
      </c>
      <c r="DU62" s="208">
        <v>0</v>
      </c>
      <c r="DV62" s="208">
        <v>-2264417</v>
      </c>
      <c r="DW62" s="208">
        <v>260116</v>
      </c>
      <c r="DX62" s="208">
        <v>208095</v>
      </c>
      <c r="DY62" s="208">
        <v>52024</v>
      </c>
      <c r="DZ62" s="208">
        <v>0</v>
      </c>
      <c r="EA62" s="208">
        <v>520235</v>
      </c>
      <c r="EB62" s="208">
        <v>23964137</v>
      </c>
      <c r="EC62" s="208">
        <v>19171310</v>
      </c>
      <c r="ED62" s="208">
        <v>4792827</v>
      </c>
      <c r="EE62" s="208">
        <v>0</v>
      </c>
      <c r="EF62" s="208">
        <v>47928274</v>
      </c>
      <c r="EG62" s="208">
        <v>23878581.609999992</v>
      </c>
      <c r="EH62" s="208">
        <v>19102865</v>
      </c>
      <c r="EI62" s="208">
        <v>4775716</v>
      </c>
      <c r="EJ62" s="208">
        <v>0</v>
      </c>
      <c r="EK62" s="208">
        <v>47757162.609999992</v>
      </c>
      <c r="EL62" s="208">
        <v>-85555.390000008047</v>
      </c>
      <c r="EM62" s="208">
        <v>-68445</v>
      </c>
      <c r="EN62" s="208">
        <v>-17111</v>
      </c>
      <c r="EO62" s="208">
        <v>0</v>
      </c>
      <c r="EP62" s="208">
        <v>-171111.39000000805</v>
      </c>
      <c r="EQ62" s="208">
        <v>174560.60999999195</v>
      </c>
      <c r="ER62" s="208">
        <v>139650</v>
      </c>
      <c r="ES62" s="208">
        <v>34913</v>
      </c>
      <c r="ET62" s="208">
        <v>0</v>
      </c>
      <c r="EU62" s="208">
        <v>349123.60999999195</v>
      </c>
      <c r="EV62" s="666">
        <v>0.5</v>
      </c>
      <c r="EW62" s="666">
        <v>0.4</v>
      </c>
      <c r="EX62" s="666">
        <v>0.1</v>
      </c>
      <c r="EY62" s="666">
        <v>0</v>
      </c>
      <c r="EZ62" s="666">
        <v>1</v>
      </c>
      <c r="FA62" s="187" t="s">
        <v>1054</v>
      </c>
      <c r="FC62" s="187">
        <v>0</v>
      </c>
    </row>
    <row r="63" spans="2:159" s="187" customFormat="1" x14ac:dyDescent="0.2">
      <c r="B63" s="429" t="s">
        <v>205</v>
      </c>
      <c r="C63" s="429" t="s">
        <v>204</v>
      </c>
      <c r="D63" s="208">
        <v>10778903</v>
      </c>
      <c r="E63" s="208">
        <v>8623122</v>
      </c>
      <c r="F63" s="208">
        <v>1940203</v>
      </c>
      <c r="G63" s="208">
        <v>215578</v>
      </c>
      <c r="H63" s="208">
        <v>21557806</v>
      </c>
      <c r="I63" s="208">
        <v>0</v>
      </c>
      <c r="J63" s="208">
        <v>0</v>
      </c>
      <c r="K63" s="208">
        <v>10778903</v>
      </c>
      <c r="L63" s="208">
        <v>110239</v>
      </c>
      <c r="M63" s="208">
        <v>110239</v>
      </c>
      <c r="N63" s="208">
        <v>0</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1183451</v>
      </c>
      <c r="AH63" s="208">
        <v>266277</v>
      </c>
      <c r="AI63" s="208">
        <v>29586</v>
      </c>
      <c r="AJ63" s="208">
        <v>1479314</v>
      </c>
      <c r="AK63" s="208">
        <v>375526</v>
      </c>
      <c r="AL63" s="208">
        <v>300422</v>
      </c>
      <c r="AM63" s="208">
        <v>67595</v>
      </c>
      <c r="AN63" s="208">
        <v>7511</v>
      </c>
      <c r="AO63" s="208">
        <v>751054</v>
      </c>
      <c r="AP63" s="208">
        <v>-102959</v>
      </c>
      <c r="AQ63" s="208">
        <v>-82366</v>
      </c>
      <c r="AR63" s="208">
        <v>-18532</v>
      </c>
      <c r="AS63" s="208">
        <v>-2059</v>
      </c>
      <c r="AT63" s="208">
        <v>-205916</v>
      </c>
      <c r="AU63" s="208">
        <v>-149531</v>
      </c>
      <c r="AV63" s="208">
        <v>-119626</v>
      </c>
      <c r="AW63" s="208">
        <v>-26916</v>
      </c>
      <c r="AX63" s="208">
        <v>-2991</v>
      </c>
      <c r="AY63" s="208">
        <v>-299064</v>
      </c>
      <c r="AZ63" s="208">
        <v>30312</v>
      </c>
      <c r="BA63" s="208">
        <v>24249</v>
      </c>
      <c r="BB63" s="208">
        <v>5456</v>
      </c>
      <c r="BC63" s="208">
        <v>606</v>
      </c>
      <c r="BD63" s="208">
        <v>60623</v>
      </c>
      <c r="BE63" s="208">
        <v>-42279</v>
      </c>
      <c r="BF63" s="208">
        <v>-33824</v>
      </c>
      <c r="BG63" s="208">
        <v>-7610</v>
      </c>
      <c r="BH63" s="208">
        <v>-846</v>
      </c>
      <c r="BI63" s="208">
        <v>-84559</v>
      </c>
      <c r="BJ63" s="208">
        <v>-161498</v>
      </c>
      <c r="BK63" s="208">
        <v>-129201</v>
      </c>
      <c r="BL63" s="208">
        <v>-29070</v>
      </c>
      <c r="BM63" s="208">
        <v>-3231</v>
      </c>
      <c r="BN63" s="208">
        <v>-323000</v>
      </c>
      <c r="BO63" s="208">
        <v>-1314665</v>
      </c>
      <c r="BP63" s="208">
        <v>-1051732</v>
      </c>
      <c r="BQ63" s="208">
        <v>-236640</v>
      </c>
      <c r="BR63" s="208">
        <v>-26293</v>
      </c>
      <c r="BS63" s="208">
        <v>-2629330</v>
      </c>
      <c r="BT63" s="208">
        <v>0</v>
      </c>
      <c r="BU63" s="208">
        <v>0</v>
      </c>
      <c r="BV63" s="208">
        <v>0</v>
      </c>
      <c r="BW63" s="208">
        <v>0</v>
      </c>
      <c r="BX63" s="208">
        <v>0</v>
      </c>
      <c r="BY63" s="208">
        <v>-1314665</v>
      </c>
      <c r="BZ63" s="208">
        <v>-1051732</v>
      </c>
      <c r="CA63" s="208">
        <v>-236640</v>
      </c>
      <c r="CB63" s="208">
        <v>-26293</v>
      </c>
      <c r="CC63" s="208">
        <v>-2629330</v>
      </c>
      <c r="CD63" s="208">
        <v>489432</v>
      </c>
      <c r="CE63" s="208">
        <v>391546</v>
      </c>
      <c r="CF63" s="208">
        <v>88098</v>
      </c>
      <c r="CG63" s="208">
        <v>9789</v>
      </c>
      <c r="CH63" s="208">
        <v>978865</v>
      </c>
      <c r="CI63" s="208">
        <v>0</v>
      </c>
      <c r="CJ63" s="208">
        <v>0</v>
      </c>
      <c r="CK63" s="208">
        <v>0</v>
      </c>
      <c r="CL63" s="208">
        <v>0</v>
      </c>
      <c r="CM63" s="208">
        <v>0</v>
      </c>
      <c r="CN63" s="208">
        <v>-101501</v>
      </c>
      <c r="CO63" s="208">
        <v>-81201</v>
      </c>
      <c r="CP63" s="208">
        <v>-18270</v>
      </c>
      <c r="CQ63" s="208">
        <v>-2030</v>
      </c>
      <c r="CR63" s="208">
        <v>-203002</v>
      </c>
      <c r="CS63" s="208">
        <v>-135519</v>
      </c>
      <c r="CT63" s="208">
        <v>-108415</v>
      </c>
      <c r="CU63" s="208">
        <v>-24393</v>
      </c>
      <c r="CV63" s="208">
        <v>-2710</v>
      </c>
      <c r="CW63" s="208">
        <v>-271037</v>
      </c>
      <c r="CX63" s="208">
        <v>-1062253</v>
      </c>
      <c r="CY63" s="208">
        <v>-849802</v>
      </c>
      <c r="CZ63" s="208">
        <v>-191205</v>
      </c>
      <c r="DA63" s="208">
        <v>-21244</v>
      </c>
      <c r="DB63" s="208">
        <v>-2124504</v>
      </c>
      <c r="DC63" s="208">
        <v>387931</v>
      </c>
      <c r="DD63" s="208">
        <v>310345</v>
      </c>
      <c r="DE63" s="208">
        <v>69828</v>
      </c>
      <c r="DF63" s="208">
        <v>7759</v>
      </c>
      <c r="DG63" s="208">
        <v>775863</v>
      </c>
      <c r="DH63" s="208">
        <v>-1450184</v>
      </c>
      <c r="DI63" s="208">
        <v>-1160147</v>
      </c>
      <c r="DJ63" s="208">
        <v>-261033</v>
      </c>
      <c r="DK63" s="208">
        <v>-29003</v>
      </c>
      <c r="DL63" s="208">
        <v>-2900367</v>
      </c>
      <c r="DM63" s="208">
        <v>-1309545</v>
      </c>
      <c r="DN63" s="208">
        <v>-1047636</v>
      </c>
      <c r="DO63" s="208">
        <v>-235719</v>
      </c>
      <c r="DP63" s="208">
        <v>-26191</v>
      </c>
      <c r="DQ63" s="208">
        <v>-2619091</v>
      </c>
      <c r="DR63" s="208">
        <v>-368794</v>
      </c>
      <c r="DS63" s="208">
        <v>-295035</v>
      </c>
      <c r="DT63" s="208">
        <v>-66383</v>
      </c>
      <c r="DU63" s="208">
        <v>-7376</v>
      </c>
      <c r="DV63" s="208">
        <v>-737588</v>
      </c>
      <c r="DW63" s="208">
        <v>-940751</v>
      </c>
      <c r="DX63" s="208">
        <v>-752601</v>
      </c>
      <c r="DY63" s="208">
        <v>-169336</v>
      </c>
      <c r="DZ63" s="208">
        <v>-18815</v>
      </c>
      <c r="EA63" s="208">
        <v>-1881503</v>
      </c>
      <c r="EB63" s="208">
        <v>10694909</v>
      </c>
      <c r="EC63" s="208">
        <v>8555927</v>
      </c>
      <c r="ED63" s="208">
        <v>1925084</v>
      </c>
      <c r="EE63" s="208">
        <v>213898</v>
      </c>
      <c r="EF63" s="208">
        <v>21389818</v>
      </c>
      <c r="EG63" s="208">
        <v>10778903</v>
      </c>
      <c r="EH63" s="208">
        <v>8623122</v>
      </c>
      <c r="EI63" s="208">
        <v>1940203</v>
      </c>
      <c r="EJ63" s="208">
        <v>215578</v>
      </c>
      <c r="EK63" s="208">
        <v>21557806</v>
      </c>
      <c r="EL63" s="208">
        <v>83994</v>
      </c>
      <c r="EM63" s="208">
        <v>67195</v>
      </c>
      <c r="EN63" s="208">
        <v>15119</v>
      </c>
      <c r="EO63" s="208">
        <v>1680</v>
      </c>
      <c r="EP63" s="208">
        <v>167988</v>
      </c>
      <c r="EQ63" s="208">
        <v>-856757</v>
      </c>
      <c r="ER63" s="208">
        <v>-685406</v>
      </c>
      <c r="ES63" s="208">
        <v>-154217</v>
      </c>
      <c r="ET63" s="208">
        <v>-17135</v>
      </c>
      <c r="EU63" s="208">
        <v>-1713515</v>
      </c>
      <c r="EV63" s="666">
        <v>0.5</v>
      </c>
      <c r="EW63" s="666">
        <v>0.4</v>
      </c>
      <c r="EX63" s="666">
        <v>0.09</v>
      </c>
      <c r="EY63" s="666">
        <v>0.01</v>
      </c>
      <c r="EZ63" s="666">
        <v>1</v>
      </c>
      <c r="FA63" s="187" t="s">
        <v>1054</v>
      </c>
      <c r="FC63" s="187">
        <v>0</v>
      </c>
    </row>
    <row r="64" spans="2:159" s="187" customFormat="1" x14ac:dyDescent="0.2">
      <c r="B64" s="429" t="s">
        <v>207</v>
      </c>
      <c r="C64" s="429" t="s">
        <v>206</v>
      </c>
      <c r="D64" s="208">
        <v>11990442</v>
      </c>
      <c r="E64" s="208">
        <v>9592354</v>
      </c>
      <c r="F64" s="208">
        <v>2158280</v>
      </c>
      <c r="G64" s="208">
        <v>239809</v>
      </c>
      <c r="H64" s="208">
        <v>23980885</v>
      </c>
      <c r="I64" s="208">
        <v>0</v>
      </c>
      <c r="J64" s="208">
        <v>0</v>
      </c>
      <c r="K64" s="208">
        <v>11990442</v>
      </c>
      <c r="L64" s="208">
        <v>130263</v>
      </c>
      <c r="M64" s="208">
        <v>130263</v>
      </c>
      <c r="N64" s="208">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1333139</v>
      </c>
      <c r="AH64" s="208">
        <v>299958</v>
      </c>
      <c r="AI64" s="208">
        <v>33329</v>
      </c>
      <c r="AJ64" s="208">
        <v>1666426</v>
      </c>
      <c r="AK64" s="208">
        <v>371866</v>
      </c>
      <c r="AL64" s="208">
        <v>297492</v>
      </c>
      <c r="AM64" s="208">
        <v>66936</v>
      </c>
      <c r="AN64" s="208">
        <v>7437</v>
      </c>
      <c r="AO64" s="208">
        <v>743731</v>
      </c>
      <c r="AP64" s="208">
        <v>-279927</v>
      </c>
      <c r="AQ64" s="208">
        <v>-223942</v>
      </c>
      <c r="AR64" s="208">
        <v>-50387</v>
      </c>
      <c r="AS64" s="208">
        <v>-5599</v>
      </c>
      <c r="AT64" s="208">
        <v>-559855</v>
      </c>
      <c r="AU64" s="208">
        <v>-283388</v>
      </c>
      <c r="AV64" s="208">
        <v>-226711</v>
      </c>
      <c r="AW64" s="208">
        <v>-51010</v>
      </c>
      <c r="AX64" s="208">
        <v>-5668</v>
      </c>
      <c r="AY64" s="208">
        <v>-566777</v>
      </c>
      <c r="AZ64" s="208">
        <v>81624</v>
      </c>
      <c r="BA64" s="208">
        <v>65299</v>
      </c>
      <c r="BB64" s="208">
        <v>14692</v>
      </c>
      <c r="BC64" s="208">
        <v>1632</v>
      </c>
      <c r="BD64" s="208">
        <v>163247</v>
      </c>
      <c r="BE64" s="208">
        <v>-56593</v>
      </c>
      <c r="BF64" s="208">
        <v>-45275</v>
      </c>
      <c r="BG64" s="208">
        <v>-10187</v>
      </c>
      <c r="BH64" s="208">
        <v>-1132</v>
      </c>
      <c r="BI64" s="208">
        <v>-113187</v>
      </c>
      <c r="BJ64" s="208">
        <v>-258357</v>
      </c>
      <c r="BK64" s="208">
        <v>-206687</v>
      </c>
      <c r="BL64" s="208">
        <v>-46505</v>
      </c>
      <c r="BM64" s="208">
        <v>-5168</v>
      </c>
      <c r="BN64" s="208">
        <v>-516717</v>
      </c>
      <c r="BO64" s="208">
        <v>-1102550</v>
      </c>
      <c r="BP64" s="208">
        <v>-882040</v>
      </c>
      <c r="BQ64" s="208">
        <v>-198459</v>
      </c>
      <c r="BR64" s="208">
        <v>-22051</v>
      </c>
      <c r="BS64" s="208">
        <v>-2205100</v>
      </c>
      <c r="BT64" s="208">
        <v>-939942</v>
      </c>
      <c r="BU64" s="208">
        <v>-751954</v>
      </c>
      <c r="BV64" s="208">
        <v>-169190</v>
      </c>
      <c r="BW64" s="208">
        <v>-18799</v>
      </c>
      <c r="BX64" s="208">
        <v>-1879885</v>
      </c>
      <c r="BY64" s="208">
        <v>-162608</v>
      </c>
      <c r="BZ64" s="208">
        <v>-130086</v>
      </c>
      <c r="CA64" s="208">
        <v>-29269</v>
      </c>
      <c r="CB64" s="208">
        <v>-3252</v>
      </c>
      <c r="CC64" s="208">
        <v>-325215</v>
      </c>
      <c r="CD64" s="208">
        <v>372828</v>
      </c>
      <c r="CE64" s="208">
        <v>298263</v>
      </c>
      <c r="CF64" s="208">
        <v>67109</v>
      </c>
      <c r="CG64" s="208">
        <v>7457</v>
      </c>
      <c r="CH64" s="208">
        <v>745657</v>
      </c>
      <c r="CI64" s="208">
        <v>0</v>
      </c>
      <c r="CJ64" s="208">
        <v>0</v>
      </c>
      <c r="CK64" s="208">
        <v>0</v>
      </c>
      <c r="CL64" s="208">
        <v>0</v>
      </c>
      <c r="CM64" s="208">
        <v>0</v>
      </c>
      <c r="CN64" s="208">
        <v>86047</v>
      </c>
      <c r="CO64" s="208">
        <v>68838</v>
      </c>
      <c r="CP64" s="208">
        <v>15488</v>
      </c>
      <c r="CQ64" s="208">
        <v>1721</v>
      </c>
      <c r="CR64" s="208">
        <v>172094</v>
      </c>
      <c r="CS64" s="208">
        <v>-830775</v>
      </c>
      <c r="CT64" s="208">
        <v>-664620</v>
      </c>
      <c r="CU64" s="208">
        <v>-149540</v>
      </c>
      <c r="CV64" s="208">
        <v>-16616</v>
      </c>
      <c r="CW64" s="208">
        <v>-1661551</v>
      </c>
      <c r="CX64" s="208">
        <v>-1474450</v>
      </c>
      <c r="CY64" s="208">
        <v>-1179559</v>
      </c>
      <c r="CZ64" s="208">
        <v>-265402</v>
      </c>
      <c r="DA64" s="208">
        <v>-29489</v>
      </c>
      <c r="DB64" s="208">
        <v>-2948900</v>
      </c>
      <c r="DC64" s="208">
        <v>-481067</v>
      </c>
      <c r="DD64" s="208">
        <v>-384853</v>
      </c>
      <c r="DE64" s="208">
        <v>-86593</v>
      </c>
      <c r="DF64" s="208">
        <v>-9621</v>
      </c>
      <c r="DG64" s="208">
        <v>-962134</v>
      </c>
      <c r="DH64" s="208">
        <v>-993383</v>
      </c>
      <c r="DI64" s="208">
        <v>-794706</v>
      </c>
      <c r="DJ64" s="208">
        <v>-178809</v>
      </c>
      <c r="DK64" s="208">
        <v>-19868</v>
      </c>
      <c r="DL64" s="208">
        <v>-1986766</v>
      </c>
      <c r="DM64" s="208">
        <v>-707299</v>
      </c>
      <c r="DN64" s="208">
        <v>-565838</v>
      </c>
      <c r="DO64" s="208">
        <v>-127313</v>
      </c>
      <c r="DP64" s="208">
        <v>-14146</v>
      </c>
      <c r="DQ64" s="208">
        <v>-1414596</v>
      </c>
      <c r="DR64" s="208">
        <v>-707297</v>
      </c>
      <c r="DS64" s="208">
        <v>-565838</v>
      </c>
      <c r="DT64" s="208">
        <v>-127313</v>
      </c>
      <c r="DU64" s="208">
        <v>-14146</v>
      </c>
      <c r="DV64" s="208">
        <v>-1414594</v>
      </c>
      <c r="DW64" s="208">
        <v>-2</v>
      </c>
      <c r="DX64" s="208">
        <v>0</v>
      </c>
      <c r="DY64" s="208">
        <v>0</v>
      </c>
      <c r="DZ64" s="208">
        <v>0</v>
      </c>
      <c r="EA64" s="208">
        <v>-2</v>
      </c>
      <c r="EB64" s="208">
        <v>12282884</v>
      </c>
      <c r="EC64" s="208">
        <v>9826308</v>
      </c>
      <c r="ED64" s="208">
        <v>2210919</v>
      </c>
      <c r="EE64" s="208">
        <v>245658</v>
      </c>
      <c r="EF64" s="208">
        <v>24565769</v>
      </c>
      <c r="EG64" s="208">
        <v>11990442</v>
      </c>
      <c r="EH64" s="208">
        <v>9592354</v>
      </c>
      <c r="EI64" s="208">
        <v>2158280</v>
      </c>
      <c r="EJ64" s="208">
        <v>239809</v>
      </c>
      <c r="EK64" s="208">
        <v>23980885</v>
      </c>
      <c r="EL64" s="208">
        <v>-292442</v>
      </c>
      <c r="EM64" s="208">
        <v>-233954</v>
      </c>
      <c r="EN64" s="208">
        <v>-52639</v>
      </c>
      <c r="EO64" s="208">
        <v>-5849</v>
      </c>
      <c r="EP64" s="208">
        <v>-584884</v>
      </c>
      <c r="EQ64" s="208">
        <v>-292444</v>
      </c>
      <c r="ER64" s="208">
        <v>-233954</v>
      </c>
      <c r="ES64" s="208">
        <v>-52639</v>
      </c>
      <c r="ET64" s="208">
        <v>-5849</v>
      </c>
      <c r="EU64" s="208">
        <v>-584886</v>
      </c>
      <c r="EV64" s="666">
        <v>0.5</v>
      </c>
      <c r="EW64" s="666">
        <v>0.4</v>
      </c>
      <c r="EX64" s="666">
        <v>0.09</v>
      </c>
      <c r="EY64" s="666">
        <v>0.01</v>
      </c>
      <c r="EZ64" s="666">
        <v>1</v>
      </c>
      <c r="FA64" s="187" t="s">
        <v>1054</v>
      </c>
      <c r="FC64" s="187">
        <v>0</v>
      </c>
    </row>
    <row r="65" spans="1:159" s="187" customFormat="1" x14ac:dyDescent="0.2">
      <c r="B65" s="429" t="s">
        <v>209</v>
      </c>
      <c r="C65" s="429" t="s">
        <v>208</v>
      </c>
      <c r="D65" s="208">
        <v>10343001</v>
      </c>
      <c r="E65" s="208">
        <v>8274401</v>
      </c>
      <c r="F65" s="208">
        <v>1861740</v>
      </c>
      <c r="G65" s="208">
        <v>206860</v>
      </c>
      <c r="H65" s="208">
        <v>20686002</v>
      </c>
      <c r="I65" s="208">
        <v>0</v>
      </c>
      <c r="J65" s="208">
        <v>0</v>
      </c>
      <c r="K65" s="208">
        <v>10343001</v>
      </c>
      <c r="L65" s="208">
        <v>74984</v>
      </c>
      <c r="M65" s="208">
        <v>74984</v>
      </c>
      <c r="N65" s="208">
        <v>0</v>
      </c>
      <c r="O65" s="208">
        <v>0</v>
      </c>
      <c r="P65" s="208">
        <v>210243</v>
      </c>
      <c r="Q65" s="208">
        <v>0</v>
      </c>
      <c r="R65" s="208">
        <v>210243</v>
      </c>
      <c r="S65" s="208">
        <v>0</v>
      </c>
      <c r="T65" s="208">
        <v>0</v>
      </c>
      <c r="U65" s="208">
        <v>0</v>
      </c>
      <c r="V65" s="208">
        <v>0</v>
      </c>
      <c r="W65" s="208">
        <v>0</v>
      </c>
      <c r="X65" s="208">
        <v>0</v>
      </c>
      <c r="Y65" s="208">
        <v>0</v>
      </c>
      <c r="Z65" s="208">
        <v>0</v>
      </c>
      <c r="AA65" s="208">
        <v>0</v>
      </c>
      <c r="AB65" s="208">
        <v>0</v>
      </c>
      <c r="AC65" s="208">
        <v>0</v>
      </c>
      <c r="AD65" s="208">
        <v>0</v>
      </c>
      <c r="AE65" s="208">
        <v>0</v>
      </c>
      <c r="AF65" s="208">
        <v>0</v>
      </c>
      <c r="AG65" s="208">
        <v>926297</v>
      </c>
      <c r="AH65" s="208">
        <v>207333</v>
      </c>
      <c r="AI65" s="208">
        <v>23038</v>
      </c>
      <c r="AJ65" s="208">
        <v>1156668</v>
      </c>
      <c r="AK65" s="208">
        <v>361121</v>
      </c>
      <c r="AL65" s="208">
        <v>288897</v>
      </c>
      <c r="AM65" s="208">
        <v>65002</v>
      </c>
      <c r="AN65" s="208">
        <v>7222</v>
      </c>
      <c r="AO65" s="208">
        <v>722242</v>
      </c>
      <c r="AP65" s="208">
        <v>-404364</v>
      </c>
      <c r="AQ65" s="208">
        <v>-323491</v>
      </c>
      <c r="AR65" s="208">
        <v>-72786</v>
      </c>
      <c r="AS65" s="208">
        <v>-8087</v>
      </c>
      <c r="AT65" s="208">
        <v>-808728</v>
      </c>
      <c r="AU65" s="208">
        <v>-147788.49</v>
      </c>
      <c r="AV65" s="208">
        <v>-118231</v>
      </c>
      <c r="AW65" s="208">
        <v>-26602</v>
      </c>
      <c r="AX65" s="208">
        <v>-2956</v>
      </c>
      <c r="AY65" s="208">
        <v>-295577.49</v>
      </c>
      <c r="AZ65" s="208">
        <v>57922</v>
      </c>
      <c r="BA65" s="208">
        <v>46338</v>
      </c>
      <c r="BB65" s="208">
        <v>10426</v>
      </c>
      <c r="BC65" s="208">
        <v>1158</v>
      </c>
      <c r="BD65" s="208">
        <v>115844</v>
      </c>
      <c r="BE65" s="208">
        <v>-57166</v>
      </c>
      <c r="BF65" s="208">
        <v>-45732</v>
      </c>
      <c r="BG65" s="208">
        <v>-10290</v>
      </c>
      <c r="BH65" s="208">
        <v>-1143</v>
      </c>
      <c r="BI65" s="208">
        <v>-114331</v>
      </c>
      <c r="BJ65" s="208">
        <v>-147032.49</v>
      </c>
      <c r="BK65" s="208">
        <v>-117625</v>
      </c>
      <c r="BL65" s="208">
        <v>-26466</v>
      </c>
      <c r="BM65" s="208">
        <v>-2941</v>
      </c>
      <c r="BN65" s="208">
        <v>-294064.49</v>
      </c>
      <c r="BO65" s="208">
        <v>-500000</v>
      </c>
      <c r="BP65" s="208">
        <v>-400000</v>
      </c>
      <c r="BQ65" s="208">
        <v>-90000</v>
      </c>
      <c r="BR65" s="208">
        <v>-10000</v>
      </c>
      <c r="BS65" s="208">
        <v>-1000000</v>
      </c>
      <c r="BT65" s="208">
        <v>-298102</v>
      </c>
      <c r="BU65" s="208">
        <v>-238481</v>
      </c>
      <c r="BV65" s="208">
        <v>-53658</v>
      </c>
      <c r="BW65" s="208">
        <v>-5962</v>
      </c>
      <c r="BX65" s="208">
        <v>-596203</v>
      </c>
      <c r="BY65" s="208">
        <v>-201898</v>
      </c>
      <c r="BZ65" s="208">
        <v>-161519</v>
      </c>
      <c r="CA65" s="208">
        <v>-36342</v>
      </c>
      <c r="CB65" s="208">
        <v>-4038</v>
      </c>
      <c r="CC65" s="208">
        <v>-403797</v>
      </c>
      <c r="CD65" s="208">
        <v>92439</v>
      </c>
      <c r="CE65" s="208">
        <v>73951</v>
      </c>
      <c r="CF65" s="208">
        <v>16639</v>
      </c>
      <c r="CG65" s="208">
        <v>1849</v>
      </c>
      <c r="CH65" s="208">
        <v>184878</v>
      </c>
      <c r="CI65" s="208">
        <v>0</v>
      </c>
      <c r="CJ65" s="208">
        <v>0</v>
      </c>
      <c r="CK65" s="208">
        <v>0</v>
      </c>
      <c r="CL65" s="208">
        <v>0</v>
      </c>
      <c r="CM65" s="208">
        <v>0</v>
      </c>
      <c r="CN65" s="208">
        <v>0</v>
      </c>
      <c r="CO65" s="208">
        <v>0</v>
      </c>
      <c r="CP65" s="208">
        <v>0</v>
      </c>
      <c r="CQ65" s="208">
        <v>0</v>
      </c>
      <c r="CR65" s="208">
        <v>0</v>
      </c>
      <c r="CS65" s="208">
        <v>-116034</v>
      </c>
      <c r="CT65" s="208">
        <v>-92827</v>
      </c>
      <c r="CU65" s="208">
        <v>-20886</v>
      </c>
      <c r="CV65" s="208">
        <v>-2321</v>
      </c>
      <c r="CW65" s="208">
        <v>-232068</v>
      </c>
      <c r="CX65" s="208">
        <v>-523595</v>
      </c>
      <c r="CY65" s="208">
        <v>-418876</v>
      </c>
      <c r="CZ65" s="208">
        <v>-94247</v>
      </c>
      <c r="DA65" s="208">
        <v>-10472</v>
      </c>
      <c r="DB65" s="208">
        <v>-1047190</v>
      </c>
      <c r="DC65" s="208">
        <v>-205663</v>
      </c>
      <c r="DD65" s="208">
        <v>-164530</v>
      </c>
      <c r="DE65" s="208">
        <v>-37019</v>
      </c>
      <c r="DF65" s="208">
        <v>-4113</v>
      </c>
      <c r="DG65" s="208">
        <v>-411325</v>
      </c>
      <c r="DH65" s="208">
        <v>-317932</v>
      </c>
      <c r="DI65" s="208">
        <v>-254346</v>
      </c>
      <c r="DJ65" s="208">
        <v>-57228</v>
      </c>
      <c r="DK65" s="208">
        <v>-6359</v>
      </c>
      <c r="DL65" s="208">
        <v>-635865</v>
      </c>
      <c r="DM65" s="208">
        <v>610222</v>
      </c>
      <c r="DN65" s="208">
        <v>488177</v>
      </c>
      <c r="DO65" s="208">
        <v>109841</v>
      </c>
      <c r="DP65" s="208">
        <v>12204</v>
      </c>
      <c r="DQ65" s="208">
        <v>1220444</v>
      </c>
      <c r="DR65" s="208">
        <v>314962</v>
      </c>
      <c r="DS65" s="208">
        <v>251970</v>
      </c>
      <c r="DT65" s="208">
        <v>56693</v>
      </c>
      <c r="DU65" s="208">
        <v>6299</v>
      </c>
      <c r="DV65" s="208">
        <v>629924</v>
      </c>
      <c r="DW65" s="208">
        <v>295260</v>
      </c>
      <c r="DX65" s="208">
        <v>236207</v>
      </c>
      <c r="DY65" s="208">
        <v>53148</v>
      </c>
      <c r="DZ65" s="208">
        <v>5905</v>
      </c>
      <c r="EA65" s="208">
        <v>590520</v>
      </c>
      <c r="EB65" s="208">
        <v>10302784</v>
      </c>
      <c r="EC65" s="208">
        <v>8242228</v>
      </c>
      <c r="ED65" s="208">
        <v>1854501</v>
      </c>
      <c r="EE65" s="208">
        <v>206056</v>
      </c>
      <c r="EF65" s="208">
        <v>20605569</v>
      </c>
      <c r="EG65" s="208">
        <v>10343001</v>
      </c>
      <c r="EH65" s="208">
        <v>8274401</v>
      </c>
      <c r="EI65" s="208">
        <v>1861740</v>
      </c>
      <c r="EJ65" s="208">
        <v>206860</v>
      </c>
      <c r="EK65" s="208">
        <v>20686002</v>
      </c>
      <c r="EL65" s="208">
        <v>40217</v>
      </c>
      <c r="EM65" s="208">
        <v>32173</v>
      </c>
      <c r="EN65" s="208">
        <v>7239</v>
      </c>
      <c r="EO65" s="208">
        <v>804</v>
      </c>
      <c r="EP65" s="208">
        <v>80433</v>
      </c>
      <c r="EQ65" s="208">
        <v>335477</v>
      </c>
      <c r="ER65" s="208">
        <v>268380</v>
      </c>
      <c r="ES65" s="208">
        <v>60387</v>
      </c>
      <c r="ET65" s="208">
        <v>6709</v>
      </c>
      <c r="EU65" s="208">
        <v>670953</v>
      </c>
      <c r="EV65" s="666">
        <v>0.5</v>
      </c>
      <c r="EW65" s="666">
        <v>0.4</v>
      </c>
      <c r="EX65" s="666">
        <v>0.09</v>
      </c>
      <c r="EY65" s="666">
        <v>0.01</v>
      </c>
      <c r="EZ65" s="666">
        <v>1</v>
      </c>
      <c r="FA65" s="187" t="s">
        <v>1054</v>
      </c>
      <c r="FC65" s="187">
        <v>0</v>
      </c>
    </row>
    <row r="66" spans="1:159" s="187" customFormat="1" x14ac:dyDescent="0.2">
      <c r="B66" s="429" t="s">
        <v>211</v>
      </c>
      <c r="C66" s="429" t="s">
        <v>210</v>
      </c>
      <c r="D66" s="208">
        <v>0</v>
      </c>
      <c r="E66" s="208">
        <v>757893750</v>
      </c>
      <c r="F66" s="208">
        <v>426315235</v>
      </c>
      <c r="G66" s="208">
        <v>0</v>
      </c>
      <c r="H66" s="208">
        <v>1184208985</v>
      </c>
      <c r="I66" s="208">
        <v>0</v>
      </c>
      <c r="J66" s="208">
        <v>0</v>
      </c>
      <c r="K66" s="208">
        <v>0</v>
      </c>
      <c r="L66" s="208">
        <v>1982843</v>
      </c>
      <c r="M66" s="208">
        <v>1982843</v>
      </c>
      <c r="N66" s="208">
        <v>0</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20365348</v>
      </c>
      <c r="AH66" s="208">
        <v>11455508</v>
      </c>
      <c r="AI66" s="208">
        <v>0</v>
      </c>
      <c r="AJ66" s="208">
        <v>31820856</v>
      </c>
      <c r="AK66" s="208">
        <v>0</v>
      </c>
      <c r="AL66" s="208">
        <v>16003542</v>
      </c>
      <c r="AM66" s="208">
        <v>9001993</v>
      </c>
      <c r="AN66" s="208">
        <v>0</v>
      </c>
      <c r="AO66" s="208">
        <v>25005535</v>
      </c>
      <c r="AP66" s="208">
        <v>0</v>
      </c>
      <c r="AQ66" s="208">
        <v>-71368525</v>
      </c>
      <c r="AR66" s="208">
        <v>-40144796</v>
      </c>
      <c r="AS66" s="208">
        <v>0</v>
      </c>
      <c r="AT66" s="208">
        <v>-111513321</v>
      </c>
      <c r="AU66" s="208">
        <v>0</v>
      </c>
      <c r="AV66" s="208">
        <v>-6213970</v>
      </c>
      <c r="AW66" s="208">
        <v>-3495358</v>
      </c>
      <c r="AX66" s="208">
        <v>0</v>
      </c>
      <c r="AY66" s="208">
        <v>-9709328</v>
      </c>
      <c r="AZ66" s="208">
        <v>0</v>
      </c>
      <c r="BA66" s="208">
        <v>2186750</v>
      </c>
      <c r="BB66" s="208">
        <v>1230047</v>
      </c>
      <c r="BC66" s="208">
        <v>0</v>
      </c>
      <c r="BD66" s="208">
        <v>3416797</v>
      </c>
      <c r="BE66" s="208">
        <v>0</v>
      </c>
      <c r="BF66" s="208">
        <v>-1882954</v>
      </c>
      <c r="BG66" s="208">
        <v>-1059161</v>
      </c>
      <c r="BH66" s="208">
        <v>0</v>
      </c>
      <c r="BI66" s="208">
        <v>-2942115</v>
      </c>
      <c r="BJ66" s="208">
        <v>0</v>
      </c>
      <c r="BK66" s="208">
        <v>-5910174</v>
      </c>
      <c r="BL66" s="208">
        <v>-3324472</v>
      </c>
      <c r="BM66" s="208">
        <v>0</v>
      </c>
      <c r="BN66" s="208">
        <v>-9234646</v>
      </c>
      <c r="BO66" s="208">
        <v>0</v>
      </c>
      <c r="BP66" s="208">
        <v>-120357612</v>
      </c>
      <c r="BQ66" s="208">
        <v>-67701156</v>
      </c>
      <c r="BR66" s="208">
        <v>0</v>
      </c>
      <c r="BS66" s="208">
        <v>-188058768</v>
      </c>
      <c r="BT66" s="208">
        <v>0</v>
      </c>
      <c r="BU66" s="208">
        <v>-56919720</v>
      </c>
      <c r="BV66" s="208">
        <v>-32017343</v>
      </c>
      <c r="BW66" s="208">
        <v>0</v>
      </c>
      <c r="BX66" s="208">
        <v>-88937063</v>
      </c>
      <c r="BY66" s="208">
        <v>0</v>
      </c>
      <c r="BZ66" s="208">
        <v>-63437891</v>
      </c>
      <c r="CA66" s="208">
        <v>-35683814</v>
      </c>
      <c r="CB66" s="208">
        <v>0</v>
      </c>
      <c r="CC66" s="208">
        <v>-99121705</v>
      </c>
      <c r="CD66" s="208">
        <v>0</v>
      </c>
      <c r="CE66" s="208">
        <v>23986326</v>
      </c>
      <c r="CF66" s="208">
        <v>13492309</v>
      </c>
      <c r="CG66" s="208">
        <v>0</v>
      </c>
      <c r="CH66" s="208">
        <v>37478635</v>
      </c>
      <c r="CI66" s="208">
        <v>0</v>
      </c>
      <c r="CJ66" s="208">
        <v>24703132</v>
      </c>
      <c r="CK66" s="208">
        <v>13895512</v>
      </c>
      <c r="CL66" s="208">
        <v>0</v>
      </c>
      <c r="CM66" s="208">
        <v>38598644</v>
      </c>
      <c r="CN66" s="208">
        <v>0</v>
      </c>
      <c r="CO66" s="208">
        <v>7679023</v>
      </c>
      <c r="CP66" s="208">
        <v>4319450</v>
      </c>
      <c r="CQ66" s="208">
        <v>0</v>
      </c>
      <c r="CR66" s="208">
        <v>11998473</v>
      </c>
      <c r="CS66" s="208">
        <v>0</v>
      </c>
      <c r="CT66" s="208">
        <v>-7679023</v>
      </c>
      <c r="CU66" s="208">
        <v>-4319450</v>
      </c>
      <c r="CV66" s="208">
        <v>0</v>
      </c>
      <c r="CW66" s="208">
        <v>-11998473</v>
      </c>
      <c r="CX66" s="208">
        <v>0</v>
      </c>
      <c r="CY66" s="208">
        <v>-71668154</v>
      </c>
      <c r="CZ66" s="208">
        <v>-40313335</v>
      </c>
      <c r="DA66" s="208">
        <v>0</v>
      </c>
      <c r="DB66" s="208">
        <v>-111981489</v>
      </c>
      <c r="DC66" s="208">
        <v>0</v>
      </c>
      <c r="DD66" s="208">
        <v>-25254371</v>
      </c>
      <c r="DE66" s="208">
        <v>-14205584</v>
      </c>
      <c r="DF66" s="208">
        <v>0</v>
      </c>
      <c r="DG66" s="208">
        <v>-39459955</v>
      </c>
      <c r="DH66" s="208">
        <v>0</v>
      </c>
      <c r="DI66" s="208">
        <v>-46413782</v>
      </c>
      <c r="DJ66" s="208">
        <v>-26107752</v>
      </c>
      <c r="DK66" s="208">
        <v>0</v>
      </c>
      <c r="DL66" s="208">
        <v>-72521534</v>
      </c>
      <c r="DM66" s="208">
        <v>-2857837</v>
      </c>
      <c r="DN66" s="208">
        <v>5674162</v>
      </c>
      <c r="DO66" s="208">
        <v>16097550</v>
      </c>
      <c r="DP66" s="208">
        <v>0</v>
      </c>
      <c r="DQ66" s="208">
        <v>18913875</v>
      </c>
      <c r="DR66" s="208">
        <v>6870421</v>
      </c>
      <c r="DS66" s="208">
        <v>6272453</v>
      </c>
      <c r="DT66" s="208">
        <v>7765302</v>
      </c>
      <c r="DU66" s="208">
        <v>0</v>
      </c>
      <c r="DV66" s="208">
        <v>20908176</v>
      </c>
      <c r="DW66" s="208">
        <v>-9728258</v>
      </c>
      <c r="DX66" s="208">
        <v>-598291</v>
      </c>
      <c r="DY66" s="208">
        <v>8332248</v>
      </c>
      <c r="DZ66" s="208">
        <v>0</v>
      </c>
      <c r="EA66" s="208">
        <v>-1994301</v>
      </c>
      <c r="EB66" s="208">
        <v>0</v>
      </c>
      <c r="EC66" s="208">
        <v>727542649</v>
      </c>
      <c r="ED66" s="208">
        <v>409242740</v>
      </c>
      <c r="EE66" s="208">
        <v>0</v>
      </c>
      <c r="EF66" s="208">
        <v>1136785389</v>
      </c>
      <c r="EG66" s="208">
        <v>0</v>
      </c>
      <c r="EH66" s="208">
        <v>757893750</v>
      </c>
      <c r="EI66" s="208">
        <v>426315235</v>
      </c>
      <c r="EJ66" s="208">
        <v>0</v>
      </c>
      <c r="EK66" s="208">
        <v>1184208985</v>
      </c>
      <c r="EL66" s="208">
        <v>0</v>
      </c>
      <c r="EM66" s="208">
        <v>30351101</v>
      </c>
      <c r="EN66" s="208">
        <v>17072495</v>
      </c>
      <c r="EO66" s="208">
        <v>0</v>
      </c>
      <c r="EP66" s="208">
        <v>47423596</v>
      </c>
      <c r="EQ66" s="208">
        <v>-9728258</v>
      </c>
      <c r="ER66" s="208">
        <v>29752810</v>
      </c>
      <c r="ES66" s="208">
        <v>25404743</v>
      </c>
      <c r="ET66" s="208">
        <v>0</v>
      </c>
      <c r="EU66" s="208">
        <v>45429295</v>
      </c>
      <c r="EV66" s="666">
        <v>0</v>
      </c>
      <c r="EW66" s="666">
        <v>0.64</v>
      </c>
      <c r="EX66" s="666">
        <v>0.36</v>
      </c>
      <c r="EY66" s="666">
        <v>0</v>
      </c>
      <c r="EZ66" s="666">
        <v>1</v>
      </c>
      <c r="FA66" s="187" t="s">
        <v>1057</v>
      </c>
      <c r="FC66" s="187">
        <v>0</v>
      </c>
    </row>
    <row r="67" spans="1:159" s="187" customFormat="1" x14ac:dyDescent="0.2">
      <c r="B67" s="429" t="s">
        <v>213</v>
      </c>
      <c r="C67" s="429" t="s">
        <v>212</v>
      </c>
      <c r="D67" s="208">
        <v>29613636</v>
      </c>
      <c r="E67" s="208">
        <v>23690910</v>
      </c>
      <c r="F67" s="208">
        <v>5330455</v>
      </c>
      <c r="G67" s="208">
        <v>592273</v>
      </c>
      <c r="H67" s="208">
        <v>59227274</v>
      </c>
      <c r="I67" s="208">
        <v>0</v>
      </c>
      <c r="J67" s="208">
        <v>0</v>
      </c>
      <c r="K67" s="208">
        <v>29613636</v>
      </c>
      <c r="L67" s="208">
        <v>237632</v>
      </c>
      <c r="M67" s="208">
        <v>237632</v>
      </c>
      <c r="N67" s="208">
        <v>0</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2461744</v>
      </c>
      <c r="AH67" s="208">
        <v>553892</v>
      </c>
      <c r="AI67" s="208">
        <v>61544</v>
      </c>
      <c r="AJ67" s="208">
        <v>3077180</v>
      </c>
      <c r="AK67" s="208">
        <v>963566</v>
      </c>
      <c r="AL67" s="208">
        <v>770852</v>
      </c>
      <c r="AM67" s="208">
        <v>173442</v>
      </c>
      <c r="AN67" s="208">
        <v>19271</v>
      </c>
      <c r="AO67" s="208">
        <v>1927131</v>
      </c>
      <c r="AP67" s="208">
        <v>-559212</v>
      </c>
      <c r="AQ67" s="208">
        <v>-447370</v>
      </c>
      <c r="AR67" s="208">
        <v>-100658</v>
      </c>
      <c r="AS67" s="208">
        <v>-11184</v>
      </c>
      <c r="AT67" s="208">
        <v>-1118424</v>
      </c>
      <c r="AU67" s="208">
        <v>-551523</v>
      </c>
      <c r="AV67" s="208">
        <v>-441218</v>
      </c>
      <c r="AW67" s="208">
        <v>-99274</v>
      </c>
      <c r="AX67" s="208">
        <v>-11030</v>
      </c>
      <c r="AY67" s="208">
        <v>-1103045</v>
      </c>
      <c r="AZ67" s="208">
        <v>179495</v>
      </c>
      <c r="BA67" s="208">
        <v>143596</v>
      </c>
      <c r="BB67" s="208">
        <v>32309</v>
      </c>
      <c r="BC67" s="208">
        <v>3590</v>
      </c>
      <c r="BD67" s="208">
        <v>358990</v>
      </c>
      <c r="BE67" s="208">
        <v>-177704</v>
      </c>
      <c r="BF67" s="208">
        <v>-142163</v>
      </c>
      <c r="BG67" s="208">
        <v>-31987</v>
      </c>
      <c r="BH67" s="208">
        <v>-3554</v>
      </c>
      <c r="BI67" s="208">
        <v>-355408</v>
      </c>
      <c r="BJ67" s="208">
        <v>-549732</v>
      </c>
      <c r="BK67" s="208">
        <v>-439785</v>
      </c>
      <c r="BL67" s="208">
        <v>-98952</v>
      </c>
      <c r="BM67" s="208">
        <v>-10994</v>
      </c>
      <c r="BN67" s="208">
        <v>-1099463</v>
      </c>
      <c r="BO67" s="208">
        <v>-2882302</v>
      </c>
      <c r="BP67" s="208">
        <v>-2305841</v>
      </c>
      <c r="BQ67" s="208">
        <v>-518814</v>
      </c>
      <c r="BR67" s="208">
        <v>-57646</v>
      </c>
      <c r="BS67" s="208">
        <v>-5764603</v>
      </c>
      <c r="BT67" s="208">
        <v>0</v>
      </c>
      <c r="BU67" s="208">
        <v>0</v>
      </c>
      <c r="BV67" s="208">
        <v>0</v>
      </c>
      <c r="BW67" s="208">
        <v>0</v>
      </c>
      <c r="BX67" s="208">
        <v>0</v>
      </c>
      <c r="BY67" s="208">
        <v>-2882302</v>
      </c>
      <c r="BZ67" s="208">
        <v>-2305841</v>
      </c>
      <c r="CA67" s="208">
        <v>-518814</v>
      </c>
      <c r="CB67" s="208">
        <v>-57646</v>
      </c>
      <c r="CC67" s="208">
        <v>-5764603</v>
      </c>
      <c r="CD67" s="208">
        <v>306143</v>
      </c>
      <c r="CE67" s="208">
        <v>244914</v>
      </c>
      <c r="CF67" s="208">
        <v>55106</v>
      </c>
      <c r="CG67" s="208">
        <v>6123</v>
      </c>
      <c r="CH67" s="208">
        <v>612286</v>
      </c>
      <c r="CI67" s="208">
        <v>109224</v>
      </c>
      <c r="CJ67" s="208">
        <v>87380</v>
      </c>
      <c r="CK67" s="208">
        <v>19661</v>
      </c>
      <c r="CL67" s="208">
        <v>2185</v>
      </c>
      <c r="CM67" s="208">
        <v>218450</v>
      </c>
      <c r="CN67" s="208">
        <v>-912946</v>
      </c>
      <c r="CO67" s="208">
        <v>-730357</v>
      </c>
      <c r="CP67" s="208">
        <v>-164330</v>
      </c>
      <c r="CQ67" s="208">
        <v>-18259</v>
      </c>
      <c r="CR67" s="208">
        <v>-1825892</v>
      </c>
      <c r="CS67" s="208">
        <v>-1841806</v>
      </c>
      <c r="CT67" s="208">
        <v>-1473445</v>
      </c>
      <c r="CU67" s="208">
        <v>-331525</v>
      </c>
      <c r="CV67" s="208">
        <v>-36836</v>
      </c>
      <c r="CW67" s="208">
        <v>-3683612</v>
      </c>
      <c r="CX67" s="208">
        <v>-5221687</v>
      </c>
      <c r="CY67" s="208">
        <v>-4177349</v>
      </c>
      <c r="CZ67" s="208">
        <v>-939902</v>
      </c>
      <c r="DA67" s="208">
        <v>-104433</v>
      </c>
      <c r="DB67" s="208">
        <v>-10443371</v>
      </c>
      <c r="DC67" s="208">
        <v>-606803</v>
      </c>
      <c r="DD67" s="208">
        <v>-485443</v>
      </c>
      <c r="DE67" s="208">
        <v>-109224</v>
      </c>
      <c r="DF67" s="208">
        <v>-12136</v>
      </c>
      <c r="DG67" s="208">
        <v>-1213606</v>
      </c>
      <c r="DH67" s="208">
        <v>-4614884</v>
      </c>
      <c r="DI67" s="208">
        <v>-3691906</v>
      </c>
      <c r="DJ67" s="208">
        <v>-830678</v>
      </c>
      <c r="DK67" s="208">
        <v>-92297</v>
      </c>
      <c r="DL67" s="208">
        <v>-9229765</v>
      </c>
      <c r="DM67" s="208">
        <v>1131964</v>
      </c>
      <c r="DN67" s="208">
        <v>905569</v>
      </c>
      <c r="DO67" s="208">
        <v>203754</v>
      </c>
      <c r="DP67" s="208">
        <v>22638</v>
      </c>
      <c r="DQ67" s="208">
        <v>2263925</v>
      </c>
      <c r="DR67" s="208">
        <v>747111</v>
      </c>
      <c r="DS67" s="208">
        <v>597689</v>
      </c>
      <c r="DT67" s="208">
        <v>134480</v>
      </c>
      <c r="DU67" s="208">
        <v>14942</v>
      </c>
      <c r="DV67" s="208">
        <v>1494222</v>
      </c>
      <c r="DW67" s="208">
        <v>384853</v>
      </c>
      <c r="DX67" s="208">
        <v>307880</v>
      </c>
      <c r="DY67" s="208">
        <v>69274</v>
      </c>
      <c r="DZ67" s="208">
        <v>7696</v>
      </c>
      <c r="EA67" s="208">
        <v>769703</v>
      </c>
      <c r="EB67" s="208">
        <v>30944438</v>
      </c>
      <c r="EC67" s="208">
        <v>24755551</v>
      </c>
      <c r="ED67" s="208">
        <v>5569999</v>
      </c>
      <c r="EE67" s="208">
        <v>618889</v>
      </c>
      <c r="EF67" s="208">
        <v>61888877</v>
      </c>
      <c r="EG67" s="208">
        <v>29613636</v>
      </c>
      <c r="EH67" s="208">
        <v>23690910</v>
      </c>
      <c r="EI67" s="208">
        <v>5330455</v>
      </c>
      <c r="EJ67" s="208">
        <v>592273</v>
      </c>
      <c r="EK67" s="208">
        <v>59227274</v>
      </c>
      <c r="EL67" s="208">
        <v>-1330802</v>
      </c>
      <c r="EM67" s="208">
        <v>-1064641</v>
      </c>
      <c r="EN67" s="208">
        <v>-239544</v>
      </c>
      <c r="EO67" s="208">
        <v>-26616</v>
      </c>
      <c r="EP67" s="208">
        <v>-2661603</v>
      </c>
      <c r="EQ67" s="208">
        <v>-945949</v>
      </c>
      <c r="ER67" s="208">
        <v>-756761</v>
      </c>
      <c r="ES67" s="208">
        <v>-170270</v>
      </c>
      <c r="ET67" s="208">
        <v>-18920</v>
      </c>
      <c r="EU67" s="208">
        <v>-1891900</v>
      </c>
      <c r="EV67" s="666">
        <v>0.5</v>
      </c>
      <c r="EW67" s="666">
        <v>0.4</v>
      </c>
      <c r="EX67" s="666">
        <v>0.09</v>
      </c>
      <c r="EY67" s="666">
        <v>0.01</v>
      </c>
      <c r="EZ67" s="666">
        <v>1</v>
      </c>
      <c r="FA67" s="187" t="s">
        <v>1054</v>
      </c>
      <c r="FC67" s="187">
        <v>0</v>
      </c>
    </row>
    <row r="68" spans="1:159" s="187" customFormat="1" x14ac:dyDescent="0.2">
      <c r="A68" s="187" t="s">
        <v>1811</v>
      </c>
      <c r="B68" s="429" t="s">
        <v>215</v>
      </c>
      <c r="C68" s="429" t="s">
        <v>214</v>
      </c>
      <c r="D68" s="208">
        <v>19428577</v>
      </c>
      <c r="E68" s="208">
        <v>15542861</v>
      </c>
      <c r="F68" s="208">
        <v>3885715</v>
      </c>
      <c r="G68" s="208">
        <v>0</v>
      </c>
      <c r="H68" s="208">
        <v>38857153</v>
      </c>
      <c r="I68" s="208">
        <v>0</v>
      </c>
      <c r="J68" s="208">
        <v>0</v>
      </c>
      <c r="K68" s="208">
        <v>19428577</v>
      </c>
      <c r="L68" s="208">
        <v>102511</v>
      </c>
      <c r="M68" s="208">
        <v>102511</v>
      </c>
      <c r="N68" s="208">
        <v>0</v>
      </c>
      <c r="O68" s="208">
        <v>0</v>
      </c>
      <c r="P68" s="208">
        <v>35220</v>
      </c>
      <c r="Q68" s="208">
        <v>0</v>
      </c>
      <c r="R68" s="208">
        <v>35220</v>
      </c>
      <c r="S68" s="208">
        <v>0</v>
      </c>
      <c r="T68" s="208">
        <v>0</v>
      </c>
      <c r="U68" s="208">
        <v>0</v>
      </c>
      <c r="V68" s="208">
        <v>0</v>
      </c>
      <c r="W68" s="208">
        <v>0</v>
      </c>
      <c r="X68" s="208">
        <v>0</v>
      </c>
      <c r="Y68" s="208">
        <v>0</v>
      </c>
      <c r="Z68" s="208">
        <v>0</v>
      </c>
      <c r="AA68" s="208">
        <v>0</v>
      </c>
      <c r="AB68" s="208">
        <v>0</v>
      </c>
      <c r="AC68" s="208">
        <v>0</v>
      </c>
      <c r="AD68" s="208">
        <v>0</v>
      </c>
      <c r="AE68" s="208">
        <v>0</v>
      </c>
      <c r="AF68" s="208">
        <v>0</v>
      </c>
      <c r="AG68" s="208">
        <v>1078603</v>
      </c>
      <c r="AH68" s="208">
        <v>269449</v>
      </c>
      <c r="AI68" s="208">
        <v>0</v>
      </c>
      <c r="AJ68" s="208">
        <v>1348052</v>
      </c>
      <c r="AK68" s="208">
        <v>310559</v>
      </c>
      <c r="AL68" s="208">
        <v>248448</v>
      </c>
      <c r="AM68" s="208">
        <v>62112</v>
      </c>
      <c r="AN68" s="208">
        <v>0</v>
      </c>
      <c r="AO68" s="208">
        <v>621119</v>
      </c>
      <c r="AP68" s="208">
        <v>-327810</v>
      </c>
      <c r="AQ68" s="208">
        <v>-262248</v>
      </c>
      <c r="AR68" s="208">
        <v>-65562</v>
      </c>
      <c r="AS68" s="208">
        <v>0</v>
      </c>
      <c r="AT68" s="208">
        <v>-655620</v>
      </c>
      <c r="AU68" s="208">
        <v>-92500</v>
      </c>
      <c r="AV68" s="208">
        <v>-74000</v>
      </c>
      <c r="AW68" s="208">
        <v>-18500</v>
      </c>
      <c r="AX68" s="208">
        <v>0</v>
      </c>
      <c r="AY68" s="208">
        <v>-185000</v>
      </c>
      <c r="AZ68" s="208">
        <v>23613</v>
      </c>
      <c r="BA68" s="208">
        <v>18891</v>
      </c>
      <c r="BB68" s="208">
        <v>4723</v>
      </c>
      <c r="BC68" s="208">
        <v>0</v>
      </c>
      <c r="BD68" s="208">
        <v>47227</v>
      </c>
      <c r="BE68" s="208">
        <v>-16513</v>
      </c>
      <c r="BF68" s="208">
        <v>-13211</v>
      </c>
      <c r="BG68" s="208">
        <v>-3303</v>
      </c>
      <c r="BH68" s="208">
        <v>0</v>
      </c>
      <c r="BI68" s="208">
        <v>-33027</v>
      </c>
      <c r="BJ68" s="208">
        <v>-85400</v>
      </c>
      <c r="BK68" s="208">
        <v>-68320</v>
      </c>
      <c r="BL68" s="208">
        <v>-17080</v>
      </c>
      <c r="BM68" s="208">
        <v>0</v>
      </c>
      <c r="BN68" s="208">
        <v>-170800</v>
      </c>
      <c r="BO68" s="208">
        <v>-2925293</v>
      </c>
      <c r="BP68" s="208">
        <v>-2340234</v>
      </c>
      <c r="BQ68" s="208">
        <v>-585059</v>
      </c>
      <c r="BR68" s="208">
        <v>0</v>
      </c>
      <c r="BS68" s="208">
        <v>-5850586</v>
      </c>
      <c r="BT68" s="208">
        <v>-461317</v>
      </c>
      <c r="BU68" s="208">
        <v>-369054</v>
      </c>
      <c r="BV68" s="208">
        <v>-92263</v>
      </c>
      <c r="BW68" s="208">
        <v>0</v>
      </c>
      <c r="BX68" s="208">
        <v>-922634</v>
      </c>
      <c r="BY68" s="208">
        <v>-2463976</v>
      </c>
      <c r="BZ68" s="208">
        <v>-1971181</v>
      </c>
      <c r="CA68" s="208">
        <v>-492795</v>
      </c>
      <c r="CB68" s="208">
        <v>0</v>
      </c>
      <c r="CC68" s="208">
        <v>-4927952</v>
      </c>
      <c r="CD68" s="208">
        <v>186914</v>
      </c>
      <c r="CE68" s="208">
        <v>149531</v>
      </c>
      <c r="CF68" s="208">
        <v>37383</v>
      </c>
      <c r="CG68" s="208">
        <v>0</v>
      </c>
      <c r="CH68" s="208">
        <v>373828</v>
      </c>
      <c r="CI68" s="208">
        <v>45416</v>
      </c>
      <c r="CJ68" s="208">
        <v>36333</v>
      </c>
      <c r="CK68" s="208">
        <v>9083</v>
      </c>
      <c r="CL68" s="208">
        <v>0</v>
      </c>
      <c r="CM68" s="208">
        <v>90832</v>
      </c>
      <c r="CN68" s="208">
        <v>115309</v>
      </c>
      <c r="CO68" s="208">
        <v>92247</v>
      </c>
      <c r="CP68" s="208">
        <v>23062</v>
      </c>
      <c r="CQ68" s="208">
        <v>0</v>
      </c>
      <c r="CR68" s="208">
        <v>230618</v>
      </c>
      <c r="CS68" s="208">
        <v>745924</v>
      </c>
      <c r="CT68" s="208">
        <v>596739</v>
      </c>
      <c r="CU68" s="208">
        <v>149185</v>
      </c>
      <c r="CV68" s="208">
        <v>0</v>
      </c>
      <c r="CW68" s="208">
        <v>1491848</v>
      </c>
      <c r="CX68" s="208">
        <v>-1831730</v>
      </c>
      <c r="CY68" s="208">
        <v>-1465384</v>
      </c>
      <c r="CZ68" s="208">
        <v>-366346</v>
      </c>
      <c r="DA68" s="208">
        <v>0</v>
      </c>
      <c r="DB68" s="208">
        <v>-3663460</v>
      </c>
      <c r="DC68" s="208">
        <v>-159094</v>
      </c>
      <c r="DD68" s="208">
        <v>-127276</v>
      </c>
      <c r="DE68" s="208">
        <v>-31818</v>
      </c>
      <c r="DF68" s="208">
        <v>0</v>
      </c>
      <c r="DG68" s="208">
        <v>-318188</v>
      </c>
      <c r="DH68" s="208">
        <v>-1672636</v>
      </c>
      <c r="DI68" s="208">
        <v>-1338109</v>
      </c>
      <c r="DJ68" s="208">
        <v>-334527</v>
      </c>
      <c r="DK68" s="208">
        <v>0</v>
      </c>
      <c r="DL68" s="208">
        <v>-3345272</v>
      </c>
      <c r="DM68" s="208">
        <v>-774982</v>
      </c>
      <c r="DN68" s="208">
        <v>-619984</v>
      </c>
      <c r="DO68" s="208">
        <v>-154996</v>
      </c>
      <c r="DP68" s="208">
        <v>0</v>
      </c>
      <c r="DQ68" s="208">
        <v>-1549962</v>
      </c>
      <c r="DR68" s="208">
        <v>1484067</v>
      </c>
      <c r="DS68" s="208">
        <v>1187254</v>
      </c>
      <c r="DT68" s="208">
        <v>296813</v>
      </c>
      <c r="DU68" s="208">
        <v>0</v>
      </c>
      <c r="DV68" s="208">
        <v>2968134</v>
      </c>
      <c r="DW68" s="208">
        <v>-2259049</v>
      </c>
      <c r="DX68" s="208">
        <v>-1807238</v>
      </c>
      <c r="DY68" s="208">
        <v>-451809</v>
      </c>
      <c r="DZ68" s="208">
        <v>0</v>
      </c>
      <c r="EA68" s="208">
        <v>-4518096</v>
      </c>
      <c r="EB68" s="208">
        <v>17483769</v>
      </c>
      <c r="EC68" s="208">
        <v>13987015</v>
      </c>
      <c r="ED68" s="208">
        <v>3496754</v>
      </c>
      <c r="EE68" s="208">
        <v>0</v>
      </c>
      <c r="EF68" s="208">
        <v>34967538</v>
      </c>
      <c r="EG68" s="208">
        <v>19428577</v>
      </c>
      <c r="EH68" s="208">
        <v>15542861</v>
      </c>
      <c r="EI68" s="208">
        <v>3885715</v>
      </c>
      <c r="EJ68" s="208">
        <v>0</v>
      </c>
      <c r="EK68" s="208">
        <v>38857153</v>
      </c>
      <c r="EL68" s="208">
        <v>1944808</v>
      </c>
      <c r="EM68" s="208">
        <v>1555846</v>
      </c>
      <c r="EN68" s="208">
        <v>388961</v>
      </c>
      <c r="EO68" s="208">
        <v>0</v>
      </c>
      <c r="EP68" s="208">
        <v>3889615</v>
      </c>
      <c r="EQ68" s="208">
        <v>-314241</v>
      </c>
      <c r="ER68" s="208">
        <v>-251392</v>
      </c>
      <c r="ES68" s="208">
        <v>-62848</v>
      </c>
      <c r="ET68" s="208">
        <v>0</v>
      </c>
      <c r="EU68" s="208">
        <v>-628481</v>
      </c>
      <c r="EV68" s="666">
        <v>0.5</v>
      </c>
      <c r="EW68" s="666">
        <v>0.4</v>
      </c>
      <c r="EX68" s="666">
        <v>0.1</v>
      </c>
      <c r="EY68" s="666">
        <v>0</v>
      </c>
      <c r="EZ68" s="666">
        <v>1</v>
      </c>
      <c r="FA68" s="187" t="s">
        <v>1054</v>
      </c>
      <c r="FC68" s="187">
        <v>0</v>
      </c>
    </row>
    <row r="69" spans="1:159" s="187" customFormat="1" x14ac:dyDescent="0.2">
      <c r="A69" s="188" t="s">
        <v>1817</v>
      </c>
      <c r="B69" s="429" t="s">
        <v>217</v>
      </c>
      <c r="C69" s="429" t="s">
        <v>216</v>
      </c>
      <c r="D69" s="208">
        <v>18414962</v>
      </c>
      <c r="E69" s="208">
        <v>14731970</v>
      </c>
      <c r="F69" s="208">
        <v>3682992</v>
      </c>
      <c r="G69" s="208">
        <v>0</v>
      </c>
      <c r="H69" s="208">
        <v>36829924</v>
      </c>
      <c r="I69" s="208">
        <v>0</v>
      </c>
      <c r="J69" s="208">
        <v>0</v>
      </c>
      <c r="K69" s="208">
        <v>18414962</v>
      </c>
      <c r="L69" s="208">
        <v>88006</v>
      </c>
      <c r="M69" s="208">
        <v>88006</v>
      </c>
      <c r="N69" s="208">
        <v>0</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893450</v>
      </c>
      <c r="AH69" s="208">
        <v>223362</v>
      </c>
      <c r="AI69" s="208">
        <v>0</v>
      </c>
      <c r="AJ69" s="208">
        <v>1116812</v>
      </c>
      <c r="AK69" s="208">
        <v>1344477</v>
      </c>
      <c r="AL69" s="208">
        <v>1075582</v>
      </c>
      <c r="AM69" s="208">
        <v>268895</v>
      </c>
      <c r="AN69" s="208">
        <v>0</v>
      </c>
      <c r="AO69" s="208">
        <v>2688954</v>
      </c>
      <c r="AP69" s="208">
        <v>-315401</v>
      </c>
      <c r="AQ69" s="208">
        <v>-252320</v>
      </c>
      <c r="AR69" s="208">
        <v>-63080</v>
      </c>
      <c r="AS69" s="208">
        <v>0</v>
      </c>
      <c r="AT69" s="208">
        <v>-630801</v>
      </c>
      <c r="AU69" s="208">
        <v>-634492.69999999995</v>
      </c>
      <c r="AV69" s="208">
        <v>-507595</v>
      </c>
      <c r="AW69" s="208">
        <v>-126899</v>
      </c>
      <c r="AX69" s="208">
        <v>0</v>
      </c>
      <c r="AY69" s="208">
        <v>-1268986.7</v>
      </c>
      <c r="AZ69" s="208">
        <v>5875</v>
      </c>
      <c r="BA69" s="208">
        <v>4700</v>
      </c>
      <c r="BB69" s="208">
        <v>1175</v>
      </c>
      <c r="BC69" s="208">
        <v>0</v>
      </c>
      <c r="BD69" s="208">
        <v>11750</v>
      </c>
      <c r="BE69" s="208">
        <v>99339</v>
      </c>
      <c r="BF69" s="208">
        <v>79471</v>
      </c>
      <c r="BG69" s="208">
        <v>19868</v>
      </c>
      <c r="BH69" s="208">
        <v>0</v>
      </c>
      <c r="BI69" s="208">
        <v>198678</v>
      </c>
      <c r="BJ69" s="208">
        <v>-529278.69999999995</v>
      </c>
      <c r="BK69" s="208">
        <v>-423424</v>
      </c>
      <c r="BL69" s="208">
        <v>-105856</v>
      </c>
      <c r="BM69" s="208">
        <v>0</v>
      </c>
      <c r="BN69" s="208">
        <v>-1058558.7</v>
      </c>
      <c r="BO69" s="208">
        <v>-1354408</v>
      </c>
      <c r="BP69" s="208">
        <v>-1083527</v>
      </c>
      <c r="BQ69" s="208">
        <v>-270882</v>
      </c>
      <c r="BR69" s="208">
        <v>0</v>
      </c>
      <c r="BS69" s="208">
        <v>-2708817</v>
      </c>
      <c r="BT69" s="208">
        <v>-1354408</v>
      </c>
      <c r="BU69" s="208">
        <v>-1083527</v>
      </c>
      <c r="BV69" s="208">
        <v>-270882</v>
      </c>
      <c r="BW69" s="208">
        <v>0</v>
      </c>
      <c r="BX69" s="208">
        <v>-2708817</v>
      </c>
      <c r="BY69" s="208">
        <v>0</v>
      </c>
      <c r="BZ69" s="208">
        <v>0</v>
      </c>
      <c r="CA69" s="208">
        <v>0</v>
      </c>
      <c r="CB69" s="208">
        <v>0</v>
      </c>
      <c r="CC69" s="208">
        <v>0</v>
      </c>
      <c r="CD69" s="208">
        <v>602767</v>
      </c>
      <c r="CE69" s="208">
        <v>482214</v>
      </c>
      <c r="CF69" s="208">
        <v>120554</v>
      </c>
      <c r="CG69" s="208">
        <v>0</v>
      </c>
      <c r="CH69" s="208">
        <v>1205535</v>
      </c>
      <c r="CI69" s="208">
        <v>0</v>
      </c>
      <c r="CJ69" s="208">
        <v>0</v>
      </c>
      <c r="CK69" s="208">
        <v>0</v>
      </c>
      <c r="CL69" s="208">
        <v>0</v>
      </c>
      <c r="CM69" s="208">
        <v>0</v>
      </c>
      <c r="CN69" s="208">
        <v>-40689</v>
      </c>
      <c r="CO69" s="208">
        <v>-32551</v>
      </c>
      <c r="CP69" s="208">
        <v>-8138</v>
      </c>
      <c r="CQ69" s="208">
        <v>0</v>
      </c>
      <c r="CR69" s="208">
        <v>-81378</v>
      </c>
      <c r="CS69" s="208">
        <v>0</v>
      </c>
      <c r="CT69" s="208">
        <v>0</v>
      </c>
      <c r="CU69" s="208">
        <v>0</v>
      </c>
      <c r="CV69" s="208">
        <v>0</v>
      </c>
      <c r="CW69" s="208">
        <v>0</v>
      </c>
      <c r="CX69" s="208">
        <v>-792330</v>
      </c>
      <c r="CY69" s="208">
        <v>-633864</v>
      </c>
      <c r="CZ69" s="208">
        <v>-158466</v>
      </c>
      <c r="DA69" s="208">
        <v>0</v>
      </c>
      <c r="DB69" s="208">
        <v>-1584660</v>
      </c>
      <c r="DC69" s="208">
        <v>-792330</v>
      </c>
      <c r="DD69" s="208">
        <v>-633864</v>
      </c>
      <c r="DE69" s="208">
        <v>-158466</v>
      </c>
      <c r="DF69" s="208">
        <v>0</v>
      </c>
      <c r="DG69" s="208">
        <v>-1584660</v>
      </c>
      <c r="DH69" s="208">
        <v>0</v>
      </c>
      <c r="DI69" s="208">
        <v>0</v>
      </c>
      <c r="DJ69" s="208">
        <v>0</v>
      </c>
      <c r="DK69" s="208">
        <v>0</v>
      </c>
      <c r="DL69" s="208">
        <v>0</v>
      </c>
      <c r="DM69" s="208">
        <v>-2446833</v>
      </c>
      <c r="DN69" s="208">
        <v>-1957466</v>
      </c>
      <c r="DO69" s="208">
        <v>-489367</v>
      </c>
      <c r="DP69" s="208">
        <v>0</v>
      </c>
      <c r="DQ69" s="208">
        <v>-4893666</v>
      </c>
      <c r="DR69" s="208">
        <v>-2858811</v>
      </c>
      <c r="DS69" s="208">
        <v>-2287049</v>
      </c>
      <c r="DT69" s="208">
        <v>-571762</v>
      </c>
      <c r="DU69" s="208">
        <v>0</v>
      </c>
      <c r="DV69" s="208">
        <v>-5717622</v>
      </c>
      <c r="DW69" s="208">
        <v>411978</v>
      </c>
      <c r="DX69" s="208">
        <v>329583</v>
      </c>
      <c r="DY69" s="208">
        <v>82395</v>
      </c>
      <c r="DZ69" s="208">
        <v>0</v>
      </c>
      <c r="EA69" s="208">
        <v>823956</v>
      </c>
      <c r="EB69" s="208">
        <v>16665419</v>
      </c>
      <c r="EC69" s="208">
        <v>13332335</v>
      </c>
      <c r="ED69" s="208">
        <v>3333084</v>
      </c>
      <c r="EE69" s="208">
        <v>0</v>
      </c>
      <c r="EF69" s="208">
        <v>33330838</v>
      </c>
      <c r="EG69" s="208">
        <v>18414962</v>
      </c>
      <c r="EH69" s="208">
        <v>14731970</v>
      </c>
      <c r="EI69" s="208">
        <v>3682992</v>
      </c>
      <c r="EJ69" s="208">
        <v>0</v>
      </c>
      <c r="EK69" s="208">
        <v>36829924</v>
      </c>
      <c r="EL69" s="208">
        <v>1749543</v>
      </c>
      <c r="EM69" s="208">
        <v>1399635</v>
      </c>
      <c r="EN69" s="208">
        <v>349908</v>
      </c>
      <c r="EO69" s="208">
        <v>0</v>
      </c>
      <c r="EP69" s="208">
        <v>3499086</v>
      </c>
      <c r="EQ69" s="208">
        <v>2161521</v>
      </c>
      <c r="ER69" s="208">
        <v>1729218</v>
      </c>
      <c r="ES69" s="208">
        <v>432303</v>
      </c>
      <c r="ET69" s="208">
        <v>0</v>
      </c>
      <c r="EU69" s="208">
        <v>4323042</v>
      </c>
      <c r="EV69" s="666">
        <v>0.5</v>
      </c>
      <c r="EW69" s="666">
        <v>0.4</v>
      </c>
      <c r="EX69" s="666">
        <v>0.1</v>
      </c>
      <c r="EY69" s="666">
        <v>0</v>
      </c>
      <c r="EZ69" s="666">
        <v>1</v>
      </c>
      <c r="FA69" s="187" t="s">
        <v>1054</v>
      </c>
      <c r="FC69" s="187">
        <v>0</v>
      </c>
    </row>
    <row r="70" spans="1:159" s="187" customFormat="1" x14ac:dyDescent="0.2">
      <c r="B70" s="429" t="s">
        <v>219</v>
      </c>
      <c r="C70" s="429" t="s">
        <v>218</v>
      </c>
      <c r="D70" s="208">
        <v>0</v>
      </c>
      <c r="E70" s="208">
        <v>155040181</v>
      </c>
      <c r="F70" s="208">
        <v>0</v>
      </c>
      <c r="G70" s="208">
        <v>0</v>
      </c>
      <c r="H70" s="208">
        <v>155040181</v>
      </c>
      <c r="I70" s="208">
        <v>0</v>
      </c>
      <c r="J70" s="208">
        <v>0</v>
      </c>
      <c r="K70" s="208">
        <v>0</v>
      </c>
      <c r="L70" s="208">
        <v>1125959</v>
      </c>
      <c r="M70" s="208">
        <v>1125959</v>
      </c>
      <c r="N70" s="208">
        <v>134760</v>
      </c>
      <c r="O70" s="208">
        <v>134760</v>
      </c>
      <c r="P70" s="208">
        <v>1570086</v>
      </c>
      <c r="Q70" s="208">
        <v>0</v>
      </c>
      <c r="R70" s="208">
        <v>1570086</v>
      </c>
      <c r="S70" s="208">
        <v>0</v>
      </c>
      <c r="T70" s="208">
        <v>0</v>
      </c>
      <c r="U70" s="208">
        <v>0</v>
      </c>
      <c r="V70" s="208">
        <v>0</v>
      </c>
      <c r="W70" s="208">
        <v>0</v>
      </c>
      <c r="X70" s="208">
        <v>0</v>
      </c>
      <c r="Y70" s="208">
        <v>0</v>
      </c>
      <c r="Z70" s="208">
        <v>0</v>
      </c>
      <c r="AA70" s="208">
        <v>0</v>
      </c>
      <c r="AB70" s="208">
        <v>0</v>
      </c>
      <c r="AC70" s="208">
        <v>0</v>
      </c>
      <c r="AD70" s="208">
        <v>0</v>
      </c>
      <c r="AE70" s="208">
        <v>0</v>
      </c>
      <c r="AF70" s="208">
        <v>0</v>
      </c>
      <c r="AG70" s="208">
        <v>33442127</v>
      </c>
      <c r="AH70" s="208">
        <v>0</v>
      </c>
      <c r="AI70" s="208">
        <v>0</v>
      </c>
      <c r="AJ70" s="208">
        <v>33442127</v>
      </c>
      <c r="AK70" s="208">
        <v>0</v>
      </c>
      <c r="AL70" s="208">
        <v>7157189</v>
      </c>
      <c r="AM70" s="208">
        <v>0</v>
      </c>
      <c r="AN70" s="208">
        <v>0</v>
      </c>
      <c r="AO70" s="208">
        <v>7157189</v>
      </c>
      <c r="AP70" s="208">
        <v>0</v>
      </c>
      <c r="AQ70" s="208">
        <v>-3274597</v>
      </c>
      <c r="AR70" s="208">
        <v>0</v>
      </c>
      <c r="AS70" s="208">
        <v>0</v>
      </c>
      <c r="AT70" s="208">
        <v>-3274597</v>
      </c>
      <c r="AU70" s="208">
        <v>0</v>
      </c>
      <c r="AV70" s="208">
        <v>-3085601</v>
      </c>
      <c r="AW70" s="208">
        <v>0</v>
      </c>
      <c r="AX70" s="208">
        <v>0</v>
      </c>
      <c r="AY70" s="208">
        <v>-3085601</v>
      </c>
      <c r="AZ70" s="208">
        <v>0</v>
      </c>
      <c r="BA70" s="208">
        <v>1110031</v>
      </c>
      <c r="BB70" s="208">
        <v>0</v>
      </c>
      <c r="BC70" s="208">
        <v>0</v>
      </c>
      <c r="BD70" s="208">
        <v>1110031</v>
      </c>
      <c r="BE70" s="208">
        <v>0</v>
      </c>
      <c r="BF70" s="208">
        <v>-1367430</v>
      </c>
      <c r="BG70" s="208">
        <v>0</v>
      </c>
      <c r="BH70" s="208">
        <v>0</v>
      </c>
      <c r="BI70" s="208">
        <v>-1367430</v>
      </c>
      <c r="BJ70" s="208">
        <v>0</v>
      </c>
      <c r="BK70" s="208">
        <v>-3343000</v>
      </c>
      <c r="BL70" s="208">
        <v>0</v>
      </c>
      <c r="BM70" s="208">
        <v>0</v>
      </c>
      <c r="BN70" s="208">
        <v>-3343000</v>
      </c>
      <c r="BO70" s="208">
        <v>0</v>
      </c>
      <c r="BP70" s="208">
        <v>-23810000</v>
      </c>
      <c r="BQ70" s="208">
        <v>0</v>
      </c>
      <c r="BR70" s="208">
        <v>0</v>
      </c>
      <c r="BS70" s="208">
        <v>-23810000</v>
      </c>
      <c r="BT70" s="208">
        <v>0</v>
      </c>
      <c r="BU70" s="208">
        <v>-14179000</v>
      </c>
      <c r="BV70" s="208">
        <v>0</v>
      </c>
      <c r="BW70" s="208">
        <v>0</v>
      </c>
      <c r="BX70" s="208">
        <v>-14179000</v>
      </c>
      <c r="BY70" s="208">
        <v>0</v>
      </c>
      <c r="BZ70" s="208">
        <v>-9631000</v>
      </c>
      <c r="CA70" s="208">
        <v>0</v>
      </c>
      <c r="CB70" s="208">
        <v>0</v>
      </c>
      <c r="CC70" s="208">
        <v>-9631000</v>
      </c>
      <c r="CD70" s="208">
        <v>0</v>
      </c>
      <c r="CE70" s="208">
        <v>0</v>
      </c>
      <c r="CF70" s="208">
        <v>0</v>
      </c>
      <c r="CG70" s="208">
        <v>0</v>
      </c>
      <c r="CH70" s="208">
        <v>0</v>
      </c>
      <c r="CI70" s="208">
        <v>0</v>
      </c>
      <c r="CJ70" s="208">
        <v>0</v>
      </c>
      <c r="CK70" s="208">
        <v>0</v>
      </c>
      <c r="CL70" s="208">
        <v>0</v>
      </c>
      <c r="CM70" s="208">
        <v>0</v>
      </c>
      <c r="CN70" s="208">
        <v>0</v>
      </c>
      <c r="CO70" s="208">
        <v>-321000</v>
      </c>
      <c r="CP70" s="208">
        <v>0</v>
      </c>
      <c r="CQ70" s="208">
        <v>0</v>
      </c>
      <c r="CR70" s="208">
        <v>-321000</v>
      </c>
      <c r="CS70" s="208">
        <v>0</v>
      </c>
      <c r="CT70" s="208">
        <v>-2969000</v>
      </c>
      <c r="CU70" s="208">
        <v>0</v>
      </c>
      <c r="CV70" s="208">
        <v>0</v>
      </c>
      <c r="CW70" s="208">
        <v>-2969000</v>
      </c>
      <c r="CX70" s="208">
        <v>0</v>
      </c>
      <c r="CY70" s="208">
        <v>-27100000</v>
      </c>
      <c r="CZ70" s="208">
        <v>0</v>
      </c>
      <c r="DA70" s="208">
        <v>0</v>
      </c>
      <c r="DB70" s="208">
        <v>-27100000</v>
      </c>
      <c r="DC70" s="208">
        <v>0</v>
      </c>
      <c r="DD70" s="208">
        <v>-14500000</v>
      </c>
      <c r="DE70" s="208">
        <v>0</v>
      </c>
      <c r="DF70" s="208">
        <v>0</v>
      </c>
      <c r="DG70" s="208">
        <v>-14500000</v>
      </c>
      <c r="DH70" s="208">
        <v>0</v>
      </c>
      <c r="DI70" s="208">
        <v>-12600000</v>
      </c>
      <c r="DJ70" s="208">
        <v>0</v>
      </c>
      <c r="DK70" s="208">
        <v>0</v>
      </c>
      <c r="DL70" s="208">
        <v>-12600000</v>
      </c>
      <c r="DM70" s="208">
        <v>243951</v>
      </c>
      <c r="DN70" s="208">
        <v>5431222</v>
      </c>
      <c r="DO70" s="208">
        <v>0</v>
      </c>
      <c r="DP70" s="208">
        <v>0</v>
      </c>
      <c r="DQ70" s="208">
        <v>5675173</v>
      </c>
      <c r="DR70" s="208">
        <v>243951</v>
      </c>
      <c r="DS70" s="208">
        <v>5205893</v>
      </c>
      <c r="DT70" s="208">
        <v>0</v>
      </c>
      <c r="DU70" s="208">
        <v>0</v>
      </c>
      <c r="DV70" s="208">
        <v>5449844</v>
      </c>
      <c r="DW70" s="208">
        <v>0</v>
      </c>
      <c r="DX70" s="208">
        <v>225329</v>
      </c>
      <c r="DY70" s="208">
        <v>0</v>
      </c>
      <c r="DZ70" s="208">
        <v>0</v>
      </c>
      <c r="EA70" s="208">
        <v>225329</v>
      </c>
      <c r="EB70" s="208">
        <v>0</v>
      </c>
      <c r="EC70" s="208">
        <v>149867566</v>
      </c>
      <c r="ED70" s="208">
        <v>0</v>
      </c>
      <c r="EE70" s="208">
        <v>0</v>
      </c>
      <c r="EF70" s="208">
        <v>149867566</v>
      </c>
      <c r="EG70" s="208">
        <v>0</v>
      </c>
      <c r="EH70" s="208">
        <v>155040181</v>
      </c>
      <c r="EI70" s="208">
        <v>0</v>
      </c>
      <c r="EJ70" s="208">
        <v>0</v>
      </c>
      <c r="EK70" s="208">
        <v>155040181</v>
      </c>
      <c r="EL70" s="208">
        <v>0</v>
      </c>
      <c r="EM70" s="208">
        <v>5172615</v>
      </c>
      <c r="EN70" s="208">
        <v>0</v>
      </c>
      <c r="EO70" s="208">
        <v>0</v>
      </c>
      <c r="EP70" s="208">
        <v>5172615</v>
      </c>
      <c r="EQ70" s="208">
        <v>0</v>
      </c>
      <c r="ER70" s="208">
        <v>5397944</v>
      </c>
      <c r="ES70" s="208">
        <v>0</v>
      </c>
      <c r="ET70" s="208">
        <v>0</v>
      </c>
      <c r="EU70" s="208">
        <v>5397944</v>
      </c>
      <c r="EV70" s="666">
        <v>0</v>
      </c>
      <c r="EW70" s="666">
        <v>1</v>
      </c>
      <c r="EX70" s="666">
        <v>0</v>
      </c>
      <c r="EY70" s="666">
        <v>0</v>
      </c>
      <c r="EZ70" s="666">
        <v>1</v>
      </c>
      <c r="FA70" s="187" t="s">
        <v>742</v>
      </c>
      <c r="FC70" s="187">
        <v>0</v>
      </c>
    </row>
    <row r="71" spans="1:159" s="187" customFormat="1" x14ac:dyDescent="0.2">
      <c r="B71" s="429" t="s">
        <v>221</v>
      </c>
      <c r="C71" s="429" t="s">
        <v>220</v>
      </c>
      <c r="D71" s="208">
        <v>0</v>
      </c>
      <c r="E71" s="208">
        <v>16062053</v>
      </c>
      <c r="F71" s="208">
        <v>16062053</v>
      </c>
      <c r="G71" s="208">
        <v>0</v>
      </c>
      <c r="H71" s="208">
        <v>32124106</v>
      </c>
      <c r="I71" s="208">
        <v>0</v>
      </c>
      <c r="J71" s="208">
        <v>0</v>
      </c>
      <c r="K71" s="208">
        <v>0</v>
      </c>
      <c r="L71" s="208">
        <v>179327</v>
      </c>
      <c r="M71" s="208">
        <v>179327</v>
      </c>
      <c r="N71" s="208">
        <v>0</v>
      </c>
      <c r="O71" s="208">
        <v>0</v>
      </c>
      <c r="P71" s="208">
        <v>83627</v>
      </c>
      <c r="Q71" s="208">
        <v>0</v>
      </c>
      <c r="R71" s="208">
        <v>83627</v>
      </c>
      <c r="S71" s="208">
        <v>0</v>
      </c>
      <c r="T71" s="208">
        <v>0</v>
      </c>
      <c r="U71" s="208">
        <v>0</v>
      </c>
      <c r="V71" s="208">
        <v>0</v>
      </c>
      <c r="W71" s="208">
        <v>0</v>
      </c>
      <c r="X71" s="208">
        <v>0</v>
      </c>
      <c r="Y71" s="208">
        <v>0</v>
      </c>
      <c r="Z71" s="208">
        <v>0</v>
      </c>
      <c r="AA71" s="208">
        <v>0</v>
      </c>
      <c r="AB71" s="208">
        <v>0</v>
      </c>
      <c r="AC71" s="208">
        <v>0</v>
      </c>
      <c r="AD71" s="208">
        <v>0</v>
      </c>
      <c r="AE71" s="208">
        <v>0</v>
      </c>
      <c r="AF71" s="208">
        <v>0</v>
      </c>
      <c r="AG71" s="208">
        <v>2649735</v>
      </c>
      <c r="AH71" s="208">
        <v>2647819</v>
      </c>
      <c r="AI71" s="208">
        <v>0</v>
      </c>
      <c r="AJ71" s="208">
        <v>5297554</v>
      </c>
      <c r="AK71" s="208">
        <v>0</v>
      </c>
      <c r="AL71" s="208">
        <v>595416</v>
      </c>
      <c r="AM71" s="208">
        <v>595416</v>
      </c>
      <c r="AN71" s="208">
        <v>0</v>
      </c>
      <c r="AO71" s="208">
        <v>1190832</v>
      </c>
      <c r="AP71" s="208">
        <v>1</v>
      </c>
      <c r="AQ71" s="208">
        <v>-165037</v>
      </c>
      <c r="AR71" s="208">
        <v>-165037</v>
      </c>
      <c r="AS71" s="208">
        <v>0</v>
      </c>
      <c r="AT71" s="208">
        <v>-330073</v>
      </c>
      <c r="AU71" s="208">
        <v>1</v>
      </c>
      <c r="AV71" s="208">
        <v>-218678</v>
      </c>
      <c r="AW71" s="208">
        <v>-218678</v>
      </c>
      <c r="AX71" s="208">
        <v>0</v>
      </c>
      <c r="AY71" s="208">
        <v>-437355</v>
      </c>
      <c r="AZ71" s="208">
        <v>0</v>
      </c>
      <c r="BA71" s="208">
        <v>26743</v>
      </c>
      <c r="BB71" s="208">
        <v>26743</v>
      </c>
      <c r="BC71" s="208">
        <v>0</v>
      </c>
      <c r="BD71" s="208">
        <v>53486</v>
      </c>
      <c r="BE71" s="208">
        <v>0</v>
      </c>
      <c r="BF71" s="208">
        <v>-1894</v>
      </c>
      <c r="BG71" s="208">
        <v>-1894</v>
      </c>
      <c r="BH71" s="208">
        <v>0</v>
      </c>
      <c r="BI71" s="208">
        <v>-3788</v>
      </c>
      <c r="BJ71" s="208">
        <v>1</v>
      </c>
      <c r="BK71" s="208">
        <v>-193829</v>
      </c>
      <c r="BL71" s="208">
        <v>-193829</v>
      </c>
      <c r="BM71" s="208">
        <v>0</v>
      </c>
      <c r="BN71" s="208">
        <v>-387657</v>
      </c>
      <c r="BO71" s="208">
        <v>1</v>
      </c>
      <c r="BP71" s="208">
        <v>-1303870</v>
      </c>
      <c r="BQ71" s="208">
        <v>-1303870</v>
      </c>
      <c r="BR71" s="208">
        <v>0</v>
      </c>
      <c r="BS71" s="208">
        <v>-2607739</v>
      </c>
      <c r="BT71" s="208">
        <v>1</v>
      </c>
      <c r="BU71" s="208">
        <v>-576514</v>
      </c>
      <c r="BV71" s="208">
        <v>-576514</v>
      </c>
      <c r="BW71" s="208">
        <v>0</v>
      </c>
      <c r="BX71" s="208">
        <v>-1153027</v>
      </c>
      <c r="BY71" s="208">
        <v>0</v>
      </c>
      <c r="BZ71" s="208">
        <v>-727356</v>
      </c>
      <c r="CA71" s="208">
        <v>-727356</v>
      </c>
      <c r="CB71" s="208">
        <v>0</v>
      </c>
      <c r="CC71" s="208">
        <v>-1454712</v>
      </c>
      <c r="CD71" s="208">
        <v>-1</v>
      </c>
      <c r="CE71" s="208">
        <v>53970</v>
      </c>
      <c r="CF71" s="208">
        <v>53970</v>
      </c>
      <c r="CG71" s="208">
        <v>0</v>
      </c>
      <c r="CH71" s="208">
        <v>107939</v>
      </c>
      <c r="CI71" s="208">
        <v>0</v>
      </c>
      <c r="CJ71" s="208">
        <v>0</v>
      </c>
      <c r="CK71" s="208">
        <v>0</v>
      </c>
      <c r="CL71" s="208">
        <v>0</v>
      </c>
      <c r="CM71" s="208">
        <v>0</v>
      </c>
      <c r="CN71" s="208">
        <v>1</v>
      </c>
      <c r="CO71" s="208">
        <v>-52957</v>
      </c>
      <c r="CP71" s="208">
        <v>-52957</v>
      </c>
      <c r="CQ71" s="208">
        <v>0</v>
      </c>
      <c r="CR71" s="208">
        <v>-105913</v>
      </c>
      <c r="CS71" s="208">
        <v>0</v>
      </c>
      <c r="CT71" s="208">
        <v>-760938</v>
      </c>
      <c r="CU71" s="208">
        <v>-760938</v>
      </c>
      <c r="CV71" s="208">
        <v>0</v>
      </c>
      <c r="CW71" s="208">
        <v>-1521876</v>
      </c>
      <c r="CX71" s="208">
        <v>1</v>
      </c>
      <c r="CY71" s="208">
        <v>-2063795</v>
      </c>
      <c r="CZ71" s="208">
        <v>-2063795</v>
      </c>
      <c r="DA71" s="208">
        <v>0</v>
      </c>
      <c r="DB71" s="208">
        <v>-4127589</v>
      </c>
      <c r="DC71" s="208">
        <v>1</v>
      </c>
      <c r="DD71" s="208">
        <v>-575501</v>
      </c>
      <c r="DE71" s="208">
        <v>-575501</v>
      </c>
      <c r="DF71" s="208">
        <v>0</v>
      </c>
      <c r="DG71" s="208">
        <v>-1151001</v>
      </c>
      <c r="DH71" s="208">
        <v>0</v>
      </c>
      <c r="DI71" s="208">
        <v>-1488294</v>
      </c>
      <c r="DJ71" s="208">
        <v>-1488294</v>
      </c>
      <c r="DK71" s="208">
        <v>0</v>
      </c>
      <c r="DL71" s="208">
        <v>-2976588</v>
      </c>
      <c r="DM71" s="208">
        <v>-1851084</v>
      </c>
      <c r="DN71" s="208">
        <v>-1480866</v>
      </c>
      <c r="DO71" s="208">
        <v>-370216</v>
      </c>
      <c r="DP71" s="208">
        <v>0</v>
      </c>
      <c r="DQ71" s="208">
        <v>-3702166</v>
      </c>
      <c r="DR71" s="208">
        <v>-1051961</v>
      </c>
      <c r="DS71" s="208">
        <v>-841569</v>
      </c>
      <c r="DT71" s="208">
        <v>-210392</v>
      </c>
      <c r="DU71" s="208">
        <v>0</v>
      </c>
      <c r="DV71" s="208">
        <v>-2103922</v>
      </c>
      <c r="DW71" s="208">
        <v>-799123</v>
      </c>
      <c r="DX71" s="208">
        <v>-639297</v>
      </c>
      <c r="DY71" s="208">
        <v>-159824</v>
      </c>
      <c r="DZ71" s="208">
        <v>0</v>
      </c>
      <c r="EA71" s="208">
        <v>-1598244</v>
      </c>
      <c r="EB71" s="208">
        <v>0</v>
      </c>
      <c r="EC71" s="208">
        <v>16414201</v>
      </c>
      <c r="ED71" s="208">
        <v>16414202</v>
      </c>
      <c r="EE71" s="208">
        <v>0</v>
      </c>
      <c r="EF71" s="208">
        <v>32828403</v>
      </c>
      <c r="EG71" s="208">
        <v>0</v>
      </c>
      <c r="EH71" s="208">
        <v>16062053</v>
      </c>
      <c r="EI71" s="208">
        <v>16062053</v>
      </c>
      <c r="EJ71" s="208">
        <v>0</v>
      </c>
      <c r="EK71" s="208">
        <v>32124106</v>
      </c>
      <c r="EL71" s="208">
        <v>0</v>
      </c>
      <c r="EM71" s="208">
        <v>-352148</v>
      </c>
      <c r="EN71" s="208">
        <v>-352149</v>
      </c>
      <c r="EO71" s="208">
        <v>0</v>
      </c>
      <c r="EP71" s="208">
        <v>-704297</v>
      </c>
      <c r="EQ71" s="208">
        <v>-799123</v>
      </c>
      <c r="ER71" s="208">
        <v>-991445</v>
      </c>
      <c r="ES71" s="208">
        <v>-511973</v>
      </c>
      <c r="ET71" s="208">
        <v>0</v>
      </c>
      <c r="EU71" s="208">
        <v>-2302541</v>
      </c>
      <c r="EV71" s="666">
        <v>0</v>
      </c>
      <c r="EW71" s="666">
        <v>0.5</v>
      </c>
      <c r="EX71" s="666">
        <v>0.5</v>
      </c>
      <c r="EY71" s="666">
        <v>0</v>
      </c>
      <c r="EZ71" s="666">
        <v>1</v>
      </c>
      <c r="FA71" s="187" t="s">
        <v>1054</v>
      </c>
      <c r="FC71" s="187">
        <v>0</v>
      </c>
    </row>
    <row r="72" spans="1:159" s="187" customFormat="1" x14ac:dyDescent="0.2">
      <c r="B72" s="429" t="s">
        <v>223</v>
      </c>
      <c r="C72" s="429" t="s">
        <v>222</v>
      </c>
      <c r="D72" s="208">
        <v>0</v>
      </c>
      <c r="E72" s="208">
        <v>114808650</v>
      </c>
      <c r="F72" s="208">
        <v>0</v>
      </c>
      <c r="G72" s="208">
        <v>1159683</v>
      </c>
      <c r="H72" s="208">
        <v>115968333</v>
      </c>
      <c r="I72" s="208">
        <v>0</v>
      </c>
      <c r="J72" s="208">
        <v>0</v>
      </c>
      <c r="K72" s="208">
        <v>0</v>
      </c>
      <c r="L72" s="208">
        <v>375121</v>
      </c>
      <c r="M72" s="208">
        <v>375121</v>
      </c>
      <c r="N72" s="208">
        <v>0</v>
      </c>
      <c r="O72" s="208">
        <v>0</v>
      </c>
      <c r="P72" s="208">
        <v>0</v>
      </c>
      <c r="Q72" s="208">
        <v>0</v>
      </c>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9556569</v>
      </c>
      <c r="AH72" s="208">
        <v>0</v>
      </c>
      <c r="AI72" s="208">
        <v>96530</v>
      </c>
      <c r="AJ72" s="208">
        <v>9653099</v>
      </c>
      <c r="AK72" s="208">
        <v>0</v>
      </c>
      <c r="AL72" s="208">
        <v>4472856</v>
      </c>
      <c r="AM72" s="208">
        <v>0</v>
      </c>
      <c r="AN72" s="208">
        <v>45180</v>
      </c>
      <c r="AO72" s="208">
        <v>4518036</v>
      </c>
      <c r="AP72" s="208">
        <v>0</v>
      </c>
      <c r="AQ72" s="208">
        <v>-2166571</v>
      </c>
      <c r="AR72" s="208">
        <v>0</v>
      </c>
      <c r="AS72" s="208">
        <v>-21885</v>
      </c>
      <c r="AT72" s="208">
        <v>-2188456</v>
      </c>
      <c r="AU72" s="208">
        <v>0</v>
      </c>
      <c r="AV72" s="208">
        <v>-2350260</v>
      </c>
      <c r="AW72" s="208">
        <v>0</v>
      </c>
      <c r="AX72" s="208">
        <v>-23740</v>
      </c>
      <c r="AY72" s="208">
        <v>-2374000</v>
      </c>
      <c r="AZ72" s="208">
        <v>0</v>
      </c>
      <c r="BA72" s="208">
        <v>699880</v>
      </c>
      <c r="BB72" s="208">
        <v>0</v>
      </c>
      <c r="BC72" s="208">
        <v>7069</v>
      </c>
      <c r="BD72" s="208">
        <v>706949</v>
      </c>
      <c r="BE72" s="208">
        <v>0</v>
      </c>
      <c r="BF72" s="208">
        <v>-1047379</v>
      </c>
      <c r="BG72" s="208">
        <v>0</v>
      </c>
      <c r="BH72" s="208">
        <v>-10580</v>
      </c>
      <c r="BI72" s="208">
        <v>-1057959</v>
      </c>
      <c r="BJ72" s="208">
        <v>0</v>
      </c>
      <c r="BK72" s="208">
        <v>-2697759</v>
      </c>
      <c r="BL72" s="208">
        <v>0</v>
      </c>
      <c r="BM72" s="208">
        <v>-27251</v>
      </c>
      <c r="BN72" s="208">
        <v>-2725010</v>
      </c>
      <c r="BO72" s="208">
        <v>0</v>
      </c>
      <c r="BP72" s="208">
        <v>-8288673</v>
      </c>
      <c r="BQ72" s="208">
        <v>0</v>
      </c>
      <c r="BR72" s="208">
        <v>-83724</v>
      </c>
      <c r="BS72" s="208">
        <v>-8372397</v>
      </c>
      <c r="BT72" s="208">
        <v>0</v>
      </c>
      <c r="BU72" s="208">
        <v>-5713334</v>
      </c>
      <c r="BV72" s="208">
        <v>0</v>
      </c>
      <c r="BW72" s="208">
        <v>-57710</v>
      </c>
      <c r="BX72" s="208">
        <v>-5771044</v>
      </c>
      <c r="BY72" s="208">
        <v>0</v>
      </c>
      <c r="BZ72" s="208">
        <v>-2575339</v>
      </c>
      <c r="CA72" s="208">
        <v>0</v>
      </c>
      <c r="CB72" s="208">
        <v>-26014</v>
      </c>
      <c r="CC72" s="208">
        <v>-2601353</v>
      </c>
      <c r="CD72" s="208">
        <v>0</v>
      </c>
      <c r="CE72" s="208">
        <v>3533155</v>
      </c>
      <c r="CF72" s="208">
        <v>0</v>
      </c>
      <c r="CG72" s="208">
        <v>35688</v>
      </c>
      <c r="CH72" s="208">
        <v>3568843</v>
      </c>
      <c r="CI72" s="208">
        <v>0</v>
      </c>
      <c r="CJ72" s="208">
        <v>265507</v>
      </c>
      <c r="CK72" s="208">
        <v>0</v>
      </c>
      <c r="CL72" s="208">
        <v>2682</v>
      </c>
      <c r="CM72" s="208">
        <v>268189</v>
      </c>
      <c r="CN72" s="208">
        <v>0</v>
      </c>
      <c r="CO72" s="208">
        <v>-1081654</v>
      </c>
      <c r="CP72" s="208">
        <v>0</v>
      </c>
      <c r="CQ72" s="208">
        <v>-10926</v>
      </c>
      <c r="CR72" s="208">
        <v>-1092580</v>
      </c>
      <c r="CS72" s="208">
        <v>0</v>
      </c>
      <c r="CT72" s="208">
        <v>-2927405</v>
      </c>
      <c r="CU72" s="208">
        <v>0</v>
      </c>
      <c r="CV72" s="208">
        <v>-29570</v>
      </c>
      <c r="CW72" s="208">
        <v>-2956975</v>
      </c>
      <c r="CX72" s="208">
        <v>0</v>
      </c>
      <c r="CY72" s="208">
        <v>-8499070</v>
      </c>
      <c r="CZ72" s="208">
        <v>0</v>
      </c>
      <c r="DA72" s="208">
        <v>-85850</v>
      </c>
      <c r="DB72" s="208">
        <v>-8584920</v>
      </c>
      <c r="DC72" s="208">
        <v>0</v>
      </c>
      <c r="DD72" s="208">
        <v>-3261833</v>
      </c>
      <c r="DE72" s="208">
        <v>0</v>
      </c>
      <c r="DF72" s="208">
        <v>-32948</v>
      </c>
      <c r="DG72" s="208">
        <v>-3294781</v>
      </c>
      <c r="DH72" s="208">
        <v>0</v>
      </c>
      <c r="DI72" s="208">
        <v>-5237237</v>
      </c>
      <c r="DJ72" s="208">
        <v>0</v>
      </c>
      <c r="DK72" s="208">
        <v>-52902</v>
      </c>
      <c r="DL72" s="208">
        <v>-5290139</v>
      </c>
      <c r="DM72" s="208">
        <v>128902</v>
      </c>
      <c r="DN72" s="208">
        <v>-378842</v>
      </c>
      <c r="DO72" s="208">
        <v>0</v>
      </c>
      <c r="DP72" s="208">
        <v>-2525</v>
      </c>
      <c r="DQ72" s="208">
        <v>-252465</v>
      </c>
      <c r="DR72" s="208">
        <v>128903</v>
      </c>
      <c r="DS72" s="208">
        <v>-395024</v>
      </c>
      <c r="DT72" s="208">
        <v>0</v>
      </c>
      <c r="DU72" s="208">
        <v>-2688</v>
      </c>
      <c r="DV72" s="208">
        <v>-268809</v>
      </c>
      <c r="DW72" s="208">
        <v>-1</v>
      </c>
      <c r="DX72" s="208">
        <v>16182</v>
      </c>
      <c r="DY72" s="208">
        <v>0</v>
      </c>
      <c r="DZ72" s="208">
        <v>163</v>
      </c>
      <c r="EA72" s="208">
        <v>16344</v>
      </c>
      <c r="EB72" s="208">
        <v>0</v>
      </c>
      <c r="EC72" s="208">
        <v>116591933</v>
      </c>
      <c r="ED72" s="208">
        <v>0</v>
      </c>
      <c r="EE72" s="208">
        <v>1177696</v>
      </c>
      <c r="EF72" s="208">
        <v>117769629</v>
      </c>
      <c r="EG72" s="208">
        <v>0</v>
      </c>
      <c r="EH72" s="208">
        <v>114808650</v>
      </c>
      <c r="EI72" s="208">
        <v>0</v>
      </c>
      <c r="EJ72" s="208">
        <v>1159683</v>
      </c>
      <c r="EK72" s="208">
        <v>115968333</v>
      </c>
      <c r="EL72" s="208">
        <v>0</v>
      </c>
      <c r="EM72" s="208">
        <v>-1783283</v>
      </c>
      <c r="EN72" s="208">
        <v>0</v>
      </c>
      <c r="EO72" s="208">
        <v>-18013</v>
      </c>
      <c r="EP72" s="208">
        <v>-1801296</v>
      </c>
      <c r="EQ72" s="208">
        <v>-1</v>
      </c>
      <c r="ER72" s="208">
        <v>-1767101</v>
      </c>
      <c r="ES72" s="208">
        <v>0</v>
      </c>
      <c r="ET72" s="208">
        <v>-17850</v>
      </c>
      <c r="EU72" s="208">
        <v>-1784952</v>
      </c>
      <c r="EV72" s="666">
        <v>0</v>
      </c>
      <c r="EW72" s="666">
        <v>0.99</v>
      </c>
      <c r="EX72" s="666">
        <v>0</v>
      </c>
      <c r="EY72" s="666">
        <v>0.01</v>
      </c>
      <c r="EZ72" s="666">
        <v>1</v>
      </c>
      <c r="FA72" s="187" t="s">
        <v>1056</v>
      </c>
      <c r="FC72" s="187">
        <v>0</v>
      </c>
    </row>
    <row r="73" spans="1:159" s="187" customFormat="1" x14ac:dyDescent="0.2">
      <c r="B73" s="429" t="s">
        <v>225</v>
      </c>
      <c r="C73" s="429" t="s">
        <v>224</v>
      </c>
      <c r="D73" s="208">
        <v>9279622</v>
      </c>
      <c r="E73" s="208">
        <v>7423697</v>
      </c>
      <c r="F73" s="208">
        <v>1670332</v>
      </c>
      <c r="G73" s="208">
        <v>185592</v>
      </c>
      <c r="H73" s="208">
        <v>18559243</v>
      </c>
      <c r="I73" s="208">
        <v>0</v>
      </c>
      <c r="J73" s="208">
        <v>0</v>
      </c>
      <c r="K73" s="208">
        <v>9279622</v>
      </c>
      <c r="L73" s="208">
        <v>116449</v>
      </c>
      <c r="M73" s="208">
        <v>116449</v>
      </c>
      <c r="N73" s="208">
        <v>0</v>
      </c>
      <c r="O73" s="208">
        <v>0</v>
      </c>
      <c r="P73" s="208">
        <v>0</v>
      </c>
      <c r="Q73" s="208">
        <v>0</v>
      </c>
      <c r="R73" s="208">
        <v>0</v>
      </c>
      <c r="S73" s="208">
        <v>0</v>
      </c>
      <c r="T73" s="208">
        <v>0</v>
      </c>
      <c r="U73" s="208">
        <v>0</v>
      </c>
      <c r="V73" s="208">
        <v>0</v>
      </c>
      <c r="W73" s="208">
        <v>0</v>
      </c>
      <c r="X73" s="208">
        <v>0</v>
      </c>
      <c r="Y73" s="208">
        <v>0</v>
      </c>
      <c r="Z73" s="208">
        <v>0</v>
      </c>
      <c r="AA73" s="208">
        <v>0</v>
      </c>
      <c r="AB73" s="208">
        <v>0</v>
      </c>
      <c r="AC73" s="208">
        <v>0</v>
      </c>
      <c r="AD73" s="208">
        <v>0</v>
      </c>
      <c r="AE73" s="208">
        <v>0</v>
      </c>
      <c r="AF73" s="208">
        <v>0</v>
      </c>
      <c r="AG73" s="208">
        <v>1297767</v>
      </c>
      <c r="AH73" s="208">
        <v>291997</v>
      </c>
      <c r="AI73" s="208">
        <v>32444</v>
      </c>
      <c r="AJ73" s="208">
        <v>1622208</v>
      </c>
      <c r="AK73" s="208">
        <v>212539</v>
      </c>
      <c r="AL73" s="208">
        <v>170032</v>
      </c>
      <c r="AM73" s="208">
        <v>38257</v>
      </c>
      <c r="AN73" s="208">
        <v>4251</v>
      </c>
      <c r="AO73" s="208">
        <v>425079</v>
      </c>
      <c r="AP73" s="208">
        <v>-62253</v>
      </c>
      <c r="AQ73" s="208">
        <v>-49803</v>
      </c>
      <c r="AR73" s="208">
        <v>-11206</v>
      </c>
      <c r="AS73" s="208">
        <v>-1245</v>
      </c>
      <c r="AT73" s="208">
        <v>-124507</v>
      </c>
      <c r="AU73" s="208">
        <v>-76150</v>
      </c>
      <c r="AV73" s="208">
        <v>-60920</v>
      </c>
      <c r="AW73" s="208">
        <v>-13707</v>
      </c>
      <c r="AX73" s="208">
        <v>-1523</v>
      </c>
      <c r="AY73" s="208">
        <v>-152300</v>
      </c>
      <c r="AZ73" s="208">
        <v>28819</v>
      </c>
      <c r="BA73" s="208">
        <v>23054</v>
      </c>
      <c r="BB73" s="208">
        <v>5187</v>
      </c>
      <c r="BC73" s="208">
        <v>576</v>
      </c>
      <c r="BD73" s="208">
        <v>57636</v>
      </c>
      <c r="BE73" s="208">
        <v>-30043</v>
      </c>
      <c r="BF73" s="208">
        <v>-24034</v>
      </c>
      <c r="BG73" s="208">
        <v>-5408</v>
      </c>
      <c r="BH73" s="208">
        <v>-601</v>
      </c>
      <c r="BI73" s="208">
        <v>-60086</v>
      </c>
      <c r="BJ73" s="208">
        <v>-77374</v>
      </c>
      <c r="BK73" s="208">
        <v>-61900</v>
      </c>
      <c r="BL73" s="208">
        <v>-13928</v>
      </c>
      <c r="BM73" s="208">
        <v>-1548</v>
      </c>
      <c r="BN73" s="208">
        <v>-154750</v>
      </c>
      <c r="BO73" s="208">
        <v>-509936</v>
      </c>
      <c r="BP73" s="208">
        <v>-407949</v>
      </c>
      <c r="BQ73" s="208">
        <v>-91789</v>
      </c>
      <c r="BR73" s="208">
        <v>-10199</v>
      </c>
      <c r="BS73" s="208">
        <v>-1019873</v>
      </c>
      <c r="BT73" s="208">
        <v>0</v>
      </c>
      <c r="BU73" s="208">
        <v>0</v>
      </c>
      <c r="BV73" s="208">
        <v>0</v>
      </c>
      <c r="BW73" s="208">
        <v>0</v>
      </c>
      <c r="BX73" s="208">
        <v>0</v>
      </c>
      <c r="BY73" s="208">
        <v>-509936</v>
      </c>
      <c r="BZ73" s="208">
        <v>-407949</v>
      </c>
      <c r="CA73" s="208">
        <v>-91789</v>
      </c>
      <c r="CB73" s="208">
        <v>-10199</v>
      </c>
      <c r="CC73" s="208">
        <v>-1019873</v>
      </c>
      <c r="CD73" s="208">
        <v>54074</v>
      </c>
      <c r="CE73" s="208">
        <v>43260</v>
      </c>
      <c r="CF73" s="208">
        <v>9734</v>
      </c>
      <c r="CG73" s="208">
        <v>1082</v>
      </c>
      <c r="CH73" s="208">
        <v>108150</v>
      </c>
      <c r="CI73" s="208">
        <v>84213</v>
      </c>
      <c r="CJ73" s="208">
        <v>67370</v>
      </c>
      <c r="CK73" s="208">
        <v>15158</v>
      </c>
      <c r="CL73" s="208">
        <v>1684</v>
      </c>
      <c r="CM73" s="208">
        <v>168425</v>
      </c>
      <c r="CN73" s="208">
        <v>0</v>
      </c>
      <c r="CO73" s="208">
        <v>0</v>
      </c>
      <c r="CP73" s="208">
        <v>0</v>
      </c>
      <c r="CQ73" s="208">
        <v>0</v>
      </c>
      <c r="CR73" s="208">
        <v>0</v>
      </c>
      <c r="CS73" s="208">
        <v>0</v>
      </c>
      <c r="CT73" s="208">
        <v>0</v>
      </c>
      <c r="CU73" s="208">
        <v>0</v>
      </c>
      <c r="CV73" s="208">
        <v>0</v>
      </c>
      <c r="CW73" s="208">
        <v>0</v>
      </c>
      <c r="CX73" s="208">
        <v>-371649</v>
      </c>
      <c r="CY73" s="208">
        <v>-297319</v>
      </c>
      <c r="CZ73" s="208">
        <v>-66897</v>
      </c>
      <c r="DA73" s="208">
        <v>-7433</v>
      </c>
      <c r="DB73" s="208">
        <v>-743298</v>
      </c>
      <c r="DC73" s="208">
        <v>54074</v>
      </c>
      <c r="DD73" s="208">
        <v>43260</v>
      </c>
      <c r="DE73" s="208">
        <v>9734</v>
      </c>
      <c r="DF73" s="208">
        <v>1082</v>
      </c>
      <c r="DG73" s="208">
        <v>108150</v>
      </c>
      <c r="DH73" s="208">
        <v>-425723</v>
      </c>
      <c r="DI73" s="208">
        <v>-340579</v>
      </c>
      <c r="DJ73" s="208">
        <v>-76631</v>
      </c>
      <c r="DK73" s="208">
        <v>-8515</v>
      </c>
      <c r="DL73" s="208">
        <v>-851448</v>
      </c>
      <c r="DM73" s="208">
        <v>-146157.5</v>
      </c>
      <c r="DN73" s="208">
        <v>-116925</v>
      </c>
      <c r="DO73" s="208">
        <v>-26307.51</v>
      </c>
      <c r="DP73" s="208">
        <v>-2922.39</v>
      </c>
      <c r="DQ73" s="208">
        <v>-292312</v>
      </c>
      <c r="DR73" s="208">
        <v>-25022</v>
      </c>
      <c r="DS73" s="208">
        <v>-20018</v>
      </c>
      <c r="DT73" s="208">
        <v>-4504</v>
      </c>
      <c r="DU73" s="208">
        <v>-500</v>
      </c>
      <c r="DV73" s="208">
        <v>-50044</v>
      </c>
      <c r="DW73" s="208">
        <v>-121135.5</v>
      </c>
      <c r="DX73" s="208">
        <v>-96907</v>
      </c>
      <c r="DY73" s="208">
        <v>-21803.51</v>
      </c>
      <c r="DZ73" s="208">
        <v>-2422.39</v>
      </c>
      <c r="EA73" s="208">
        <v>-242268</v>
      </c>
      <c r="EB73" s="208">
        <v>9261924</v>
      </c>
      <c r="EC73" s="208">
        <v>7409540</v>
      </c>
      <c r="ED73" s="208">
        <v>1667147</v>
      </c>
      <c r="EE73" s="208">
        <v>185239</v>
      </c>
      <c r="EF73" s="208">
        <v>18523850</v>
      </c>
      <c r="EG73" s="208">
        <v>9279622</v>
      </c>
      <c r="EH73" s="208">
        <v>7423697</v>
      </c>
      <c r="EI73" s="208">
        <v>1670332</v>
      </c>
      <c r="EJ73" s="208">
        <v>185592</v>
      </c>
      <c r="EK73" s="208">
        <v>18559243</v>
      </c>
      <c r="EL73" s="208">
        <v>17698</v>
      </c>
      <c r="EM73" s="208">
        <v>14157</v>
      </c>
      <c r="EN73" s="208">
        <v>3185</v>
      </c>
      <c r="EO73" s="208">
        <v>353</v>
      </c>
      <c r="EP73" s="208">
        <v>35393</v>
      </c>
      <c r="EQ73" s="208">
        <v>-103437.5</v>
      </c>
      <c r="ER73" s="208">
        <v>-82750</v>
      </c>
      <c r="ES73" s="208">
        <v>-18618.509999999998</v>
      </c>
      <c r="ET73" s="208">
        <v>-2069.39</v>
      </c>
      <c r="EU73" s="208">
        <v>-206875</v>
      </c>
      <c r="EV73" s="666">
        <v>0.5</v>
      </c>
      <c r="EW73" s="666">
        <v>0.4</v>
      </c>
      <c r="EX73" s="666">
        <v>0.09</v>
      </c>
      <c r="EY73" s="666">
        <v>0.01</v>
      </c>
      <c r="EZ73" s="666">
        <v>1</v>
      </c>
      <c r="FA73" s="187" t="s">
        <v>1054</v>
      </c>
      <c r="FC73" s="187">
        <v>0</v>
      </c>
    </row>
    <row r="74" spans="1:159" s="187" customFormat="1" x14ac:dyDescent="0.2">
      <c r="B74" s="429" t="s">
        <v>227</v>
      </c>
      <c r="C74" s="429" t="s">
        <v>226</v>
      </c>
      <c r="D74" s="208">
        <v>59803436</v>
      </c>
      <c r="E74" s="208">
        <v>47842748</v>
      </c>
      <c r="F74" s="208">
        <v>11960687</v>
      </c>
      <c r="G74" s="208">
        <v>0</v>
      </c>
      <c r="H74" s="208">
        <v>119606871</v>
      </c>
      <c r="I74" s="208">
        <v>0</v>
      </c>
      <c r="J74" s="208">
        <v>0</v>
      </c>
      <c r="K74" s="208">
        <v>59803436</v>
      </c>
      <c r="L74" s="208">
        <v>201945</v>
      </c>
      <c r="M74" s="208">
        <v>201945</v>
      </c>
      <c r="N74" s="208">
        <v>0</v>
      </c>
      <c r="O74" s="208">
        <v>0</v>
      </c>
      <c r="P74" s="208">
        <v>4800</v>
      </c>
      <c r="Q74" s="208">
        <v>0</v>
      </c>
      <c r="R74" s="208">
        <v>4800</v>
      </c>
      <c r="S74" s="208">
        <v>0</v>
      </c>
      <c r="T74" s="208">
        <v>0</v>
      </c>
      <c r="U74" s="208">
        <v>0</v>
      </c>
      <c r="V74" s="208">
        <v>0</v>
      </c>
      <c r="W74" s="208">
        <v>0</v>
      </c>
      <c r="X74" s="208">
        <v>0</v>
      </c>
      <c r="Y74" s="208">
        <v>0</v>
      </c>
      <c r="Z74" s="208">
        <v>0</v>
      </c>
      <c r="AA74" s="208">
        <v>0</v>
      </c>
      <c r="AB74" s="208">
        <v>0</v>
      </c>
      <c r="AC74" s="208">
        <v>0</v>
      </c>
      <c r="AD74" s="208">
        <v>0</v>
      </c>
      <c r="AE74" s="208">
        <v>0</v>
      </c>
      <c r="AF74" s="208">
        <v>0</v>
      </c>
      <c r="AG74" s="208">
        <v>1786665</v>
      </c>
      <c r="AH74" s="208">
        <v>446638</v>
      </c>
      <c r="AI74" s="208">
        <v>0</v>
      </c>
      <c r="AJ74" s="208">
        <v>2233303</v>
      </c>
      <c r="AK74" s="208">
        <v>939632</v>
      </c>
      <c r="AL74" s="208">
        <v>751706</v>
      </c>
      <c r="AM74" s="208">
        <v>187926</v>
      </c>
      <c r="AN74" s="208">
        <v>0</v>
      </c>
      <c r="AO74" s="208">
        <v>1879264</v>
      </c>
      <c r="AP74" s="208">
        <v>-1082381</v>
      </c>
      <c r="AQ74" s="208">
        <v>-865904</v>
      </c>
      <c r="AR74" s="208">
        <v>-216476</v>
      </c>
      <c r="AS74" s="208">
        <v>0</v>
      </c>
      <c r="AT74" s="208">
        <v>-2164761</v>
      </c>
      <c r="AU74" s="208">
        <v>-482799</v>
      </c>
      <c r="AV74" s="208">
        <v>-386240</v>
      </c>
      <c r="AW74" s="208">
        <v>-96560</v>
      </c>
      <c r="AX74" s="208">
        <v>0</v>
      </c>
      <c r="AY74" s="208">
        <v>-965599</v>
      </c>
      <c r="AZ74" s="208">
        <v>411105</v>
      </c>
      <c r="BA74" s="208">
        <v>328884</v>
      </c>
      <c r="BB74" s="208">
        <v>82221</v>
      </c>
      <c r="BC74" s="208">
        <v>0</v>
      </c>
      <c r="BD74" s="208">
        <v>822210</v>
      </c>
      <c r="BE74" s="208">
        <v>-415131</v>
      </c>
      <c r="BF74" s="208">
        <v>-332105</v>
      </c>
      <c r="BG74" s="208">
        <v>-83026</v>
      </c>
      <c r="BH74" s="208">
        <v>0</v>
      </c>
      <c r="BI74" s="208">
        <v>-830262</v>
      </c>
      <c r="BJ74" s="208">
        <v>-486825</v>
      </c>
      <c r="BK74" s="208">
        <v>-389461</v>
      </c>
      <c r="BL74" s="208">
        <v>-97365</v>
      </c>
      <c r="BM74" s="208">
        <v>0</v>
      </c>
      <c r="BN74" s="208">
        <v>-973651</v>
      </c>
      <c r="BO74" s="208">
        <v>-3310664</v>
      </c>
      <c r="BP74" s="208">
        <v>-2648531</v>
      </c>
      <c r="BQ74" s="208">
        <v>-662133</v>
      </c>
      <c r="BR74" s="208">
        <v>0</v>
      </c>
      <c r="BS74" s="208">
        <v>-6621328</v>
      </c>
      <c r="BT74" s="208">
        <v>-1082174</v>
      </c>
      <c r="BU74" s="208">
        <v>-865740</v>
      </c>
      <c r="BV74" s="208">
        <v>-216435</v>
      </c>
      <c r="BW74" s="208">
        <v>0</v>
      </c>
      <c r="BX74" s="208">
        <v>-2164349</v>
      </c>
      <c r="BY74" s="208">
        <v>-2228489</v>
      </c>
      <c r="BZ74" s="208">
        <v>-1782792</v>
      </c>
      <c r="CA74" s="208">
        <v>-445698</v>
      </c>
      <c r="CB74" s="208">
        <v>0</v>
      </c>
      <c r="CC74" s="208">
        <v>-4456979</v>
      </c>
      <c r="CD74" s="208">
        <v>187446</v>
      </c>
      <c r="CE74" s="208">
        <v>149956</v>
      </c>
      <c r="CF74" s="208">
        <v>37489</v>
      </c>
      <c r="CG74" s="208">
        <v>0</v>
      </c>
      <c r="CH74" s="208">
        <v>374891</v>
      </c>
      <c r="CI74" s="208">
        <v>24859</v>
      </c>
      <c r="CJ74" s="208">
        <v>19888</v>
      </c>
      <c r="CK74" s="208">
        <v>4972</v>
      </c>
      <c r="CL74" s="208">
        <v>0</v>
      </c>
      <c r="CM74" s="208">
        <v>49719</v>
      </c>
      <c r="CN74" s="208">
        <v>317829</v>
      </c>
      <c r="CO74" s="208">
        <v>254264</v>
      </c>
      <c r="CP74" s="208">
        <v>63566</v>
      </c>
      <c r="CQ74" s="208">
        <v>0</v>
      </c>
      <c r="CR74" s="208">
        <v>635659</v>
      </c>
      <c r="CS74" s="208">
        <v>-2323172</v>
      </c>
      <c r="CT74" s="208">
        <v>-1858538</v>
      </c>
      <c r="CU74" s="208">
        <v>-464635</v>
      </c>
      <c r="CV74" s="208">
        <v>0</v>
      </c>
      <c r="CW74" s="208">
        <v>-4646345</v>
      </c>
      <c r="CX74" s="208">
        <v>-5103702</v>
      </c>
      <c r="CY74" s="208">
        <v>-4082961</v>
      </c>
      <c r="CZ74" s="208">
        <v>-1020741</v>
      </c>
      <c r="DA74" s="208">
        <v>0</v>
      </c>
      <c r="DB74" s="208">
        <v>-10207404</v>
      </c>
      <c r="DC74" s="208">
        <v>-576899</v>
      </c>
      <c r="DD74" s="208">
        <v>-461520</v>
      </c>
      <c r="DE74" s="208">
        <v>-115380</v>
      </c>
      <c r="DF74" s="208">
        <v>0</v>
      </c>
      <c r="DG74" s="208">
        <v>-1153799</v>
      </c>
      <c r="DH74" s="208">
        <v>-4526802</v>
      </c>
      <c r="DI74" s="208">
        <v>-3621442</v>
      </c>
      <c r="DJ74" s="208">
        <v>-905361</v>
      </c>
      <c r="DK74" s="208">
        <v>0</v>
      </c>
      <c r="DL74" s="208">
        <v>-9053605</v>
      </c>
      <c r="DM74" s="208">
        <v>437317</v>
      </c>
      <c r="DN74" s="208">
        <v>349853</v>
      </c>
      <c r="DO74" s="208">
        <v>87463</v>
      </c>
      <c r="DP74" s="208">
        <v>0</v>
      </c>
      <c r="DQ74" s="208">
        <v>874633</v>
      </c>
      <c r="DR74" s="208">
        <v>207686</v>
      </c>
      <c r="DS74" s="208">
        <v>166148</v>
      </c>
      <c r="DT74" s="208">
        <v>41537</v>
      </c>
      <c r="DU74" s="208">
        <v>0</v>
      </c>
      <c r="DV74" s="208">
        <v>415371</v>
      </c>
      <c r="DW74" s="208">
        <v>229631</v>
      </c>
      <c r="DX74" s="208">
        <v>183705</v>
      </c>
      <c r="DY74" s="208">
        <v>45926</v>
      </c>
      <c r="DZ74" s="208">
        <v>0</v>
      </c>
      <c r="EA74" s="208">
        <v>459262</v>
      </c>
      <c r="EB74" s="208">
        <v>59978391</v>
      </c>
      <c r="EC74" s="208">
        <v>47982713</v>
      </c>
      <c r="ED74" s="208">
        <v>11995678</v>
      </c>
      <c r="EE74" s="208">
        <v>0</v>
      </c>
      <c r="EF74" s="208">
        <v>119956782</v>
      </c>
      <c r="EG74" s="208">
        <v>59803436</v>
      </c>
      <c r="EH74" s="208">
        <v>47842748</v>
      </c>
      <c r="EI74" s="208">
        <v>11960687</v>
      </c>
      <c r="EJ74" s="208">
        <v>0</v>
      </c>
      <c r="EK74" s="208">
        <v>119606871</v>
      </c>
      <c r="EL74" s="208">
        <v>-174955</v>
      </c>
      <c r="EM74" s="208">
        <v>-139965</v>
      </c>
      <c r="EN74" s="208">
        <v>-34991</v>
      </c>
      <c r="EO74" s="208">
        <v>0</v>
      </c>
      <c r="EP74" s="208">
        <v>-349911</v>
      </c>
      <c r="EQ74" s="208">
        <v>54676</v>
      </c>
      <c r="ER74" s="208">
        <v>43740</v>
      </c>
      <c r="ES74" s="208">
        <v>10935</v>
      </c>
      <c r="ET74" s="208">
        <v>0</v>
      </c>
      <c r="EU74" s="208">
        <v>109351</v>
      </c>
      <c r="EV74" s="666">
        <v>0.5</v>
      </c>
      <c r="EW74" s="666">
        <v>0.4</v>
      </c>
      <c r="EX74" s="666">
        <v>0.1</v>
      </c>
      <c r="EY74" s="666">
        <v>0</v>
      </c>
      <c r="EZ74" s="666">
        <v>1</v>
      </c>
      <c r="FA74" s="187" t="s">
        <v>1054</v>
      </c>
      <c r="FC74" s="187">
        <v>0</v>
      </c>
    </row>
    <row r="75" spans="1:159" s="187" customFormat="1" x14ac:dyDescent="0.2">
      <c r="B75" s="429" t="s">
        <v>229</v>
      </c>
      <c r="C75" s="429" t="s">
        <v>228</v>
      </c>
      <c r="D75" s="208">
        <v>0</v>
      </c>
      <c r="E75" s="208">
        <v>82251235</v>
      </c>
      <c r="F75" s="208">
        <v>46266320</v>
      </c>
      <c r="G75" s="208">
        <v>0</v>
      </c>
      <c r="H75" s="208">
        <v>128517555</v>
      </c>
      <c r="I75" s="208">
        <v>0</v>
      </c>
      <c r="J75" s="208">
        <v>0</v>
      </c>
      <c r="K75" s="208">
        <v>0</v>
      </c>
      <c r="L75" s="208">
        <v>425727</v>
      </c>
      <c r="M75" s="208">
        <v>425727</v>
      </c>
      <c r="N75" s="208">
        <v>2511947</v>
      </c>
      <c r="O75" s="208">
        <v>2511947</v>
      </c>
      <c r="P75" s="208">
        <v>0</v>
      </c>
      <c r="Q75" s="208">
        <v>0</v>
      </c>
      <c r="R75" s="208">
        <v>0</v>
      </c>
      <c r="S75" s="208">
        <v>0</v>
      </c>
      <c r="T75" s="208">
        <v>0</v>
      </c>
      <c r="U75" s="208">
        <v>0</v>
      </c>
      <c r="V75" s="208">
        <v>0</v>
      </c>
      <c r="W75" s="208">
        <v>0</v>
      </c>
      <c r="X75" s="208">
        <v>0</v>
      </c>
      <c r="Y75" s="208">
        <v>0</v>
      </c>
      <c r="Z75" s="208">
        <v>0</v>
      </c>
      <c r="AA75" s="208">
        <v>0</v>
      </c>
      <c r="AB75" s="208">
        <v>0</v>
      </c>
      <c r="AC75" s="208">
        <v>0</v>
      </c>
      <c r="AD75" s="208">
        <v>0</v>
      </c>
      <c r="AE75" s="208">
        <v>0</v>
      </c>
      <c r="AF75" s="208">
        <v>0</v>
      </c>
      <c r="AG75" s="208">
        <v>7048126</v>
      </c>
      <c r="AH75" s="208">
        <v>3751901</v>
      </c>
      <c r="AI75" s="208">
        <v>0</v>
      </c>
      <c r="AJ75" s="208">
        <v>10800027</v>
      </c>
      <c r="AK75" s="208">
        <v>0</v>
      </c>
      <c r="AL75" s="208">
        <v>5206680</v>
      </c>
      <c r="AM75" s="208">
        <v>2928758</v>
      </c>
      <c r="AN75" s="208">
        <v>0</v>
      </c>
      <c r="AO75" s="208">
        <v>8135438</v>
      </c>
      <c r="AP75" s="208">
        <v>0</v>
      </c>
      <c r="AQ75" s="208">
        <v>-3627401</v>
      </c>
      <c r="AR75" s="208">
        <v>-2040413</v>
      </c>
      <c r="AS75" s="208">
        <v>0</v>
      </c>
      <c r="AT75" s="208">
        <v>-5667814</v>
      </c>
      <c r="AU75" s="208">
        <v>0</v>
      </c>
      <c r="AV75" s="208">
        <v>-4692120</v>
      </c>
      <c r="AW75" s="208">
        <v>-2639318</v>
      </c>
      <c r="AX75" s="208">
        <v>0</v>
      </c>
      <c r="AY75" s="208">
        <v>-7331438</v>
      </c>
      <c r="AZ75" s="208">
        <v>0</v>
      </c>
      <c r="BA75" s="208">
        <v>1539853</v>
      </c>
      <c r="BB75" s="208">
        <v>866168</v>
      </c>
      <c r="BC75" s="208">
        <v>0</v>
      </c>
      <c r="BD75" s="208">
        <v>2406021</v>
      </c>
      <c r="BE75" s="208">
        <v>0</v>
      </c>
      <c r="BF75" s="208">
        <v>136076</v>
      </c>
      <c r="BG75" s="208">
        <v>76542</v>
      </c>
      <c r="BH75" s="208">
        <v>0</v>
      </c>
      <c r="BI75" s="208">
        <v>212618</v>
      </c>
      <c r="BJ75" s="208">
        <v>0</v>
      </c>
      <c r="BK75" s="208">
        <v>-3016191</v>
      </c>
      <c r="BL75" s="208">
        <v>-1696608</v>
      </c>
      <c r="BM75" s="208">
        <v>0</v>
      </c>
      <c r="BN75" s="208">
        <v>-4712799</v>
      </c>
      <c r="BO75" s="208">
        <v>0</v>
      </c>
      <c r="BP75" s="208">
        <v>-10880000</v>
      </c>
      <c r="BQ75" s="208">
        <v>-6120000</v>
      </c>
      <c r="BR75" s="208">
        <v>0</v>
      </c>
      <c r="BS75" s="208">
        <v>-17000000</v>
      </c>
      <c r="BT75" s="208">
        <v>0</v>
      </c>
      <c r="BU75" s="208">
        <v>-3200000</v>
      </c>
      <c r="BV75" s="208">
        <v>-1800000</v>
      </c>
      <c r="BW75" s="208">
        <v>0</v>
      </c>
      <c r="BX75" s="208">
        <v>-5000000</v>
      </c>
      <c r="BY75" s="208">
        <v>0</v>
      </c>
      <c r="BZ75" s="208">
        <v>-7680000</v>
      </c>
      <c r="CA75" s="208">
        <v>-4320000</v>
      </c>
      <c r="CB75" s="208">
        <v>0</v>
      </c>
      <c r="CC75" s="208">
        <v>-12000000</v>
      </c>
      <c r="CD75" s="208">
        <v>0</v>
      </c>
      <c r="CE75" s="208">
        <v>2721997</v>
      </c>
      <c r="CF75" s="208">
        <v>1531124</v>
      </c>
      <c r="CG75" s="208">
        <v>0</v>
      </c>
      <c r="CH75" s="208">
        <v>4253121</v>
      </c>
      <c r="CI75" s="208">
        <v>0</v>
      </c>
      <c r="CJ75" s="208">
        <v>0</v>
      </c>
      <c r="CK75" s="208">
        <v>0</v>
      </c>
      <c r="CL75" s="208">
        <v>0</v>
      </c>
      <c r="CM75" s="208">
        <v>0</v>
      </c>
      <c r="CN75" s="208">
        <v>0</v>
      </c>
      <c r="CO75" s="208">
        <v>-1554977</v>
      </c>
      <c r="CP75" s="208">
        <v>-874674</v>
      </c>
      <c r="CQ75" s="208">
        <v>0</v>
      </c>
      <c r="CR75" s="208">
        <v>-2429651</v>
      </c>
      <c r="CS75" s="208">
        <v>0</v>
      </c>
      <c r="CT75" s="208">
        <v>2064118</v>
      </c>
      <c r="CU75" s="208">
        <v>1161066</v>
      </c>
      <c r="CV75" s="208">
        <v>0</v>
      </c>
      <c r="CW75" s="208">
        <v>3225184</v>
      </c>
      <c r="CX75" s="208">
        <v>0</v>
      </c>
      <c r="CY75" s="208">
        <v>-7648862</v>
      </c>
      <c r="CZ75" s="208">
        <v>-4302484</v>
      </c>
      <c r="DA75" s="208">
        <v>0</v>
      </c>
      <c r="DB75" s="208">
        <v>-11951346</v>
      </c>
      <c r="DC75" s="208">
        <v>0</v>
      </c>
      <c r="DD75" s="208">
        <v>-2032980</v>
      </c>
      <c r="DE75" s="208">
        <v>-1143550</v>
      </c>
      <c r="DF75" s="208">
        <v>0</v>
      </c>
      <c r="DG75" s="208">
        <v>-3176530</v>
      </c>
      <c r="DH75" s="208">
        <v>0</v>
      </c>
      <c r="DI75" s="208">
        <v>-5615882</v>
      </c>
      <c r="DJ75" s="208">
        <v>-3158934</v>
      </c>
      <c r="DK75" s="208">
        <v>0</v>
      </c>
      <c r="DL75" s="208">
        <v>-8774816</v>
      </c>
      <c r="DM75" s="208">
        <v>4002830</v>
      </c>
      <c r="DN75" s="208">
        <v>1741447</v>
      </c>
      <c r="DO75" s="208">
        <v>60543</v>
      </c>
      <c r="DP75" s="208">
        <v>0</v>
      </c>
      <c r="DQ75" s="208">
        <v>5804820</v>
      </c>
      <c r="DR75" s="208">
        <v>6427391</v>
      </c>
      <c r="DS75" s="208">
        <v>3926654</v>
      </c>
      <c r="DT75" s="208">
        <v>2734803</v>
      </c>
      <c r="DU75" s="208">
        <v>0</v>
      </c>
      <c r="DV75" s="208">
        <v>13088848</v>
      </c>
      <c r="DW75" s="208">
        <v>-2424561</v>
      </c>
      <c r="DX75" s="208">
        <v>-2185207</v>
      </c>
      <c r="DY75" s="208">
        <v>-2674260</v>
      </c>
      <c r="DZ75" s="208">
        <v>0</v>
      </c>
      <c r="EA75" s="208">
        <v>-7284028</v>
      </c>
      <c r="EB75" s="208">
        <v>0</v>
      </c>
      <c r="EC75" s="208">
        <v>78025129</v>
      </c>
      <c r="ED75" s="208">
        <v>43889135</v>
      </c>
      <c r="EE75" s="208">
        <v>0</v>
      </c>
      <c r="EF75" s="208">
        <v>121914264</v>
      </c>
      <c r="EG75" s="208">
        <v>0</v>
      </c>
      <c r="EH75" s="208">
        <v>82251235</v>
      </c>
      <c r="EI75" s="208">
        <v>46266320</v>
      </c>
      <c r="EJ75" s="208">
        <v>0</v>
      </c>
      <c r="EK75" s="208">
        <v>128517555</v>
      </c>
      <c r="EL75" s="208">
        <v>0</v>
      </c>
      <c r="EM75" s="208">
        <v>4226106</v>
      </c>
      <c r="EN75" s="208">
        <v>2377185</v>
      </c>
      <c r="EO75" s="208">
        <v>0</v>
      </c>
      <c r="EP75" s="208">
        <v>6603291</v>
      </c>
      <c r="EQ75" s="208">
        <v>-2424561</v>
      </c>
      <c r="ER75" s="208">
        <v>2040899</v>
      </c>
      <c r="ES75" s="208">
        <v>-297075</v>
      </c>
      <c r="ET75" s="208">
        <v>0</v>
      </c>
      <c r="EU75" s="208">
        <v>-680737</v>
      </c>
      <c r="EV75" s="666">
        <v>0</v>
      </c>
      <c r="EW75" s="666">
        <v>0.64</v>
      </c>
      <c r="EX75" s="666">
        <v>0.36</v>
      </c>
      <c r="EY75" s="666">
        <v>0</v>
      </c>
      <c r="EZ75" s="666">
        <v>1</v>
      </c>
      <c r="FA75" s="187" t="s">
        <v>1055</v>
      </c>
      <c r="FC75" s="187">
        <v>0</v>
      </c>
    </row>
    <row r="76" spans="1:159" s="187" customFormat="1" x14ac:dyDescent="0.2">
      <c r="B76" s="429" t="s">
        <v>231</v>
      </c>
      <c r="C76" s="429" t="s">
        <v>230</v>
      </c>
      <c r="D76" s="208">
        <v>31641382</v>
      </c>
      <c r="E76" s="208">
        <v>25313105</v>
      </c>
      <c r="F76" s="208">
        <v>6328276</v>
      </c>
      <c r="G76" s="208">
        <v>0</v>
      </c>
      <c r="H76" s="208">
        <v>63282763</v>
      </c>
      <c r="I76" s="208">
        <v>18945</v>
      </c>
      <c r="J76" s="208">
        <v>18945</v>
      </c>
      <c r="K76" s="208">
        <v>31622437</v>
      </c>
      <c r="L76" s="208">
        <v>207800</v>
      </c>
      <c r="M76" s="208">
        <v>207800</v>
      </c>
      <c r="N76" s="208">
        <v>214115</v>
      </c>
      <c r="O76" s="208">
        <v>214115</v>
      </c>
      <c r="P76" s="208">
        <v>42783</v>
      </c>
      <c r="Q76" s="208">
        <v>0</v>
      </c>
      <c r="R76" s="208">
        <v>42783</v>
      </c>
      <c r="S76" s="208">
        <v>0</v>
      </c>
      <c r="T76" s="208">
        <v>0</v>
      </c>
      <c r="U76" s="208">
        <v>0</v>
      </c>
      <c r="V76" s="208">
        <v>0</v>
      </c>
      <c r="W76" s="208">
        <v>18945.439583333333</v>
      </c>
      <c r="X76" s="208">
        <v>0</v>
      </c>
      <c r="Y76" s="208">
        <v>0</v>
      </c>
      <c r="Z76" s="208">
        <v>18945.439583333333</v>
      </c>
      <c r="AA76" s="208">
        <v>0</v>
      </c>
      <c r="AB76" s="208">
        <v>0</v>
      </c>
      <c r="AC76" s="208">
        <v>0</v>
      </c>
      <c r="AD76" s="208">
        <v>0</v>
      </c>
      <c r="AE76" s="208">
        <v>0</v>
      </c>
      <c r="AF76" s="208">
        <v>0</v>
      </c>
      <c r="AG76" s="208">
        <v>1980920</v>
      </c>
      <c r="AH76" s="208">
        <v>493759</v>
      </c>
      <c r="AI76" s="208">
        <v>0</v>
      </c>
      <c r="AJ76" s="208">
        <v>2474679</v>
      </c>
      <c r="AK76" s="208">
        <v>1184888</v>
      </c>
      <c r="AL76" s="208">
        <v>947911</v>
      </c>
      <c r="AM76" s="208">
        <v>236978</v>
      </c>
      <c r="AN76" s="208">
        <v>0</v>
      </c>
      <c r="AO76" s="208">
        <v>2369777</v>
      </c>
      <c r="AP76" s="208">
        <v>-477672</v>
      </c>
      <c r="AQ76" s="208">
        <v>-382137</v>
      </c>
      <c r="AR76" s="208">
        <v>-95534</v>
      </c>
      <c r="AS76" s="208">
        <v>0</v>
      </c>
      <c r="AT76" s="208">
        <v>-955343</v>
      </c>
      <c r="AU76" s="208">
        <v>-328854</v>
      </c>
      <c r="AV76" s="208">
        <v>-263083</v>
      </c>
      <c r="AW76" s="208">
        <v>-65771</v>
      </c>
      <c r="AX76" s="208">
        <v>0</v>
      </c>
      <c r="AY76" s="208">
        <v>-657708</v>
      </c>
      <c r="AZ76" s="208">
        <v>81859</v>
      </c>
      <c r="BA76" s="208">
        <v>65487</v>
      </c>
      <c r="BB76" s="208">
        <v>16372</v>
      </c>
      <c r="BC76" s="208">
        <v>0</v>
      </c>
      <c r="BD76" s="208">
        <v>163718</v>
      </c>
      <c r="BE76" s="208">
        <v>-621318</v>
      </c>
      <c r="BF76" s="208">
        <v>-497055</v>
      </c>
      <c r="BG76" s="208">
        <v>-124264</v>
      </c>
      <c r="BH76" s="208">
        <v>0</v>
      </c>
      <c r="BI76" s="208">
        <v>-1242637</v>
      </c>
      <c r="BJ76" s="208">
        <v>-868313</v>
      </c>
      <c r="BK76" s="208">
        <v>-694651</v>
      </c>
      <c r="BL76" s="208">
        <v>-173663</v>
      </c>
      <c r="BM76" s="208">
        <v>0</v>
      </c>
      <c r="BN76" s="208">
        <v>-1736627</v>
      </c>
      <c r="BO76" s="208">
        <v>-5227849</v>
      </c>
      <c r="BP76" s="208">
        <v>-4182279</v>
      </c>
      <c r="BQ76" s="208">
        <v>-1045570</v>
      </c>
      <c r="BR76" s="208">
        <v>0</v>
      </c>
      <c r="BS76" s="208">
        <v>-10455698</v>
      </c>
      <c r="BT76" s="208">
        <v>0</v>
      </c>
      <c r="BU76" s="208">
        <v>0</v>
      </c>
      <c r="BV76" s="208">
        <v>0</v>
      </c>
      <c r="BW76" s="208">
        <v>0</v>
      </c>
      <c r="BX76" s="208">
        <v>0</v>
      </c>
      <c r="BY76" s="208">
        <v>-5227849</v>
      </c>
      <c r="BZ76" s="208">
        <v>-4182279</v>
      </c>
      <c r="CA76" s="208">
        <v>-1045570</v>
      </c>
      <c r="CB76" s="208">
        <v>0</v>
      </c>
      <c r="CC76" s="208">
        <v>-10455698</v>
      </c>
      <c r="CD76" s="208">
        <v>959701</v>
      </c>
      <c r="CE76" s="208">
        <v>767761</v>
      </c>
      <c r="CF76" s="208">
        <v>191940</v>
      </c>
      <c r="CG76" s="208">
        <v>0</v>
      </c>
      <c r="CH76" s="208">
        <v>1919402</v>
      </c>
      <c r="CI76" s="208">
        <v>0</v>
      </c>
      <c r="CJ76" s="208">
        <v>0</v>
      </c>
      <c r="CK76" s="208">
        <v>0</v>
      </c>
      <c r="CL76" s="208">
        <v>0</v>
      </c>
      <c r="CM76" s="208">
        <v>0</v>
      </c>
      <c r="CN76" s="208">
        <v>143633</v>
      </c>
      <c r="CO76" s="208">
        <v>114907</v>
      </c>
      <c r="CP76" s="208">
        <v>28727</v>
      </c>
      <c r="CQ76" s="208">
        <v>0</v>
      </c>
      <c r="CR76" s="208">
        <v>287267</v>
      </c>
      <c r="CS76" s="208">
        <v>-1547182</v>
      </c>
      <c r="CT76" s="208">
        <v>-1237745</v>
      </c>
      <c r="CU76" s="208">
        <v>-309436</v>
      </c>
      <c r="CV76" s="208">
        <v>0</v>
      </c>
      <c r="CW76" s="208">
        <v>-3094363</v>
      </c>
      <c r="CX76" s="208">
        <v>-5671697</v>
      </c>
      <c r="CY76" s="208">
        <v>-4537356</v>
      </c>
      <c r="CZ76" s="208">
        <v>-1134339</v>
      </c>
      <c r="DA76" s="208">
        <v>0</v>
      </c>
      <c r="DB76" s="208">
        <v>-11343392</v>
      </c>
      <c r="DC76" s="208">
        <v>1103334</v>
      </c>
      <c r="DD76" s="208">
        <v>882668</v>
      </c>
      <c r="DE76" s="208">
        <v>220667</v>
      </c>
      <c r="DF76" s="208">
        <v>0</v>
      </c>
      <c r="DG76" s="208">
        <v>2206669</v>
      </c>
      <c r="DH76" s="208">
        <v>-6775031</v>
      </c>
      <c r="DI76" s="208">
        <v>-5420024</v>
      </c>
      <c r="DJ76" s="208">
        <v>-1355006</v>
      </c>
      <c r="DK76" s="208">
        <v>0</v>
      </c>
      <c r="DL76" s="208">
        <v>-13550061</v>
      </c>
      <c r="DM76" s="208">
        <v>290195</v>
      </c>
      <c r="DN76" s="208">
        <v>232157</v>
      </c>
      <c r="DO76" s="208">
        <v>58039</v>
      </c>
      <c r="DP76" s="208">
        <v>0</v>
      </c>
      <c r="DQ76" s="208">
        <v>580391</v>
      </c>
      <c r="DR76" s="208">
        <v>2263874</v>
      </c>
      <c r="DS76" s="208">
        <v>1811100</v>
      </c>
      <c r="DT76" s="208">
        <v>452775</v>
      </c>
      <c r="DU76" s="208">
        <v>0</v>
      </c>
      <c r="DV76" s="208">
        <v>4527749</v>
      </c>
      <c r="DW76" s="208">
        <v>-1973679</v>
      </c>
      <c r="DX76" s="208">
        <v>-1578943</v>
      </c>
      <c r="DY76" s="208">
        <v>-394736</v>
      </c>
      <c r="DZ76" s="208">
        <v>0</v>
      </c>
      <c r="EA76" s="208">
        <v>-3947358</v>
      </c>
      <c r="EB76" s="208">
        <v>31854562</v>
      </c>
      <c r="EC76" s="208">
        <v>25483649</v>
      </c>
      <c r="ED76" s="208">
        <v>6370912</v>
      </c>
      <c r="EE76" s="208">
        <v>0</v>
      </c>
      <c r="EF76" s="208">
        <v>63709123</v>
      </c>
      <c r="EG76" s="208">
        <v>31641382</v>
      </c>
      <c r="EH76" s="208">
        <v>25313105</v>
      </c>
      <c r="EI76" s="208">
        <v>6328276</v>
      </c>
      <c r="EJ76" s="208">
        <v>0</v>
      </c>
      <c r="EK76" s="208">
        <v>63282763</v>
      </c>
      <c r="EL76" s="208">
        <v>-213180</v>
      </c>
      <c r="EM76" s="208">
        <v>-170544</v>
      </c>
      <c r="EN76" s="208">
        <v>-42636</v>
      </c>
      <c r="EO76" s="208">
        <v>0</v>
      </c>
      <c r="EP76" s="208">
        <v>-426360</v>
      </c>
      <c r="EQ76" s="208">
        <v>-2186859</v>
      </c>
      <c r="ER76" s="208">
        <v>-1749487</v>
      </c>
      <c r="ES76" s="208">
        <v>-437372</v>
      </c>
      <c r="ET76" s="208">
        <v>0</v>
      </c>
      <c r="EU76" s="208">
        <v>-4373718</v>
      </c>
      <c r="EV76" s="666">
        <v>0.5</v>
      </c>
      <c r="EW76" s="666">
        <v>0.4</v>
      </c>
      <c r="EX76" s="666">
        <v>0.1</v>
      </c>
      <c r="EY76" s="666">
        <v>0</v>
      </c>
      <c r="EZ76" s="666">
        <v>1</v>
      </c>
      <c r="FA76" s="187" t="s">
        <v>1054</v>
      </c>
      <c r="FC76" s="187">
        <v>0</v>
      </c>
    </row>
    <row r="77" spans="1:159" s="187" customFormat="1" x14ac:dyDescent="0.2">
      <c r="B77" s="429" t="s">
        <v>233</v>
      </c>
      <c r="C77" s="429" t="s">
        <v>232</v>
      </c>
      <c r="D77" s="208">
        <v>15603353</v>
      </c>
      <c r="E77" s="208">
        <v>15291286</v>
      </c>
      <c r="F77" s="208">
        <v>0</v>
      </c>
      <c r="G77" s="208">
        <v>312067</v>
      </c>
      <c r="H77" s="208">
        <v>31206706</v>
      </c>
      <c r="I77" s="208">
        <v>166398</v>
      </c>
      <c r="J77" s="208">
        <v>166398</v>
      </c>
      <c r="K77" s="208">
        <v>15436955</v>
      </c>
      <c r="L77" s="208">
        <v>144093</v>
      </c>
      <c r="M77" s="208">
        <v>144093</v>
      </c>
      <c r="N77" s="208">
        <v>203084</v>
      </c>
      <c r="O77" s="208">
        <v>203084</v>
      </c>
      <c r="P77" s="208">
        <v>0</v>
      </c>
      <c r="Q77" s="208">
        <v>0</v>
      </c>
      <c r="R77" s="208">
        <v>0</v>
      </c>
      <c r="S77" s="208">
        <v>0</v>
      </c>
      <c r="T77" s="208">
        <v>0</v>
      </c>
      <c r="U77" s="208">
        <v>0</v>
      </c>
      <c r="V77" s="208">
        <v>0</v>
      </c>
      <c r="W77" s="208">
        <v>28205.904166666667</v>
      </c>
      <c r="X77" s="208">
        <v>0</v>
      </c>
      <c r="Y77" s="208">
        <v>0</v>
      </c>
      <c r="Z77" s="208">
        <v>28205.904166666667</v>
      </c>
      <c r="AA77" s="208">
        <v>135428.16</v>
      </c>
      <c r="AB77" s="208">
        <v>0</v>
      </c>
      <c r="AC77" s="208">
        <v>2763.84</v>
      </c>
      <c r="AD77" s="208">
        <v>138192</v>
      </c>
      <c r="AE77" s="208">
        <v>0</v>
      </c>
      <c r="AF77" s="208">
        <v>0</v>
      </c>
      <c r="AG77" s="208">
        <v>1912369</v>
      </c>
      <c r="AH77" s="208">
        <v>0</v>
      </c>
      <c r="AI77" s="208">
        <v>37840</v>
      </c>
      <c r="AJ77" s="208">
        <v>1950209</v>
      </c>
      <c r="AK77" s="208">
        <v>776954</v>
      </c>
      <c r="AL77" s="208">
        <v>761415</v>
      </c>
      <c r="AM77" s="208">
        <v>0</v>
      </c>
      <c r="AN77" s="208">
        <v>15539</v>
      </c>
      <c r="AO77" s="208">
        <v>1553908</v>
      </c>
      <c r="AP77" s="208">
        <v>-209232</v>
      </c>
      <c r="AQ77" s="208">
        <v>-205047</v>
      </c>
      <c r="AR77" s="208">
        <v>0</v>
      </c>
      <c r="AS77" s="208">
        <v>-4185</v>
      </c>
      <c r="AT77" s="208">
        <v>-418464</v>
      </c>
      <c r="AU77" s="208">
        <v>-198374</v>
      </c>
      <c r="AV77" s="208">
        <v>-194408</v>
      </c>
      <c r="AW77" s="208">
        <v>0</v>
      </c>
      <c r="AX77" s="208">
        <v>-3968</v>
      </c>
      <c r="AY77" s="208">
        <v>-396750</v>
      </c>
      <c r="AZ77" s="208">
        <v>296804</v>
      </c>
      <c r="BA77" s="208">
        <v>290868</v>
      </c>
      <c r="BB77" s="208">
        <v>0</v>
      </c>
      <c r="BC77" s="208">
        <v>5936</v>
      </c>
      <c r="BD77" s="208">
        <v>593608</v>
      </c>
      <c r="BE77" s="208">
        <v>-293500</v>
      </c>
      <c r="BF77" s="208">
        <v>-287630</v>
      </c>
      <c r="BG77" s="208">
        <v>0</v>
      </c>
      <c r="BH77" s="208">
        <v>-5870</v>
      </c>
      <c r="BI77" s="208">
        <v>-587000</v>
      </c>
      <c r="BJ77" s="208">
        <v>-195070</v>
      </c>
      <c r="BK77" s="208">
        <v>-191170</v>
      </c>
      <c r="BL77" s="208">
        <v>0</v>
      </c>
      <c r="BM77" s="208">
        <v>-3902</v>
      </c>
      <c r="BN77" s="208">
        <v>-390142</v>
      </c>
      <c r="BO77" s="208">
        <v>-1075577</v>
      </c>
      <c r="BP77" s="208">
        <v>-1054065</v>
      </c>
      <c r="BQ77" s="208">
        <v>0</v>
      </c>
      <c r="BR77" s="208">
        <v>-21512</v>
      </c>
      <c r="BS77" s="208">
        <v>-2151154</v>
      </c>
      <c r="BT77" s="208">
        <v>-253577</v>
      </c>
      <c r="BU77" s="208">
        <v>-248505</v>
      </c>
      <c r="BV77" s="208">
        <v>0</v>
      </c>
      <c r="BW77" s="208">
        <v>-5072</v>
      </c>
      <c r="BX77" s="208">
        <v>-507154</v>
      </c>
      <c r="BY77" s="208">
        <v>-822000</v>
      </c>
      <c r="BZ77" s="208">
        <v>-805560</v>
      </c>
      <c r="CA77" s="208">
        <v>0</v>
      </c>
      <c r="CB77" s="208">
        <v>-16440</v>
      </c>
      <c r="CC77" s="208">
        <v>-1644000</v>
      </c>
      <c r="CD77" s="208">
        <v>141216</v>
      </c>
      <c r="CE77" s="208">
        <v>138392</v>
      </c>
      <c r="CF77" s="208">
        <v>0</v>
      </c>
      <c r="CG77" s="208">
        <v>2824</v>
      </c>
      <c r="CH77" s="208">
        <v>282432</v>
      </c>
      <c r="CI77" s="208">
        <v>0</v>
      </c>
      <c r="CJ77" s="208">
        <v>0</v>
      </c>
      <c r="CK77" s="208">
        <v>0</v>
      </c>
      <c r="CL77" s="208">
        <v>0</v>
      </c>
      <c r="CM77" s="208">
        <v>0</v>
      </c>
      <c r="CN77" s="208">
        <v>9251</v>
      </c>
      <c r="CO77" s="208">
        <v>9065</v>
      </c>
      <c r="CP77" s="208">
        <v>0</v>
      </c>
      <c r="CQ77" s="208">
        <v>185</v>
      </c>
      <c r="CR77" s="208">
        <v>18501</v>
      </c>
      <c r="CS77" s="208">
        <v>19000</v>
      </c>
      <c r="CT77" s="208">
        <v>18620</v>
      </c>
      <c r="CU77" s="208">
        <v>0</v>
      </c>
      <c r="CV77" s="208">
        <v>380</v>
      </c>
      <c r="CW77" s="208">
        <v>38000</v>
      </c>
      <c r="CX77" s="208">
        <v>-906110</v>
      </c>
      <c r="CY77" s="208">
        <v>-887988</v>
      </c>
      <c r="CZ77" s="208">
        <v>0</v>
      </c>
      <c r="DA77" s="208">
        <v>-18123</v>
      </c>
      <c r="DB77" s="208">
        <v>-1812221</v>
      </c>
      <c r="DC77" s="208">
        <v>-103110</v>
      </c>
      <c r="DD77" s="208">
        <v>-101048</v>
      </c>
      <c r="DE77" s="208">
        <v>0</v>
      </c>
      <c r="DF77" s="208">
        <v>-2063</v>
      </c>
      <c r="DG77" s="208">
        <v>-206221</v>
      </c>
      <c r="DH77" s="208">
        <v>-803000</v>
      </c>
      <c r="DI77" s="208">
        <v>-786940</v>
      </c>
      <c r="DJ77" s="208">
        <v>0</v>
      </c>
      <c r="DK77" s="208">
        <v>-16060</v>
      </c>
      <c r="DL77" s="208">
        <v>-1606000</v>
      </c>
      <c r="DM77" s="208">
        <v>-446125</v>
      </c>
      <c r="DN77" s="208">
        <v>-437201</v>
      </c>
      <c r="DO77" s="208">
        <v>0</v>
      </c>
      <c r="DP77" s="208">
        <v>-8921</v>
      </c>
      <c r="DQ77" s="208">
        <v>-892247</v>
      </c>
      <c r="DR77" s="208">
        <v>-837270</v>
      </c>
      <c r="DS77" s="208">
        <v>-820525</v>
      </c>
      <c r="DT77" s="208">
        <v>0</v>
      </c>
      <c r="DU77" s="208">
        <v>-16745</v>
      </c>
      <c r="DV77" s="208">
        <v>-1674540</v>
      </c>
      <c r="DW77" s="208">
        <v>391145</v>
      </c>
      <c r="DX77" s="208">
        <v>383324</v>
      </c>
      <c r="DY77" s="208">
        <v>0</v>
      </c>
      <c r="DZ77" s="208">
        <v>7824</v>
      </c>
      <c r="EA77" s="208">
        <v>782293</v>
      </c>
      <c r="EB77" s="208">
        <v>16118426</v>
      </c>
      <c r="EC77" s="208">
        <v>15796058</v>
      </c>
      <c r="ED77" s="208">
        <v>0</v>
      </c>
      <c r="EE77" s="208">
        <v>322369</v>
      </c>
      <c r="EF77" s="208">
        <v>32236853</v>
      </c>
      <c r="EG77" s="208">
        <v>15603353</v>
      </c>
      <c r="EH77" s="208">
        <v>15291286</v>
      </c>
      <c r="EI77" s="208">
        <v>0</v>
      </c>
      <c r="EJ77" s="208">
        <v>312067</v>
      </c>
      <c r="EK77" s="208">
        <v>31206706</v>
      </c>
      <c r="EL77" s="208">
        <v>-515073</v>
      </c>
      <c r="EM77" s="208">
        <v>-504772</v>
      </c>
      <c r="EN77" s="208">
        <v>0</v>
      </c>
      <c r="EO77" s="208">
        <v>-10302</v>
      </c>
      <c r="EP77" s="208">
        <v>-1030147</v>
      </c>
      <c r="EQ77" s="208">
        <v>-123928</v>
      </c>
      <c r="ER77" s="208">
        <v>-121448</v>
      </c>
      <c r="ES77" s="208">
        <v>0</v>
      </c>
      <c r="ET77" s="208">
        <v>-2478</v>
      </c>
      <c r="EU77" s="208">
        <v>-247854</v>
      </c>
      <c r="EV77" s="666">
        <v>0.5</v>
      </c>
      <c r="EW77" s="666">
        <v>0.49</v>
      </c>
      <c r="EX77" s="666">
        <v>0</v>
      </c>
      <c r="EY77" s="666">
        <v>0.01</v>
      </c>
      <c r="EZ77" s="666">
        <v>1</v>
      </c>
      <c r="FA77" s="187" t="s">
        <v>742</v>
      </c>
      <c r="FC77" s="187">
        <v>0</v>
      </c>
    </row>
    <row r="78" spans="1:159" s="187" customFormat="1" x14ac:dyDescent="0.2">
      <c r="B78" s="429" t="s">
        <v>235</v>
      </c>
      <c r="C78" s="429" t="s">
        <v>234</v>
      </c>
      <c r="D78" s="208">
        <v>0</v>
      </c>
      <c r="E78" s="208">
        <v>33956680</v>
      </c>
      <c r="F78" s="208">
        <v>50086103</v>
      </c>
      <c r="G78" s="208">
        <v>848917</v>
      </c>
      <c r="H78" s="208">
        <v>84891700</v>
      </c>
      <c r="I78" s="208">
        <v>0</v>
      </c>
      <c r="J78" s="208">
        <v>0</v>
      </c>
      <c r="K78" s="208">
        <v>0</v>
      </c>
      <c r="L78" s="208">
        <v>172215</v>
      </c>
      <c r="M78" s="208">
        <v>172215</v>
      </c>
      <c r="N78" s="208">
        <v>0</v>
      </c>
      <c r="O78" s="208">
        <v>0</v>
      </c>
      <c r="P78" s="208">
        <v>0</v>
      </c>
      <c r="Q78" s="208">
        <v>0</v>
      </c>
      <c r="R78" s="208">
        <v>0</v>
      </c>
      <c r="S78" s="208">
        <v>0</v>
      </c>
      <c r="T78" s="208">
        <v>0</v>
      </c>
      <c r="U78" s="208">
        <v>0</v>
      </c>
      <c r="V78" s="208">
        <v>0</v>
      </c>
      <c r="W78" s="208">
        <v>0</v>
      </c>
      <c r="X78" s="208">
        <v>0</v>
      </c>
      <c r="Y78" s="208">
        <v>0</v>
      </c>
      <c r="Z78" s="208">
        <v>0</v>
      </c>
      <c r="AA78" s="208">
        <v>0</v>
      </c>
      <c r="AB78" s="208">
        <v>0</v>
      </c>
      <c r="AC78" s="208">
        <v>0</v>
      </c>
      <c r="AD78" s="208">
        <v>0</v>
      </c>
      <c r="AE78" s="208">
        <v>0</v>
      </c>
      <c r="AF78" s="208">
        <v>0</v>
      </c>
      <c r="AG78" s="208">
        <v>1583890</v>
      </c>
      <c r="AH78" s="208">
        <v>2336238</v>
      </c>
      <c r="AI78" s="208">
        <v>39597</v>
      </c>
      <c r="AJ78" s="208">
        <v>3959725</v>
      </c>
      <c r="AK78" s="208">
        <v>0</v>
      </c>
      <c r="AL78" s="208">
        <v>805122</v>
      </c>
      <c r="AM78" s="208">
        <v>1187555</v>
      </c>
      <c r="AN78" s="208">
        <v>20128</v>
      </c>
      <c r="AO78" s="208">
        <v>2012805</v>
      </c>
      <c r="AP78" s="208">
        <v>0</v>
      </c>
      <c r="AQ78" s="208">
        <v>-1080014</v>
      </c>
      <c r="AR78" s="208">
        <v>-1593020</v>
      </c>
      <c r="AS78" s="208">
        <v>-27000</v>
      </c>
      <c r="AT78" s="208">
        <v>-2700034</v>
      </c>
      <c r="AU78" s="208">
        <v>0</v>
      </c>
      <c r="AV78" s="208">
        <v>-535252</v>
      </c>
      <c r="AW78" s="208">
        <v>-789497</v>
      </c>
      <c r="AX78" s="208">
        <v>-13381</v>
      </c>
      <c r="AY78" s="208">
        <v>-1338130</v>
      </c>
      <c r="AZ78" s="208">
        <v>0</v>
      </c>
      <c r="BA78" s="208">
        <v>221143</v>
      </c>
      <c r="BB78" s="208">
        <v>326186</v>
      </c>
      <c r="BC78" s="208">
        <v>5529</v>
      </c>
      <c r="BD78" s="208">
        <v>552858</v>
      </c>
      <c r="BE78" s="208">
        <v>0</v>
      </c>
      <c r="BF78" s="208">
        <v>-340504</v>
      </c>
      <c r="BG78" s="208">
        <v>-502244</v>
      </c>
      <c r="BH78" s="208">
        <v>-8513</v>
      </c>
      <c r="BI78" s="208">
        <v>-851261</v>
      </c>
      <c r="BJ78" s="208">
        <v>0</v>
      </c>
      <c r="BK78" s="208">
        <v>-654613</v>
      </c>
      <c r="BL78" s="208">
        <v>-965555</v>
      </c>
      <c r="BM78" s="208">
        <v>-16365</v>
      </c>
      <c r="BN78" s="208">
        <v>-1636533</v>
      </c>
      <c r="BO78" s="208">
        <v>0</v>
      </c>
      <c r="BP78" s="208">
        <v>-6700084</v>
      </c>
      <c r="BQ78" s="208">
        <v>-9882624</v>
      </c>
      <c r="BR78" s="208">
        <v>-167502</v>
      </c>
      <c r="BS78" s="208">
        <v>-16750210</v>
      </c>
      <c r="BT78" s="208">
        <v>0</v>
      </c>
      <c r="BU78" s="208">
        <v>-4331823</v>
      </c>
      <c r="BV78" s="208">
        <v>-6389439</v>
      </c>
      <c r="BW78" s="208">
        <v>-108296</v>
      </c>
      <c r="BX78" s="208">
        <v>-10829558</v>
      </c>
      <c r="BY78" s="208">
        <v>1</v>
      </c>
      <c r="BZ78" s="208">
        <v>-2368261</v>
      </c>
      <c r="CA78" s="208">
        <v>-3493185</v>
      </c>
      <c r="CB78" s="208">
        <v>-59207</v>
      </c>
      <c r="CC78" s="208">
        <v>-5920652</v>
      </c>
      <c r="CD78" s="208">
        <v>0</v>
      </c>
      <c r="CE78" s="208">
        <v>263638</v>
      </c>
      <c r="CF78" s="208">
        <v>388866</v>
      </c>
      <c r="CG78" s="208">
        <v>6591</v>
      </c>
      <c r="CH78" s="208">
        <v>659095</v>
      </c>
      <c r="CI78" s="208">
        <v>0</v>
      </c>
      <c r="CJ78" s="208">
        <v>0</v>
      </c>
      <c r="CK78" s="208">
        <v>0</v>
      </c>
      <c r="CL78" s="208">
        <v>0</v>
      </c>
      <c r="CM78" s="208">
        <v>0</v>
      </c>
      <c r="CN78" s="208">
        <v>1</v>
      </c>
      <c r="CO78" s="208">
        <v>460524</v>
      </c>
      <c r="CP78" s="208">
        <v>679273</v>
      </c>
      <c r="CQ78" s="208">
        <v>11513</v>
      </c>
      <c r="CR78" s="208">
        <v>1151311</v>
      </c>
      <c r="CS78" s="208">
        <v>1</v>
      </c>
      <c r="CT78" s="208">
        <v>-2139388</v>
      </c>
      <c r="CU78" s="208">
        <v>-3155597</v>
      </c>
      <c r="CV78" s="208">
        <v>-53485</v>
      </c>
      <c r="CW78" s="208">
        <v>-5348469</v>
      </c>
      <c r="CX78" s="208">
        <v>2</v>
      </c>
      <c r="CY78" s="208">
        <v>-8115310</v>
      </c>
      <c r="CZ78" s="208">
        <v>-11970082</v>
      </c>
      <c r="DA78" s="208">
        <v>-202883</v>
      </c>
      <c r="DB78" s="208">
        <v>-20288273</v>
      </c>
      <c r="DC78" s="208">
        <v>1</v>
      </c>
      <c r="DD78" s="208">
        <v>-3607661</v>
      </c>
      <c r="DE78" s="208">
        <v>-5321300</v>
      </c>
      <c r="DF78" s="208">
        <v>-90192</v>
      </c>
      <c r="DG78" s="208">
        <v>-9019152</v>
      </c>
      <c r="DH78" s="208">
        <v>2</v>
      </c>
      <c r="DI78" s="208">
        <v>-4507649</v>
      </c>
      <c r="DJ78" s="208">
        <v>-6648782</v>
      </c>
      <c r="DK78" s="208">
        <v>-112692</v>
      </c>
      <c r="DL78" s="208">
        <v>-11269121</v>
      </c>
      <c r="DM78" s="208">
        <v>236371</v>
      </c>
      <c r="DN78" s="208">
        <v>189096</v>
      </c>
      <c r="DO78" s="208">
        <v>42547</v>
      </c>
      <c r="DP78" s="208">
        <v>4727</v>
      </c>
      <c r="DQ78" s="208">
        <v>472741</v>
      </c>
      <c r="DR78" s="208">
        <v>185554</v>
      </c>
      <c r="DS78" s="208">
        <v>148443</v>
      </c>
      <c r="DT78" s="208">
        <v>33400</v>
      </c>
      <c r="DU78" s="208">
        <v>3711</v>
      </c>
      <c r="DV78" s="208">
        <v>371108</v>
      </c>
      <c r="DW78" s="208">
        <v>50817</v>
      </c>
      <c r="DX78" s="208">
        <v>40653</v>
      </c>
      <c r="DY78" s="208">
        <v>9147</v>
      </c>
      <c r="DZ78" s="208">
        <v>1016</v>
      </c>
      <c r="EA78" s="208">
        <v>101633</v>
      </c>
      <c r="EB78" s="208">
        <v>0</v>
      </c>
      <c r="EC78" s="208">
        <v>33284738</v>
      </c>
      <c r="ED78" s="208">
        <v>49094989</v>
      </c>
      <c r="EE78" s="208">
        <v>832118</v>
      </c>
      <c r="EF78" s="208">
        <v>83211845</v>
      </c>
      <c r="EG78" s="208">
        <v>0</v>
      </c>
      <c r="EH78" s="208">
        <v>33956680</v>
      </c>
      <c r="EI78" s="208">
        <v>50086103</v>
      </c>
      <c r="EJ78" s="208">
        <v>848917</v>
      </c>
      <c r="EK78" s="208">
        <v>84891700</v>
      </c>
      <c r="EL78" s="208">
        <v>0</v>
      </c>
      <c r="EM78" s="208">
        <v>671942</v>
      </c>
      <c r="EN78" s="208">
        <v>991114</v>
      </c>
      <c r="EO78" s="208">
        <v>16799</v>
      </c>
      <c r="EP78" s="208">
        <v>1679855</v>
      </c>
      <c r="EQ78" s="208">
        <v>50817</v>
      </c>
      <c r="ER78" s="208">
        <v>712595</v>
      </c>
      <c r="ES78" s="208">
        <v>1000261</v>
      </c>
      <c r="ET78" s="208">
        <v>17815</v>
      </c>
      <c r="EU78" s="208">
        <v>1781488</v>
      </c>
      <c r="EV78" s="666">
        <v>0</v>
      </c>
      <c r="EW78" s="666">
        <v>0.4</v>
      </c>
      <c r="EX78" s="666">
        <v>0.59</v>
      </c>
      <c r="EY78" s="666">
        <v>0.01</v>
      </c>
      <c r="EZ78" s="666">
        <v>1</v>
      </c>
      <c r="FA78" s="187" t="s">
        <v>1054</v>
      </c>
      <c r="FC78" s="187">
        <v>0</v>
      </c>
    </row>
    <row r="79" spans="1:159" s="187" customFormat="1" x14ac:dyDescent="0.2">
      <c r="B79" s="429" t="s">
        <v>237</v>
      </c>
      <c r="C79" s="429" t="s">
        <v>236</v>
      </c>
      <c r="D79" s="208">
        <v>22297077</v>
      </c>
      <c r="E79" s="208">
        <v>17837662</v>
      </c>
      <c r="F79" s="208">
        <v>4459415</v>
      </c>
      <c r="G79" s="208">
        <v>0</v>
      </c>
      <c r="H79" s="208">
        <v>44594154</v>
      </c>
      <c r="I79" s="208">
        <v>0</v>
      </c>
      <c r="J79" s="208">
        <v>0</v>
      </c>
      <c r="K79" s="208">
        <v>22297077</v>
      </c>
      <c r="L79" s="208">
        <v>119221</v>
      </c>
      <c r="M79" s="208">
        <v>119221</v>
      </c>
      <c r="N79" s="208">
        <v>0</v>
      </c>
      <c r="O79" s="208">
        <v>0</v>
      </c>
      <c r="P79" s="208">
        <v>674296</v>
      </c>
      <c r="Q79" s="208">
        <v>0</v>
      </c>
      <c r="R79" s="208">
        <v>674296</v>
      </c>
      <c r="S79" s="208">
        <v>0</v>
      </c>
      <c r="T79" s="208">
        <v>0</v>
      </c>
      <c r="U79" s="208">
        <v>0</v>
      </c>
      <c r="V79" s="208">
        <v>0</v>
      </c>
      <c r="W79" s="208">
        <v>0</v>
      </c>
      <c r="X79" s="208">
        <v>0</v>
      </c>
      <c r="Y79" s="208">
        <v>0</v>
      </c>
      <c r="Z79" s="208">
        <v>0</v>
      </c>
      <c r="AA79" s="208">
        <v>0</v>
      </c>
      <c r="AB79" s="208">
        <v>0</v>
      </c>
      <c r="AC79" s="208">
        <v>0</v>
      </c>
      <c r="AD79" s="208">
        <v>0</v>
      </c>
      <c r="AE79" s="208">
        <v>0</v>
      </c>
      <c r="AF79" s="208">
        <v>0</v>
      </c>
      <c r="AG79" s="208">
        <v>1298081</v>
      </c>
      <c r="AH79" s="208">
        <v>320657</v>
      </c>
      <c r="AI79" s="208">
        <v>0</v>
      </c>
      <c r="AJ79" s="208">
        <v>1618738</v>
      </c>
      <c r="AK79" s="208">
        <v>150682</v>
      </c>
      <c r="AL79" s="208">
        <v>120545</v>
      </c>
      <c r="AM79" s="208">
        <v>30136</v>
      </c>
      <c r="AN79" s="208">
        <v>0</v>
      </c>
      <c r="AO79" s="208">
        <v>301363</v>
      </c>
      <c r="AP79" s="208">
        <v>-44047</v>
      </c>
      <c r="AQ79" s="208">
        <v>-35238</v>
      </c>
      <c r="AR79" s="208">
        <v>-8809</v>
      </c>
      <c r="AS79" s="208">
        <v>0</v>
      </c>
      <c r="AT79" s="208">
        <v>-88094</v>
      </c>
      <c r="AU79" s="208">
        <v>-82362</v>
      </c>
      <c r="AV79" s="208">
        <v>-65890</v>
      </c>
      <c r="AW79" s="208">
        <v>-16472</v>
      </c>
      <c r="AX79" s="208">
        <v>0</v>
      </c>
      <c r="AY79" s="208">
        <v>-164724</v>
      </c>
      <c r="AZ79" s="208">
        <v>82362</v>
      </c>
      <c r="BA79" s="208">
        <v>65890</v>
      </c>
      <c r="BB79" s="208">
        <v>16472</v>
      </c>
      <c r="BC79" s="208">
        <v>0</v>
      </c>
      <c r="BD79" s="208">
        <v>164724</v>
      </c>
      <c r="BE79" s="208">
        <v>-91836</v>
      </c>
      <c r="BF79" s="208">
        <v>-73468</v>
      </c>
      <c r="BG79" s="208">
        <v>-18367</v>
      </c>
      <c r="BH79" s="208">
        <v>0</v>
      </c>
      <c r="BI79" s="208">
        <v>-183671</v>
      </c>
      <c r="BJ79" s="208">
        <v>-91836</v>
      </c>
      <c r="BK79" s="208">
        <v>-73468</v>
      </c>
      <c r="BL79" s="208">
        <v>-18367</v>
      </c>
      <c r="BM79" s="208">
        <v>0</v>
      </c>
      <c r="BN79" s="208">
        <v>-183671</v>
      </c>
      <c r="BO79" s="208">
        <v>-1598394</v>
      </c>
      <c r="BP79" s="208">
        <v>-1278715</v>
      </c>
      <c r="BQ79" s="208">
        <v>-319679</v>
      </c>
      <c r="BR79" s="208">
        <v>0</v>
      </c>
      <c r="BS79" s="208">
        <v>-3196788</v>
      </c>
      <c r="BT79" s="208">
        <v>-1044602</v>
      </c>
      <c r="BU79" s="208">
        <v>-835682</v>
      </c>
      <c r="BV79" s="208">
        <v>-208920</v>
      </c>
      <c r="BW79" s="208">
        <v>0</v>
      </c>
      <c r="BX79" s="208">
        <v>-2089204</v>
      </c>
      <c r="BY79" s="208">
        <v>-553792</v>
      </c>
      <c r="BZ79" s="208">
        <v>-443034</v>
      </c>
      <c r="CA79" s="208">
        <v>-110758</v>
      </c>
      <c r="CB79" s="208">
        <v>0</v>
      </c>
      <c r="CC79" s="208">
        <v>-1107584</v>
      </c>
      <c r="CD79" s="208">
        <v>429164</v>
      </c>
      <c r="CE79" s="208">
        <v>343331</v>
      </c>
      <c r="CF79" s="208">
        <v>85833</v>
      </c>
      <c r="CG79" s="208">
        <v>0</v>
      </c>
      <c r="CH79" s="208">
        <v>858328</v>
      </c>
      <c r="CI79" s="208">
        <v>0</v>
      </c>
      <c r="CJ79" s="208">
        <v>0</v>
      </c>
      <c r="CK79" s="208">
        <v>0</v>
      </c>
      <c r="CL79" s="208">
        <v>0</v>
      </c>
      <c r="CM79" s="208">
        <v>0</v>
      </c>
      <c r="CN79" s="208">
        <v>-572751</v>
      </c>
      <c r="CO79" s="208">
        <v>-458201</v>
      </c>
      <c r="CP79" s="208">
        <v>-114550</v>
      </c>
      <c r="CQ79" s="208">
        <v>0</v>
      </c>
      <c r="CR79" s="208">
        <v>-1145502</v>
      </c>
      <c r="CS79" s="208">
        <v>-565222</v>
      </c>
      <c r="CT79" s="208">
        <v>-452178</v>
      </c>
      <c r="CU79" s="208">
        <v>-113045</v>
      </c>
      <c r="CV79" s="208">
        <v>0</v>
      </c>
      <c r="CW79" s="208">
        <v>-1130445</v>
      </c>
      <c r="CX79" s="208">
        <v>-2307203</v>
      </c>
      <c r="CY79" s="208">
        <v>-1845763</v>
      </c>
      <c r="CZ79" s="208">
        <v>-461441</v>
      </c>
      <c r="DA79" s="208">
        <v>0</v>
      </c>
      <c r="DB79" s="208">
        <v>-4614407</v>
      </c>
      <c r="DC79" s="208">
        <v>-1188189</v>
      </c>
      <c r="DD79" s="208">
        <v>-950552</v>
      </c>
      <c r="DE79" s="208">
        <v>-237637</v>
      </c>
      <c r="DF79" s="208">
        <v>0</v>
      </c>
      <c r="DG79" s="208">
        <v>-2376378</v>
      </c>
      <c r="DH79" s="208">
        <v>-1119014</v>
      </c>
      <c r="DI79" s="208">
        <v>-895212</v>
      </c>
      <c r="DJ79" s="208">
        <v>-223803</v>
      </c>
      <c r="DK79" s="208">
        <v>0</v>
      </c>
      <c r="DL79" s="208">
        <v>-2238029</v>
      </c>
      <c r="DM79" s="208">
        <v>-52432</v>
      </c>
      <c r="DN79" s="208">
        <v>-41945</v>
      </c>
      <c r="DO79" s="208">
        <v>-10486</v>
      </c>
      <c r="DP79" s="208">
        <v>0</v>
      </c>
      <c r="DQ79" s="208">
        <v>-104863</v>
      </c>
      <c r="DR79" s="208">
        <v>203770</v>
      </c>
      <c r="DS79" s="208">
        <v>163016</v>
      </c>
      <c r="DT79" s="208">
        <v>40754</v>
      </c>
      <c r="DU79" s="208">
        <v>0</v>
      </c>
      <c r="DV79" s="208">
        <v>407540</v>
      </c>
      <c r="DW79" s="208">
        <v>-256202</v>
      </c>
      <c r="DX79" s="208">
        <v>-204961</v>
      </c>
      <c r="DY79" s="208">
        <v>-51240</v>
      </c>
      <c r="DZ79" s="208">
        <v>0</v>
      </c>
      <c r="EA79" s="208">
        <v>-512403</v>
      </c>
      <c r="EB79" s="208">
        <v>22727453</v>
      </c>
      <c r="EC79" s="208">
        <v>18181962</v>
      </c>
      <c r="ED79" s="208">
        <v>4545491</v>
      </c>
      <c r="EE79" s="208">
        <v>0</v>
      </c>
      <c r="EF79" s="208">
        <v>45454906</v>
      </c>
      <c r="EG79" s="208">
        <v>22297077</v>
      </c>
      <c r="EH79" s="208">
        <v>17837662</v>
      </c>
      <c r="EI79" s="208">
        <v>4459415</v>
      </c>
      <c r="EJ79" s="208">
        <v>0</v>
      </c>
      <c r="EK79" s="208">
        <v>44594154</v>
      </c>
      <c r="EL79" s="208">
        <v>-430376</v>
      </c>
      <c r="EM79" s="208">
        <v>-344300</v>
      </c>
      <c r="EN79" s="208">
        <v>-86076</v>
      </c>
      <c r="EO79" s="208">
        <v>0</v>
      </c>
      <c r="EP79" s="208">
        <v>-860752</v>
      </c>
      <c r="EQ79" s="208">
        <v>-686578</v>
      </c>
      <c r="ER79" s="208">
        <v>-549261</v>
      </c>
      <c r="ES79" s="208">
        <v>-137316</v>
      </c>
      <c r="ET79" s="208">
        <v>0</v>
      </c>
      <c r="EU79" s="208">
        <v>-1373155</v>
      </c>
      <c r="EV79" s="666">
        <v>0.5</v>
      </c>
      <c r="EW79" s="666">
        <v>0.4</v>
      </c>
      <c r="EX79" s="666">
        <v>0.1</v>
      </c>
      <c r="EY79" s="666">
        <v>0</v>
      </c>
      <c r="EZ79" s="666">
        <v>1</v>
      </c>
      <c r="FA79" s="187" t="s">
        <v>1054</v>
      </c>
      <c r="FC79" s="187">
        <v>0</v>
      </c>
    </row>
    <row r="80" spans="1:159" s="187" customFormat="1" x14ac:dyDescent="0.2">
      <c r="B80" s="429" t="s">
        <v>239</v>
      </c>
      <c r="C80" s="429" t="s">
        <v>238</v>
      </c>
      <c r="D80" s="208">
        <v>0</v>
      </c>
      <c r="E80" s="208">
        <v>87247821</v>
      </c>
      <c r="F80" s="208">
        <v>0</v>
      </c>
      <c r="G80" s="208">
        <v>881291</v>
      </c>
      <c r="H80" s="208">
        <v>88129112</v>
      </c>
      <c r="I80" s="208">
        <v>0</v>
      </c>
      <c r="J80" s="208">
        <v>0</v>
      </c>
      <c r="K80" s="208">
        <v>0</v>
      </c>
      <c r="L80" s="208">
        <v>318634</v>
      </c>
      <c r="M80" s="208">
        <v>318634</v>
      </c>
      <c r="N80" s="208">
        <v>120053</v>
      </c>
      <c r="O80" s="208">
        <v>120053</v>
      </c>
      <c r="P80" s="208">
        <v>729538</v>
      </c>
      <c r="Q80" s="208">
        <v>0</v>
      </c>
      <c r="R80" s="208">
        <v>729538</v>
      </c>
      <c r="S80" s="208">
        <v>0</v>
      </c>
      <c r="T80" s="208">
        <v>0</v>
      </c>
      <c r="U80" s="208">
        <v>0</v>
      </c>
      <c r="V80" s="208">
        <v>0</v>
      </c>
      <c r="W80" s="208">
        <v>0</v>
      </c>
      <c r="X80" s="208">
        <v>0</v>
      </c>
      <c r="Y80" s="208">
        <v>0</v>
      </c>
      <c r="Z80" s="208">
        <v>0</v>
      </c>
      <c r="AA80" s="208">
        <v>0</v>
      </c>
      <c r="AB80" s="208">
        <v>0</v>
      </c>
      <c r="AC80" s="208">
        <v>0</v>
      </c>
      <c r="AD80" s="208">
        <v>0</v>
      </c>
      <c r="AE80" s="208">
        <v>0</v>
      </c>
      <c r="AF80" s="208">
        <v>0</v>
      </c>
      <c r="AG80" s="208">
        <v>7413154</v>
      </c>
      <c r="AH80" s="208">
        <v>0</v>
      </c>
      <c r="AI80" s="208">
        <v>74251</v>
      </c>
      <c r="AJ80" s="208">
        <v>7487405</v>
      </c>
      <c r="AK80" s="208">
        <v>0</v>
      </c>
      <c r="AL80" s="208">
        <v>4917645</v>
      </c>
      <c r="AM80" s="208">
        <v>0</v>
      </c>
      <c r="AN80" s="208">
        <v>49673</v>
      </c>
      <c r="AO80" s="208">
        <v>4967318</v>
      </c>
      <c r="AP80" s="208">
        <v>0</v>
      </c>
      <c r="AQ80" s="208">
        <v>-39418</v>
      </c>
      <c r="AR80" s="208">
        <v>0</v>
      </c>
      <c r="AS80" s="208">
        <v>-398</v>
      </c>
      <c r="AT80" s="208">
        <v>-39816</v>
      </c>
      <c r="AU80" s="208">
        <v>0</v>
      </c>
      <c r="AV80" s="208">
        <v>-2807253</v>
      </c>
      <c r="AW80" s="208">
        <v>0</v>
      </c>
      <c r="AX80" s="208">
        <v>-28356</v>
      </c>
      <c r="AY80" s="208">
        <v>-2835609</v>
      </c>
      <c r="AZ80" s="208">
        <v>0</v>
      </c>
      <c r="BA80" s="208">
        <v>1278934</v>
      </c>
      <c r="BB80" s="208">
        <v>0</v>
      </c>
      <c r="BC80" s="208">
        <v>12919</v>
      </c>
      <c r="BD80" s="208">
        <v>1291853</v>
      </c>
      <c r="BE80" s="208">
        <v>0</v>
      </c>
      <c r="BF80" s="208">
        <v>-814700</v>
      </c>
      <c r="BG80" s="208">
        <v>0</v>
      </c>
      <c r="BH80" s="208">
        <v>-8229</v>
      </c>
      <c r="BI80" s="208">
        <v>-822929</v>
      </c>
      <c r="BJ80" s="208">
        <v>0</v>
      </c>
      <c r="BK80" s="208">
        <v>-2343019</v>
      </c>
      <c r="BL80" s="208">
        <v>0</v>
      </c>
      <c r="BM80" s="208">
        <v>-23666</v>
      </c>
      <c r="BN80" s="208">
        <v>-2366685</v>
      </c>
      <c r="BO80" s="208">
        <v>0</v>
      </c>
      <c r="BP80" s="208">
        <v>-4539510</v>
      </c>
      <c r="BQ80" s="208">
        <v>0</v>
      </c>
      <c r="BR80" s="208">
        <v>-45854</v>
      </c>
      <c r="BS80" s="208">
        <v>-4585364</v>
      </c>
      <c r="BT80" s="208">
        <v>0</v>
      </c>
      <c r="BU80" s="208">
        <v>-2246824</v>
      </c>
      <c r="BV80" s="208">
        <v>0</v>
      </c>
      <c r="BW80" s="208">
        <v>-22695</v>
      </c>
      <c r="BX80" s="208">
        <v>-2269519</v>
      </c>
      <c r="BY80" s="208">
        <v>0</v>
      </c>
      <c r="BZ80" s="208">
        <v>-2292687</v>
      </c>
      <c r="CA80" s="208">
        <v>0</v>
      </c>
      <c r="CB80" s="208">
        <v>-23158</v>
      </c>
      <c r="CC80" s="208">
        <v>-2315845</v>
      </c>
      <c r="CD80" s="208">
        <v>0</v>
      </c>
      <c r="CE80" s="208">
        <v>936737</v>
      </c>
      <c r="CF80" s="208">
        <v>0</v>
      </c>
      <c r="CG80" s="208">
        <v>9462</v>
      </c>
      <c r="CH80" s="208">
        <v>946199</v>
      </c>
      <c r="CI80" s="208">
        <v>0</v>
      </c>
      <c r="CJ80" s="208">
        <v>0</v>
      </c>
      <c r="CK80" s="208">
        <v>0</v>
      </c>
      <c r="CL80" s="208">
        <v>0</v>
      </c>
      <c r="CM80" s="208">
        <v>0</v>
      </c>
      <c r="CN80" s="208">
        <v>0</v>
      </c>
      <c r="CO80" s="208">
        <v>-1541935</v>
      </c>
      <c r="CP80" s="208">
        <v>0</v>
      </c>
      <c r="CQ80" s="208">
        <v>-15575</v>
      </c>
      <c r="CR80" s="208">
        <v>-1557510</v>
      </c>
      <c r="CS80" s="208">
        <v>0</v>
      </c>
      <c r="CT80" s="208">
        <v>-2471560</v>
      </c>
      <c r="CU80" s="208">
        <v>0</v>
      </c>
      <c r="CV80" s="208">
        <v>-24965</v>
      </c>
      <c r="CW80" s="208">
        <v>-2496525</v>
      </c>
      <c r="CX80" s="208">
        <v>0</v>
      </c>
      <c r="CY80" s="208">
        <v>-7616268</v>
      </c>
      <c r="CZ80" s="208">
        <v>0</v>
      </c>
      <c r="DA80" s="208">
        <v>-76932</v>
      </c>
      <c r="DB80" s="208">
        <v>-7693200</v>
      </c>
      <c r="DC80" s="208">
        <v>0</v>
      </c>
      <c r="DD80" s="208">
        <v>-2852022</v>
      </c>
      <c r="DE80" s="208">
        <v>0</v>
      </c>
      <c r="DF80" s="208">
        <v>-28808</v>
      </c>
      <c r="DG80" s="208">
        <v>-2880830</v>
      </c>
      <c r="DH80" s="208">
        <v>0</v>
      </c>
      <c r="DI80" s="208">
        <v>-4764247</v>
      </c>
      <c r="DJ80" s="208">
        <v>0</v>
      </c>
      <c r="DK80" s="208">
        <v>-48123</v>
      </c>
      <c r="DL80" s="208">
        <v>-4812370</v>
      </c>
      <c r="DM80" s="208">
        <v>-1701907.5</v>
      </c>
      <c r="DN80" s="208">
        <v>-1667868.4500000002</v>
      </c>
      <c r="DO80" s="208">
        <v>0</v>
      </c>
      <c r="DP80" s="208">
        <v>-34039.050000000003</v>
      </c>
      <c r="DQ80" s="208">
        <v>-3403815</v>
      </c>
      <c r="DR80" s="208">
        <v>-1946531</v>
      </c>
      <c r="DS80" s="208">
        <v>-1907601</v>
      </c>
      <c r="DT80" s="208">
        <v>0</v>
      </c>
      <c r="DU80" s="208">
        <v>-38931</v>
      </c>
      <c r="DV80" s="208">
        <v>-3893063</v>
      </c>
      <c r="DW80" s="208">
        <v>244623.5</v>
      </c>
      <c r="DX80" s="208">
        <v>239732.54999999981</v>
      </c>
      <c r="DY80" s="208">
        <v>0</v>
      </c>
      <c r="DZ80" s="208">
        <v>4891.9499999999971</v>
      </c>
      <c r="EA80" s="208">
        <v>489248</v>
      </c>
      <c r="EB80" s="208">
        <v>0</v>
      </c>
      <c r="EC80" s="208">
        <v>93501936</v>
      </c>
      <c r="ED80" s="208">
        <v>0</v>
      </c>
      <c r="EE80" s="208">
        <v>944464</v>
      </c>
      <c r="EF80" s="208">
        <v>94446400</v>
      </c>
      <c r="EG80" s="208">
        <v>0</v>
      </c>
      <c r="EH80" s="208">
        <v>87247821</v>
      </c>
      <c r="EI80" s="208">
        <v>0</v>
      </c>
      <c r="EJ80" s="208">
        <v>881291</v>
      </c>
      <c r="EK80" s="208">
        <v>88129112</v>
      </c>
      <c r="EL80" s="208">
        <v>0</v>
      </c>
      <c r="EM80" s="208">
        <v>-6254115</v>
      </c>
      <c r="EN80" s="208">
        <v>0</v>
      </c>
      <c r="EO80" s="208">
        <v>-63173</v>
      </c>
      <c r="EP80" s="208">
        <v>-6317288</v>
      </c>
      <c r="EQ80" s="208">
        <v>244623.5</v>
      </c>
      <c r="ER80" s="208">
        <v>-6014382.4500000002</v>
      </c>
      <c r="ES80" s="208">
        <v>0</v>
      </c>
      <c r="ET80" s="208">
        <v>-58281.05</v>
      </c>
      <c r="EU80" s="208">
        <v>-5828040</v>
      </c>
      <c r="EV80" s="666">
        <v>0</v>
      </c>
      <c r="EW80" s="666">
        <v>0.99</v>
      </c>
      <c r="EX80" s="666">
        <v>0</v>
      </c>
      <c r="EY80" s="666">
        <v>0.01</v>
      </c>
      <c r="EZ80" s="666">
        <v>1</v>
      </c>
      <c r="FA80" s="187" t="s">
        <v>742</v>
      </c>
      <c r="FC80" s="187">
        <v>0</v>
      </c>
    </row>
    <row r="81" spans="1:159" s="187" customFormat="1" x14ac:dyDescent="0.2">
      <c r="B81" s="429" t="s">
        <v>241</v>
      </c>
      <c r="C81" s="429" t="s">
        <v>240</v>
      </c>
      <c r="D81" s="208">
        <v>0</v>
      </c>
      <c r="E81" s="208">
        <v>9819958</v>
      </c>
      <c r="F81" s="208">
        <v>9623558</v>
      </c>
      <c r="G81" s="208">
        <v>196399</v>
      </c>
      <c r="H81" s="208">
        <v>19639915</v>
      </c>
      <c r="I81" s="208">
        <v>0</v>
      </c>
      <c r="J81" s="208">
        <v>0</v>
      </c>
      <c r="K81" s="208">
        <v>0</v>
      </c>
      <c r="L81" s="208">
        <v>146820</v>
      </c>
      <c r="M81" s="208">
        <v>146820</v>
      </c>
      <c r="N81" s="208">
        <v>0</v>
      </c>
      <c r="O81" s="208">
        <v>0</v>
      </c>
      <c r="P81" s="208">
        <v>156767</v>
      </c>
      <c r="Q81" s="208">
        <v>0</v>
      </c>
      <c r="R81" s="208">
        <v>156767</v>
      </c>
      <c r="S81" s="208">
        <v>0</v>
      </c>
      <c r="T81" s="208">
        <v>0</v>
      </c>
      <c r="U81" s="208">
        <v>0</v>
      </c>
      <c r="V81" s="208">
        <v>0</v>
      </c>
      <c r="W81" s="208">
        <v>0</v>
      </c>
      <c r="X81" s="208">
        <v>0</v>
      </c>
      <c r="Y81" s="208">
        <v>0</v>
      </c>
      <c r="Z81" s="208">
        <v>0</v>
      </c>
      <c r="AA81" s="208">
        <v>0</v>
      </c>
      <c r="AB81" s="208">
        <v>0</v>
      </c>
      <c r="AC81" s="208">
        <v>0</v>
      </c>
      <c r="AD81" s="208">
        <v>0</v>
      </c>
      <c r="AE81" s="208">
        <v>0</v>
      </c>
      <c r="AF81" s="208">
        <v>0</v>
      </c>
      <c r="AG81" s="208">
        <v>2118669</v>
      </c>
      <c r="AH81" s="208">
        <v>2072774</v>
      </c>
      <c r="AI81" s="208">
        <v>42302</v>
      </c>
      <c r="AJ81" s="208">
        <v>4233745</v>
      </c>
      <c r="AK81" s="208">
        <v>0</v>
      </c>
      <c r="AL81" s="208">
        <v>402253</v>
      </c>
      <c r="AM81" s="208">
        <v>394208</v>
      </c>
      <c r="AN81" s="208">
        <v>8045</v>
      </c>
      <c r="AO81" s="208">
        <v>804506</v>
      </c>
      <c r="AP81" s="208">
        <v>0</v>
      </c>
      <c r="AQ81" s="208">
        <v>-67879</v>
      </c>
      <c r="AR81" s="208">
        <v>-66521</v>
      </c>
      <c r="AS81" s="208">
        <v>-1358</v>
      </c>
      <c r="AT81" s="208">
        <v>-135758</v>
      </c>
      <c r="AU81" s="208">
        <v>0</v>
      </c>
      <c r="AV81" s="208">
        <v>-69910</v>
      </c>
      <c r="AW81" s="208">
        <v>-68512</v>
      </c>
      <c r="AX81" s="208">
        <v>-1398</v>
      </c>
      <c r="AY81" s="208">
        <v>-139820</v>
      </c>
      <c r="AZ81" s="208">
        <v>0</v>
      </c>
      <c r="BA81" s="208">
        <v>35434</v>
      </c>
      <c r="BB81" s="208">
        <v>34725</v>
      </c>
      <c r="BC81" s="208">
        <v>709</v>
      </c>
      <c r="BD81" s="208">
        <v>70868</v>
      </c>
      <c r="BE81" s="208">
        <v>0</v>
      </c>
      <c r="BF81" s="208">
        <v>-33524</v>
      </c>
      <c r="BG81" s="208">
        <v>-32854</v>
      </c>
      <c r="BH81" s="208">
        <v>-670</v>
      </c>
      <c r="BI81" s="208">
        <v>-67048</v>
      </c>
      <c r="BJ81" s="208">
        <v>0</v>
      </c>
      <c r="BK81" s="208">
        <v>-68000</v>
      </c>
      <c r="BL81" s="208">
        <v>-66641</v>
      </c>
      <c r="BM81" s="208">
        <v>-1359</v>
      </c>
      <c r="BN81" s="208">
        <v>-136000</v>
      </c>
      <c r="BO81" s="208">
        <v>1</v>
      </c>
      <c r="BP81" s="208">
        <v>-275784</v>
      </c>
      <c r="BQ81" s="208">
        <v>-270268</v>
      </c>
      <c r="BR81" s="208">
        <v>-5516</v>
      </c>
      <c r="BS81" s="208">
        <v>-551567</v>
      </c>
      <c r="BT81" s="208">
        <v>0</v>
      </c>
      <c r="BU81" s="208">
        <v>0</v>
      </c>
      <c r="BV81" s="208">
        <v>0</v>
      </c>
      <c r="BW81" s="208">
        <v>0</v>
      </c>
      <c r="BX81" s="208">
        <v>0</v>
      </c>
      <c r="BY81" s="208">
        <v>1</v>
      </c>
      <c r="BZ81" s="208">
        <v>-275784</v>
      </c>
      <c r="CA81" s="208">
        <v>-270268</v>
      </c>
      <c r="CB81" s="208">
        <v>-5516</v>
      </c>
      <c r="CC81" s="208">
        <v>-551567</v>
      </c>
      <c r="CD81" s="208">
        <v>0</v>
      </c>
      <c r="CE81" s="208">
        <v>24610</v>
      </c>
      <c r="CF81" s="208">
        <v>24118</v>
      </c>
      <c r="CG81" s="208">
        <v>492</v>
      </c>
      <c r="CH81" s="208">
        <v>49220</v>
      </c>
      <c r="CI81" s="208">
        <v>0</v>
      </c>
      <c r="CJ81" s="208">
        <v>0</v>
      </c>
      <c r="CK81" s="208">
        <v>0</v>
      </c>
      <c r="CL81" s="208">
        <v>0</v>
      </c>
      <c r="CM81" s="208">
        <v>0</v>
      </c>
      <c r="CN81" s="208">
        <v>0</v>
      </c>
      <c r="CO81" s="208">
        <v>-278259</v>
      </c>
      <c r="CP81" s="208">
        <v>-272693</v>
      </c>
      <c r="CQ81" s="208">
        <v>-5565</v>
      </c>
      <c r="CR81" s="208">
        <v>-556517</v>
      </c>
      <c r="CS81" s="208">
        <v>0</v>
      </c>
      <c r="CT81" s="208">
        <v>166836</v>
      </c>
      <c r="CU81" s="208">
        <v>163499</v>
      </c>
      <c r="CV81" s="208">
        <v>3337</v>
      </c>
      <c r="CW81" s="208">
        <v>333672</v>
      </c>
      <c r="CX81" s="208">
        <v>1</v>
      </c>
      <c r="CY81" s="208">
        <v>-362597</v>
      </c>
      <c r="CZ81" s="208">
        <v>-355344</v>
      </c>
      <c r="DA81" s="208">
        <v>-7252</v>
      </c>
      <c r="DB81" s="208">
        <v>-725192</v>
      </c>
      <c r="DC81" s="208">
        <v>0</v>
      </c>
      <c r="DD81" s="208">
        <v>-253649</v>
      </c>
      <c r="DE81" s="208">
        <v>-248575</v>
      </c>
      <c r="DF81" s="208">
        <v>-5073</v>
      </c>
      <c r="DG81" s="208">
        <v>-507297</v>
      </c>
      <c r="DH81" s="208">
        <v>1</v>
      </c>
      <c r="DI81" s="208">
        <v>-108948</v>
      </c>
      <c r="DJ81" s="208">
        <v>-106769</v>
      </c>
      <c r="DK81" s="208">
        <v>-2179</v>
      </c>
      <c r="DL81" s="208">
        <v>-217895</v>
      </c>
      <c r="DM81" s="208">
        <v>-982645</v>
      </c>
      <c r="DN81" s="208">
        <v>-786118</v>
      </c>
      <c r="DO81" s="208">
        <v>-176877</v>
      </c>
      <c r="DP81" s="208">
        <v>-19653</v>
      </c>
      <c r="DQ81" s="208">
        <v>-1965293</v>
      </c>
      <c r="DR81" s="208">
        <v>-913922</v>
      </c>
      <c r="DS81" s="208">
        <v>-731138</v>
      </c>
      <c r="DT81" s="208">
        <v>-164506</v>
      </c>
      <c r="DU81" s="208">
        <v>-18278</v>
      </c>
      <c r="DV81" s="208">
        <v>-1827844</v>
      </c>
      <c r="DW81" s="208">
        <v>-68723</v>
      </c>
      <c r="DX81" s="208">
        <v>-54980</v>
      </c>
      <c r="DY81" s="208">
        <v>-12371</v>
      </c>
      <c r="DZ81" s="208">
        <v>-1375</v>
      </c>
      <c r="EA81" s="208">
        <v>-137449</v>
      </c>
      <c r="EB81" s="208">
        <v>0</v>
      </c>
      <c r="EC81" s="208">
        <v>9567970</v>
      </c>
      <c r="ED81" s="208">
        <v>9376611</v>
      </c>
      <c r="EE81" s="208">
        <v>191359</v>
      </c>
      <c r="EF81" s="208">
        <v>19135940</v>
      </c>
      <c r="EG81" s="208">
        <v>0</v>
      </c>
      <c r="EH81" s="208">
        <v>9819958</v>
      </c>
      <c r="EI81" s="208">
        <v>9623558</v>
      </c>
      <c r="EJ81" s="208">
        <v>196399</v>
      </c>
      <c r="EK81" s="208">
        <v>19639915</v>
      </c>
      <c r="EL81" s="208">
        <v>0</v>
      </c>
      <c r="EM81" s="208">
        <v>251988</v>
      </c>
      <c r="EN81" s="208">
        <v>246947</v>
      </c>
      <c r="EO81" s="208">
        <v>5040</v>
      </c>
      <c r="EP81" s="208">
        <v>503975</v>
      </c>
      <c r="EQ81" s="208">
        <v>-68723</v>
      </c>
      <c r="ER81" s="208">
        <v>197008</v>
      </c>
      <c r="ES81" s="208">
        <v>234576</v>
      </c>
      <c r="ET81" s="208">
        <v>3665</v>
      </c>
      <c r="EU81" s="208">
        <v>366526</v>
      </c>
      <c r="EV81" s="666">
        <v>0</v>
      </c>
      <c r="EW81" s="666">
        <v>0.5</v>
      </c>
      <c r="EX81" s="666">
        <v>0.49</v>
      </c>
      <c r="EY81" s="666">
        <v>0.01</v>
      </c>
      <c r="EZ81" s="666">
        <v>1</v>
      </c>
      <c r="FA81" s="187" t="s">
        <v>1054</v>
      </c>
      <c r="FC81" s="187">
        <v>0</v>
      </c>
    </row>
    <row r="82" spans="1:159" s="187" customFormat="1" x14ac:dyDescent="0.2">
      <c r="B82" s="429" t="s">
        <v>243</v>
      </c>
      <c r="C82" s="429" t="s">
        <v>242</v>
      </c>
      <c r="D82" s="208">
        <v>46842957</v>
      </c>
      <c r="E82" s="208">
        <v>45906097</v>
      </c>
      <c r="F82" s="208">
        <v>0</v>
      </c>
      <c r="G82" s="208">
        <v>936859</v>
      </c>
      <c r="H82" s="208">
        <v>93685913</v>
      </c>
      <c r="I82" s="208">
        <v>0</v>
      </c>
      <c r="J82" s="208">
        <v>0</v>
      </c>
      <c r="K82" s="208">
        <v>46842957</v>
      </c>
      <c r="L82" s="208">
        <v>372424</v>
      </c>
      <c r="M82" s="208">
        <v>372424</v>
      </c>
      <c r="N82" s="208">
        <v>0</v>
      </c>
      <c r="O82" s="208">
        <v>0</v>
      </c>
      <c r="P82" s="208">
        <v>176028</v>
      </c>
      <c r="Q82" s="208">
        <v>0</v>
      </c>
      <c r="R82" s="208">
        <v>176028</v>
      </c>
      <c r="S82" s="208">
        <v>0</v>
      </c>
      <c r="T82" s="208">
        <v>0</v>
      </c>
      <c r="U82" s="208">
        <v>0</v>
      </c>
      <c r="V82" s="208">
        <v>0</v>
      </c>
      <c r="W82" s="208">
        <v>0</v>
      </c>
      <c r="X82" s="208">
        <v>0</v>
      </c>
      <c r="Y82" s="208">
        <v>0</v>
      </c>
      <c r="Z82" s="208">
        <v>0</v>
      </c>
      <c r="AA82" s="208">
        <v>0</v>
      </c>
      <c r="AB82" s="208">
        <v>0</v>
      </c>
      <c r="AC82" s="208">
        <v>0</v>
      </c>
      <c r="AD82" s="208">
        <v>0</v>
      </c>
      <c r="AE82" s="208">
        <v>0</v>
      </c>
      <c r="AF82" s="208">
        <v>0</v>
      </c>
      <c r="AG82" s="208">
        <v>4764202</v>
      </c>
      <c r="AH82" s="208">
        <v>0</v>
      </c>
      <c r="AI82" s="208">
        <v>97147</v>
      </c>
      <c r="AJ82" s="208">
        <v>4861349</v>
      </c>
      <c r="AK82" s="208">
        <v>2762903</v>
      </c>
      <c r="AL82" s="208">
        <v>2707645</v>
      </c>
      <c r="AM82" s="208">
        <v>0</v>
      </c>
      <c r="AN82" s="208">
        <v>55258</v>
      </c>
      <c r="AO82" s="208">
        <v>5525806</v>
      </c>
      <c r="AP82" s="208">
        <v>-622717</v>
      </c>
      <c r="AQ82" s="208">
        <v>-610262</v>
      </c>
      <c r="AR82" s="208">
        <v>0</v>
      </c>
      <c r="AS82" s="208">
        <v>-12454</v>
      </c>
      <c r="AT82" s="208">
        <v>-1245433</v>
      </c>
      <c r="AU82" s="208">
        <v>-1350129</v>
      </c>
      <c r="AV82" s="208">
        <v>-1323127</v>
      </c>
      <c r="AW82" s="208">
        <v>0</v>
      </c>
      <c r="AX82" s="208">
        <v>-27003</v>
      </c>
      <c r="AY82" s="208">
        <v>-2700259</v>
      </c>
      <c r="AZ82" s="208">
        <v>428700</v>
      </c>
      <c r="BA82" s="208">
        <v>420126</v>
      </c>
      <c r="BB82" s="208">
        <v>0</v>
      </c>
      <c r="BC82" s="208">
        <v>8574</v>
      </c>
      <c r="BD82" s="208">
        <v>857400</v>
      </c>
      <c r="BE82" s="208">
        <v>-393125</v>
      </c>
      <c r="BF82" s="208">
        <v>-385263</v>
      </c>
      <c r="BG82" s="208">
        <v>0</v>
      </c>
      <c r="BH82" s="208">
        <v>-7863</v>
      </c>
      <c r="BI82" s="208">
        <v>-786251</v>
      </c>
      <c r="BJ82" s="208">
        <v>-1314554</v>
      </c>
      <c r="BK82" s="208">
        <v>-1288264</v>
      </c>
      <c r="BL82" s="208">
        <v>0</v>
      </c>
      <c r="BM82" s="208">
        <v>-26292</v>
      </c>
      <c r="BN82" s="208">
        <v>-2629110</v>
      </c>
      <c r="BO82" s="208">
        <v>-4293314</v>
      </c>
      <c r="BP82" s="208">
        <v>-4207448</v>
      </c>
      <c r="BQ82" s="208">
        <v>0</v>
      </c>
      <c r="BR82" s="208">
        <v>-85866</v>
      </c>
      <c r="BS82" s="208">
        <v>-8586628</v>
      </c>
      <c r="BT82" s="208">
        <v>-2210754</v>
      </c>
      <c r="BU82" s="208">
        <v>-2166539</v>
      </c>
      <c r="BV82" s="208">
        <v>0</v>
      </c>
      <c r="BW82" s="208">
        <v>-44215</v>
      </c>
      <c r="BX82" s="208">
        <v>-4421508</v>
      </c>
      <c r="BY82" s="208">
        <v>-2082560</v>
      </c>
      <c r="BZ82" s="208">
        <v>-2040909</v>
      </c>
      <c r="CA82" s="208">
        <v>0</v>
      </c>
      <c r="CB82" s="208">
        <v>-41651</v>
      </c>
      <c r="CC82" s="208">
        <v>-4165120</v>
      </c>
      <c r="CD82" s="208">
        <v>621981</v>
      </c>
      <c r="CE82" s="208">
        <v>609541</v>
      </c>
      <c r="CF82" s="208">
        <v>0</v>
      </c>
      <c r="CG82" s="208">
        <v>12440</v>
      </c>
      <c r="CH82" s="208">
        <v>1243962</v>
      </c>
      <c r="CI82" s="208">
        <v>0</v>
      </c>
      <c r="CJ82" s="208">
        <v>0</v>
      </c>
      <c r="CK82" s="208">
        <v>0</v>
      </c>
      <c r="CL82" s="208">
        <v>0</v>
      </c>
      <c r="CM82" s="208">
        <v>0</v>
      </c>
      <c r="CN82" s="208">
        <v>513320</v>
      </c>
      <c r="CO82" s="208">
        <v>503053</v>
      </c>
      <c r="CP82" s="208">
        <v>0</v>
      </c>
      <c r="CQ82" s="208">
        <v>10266</v>
      </c>
      <c r="CR82" s="208">
        <v>1026639</v>
      </c>
      <c r="CS82" s="208">
        <v>-2090935</v>
      </c>
      <c r="CT82" s="208">
        <v>-2049116</v>
      </c>
      <c r="CU82" s="208">
        <v>0</v>
      </c>
      <c r="CV82" s="208">
        <v>-41819</v>
      </c>
      <c r="CW82" s="208">
        <v>-4181870</v>
      </c>
      <c r="CX82" s="208">
        <v>-5248948</v>
      </c>
      <c r="CY82" s="208">
        <v>-5143970</v>
      </c>
      <c r="CZ82" s="208">
        <v>0</v>
      </c>
      <c r="DA82" s="208">
        <v>-104979</v>
      </c>
      <c r="DB82" s="208">
        <v>-10497897</v>
      </c>
      <c r="DC82" s="208">
        <v>-1075453</v>
      </c>
      <c r="DD82" s="208">
        <v>-1053945</v>
      </c>
      <c r="DE82" s="208">
        <v>0</v>
      </c>
      <c r="DF82" s="208">
        <v>-21509</v>
      </c>
      <c r="DG82" s="208">
        <v>-2150907</v>
      </c>
      <c r="DH82" s="208">
        <v>-4173495</v>
      </c>
      <c r="DI82" s="208">
        <v>-4090025</v>
      </c>
      <c r="DJ82" s="208">
        <v>0</v>
      </c>
      <c r="DK82" s="208">
        <v>-83470</v>
      </c>
      <c r="DL82" s="208">
        <v>-8346990</v>
      </c>
      <c r="DM82" s="208">
        <v>-741018</v>
      </c>
      <c r="DN82" s="208">
        <v>-726196</v>
      </c>
      <c r="DO82" s="208">
        <v>0</v>
      </c>
      <c r="DP82" s="208">
        <v>-14819</v>
      </c>
      <c r="DQ82" s="208">
        <v>-1482033</v>
      </c>
      <c r="DR82" s="208">
        <v>-309331</v>
      </c>
      <c r="DS82" s="208">
        <v>-303145</v>
      </c>
      <c r="DT82" s="208">
        <v>0</v>
      </c>
      <c r="DU82" s="208">
        <v>-6187</v>
      </c>
      <c r="DV82" s="208">
        <v>-618663</v>
      </c>
      <c r="DW82" s="208">
        <v>-431687</v>
      </c>
      <c r="DX82" s="208">
        <v>-423051</v>
      </c>
      <c r="DY82" s="208">
        <v>0</v>
      </c>
      <c r="DZ82" s="208">
        <v>-8632</v>
      </c>
      <c r="EA82" s="208">
        <v>-863370</v>
      </c>
      <c r="EB82" s="208">
        <v>47452955</v>
      </c>
      <c r="EC82" s="208">
        <v>46503895</v>
      </c>
      <c r="ED82" s="208">
        <v>0</v>
      </c>
      <c r="EE82" s="208">
        <v>949059</v>
      </c>
      <c r="EF82" s="208">
        <v>94905909</v>
      </c>
      <c r="EG82" s="208">
        <v>46842957</v>
      </c>
      <c r="EH82" s="208">
        <v>45906097</v>
      </c>
      <c r="EI82" s="208">
        <v>0</v>
      </c>
      <c r="EJ82" s="208">
        <v>936859</v>
      </c>
      <c r="EK82" s="208">
        <v>93685913</v>
      </c>
      <c r="EL82" s="208">
        <v>-609998</v>
      </c>
      <c r="EM82" s="208">
        <v>-597798</v>
      </c>
      <c r="EN82" s="208">
        <v>0</v>
      </c>
      <c r="EO82" s="208">
        <v>-12200</v>
      </c>
      <c r="EP82" s="208">
        <v>-1219996</v>
      </c>
      <c r="EQ82" s="208">
        <v>-1041685</v>
      </c>
      <c r="ER82" s="208">
        <v>-1020849</v>
      </c>
      <c r="ES82" s="208">
        <v>0</v>
      </c>
      <c r="ET82" s="208">
        <v>-20832</v>
      </c>
      <c r="EU82" s="208">
        <v>-2083366</v>
      </c>
      <c r="EV82" s="666">
        <v>0.5</v>
      </c>
      <c r="EW82" s="666">
        <v>0.49</v>
      </c>
      <c r="EX82" s="666">
        <v>0</v>
      </c>
      <c r="EY82" s="666">
        <v>0.01</v>
      </c>
      <c r="EZ82" s="666">
        <v>1</v>
      </c>
      <c r="FA82" s="187" t="s">
        <v>1056</v>
      </c>
      <c r="FC82" s="187">
        <v>0</v>
      </c>
    </row>
    <row r="83" spans="1:159" s="187" customFormat="1" x14ac:dyDescent="0.2">
      <c r="B83" s="429" t="s">
        <v>245</v>
      </c>
      <c r="C83" s="429" t="s">
        <v>244</v>
      </c>
      <c r="D83" s="208">
        <v>0</v>
      </c>
      <c r="E83" s="208">
        <v>15824620</v>
      </c>
      <c r="F83" s="208">
        <v>23341314</v>
      </c>
      <c r="G83" s="208">
        <v>395615</v>
      </c>
      <c r="H83" s="208">
        <v>39561549</v>
      </c>
      <c r="I83" s="208">
        <v>0</v>
      </c>
      <c r="J83" s="208">
        <v>0</v>
      </c>
      <c r="K83" s="208">
        <v>0</v>
      </c>
      <c r="L83" s="208">
        <v>159573</v>
      </c>
      <c r="M83" s="208">
        <v>159573</v>
      </c>
      <c r="N83" s="208">
        <v>0</v>
      </c>
      <c r="O83" s="208">
        <v>0</v>
      </c>
      <c r="P83" s="208">
        <v>303313</v>
      </c>
      <c r="Q83" s="208">
        <v>0</v>
      </c>
      <c r="R83" s="208">
        <v>303313</v>
      </c>
      <c r="S83" s="208">
        <v>0</v>
      </c>
      <c r="T83" s="208">
        <v>0</v>
      </c>
      <c r="U83" s="208">
        <v>0</v>
      </c>
      <c r="V83" s="208">
        <v>0</v>
      </c>
      <c r="W83" s="208">
        <v>0</v>
      </c>
      <c r="X83" s="208">
        <v>0</v>
      </c>
      <c r="Y83" s="208">
        <v>0</v>
      </c>
      <c r="Z83" s="208">
        <v>0</v>
      </c>
      <c r="AA83" s="208">
        <v>0</v>
      </c>
      <c r="AB83" s="208">
        <v>0</v>
      </c>
      <c r="AC83" s="208">
        <v>0</v>
      </c>
      <c r="AD83" s="208">
        <v>0</v>
      </c>
      <c r="AE83" s="208">
        <v>0</v>
      </c>
      <c r="AF83" s="208">
        <v>0</v>
      </c>
      <c r="AG83" s="208">
        <v>2710053</v>
      </c>
      <c r="AH83" s="208">
        <v>3986104</v>
      </c>
      <c r="AI83" s="208">
        <v>67560</v>
      </c>
      <c r="AJ83" s="208">
        <v>6763717</v>
      </c>
      <c r="AK83" s="208">
        <v>1</v>
      </c>
      <c r="AL83" s="208">
        <v>1072650</v>
      </c>
      <c r="AM83" s="208">
        <v>1582159</v>
      </c>
      <c r="AN83" s="208">
        <v>26816</v>
      </c>
      <c r="AO83" s="208">
        <v>2681626</v>
      </c>
      <c r="AP83" s="208">
        <v>0</v>
      </c>
      <c r="AQ83" s="208">
        <v>-287985</v>
      </c>
      <c r="AR83" s="208">
        <v>-424778</v>
      </c>
      <c r="AS83" s="208">
        <v>-7200</v>
      </c>
      <c r="AT83" s="208">
        <v>-719963</v>
      </c>
      <c r="AU83" s="208">
        <v>0</v>
      </c>
      <c r="AV83" s="208">
        <v>-701971</v>
      </c>
      <c r="AW83" s="208">
        <v>-1035408</v>
      </c>
      <c r="AX83" s="208">
        <v>-17549</v>
      </c>
      <c r="AY83" s="208">
        <v>-1754928</v>
      </c>
      <c r="AZ83" s="208">
        <v>0</v>
      </c>
      <c r="BA83" s="208">
        <v>145498</v>
      </c>
      <c r="BB83" s="208">
        <v>214609</v>
      </c>
      <c r="BC83" s="208">
        <v>3637</v>
      </c>
      <c r="BD83" s="208">
        <v>363744</v>
      </c>
      <c r="BE83" s="208">
        <v>-1</v>
      </c>
      <c r="BF83" s="208">
        <v>-128766</v>
      </c>
      <c r="BG83" s="208">
        <v>-189930</v>
      </c>
      <c r="BH83" s="208">
        <v>-3219</v>
      </c>
      <c r="BI83" s="208">
        <v>-321916</v>
      </c>
      <c r="BJ83" s="208">
        <v>-1</v>
      </c>
      <c r="BK83" s="208">
        <v>-685239</v>
      </c>
      <c r="BL83" s="208">
        <v>-1010729</v>
      </c>
      <c r="BM83" s="208">
        <v>-17131</v>
      </c>
      <c r="BN83" s="208">
        <v>-1713100</v>
      </c>
      <c r="BO83" s="208">
        <v>0</v>
      </c>
      <c r="BP83" s="208">
        <v>-1990400</v>
      </c>
      <c r="BQ83" s="208">
        <v>-2935840</v>
      </c>
      <c r="BR83" s="208">
        <v>-49760</v>
      </c>
      <c r="BS83" s="208">
        <v>-4976000</v>
      </c>
      <c r="BT83" s="208">
        <v>0</v>
      </c>
      <c r="BU83" s="208">
        <v>-1108400</v>
      </c>
      <c r="BV83" s="208">
        <v>-1634890</v>
      </c>
      <c r="BW83" s="208">
        <v>-27710</v>
      </c>
      <c r="BX83" s="208">
        <v>-2771000</v>
      </c>
      <c r="BY83" s="208">
        <v>0</v>
      </c>
      <c r="BZ83" s="208">
        <v>-882000</v>
      </c>
      <c r="CA83" s="208">
        <v>-1300950</v>
      </c>
      <c r="CB83" s="208">
        <v>-22050</v>
      </c>
      <c r="CC83" s="208">
        <v>-2205000</v>
      </c>
      <c r="CD83" s="208">
        <v>0</v>
      </c>
      <c r="CE83" s="208">
        <v>51200</v>
      </c>
      <c r="CF83" s="208">
        <v>75520</v>
      </c>
      <c r="CG83" s="208">
        <v>1280</v>
      </c>
      <c r="CH83" s="208">
        <v>128000</v>
      </c>
      <c r="CI83" s="208">
        <v>0</v>
      </c>
      <c r="CJ83" s="208">
        <v>10000</v>
      </c>
      <c r="CK83" s="208">
        <v>14750</v>
      </c>
      <c r="CL83" s="208">
        <v>250</v>
      </c>
      <c r="CM83" s="208">
        <v>25000</v>
      </c>
      <c r="CN83" s="208">
        <v>0</v>
      </c>
      <c r="CO83" s="208">
        <v>1600</v>
      </c>
      <c r="CP83" s="208">
        <v>2360</v>
      </c>
      <c r="CQ83" s="208">
        <v>40</v>
      </c>
      <c r="CR83" s="208">
        <v>4000</v>
      </c>
      <c r="CS83" s="208">
        <v>0</v>
      </c>
      <c r="CT83" s="208">
        <v>-564400</v>
      </c>
      <c r="CU83" s="208">
        <v>-832490</v>
      </c>
      <c r="CV83" s="208">
        <v>-14110</v>
      </c>
      <c r="CW83" s="208">
        <v>-1411000</v>
      </c>
      <c r="CX83" s="208">
        <v>0</v>
      </c>
      <c r="CY83" s="208">
        <v>-2492000</v>
      </c>
      <c r="CZ83" s="208">
        <v>-3675700</v>
      </c>
      <c r="DA83" s="208">
        <v>-62300</v>
      </c>
      <c r="DB83" s="208">
        <v>-6230000</v>
      </c>
      <c r="DC83" s="208">
        <v>0</v>
      </c>
      <c r="DD83" s="208">
        <v>-1055600</v>
      </c>
      <c r="DE83" s="208">
        <v>-1557010</v>
      </c>
      <c r="DF83" s="208">
        <v>-26390</v>
      </c>
      <c r="DG83" s="208">
        <v>-2639000</v>
      </c>
      <c r="DH83" s="208">
        <v>0</v>
      </c>
      <c r="DI83" s="208">
        <v>-1436400</v>
      </c>
      <c r="DJ83" s="208">
        <v>-2118690</v>
      </c>
      <c r="DK83" s="208">
        <v>-35910</v>
      </c>
      <c r="DL83" s="208">
        <v>-3591000</v>
      </c>
      <c r="DM83" s="208">
        <v>-966712</v>
      </c>
      <c r="DN83" s="208">
        <v>-773372</v>
      </c>
      <c r="DO83" s="208">
        <v>-174009</v>
      </c>
      <c r="DP83" s="208">
        <v>-19335</v>
      </c>
      <c r="DQ83" s="208">
        <v>-1933428</v>
      </c>
      <c r="DR83" s="208">
        <v>-756750</v>
      </c>
      <c r="DS83" s="208">
        <v>-605400</v>
      </c>
      <c r="DT83" s="208">
        <v>-136215</v>
      </c>
      <c r="DU83" s="208">
        <v>-15135</v>
      </c>
      <c r="DV83" s="208">
        <v>-1513500</v>
      </c>
      <c r="DW83" s="208">
        <v>-209962</v>
      </c>
      <c r="DX83" s="208">
        <v>-167972</v>
      </c>
      <c r="DY83" s="208">
        <v>-37794</v>
      </c>
      <c r="DZ83" s="208">
        <v>-4200</v>
      </c>
      <c r="EA83" s="208">
        <v>-419928</v>
      </c>
      <c r="EB83" s="208">
        <v>0</v>
      </c>
      <c r="EC83" s="208">
        <v>16042400</v>
      </c>
      <c r="ED83" s="208">
        <v>23662540</v>
      </c>
      <c r="EE83" s="208">
        <v>401060</v>
      </c>
      <c r="EF83" s="208">
        <v>40106000</v>
      </c>
      <c r="EG83" s="208">
        <v>0</v>
      </c>
      <c r="EH83" s="208">
        <v>15824620</v>
      </c>
      <c r="EI83" s="208">
        <v>23341314</v>
      </c>
      <c r="EJ83" s="208">
        <v>395615</v>
      </c>
      <c r="EK83" s="208">
        <v>39561549</v>
      </c>
      <c r="EL83" s="208">
        <v>0</v>
      </c>
      <c r="EM83" s="208">
        <v>-217780</v>
      </c>
      <c r="EN83" s="208">
        <v>-321226</v>
      </c>
      <c r="EO83" s="208">
        <v>-5445</v>
      </c>
      <c r="EP83" s="208">
        <v>-544451</v>
      </c>
      <c r="EQ83" s="208">
        <v>-209962</v>
      </c>
      <c r="ER83" s="208">
        <v>-385752</v>
      </c>
      <c r="ES83" s="208">
        <v>-359020</v>
      </c>
      <c r="ET83" s="208">
        <v>-9645</v>
      </c>
      <c r="EU83" s="208">
        <v>-964379</v>
      </c>
      <c r="EV83" s="666">
        <v>0</v>
      </c>
      <c r="EW83" s="666">
        <v>0.4</v>
      </c>
      <c r="EX83" s="666">
        <v>0.59</v>
      </c>
      <c r="EY83" s="666">
        <v>0.01</v>
      </c>
      <c r="EZ83" s="666">
        <v>1</v>
      </c>
      <c r="FA83" s="187" t="s">
        <v>1054</v>
      </c>
      <c r="FC83" s="187">
        <v>0</v>
      </c>
    </row>
    <row r="84" spans="1:159" s="187" customFormat="1" x14ac:dyDescent="0.2">
      <c r="B84" s="429" t="s">
        <v>247</v>
      </c>
      <c r="C84" s="429" t="s">
        <v>246</v>
      </c>
      <c r="D84" s="208">
        <v>0</v>
      </c>
      <c r="E84" s="208">
        <v>84438068</v>
      </c>
      <c r="F84" s="208">
        <v>0</v>
      </c>
      <c r="G84" s="208">
        <v>852910</v>
      </c>
      <c r="H84" s="208">
        <v>85290978</v>
      </c>
      <c r="I84" s="208">
        <v>0</v>
      </c>
      <c r="J84" s="208">
        <v>0</v>
      </c>
      <c r="K84" s="208">
        <v>0</v>
      </c>
      <c r="L84" s="208">
        <v>420256</v>
      </c>
      <c r="M84" s="208">
        <v>420256</v>
      </c>
      <c r="N84" s="208">
        <v>0</v>
      </c>
      <c r="O84" s="208">
        <v>0</v>
      </c>
      <c r="P84" s="208">
        <v>0</v>
      </c>
      <c r="Q84" s="208">
        <v>0</v>
      </c>
      <c r="R84" s="208">
        <v>0</v>
      </c>
      <c r="S84" s="208">
        <v>0</v>
      </c>
      <c r="T84" s="208">
        <v>0</v>
      </c>
      <c r="U84" s="208">
        <v>0</v>
      </c>
      <c r="V84" s="208">
        <v>0</v>
      </c>
      <c r="W84" s="208">
        <v>0</v>
      </c>
      <c r="X84" s="208">
        <v>0</v>
      </c>
      <c r="Y84" s="208">
        <v>0</v>
      </c>
      <c r="Z84" s="208">
        <v>0</v>
      </c>
      <c r="AA84" s="208">
        <v>0</v>
      </c>
      <c r="AB84" s="208">
        <v>0</v>
      </c>
      <c r="AC84" s="208">
        <v>0</v>
      </c>
      <c r="AD84" s="208">
        <v>0</v>
      </c>
      <c r="AE84" s="208">
        <v>0</v>
      </c>
      <c r="AF84" s="208">
        <v>0</v>
      </c>
      <c r="AG84" s="208">
        <v>11003852</v>
      </c>
      <c r="AH84" s="208">
        <v>0</v>
      </c>
      <c r="AI84" s="208">
        <v>108979</v>
      </c>
      <c r="AJ84" s="208">
        <v>11112831</v>
      </c>
      <c r="AK84" s="208">
        <v>0</v>
      </c>
      <c r="AL84" s="208">
        <v>4608722</v>
      </c>
      <c r="AM84" s="208">
        <v>0</v>
      </c>
      <c r="AN84" s="208">
        <v>46553</v>
      </c>
      <c r="AO84" s="208">
        <v>4655275</v>
      </c>
      <c r="AP84" s="208">
        <v>0</v>
      </c>
      <c r="AQ84" s="208">
        <v>-342365</v>
      </c>
      <c r="AR84" s="208">
        <v>0</v>
      </c>
      <c r="AS84" s="208">
        <v>-3458</v>
      </c>
      <c r="AT84" s="208">
        <v>-345823</v>
      </c>
      <c r="AU84" s="208">
        <v>0</v>
      </c>
      <c r="AV84" s="208">
        <v>-5029200</v>
      </c>
      <c r="AW84" s="208">
        <v>0</v>
      </c>
      <c r="AX84" s="208">
        <v>-50800</v>
      </c>
      <c r="AY84" s="208">
        <v>-5080000</v>
      </c>
      <c r="AZ84" s="208">
        <v>0</v>
      </c>
      <c r="BA84" s="208">
        <v>3975073</v>
      </c>
      <c r="BB84" s="208">
        <v>0</v>
      </c>
      <c r="BC84" s="208">
        <v>40152</v>
      </c>
      <c r="BD84" s="208">
        <v>4015225</v>
      </c>
      <c r="BE84" s="208">
        <v>0</v>
      </c>
      <c r="BF84" s="208">
        <v>-1717873</v>
      </c>
      <c r="BG84" s="208">
        <v>0</v>
      </c>
      <c r="BH84" s="208">
        <v>-17352</v>
      </c>
      <c r="BI84" s="208">
        <v>-1735225</v>
      </c>
      <c r="BJ84" s="208">
        <v>0</v>
      </c>
      <c r="BK84" s="208">
        <v>-2772000</v>
      </c>
      <c r="BL84" s="208">
        <v>0</v>
      </c>
      <c r="BM84" s="208">
        <v>-28000</v>
      </c>
      <c r="BN84" s="208">
        <v>-2800000</v>
      </c>
      <c r="BO84" s="208">
        <v>0</v>
      </c>
      <c r="BP84" s="208">
        <v>-15147000</v>
      </c>
      <c r="BQ84" s="208">
        <v>0</v>
      </c>
      <c r="BR84" s="208">
        <v>-153000</v>
      </c>
      <c r="BS84" s="208">
        <v>-15300000</v>
      </c>
      <c r="BT84" s="208">
        <v>0</v>
      </c>
      <c r="BU84" s="208">
        <v>-10890000</v>
      </c>
      <c r="BV84" s="208">
        <v>0</v>
      </c>
      <c r="BW84" s="208">
        <v>-110000</v>
      </c>
      <c r="BX84" s="208">
        <v>-11000000</v>
      </c>
      <c r="BY84" s="208">
        <v>0</v>
      </c>
      <c r="BZ84" s="208">
        <v>-4257000</v>
      </c>
      <c r="CA84" s="208">
        <v>0</v>
      </c>
      <c r="CB84" s="208">
        <v>-43000</v>
      </c>
      <c r="CC84" s="208">
        <v>-4300000</v>
      </c>
      <c r="CD84" s="208">
        <v>0</v>
      </c>
      <c r="CE84" s="208">
        <v>1960200</v>
      </c>
      <c r="CF84" s="208">
        <v>0</v>
      </c>
      <c r="CG84" s="208">
        <v>19800</v>
      </c>
      <c r="CH84" s="208">
        <v>1980000</v>
      </c>
      <c r="CI84" s="208">
        <v>0</v>
      </c>
      <c r="CJ84" s="208">
        <v>0</v>
      </c>
      <c r="CK84" s="208">
        <v>0</v>
      </c>
      <c r="CL84" s="208">
        <v>0</v>
      </c>
      <c r="CM84" s="208">
        <v>0</v>
      </c>
      <c r="CN84" s="208">
        <v>0</v>
      </c>
      <c r="CO84" s="208">
        <v>2296800</v>
      </c>
      <c r="CP84" s="208">
        <v>0</v>
      </c>
      <c r="CQ84" s="208">
        <v>23200</v>
      </c>
      <c r="CR84" s="208">
        <v>2320000</v>
      </c>
      <c r="CS84" s="208">
        <v>0</v>
      </c>
      <c r="CT84" s="208">
        <v>-4257000</v>
      </c>
      <c r="CU84" s="208">
        <v>0</v>
      </c>
      <c r="CV84" s="208">
        <v>-43000</v>
      </c>
      <c r="CW84" s="208">
        <v>-4300000</v>
      </c>
      <c r="CX84" s="208">
        <v>0</v>
      </c>
      <c r="CY84" s="208">
        <v>-15147000</v>
      </c>
      <c r="CZ84" s="208">
        <v>0</v>
      </c>
      <c r="DA84" s="208">
        <v>-153000</v>
      </c>
      <c r="DB84" s="208">
        <v>-15300000</v>
      </c>
      <c r="DC84" s="208">
        <v>0</v>
      </c>
      <c r="DD84" s="208">
        <v>-6633000</v>
      </c>
      <c r="DE84" s="208">
        <v>0</v>
      </c>
      <c r="DF84" s="208">
        <v>-67000</v>
      </c>
      <c r="DG84" s="208">
        <v>-6700000</v>
      </c>
      <c r="DH84" s="208">
        <v>0</v>
      </c>
      <c r="DI84" s="208">
        <v>-8514000</v>
      </c>
      <c r="DJ84" s="208">
        <v>0</v>
      </c>
      <c r="DK84" s="208">
        <v>-86000</v>
      </c>
      <c r="DL84" s="208">
        <v>-8600000</v>
      </c>
      <c r="DM84" s="208">
        <v>88663</v>
      </c>
      <c r="DN84" s="208">
        <v>-1641389</v>
      </c>
      <c r="DO84" s="208">
        <v>0</v>
      </c>
      <c r="DP84" s="208">
        <v>-15684</v>
      </c>
      <c r="DQ84" s="208">
        <v>-1568410</v>
      </c>
      <c r="DR84" s="208">
        <v>88714</v>
      </c>
      <c r="DS84" s="208">
        <v>5246</v>
      </c>
      <c r="DT84" s="208">
        <v>0</v>
      </c>
      <c r="DU84" s="208">
        <v>949</v>
      </c>
      <c r="DV84" s="208">
        <v>94909</v>
      </c>
      <c r="DW84" s="208">
        <v>-51</v>
      </c>
      <c r="DX84" s="208">
        <v>-1646635</v>
      </c>
      <c r="DY84" s="208">
        <v>0</v>
      </c>
      <c r="DZ84" s="208">
        <v>-16633</v>
      </c>
      <c r="EA84" s="208">
        <v>-1663319</v>
      </c>
      <c r="EB84" s="208">
        <v>0</v>
      </c>
      <c r="EC84" s="208">
        <v>85806077</v>
      </c>
      <c r="ED84" s="208">
        <v>0</v>
      </c>
      <c r="EE84" s="208">
        <v>866728</v>
      </c>
      <c r="EF84" s="208">
        <v>86672805</v>
      </c>
      <c r="EG84" s="208">
        <v>0</v>
      </c>
      <c r="EH84" s="208">
        <v>84438068</v>
      </c>
      <c r="EI84" s="208">
        <v>0</v>
      </c>
      <c r="EJ84" s="208">
        <v>852910</v>
      </c>
      <c r="EK84" s="208">
        <v>85290978</v>
      </c>
      <c r="EL84" s="208">
        <v>0</v>
      </c>
      <c r="EM84" s="208">
        <v>-1368009</v>
      </c>
      <c r="EN84" s="208">
        <v>0</v>
      </c>
      <c r="EO84" s="208">
        <v>-13818</v>
      </c>
      <c r="EP84" s="208">
        <v>-1381827</v>
      </c>
      <c r="EQ84" s="208">
        <v>-51</v>
      </c>
      <c r="ER84" s="208">
        <v>-3014644</v>
      </c>
      <c r="ES84" s="208">
        <v>0</v>
      </c>
      <c r="ET84" s="208">
        <v>-30451</v>
      </c>
      <c r="EU84" s="208">
        <v>-3045146</v>
      </c>
      <c r="EV84" s="666">
        <v>0</v>
      </c>
      <c r="EW84" s="666">
        <v>0.99</v>
      </c>
      <c r="EX84" s="666">
        <v>0</v>
      </c>
      <c r="EY84" s="666">
        <v>0.01</v>
      </c>
      <c r="EZ84" s="666">
        <v>1</v>
      </c>
      <c r="FA84" s="187" t="s">
        <v>1056</v>
      </c>
      <c r="FC84" s="187">
        <v>0</v>
      </c>
    </row>
    <row r="85" spans="1:159" s="187" customFormat="1" x14ac:dyDescent="0.2">
      <c r="B85" s="429" t="s">
        <v>249</v>
      </c>
      <c r="C85" s="429" t="s">
        <v>248</v>
      </c>
      <c r="D85" s="208">
        <v>55083024</v>
      </c>
      <c r="E85" s="208">
        <v>53981365</v>
      </c>
      <c r="F85" s="208">
        <v>0</v>
      </c>
      <c r="G85" s="208">
        <v>1101661</v>
      </c>
      <c r="H85" s="208">
        <v>110166050</v>
      </c>
      <c r="I85" s="208">
        <v>0</v>
      </c>
      <c r="J85" s="208">
        <v>0</v>
      </c>
      <c r="K85" s="208">
        <v>55083024</v>
      </c>
      <c r="L85" s="208">
        <v>586050</v>
      </c>
      <c r="M85" s="208">
        <v>586050</v>
      </c>
      <c r="N85" s="208">
        <v>0</v>
      </c>
      <c r="O85" s="208">
        <v>0</v>
      </c>
      <c r="P85" s="208">
        <v>177655</v>
      </c>
      <c r="Q85" s="208">
        <v>0</v>
      </c>
      <c r="R85" s="208">
        <v>177655</v>
      </c>
      <c r="S85" s="208">
        <v>0</v>
      </c>
      <c r="T85" s="208">
        <v>0</v>
      </c>
      <c r="U85" s="208">
        <v>0</v>
      </c>
      <c r="V85" s="208">
        <v>0</v>
      </c>
      <c r="W85" s="208">
        <v>0</v>
      </c>
      <c r="X85" s="208">
        <v>0</v>
      </c>
      <c r="Y85" s="208">
        <v>0</v>
      </c>
      <c r="Z85" s="208">
        <v>0</v>
      </c>
      <c r="AA85" s="208">
        <v>0</v>
      </c>
      <c r="AB85" s="208">
        <v>0</v>
      </c>
      <c r="AC85" s="208">
        <v>0</v>
      </c>
      <c r="AD85" s="208">
        <v>0</v>
      </c>
      <c r="AE85" s="208">
        <v>0</v>
      </c>
      <c r="AF85" s="208">
        <v>0</v>
      </c>
      <c r="AG85" s="208">
        <v>6644002</v>
      </c>
      <c r="AH85" s="208">
        <v>0</v>
      </c>
      <c r="AI85" s="208">
        <v>135415</v>
      </c>
      <c r="AJ85" s="208">
        <v>6779417</v>
      </c>
      <c r="AK85" s="208">
        <v>2297390</v>
      </c>
      <c r="AL85" s="208">
        <v>2251442</v>
      </c>
      <c r="AM85" s="208">
        <v>0</v>
      </c>
      <c r="AN85" s="208">
        <v>45948</v>
      </c>
      <c r="AO85" s="208">
        <v>4594780</v>
      </c>
      <c r="AP85" s="208">
        <v>-1162036</v>
      </c>
      <c r="AQ85" s="208">
        <v>-1138795</v>
      </c>
      <c r="AR85" s="208">
        <v>0</v>
      </c>
      <c r="AS85" s="208">
        <v>-23241</v>
      </c>
      <c r="AT85" s="208">
        <v>-2324072</v>
      </c>
      <c r="AU85" s="208">
        <v>-1503114</v>
      </c>
      <c r="AV85" s="208">
        <v>-1473051</v>
      </c>
      <c r="AW85" s="208">
        <v>0</v>
      </c>
      <c r="AX85" s="208">
        <v>-30062</v>
      </c>
      <c r="AY85" s="208">
        <v>-3006227</v>
      </c>
      <c r="AZ85" s="208">
        <v>668255</v>
      </c>
      <c r="BA85" s="208">
        <v>654889</v>
      </c>
      <c r="BB85" s="208">
        <v>0</v>
      </c>
      <c r="BC85" s="208">
        <v>13365</v>
      </c>
      <c r="BD85" s="208">
        <v>1336509</v>
      </c>
      <c r="BE85" s="208">
        <v>-641682</v>
      </c>
      <c r="BF85" s="208">
        <v>-628848</v>
      </c>
      <c r="BG85" s="208">
        <v>0</v>
      </c>
      <c r="BH85" s="208">
        <v>-12834</v>
      </c>
      <c r="BI85" s="208">
        <v>-1283364</v>
      </c>
      <c r="BJ85" s="208">
        <v>-1476541</v>
      </c>
      <c r="BK85" s="208">
        <v>-1447010</v>
      </c>
      <c r="BL85" s="208">
        <v>0</v>
      </c>
      <c r="BM85" s="208">
        <v>-29531</v>
      </c>
      <c r="BN85" s="208">
        <v>-2953082</v>
      </c>
      <c r="BO85" s="208">
        <v>-12134621</v>
      </c>
      <c r="BP85" s="208">
        <v>-11891929</v>
      </c>
      <c r="BQ85" s="208">
        <v>0</v>
      </c>
      <c r="BR85" s="208">
        <v>-242692</v>
      </c>
      <c r="BS85" s="208">
        <v>-24269242</v>
      </c>
      <c r="BT85" s="208">
        <v>0</v>
      </c>
      <c r="BU85" s="208">
        <v>0</v>
      </c>
      <c r="BV85" s="208">
        <v>0</v>
      </c>
      <c r="BW85" s="208">
        <v>0</v>
      </c>
      <c r="BX85" s="208">
        <v>0</v>
      </c>
      <c r="BY85" s="208">
        <v>-12134621</v>
      </c>
      <c r="BZ85" s="208">
        <v>-11891929</v>
      </c>
      <c r="CA85" s="208">
        <v>0</v>
      </c>
      <c r="CB85" s="208">
        <v>-242692</v>
      </c>
      <c r="CC85" s="208">
        <v>-24269242</v>
      </c>
      <c r="CD85" s="208">
        <v>679201</v>
      </c>
      <c r="CE85" s="208">
        <v>665617</v>
      </c>
      <c r="CF85" s="208">
        <v>0</v>
      </c>
      <c r="CG85" s="208">
        <v>13584</v>
      </c>
      <c r="CH85" s="208">
        <v>1358402</v>
      </c>
      <c r="CI85" s="208">
        <v>0</v>
      </c>
      <c r="CJ85" s="208">
        <v>0</v>
      </c>
      <c r="CK85" s="208">
        <v>0</v>
      </c>
      <c r="CL85" s="208">
        <v>0</v>
      </c>
      <c r="CM85" s="208">
        <v>0</v>
      </c>
      <c r="CN85" s="208">
        <v>622737</v>
      </c>
      <c r="CO85" s="208">
        <v>610282</v>
      </c>
      <c r="CP85" s="208">
        <v>0</v>
      </c>
      <c r="CQ85" s="208">
        <v>12455</v>
      </c>
      <c r="CR85" s="208">
        <v>1245474</v>
      </c>
      <c r="CS85" s="208">
        <v>-3808684</v>
      </c>
      <c r="CT85" s="208">
        <v>-3732510</v>
      </c>
      <c r="CU85" s="208">
        <v>0</v>
      </c>
      <c r="CV85" s="208">
        <v>-76174</v>
      </c>
      <c r="CW85" s="208">
        <v>-7617368</v>
      </c>
      <c r="CX85" s="208">
        <v>-14641367</v>
      </c>
      <c r="CY85" s="208">
        <v>-14348540</v>
      </c>
      <c r="CZ85" s="208">
        <v>0</v>
      </c>
      <c r="DA85" s="208">
        <v>-292827</v>
      </c>
      <c r="DB85" s="208">
        <v>-29282734</v>
      </c>
      <c r="DC85" s="208">
        <v>1301938</v>
      </c>
      <c r="DD85" s="208">
        <v>1275899</v>
      </c>
      <c r="DE85" s="208">
        <v>0</v>
      </c>
      <c r="DF85" s="208">
        <v>26039</v>
      </c>
      <c r="DG85" s="208">
        <v>2603876</v>
      </c>
      <c r="DH85" s="208">
        <v>-15943305</v>
      </c>
      <c r="DI85" s="208">
        <v>-15624439</v>
      </c>
      <c r="DJ85" s="208">
        <v>0</v>
      </c>
      <c r="DK85" s="208">
        <v>-318866</v>
      </c>
      <c r="DL85" s="208">
        <v>-31886610</v>
      </c>
      <c r="DM85" s="208">
        <v>2076042</v>
      </c>
      <c r="DN85" s="208">
        <v>2034521</v>
      </c>
      <c r="DO85" s="208">
        <v>0</v>
      </c>
      <c r="DP85" s="208">
        <v>41522</v>
      </c>
      <c r="DQ85" s="208">
        <v>4152085</v>
      </c>
      <c r="DR85" s="208">
        <v>2937950</v>
      </c>
      <c r="DS85" s="208">
        <v>2879191</v>
      </c>
      <c r="DT85" s="208">
        <v>0</v>
      </c>
      <c r="DU85" s="208">
        <v>58759</v>
      </c>
      <c r="DV85" s="208">
        <v>5875900</v>
      </c>
      <c r="DW85" s="208">
        <v>-861908</v>
      </c>
      <c r="DX85" s="208">
        <v>-844670</v>
      </c>
      <c r="DY85" s="208">
        <v>0</v>
      </c>
      <c r="DZ85" s="208">
        <v>-17237</v>
      </c>
      <c r="EA85" s="208">
        <v>-1723815</v>
      </c>
      <c r="EB85" s="208">
        <v>52840280</v>
      </c>
      <c r="EC85" s="208">
        <v>51783475</v>
      </c>
      <c r="ED85" s="208">
        <v>0</v>
      </c>
      <c r="EE85" s="208">
        <v>1056806</v>
      </c>
      <c r="EF85" s="208">
        <v>105680561</v>
      </c>
      <c r="EG85" s="208">
        <v>55083024</v>
      </c>
      <c r="EH85" s="208">
        <v>53981365</v>
      </c>
      <c r="EI85" s="208">
        <v>0</v>
      </c>
      <c r="EJ85" s="208">
        <v>1101661</v>
      </c>
      <c r="EK85" s="208">
        <v>110166050</v>
      </c>
      <c r="EL85" s="208">
        <v>2242744</v>
      </c>
      <c r="EM85" s="208">
        <v>2197890</v>
      </c>
      <c r="EN85" s="208">
        <v>0</v>
      </c>
      <c r="EO85" s="208">
        <v>44855</v>
      </c>
      <c r="EP85" s="208">
        <v>4485489</v>
      </c>
      <c r="EQ85" s="208">
        <v>1380836</v>
      </c>
      <c r="ER85" s="208">
        <v>1353220</v>
      </c>
      <c r="ES85" s="208">
        <v>0</v>
      </c>
      <c r="ET85" s="208">
        <v>27618</v>
      </c>
      <c r="EU85" s="208">
        <v>2761674</v>
      </c>
      <c r="EV85" s="666">
        <v>0.5</v>
      </c>
      <c r="EW85" s="666">
        <v>0.49</v>
      </c>
      <c r="EX85" s="666">
        <v>0</v>
      </c>
      <c r="EY85" s="666">
        <v>0.01</v>
      </c>
      <c r="EZ85" s="666">
        <v>1</v>
      </c>
      <c r="FA85" s="187" t="s">
        <v>742</v>
      </c>
      <c r="FC85" s="187">
        <v>0</v>
      </c>
    </row>
    <row r="86" spans="1:159" s="187" customFormat="1" x14ac:dyDescent="0.2">
      <c r="B86" s="429" t="s">
        <v>251</v>
      </c>
      <c r="C86" s="429" t="s">
        <v>250</v>
      </c>
      <c r="D86" s="208">
        <v>0</v>
      </c>
      <c r="E86" s="208">
        <v>95947927</v>
      </c>
      <c r="F86" s="208">
        <v>53970709</v>
      </c>
      <c r="G86" s="208">
        <v>0</v>
      </c>
      <c r="H86" s="208">
        <v>149918636</v>
      </c>
      <c r="I86" s="208">
        <v>0</v>
      </c>
      <c r="J86" s="208">
        <v>0</v>
      </c>
      <c r="K86" s="208">
        <v>0</v>
      </c>
      <c r="L86" s="208">
        <v>498579</v>
      </c>
      <c r="M86" s="208">
        <v>498579</v>
      </c>
      <c r="N86" s="208">
        <v>0</v>
      </c>
      <c r="O86" s="208">
        <v>0</v>
      </c>
      <c r="P86" s="208">
        <v>0</v>
      </c>
      <c r="Q86" s="208">
        <v>0</v>
      </c>
      <c r="R86" s="208">
        <v>0</v>
      </c>
      <c r="S86" s="208">
        <v>0</v>
      </c>
      <c r="T86" s="208">
        <v>0</v>
      </c>
      <c r="U86" s="208">
        <v>0</v>
      </c>
      <c r="V86" s="208">
        <v>0</v>
      </c>
      <c r="W86" s="208">
        <v>0</v>
      </c>
      <c r="X86" s="208">
        <v>0</v>
      </c>
      <c r="Y86" s="208">
        <v>0</v>
      </c>
      <c r="Z86" s="208">
        <v>0</v>
      </c>
      <c r="AA86" s="208">
        <v>0</v>
      </c>
      <c r="AB86" s="208">
        <v>0</v>
      </c>
      <c r="AC86" s="208">
        <v>0</v>
      </c>
      <c r="AD86" s="208">
        <v>0</v>
      </c>
      <c r="AE86" s="208">
        <v>0</v>
      </c>
      <c r="AF86" s="208">
        <v>0</v>
      </c>
      <c r="AG86" s="208">
        <v>7934041</v>
      </c>
      <c r="AH86" s="208">
        <v>4462898</v>
      </c>
      <c r="AI86" s="208">
        <v>0</v>
      </c>
      <c r="AJ86" s="208">
        <v>12396939</v>
      </c>
      <c r="AK86" s="208">
        <v>0</v>
      </c>
      <c r="AL86" s="208">
        <v>10334122</v>
      </c>
      <c r="AM86" s="208">
        <v>5812943</v>
      </c>
      <c r="AN86" s="208">
        <v>0</v>
      </c>
      <c r="AO86" s="208">
        <v>16147065</v>
      </c>
      <c r="AP86" s="208">
        <v>0</v>
      </c>
      <c r="AQ86" s="208">
        <v>-8295983</v>
      </c>
      <c r="AR86" s="208">
        <v>-4666490</v>
      </c>
      <c r="AS86" s="208">
        <v>0</v>
      </c>
      <c r="AT86" s="208">
        <v>-12962473</v>
      </c>
      <c r="AU86" s="208">
        <v>-6.0000000521540642E-2</v>
      </c>
      <c r="AV86" s="208">
        <v>-4457318</v>
      </c>
      <c r="AW86" s="208">
        <v>-2507242</v>
      </c>
      <c r="AX86" s="208">
        <v>0</v>
      </c>
      <c r="AY86" s="208">
        <v>-6964560.0600000005</v>
      </c>
      <c r="AZ86" s="208">
        <v>0</v>
      </c>
      <c r="BA86" s="208">
        <v>901841</v>
      </c>
      <c r="BB86" s="208">
        <v>507286</v>
      </c>
      <c r="BC86" s="208">
        <v>0</v>
      </c>
      <c r="BD86" s="208">
        <v>1409127</v>
      </c>
      <c r="BE86" s="208">
        <v>0</v>
      </c>
      <c r="BF86" s="208">
        <v>-705401</v>
      </c>
      <c r="BG86" s="208">
        <v>-396788</v>
      </c>
      <c r="BH86" s="208">
        <v>0</v>
      </c>
      <c r="BI86" s="208">
        <v>-1102189</v>
      </c>
      <c r="BJ86" s="208">
        <v>-6.0000000521540642E-2</v>
      </c>
      <c r="BK86" s="208">
        <v>-4260878</v>
      </c>
      <c r="BL86" s="208">
        <v>-2396744</v>
      </c>
      <c r="BM86" s="208">
        <v>0</v>
      </c>
      <c r="BN86" s="208">
        <v>-6657622.0600000005</v>
      </c>
      <c r="BO86" s="208">
        <v>0</v>
      </c>
      <c r="BP86" s="208">
        <v>-10780945</v>
      </c>
      <c r="BQ86" s="208">
        <v>-6064282</v>
      </c>
      <c r="BR86" s="208">
        <v>0</v>
      </c>
      <c r="BS86" s="208">
        <v>-16845227</v>
      </c>
      <c r="BT86" s="208">
        <v>0</v>
      </c>
      <c r="BU86" s="208">
        <v>-6155256</v>
      </c>
      <c r="BV86" s="208">
        <v>-3462332</v>
      </c>
      <c r="BW86" s="208">
        <v>0</v>
      </c>
      <c r="BX86" s="208">
        <v>-9617588</v>
      </c>
      <c r="BY86" s="208">
        <v>0</v>
      </c>
      <c r="BZ86" s="208">
        <v>-4625689</v>
      </c>
      <c r="CA86" s="208">
        <v>-2601950</v>
      </c>
      <c r="CB86" s="208">
        <v>0</v>
      </c>
      <c r="CC86" s="208">
        <v>-7227639</v>
      </c>
      <c r="CD86" s="208">
        <v>0</v>
      </c>
      <c r="CE86" s="208">
        <v>2705855</v>
      </c>
      <c r="CF86" s="208">
        <v>1522043</v>
      </c>
      <c r="CG86" s="208">
        <v>0</v>
      </c>
      <c r="CH86" s="208">
        <v>4227898</v>
      </c>
      <c r="CI86" s="208">
        <v>0</v>
      </c>
      <c r="CJ86" s="208">
        <v>2771584</v>
      </c>
      <c r="CK86" s="208">
        <v>1559016</v>
      </c>
      <c r="CL86" s="208">
        <v>0</v>
      </c>
      <c r="CM86" s="208">
        <v>4330600</v>
      </c>
      <c r="CN86" s="208">
        <v>0</v>
      </c>
      <c r="CO86" s="208">
        <v>203160</v>
      </c>
      <c r="CP86" s="208">
        <v>114278</v>
      </c>
      <c r="CQ86" s="208">
        <v>0</v>
      </c>
      <c r="CR86" s="208">
        <v>317438</v>
      </c>
      <c r="CS86" s="208">
        <v>0</v>
      </c>
      <c r="CT86" s="208">
        <v>-5732842</v>
      </c>
      <c r="CU86" s="208">
        <v>-3224723</v>
      </c>
      <c r="CV86" s="208">
        <v>0</v>
      </c>
      <c r="CW86" s="208">
        <v>-8957565</v>
      </c>
      <c r="CX86" s="208">
        <v>0</v>
      </c>
      <c r="CY86" s="208">
        <v>-10833188</v>
      </c>
      <c r="CZ86" s="208">
        <v>-6093668</v>
      </c>
      <c r="DA86" s="208">
        <v>0</v>
      </c>
      <c r="DB86" s="208">
        <v>-16926856</v>
      </c>
      <c r="DC86" s="208">
        <v>0</v>
      </c>
      <c r="DD86" s="208">
        <v>-3246241</v>
      </c>
      <c r="DE86" s="208">
        <v>-1826011</v>
      </c>
      <c r="DF86" s="208">
        <v>0</v>
      </c>
      <c r="DG86" s="208">
        <v>-5072252</v>
      </c>
      <c r="DH86" s="208">
        <v>0</v>
      </c>
      <c r="DI86" s="208">
        <v>-7586947</v>
      </c>
      <c r="DJ86" s="208">
        <v>-4267657</v>
      </c>
      <c r="DK86" s="208">
        <v>0</v>
      </c>
      <c r="DL86" s="208">
        <v>-11854604</v>
      </c>
      <c r="DM86" s="208">
        <v>2251894</v>
      </c>
      <c r="DN86" s="208">
        <v>1830160</v>
      </c>
      <c r="DO86" s="208">
        <v>2018478.4</v>
      </c>
      <c r="DP86" s="208">
        <v>0</v>
      </c>
      <c r="DQ86" s="208">
        <v>6100532</v>
      </c>
      <c r="DR86" s="208">
        <v>1520524</v>
      </c>
      <c r="DS86" s="208">
        <v>1215381</v>
      </c>
      <c r="DT86" s="208">
        <v>1315364</v>
      </c>
      <c r="DU86" s="208">
        <v>0</v>
      </c>
      <c r="DV86" s="208">
        <v>4051269</v>
      </c>
      <c r="DW86" s="208">
        <v>731370</v>
      </c>
      <c r="DX86" s="208">
        <v>614779</v>
      </c>
      <c r="DY86" s="208">
        <v>703114.39999999991</v>
      </c>
      <c r="DZ86" s="208">
        <v>0</v>
      </c>
      <c r="EA86" s="208">
        <v>2049263</v>
      </c>
      <c r="EB86" s="208">
        <v>0</v>
      </c>
      <c r="EC86" s="208">
        <v>96170191</v>
      </c>
      <c r="ED86" s="208">
        <v>54095732</v>
      </c>
      <c r="EE86" s="208">
        <v>0</v>
      </c>
      <c r="EF86" s="208">
        <v>150265923</v>
      </c>
      <c r="EG86" s="208">
        <v>0</v>
      </c>
      <c r="EH86" s="208">
        <v>95947927</v>
      </c>
      <c r="EI86" s="208">
        <v>53970709</v>
      </c>
      <c r="EJ86" s="208">
        <v>0</v>
      </c>
      <c r="EK86" s="208">
        <v>149918636</v>
      </c>
      <c r="EL86" s="208">
        <v>0</v>
      </c>
      <c r="EM86" s="208">
        <v>-222264</v>
      </c>
      <c r="EN86" s="208">
        <v>-125023</v>
      </c>
      <c r="EO86" s="208">
        <v>0</v>
      </c>
      <c r="EP86" s="208">
        <v>-347287</v>
      </c>
      <c r="EQ86" s="208">
        <v>731370</v>
      </c>
      <c r="ER86" s="208">
        <v>392515</v>
      </c>
      <c r="ES86" s="208">
        <v>578091.39999999991</v>
      </c>
      <c r="ET86" s="208">
        <v>0</v>
      </c>
      <c r="EU86" s="208">
        <v>1701976</v>
      </c>
      <c r="EV86" s="666">
        <v>0</v>
      </c>
      <c r="EW86" s="666">
        <v>0.64</v>
      </c>
      <c r="EX86" s="666">
        <v>0.36</v>
      </c>
      <c r="EY86" s="666">
        <v>0</v>
      </c>
      <c r="EZ86" s="666">
        <v>1</v>
      </c>
      <c r="FA86" s="187" t="s">
        <v>1055</v>
      </c>
      <c r="FC86" s="187">
        <v>0</v>
      </c>
    </row>
    <row r="87" spans="1:159" s="187" customFormat="1" x14ac:dyDescent="0.2">
      <c r="B87" s="429" t="s">
        <v>253</v>
      </c>
      <c r="C87" s="429" t="s">
        <v>252</v>
      </c>
      <c r="D87" s="208">
        <v>10405941</v>
      </c>
      <c r="E87" s="208">
        <v>8324753</v>
      </c>
      <c r="F87" s="208">
        <v>1873069</v>
      </c>
      <c r="G87" s="208">
        <v>208119</v>
      </c>
      <c r="H87" s="208">
        <v>20811882</v>
      </c>
      <c r="I87" s="208">
        <v>33564</v>
      </c>
      <c r="J87" s="208">
        <v>33564</v>
      </c>
      <c r="K87" s="208">
        <v>10372377</v>
      </c>
      <c r="L87" s="208">
        <v>94722</v>
      </c>
      <c r="M87" s="208">
        <v>94722</v>
      </c>
      <c r="N87" s="208">
        <v>0</v>
      </c>
      <c r="O87" s="208">
        <v>0</v>
      </c>
      <c r="P87" s="208">
        <v>840826</v>
      </c>
      <c r="Q87" s="208">
        <v>0</v>
      </c>
      <c r="R87" s="208">
        <v>840826</v>
      </c>
      <c r="S87" s="208">
        <v>0</v>
      </c>
      <c r="T87" s="208">
        <v>0</v>
      </c>
      <c r="U87" s="208">
        <v>0</v>
      </c>
      <c r="V87" s="208">
        <v>0</v>
      </c>
      <c r="W87" s="208">
        <v>33563.941666666666</v>
      </c>
      <c r="X87" s="208">
        <v>0</v>
      </c>
      <c r="Y87" s="208">
        <v>0</v>
      </c>
      <c r="Z87" s="208">
        <v>33563.941666666666</v>
      </c>
      <c r="AA87" s="208">
        <v>0</v>
      </c>
      <c r="AB87" s="208">
        <v>0</v>
      </c>
      <c r="AC87" s="208">
        <v>0</v>
      </c>
      <c r="AD87" s="208">
        <v>0</v>
      </c>
      <c r="AE87" s="208">
        <v>0</v>
      </c>
      <c r="AF87" s="208">
        <v>0</v>
      </c>
      <c r="AG87" s="208">
        <v>1108336</v>
      </c>
      <c r="AH87" s="208">
        <v>245041</v>
      </c>
      <c r="AI87" s="208">
        <v>27227</v>
      </c>
      <c r="AJ87" s="208">
        <v>1380604</v>
      </c>
      <c r="AK87" s="208">
        <v>484796</v>
      </c>
      <c r="AL87" s="208">
        <v>387836</v>
      </c>
      <c r="AM87" s="208">
        <v>87263</v>
      </c>
      <c r="AN87" s="208">
        <v>9696</v>
      </c>
      <c r="AO87" s="208">
        <v>969591</v>
      </c>
      <c r="AP87" s="208">
        <v>-300497</v>
      </c>
      <c r="AQ87" s="208">
        <v>-240398</v>
      </c>
      <c r="AR87" s="208">
        <v>-54090</v>
      </c>
      <c r="AS87" s="208">
        <v>-6010</v>
      </c>
      <c r="AT87" s="208">
        <v>-600995</v>
      </c>
      <c r="AU87" s="208">
        <v>-164922.46999999997</v>
      </c>
      <c r="AV87" s="208">
        <v>-131937</v>
      </c>
      <c r="AW87" s="208">
        <v>-29686</v>
      </c>
      <c r="AX87" s="208">
        <v>-3298</v>
      </c>
      <c r="AY87" s="208">
        <v>-329843.46999999997</v>
      </c>
      <c r="AZ87" s="208">
        <v>39602</v>
      </c>
      <c r="BA87" s="208">
        <v>31681</v>
      </c>
      <c r="BB87" s="208">
        <v>7128</v>
      </c>
      <c r="BC87" s="208">
        <v>792</v>
      </c>
      <c r="BD87" s="208">
        <v>79203</v>
      </c>
      <c r="BE87" s="208">
        <v>-17653</v>
      </c>
      <c r="BF87" s="208">
        <v>-14122</v>
      </c>
      <c r="BG87" s="208">
        <v>-3177</v>
      </c>
      <c r="BH87" s="208">
        <v>-353</v>
      </c>
      <c r="BI87" s="208">
        <v>-35305</v>
      </c>
      <c r="BJ87" s="208">
        <v>-142973.46999999997</v>
      </c>
      <c r="BK87" s="208">
        <v>-114378</v>
      </c>
      <c r="BL87" s="208">
        <v>-25735</v>
      </c>
      <c r="BM87" s="208">
        <v>-2859</v>
      </c>
      <c r="BN87" s="208">
        <v>-285945.46999999997</v>
      </c>
      <c r="BO87" s="208">
        <v>-752092</v>
      </c>
      <c r="BP87" s="208">
        <v>-601673</v>
      </c>
      <c r="BQ87" s="208">
        <v>-135376</v>
      </c>
      <c r="BR87" s="208">
        <v>-15042</v>
      </c>
      <c r="BS87" s="208">
        <v>-1504183</v>
      </c>
      <c r="BT87" s="208">
        <v>-319075</v>
      </c>
      <c r="BU87" s="208">
        <v>-255260</v>
      </c>
      <c r="BV87" s="208">
        <v>-57434</v>
      </c>
      <c r="BW87" s="208">
        <v>-6382</v>
      </c>
      <c r="BX87" s="208">
        <v>-638151</v>
      </c>
      <c r="BY87" s="208">
        <v>-433016</v>
      </c>
      <c r="BZ87" s="208">
        <v>-346413</v>
      </c>
      <c r="CA87" s="208">
        <v>-77943</v>
      </c>
      <c r="CB87" s="208">
        <v>-8660</v>
      </c>
      <c r="CC87" s="208">
        <v>-866032</v>
      </c>
      <c r="CD87" s="208">
        <v>165336</v>
      </c>
      <c r="CE87" s="208">
        <v>132269</v>
      </c>
      <c r="CF87" s="208">
        <v>29760</v>
      </c>
      <c r="CG87" s="208">
        <v>3307</v>
      </c>
      <c r="CH87" s="208">
        <v>330672</v>
      </c>
      <c r="CI87" s="208">
        <v>10114</v>
      </c>
      <c r="CJ87" s="208">
        <v>8091</v>
      </c>
      <c r="CK87" s="208">
        <v>1820</v>
      </c>
      <c r="CL87" s="208">
        <v>202</v>
      </c>
      <c r="CM87" s="208">
        <v>20227</v>
      </c>
      <c r="CN87" s="208">
        <v>-59591</v>
      </c>
      <c r="CO87" s="208">
        <v>-47672</v>
      </c>
      <c r="CP87" s="208">
        <v>-10726</v>
      </c>
      <c r="CQ87" s="208">
        <v>-1192</v>
      </c>
      <c r="CR87" s="208">
        <v>-119181</v>
      </c>
      <c r="CS87" s="208">
        <v>-514592</v>
      </c>
      <c r="CT87" s="208">
        <v>-411673</v>
      </c>
      <c r="CU87" s="208">
        <v>-92626</v>
      </c>
      <c r="CV87" s="208">
        <v>-10292</v>
      </c>
      <c r="CW87" s="208">
        <v>-1029183</v>
      </c>
      <c r="CX87" s="208">
        <v>-1150825</v>
      </c>
      <c r="CY87" s="208">
        <v>-920658</v>
      </c>
      <c r="CZ87" s="208">
        <v>-207148</v>
      </c>
      <c r="DA87" s="208">
        <v>-23017</v>
      </c>
      <c r="DB87" s="208">
        <v>-2301648</v>
      </c>
      <c r="DC87" s="208">
        <v>-213330</v>
      </c>
      <c r="DD87" s="208">
        <v>-170663</v>
      </c>
      <c r="DE87" s="208">
        <v>-38400</v>
      </c>
      <c r="DF87" s="208">
        <v>-4267</v>
      </c>
      <c r="DG87" s="208">
        <v>-426660</v>
      </c>
      <c r="DH87" s="208">
        <v>-937494</v>
      </c>
      <c r="DI87" s="208">
        <v>-749995</v>
      </c>
      <c r="DJ87" s="208">
        <v>-168749</v>
      </c>
      <c r="DK87" s="208">
        <v>-18750</v>
      </c>
      <c r="DL87" s="208">
        <v>-1874988</v>
      </c>
      <c r="DM87" s="208">
        <v>408503</v>
      </c>
      <c r="DN87" s="208">
        <v>326801</v>
      </c>
      <c r="DO87" s="208">
        <v>73530</v>
      </c>
      <c r="DP87" s="208">
        <v>8170</v>
      </c>
      <c r="DQ87" s="208">
        <v>817004</v>
      </c>
      <c r="DR87" s="208">
        <v>164956</v>
      </c>
      <c r="DS87" s="208">
        <v>131965</v>
      </c>
      <c r="DT87" s="208">
        <v>29692</v>
      </c>
      <c r="DU87" s="208">
        <v>3299</v>
      </c>
      <c r="DV87" s="208">
        <v>329912</v>
      </c>
      <c r="DW87" s="208">
        <v>243547</v>
      </c>
      <c r="DX87" s="208">
        <v>194836</v>
      </c>
      <c r="DY87" s="208">
        <v>43838</v>
      </c>
      <c r="DZ87" s="208">
        <v>4871</v>
      </c>
      <c r="EA87" s="208">
        <v>487092</v>
      </c>
      <c r="EB87" s="208">
        <v>10221812</v>
      </c>
      <c r="EC87" s="208">
        <v>8177449</v>
      </c>
      <c r="ED87" s="208">
        <v>1839926</v>
      </c>
      <c r="EE87" s="208">
        <v>204436</v>
      </c>
      <c r="EF87" s="208">
        <v>20443623</v>
      </c>
      <c r="EG87" s="208">
        <v>10405941</v>
      </c>
      <c r="EH87" s="208">
        <v>8324753</v>
      </c>
      <c r="EI87" s="208">
        <v>1873069</v>
      </c>
      <c r="EJ87" s="208">
        <v>208119</v>
      </c>
      <c r="EK87" s="208">
        <v>20811882</v>
      </c>
      <c r="EL87" s="208">
        <v>184129</v>
      </c>
      <c r="EM87" s="208">
        <v>147304</v>
      </c>
      <c r="EN87" s="208">
        <v>33143</v>
      </c>
      <c r="EO87" s="208">
        <v>3683</v>
      </c>
      <c r="EP87" s="208">
        <v>368259</v>
      </c>
      <c r="EQ87" s="208">
        <v>427676</v>
      </c>
      <c r="ER87" s="208">
        <v>342140</v>
      </c>
      <c r="ES87" s="208">
        <v>76981</v>
      </c>
      <c r="ET87" s="208">
        <v>8554</v>
      </c>
      <c r="EU87" s="208">
        <v>855351</v>
      </c>
      <c r="EV87" s="666">
        <v>0.5</v>
      </c>
      <c r="EW87" s="666">
        <v>0.4</v>
      </c>
      <c r="EX87" s="666">
        <v>0.09</v>
      </c>
      <c r="EY87" s="666">
        <v>0.01</v>
      </c>
      <c r="EZ87" s="666">
        <v>1</v>
      </c>
      <c r="FA87" s="187" t="s">
        <v>1054</v>
      </c>
      <c r="FC87" s="187">
        <v>0</v>
      </c>
    </row>
    <row r="88" spans="1:159" s="187" customFormat="1" x14ac:dyDescent="0.2">
      <c r="B88" s="429" t="s">
        <v>255</v>
      </c>
      <c r="C88" s="429" t="s">
        <v>254</v>
      </c>
      <c r="D88" s="208">
        <v>1</v>
      </c>
      <c r="E88" s="208">
        <v>14604452</v>
      </c>
      <c r="F88" s="208">
        <v>21541567</v>
      </c>
      <c r="G88" s="208">
        <v>365111</v>
      </c>
      <c r="H88" s="208">
        <v>36511131</v>
      </c>
      <c r="I88" s="208">
        <v>0</v>
      </c>
      <c r="J88" s="208">
        <v>0</v>
      </c>
      <c r="K88" s="208">
        <v>1</v>
      </c>
      <c r="L88" s="208">
        <v>228623</v>
      </c>
      <c r="M88" s="208">
        <v>228623</v>
      </c>
      <c r="N88" s="208">
        <v>232987</v>
      </c>
      <c r="O88" s="208">
        <v>232987</v>
      </c>
      <c r="P88" s="208">
        <v>313813</v>
      </c>
      <c r="Q88" s="208">
        <v>0</v>
      </c>
      <c r="R88" s="208">
        <v>313813</v>
      </c>
      <c r="S88" s="208">
        <v>0</v>
      </c>
      <c r="T88" s="208">
        <v>0</v>
      </c>
      <c r="U88" s="208">
        <v>0</v>
      </c>
      <c r="V88" s="208">
        <v>0</v>
      </c>
      <c r="W88" s="208">
        <v>0</v>
      </c>
      <c r="X88" s="208">
        <v>0</v>
      </c>
      <c r="Y88" s="208">
        <v>0</v>
      </c>
      <c r="Z88" s="208">
        <v>0</v>
      </c>
      <c r="AA88" s="208">
        <v>0</v>
      </c>
      <c r="AB88" s="208">
        <v>0</v>
      </c>
      <c r="AC88" s="208">
        <v>0</v>
      </c>
      <c r="AD88" s="208">
        <v>0</v>
      </c>
      <c r="AE88" s="208">
        <v>0</v>
      </c>
      <c r="AF88" s="208">
        <v>0</v>
      </c>
      <c r="AG88" s="208">
        <v>2725209</v>
      </c>
      <c r="AH88" s="208">
        <v>3670407</v>
      </c>
      <c r="AI88" s="208">
        <v>62210</v>
      </c>
      <c r="AJ88" s="208">
        <v>6457826</v>
      </c>
      <c r="AK88" s="208">
        <v>0</v>
      </c>
      <c r="AL88" s="208">
        <v>226912</v>
      </c>
      <c r="AM88" s="208">
        <v>334695</v>
      </c>
      <c r="AN88" s="208">
        <v>5673</v>
      </c>
      <c r="AO88" s="208">
        <v>567280</v>
      </c>
      <c r="AP88" s="208">
        <v>0</v>
      </c>
      <c r="AQ88" s="208">
        <v>-295715</v>
      </c>
      <c r="AR88" s="208">
        <v>-436180</v>
      </c>
      <c r="AS88" s="208">
        <v>-7393</v>
      </c>
      <c r="AT88" s="208">
        <v>-739288</v>
      </c>
      <c r="AU88" s="208">
        <v>0</v>
      </c>
      <c r="AV88" s="208">
        <v>-52261</v>
      </c>
      <c r="AW88" s="208">
        <v>-77085</v>
      </c>
      <c r="AX88" s="208">
        <v>-1307</v>
      </c>
      <c r="AY88" s="208">
        <v>-130653</v>
      </c>
      <c r="AZ88" s="208">
        <v>-1</v>
      </c>
      <c r="BA88" s="208">
        <v>42222</v>
      </c>
      <c r="BB88" s="208">
        <v>62277</v>
      </c>
      <c r="BC88" s="208">
        <v>1056</v>
      </c>
      <c r="BD88" s="208">
        <v>105554</v>
      </c>
      <c r="BE88" s="208">
        <v>0</v>
      </c>
      <c r="BF88" s="208">
        <v>-30698</v>
      </c>
      <c r="BG88" s="208">
        <v>-45279</v>
      </c>
      <c r="BH88" s="208">
        <v>-767</v>
      </c>
      <c r="BI88" s="208">
        <v>-76744</v>
      </c>
      <c r="BJ88" s="208">
        <v>-1</v>
      </c>
      <c r="BK88" s="208">
        <v>-40737</v>
      </c>
      <c r="BL88" s="208">
        <v>-60087</v>
      </c>
      <c r="BM88" s="208">
        <v>-1018</v>
      </c>
      <c r="BN88" s="208">
        <v>-101843</v>
      </c>
      <c r="BO88" s="208">
        <v>0</v>
      </c>
      <c r="BP88" s="208">
        <v>-797515</v>
      </c>
      <c r="BQ88" s="208">
        <v>-1176335</v>
      </c>
      <c r="BR88" s="208">
        <v>-19938</v>
      </c>
      <c r="BS88" s="208">
        <v>-1993788</v>
      </c>
      <c r="BT88" s="208">
        <v>0</v>
      </c>
      <c r="BU88" s="208">
        <v>-177745</v>
      </c>
      <c r="BV88" s="208">
        <v>-262174</v>
      </c>
      <c r="BW88" s="208">
        <v>-4444</v>
      </c>
      <c r="BX88" s="208">
        <v>-444363</v>
      </c>
      <c r="BY88" s="208">
        <v>0</v>
      </c>
      <c r="BZ88" s="208">
        <v>-619770</v>
      </c>
      <c r="CA88" s="208">
        <v>-914161</v>
      </c>
      <c r="CB88" s="208">
        <v>-15494</v>
      </c>
      <c r="CC88" s="208">
        <v>-1549425</v>
      </c>
      <c r="CD88" s="208">
        <v>0</v>
      </c>
      <c r="CE88" s="208">
        <v>47281</v>
      </c>
      <c r="CF88" s="208">
        <v>69740</v>
      </c>
      <c r="CG88" s="208">
        <v>1182</v>
      </c>
      <c r="CH88" s="208">
        <v>118203</v>
      </c>
      <c r="CI88" s="208">
        <v>-1</v>
      </c>
      <c r="CJ88" s="208">
        <v>151396</v>
      </c>
      <c r="CK88" s="208">
        <v>223309</v>
      </c>
      <c r="CL88" s="208">
        <v>3785</v>
      </c>
      <c r="CM88" s="208">
        <v>378489</v>
      </c>
      <c r="CN88" s="208">
        <v>0</v>
      </c>
      <c r="CO88" s="208">
        <v>27190</v>
      </c>
      <c r="CP88" s="208">
        <v>40106</v>
      </c>
      <c r="CQ88" s="208">
        <v>680</v>
      </c>
      <c r="CR88" s="208">
        <v>67976</v>
      </c>
      <c r="CS88" s="208">
        <v>1</v>
      </c>
      <c r="CT88" s="208">
        <v>-226432</v>
      </c>
      <c r="CU88" s="208">
        <v>-333987</v>
      </c>
      <c r="CV88" s="208">
        <v>-5661</v>
      </c>
      <c r="CW88" s="208">
        <v>-566079</v>
      </c>
      <c r="CX88" s="208">
        <v>0</v>
      </c>
      <c r="CY88" s="208">
        <v>-798080</v>
      </c>
      <c r="CZ88" s="208">
        <v>-1177167</v>
      </c>
      <c r="DA88" s="208">
        <v>-19952</v>
      </c>
      <c r="DB88" s="208">
        <v>-1995199</v>
      </c>
      <c r="DC88" s="208">
        <v>0</v>
      </c>
      <c r="DD88" s="208">
        <v>-103274</v>
      </c>
      <c r="DE88" s="208">
        <v>-152328</v>
      </c>
      <c r="DF88" s="208">
        <v>-2582</v>
      </c>
      <c r="DG88" s="208">
        <v>-258184</v>
      </c>
      <c r="DH88" s="208">
        <v>0</v>
      </c>
      <c r="DI88" s="208">
        <v>-694806</v>
      </c>
      <c r="DJ88" s="208">
        <v>-1024839</v>
      </c>
      <c r="DK88" s="208">
        <v>-17370</v>
      </c>
      <c r="DL88" s="208">
        <v>-1737015</v>
      </c>
      <c r="DM88" s="208">
        <v>-1211888.5</v>
      </c>
      <c r="DN88" s="208">
        <v>-969510.8</v>
      </c>
      <c r="DO88" s="208">
        <v>-218139.93</v>
      </c>
      <c r="DP88" s="208">
        <v>-24237.77</v>
      </c>
      <c r="DQ88" s="208">
        <v>-2423777</v>
      </c>
      <c r="DR88" s="208">
        <v>-1183148</v>
      </c>
      <c r="DS88" s="208">
        <v>-946519</v>
      </c>
      <c r="DT88" s="208">
        <v>-212967</v>
      </c>
      <c r="DU88" s="208">
        <v>-23663</v>
      </c>
      <c r="DV88" s="208">
        <v>-2366297</v>
      </c>
      <c r="DW88" s="208">
        <v>-28740.5</v>
      </c>
      <c r="DX88" s="208">
        <v>-22991.800000000047</v>
      </c>
      <c r="DY88" s="208">
        <v>-5172.929999999993</v>
      </c>
      <c r="DZ88" s="208">
        <v>-574.77000000000044</v>
      </c>
      <c r="EA88" s="208">
        <v>-57480</v>
      </c>
      <c r="EB88" s="208">
        <v>0</v>
      </c>
      <c r="EC88" s="208">
        <v>13757528</v>
      </c>
      <c r="ED88" s="208">
        <v>20292353</v>
      </c>
      <c r="EE88" s="208">
        <v>343938</v>
      </c>
      <c r="EF88" s="208">
        <v>34393819</v>
      </c>
      <c r="EG88" s="208">
        <v>0</v>
      </c>
      <c r="EH88" s="208">
        <v>14604453</v>
      </c>
      <c r="EI88" s="208">
        <v>21541567</v>
      </c>
      <c r="EJ88" s="208">
        <v>365111</v>
      </c>
      <c r="EK88" s="208">
        <v>36511131</v>
      </c>
      <c r="EL88" s="208">
        <v>0</v>
      </c>
      <c r="EM88" s="208">
        <v>846925</v>
      </c>
      <c r="EN88" s="208">
        <v>1249214</v>
      </c>
      <c r="EO88" s="208">
        <v>21173</v>
      </c>
      <c r="EP88" s="208">
        <v>2117312</v>
      </c>
      <c r="EQ88" s="208">
        <v>-28740.5</v>
      </c>
      <c r="ER88" s="208">
        <v>823933.2</v>
      </c>
      <c r="ES88" s="208">
        <v>1244041.07</v>
      </c>
      <c r="ET88" s="208">
        <v>20598.23</v>
      </c>
      <c r="EU88" s="208">
        <v>2059832</v>
      </c>
      <c r="EV88" s="666">
        <v>0</v>
      </c>
      <c r="EW88" s="666">
        <v>0.4</v>
      </c>
      <c r="EX88" s="666">
        <v>0.59</v>
      </c>
      <c r="EY88" s="666">
        <v>0.01</v>
      </c>
      <c r="EZ88" s="666">
        <v>1</v>
      </c>
      <c r="FA88" s="187" t="s">
        <v>1054</v>
      </c>
      <c r="FC88" s="187">
        <v>0</v>
      </c>
    </row>
    <row r="89" spans="1:159" s="187" customFormat="1" x14ac:dyDescent="0.2">
      <c r="B89" s="429" t="s">
        <v>257</v>
      </c>
      <c r="C89" s="429" t="s">
        <v>256</v>
      </c>
      <c r="D89" s="208">
        <v>10988411</v>
      </c>
      <c r="E89" s="208">
        <v>8790728</v>
      </c>
      <c r="F89" s="208">
        <v>1977914</v>
      </c>
      <c r="G89" s="208">
        <v>219768</v>
      </c>
      <c r="H89" s="208">
        <v>21976821</v>
      </c>
      <c r="I89" s="208">
        <v>0</v>
      </c>
      <c r="J89" s="208">
        <v>0</v>
      </c>
      <c r="K89" s="208">
        <v>10988411</v>
      </c>
      <c r="L89" s="208">
        <v>107467</v>
      </c>
      <c r="M89" s="208">
        <v>107467</v>
      </c>
      <c r="N89" s="208">
        <v>0</v>
      </c>
      <c r="O89" s="208">
        <v>0</v>
      </c>
      <c r="P89" s="208">
        <v>210243</v>
      </c>
      <c r="Q89" s="208">
        <v>0</v>
      </c>
      <c r="R89" s="208">
        <v>210243</v>
      </c>
      <c r="S89" s="208">
        <v>0</v>
      </c>
      <c r="T89" s="208">
        <v>0</v>
      </c>
      <c r="U89" s="208">
        <v>0</v>
      </c>
      <c r="V89" s="208">
        <v>0</v>
      </c>
      <c r="W89" s="208">
        <v>0</v>
      </c>
      <c r="X89" s="208">
        <v>0</v>
      </c>
      <c r="Y89" s="208">
        <v>0</v>
      </c>
      <c r="Z89" s="208">
        <v>0</v>
      </c>
      <c r="AA89" s="208">
        <v>0</v>
      </c>
      <c r="AB89" s="208">
        <v>0</v>
      </c>
      <c r="AC89" s="208">
        <v>0</v>
      </c>
      <c r="AD89" s="208">
        <v>0</v>
      </c>
      <c r="AE89" s="208">
        <v>0</v>
      </c>
      <c r="AF89" s="208">
        <v>0</v>
      </c>
      <c r="AG89" s="208">
        <v>1365787</v>
      </c>
      <c r="AH89" s="208">
        <v>306216</v>
      </c>
      <c r="AI89" s="208">
        <v>34024</v>
      </c>
      <c r="AJ89" s="208">
        <v>1706027</v>
      </c>
      <c r="AK89" s="208">
        <v>313012</v>
      </c>
      <c r="AL89" s="208">
        <v>250410</v>
      </c>
      <c r="AM89" s="208">
        <v>56342</v>
      </c>
      <c r="AN89" s="208">
        <v>6260</v>
      </c>
      <c r="AO89" s="208">
        <v>626024</v>
      </c>
      <c r="AP89" s="208">
        <v>-244353</v>
      </c>
      <c r="AQ89" s="208">
        <v>-195482</v>
      </c>
      <c r="AR89" s="208">
        <v>-43984</v>
      </c>
      <c r="AS89" s="208">
        <v>-4887</v>
      </c>
      <c r="AT89" s="208">
        <v>-488706</v>
      </c>
      <c r="AU89" s="208">
        <v>-149688</v>
      </c>
      <c r="AV89" s="208">
        <v>-119750</v>
      </c>
      <c r="AW89" s="208">
        <v>-26944</v>
      </c>
      <c r="AX89" s="208">
        <v>-2994</v>
      </c>
      <c r="AY89" s="208">
        <v>-299376</v>
      </c>
      <c r="AZ89" s="208">
        <v>75469</v>
      </c>
      <c r="BA89" s="208">
        <v>60375</v>
      </c>
      <c r="BB89" s="208">
        <v>13584</v>
      </c>
      <c r="BC89" s="208">
        <v>1509</v>
      </c>
      <c r="BD89" s="208">
        <v>150937</v>
      </c>
      <c r="BE89" s="208">
        <v>-68711</v>
      </c>
      <c r="BF89" s="208">
        <v>-54968</v>
      </c>
      <c r="BG89" s="208">
        <v>-12368</v>
      </c>
      <c r="BH89" s="208">
        <v>-1374</v>
      </c>
      <c r="BI89" s="208">
        <v>-137421</v>
      </c>
      <c r="BJ89" s="208">
        <v>-142930</v>
      </c>
      <c r="BK89" s="208">
        <v>-114343</v>
      </c>
      <c r="BL89" s="208">
        <v>-25728</v>
      </c>
      <c r="BM89" s="208">
        <v>-2859</v>
      </c>
      <c r="BN89" s="208">
        <v>-285860</v>
      </c>
      <c r="BO89" s="208">
        <v>-490904.39999999991</v>
      </c>
      <c r="BP89" s="208">
        <v>-392724</v>
      </c>
      <c r="BQ89" s="208">
        <v>-88363</v>
      </c>
      <c r="BR89" s="208">
        <v>-9818</v>
      </c>
      <c r="BS89" s="208">
        <v>-981809.39999999991</v>
      </c>
      <c r="BT89" s="208">
        <v>-490904</v>
      </c>
      <c r="BU89" s="208">
        <v>-392724</v>
      </c>
      <c r="BV89" s="208">
        <v>-88363</v>
      </c>
      <c r="BW89" s="208">
        <v>-9818</v>
      </c>
      <c r="BX89" s="208">
        <v>-981809</v>
      </c>
      <c r="BY89" s="208">
        <v>-0.39999999990686774</v>
      </c>
      <c r="BZ89" s="208">
        <v>0</v>
      </c>
      <c r="CA89" s="208">
        <v>0</v>
      </c>
      <c r="CB89" s="208">
        <v>0</v>
      </c>
      <c r="CC89" s="208">
        <v>-0.39999999990686774</v>
      </c>
      <c r="CD89" s="208">
        <v>193439</v>
      </c>
      <c r="CE89" s="208">
        <v>154752</v>
      </c>
      <c r="CF89" s="208">
        <v>34819</v>
      </c>
      <c r="CG89" s="208">
        <v>3869</v>
      </c>
      <c r="CH89" s="208">
        <v>386879</v>
      </c>
      <c r="CI89" s="208">
        <v>0</v>
      </c>
      <c r="CJ89" s="208">
        <v>0</v>
      </c>
      <c r="CK89" s="208">
        <v>0</v>
      </c>
      <c r="CL89" s="208">
        <v>0</v>
      </c>
      <c r="CM89" s="208">
        <v>0</v>
      </c>
      <c r="CN89" s="208">
        <v>-250000</v>
      </c>
      <c r="CO89" s="208">
        <v>-200000</v>
      </c>
      <c r="CP89" s="208">
        <v>-45000</v>
      </c>
      <c r="CQ89" s="208">
        <v>-5000</v>
      </c>
      <c r="CR89" s="208">
        <v>-500000</v>
      </c>
      <c r="CS89" s="208">
        <v>-225000</v>
      </c>
      <c r="CT89" s="208">
        <v>-180000</v>
      </c>
      <c r="CU89" s="208">
        <v>-40500</v>
      </c>
      <c r="CV89" s="208">
        <v>-4500</v>
      </c>
      <c r="CW89" s="208">
        <v>-450000</v>
      </c>
      <c r="CX89" s="208">
        <v>-772465.39999999991</v>
      </c>
      <c r="CY89" s="208">
        <v>-617972</v>
      </c>
      <c r="CZ89" s="208">
        <v>-139044</v>
      </c>
      <c r="DA89" s="208">
        <v>-15449</v>
      </c>
      <c r="DB89" s="208">
        <v>-1544930.4</v>
      </c>
      <c r="DC89" s="208">
        <v>-547465</v>
      </c>
      <c r="DD89" s="208">
        <v>-437972</v>
      </c>
      <c r="DE89" s="208">
        <v>-98544</v>
      </c>
      <c r="DF89" s="208">
        <v>-10949</v>
      </c>
      <c r="DG89" s="208">
        <v>-1094930</v>
      </c>
      <c r="DH89" s="208">
        <v>-225000.39999999991</v>
      </c>
      <c r="DI89" s="208">
        <v>-180000</v>
      </c>
      <c r="DJ89" s="208">
        <v>-40500</v>
      </c>
      <c r="DK89" s="208">
        <v>-4500</v>
      </c>
      <c r="DL89" s="208">
        <v>-450000.39999999991</v>
      </c>
      <c r="DM89" s="208">
        <v>-425395.73000000045</v>
      </c>
      <c r="DN89" s="208">
        <v>-340318</v>
      </c>
      <c r="DO89" s="208">
        <v>-76571</v>
      </c>
      <c r="DP89" s="208">
        <v>-8509</v>
      </c>
      <c r="DQ89" s="208">
        <v>-850793.73000000045</v>
      </c>
      <c r="DR89" s="208">
        <v>-540765</v>
      </c>
      <c r="DS89" s="208">
        <v>-432612</v>
      </c>
      <c r="DT89" s="208">
        <v>-97338</v>
      </c>
      <c r="DU89" s="208">
        <v>-10815</v>
      </c>
      <c r="DV89" s="208">
        <v>-1081530</v>
      </c>
      <c r="DW89" s="208">
        <v>115369.26999999955</v>
      </c>
      <c r="DX89" s="208">
        <v>92294</v>
      </c>
      <c r="DY89" s="208">
        <v>20767</v>
      </c>
      <c r="DZ89" s="208">
        <v>2306</v>
      </c>
      <c r="EA89" s="208">
        <v>230736.26999999955</v>
      </c>
      <c r="EB89" s="208">
        <v>11526789</v>
      </c>
      <c r="EC89" s="208">
        <v>9221432</v>
      </c>
      <c r="ED89" s="208">
        <v>2074822</v>
      </c>
      <c r="EE89" s="208">
        <v>230536</v>
      </c>
      <c r="EF89" s="208">
        <v>23053579</v>
      </c>
      <c r="EG89" s="208">
        <v>10988411</v>
      </c>
      <c r="EH89" s="208">
        <v>8790728</v>
      </c>
      <c r="EI89" s="208">
        <v>1977914</v>
      </c>
      <c r="EJ89" s="208">
        <v>219768</v>
      </c>
      <c r="EK89" s="208">
        <v>21976821</v>
      </c>
      <c r="EL89" s="208">
        <v>-538378</v>
      </c>
      <c r="EM89" s="208">
        <v>-430704</v>
      </c>
      <c r="EN89" s="208">
        <v>-96908</v>
      </c>
      <c r="EO89" s="208">
        <v>-10768</v>
      </c>
      <c r="EP89" s="208">
        <v>-1076758</v>
      </c>
      <c r="EQ89" s="208">
        <v>-423008.73000000045</v>
      </c>
      <c r="ER89" s="208">
        <v>-338410</v>
      </c>
      <c r="ES89" s="208">
        <v>-76141</v>
      </c>
      <c r="ET89" s="208">
        <v>-8462</v>
      </c>
      <c r="EU89" s="208">
        <v>-846021.73000000045</v>
      </c>
      <c r="EV89" s="666">
        <v>0.5</v>
      </c>
      <c r="EW89" s="666">
        <v>0.4</v>
      </c>
      <c r="EX89" s="666">
        <v>0.09</v>
      </c>
      <c r="EY89" s="666">
        <v>0.01</v>
      </c>
      <c r="EZ89" s="666">
        <v>1</v>
      </c>
      <c r="FA89" s="187" t="s">
        <v>1054</v>
      </c>
      <c r="FC89" s="187">
        <v>0</v>
      </c>
    </row>
    <row r="90" spans="1:159" s="187" customFormat="1" x14ac:dyDescent="0.2">
      <c r="B90" s="429" t="s">
        <v>259</v>
      </c>
      <c r="C90" s="429" t="s">
        <v>258</v>
      </c>
      <c r="D90" s="208">
        <v>15333309</v>
      </c>
      <c r="E90" s="208">
        <v>12266647</v>
      </c>
      <c r="F90" s="208">
        <v>2759996</v>
      </c>
      <c r="G90" s="208">
        <v>306666</v>
      </c>
      <c r="H90" s="208">
        <v>30666618</v>
      </c>
      <c r="I90" s="208">
        <v>16126</v>
      </c>
      <c r="J90" s="208">
        <v>16126</v>
      </c>
      <c r="K90" s="208">
        <v>15317183</v>
      </c>
      <c r="L90" s="208">
        <v>154906</v>
      </c>
      <c r="M90" s="208">
        <v>154906</v>
      </c>
      <c r="N90" s="208">
        <v>37657</v>
      </c>
      <c r="O90" s="208">
        <v>37657</v>
      </c>
      <c r="P90" s="208">
        <v>0</v>
      </c>
      <c r="Q90" s="208">
        <v>0</v>
      </c>
      <c r="R90" s="208">
        <v>0</v>
      </c>
      <c r="S90" s="208">
        <v>0</v>
      </c>
      <c r="T90" s="208">
        <v>0</v>
      </c>
      <c r="U90" s="208">
        <v>0</v>
      </c>
      <c r="V90" s="208">
        <v>0</v>
      </c>
      <c r="W90" s="208">
        <v>16126.28125</v>
      </c>
      <c r="X90" s="208">
        <v>0</v>
      </c>
      <c r="Y90" s="208">
        <v>0</v>
      </c>
      <c r="Z90" s="208">
        <v>16126.28125</v>
      </c>
      <c r="AA90" s="208">
        <v>0</v>
      </c>
      <c r="AB90" s="208">
        <v>0</v>
      </c>
      <c r="AC90" s="208">
        <v>0</v>
      </c>
      <c r="AD90" s="208">
        <v>0</v>
      </c>
      <c r="AE90" s="208">
        <v>0</v>
      </c>
      <c r="AF90" s="208">
        <v>0</v>
      </c>
      <c r="AG90" s="208">
        <v>1737531</v>
      </c>
      <c r="AH90" s="208">
        <v>389906</v>
      </c>
      <c r="AI90" s="208">
        <v>43324</v>
      </c>
      <c r="AJ90" s="208">
        <v>2170761</v>
      </c>
      <c r="AK90" s="208">
        <v>617214</v>
      </c>
      <c r="AL90" s="208">
        <v>493771</v>
      </c>
      <c r="AM90" s="208">
        <v>111098</v>
      </c>
      <c r="AN90" s="208">
        <v>12344</v>
      </c>
      <c r="AO90" s="208">
        <v>1234427</v>
      </c>
      <c r="AP90" s="208">
        <v>-314724</v>
      </c>
      <c r="AQ90" s="208">
        <v>-251778</v>
      </c>
      <c r="AR90" s="208">
        <v>-56650</v>
      </c>
      <c r="AS90" s="208">
        <v>-6294</v>
      </c>
      <c r="AT90" s="208">
        <v>-629446</v>
      </c>
      <c r="AU90" s="208">
        <v>-196464</v>
      </c>
      <c r="AV90" s="208">
        <v>-157172</v>
      </c>
      <c r="AW90" s="208">
        <v>-35364</v>
      </c>
      <c r="AX90" s="208">
        <v>-3929</v>
      </c>
      <c r="AY90" s="208">
        <v>-392929</v>
      </c>
      <c r="AZ90" s="208">
        <v>78752</v>
      </c>
      <c r="BA90" s="208">
        <v>63002</v>
      </c>
      <c r="BB90" s="208">
        <v>14175</v>
      </c>
      <c r="BC90" s="208">
        <v>1575</v>
      </c>
      <c r="BD90" s="208">
        <v>157504</v>
      </c>
      <c r="BE90" s="208">
        <v>-141152</v>
      </c>
      <c r="BF90" s="208">
        <v>-112922</v>
      </c>
      <c r="BG90" s="208">
        <v>-25407</v>
      </c>
      <c r="BH90" s="208">
        <v>-2823</v>
      </c>
      <c r="BI90" s="208">
        <v>-282304</v>
      </c>
      <c r="BJ90" s="208">
        <v>-258864</v>
      </c>
      <c r="BK90" s="208">
        <v>-207092</v>
      </c>
      <c r="BL90" s="208">
        <v>-46596</v>
      </c>
      <c r="BM90" s="208">
        <v>-5177</v>
      </c>
      <c r="BN90" s="208">
        <v>-517729</v>
      </c>
      <c r="BO90" s="208">
        <v>-1906053.7999999998</v>
      </c>
      <c r="BP90" s="208">
        <v>-1524843</v>
      </c>
      <c r="BQ90" s="208">
        <v>-343090</v>
      </c>
      <c r="BR90" s="208">
        <v>-38121</v>
      </c>
      <c r="BS90" s="208">
        <v>-3812107.8</v>
      </c>
      <c r="BT90" s="208">
        <v>-1140833</v>
      </c>
      <c r="BU90" s="208">
        <v>-912666</v>
      </c>
      <c r="BV90" s="208">
        <v>-205350</v>
      </c>
      <c r="BW90" s="208">
        <v>-22817</v>
      </c>
      <c r="BX90" s="208">
        <v>-2281666</v>
      </c>
      <c r="BY90" s="208">
        <v>-765220.79999999981</v>
      </c>
      <c r="BZ90" s="208">
        <v>-612177</v>
      </c>
      <c r="CA90" s="208">
        <v>-137740</v>
      </c>
      <c r="CB90" s="208">
        <v>-15304</v>
      </c>
      <c r="CC90" s="208">
        <v>-1530441.7999999998</v>
      </c>
      <c r="CD90" s="208">
        <v>946615</v>
      </c>
      <c r="CE90" s="208">
        <v>757292</v>
      </c>
      <c r="CF90" s="208">
        <v>170391</v>
      </c>
      <c r="CG90" s="208">
        <v>18932</v>
      </c>
      <c r="CH90" s="208">
        <v>1893230</v>
      </c>
      <c r="CI90" s="208">
        <v>0</v>
      </c>
      <c r="CJ90" s="208">
        <v>0</v>
      </c>
      <c r="CK90" s="208">
        <v>0</v>
      </c>
      <c r="CL90" s="208">
        <v>0</v>
      </c>
      <c r="CM90" s="208">
        <v>0</v>
      </c>
      <c r="CN90" s="208">
        <v>-112789</v>
      </c>
      <c r="CO90" s="208">
        <v>-90231</v>
      </c>
      <c r="CP90" s="208">
        <v>-20302</v>
      </c>
      <c r="CQ90" s="208">
        <v>-2256</v>
      </c>
      <c r="CR90" s="208">
        <v>-225578</v>
      </c>
      <c r="CS90" s="208">
        <v>-1392507</v>
      </c>
      <c r="CT90" s="208">
        <v>-1114005</v>
      </c>
      <c r="CU90" s="208">
        <v>-250651</v>
      </c>
      <c r="CV90" s="208">
        <v>-27850</v>
      </c>
      <c r="CW90" s="208">
        <v>-2785013</v>
      </c>
      <c r="CX90" s="208">
        <v>-2464734.7999999998</v>
      </c>
      <c r="CY90" s="208">
        <v>-1971787</v>
      </c>
      <c r="CZ90" s="208">
        <v>-443652</v>
      </c>
      <c r="DA90" s="208">
        <v>-49295</v>
      </c>
      <c r="DB90" s="208">
        <v>-4929468.8</v>
      </c>
      <c r="DC90" s="208">
        <v>-307007</v>
      </c>
      <c r="DD90" s="208">
        <v>-245605</v>
      </c>
      <c r="DE90" s="208">
        <v>-55261</v>
      </c>
      <c r="DF90" s="208">
        <v>-6141</v>
      </c>
      <c r="DG90" s="208">
        <v>-614014</v>
      </c>
      <c r="DH90" s="208">
        <v>-2157727.7999999998</v>
      </c>
      <c r="DI90" s="208">
        <v>-1726182</v>
      </c>
      <c r="DJ90" s="208">
        <v>-388391</v>
      </c>
      <c r="DK90" s="208">
        <v>-43154</v>
      </c>
      <c r="DL90" s="208">
        <v>-4315454.8</v>
      </c>
      <c r="DM90" s="208">
        <v>-2124866.8000000007</v>
      </c>
      <c r="DN90" s="208">
        <v>-1699894</v>
      </c>
      <c r="DO90" s="208">
        <v>-382477</v>
      </c>
      <c r="DP90" s="208">
        <v>-42497</v>
      </c>
      <c r="DQ90" s="208">
        <v>-4249734.8000000007</v>
      </c>
      <c r="DR90" s="208">
        <v>-932329</v>
      </c>
      <c r="DS90" s="208">
        <v>-745864</v>
      </c>
      <c r="DT90" s="208">
        <v>-167819</v>
      </c>
      <c r="DU90" s="208">
        <v>-18647</v>
      </c>
      <c r="DV90" s="208">
        <v>-1864659</v>
      </c>
      <c r="DW90" s="208">
        <v>-1192537.8000000007</v>
      </c>
      <c r="DX90" s="208">
        <v>-954030</v>
      </c>
      <c r="DY90" s="208">
        <v>-214658</v>
      </c>
      <c r="DZ90" s="208">
        <v>-23850</v>
      </c>
      <c r="EA90" s="208">
        <v>-2385075.8000000007</v>
      </c>
      <c r="EB90" s="208">
        <v>16841154</v>
      </c>
      <c r="EC90" s="208">
        <v>13472923</v>
      </c>
      <c r="ED90" s="208">
        <v>3031408</v>
      </c>
      <c r="EE90" s="208">
        <v>336823</v>
      </c>
      <c r="EF90" s="208">
        <v>33682308</v>
      </c>
      <c r="EG90" s="208">
        <v>15333309</v>
      </c>
      <c r="EH90" s="208">
        <v>12266647</v>
      </c>
      <c r="EI90" s="208">
        <v>2759996</v>
      </c>
      <c r="EJ90" s="208">
        <v>306666</v>
      </c>
      <c r="EK90" s="208">
        <v>30666618</v>
      </c>
      <c r="EL90" s="208">
        <v>-1507845</v>
      </c>
      <c r="EM90" s="208">
        <v>-1206276</v>
      </c>
      <c r="EN90" s="208">
        <v>-271412</v>
      </c>
      <c r="EO90" s="208">
        <v>-30157</v>
      </c>
      <c r="EP90" s="208">
        <v>-3015690</v>
      </c>
      <c r="EQ90" s="208">
        <v>-2700382.8000000007</v>
      </c>
      <c r="ER90" s="208">
        <v>-2160306</v>
      </c>
      <c r="ES90" s="208">
        <v>-486070</v>
      </c>
      <c r="ET90" s="208">
        <v>-54007</v>
      </c>
      <c r="EU90" s="208">
        <v>-5400765.8000000007</v>
      </c>
      <c r="EV90" s="666">
        <v>0.5</v>
      </c>
      <c r="EW90" s="666">
        <v>0.4</v>
      </c>
      <c r="EX90" s="666">
        <v>0.09</v>
      </c>
      <c r="EY90" s="666">
        <v>0.01</v>
      </c>
      <c r="EZ90" s="666">
        <v>1</v>
      </c>
      <c r="FA90" s="187" t="s">
        <v>1054</v>
      </c>
      <c r="FC90" s="187">
        <v>0</v>
      </c>
    </row>
    <row r="91" spans="1:159" s="187" customFormat="1" x14ac:dyDescent="0.2">
      <c r="B91" s="429" t="s">
        <v>261</v>
      </c>
      <c r="C91" s="429" t="s">
        <v>260</v>
      </c>
      <c r="D91" s="208">
        <v>21794592</v>
      </c>
      <c r="E91" s="208">
        <v>17435674</v>
      </c>
      <c r="F91" s="208">
        <v>4358918</v>
      </c>
      <c r="G91" s="208">
        <v>0</v>
      </c>
      <c r="H91" s="208">
        <v>43589184</v>
      </c>
      <c r="I91" s="208">
        <v>0</v>
      </c>
      <c r="J91" s="208">
        <v>0</v>
      </c>
      <c r="K91" s="208">
        <v>21794592</v>
      </c>
      <c r="L91" s="208">
        <v>197610</v>
      </c>
      <c r="M91" s="208">
        <v>197610</v>
      </c>
      <c r="N91" s="208">
        <v>0</v>
      </c>
      <c r="O91" s="208">
        <v>0</v>
      </c>
      <c r="P91" s="208">
        <v>0</v>
      </c>
      <c r="Q91" s="208">
        <v>0</v>
      </c>
      <c r="R91" s="208">
        <v>0</v>
      </c>
      <c r="S91" s="208">
        <v>0</v>
      </c>
      <c r="T91" s="208">
        <v>0</v>
      </c>
      <c r="U91" s="208">
        <v>0</v>
      </c>
      <c r="V91" s="208">
        <v>0</v>
      </c>
      <c r="W91" s="208">
        <v>0</v>
      </c>
      <c r="X91" s="208">
        <v>0</v>
      </c>
      <c r="Y91" s="208">
        <v>0</v>
      </c>
      <c r="Z91" s="208">
        <v>0</v>
      </c>
      <c r="AA91" s="208">
        <v>0</v>
      </c>
      <c r="AB91" s="208">
        <v>0</v>
      </c>
      <c r="AC91" s="208">
        <v>0</v>
      </c>
      <c r="AD91" s="208">
        <v>0</v>
      </c>
      <c r="AE91" s="208">
        <v>0</v>
      </c>
      <c r="AF91" s="208">
        <v>0</v>
      </c>
      <c r="AG91" s="208">
        <v>2245231</v>
      </c>
      <c r="AH91" s="208">
        <v>561308</v>
      </c>
      <c r="AI91" s="208">
        <v>0</v>
      </c>
      <c r="AJ91" s="208">
        <v>2806539</v>
      </c>
      <c r="AK91" s="208">
        <v>625676</v>
      </c>
      <c r="AL91" s="208">
        <v>500540</v>
      </c>
      <c r="AM91" s="208">
        <v>125135</v>
      </c>
      <c r="AN91" s="208">
        <v>0</v>
      </c>
      <c r="AO91" s="208">
        <v>1251351</v>
      </c>
      <c r="AP91" s="208">
        <v>-448936</v>
      </c>
      <c r="AQ91" s="208">
        <v>-359148</v>
      </c>
      <c r="AR91" s="208">
        <v>-89787</v>
      </c>
      <c r="AS91" s="208">
        <v>0</v>
      </c>
      <c r="AT91" s="208">
        <v>-897871</v>
      </c>
      <c r="AU91" s="208">
        <v>-550155</v>
      </c>
      <c r="AV91" s="208">
        <v>-440124</v>
      </c>
      <c r="AW91" s="208">
        <v>-110031</v>
      </c>
      <c r="AX91" s="208">
        <v>0</v>
      </c>
      <c r="AY91" s="208">
        <v>-1100310</v>
      </c>
      <c r="AZ91" s="208">
        <v>153283</v>
      </c>
      <c r="BA91" s="208">
        <v>122626</v>
      </c>
      <c r="BB91" s="208">
        <v>30657</v>
      </c>
      <c r="BC91" s="208">
        <v>0</v>
      </c>
      <c r="BD91" s="208">
        <v>306566</v>
      </c>
      <c r="BE91" s="208">
        <v>-281818</v>
      </c>
      <c r="BF91" s="208">
        <v>-225455</v>
      </c>
      <c r="BG91" s="208">
        <v>-56364</v>
      </c>
      <c r="BH91" s="208">
        <v>0</v>
      </c>
      <c r="BI91" s="208">
        <v>-563637</v>
      </c>
      <c r="BJ91" s="208">
        <v>-678690</v>
      </c>
      <c r="BK91" s="208">
        <v>-542953</v>
      </c>
      <c r="BL91" s="208">
        <v>-135738</v>
      </c>
      <c r="BM91" s="208">
        <v>0</v>
      </c>
      <c r="BN91" s="208">
        <v>-1357381</v>
      </c>
      <c r="BO91" s="208">
        <v>-4414318</v>
      </c>
      <c r="BP91" s="208">
        <v>-3531454</v>
      </c>
      <c r="BQ91" s="208">
        <v>-882864</v>
      </c>
      <c r="BR91" s="208">
        <v>0</v>
      </c>
      <c r="BS91" s="208">
        <v>-8828636</v>
      </c>
      <c r="BT91" s="208">
        <v>0</v>
      </c>
      <c r="BU91" s="208">
        <v>0</v>
      </c>
      <c r="BV91" s="208">
        <v>0</v>
      </c>
      <c r="BW91" s="208">
        <v>0</v>
      </c>
      <c r="BX91" s="208">
        <v>0</v>
      </c>
      <c r="BY91" s="208">
        <v>-4414318</v>
      </c>
      <c r="BZ91" s="208">
        <v>-3531454</v>
      </c>
      <c r="CA91" s="208">
        <v>-882864</v>
      </c>
      <c r="CB91" s="208">
        <v>0</v>
      </c>
      <c r="CC91" s="208">
        <v>-8828636</v>
      </c>
      <c r="CD91" s="208">
        <v>400275</v>
      </c>
      <c r="CE91" s="208">
        <v>320220</v>
      </c>
      <c r="CF91" s="208">
        <v>80055</v>
      </c>
      <c r="CG91" s="208">
        <v>0</v>
      </c>
      <c r="CH91" s="208">
        <v>800550</v>
      </c>
      <c r="CI91" s="208">
        <v>0</v>
      </c>
      <c r="CJ91" s="208">
        <v>0</v>
      </c>
      <c r="CK91" s="208">
        <v>0</v>
      </c>
      <c r="CL91" s="208">
        <v>0</v>
      </c>
      <c r="CM91" s="208">
        <v>0</v>
      </c>
      <c r="CN91" s="208">
        <v>-482768</v>
      </c>
      <c r="CO91" s="208">
        <v>-386215</v>
      </c>
      <c r="CP91" s="208">
        <v>-96554</v>
      </c>
      <c r="CQ91" s="208">
        <v>0</v>
      </c>
      <c r="CR91" s="208">
        <v>-965537</v>
      </c>
      <c r="CS91" s="208">
        <v>0</v>
      </c>
      <c r="CT91" s="208">
        <v>0</v>
      </c>
      <c r="CU91" s="208">
        <v>0</v>
      </c>
      <c r="CV91" s="208">
        <v>0</v>
      </c>
      <c r="CW91" s="208">
        <v>0</v>
      </c>
      <c r="CX91" s="208">
        <v>-4496811</v>
      </c>
      <c r="CY91" s="208">
        <v>-3597449</v>
      </c>
      <c r="CZ91" s="208">
        <v>-899363</v>
      </c>
      <c r="DA91" s="208">
        <v>0</v>
      </c>
      <c r="DB91" s="208">
        <v>-8993623</v>
      </c>
      <c r="DC91" s="208">
        <v>-82493</v>
      </c>
      <c r="DD91" s="208">
        <v>-65995</v>
      </c>
      <c r="DE91" s="208">
        <v>-16499</v>
      </c>
      <c r="DF91" s="208">
        <v>0</v>
      </c>
      <c r="DG91" s="208">
        <v>-164987</v>
      </c>
      <c r="DH91" s="208">
        <v>-4414318</v>
      </c>
      <c r="DI91" s="208">
        <v>-3531454</v>
      </c>
      <c r="DJ91" s="208">
        <v>-882864</v>
      </c>
      <c r="DK91" s="208">
        <v>0</v>
      </c>
      <c r="DL91" s="208">
        <v>-8828636</v>
      </c>
      <c r="DM91" s="208">
        <v>428518</v>
      </c>
      <c r="DN91" s="208">
        <v>342814</v>
      </c>
      <c r="DO91" s="208">
        <v>85702</v>
      </c>
      <c r="DP91" s="208">
        <v>0</v>
      </c>
      <c r="DQ91" s="208">
        <v>857034</v>
      </c>
      <c r="DR91" s="208">
        <v>339602</v>
      </c>
      <c r="DS91" s="208">
        <v>271682</v>
      </c>
      <c r="DT91" s="208">
        <v>67921</v>
      </c>
      <c r="DU91" s="208">
        <v>0</v>
      </c>
      <c r="DV91" s="208">
        <v>679205</v>
      </c>
      <c r="DW91" s="208">
        <v>88916</v>
      </c>
      <c r="DX91" s="208">
        <v>71132</v>
      </c>
      <c r="DY91" s="208">
        <v>17781</v>
      </c>
      <c r="DZ91" s="208">
        <v>0</v>
      </c>
      <c r="EA91" s="208">
        <v>177829</v>
      </c>
      <c r="EB91" s="208">
        <v>21388504</v>
      </c>
      <c r="EC91" s="208">
        <v>17110804</v>
      </c>
      <c r="ED91" s="208">
        <v>4277701</v>
      </c>
      <c r="EE91" s="208">
        <v>0</v>
      </c>
      <c r="EF91" s="208">
        <v>42777009</v>
      </c>
      <c r="EG91" s="208">
        <v>21794592</v>
      </c>
      <c r="EH91" s="208">
        <v>17435674</v>
      </c>
      <c r="EI91" s="208">
        <v>4358918</v>
      </c>
      <c r="EJ91" s="208">
        <v>0</v>
      </c>
      <c r="EK91" s="208">
        <v>43589184</v>
      </c>
      <c r="EL91" s="208">
        <v>406088</v>
      </c>
      <c r="EM91" s="208">
        <v>324870</v>
      </c>
      <c r="EN91" s="208">
        <v>81217</v>
      </c>
      <c r="EO91" s="208">
        <v>0</v>
      </c>
      <c r="EP91" s="208">
        <v>812175</v>
      </c>
      <c r="EQ91" s="208">
        <v>495004</v>
      </c>
      <c r="ER91" s="208">
        <v>396002</v>
      </c>
      <c r="ES91" s="208">
        <v>98998</v>
      </c>
      <c r="ET91" s="208">
        <v>0</v>
      </c>
      <c r="EU91" s="208">
        <v>990004</v>
      </c>
      <c r="EV91" s="666">
        <v>0.5</v>
      </c>
      <c r="EW91" s="666">
        <v>0.4</v>
      </c>
      <c r="EX91" s="666">
        <v>0.1</v>
      </c>
      <c r="EY91" s="666">
        <v>0</v>
      </c>
      <c r="EZ91" s="666">
        <v>1</v>
      </c>
      <c r="FA91" s="187" t="s">
        <v>1054</v>
      </c>
      <c r="FC91" s="187">
        <v>0</v>
      </c>
    </row>
    <row r="92" spans="1:159" s="187" customFormat="1" x14ac:dyDescent="0.2">
      <c r="B92" s="429" t="s">
        <v>263</v>
      </c>
      <c r="C92" s="429" t="s">
        <v>262</v>
      </c>
      <c r="D92" s="208">
        <v>0</v>
      </c>
      <c r="E92" s="208">
        <v>22437446</v>
      </c>
      <c r="F92" s="208">
        <v>14958298</v>
      </c>
      <c r="G92" s="208">
        <v>0</v>
      </c>
      <c r="H92" s="208">
        <v>37395744</v>
      </c>
      <c r="I92" s="208">
        <v>0</v>
      </c>
      <c r="J92" s="208">
        <v>0</v>
      </c>
      <c r="K92" s="208">
        <v>0</v>
      </c>
      <c r="L92" s="208">
        <v>264379</v>
      </c>
      <c r="M92" s="208">
        <v>264379</v>
      </c>
      <c r="N92" s="208">
        <v>0</v>
      </c>
      <c r="O92" s="208">
        <v>0</v>
      </c>
      <c r="P92" s="208">
        <v>685164</v>
      </c>
      <c r="Q92" s="208">
        <v>71520</v>
      </c>
      <c r="R92" s="208">
        <v>756684</v>
      </c>
      <c r="S92" s="208">
        <v>0</v>
      </c>
      <c r="T92" s="208">
        <v>0</v>
      </c>
      <c r="U92" s="208">
        <v>0</v>
      </c>
      <c r="V92" s="208">
        <v>0</v>
      </c>
      <c r="W92" s="208">
        <v>0</v>
      </c>
      <c r="X92" s="208">
        <v>0</v>
      </c>
      <c r="Y92" s="208">
        <v>0</v>
      </c>
      <c r="Z92" s="208">
        <v>0</v>
      </c>
      <c r="AA92" s="208">
        <v>0</v>
      </c>
      <c r="AB92" s="208">
        <v>0</v>
      </c>
      <c r="AC92" s="208">
        <v>0</v>
      </c>
      <c r="AD92" s="208">
        <v>0</v>
      </c>
      <c r="AE92" s="208">
        <v>0</v>
      </c>
      <c r="AF92" s="208">
        <v>0</v>
      </c>
      <c r="AG92" s="208">
        <v>3784161</v>
      </c>
      <c r="AH92" s="208">
        <v>2513944</v>
      </c>
      <c r="AI92" s="208">
        <v>0</v>
      </c>
      <c r="AJ92" s="208">
        <v>6298105</v>
      </c>
      <c r="AK92" s="208">
        <v>0</v>
      </c>
      <c r="AL92" s="208">
        <v>2196629</v>
      </c>
      <c r="AM92" s="208">
        <v>1464420</v>
      </c>
      <c r="AN92" s="208">
        <v>0</v>
      </c>
      <c r="AO92" s="208">
        <v>3661049</v>
      </c>
      <c r="AP92" s="208">
        <v>0</v>
      </c>
      <c r="AQ92" s="208">
        <v>-453058</v>
      </c>
      <c r="AR92" s="208">
        <v>-302039</v>
      </c>
      <c r="AS92" s="208">
        <v>0</v>
      </c>
      <c r="AT92" s="208">
        <v>-755097</v>
      </c>
      <c r="AU92" s="208">
        <v>0</v>
      </c>
      <c r="AV92" s="208">
        <v>-799800</v>
      </c>
      <c r="AW92" s="208">
        <v>-533200</v>
      </c>
      <c r="AX92" s="208">
        <v>0</v>
      </c>
      <c r="AY92" s="208">
        <v>-1333000</v>
      </c>
      <c r="AZ92" s="208">
        <v>0</v>
      </c>
      <c r="BA92" s="208">
        <v>-1009</v>
      </c>
      <c r="BB92" s="208">
        <v>-672</v>
      </c>
      <c r="BC92" s="208">
        <v>0</v>
      </c>
      <c r="BD92" s="208">
        <v>-1681</v>
      </c>
      <c r="BE92" s="208">
        <v>0</v>
      </c>
      <c r="BF92" s="208">
        <v>-57189</v>
      </c>
      <c r="BG92" s="208">
        <v>-38126</v>
      </c>
      <c r="BH92" s="208">
        <v>0</v>
      </c>
      <c r="BI92" s="208">
        <v>-95315</v>
      </c>
      <c r="BJ92" s="208">
        <v>0</v>
      </c>
      <c r="BK92" s="208">
        <v>-857998</v>
      </c>
      <c r="BL92" s="208">
        <v>-571998</v>
      </c>
      <c r="BM92" s="208">
        <v>0</v>
      </c>
      <c r="BN92" s="208">
        <v>-1429996</v>
      </c>
      <c r="BO92" s="208">
        <v>0</v>
      </c>
      <c r="BP92" s="208">
        <v>-2344200</v>
      </c>
      <c r="BQ92" s="208">
        <v>-1562800</v>
      </c>
      <c r="BR92" s="208">
        <v>0</v>
      </c>
      <c r="BS92" s="208">
        <v>-3907000</v>
      </c>
      <c r="BT92" s="208">
        <v>0</v>
      </c>
      <c r="BU92" s="208">
        <v>0</v>
      </c>
      <c r="BV92" s="208">
        <v>0</v>
      </c>
      <c r="BW92" s="208">
        <v>0</v>
      </c>
      <c r="BX92" s="208">
        <v>0</v>
      </c>
      <c r="BY92" s="208">
        <v>0</v>
      </c>
      <c r="BZ92" s="208">
        <v>-2344200</v>
      </c>
      <c r="CA92" s="208">
        <v>-1562800</v>
      </c>
      <c r="CB92" s="208">
        <v>0</v>
      </c>
      <c r="CC92" s="208">
        <v>-3907000</v>
      </c>
      <c r="CD92" s="208">
        <v>0</v>
      </c>
      <c r="CE92" s="208">
        <v>225802</v>
      </c>
      <c r="CF92" s="208">
        <v>150534</v>
      </c>
      <c r="CG92" s="208">
        <v>0</v>
      </c>
      <c r="CH92" s="208">
        <v>376336</v>
      </c>
      <c r="CI92" s="208">
        <v>0</v>
      </c>
      <c r="CJ92" s="208">
        <v>0</v>
      </c>
      <c r="CK92" s="208">
        <v>0</v>
      </c>
      <c r="CL92" s="208">
        <v>0</v>
      </c>
      <c r="CM92" s="208">
        <v>0</v>
      </c>
      <c r="CN92" s="208">
        <v>0</v>
      </c>
      <c r="CO92" s="208">
        <v>401191</v>
      </c>
      <c r="CP92" s="208">
        <v>267461</v>
      </c>
      <c r="CQ92" s="208">
        <v>0</v>
      </c>
      <c r="CR92" s="208">
        <v>668652</v>
      </c>
      <c r="CS92" s="208">
        <v>0</v>
      </c>
      <c r="CT92" s="208">
        <v>486607</v>
      </c>
      <c r="CU92" s="208">
        <v>324405</v>
      </c>
      <c r="CV92" s="208">
        <v>0</v>
      </c>
      <c r="CW92" s="208">
        <v>811012</v>
      </c>
      <c r="CX92" s="208">
        <v>0</v>
      </c>
      <c r="CY92" s="208">
        <v>-1230600</v>
      </c>
      <c r="CZ92" s="208">
        <v>-820400</v>
      </c>
      <c r="DA92" s="208">
        <v>0</v>
      </c>
      <c r="DB92" s="208">
        <v>-2051000</v>
      </c>
      <c r="DC92" s="208">
        <v>0</v>
      </c>
      <c r="DD92" s="208">
        <v>626993</v>
      </c>
      <c r="DE92" s="208">
        <v>417995</v>
      </c>
      <c r="DF92" s="208">
        <v>0</v>
      </c>
      <c r="DG92" s="208">
        <v>1044988</v>
      </c>
      <c r="DH92" s="208">
        <v>0</v>
      </c>
      <c r="DI92" s="208">
        <v>-1857593</v>
      </c>
      <c r="DJ92" s="208">
        <v>-1238395</v>
      </c>
      <c r="DK92" s="208">
        <v>0</v>
      </c>
      <c r="DL92" s="208">
        <v>-3095988</v>
      </c>
      <c r="DM92" s="208">
        <v>-1034354</v>
      </c>
      <c r="DN92" s="208">
        <v>-827485</v>
      </c>
      <c r="DO92" s="208">
        <v>-206871</v>
      </c>
      <c r="DP92" s="208">
        <v>0</v>
      </c>
      <c r="DQ92" s="208">
        <v>-2068710</v>
      </c>
      <c r="DR92" s="208">
        <v>-1141678</v>
      </c>
      <c r="DS92" s="208">
        <v>-913343</v>
      </c>
      <c r="DT92" s="208">
        <v>-228336</v>
      </c>
      <c r="DU92" s="208">
        <v>0</v>
      </c>
      <c r="DV92" s="208">
        <v>-2283357</v>
      </c>
      <c r="DW92" s="208">
        <v>107324</v>
      </c>
      <c r="DX92" s="208">
        <v>85858</v>
      </c>
      <c r="DY92" s="208">
        <v>21465</v>
      </c>
      <c r="DZ92" s="208">
        <v>0</v>
      </c>
      <c r="EA92" s="208">
        <v>214647</v>
      </c>
      <c r="EB92" s="208">
        <v>0</v>
      </c>
      <c r="EC92" s="208">
        <v>20913730</v>
      </c>
      <c r="ED92" s="208">
        <v>13942487</v>
      </c>
      <c r="EE92" s="208">
        <v>0</v>
      </c>
      <c r="EF92" s="208">
        <v>34856217</v>
      </c>
      <c r="EG92" s="208">
        <v>0</v>
      </c>
      <c r="EH92" s="208">
        <v>22437446</v>
      </c>
      <c r="EI92" s="208">
        <v>14958298</v>
      </c>
      <c r="EJ92" s="208">
        <v>0</v>
      </c>
      <c r="EK92" s="208">
        <v>37395744</v>
      </c>
      <c r="EL92" s="208">
        <v>0</v>
      </c>
      <c r="EM92" s="208">
        <v>1523716</v>
      </c>
      <c r="EN92" s="208">
        <v>1015811</v>
      </c>
      <c r="EO92" s="208">
        <v>0</v>
      </c>
      <c r="EP92" s="208">
        <v>2539527</v>
      </c>
      <c r="EQ92" s="208">
        <v>107324</v>
      </c>
      <c r="ER92" s="208">
        <v>1609574</v>
      </c>
      <c r="ES92" s="208">
        <v>1037276</v>
      </c>
      <c r="ET92" s="208">
        <v>0</v>
      </c>
      <c r="EU92" s="208">
        <v>2754174</v>
      </c>
      <c r="EV92" s="666">
        <v>0</v>
      </c>
      <c r="EW92" s="666">
        <v>0.6</v>
      </c>
      <c r="EX92" s="666">
        <v>0.4</v>
      </c>
      <c r="EY92" s="666">
        <v>0</v>
      </c>
      <c r="EZ92" s="666">
        <v>1</v>
      </c>
      <c r="FA92" s="187" t="s">
        <v>1054</v>
      </c>
      <c r="FC92" s="187">
        <v>0</v>
      </c>
    </row>
    <row r="93" spans="1:159" s="187" customFormat="1" x14ac:dyDescent="0.2">
      <c r="A93" s="187" t="s">
        <v>1811</v>
      </c>
      <c r="B93" s="429" t="s">
        <v>265</v>
      </c>
      <c r="C93" s="429" t="s">
        <v>264</v>
      </c>
      <c r="D93" s="208">
        <v>16405443</v>
      </c>
      <c r="E93" s="208">
        <v>13124354</v>
      </c>
      <c r="F93" s="208">
        <v>3281089</v>
      </c>
      <c r="G93" s="208">
        <v>0</v>
      </c>
      <c r="H93" s="208">
        <v>32810886</v>
      </c>
      <c r="I93" s="208">
        <v>0</v>
      </c>
      <c r="J93" s="208">
        <v>0</v>
      </c>
      <c r="K93" s="208">
        <v>16405443</v>
      </c>
      <c r="L93" s="208">
        <v>100875</v>
      </c>
      <c r="M93" s="208">
        <v>100875</v>
      </c>
      <c r="N93" s="208">
        <v>0</v>
      </c>
      <c r="O93" s="208">
        <v>0</v>
      </c>
      <c r="P93" s="208">
        <v>445962</v>
      </c>
      <c r="Q93" s="208">
        <v>0</v>
      </c>
      <c r="R93" s="208">
        <v>445962</v>
      </c>
      <c r="S93" s="208">
        <v>0</v>
      </c>
      <c r="T93" s="208">
        <v>0</v>
      </c>
      <c r="U93" s="208">
        <v>0</v>
      </c>
      <c r="V93" s="208">
        <v>0</v>
      </c>
      <c r="W93" s="208">
        <v>0</v>
      </c>
      <c r="X93" s="208">
        <v>0</v>
      </c>
      <c r="Y93" s="208">
        <v>0</v>
      </c>
      <c r="Z93" s="208">
        <v>0</v>
      </c>
      <c r="AA93" s="208">
        <v>0</v>
      </c>
      <c r="AB93" s="208">
        <v>0</v>
      </c>
      <c r="AC93" s="208">
        <v>0</v>
      </c>
      <c r="AD93" s="208">
        <v>0</v>
      </c>
      <c r="AE93" s="208">
        <v>0</v>
      </c>
      <c r="AF93" s="208">
        <v>0</v>
      </c>
      <c r="AG93" s="208">
        <v>1236796</v>
      </c>
      <c r="AH93" s="208">
        <v>306644</v>
      </c>
      <c r="AI93" s="208">
        <v>0</v>
      </c>
      <c r="AJ93" s="208">
        <v>1543440</v>
      </c>
      <c r="AK93" s="208">
        <v>314496</v>
      </c>
      <c r="AL93" s="208">
        <v>251596</v>
      </c>
      <c r="AM93" s="208">
        <v>62899</v>
      </c>
      <c r="AN93" s="208">
        <v>0</v>
      </c>
      <c r="AO93" s="208">
        <v>628991</v>
      </c>
      <c r="AP93" s="208">
        <v>-11521</v>
      </c>
      <c r="AQ93" s="208">
        <v>-9216</v>
      </c>
      <c r="AR93" s="208">
        <v>-2304</v>
      </c>
      <c r="AS93" s="208">
        <v>0</v>
      </c>
      <c r="AT93" s="208">
        <v>-23041</v>
      </c>
      <c r="AU93" s="208">
        <v>-221831</v>
      </c>
      <c r="AV93" s="208">
        <v>-177464</v>
      </c>
      <c r="AW93" s="208">
        <v>-44366</v>
      </c>
      <c r="AX93" s="208">
        <v>0</v>
      </c>
      <c r="AY93" s="208">
        <v>-443661</v>
      </c>
      <c r="AZ93" s="208">
        <v>40169</v>
      </c>
      <c r="BA93" s="208">
        <v>32136</v>
      </c>
      <c r="BB93" s="208">
        <v>8034</v>
      </c>
      <c r="BC93" s="208">
        <v>0</v>
      </c>
      <c r="BD93" s="208">
        <v>80339</v>
      </c>
      <c r="BE93" s="208">
        <v>110470</v>
      </c>
      <c r="BF93" s="208">
        <v>88376</v>
      </c>
      <c r="BG93" s="208">
        <v>22094</v>
      </c>
      <c r="BH93" s="208">
        <v>0</v>
      </c>
      <c r="BI93" s="208">
        <v>220940</v>
      </c>
      <c r="BJ93" s="208">
        <v>-71192</v>
      </c>
      <c r="BK93" s="208">
        <v>-56952</v>
      </c>
      <c r="BL93" s="208">
        <v>-14238</v>
      </c>
      <c r="BM93" s="208">
        <v>0</v>
      </c>
      <c r="BN93" s="208">
        <v>-142382</v>
      </c>
      <c r="BO93" s="208">
        <v>-1700130</v>
      </c>
      <c r="BP93" s="208">
        <v>-1360104</v>
      </c>
      <c r="BQ93" s="208">
        <v>-340026</v>
      </c>
      <c r="BR93" s="208">
        <v>0</v>
      </c>
      <c r="BS93" s="208">
        <v>-3400260</v>
      </c>
      <c r="BT93" s="208">
        <v>-1342630</v>
      </c>
      <c r="BU93" s="208">
        <v>-1074104</v>
      </c>
      <c r="BV93" s="208">
        <v>-268526</v>
      </c>
      <c r="BW93" s="208">
        <v>0</v>
      </c>
      <c r="BX93" s="208">
        <v>-2685260</v>
      </c>
      <c r="BY93" s="208">
        <v>-357500</v>
      </c>
      <c r="BZ93" s="208">
        <v>-286000</v>
      </c>
      <c r="CA93" s="208">
        <v>-71500</v>
      </c>
      <c r="CB93" s="208">
        <v>0</v>
      </c>
      <c r="CC93" s="208">
        <v>-715000</v>
      </c>
      <c r="CD93" s="208">
        <v>18690</v>
      </c>
      <c r="CE93" s="208">
        <v>14952</v>
      </c>
      <c r="CF93" s="208">
        <v>3738</v>
      </c>
      <c r="CG93" s="208">
        <v>0</v>
      </c>
      <c r="CH93" s="208">
        <v>37380</v>
      </c>
      <c r="CI93" s="208">
        <v>0</v>
      </c>
      <c r="CJ93" s="208">
        <v>0</v>
      </c>
      <c r="CK93" s="208">
        <v>0</v>
      </c>
      <c r="CL93" s="208">
        <v>0</v>
      </c>
      <c r="CM93" s="208">
        <v>0</v>
      </c>
      <c r="CN93" s="208">
        <v>573606</v>
      </c>
      <c r="CO93" s="208">
        <v>458884</v>
      </c>
      <c r="CP93" s="208">
        <v>114721</v>
      </c>
      <c r="CQ93" s="208">
        <v>0</v>
      </c>
      <c r="CR93" s="208">
        <v>1147211</v>
      </c>
      <c r="CS93" s="208">
        <v>-387654</v>
      </c>
      <c r="CT93" s="208">
        <v>-310123</v>
      </c>
      <c r="CU93" s="208">
        <v>-77531</v>
      </c>
      <c r="CV93" s="208">
        <v>0</v>
      </c>
      <c r="CW93" s="208">
        <v>-775308</v>
      </c>
      <c r="CX93" s="208">
        <v>-1495488</v>
      </c>
      <c r="CY93" s="208">
        <v>-1196391</v>
      </c>
      <c r="CZ93" s="208">
        <v>-299098</v>
      </c>
      <c r="DA93" s="208">
        <v>0</v>
      </c>
      <c r="DB93" s="208">
        <v>-2990977</v>
      </c>
      <c r="DC93" s="208">
        <v>-750334</v>
      </c>
      <c r="DD93" s="208">
        <v>-600268</v>
      </c>
      <c r="DE93" s="208">
        <v>-150067</v>
      </c>
      <c r="DF93" s="208">
        <v>0</v>
      </c>
      <c r="DG93" s="208">
        <v>-1500669</v>
      </c>
      <c r="DH93" s="208">
        <v>-745154</v>
      </c>
      <c r="DI93" s="208">
        <v>-596123</v>
      </c>
      <c r="DJ93" s="208">
        <v>-149031</v>
      </c>
      <c r="DK93" s="208">
        <v>0</v>
      </c>
      <c r="DL93" s="208">
        <v>-1490308</v>
      </c>
      <c r="DM93" s="208">
        <v>1012261</v>
      </c>
      <c r="DN93" s="208">
        <v>809809</v>
      </c>
      <c r="DO93" s="208">
        <v>202452</v>
      </c>
      <c r="DP93" s="208">
        <v>0</v>
      </c>
      <c r="DQ93" s="208">
        <v>2024522</v>
      </c>
      <c r="DR93" s="208">
        <v>1213132</v>
      </c>
      <c r="DS93" s="208">
        <v>970506</v>
      </c>
      <c r="DT93" s="208">
        <v>242626</v>
      </c>
      <c r="DU93" s="208">
        <v>0</v>
      </c>
      <c r="DV93" s="208">
        <v>2426264</v>
      </c>
      <c r="DW93" s="208">
        <v>-200871</v>
      </c>
      <c r="DX93" s="208">
        <v>-160697</v>
      </c>
      <c r="DY93" s="208">
        <v>-40174</v>
      </c>
      <c r="DZ93" s="208">
        <v>0</v>
      </c>
      <c r="EA93" s="208">
        <v>-401742</v>
      </c>
      <c r="EB93" s="208">
        <v>16124677</v>
      </c>
      <c r="EC93" s="208">
        <v>12899742</v>
      </c>
      <c r="ED93" s="208">
        <v>3224935</v>
      </c>
      <c r="EE93" s="208">
        <v>0</v>
      </c>
      <c r="EF93" s="208">
        <v>32249354</v>
      </c>
      <c r="EG93" s="208">
        <v>16405443</v>
      </c>
      <c r="EH93" s="208">
        <v>13124354</v>
      </c>
      <c r="EI93" s="208">
        <v>3281089</v>
      </c>
      <c r="EJ93" s="208">
        <v>0</v>
      </c>
      <c r="EK93" s="208">
        <v>32810886</v>
      </c>
      <c r="EL93" s="208">
        <v>280766</v>
      </c>
      <c r="EM93" s="208">
        <v>224612</v>
      </c>
      <c r="EN93" s="208">
        <v>56154</v>
      </c>
      <c r="EO93" s="208">
        <v>0</v>
      </c>
      <c r="EP93" s="208">
        <v>561532</v>
      </c>
      <c r="EQ93" s="208">
        <v>79895</v>
      </c>
      <c r="ER93" s="208">
        <v>63915</v>
      </c>
      <c r="ES93" s="208">
        <v>15980</v>
      </c>
      <c r="ET93" s="208">
        <v>0</v>
      </c>
      <c r="EU93" s="208">
        <v>159790</v>
      </c>
      <c r="EV93" s="666">
        <v>0.5</v>
      </c>
      <c r="EW93" s="666">
        <v>0.4</v>
      </c>
      <c r="EX93" s="666">
        <v>0.1</v>
      </c>
      <c r="EY93" s="666">
        <v>0</v>
      </c>
      <c r="EZ93" s="666">
        <v>1</v>
      </c>
      <c r="FA93" s="187" t="s">
        <v>1054</v>
      </c>
      <c r="FC93" s="187">
        <v>0</v>
      </c>
    </row>
    <row r="94" spans="1:159" s="187" customFormat="1" x14ac:dyDescent="0.2">
      <c r="B94" s="429" t="s">
        <v>267</v>
      </c>
      <c r="C94" s="429" t="s">
        <v>266</v>
      </c>
      <c r="D94" s="208">
        <v>47272057</v>
      </c>
      <c r="E94" s="208">
        <v>46326615</v>
      </c>
      <c r="F94" s="208">
        <v>0</v>
      </c>
      <c r="G94" s="208">
        <v>945441</v>
      </c>
      <c r="H94" s="208">
        <v>94544113</v>
      </c>
      <c r="I94" s="208">
        <v>72183</v>
      </c>
      <c r="J94" s="208">
        <v>72183</v>
      </c>
      <c r="K94" s="208">
        <v>47199874</v>
      </c>
      <c r="L94" s="208">
        <v>434166</v>
      </c>
      <c r="M94" s="208">
        <v>434166</v>
      </c>
      <c r="N94" s="208">
        <v>0</v>
      </c>
      <c r="O94" s="208">
        <v>0</v>
      </c>
      <c r="P94" s="208">
        <v>4614559</v>
      </c>
      <c r="Q94" s="208">
        <v>0</v>
      </c>
      <c r="R94" s="208">
        <v>4614559</v>
      </c>
      <c r="S94" s="208">
        <v>0</v>
      </c>
      <c r="T94" s="208">
        <v>0</v>
      </c>
      <c r="U94" s="208">
        <v>0</v>
      </c>
      <c r="V94" s="208">
        <v>0</v>
      </c>
      <c r="W94" s="208">
        <v>70739.474749999994</v>
      </c>
      <c r="X94" s="208">
        <v>0</v>
      </c>
      <c r="Y94" s="208">
        <v>1443.66275</v>
      </c>
      <c r="Z94" s="208">
        <v>72183.137499999997</v>
      </c>
      <c r="AA94" s="208">
        <v>0</v>
      </c>
      <c r="AB94" s="208">
        <v>0</v>
      </c>
      <c r="AC94" s="208">
        <v>0</v>
      </c>
      <c r="AD94" s="208">
        <v>0</v>
      </c>
      <c r="AE94" s="208">
        <v>0</v>
      </c>
      <c r="AF94" s="208">
        <v>0</v>
      </c>
      <c r="AG94" s="208">
        <v>6035430</v>
      </c>
      <c r="AH94" s="208">
        <v>0</v>
      </c>
      <c r="AI94" s="208">
        <v>121013</v>
      </c>
      <c r="AJ94" s="208">
        <v>6156443</v>
      </c>
      <c r="AK94" s="208">
        <v>1447359</v>
      </c>
      <c r="AL94" s="208">
        <v>1418412</v>
      </c>
      <c r="AM94" s="208">
        <v>0</v>
      </c>
      <c r="AN94" s="208">
        <v>28947</v>
      </c>
      <c r="AO94" s="208">
        <v>2894718</v>
      </c>
      <c r="AP94" s="208">
        <v>-567910</v>
      </c>
      <c r="AQ94" s="208">
        <v>-556551</v>
      </c>
      <c r="AR94" s="208">
        <v>0</v>
      </c>
      <c r="AS94" s="208">
        <v>-11358</v>
      </c>
      <c r="AT94" s="208">
        <v>-1135819</v>
      </c>
      <c r="AU94" s="208">
        <v>-917369</v>
      </c>
      <c r="AV94" s="208">
        <v>-899021</v>
      </c>
      <c r="AW94" s="208">
        <v>0</v>
      </c>
      <c r="AX94" s="208">
        <v>-18347</v>
      </c>
      <c r="AY94" s="208">
        <v>-1834737</v>
      </c>
      <c r="AZ94" s="208">
        <v>240219</v>
      </c>
      <c r="BA94" s="208">
        <v>235414</v>
      </c>
      <c r="BB94" s="208">
        <v>0</v>
      </c>
      <c r="BC94" s="208">
        <v>4804</v>
      </c>
      <c r="BD94" s="208">
        <v>480437</v>
      </c>
      <c r="BE94" s="208">
        <v>-196887</v>
      </c>
      <c r="BF94" s="208">
        <v>-192950</v>
      </c>
      <c r="BG94" s="208">
        <v>0</v>
      </c>
      <c r="BH94" s="208">
        <v>-3938</v>
      </c>
      <c r="BI94" s="208">
        <v>-393775</v>
      </c>
      <c r="BJ94" s="208">
        <v>-874037</v>
      </c>
      <c r="BK94" s="208">
        <v>-856557</v>
      </c>
      <c r="BL94" s="208">
        <v>0</v>
      </c>
      <c r="BM94" s="208">
        <v>-17481</v>
      </c>
      <c r="BN94" s="208">
        <v>-1748075</v>
      </c>
      <c r="BO94" s="208">
        <v>-3283854</v>
      </c>
      <c r="BP94" s="208">
        <v>-3218176</v>
      </c>
      <c r="BQ94" s="208">
        <v>0</v>
      </c>
      <c r="BR94" s="208">
        <v>-65677</v>
      </c>
      <c r="BS94" s="208">
        <v>-6567707</v>
      </c>
      <c r="BT94" s="208">
        <v>-1708854</v>
      </c>
      <c r="BU94" s="208">
        <v>-1674676</v>
      </c>
      <c r="BV94" s="208">
        <v>0</v>
      </c>
      <c r="BW94" s="208">
        <v>-34177</v>
      </c>
      <c r="BX94" s="208">
        <v>-3417707</v>
      </c>
      <c r="BY94" s="208">
        <v>-1575000</v>
      </c>
      <c r="BZ94" s="208">
        <v>-1543500</v>
      </c>
      <c r="CA94" s="208">
        <v>0</v>
      </c>
      <c r="CB94" s="208">
        <v>-31500</v>
      </c>
      <c r="CC94" s="208">
        <v>-3150000</v>
      </c>
      <c r="CD94" s="208">
        <v>791554</v>
      </c>
      <c r="CE94" s="208">
        <v>775723</v>
      </c>
      <c r="CF94" s="208">
        <v>0</v>
      </c>
      <c r="CG94" s="208">
        <v>15831</v>
      </c>
      <c r="CH94" s="208">
        <v>1583108</v>
      </c>
      <c r="CI94" s="208">
        <v>0</v>
      </c>
      <c r="CJ94" s="208">
        <v>0</v>
      </c>
      <c r="CK94" s="208">
        <v>0</v>
      </c>
      <c r="CL94" s="208">
        <v>0</v>
      </c>
      <c r="CM94" s="208">
        <v>0</v>
      </c>
      <c r="CN94" s="208">
        <v>-211019</v>
      </c>
      <c r="CO94" s="208">
        <v>-206799</v>
      </c>
      <c r="CP94" s="208">
        <v>0</v>
      </c>
      <c r="CQ94" s="208">
        <v>-4220</v>
      </c>
      <c r="CR94" s="208">
        <v>-422038</v>
      </c>
      <c r="CS94" s="208">
        <v>-1636500</v>
      </c>
      <c r="CT94" s="208">
        <v>-1603770</v>
      </c>
      <c r="CU94" s="208">
        <v>0</v>
      </c>
      <c r="CV94" s="208">
        <v>-32730</v>
      </c>
      <c r="CW94" s="208">
        <v>-3273000</v>
      </c>
      <c r="CX94" s="208">
        <v>-4339819</v>
      </c>
      <c r="CY94" s="208">
        <v>-4253022</v>
      </c>
      <c r="CZ94" s="208">
        <v>0</v>
      </c>
      <c r="DA94" s="208">
        <v>-86796</v>
      </c>
      <c r="DB94" s="208">
        <v>-8679637</v>
      </c>
      <c r="DC94" s="208">
        <v>-1128319</v>
      </c>
      <c r="DD94" s="208">
        <v>-1105752</v>
      </c>
      <c r="DE94" s="208">
        <v>0</v>
      </c>
      <c r="DF94" s="208">
        <v>-22566</v>
      </c>
      <c r="DG94" s="208">
        <v>-2256637</v>
      </c>
      <c r="DH94" s="208">
        <v>-3211500</v>
      </c>
      <c r="DI94" s="208">
        <v>-3147270</v>
      </c>
      <c r="DJ94" s="208">
        <v>0</v>
      </c>
      <c r="DK94" s="208">
        <v>-64230</v>
      </c>
      <c r="DL94" s="208">
        <v>-6423000</v>
      </c>
      <c r="DM94" s="208">
        <v>-1550374</v>
      </c>
      <c r="DN94" s="208">
        <v>-1519369</v>
      </c>
      <c r="DO94" s="208">
        <v>0</v>
      </c>
      <c r="DP94" s="208">
        <v>-31008</v>
      </c>
      <c r="DQ94" s="208">
        <v>-3100751</v>
      </c>
      <c r="DR94" s="208">
        <v>-897923</v>
      </c>
      <c r="DS94" s="208">
        <v>-879965</v>
      </c>
      <c r="DT94" s="208">
        <v>0</v>
      </c>
      <c r="DU94" s="208">
        <v>-17958</v>
      </c>
      <c r="DV94" s="208">
        <v>-1795846</v>
      </c>
      <c r="DW94" s="208">
        <v>-652451</v>
      </c>
      <c r="DX94" s="208">
        <v>-639404</v>
      </c>
      <c r="DY94" s="208">
        <v>0</v>
      </c>
      <c r="DZ94" s="208">
        <v>-13050</v>
      </c>
      <c r="EA94" s="208">
        <v>-1304905</v>
      </c>
      <c r="EB94" s="208">
        <v>47661126</v>
      </c>
      <c r="EC94" s="208">
        <v>46707904</v>
      </c>
      <c r="ED94" s="208">
        <v>0</v>
      </c>
      <c r="EE94" s="208">
        <v>953223</v>
      </c>
      <c r="EF94" s="208">
        <v>95322253</v>
      </c>
      <c r="EG94" s="208">
        <v>47272057</v>
      </c>
      <c r="EH94" s="208">
        <v>46326615</v>
      </c>
      <c r="EI94" s="208">
        <v>0</v>
      </c>
      <c r="EJ94" s="208">
        <v>945441</v>
      </c>
      <c r="EK94" s="208">
        <v>94544113</v>
      </c>
      <c r="EL94" s="208">
        <v>-389069</v>
      </c>
      <c r="EM94" s="208">
        <v>-381289</v>
      </c>
      <c r="EN94" s="208">
        <v>0</v>
      </c>
      <c r="EO94" s="208">
        <v>-7782</v>
      </c>
      <c r="EP94" s="208">
        <v>-778140</v>
      </c>
      <c r="EQ94" s="208">
        <v>-1041520</v>
      </c>
      <c r="ER94" s="208">
        <v>-1020693</v>
      </c>
      <c r="ES94" s="208">
        <v>0</v>
      </c>
      <c r="ET94" s="208">
        <v>-20832</v>
      </c>
      <c r="EU94" s="208">
        <v>-2083045</v>
      </c>
      <c r="EV94" s="666">
        <v>0.5</v>
      </c>
      <c r="EW94" s="666">
        <v>0.49</v>
      </c>
      <c r="EX94" s="666">
        <v>0</v>
      </c>
      <c r="EY94" s="666">
        <v>0.01</v>
      </c>
      <c r="EZ94" s="666">
        <v>1</v>
      </c>
      <c r="FA94" s="187" t="s">
        <v>742</v>
      </c>
      <c r="FC94" s="187">
        <v>0</v>
      </c>
    </row>
    <row r="95" spans="1:159" s="187" customFormat="1" x14ac:dyDescent="0.2">
      <c r="B95" s="429" t="s">
        <v>269</v>
      </c>
      <c r="C95" s="429" t="s">
        <v>268</v>
      </c>
      <c r="D95" s="208">
        <v>26082926</v>
      </c>
      <c r="E95" s="208">
        <v>20866341</v>
      </c>
      <c r="F95" s="208">
        <v>4694927</v>
      </c>
      <c r="G95" s="208">
        <v>521659</v>
      </c>
      <c r="H95" s="208">
        <v>52165853</v>
      </c>
      <c r="I95" s="208">
        <v>0</v>
      </c>
      <c r="J95" s="208">
        <v>0</v>
      </c>
      <c r="K95" s="208">
        <v>26082926</v>
      </c>
      <c r="L95" s="208">
        <v>174671</v>
      </c>
      <c r="M95" s="208">
        <v>174671</v>
      </c>
      <c r="N95" s="208">
        <v>0</v>
      </c>
      <c r="O95" s="208">
        <v>0</v>
      </c>
      <c r="P95" s="208">
        <v>0</v>
      </c>
      <c r="Q95" s="208">
        <v>0</v>
      </c>
      <c r="R95" s="208">
        <v>0</v>
      </c>
      <c r="S95" s="208">
        <v>0</v>
      </c>
      <c r="T95" s="208">
        <v>0</v>
      </c>
      <c r="U95" s="208">
        <v>0</v>
      </c>
      <c r="V95" s="208">
        <v>0</v>
      </c>
      <c r="W95" s="208">
        <v>0</v>
      </c>
      <c r="X95" s="208">
        <v>0</v>
      </c>
      <c r="Y95" s="208">
        <v>0</v>
      </c>
      <c r="Z95" s="208">
        <v>0</v>
      </c>
      <c r="AA95" s="208">
        <v>0</v>
      </c>
      <c r="AB95" s="208">
        <v>0</v>
      </c>
      <c r="AC95" s="208">
        <v>0</v>
      </c>
      <c r="AD95" s="208">
        <v>0</v>
      </c>
      <c r="AE95" s="208">
        <v>0</v>
      </c>
      <c r="AF95" s="208">
        <v>0</v>
      </c>
      <c r="AG95" s="208">
        <v>1867967</v>
      </c>
      <c r="AH95" s="208">
        <v>420293</v>
      </c>
      <c r="AI95" s="208">
        <v>46701</v>
      </c>
      <c r="AJ95" s="208">
        <v>2334961</v>
      </c>
      <c r="AK95" s="208">
        <v>1284993</v>
      </c>
      <c r="AL95" s="208">
        <v>1027994</v>
      </c>
      <c r="AM95" s="208">
        <v>231299</v>
      </c>
      <c r="AN95" s="208">
        <v>25700</v>
      </c>
      <c r="AO95" s="208">
        <v>2569986</v>
      </c>
      <c r="AP95" s="208">
        <v>-725344</v>
      </c>
      <c r="AQ95" s="208">
        <v>-580275</v>
      </c>
      <c r="AR95" s="208">
        <v>-130562</v>
      </c>
      <c r="AS95" s="208">
        <v>-14507</v>
      </c>
      <c r="AT95" s="208">
        <v>-1450688</v>
      </c>
      <c r="AU95" s="208">
        <v>-322360</v>
      </c>
      <c r="AV95" s="208">
        <v>-257888</v>
      </c>
      <c r="AW95" s="208">
        <v>-58025</v>
      </c>
      <c r="AX95" s="208">
        <v>-6447</v>
      </c>
      <c r="AY95" s="208">
        <v>-644720</v>
      </c>
      <c r="AZ95" s="208">
        <v>63325</v>
      </c>
      <c r="BA95" s="208">
        <v>50661</v>
      </c>
      <c r="BB95" s="208">
        <v>11399</v>
      </c>
      <c r="BC95" s="208">
        <v>1267</v>
      </c>
      <c r="BD95" s="208">
        <v>126652</v>
      </c>
      <c r="BE95" s="208">
        <v>-189640</v>
      </c>
      <c r="BF95" s="208">
        <v>-151712</v>
      </c>
      <c r="BG95" s="208">
        <v>-34135</v>
      </c>
      <c r="BH95" s="208">
        <v>-3793</v>
      </c>
      <c r="BI95" s="208">
        <v>-379280</v>
      </c>
      <c r="BJ95" s="208">
        <v>-448675</v>
      </c>
      <c r="BK95" s="208">
        <v>-358939</v>
      </c>
      <c r="BL95" s="208">
        <v>-80761</v>
      </c>
      <c r="BM95" s="208">
        <v>-8973</v>
      </c>
      <c r="BN95" s="208">
        <v>-897348</v>
      </c>
      <c r="BO95" s="208">
        <v>-2714794</v>
      </c>
      <c r="BP95" s="208">
        <v>-2171836</v>
      </c>
      <c r="BQ95" s="208">
        <v>-488663</v>
      </c>
      <c r="BR95" s="208">
        <v>-54296</v>
      </c>
      <c r="BS95" s="208">
        <v>-5429589</v>
      </c>
      <c r="BT95" s="208">
        <v>-1020125</v>
      </c>
      <c r="BU95" s="208">
        <v>-816100</v>
      </c>
      <c r="BV95" s="208">
        <v>-183622</v>
      </c>
      <c r="BW95" s="208">
        <v>-20402</v>
      </c>
      <c r="BX95" s="208">
        <v>-2040249</v>
      </c>
      <c r="BY95" s="208">
        <v>-1694670</v>
      </c>
      <c r="BZ95" s="208">
        <v>-1355736</v>
      </c>
      <c r="CA95" s="208">
        <v>-305041</v>
      </c>
      <c r="CB95" s="208">
        <v>-33893</v>
      </c>
      <c r="CC95" s="208">
        <v>-3389340</v>
      </c>
      <c r="CD95" s="208">
        <v>2029618</v>
      </c>
      <c r="CE95" s="208">
        <v>1623694</v>
      </c>
      <c r="CF95" s="208">
        <v>365331</v>
      </c>
      <c r="CG95" s="208">
        <v>40592</v>
      </c>
      <c r="CH95" s="208">
        <v>4059235</v>
      </c>
      <c r="CI95" s="208">
        <v>0</v>
      </c>
      <c r="CJ95" s="208">
        <v>0</v>
      </c>
      <c r="CK95" s="208">
        <v>0</v>
      </c>
      <c r="CL95" s="208">
        <v>0</v>
      </c>
      <c r="CM95" s="208">
        <v>0</v>
      </c>
      <c r="CN95" s="208">
        <v>-2355816</v>
      </c>
      <c r="CO95" s="208">
        <v>-1884653</v>
      </c>
      <c r="CP95" s="208">
        <v>-424047</v>
      </c>
      <c r="CQ95" s="208">
        <v>-47116</v>
      </c>
      <c r="CR95" s="208">
        <v>-4711632</v>
      </c>
      <c r="CS95" s="208">
        <v>-750329</v>
      </c>
      <c r="CT95" s="208">
        <v>-600263</v>
      </c>
      <c r="CU95" s="208">
        <v>-135059</v>
      </c>
      <c r="CV95" s="208">
        <v>-15007</v>
      </c>
      <c r="CW95" s="208">
        <v>-1500658</v>
      </c>
      <c r="CX95" s="208">
        <v>-3791321</v>
      </c>
      <c r="CY95" s="208">
        <v>-3033058</v>
      </c>
      <c r="CZ95" s="208">
        <v>-682438</v>
      </c>
      <c r="DA95" s="208">
        <v>-75827</v>
      </c>
      <c r="DB95" s="208">
        <v>-7582644</v>
      </c>
      <c r="DC95" s="208">
        <v>-1346323</v>
      </c>
      <c r="DD95" s="208">
        <v>-1077059</v>
      </c>
      <c r="DE95" s="208">
        <v>-242338</v>
      </c>
      <c r="DF95" s="208">
        <v>-26926</v>
      </c>
      <c r="DG95" s="208">
        <v>-2692646</v>
      </c>
      <c r="DH95" s="208">
        <v>-2444999</v>
      </c>
      <c r="DI95" s="208">
        <v>-1955999</v>
      </c>
      <c r="DJ95" s="208">
        <v>-440100</v>
      </c>
      <c r="DK95" s="208">
        <v>-48900</v>
      </c>
      <c r="DL95" s="208">
        <v>-4889998</v>
      </c>
      <c r="DM95" s="208">
        <v>2091965</v>
      </c>
      <c r="DN95" s="208">
        <v>1673572</v>
      </c>
      <c r="DO95" s="208">
        <v>376554</v>
      </c>
      <c r="DP95" s="208">
        <v>41839</v>
      </c>
      <c r="DQ95" s="208">
        <v>4183930</v>
      </c>
      <c r="DR95" s="208">
        <v>1108007</v>
      </c>
      <c r="DS95" s="208">
        <v>886405</v>
      </c>
      <c r="DT95" s="208">
        <v>199441</v>
      </c>
      <c r="DU95" s="208">
        <v>22160</v>
      </c>
      <c r="DV95" s="208">
        <v>2216013</v>
      </c>
      <c r="DW95" s="208">
        <v>983958</v>
      </c>
      <c r="DX95" s="208">
        <v>787167</v>
      </c>
      <c r="DY95" s="208">
        <v>177113</v>
      </c>
      <c r="DZ95" s="208">
        <v>19679</v>
      </c>
      <c r="EA95" s="208">
        <v>1967917</v>
      </c>
      <c r="EB95" s="208">
        <v>26083565</v>
      </c>
      <c r="EC95" s="208">
        <v>20866852</v>
      </c>
      <c r="ED95" s="208">
        <v>4695042</v>
      </c>
      <c r="EE95" s="208">
        <v>521671</v>
      </c>
      <c r="EF95" s="208">
        <v>52167130</v>
      </c>
      <c r="EG95" s="208">
        <v>26082926</v>
      </c>
      <c r="EH95" s="208">
        <v>20866341</v>
      </c>
      <c r="EI95" s="208">
        <v>4694927</v>
      </c>
      <c r="EJ95" s="208">
        <v>521659</v>
      </c>
      <c r="EK95" s="208">
        <v>52165853</v>
      </c>
      <c r="EL95" s="208">
        <v>-639</v>
      </c>
      <c r="EM95" s="208">
        <v>-511</v>
      </c>
      <c r="EN95" s="208">
        <v>-115</v>
      </c>
      <c r="EO95" s="208">
        <v>-12</v>
      </c>
      <c r="EP95" s="208">
        <v>-1277</v>
      </c>
      <c r="EQ95" s="208">
        <v>983319</v>
      </c>
      <c r="ER95" s="208">
        <v>786656</v>
      </c>
      <c r="ES95" s="208">
        <v>176998</v>
      </c>
      <c r="ET95" s="208">
        <v>19667</v>
      </c>
      <c r="EU95" s="208">
        <v>1966640</v>
      </c>
      <c r="EV95" s="666">
        <v>0.5</v>
      </c>
      <c r="EW95" s="666">
        <v>0.4</v>
      </c>
      <c r="EX95" s="666">
        <v>0.09</v>
      </c>
      <c r="EY95" s="666">
        <v>0.01</v>
      </c>
      <c r="EZ95" s="666">
        <v>1</v>
      </c>
      <c r="FA95" s="187" t="s">
        <v>1054</v>
      </c>
      <c r="FC95" s="187">
        <v>0</v>
      </c>
    </row>
    <row r="96" spans="1:159" s="187" customFormat="1" x14ac:dyDescent="0.2">
      <c r="A96" s="187" t="s">
        <v>1811</v>
      </c>
      <c r="B96" s="429" t="s">
        <v>271</v>
      </c>
      <c r="C96" s="429" t="s">
        <v>270</v>
      </c>
      <c r="D96" s="208">
        <v>17303859</v>
      </c>
      <c r="E96" s="208">
        <v>13843087</v>
      </c>
      <c r="F96" s="208">
        <v>3114695</v>
      </c>
      <c r="G96" s="208">
        <v>346077</v>
      </c>
      <c r="H96" s="208">
        <v>34607718</v>
      </c>
      <c r="I96" s="208">
        <v>0</v>
      </c>
      <c r="J96" s="208">
        <v>0</v>
      </c>
      <c r="K96" s="208">
        <v>17303859</v>
      </c>
      <c r="L96" s="208">
        <v>128715</v>
      </c>
      <c r="M96" s="208">
        <v>128715</v>
      </c>
      <c r="N96" s="208">
        <v>0</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1489151</v>
      </c>
      <c r="AH96" s="208">
        <v>335060</v>
      </c>
      <c r="AI96" s="208">
        <v>37230</v>
      </c>
      <c r="AJ96" s="208">
        <v>1861441</v>
      </c>
      <c r="AK96" s="208">
        <v>1083467</v>
      </c>
      <c r="AL96" s="208">
        <v>866774</v>
      </c>
      <c r="AM96" s="208">
        <v>195024</v>
      </c>
      <c r="AN96" s="208">
        <v>21669</v>
      </c>
      <c r="AO96" s="208">
        <v>2166934</v>
      </c>
      <c r="AP96" s="208">
        <v>-701841</v>
      </c>
      <c r="AQ96" s="208">
        <v>-561474</v>
      </c>
      <c r="AR96" s="208">
        <v>-126332</v>
      </c>
      <c r="AS96" s="208">
        <v>-14037</v>
      </c>
      <c r="AT96" s="208">
        <v>-1403684</v>
      </c>
      <c r="AU96" s="208">
        <v>-207661</v>
      </c>
      <c r="AV96" s="208">
        <v>-166128</v>
      </c>
      <c r="AW96" s="208">
        <v>-37379</v>
      </c>
      <c r="AX96" s="208">
        <v>-4153</v>
      </c>
      <c r="AY96" s="208">
        <v>-415321</v>
      </c>
      <c r="AZ96" s="208">
        <v>18613.690000000002</v>
      </c>
      <c r="BA96" s="208">
        <v>14891</v>
      </c>
      <c r="BB96" s="208">
        <v>3350</v>
      </c>
      <c r="BC96" s="208">
        <v>372</v>
      </c>
      <c r="BD96" s="208">
        <v>37226.69</v>
      </c>
      <c r="BE96" s="208">
        <v>-25894</v>
      </c>
      <c r="BF96" s="208">
        <v>-20716</v>
      </c>
      <c r="BG96" s="208">
        <v>-4661</v>
      </c>
      <c r="BH96" s="208">
        <v>-518</v>
      </c>
      <c r="BI96" s="208">
        <v>-51789</v>
      </c>
      <c r="BJ96" s="208">
        <v>-214941.31</v>
      </c>
      <c r="BK96" s="208">
        <v>-171953</v>
      </c>
      <c r="BL96" s="208">
        <v>-38690</v>
      </c>
      <c r="BM96" s="208">
        <v>-4299</v>
      </c>
      <c r="BN96" s="208">
        <v>-429883.31</v>
      </c>
      <c r="BO96" s="208">
        <v>-610854</v>
      </c>
      <c r="BP96" s="208">
        <v>-488683</v>
      </c>
      <c r="BQ96" s="208">
        <v>-109954</v>
      </c>
      <c r="BR96" s="208">
        <v>-12217</v>
      </c>
      <c r="BS96" s="208">
        <v>-1221708</v>
      </c>
      <c r="BT96" s="208">
        <v>-468442</v>
      </c>
      <c r="BU96" s="208">
        <v>-374753</v>
      </c>
      <c r="BV96" s="208">
        <v>-84319</v>
      </c>
      <c r="BW96" s="208">
        <v>-9369</v>
      </c>
      <c r="BX96" s="208">
        <v>-936883</v>
      </c>
      <c r="BY96" s="208">
        <v>-142413</v>
      </c>
      <c r="BZ96" s="208">
        <v>-113930</v>
      </c>
      <c r="CA96" s="208">
        <v>-25634</v>
      </c>
      <c r="CB96" s="208">
        <v>-2848</v>
      </c>
      <c r="CC96" s="208">
        <v>-284825</v>
      </c>
      <c r="CD96" s="208">
        <v>202107</v>
      </c>
      <c r="CE96" s="208">
        <v>161685</v>
      </c>
      <c r="CF96" s="208">
        <v>36379</v>
      </c>
      <c r="CG96" s="208">
        <v>4042</v>
      </c>
      <c r="CH96" s="208">
        <v>404213</v>
      </c>
      <c r="CI96" s="208">
        <v>0</v>
      </c>
      <c r="CJ96" s="208">
        <v>0</v>
      </c>
      <c r="CK96" s="208">
        <v>0</v>
      </c>
      <c r="CL96" s="208">
        <v>0</v>
      </c>
      <c r="CM96" s="208">
        <v>0</v>
      </c>
      <c r="CN96" s="208">
        <v>-149621</v>
      </c>
      <c r="CO96" s="208">
        <v>-119697</v>
      </c>
      <c r="CP96" s="208">
        <v>-26932</v>
      </c>
      <c r="CQ96" s="208">
        <v>-2992</v>
      </c>
      <c r="CR96" s="208">
        <v>-299242</v>
      </c>
      <c r="CS96" s="208">
        <v>-208908</v>
      </c>
      <c r="CT96" s="208">
        <v>-167126</v>
      </c>
      <c r="CU96" s="208">
        <v>-37603</v>
      </c>
      <c r="CV96" s="208">
        <v>-4178</v>
      </c>
      <c r="CW96" s="208">
        <v>-417815</v>
      </c>
      <c r="CX96" s="208">
        <v>-767276</v>
      </c>
      <c r="CY96" s="208">
        <v>-613821</v>
      </c>
      <c r="CZ96" s="208">
        <v>-138110</v>
      </c>
      <c r="DA96" s="208">
        <v>-15345</v>
      </c>
      <c r="DB96" s="208">
        <v>-1534552</v>
      </c>
      <c r="DC96" s="208">
        <v>-415956</v>
      </c>
      <c r="DD96" s="208">
        <v>-332765</v>
      </c>
      <c r="DE96" s="208">
        <v>-74872</v>
      </c>
      <c r="DF96" s="208">
        <v>-8319</v>
      </c>
      <c r="DG96" s="208">
        <v>-831912</v>
      </c>
      <c r="DH96" s="208">
        <v>-351321</v>
      </c>
      <c r="DI96" s="208">
        <v>-281056</v>
      </c>
      <c r="DJ96" s="208">
        <v>-63237</v>
      </c>
      <c r="DK96" s="208">
        <v>-7026</v>
      </c>
      <c r="DL96" s="208">
        <v>-702640</v>
      </c>
      <c r="DM96" s="208">
        <v>-1760892</v>
      </c>
      <c r="DN96" s="208">
        <v>-1408714</v>
      </c>
      <c r="DO96" s="208">
        <v>-316960</v>
      </c>
      <c r="DP96" s="208">
        <v>-35217</v>
      </c>
      <c r="DQ96" s="208">
        <v>-3521783</v>
      </c>
      <c r="DR96" s="208">
        <v>-1484675</v>
      </c>
      <c r="DS96" s="208">
        <v>-1187740</v>
      </c>
      <c r="DT96" s="208">
        <v>-267242</v>
      </c>
      <c r="DU96" s="208">
        <v>-29694</v>
      </c>
      <c r="DV96" s="208">
        <v>-2969351</v>
      </c>
      <c r="DW96" s="208">
        <v>-276217</v>
      </c>
      <c r="DX96" s="208">
        <v>-220974</v>
      </c>
      <c r="DY96" s="208">
        <v>-49718</v>
      </c>
      <c r="DZ96" s="208">
        <v>-5523</v>
      </c>
      <c r="EA96" s="208">
        <v>-552432</v>
      </c>
      <c r="EB96" s="208">
        <v>18156847</v>
      </c>
      <c r="EC96" s="208">
        <v>14525478</v>
      </c>
      <c r="ED96" s="208">
        <v>3268233</v>
      </c>
      <c r="EE96" s="208">
        <v>363137</v>
      </c>
      <c r="EF96" s="208">
        <v>36313695</v>
      </c>
      <c r="EG96" s="208">
        <v>17303859</v>
      </c>
      <c r="EH96" s="208">
        <v>13843087</v>
      </c>
      <c r="EI96" s="208">
        <v>3114695</v>
      </c>
      <c r="EJ96" s="208">
        <v>346077</v>
      </c>
      <c r="EK96" s="208">
        <v>34607718</v>
      </c>
      <c r="EL96" s="208">
        <v>-852988</v>
      </c>
      <c r="EM96" s="208">
        <v>-682391</v>
      </c>
      <c r="EN96" s="208">
        <v>-153538</v>
      </c>
      <c r="EO96" s="208">
        <v>-17060</v>
      </c>
      <c r="EP96" s="208">
        <v>-1705977</v>
      </c>
      <c r="EQ96" s="208">
        <v>-1129205</v>
      </c>
      <c r="ER96" s="208">
        <v>-903365</v>
      </c>
      <c r="ES96" s="208">
        <v>-203256</v>
      </c>
      <c r="ET96" s="208">
        <v>-22583</v>
      </c>
      <c r="EU96" s="208">
        <v>-2258409</v>
      </c>
      <c r="EV96" s="666">
        <v>0.5</v>
      </c>
      <c r="EW96" s="666">
        <v>0.4</v>
      </c>
      <c r="EX96" s="666">
        <v>0.09</v>
      </c>
      <c r="EY96" s="666">
        <v>0.01</v>
      </c>
      <c r="EZ96" s="666">
        <v>1</v>
      </c>
      <c r="FA96" s="187" t="s">
        <v>1054</v>
      </c>
      <c r="FC96" s="187">
        <v>0</v>
      </c>
    </row>
    <row r="97" spans="1:159" s="187" customFormat="1" x14ac:dyDescent="0.2">
      <c r="B97" s="429" t="s">
        <v>273</v>
      </c>
      <c r="C97" s="429" t="s">
        <v>272</v>
      </c>
      <c r="D97" s="208">
        <v>28900667</v>
      </c>
      <c r="E97" s="208">
        <v>23120534</v>
      </c>
      <c r="F97" s="208">
        <v>5202120</v>
      </c>
      <c r="G97" s="208">
        <v>578013</v>
      </c>
      <c r="H97" s="208">
        <v>57801334</v>
      </c>
      <c r="I97" s="208">
        <v>0</v>
      </c>
      <c r="J97" s="208">
        <v>0</v>
      </c>
      <c r="K97" s="208">
        <v>28900667</v>
      </c>
      <c r="L97" s="208">
        <v>146707</v>
      </c>
      <c r="M97" s="208">
        <v>146707</v>
      </c>
      <c r="N97" s="208">
        <v>0</v>
      </c>
      <c r="O97" s="208">
        <v>0</v>
      </c>
      <c r="P97" s="208">
        <v>0</v>
      </c>
      <c r="Q97" s="208">
        <v>0</v>
      </c>
      <c r="R97" s="208">
        <v>0</v>
      </c>
      <c r="S97" s="208">
        <v>0</v>
      </c>
      <c r="T97" s="208">
        <v>0</v>
      </c>
      <c r="U97" s="208">
        <v>0</v>
      </c>
      <c r="V97" s="208">
        <v>0</v>
      </c>
      <c r="W97" s="208">
        <v>0</v>
      </c>
      <c r="X97" s="208">
        <v>0</v>
      </c>
      <c r="Y97" s="208">
        <v>0</v>
      </c>
      <c r="Z97" s="208">
        <v>0</v>
      </c>
      <c r="AA97" s="208">
        <v>0</v>
      </c>
      <c r="AB97" s="208">
        <v>0</v>
      </c>
      <c r="AC97" s="208">
        <v>0</v>
      </c>
      <c r="AD97" s="208">
        <v>0</v>
      </c>
      <c r="AE97" s="208">
        <v>0</v>
      </c>
      <c r="AF97" s="208">
        <v>0</v>
      </c>
      <c r="AG97" s="208">
        <v>1544400</v>
      </c>
      <c r="AH97" s="208">
        <v>347488</v>
      </c>
      <c r="AI97" s="208">
        <v>38609</v>
      </c>
      <c r="AJ97" s="208">
        <v>1930497</v>
      </c>
      <c r="AK97" s="208">
        <v>508404</v>
      </c>
      <c r="AL97" s="208">
        <v>406724</v>
      </c>
      <c r="AM97" s="208">
        <v>91513</v>
      </c>
      <c r="AN97" s="208">
        <v>10168</v>
      </c>
      <c r="AO97" s="208">
        <v>1016809</v>
      </c>
      <c r="AP97" s="208">
        <v>-410329</v>
      </c>
      <c r="AQ97" s="208">
        <v>-328263</v>
      </c>
      <c r="AR97" s="208">
        <v>-73859</v>
      </c>
      <c r="AS97" s="208">
        <v>-8207</v>
      </c>
      <c r="AT97" s="208">
        <v>-820658</v>
      </c>
      <c r="AU97" s="208">
        <v>-284666</v>
      </c>
      <c r="AV97" s="208">
        <v>-227733</v>
      </c>
      <c r="AW97" s="208">
        <v>-51240</v>
      </c>
      <c r="AX97" s="208">
        <v>-5693</v>
      </c>
      <c r="AY97" s="208">
        <v>-569332</v>
      </c>
      <c r="AZ97" s="208">
        <v>183417</v>
      </c>
      <c r="BA97" s="208">
        <v>146733</v>
      </c>
      <c r="BB97" s="208">
        <v>33015</v>
      </c>
      <c r="BC97" s="208">
        <v>3668</v>
      </c>
      <c r="BD97" s="208">
        <v>366833</v>
      </c>
      <c r="BE97" s="208">
        <v>-138808</v>
      </c>
      <c r="BF97" s="208">
        <v>-111047</v>
      </c>
      <c r="BG97" s="208">
        <v>-24986</v>
      </c>
      <c r="BH97" s="208">
        <v>-2776</v>
      </c>
      <c r="BI97" s="208">
        <v>-277617</v>
      </c>
      <c r="BJ97" s="208">
        <v>-240057</v>
      </c>
      <c r="BK97" s="208">
        <v>-192047</v>
      </c>
      <c r="BL97" s="208">
        <v>-43211</v>
      </c>
      <c r="BM97" s="208">
        <v>-4801</v>
      </c>
      <c r="BN97" s="208">
        <v>-480116</v>
      </c>
      <c r="BO97" s="208">
        <v>-2498264</v>
      </c>
      <c r="BP97" s="208">
        <v>-1998612</v>
      </c>
      <c r="BQ97" s="208">
        <v>-449688</v>
      </c>
      <c r="BR97" s="208">
        <v>-49965</v>
      </c>
      <c r="BS97" s="208">
        <v>-4996529</v>
      </c>
      <c r="BT97" s="208">
        <v>-1901397</v>
      </c>
      <c r="BU97" s="208">
        <v>-1521117</v>
      </c>
      <c r="BV97" s="208">
        <v>-342251</v>
      </c>
      <c r="BW97" s="208">
        <v>-38028</v>
      </c>
      <c r="BX97" s="208">
        <v>-3802793</v>
      </c>
      <c r="BY97" s="208">
        <v>-596869</v>
      </c>
      <c r="BZ97" s="208">
        <v>-477494</v>
      </c>
      <c r="CA97" s="208">
        <v>-107436</v>
      </c>
      <c r="CB97" s="208">
        <v>-11937</v>
      </c>
      <c r="CC97" s="208">
        <v>-1193736</v>
      </c>
      <c r="CD97" s="208">
        <v>37239</v>
      </c>
      <c r="CE97" s="208">
        <v>29792</v>
      </c>
      <c r="CF97" s="208">
        <v>6703</v>
      </c>
      <c r="CG97" s="208">
        <v>745</v>
      </c>
      <c r="CH97" s="208">
        <v>74479</v>
      </c>
      <c r="CI97" s="208">
        <v>287181</v>
      </c>
      <c r="CJ97" s="208">
        <v>229745</v>
      </c>
      <c r="CK97" s="208">
        <v>51693</v>
      </c>
      <c r="CL97" s="208">
        <v>5744</v>
      </c>
      <c r="CM97" s="208">
        <v>574363</v>
      </c>
      <c r="CN97" s="208">
        <v>146566</v>
      </c>
      <c r="CO97" s="208">
        <v>117252</v>
      </c>
      <c r="CP97" s="208">
        <v>26382</v>
      </c>
      <c r="CQ97" s="208">
        <v>2931</v>
      </c>
      <c r="CR97" s="208">
        <v>293131</v>
      </c>
      <c r="CS97" s="208">
        <v>-992625</v>
      </c>
      <c r="CT97" s="208">
        <v>-794100</v>
      </c>
      <c r="CU97" s="208">
        <v>-178672</v>
      </c>
      <c r="CV97" s="208">
        <v>-19852</v>
      </c>
      <c r="CW97" s="208">
        <v>-1985249</v>
      </c>
      <c r="CX97" s="208">
        <v>-3019903</v>
      </c>
      <c r="CY97" s="208">
        <v>-2415923</v>
      </c>
      <c r="CZ97" s="208">
        <v>-543582</v>
      </c>
      <c r="DA97" s="208">
        <v>-60397</v>
      </c>
      <c r="DB97" s="208">
        <v>-6039805</v>
      </c>
      <c r="DC97" s="208">
        <v>-1717592</v>
      </c>
      <c r="DD97" s="208">
        <v>-1374073</v>
      </c>
      <c r="DE97" s="208">
        <v>-309166</v>
      </c>
      <c r="DF97" s="208">
        <v>-34352</v>
      </c>
      <c r="DG97" s="208">
        <v>-3435183</v>
      </c>
      <c r="DH97" s="208">
        <v>-1302313</v>
      </c>
      <c r="DI97" s="208">
        <v>-1041849</v>
      </c>
      <c r="DJ97" s="208">
        <v>-234415</v>
      </c>
      <c r="DK97" s="208">
        <v>-26045</v>
      </c>
      <c r="DL97" s="208">
        <v>-2604622</v>
      </c>
      <c r="DM97" s="208">
        <v>1318188</v>
      </c>
      <c r="DN97" s="208">
        <v>1054550</v>
      </c>
      <c r="DO97" s="208">
        <v>237274</v>
      </c>
      <c r="DP97" s="208">
        <v>26364</v>
      </c>
      <c r="DQ97" s="208">
        <v>2636376</v>
      </c>
      <c r="DR97" s="208">
        <v>822486</v>
      </c>
      <c r="DS97" s="208">
        <v>657988</v>
      </c>
      <c r="DT97" s="208">
        <v>148047</v>
      </c>
      <c r="DU97" s="208">
        <v>16450</v>
      </c>
      <c r="DV97" s="208">
        <v>1644971</v>
      </c>
      <c r="DW97" s="208">
        <v>495702</v>
      </c>
      <c r="DX97" s="208">
        <v>396562</v>
      </c>
      <c r="DY97" s="208">
        <v>89227</v>
      </c>
      <c r="DZ97" s="208">
        <v>9914</v>
      </c>
      <c r="EA97" s="208">
        <v>991405</v>
      </c>
      <c r="EB97" s="208">
        <v>29469473</v>
      </c>
      <c r="EC97" s="208">
        <v>23575578</v>
      </c>
      <c r="ED97" s="208">
        <v>5304505</v>
      </c>
      <c r="EE97" s="208">
        <v>589389</v>
      </c>
      <c r="EF97" s="208">
        <v>58938945</v>
      </c>
      <c r="EG97" s="208">
        <v>28900667</v>
      </c>
      <c r="EH97" s="208">
        <v>23120534</v>
      </c>
      <c r="EI97" s="208">
        <v>5202120</v>
      </c>
      <c r="EJ97" s="208">
        <v>578013</v>
      </c>
      <c r="EK97" s="208">
        <v>57801334</v>
      </c>
      <c r="EL97" s="208">
        <v>-568806</v>
      </c>
      <c r="EM97" s="208">
        <v>-455044</v>
      </c>
      <c r="EN97" s="208">
        <v>-102385</v>
      </c>
      <c r="EO97" s="208">
        <v>-11376</v>
      </c>
      <c r="EP97" s="208">
        <v>-1137611</v>
      </c>
      <c r="EQ97" s="208">
        <v>-73104</v>
      </c>
      <c r="ER97" s="208">
        <v>-58482</v>
      </c>
      <c r="ES97" s="208">
        <v>-13158</v>
      </c>
      <c r="ET97" s="208">
        <v>-1462</v>
      </c>
      <c r="EU97" s="208">
        <v>-146206</v>
      </c>
      <c r="EV97" s="666">
        <v>0.5</v>
      </c>
      <c r="EW97" s="666">
        <v>0.4</v>
      </c>
      <c r="EX97" s="666">
        <v>0.09</v>
      </c>
      <c r="EY97" s="666">
        <v>0.01</v>
      </c>
      <c r="EZ97" s="666">
        <v>1</v>
      </c>
      <c r="FA97" s="187" t="s">
        <v>1054</v>
      </c>
      <c r="FC97" s="187">
        <v>0</v>
      </c>
    </row>
    <row r="98" spans="1:159" s="187" customFormat="1" x14ac:dyDescent="0.2">
      <c r="A98" s="185"/>
      <c r="B98" s="429" t="s">
        <v>275</v>
      </c>
      <c r="C98" s="429" t="s">
        <v>274</v>
      </c>
      <c r="D98" s="208">
        <v>10633326</v>
      </c>
      <c r="E98" s="208">
        <v>8506660</v>
      </c>
      <c r="F98" s="208">
        <v>2126665</v>
      </c>
      <c r="G98" s="208">
        <v>0</v>
      </c>
      <c r="H98" s="208">
        <v>21266651</v>
      </c>
      <c r="I98" s="208">
        <v>0</v>
      </c>
      <c r="J98" s="208">
        <v>0</v>
      </c>
      <c r="K98" s="208">
        <v>10633326</v>
      </c>
      <c r="L98" s="208">
        <v>126168</v>
      </c>
      <c r="M98" s="208">
        <v>126168</v>
      </c>
      <c r="N98" s="208">
        <v>0</v>
      </c>
      <c r="O98" s="208">
        <v>0</v>
      </c>
      <c r="P98" s="208">
        <v>20359</v>
      </c>
      <c r="Q98" s="208">
        <v>0</v>
      </c>
      <c r="R98" s="208">
        <v>20359</v>
      </c>
      <c r="S98" s="208">
        <v>0</v>
      </c>
      <c r="T98" s="208">
        <v>0</v>
      </c>
      <c r="U98" s="208">
        <v>0</v>
      </c>
      <c r="V98" s="208">
        <v>0</v>
      </c>
      <c r="W98" s="208">
        <v>0</v>
      </c>
      <c r="X98" s="208">
        <v>0</v>
      </c>
      <c r="Y98" s="208">
        <v>0</v>
      </c>
      <c r="Z98" s="208">
        <v>0</v>
      </c>
      <c r="AA98" s="208">
        <v>0</v>
      </c>
      <c r="AB98" s="208">
        <v>0</v>
      </c>
      <c r="AC98" s="208">
        <v>0</v>
      </c>
      <c r="AD98" s="208">
        <v>0</v>
      </c>
      <c r="AE98" s="208">
        <v>0</v>
      </c>
      <c r="AF98" s="208">
        <v>0</v>
      </c>
      <c r="AG98" s="208">
        <v>1318724</v>
      </c>
      <c r="AH98" s="208">
        <v>329565</v>
      </c>
      <c r="AI98" s="208">
        <v>0</v>
      </c>
      <c r="AJ98" s="208">
        <v>1648289</v>
      </c>
      <c r="AK98" s="208">
        <v>435932</v>
      </c>
      <c r="AL98" s="208">
        <v>348746</v>
      </c>
      <c r="AM98" s="208">
        <v>87186</v>
      </c>
      <c r="AN98" s="208">
        <v>0</v>
      </c>
      <c r="AO98" s="208">
        <v>871864</v>
      </c>
      <c r="AP98" s="208">
        <v>-146823</v>
      </c>
      <c r="AQ98" s="208">
        <v>-117459</v>
      </c>
      <c r="AR98" s="208">
        <v>-29365</v>
      </c>
      <c r="AS98" s="208">
        <v>0</v>
      </c>
      <c r="AT98" s="208">
        <v>-293647</v>
      </c>
      <c r="AU98" s="208">
        <v>-24088</v>
      </c>
      <c r="AV98" s="208">
        <v>-19270</v>
      </c>
      <c r="AW98" s="208">
        <v>-4818</v>
      </c>
      <c r="AX98" s="208">
        <v>0</v>
      </c>
      <c r="AY98" s="208">
        <v>-48176</v>
      </c>
      <c r="AZ98" s="208">
        <v>17472</v>
      </c>
      <c r="BA98" s="208">
        <v>13978</v>
      </c>
      <c r="BB98" s="208">
        <v>3494</v>
      </c>
      <c r="BC98" s="208">
        <v>0</v>
      </c>
      <c r="BD98" s="208">
        <v>34944</v>
      </c>
      <c r="BE98" s="208">
        <v>-26861</v>
      </c>
      <c r="BF98" s="208">
        <v>-21488</v>
      </c>
      <c r="BG98" s="208">
        <v>-5372</v>
      </c>
      <c r="BH98" s="208">
        <v>0</v>
      </c>
      <c r="BI98" s="208">
        <v>-53721</v>
      </c>
      <c r="BJ98" s="208">
        <v>-33477</v>
      </c>
      <c r="BK98" s="208">
        <v>-26780</v>
      </c>
      <c r="BL98" s="208">
        <v>-6696</v>
      </c>
      <c r="BM98" s="208">
        <v>0</v>
      </c>
      <c r="BN98" s="208">
        <v>-66953</v>
      </c>
      <c r="BO98" s="208">
        <v>-486992</v>
      </c>
      <c r="BP98" s="208">
        <v>-389594</v>
      </c>
      <c r="BQ98" s="208">
        <v>-97399</v>
      </c>
      <c r="BR98" s="208">
        <v>0</v>
      </c>
      <c r="BS98" s="208">
        <v>-973985</v>
      </c>
      <c r="BT98" s="208">
        <v>-281815</v>
      </c>
      <c r="BU98" s="208">
        <v>-225452</v>
      </c>
      <c r="BV98" s="208">
        <v>-56363</v>
      </c>
      <c r="BW98" s="208">
        <v>0</v>
      </c>
      <c r="BX98" s="208">
        <v>-563630</v>
      </c>
      <c r="BY98" s="208">
        <v>-205177</v>
      </c>
      <c r="BZ98" s="208">
        <v>-164142</v>
      </c>
      <c r="CA98" s="208">
        <v>-41036</v>
      </c>
      <c r="CB98" s="208">
        <v>0</v>
      </c>
      <c r="CC98" s="208">
        <v>-410355</v>
      </c>
      <c r="CD98" s="208">
        <v>241980</v>
      </c>
      <c r="CE98" s="208">
        <v>193584</v>
      </c>
      <c r="CF98" s="208">
        <v>48396</v>
      </c>
      <c r="CG98" s="208">
        <v>0</v>
      </c>
      <c r="CH98" s="208">
        <v>483960</v>
      </c>
      <c r="CI98" s="208">
        <v>88592</v>
      </c>
      <c r="CJ98" s="208">
        <v>70874</v>
      </c>
      <c r="CK98" s="208">
        <v>17719</v>
      </c>
      <c r="CL98" s="208">
        <v>0</v>
      </c>
      <c r="CM98" s="208">
        <v>177185</v>
      </c>
      <c r="CN98" s="208">
        <v>9609</v>
      </c>
      <c r="CO98" s="208">
        <v>7688</v>
      </c>
      <c r="CP98" s="208">
        <v>1922</v>
      </c>
      <c r="CQ98" s="208">
        <v>0</v>
      </c>
      <c r="CR98" s="208">
        <v>19219</v>
      </c>
      <c r="CS98" s="208">
        <v>-88048</v>
      </c>
      <c r="CT98" s="208">
        <v>-70439</v>
      </c>
      <c r="CU98" s="208">
        <v>-17610</v>
      </c>
      <c r="CV98" s="208">
        <v>0</v>
      </c>
      <c r="CW98" s="208">
        <v>-176097</v>
      </c>
      <c r="CX98" s="208">
        <v>-234859</v>
      </c>
      <c r="CY98" s="208">
        <v>-187887</v>
      </c>
      <c r="CZ98" s="208">
        <v>-46972</v>
      </c>
      <c r="DA98" s="208">
        <v>0</v>
      </c>
      <c r="DB98" s="208">
        <v>-469718</v>
      </c>
      <c r="DC98" s="208">
        <v>-30226</v>
      </c>
      <c r="DD98" s="208">
        <v>-24180</v>
      </c>
      <c r="DE98" s="208">
        <v>-6045</v>
      </c>
      <c r="DF98" s="208">
        <v>0</v>
      </c>
      <c r="DG98" s="208">
        <v>-60451</v>
      </c>
      <c r="DH98" s="208">
        <v>-204633</v>
      </c>
      <c r="DI98" s="208">
        <v>-163707</v>
      </c>
      <c r="DJ98" s="208">
        <v>-40927</v>
      </c>
      <c r="DK98" s="208">
        <v>0</v>
      </c>
      <c r="DL98" s="208">
        <v>-409267</v>
      </c>
      <c r="DM98" s="208">
        <v>-359609</v>
      </c>
      <c r="DN98" s="208">
        <v>-287688</v>
      </c>
      <c r="DO98" s="208">
        <v>-71922</v>
      </c>
      <c r="DP98" s="208">
        <v>0</v>
      </c>
      <c r="DQ98" s="208">
        <v>-719219</v>
      </c>
      <c r="DR98" s="208">
        <v>-613544</v>
      </c>
      <c r="DS98" s="208">
        <v>-490835</v>
      </c>
      <c r="DT98" s="208">
        <v>-122709</v>
      </c>
      <c r="DU98" s="208">
        <v>0</v>
      </c>
      <c r="DV98" s="208">
        <v>-1227088</v>
      </c>
      <c r="DW98" s="208">
        <v>253935</v>
      </c>
      <c r="DX98" s="208">
        <v>203147</v>
      </c>
      <c r="DY98" s="208">
        <v>50787</v>
      </c>
      <c r="DZ98" s="208">
        <v>0</v>
      </c>
      <c r="EA98" s="208">
        <v>507869</v>
      </c>
      <c r="EB98" s="208">
        <v>10764660</v>
      </c>
      <c r="EC98" s="208">
        <v>8611728</v>
      </c>
      <c r="ED98" s="208">
        <v>2152932</v>
      </c>
      <c r="EE98" s="208">
        <v>0</v>
      </c>
      <c r="EF98" s="208">
        <v>21529320</v>
      </c>
      <c r="EG98" s="208">
        <v>10633326</v>
      </c>
      <c r="EH98" s="208">
        <v>8506660</v>
      </c>
      <c r="EI98" s="208">
        <v>2126665</v>
      </c>
      <c r="EJ98" s="208">
        <v>0</v>
      </c>
      <c r="EK98" s="208">
        <v>21266651</v>
      </c>
      <c r="EL98" s="208">
        <v>-131334</v>
      </c>
      <c r="EM98" s="208">
        <v>-105068</v>
      </c>
      <c r="EN98" s="208">
        <v>-26267</v>
      </c>
      <c r="EO98" s="208">
        <v>0</v>
      </c>
      <c r="EP98" s="208">
        <v>-262669</v>
      </c>
      <c r="EQ98" s="208">
        <v>122601</v>
      </c>
      <c r="ER98" s="208">
        <v>98079</v>
      </c>
      <c r="ES98" s="208">
        <v>24520</v>
      </c>
      <c r="ET98" s="208">
        <v>0</v>
      </c>
      <c r="EU98" s="208">
        <v>245200</v>
      </c>
      <c r="EV98" s="666">
        <v>0.5</v>
      </c>
      <c r="EW98" s="666">
        <v>0.4</v>
      </c>
      <c r="EX98" s="666">
        <v>0.1</v>
      </c>
      <c r="EY98" s="666">
        <v>0</v>
      </c>
      <c r="EZ98" s="666">
        <v>1</v>
      </c>
      <c r="FA98" s="187" t="s">
        <v>1054</v>
      </c>
      <c r="FC98" s="187">
        <v>0</v>
      </c>
    </row>
    <row r="99" spans="1:159" s="187" customFormat="1" x14ac:dyDescent="0.2">
      <c r="B99" s="429" t="s">
        <v>277</v>
      </c>
      <c r="C99" s="429" t="s">
        <v>276</v>
      </c>
      <c r="D99" s="208">
        <v>0</v>
      </c>
      <c r="E99" s="208">
        <v>19929014</v>
      </c>
      <c r="F99" s="208">
        <v>46501033</v>
      </c>
      <c r="G99" s="208">
        <v>0</v>
      </c>
      <c r="H99" s="208">
        <v>66430047</v>
      </c>
      <c r="I99" s="208">
        <v>0</v>
      </c>
      <c r="J99" s="208">
        <v>0</v>
      </c>
      <c r="K99" s="208">
        <v>0</v>
      </c>
      <c r="L99" s="208">
        <v>181894</v>
      </c>
      <c r="M99" s="208">
        <v>181894</v>
      </c>
      <c r="N99" s="208">
        <v>0</v>
      </c>
      <c r="O99" s="208">
        <v>0</v>
      </c>
      <c r="P99" s="208">
        <v>19741</v>
      </c>
      <c r="Q99" s="208">
        <v>0</v>
      </c>
      <c r="R99" s="208">
        <v>19741</v>
      </c>
      <c r="S99" s="208">
        <v>0</v>
      </c>
      <c r="T99" s="208">
        <v>0</v>
      </c>
      <c r="U99" s="208">
        <v>0</v>
      </c>
      <c r="V99" s="208">
        <v>0</v>
      </c>
      <c r="W99" s="208">
        <v>0</v>
      </c>
      <c r="X99" s="208">
        <v>0</v>
      </c>
      <c r="Y99" s="208">
        <v>0</v>
      </c>
      <c r="Z99" s="208">
        <v>0</v>
      </c>
      <c r="AA99" s="208">
        <v>0</v>
      </c>
      <c r="AB99" s="208">
        <v>0</v>
      </c>
      <c r="AC99" s="208">
        <v>0</v>
      </c>
      <c r="AD99" s="208">
        <v>0</v>
      </c>
      <c r="AE99" s="208">
        <v>0</v>
      </c>
      <c r="AF99" s="208">
        <v>0</v>
      </c>
      <c r="AG99" s="208">
        <v>1428799</v>
      </c>
      <c r="AH99" s="208">
        <v>3332809</v>
      </c>
      <c r="AI99" s="208">
        <v>0</v>
      </c>
      <c r="AJ99" s="208">
        <v>4761608</v>
      </c>
      <c r="AK99" s="208">
        <v>0</v>
      </c>
      <c r="AL99" s="208">
        <v>281548</v>
      </c>
      <c r="AM99" s="208">
        <v>656945</v>
      </c>
      <c r="AN99" s="208">
        <v>0</v>
      </c>
      <c r="AO99" s="208">
        <v>938493</v>
      </c>
      <c r="AP99" s="208">
        <v>0</v>
      </c>
      <c r="AQ99" s="208">
        <v>-494553</v>
      </c>
      <c r="AR99" s="208">
        <v>-1153958</v>
      </c>
      <c r="AS99" s="208">
        <v>0</v>
      </c>
      <c r="AT99" s="208">
        <v>-1648511</v>
      </c>
      <c r="AU99" s="208">
        <v>0</v>
      </c>
      <c r="AV99" s="208">
        <v>-75646</v>
      </c>
      <c r="AW99" s="208">
        <v>-176508</v>
      </c>
      <c r="AX99" s="208">
        <v>0</v>
      </c>
      <c r="AY99" s="208">
        <v>-252154</v>
      </c>
      <c r="AZ99" s="208">
        <v>0</v>
      </c>
      <c r="BA99" s="208">
        <v>29086</v>
      </c>
      <c r="BB99" s="208">
        <v>67867</v>
      </c>
      <c r="BC99" s="208">
        <v>0</v>
      </c>
      <c r="BD99" s="208">
        <v>96953</v>
      </c>
      <c r="BE99" s="208">
        <v>0</v>
      </c>
      <c r="BF99" s="208">
        <v>-98940</v>
      </c>
      <c r="BG99" s="208">
        <v>-230859</v>
      </c>
      <c r="BH99" s="208">
        <v>0</v>
      </c>
      <c r="BI99" s="208">
        <v>-329799</v>
      </c>
      <c r="BJ99" s="208">
        <v>0</v>
      </c>
      <c r="BK99" s="208">
        <v>-145500</v>
      </c>
      <c r="BL99" s="208">
        <v>-339500</v>
      </c>
      <c r="BM99" s="208">
        <v>0</v>
      </c>
      <c r="BN99" s="208">
        <v>-485000</v>
      </c>
      <c r="BO99" s="208">
        <v>0</v>
      </c>
      <c r="BP99" s="208">
        <v>-2434388</v>
      </c>
      <c r="BQ99" s="208">
        <v>-5680239</v>
      </c>
      <c r="BR99" s="208">
        <v>0</v>
      </c>
      <c r="BS99" s="208">
        <v>-8114627</v>
      </c>
      <c r="BT99" s="208">
        <v>0</v>
      </c>
      <c r="BU99" s="208">
        <v>-1354177</v>
      </c>
      <c r="BV99" s="208">
        <v>-3159747</v>
      </c>
      <c r="BW99" s="208">
        <v>0</v>
      </c>
      <c r="BX99" s="208">
        <v>-4513924</v>
      </c>
      <c r="BY99" s="208">
        <v>0</v>
      </c>
      <c r="BZ99" s="208">
        <v>-1080211</v>
      </c>
      <c r="CA99" s="208">
        <v>-2520492</v>
      </c>
      <c r="CB99" s="208">
        <v>0</v>
      </c>
      <c r="CC99" s="208">
        <v>-3600703</v>
      </c>
      <c r="CD99" s="208">
        <v>0</v>
      </c>
      <c r="CE99" s="208">
        <v>59395</v>
      </c>
      <c r="CF99" s="208">
        <v>138587</v>
      </c>
      <c r="CG99" s="208">
        <v>0</v>
      </c>
      <c r="CH99" s="208">
        <v>197982</v>
      </c>
      <c r="CI99" s="208">
        <v>0</v>
      </c>
      <c r="CJ99" s="208">
        <v>14229</v>
      </c>
      <c r="CK99" s="208">
        <v>33202</v>
      </c>
      <c r="CL99" s="208">
        <v>0</v>
      </c>
      <c r="CM99" s="208">
        <v>47431</v>
      </c>
      <c r="CN99" s="208">
        <v>0</v>
      </c>
      <c r="CO99" s="208">
        <v>37043</v>
      </c>
      <c r="CP99" s="208">
        <v>86434</v>
      </c>
      <c r="CQ99" s="208">
        <v>0</v>
      </c>
      <c r="CR99" s="208">
        <v>123477</v>
      </c>
      <c r="CS99" s="208">
        <v>0</v>
      </c>
      <c r="CT99" s="208">
        <v>278740</v>
      </c>
      <c r="CU99" s="208">
        <v>650394</v>
      </c>
      <c r="CV99" s="208">
        <v>0</v>
      </c>
      <c r="CW99" s="208">
        <v>929134</v>
      </c>
      <c r="CX99" s="208">
        <v>0</v>
      </c>
      <c r="CY99" s="208">
        <v>-2044981</v>
      </c>
      <c r="CZ99" s="208">
        <v>-4771622</v>
      </c>
      <c r="DA99" s="208">
        <v>0</v>
      </c>
      <c r="DB99" s="208">
        <v>-6816603</v>
      </c>
      <c r="DC99" s="208">
        <v>0</v>
      </c>
      <c r="DD99" s="208">
        <v>-1257739</v>
      </c>
      <c r="DE99" s="208">
        <v>-2934726</v>
      </c>
      <c r="DF99" s="208">
        <v>0</v>
      </c>
      <c r="DG99" s="208">
        <v>-4192465</v>
      </c>
      <c r="DH99" s="208">
        <v>0</v>
      </c>
      <c r="DI99" s="208">
        <v>-787242</v>
      </c>
      <c r="DJ99" s="208">
        <v>-1836896</v>
      </c>
      <c r="DK99" s="208">
        <v>0</v>
      </c>
      <c r="DL99" s="208">
        <v>-2624138</v>
      </c>
      <c r="DM99" s="208">
        <v>-988665</v>
      </c>
      <c r="DN99" s="208">
        <v>-790932</v>
      </c>
      <c r="DO99" s="208">
        <v>-197733</v>
      </c>
      <c r="DP99" s="208">
        <v>0</v>
      </c>
      <c r="DQ99" s="208">
        <v>-1977329</v>
      </c>
      <c r="DR99" s="208">
        <v>-613694</v>
      </c>
      <c r="DS99" s="208">
        <v>-490956</v>
      </c>
      <c r="DT99" s="208">
        <v>-122739</v>
      </c>
      <c r="DU99" s="208">
        <v>0</v>
      </c>
      <c r="DV99" s="208">
        <v>-1227389</v>
      </c>
      <c r="DW99" s="208">
        <v>-374971</v>
      </c>
      <c r="DX99" s="208">
        <v>-299976</v>
      </c>
      <c r="DY99" s="208">
        <v>-74994</v>
      </c>
      <c r="DZ99" s="208">
        <v>0</v>
      </c>
      <c r="EA99" s="208">
        <v>-749940</v>
      </c>
      <c r="EB99" s="208">
        <v>0</v>
      </c>
      <c r="EC99" s="208">
        <v>19179774</v>
      </c>
      <c r="ED99" s="208">
        <v>44752807</v>
      </c>
      <c r="EE99" s="208">
        <v>0</v>
      </c>
      <c r="EF99" s="208">
        <v>63932581</v>
      </c>
      <c r="EG99" s="208">
        <v>0</v>
      </c>
      <c r="EH99" s="208">
        <v>19929014</v>
      </c>
      <c r="EI99" s="208">
        <v>46501033</v>
      </c>
      <c r="EJ99" s="208">
        <v>0</v>
      </c>
      <c r="EK99" s="208">
        <v>66430047</v>
      </c>
      <c r="EL99" s="208">
        <v>0</v>
      </c>
      <c r="EM99" s="208">
        <v>749240</v>
      </c>
      <c r="EN99" s="208">
        <v>1748226</v>
      </c>
      <c r="EO99" s="208">
        <v>0</v>
      </c>
      <c r="EP99" s="208">
        <v>2497466</v>
      </c>
      <c r="EQ99" s="208">
        <v>-374971</v>
      </c>
      <c r="ER99" s="208">
        <v>449264</v>
      </c>
      <c r="ES99" s="208">
        <v>1673232</v>
      </c>
      <c r="ET99" s="208">
        <v>0</v>
      </c>
      <c r="EU99" s="208">
        <v>1747526</v>
      </c>
      <c r="EV99" s="666">
        <v>0</v>
      </c>
      <c r="EW99" s="666">
        <v>0.3</v>
      </c>
      <c r="EX99" s="666">
        <v>0.7</v>
      </c>
      <c r="EY99" s="666">
        <v>0</v>
      </c>
      <c r="EZ99" s="666">
        <v>1</v>
      </c>
      <c r="FA99" s="187" t="s">
        <v>1054</v>
      </c>
      <c r="FC99" s="187">
        <v>0</v>
      </c>
    </row>
    <row r="100" spans="1:159" s="187" customFormat="1" x14ac:dyDescent="0.2">
      <c r="B100" s="429" t="s">
        <v>279</v>
      </c>
      <c r="C100" s="429" t="s">
        <v>278</v>
      </c>
      <c r="D100" s="208">
        <v>0</v>
      </c>
      <c r="E100" s="208">
        <v>71143592</v>
      </c>
      <c r="F100" s="208">
        <v>40018270</v>
      </c>
      <c r="G100" s="208">
        <v>0</v>
      </c>
      <c r="H100" s="208">
        <v>111161862</v>
      </c>
      <c r="I100" s="208">
        <v>0</v>
      </c>
      <c r="J100" s="208">
        <v>0</v>
      </c>
      <c r="K100" s="208">
        <v>0</v>
      </c>
      <c r="L100" s="208">
        <v>336786</v>
      </c>
      <c r="M100" s="208">
        <v>336786</v>
      </c>
      <c r="N100" s="208">
        <v>0</v>
      </c>
      <c r="O100" s="208">
        <v>0</v>
      </c>
      <c r="P100" s="208">
        <v>0</v>
      </c>
      <c r="Q100" s="208">
        <v>0</v>
      </c>
      <c r="R100" s="208">
        <v>0</v>
      </c>
      <c r="S100" s="208">
        <v>0</v>
      </c>
      <c r="T100" s="208">
        <v>0</v>
      </c>
      <c r="U100" s="208">
        <v>0</v>
      </c>
      <c r="V100" s="208">
        <v>0</v>
      </c>
      <c r="W100" s="208">
        <v>0</v>
      </c>
      <c r="X100" s="208">
        <v>0</v>
      </c>
      <c r="Y100" s="208">
        <v>0</v>
      </c>
      <c r="Z100" s="208">
        <v>0</v>
      </c>
      <c r="AA100" s="208">
        <v>0</v>
      </c>
      <c r="AB100" s="208">
        <v>0</v>
      </c>
      <c r="AC100" s="208">
        <v>0</v>
      </c>
      <c r="AD100" s="208">
        <v>0</v>
      </c>
      <c r="AE100" s="208">
        <v>0</v>
      </c>
      <c r="AF100" s="208">
        <v>0</v>
      </c>
      <c r="AG100" s="208">
        <v>5645579</v>
      </c>
      <c r="AH100" s="208">
        <v>3175637</v>
      </c>
      <c r="AI100" s="208">
        <v>0</v>
      </c>
      <c r="AJ100" s="208">
        <v>8821216</v>
      </c>
      <c r="AK100" s="208">
        <v>0</v>
      </c>
      <c r="AL100" s="208">
        <v>4600085</v>
      </c>
      <c r="AM100" s="208">
        <v>2587548</v>
      </c>
      <c r="AN100" s="208">
        <v>0</v>
      </c>
      <c r="AO100" s="208">
        <v>7187633</v>
      </c>
      <c r="AP100" s="208">
        <v>0</v>
      </c>
      <c r="AQ100" s="208">
        <v>-3494536</v>
      </c>
      <c r="AR100" s="208">
        <v>-1965677</v>
      </c>
      <c r="AS100" s="208">
        <v>0</v>
      </c>
      <c r="AT100" s="208">
        <v>-5460213</v>
      </c>
      <c r="AU100" s="208">
        <v>0</v>
      </c>
      <c r="AV100" s="208">
        <v>-2692978</v>
      </c>
      <c r="AW100" s="208">
        <v>-1514800</v>
      </c>
      <c r="AX100" s="208">
        <v>0</v>
      </c>
      <c r="AY100" s="208">
        <v>-4207778</v>
      </c>
      <c r="AZ100" s="208">
        <v>0</v>
      </c>
      <c r="BA100" s="208">
        <v>936178</v>
      </c>
      <c r="BB100" s="208">
        <v>526600</v>
      </c>
      <c r="BC100" s="208">
        <v>0</v>
      </c>
      <c r="BD100" s="208">
        <v>1462778</v>
      </c>
      <c r="BE100" s="208">
        <v>0</v>
      </c>
      <c r="BF100" s="208">
        <v>-705826</v>
      </c>
      <c r="BG100" s="208">
        <v>-397027</v>
      </c>
      <c r="BH100" s="208">
        <v>0</v>
      </c>
      <c r="BI100" s="208">
        <v>-1102853</v>
      </c>
      <c r="BJ100" s="208">
        <v>0</v>
      </c>
      <c r="BK100" s="208">
        <v>-2462626</v>
      </c>
      <c r="BL100" s="208">
        <v>-1385227</v>
      </c>
      <c r="BM100" s="208">
        <v>0</v>
      </c>
      <c r="BN100" s="208">
        <v>-3847853</v>
      </c>
      <c r="BO100" s="208">
        <v>0.5</v>
      </c>
      <c r="BP100" s="208">
        <v>-7075811</v>
      </c>
      <c r="BQ100" s="208">
        <v>-3980144</v>
      </c>
      <c r="BR100" s="208">
        <v>0</v>
      </c>
      <c r="BS100" s="208">
        <v>-11055954.5</v>
      </c>
      <c r="BT100" s="208">
        <v>0</v>
      </c>
      <c r="BU100" s="208">
        <v>0</v>
      </c>
      <c r="BV100" s="208">
        <v>0</v>
      </c>
      <c r="BW100" s="208">
        <v>0</v>
      </c>
      <c r="BX100" s="208">
        <v>0</v>
      </c>
      <c r="BY100" s="208">
        <v>0.5</v>
      </c>
      <c r="BZ100" s="208">
        <v>-7075811</v>
      </c>
      <c r="CA100" s="208">
        <v>-3980144</v>
      </c>
      <c r="CB100" s="208">
        <v>0</v>
      </c>
      <c r="CC100" s="208">
        <v>-11055954.5</v>
      </c>
      <c r="CD100" s="208">
        <v>0</v>
      </c>
      <c r="CE100" s="208">
        <v>0</v>
      </c>
      <c r="CF100" s="208">
        <v>0</v>
      </c>
      <c r="CG100" s="208">
        <v>0</v>
      </c>
      <c r="CH100" s="208">
        <v>0</v>
      </c>
      <c r="CI100" s="208">
        <v>0</v>
      </c>
      <c r="CJ100" s="208">
        <v>2495331</v>
      </c>
      <c r="CK100" s="208">
        <v>1403623</v>
      </c>
      <c r="CL100" s="208">
        <v>0</v>
      </c>
      <c r="CM100" s="208">
        <v>3898954</v>
      </c>
      <c r="CN100" s="208">
        <v>0</v>
      </c>
      <c r="CO100" s="208">
        <v>0</v>
      </c>
      <c r="CP100" s="208">
        <v>0</v>
      </c>
      <c r="CQ100" s="208">
        <v>0</v>
      </c>
      <c r="CR100" s="208">
        <v>0</v>
      </c>
      <c r="CS100" s="208">
        <v>0</v>
      </c>
      <c r="CT100" s="208">
        <v>-3984640</v>
      </c>
      <c r="CU100" s="208">
        <v>-2241360</v>
      </c>
      <c r="CV100" s="208">
        <v>0</v>
      </c>
      <c r="CW100" s="208">
        <v>-6226000</v>
      </c>
      <c r="CX100" s="208">
        <v>0.5</v>
      </c>
      <c r="CY100" s="208">
        <v>-8565120</v>
      </c>
      <c r="CZ100" s="208">
        <v>-4817881</v>
      </c>
      <c r="DA100" s="208">
        <v>0</v>
      </c>
      <c r="DB100" s="208">
        <v>-13383000.5</v>
      </c>
      <c r="DC100" s="208">
        <v>0</v>
      </c>
      <c r="DD100" s="208">
        <v>0</v>
      </c>
      <c r="DE100" s="208">
        <v>0</v>
      </c>
      <c r="DF100" s="208">
        <v>0</v>
      </c>
      <c r="DG100" s="208">
        <v>0</v>
      </c>
      <c r="DH100" s="208">
        <v>0.5</v>
      </c>
      <c r="DI100" s="208">
        <v>-8565120</v>
      </c>
      <c r="DJ100" s="208">
        <v>-4817881</v>
      </c>
      <c r="DK100" s="208">
        <v>0</v>
      </c>
      <c r="DL100" s="208">
        <v>-13383000.5</v>
      </c>
      <c r="DM100" s="208">
        <v>-953715</v>
      </c>
      <c r="DN100" s="208">
        <v>-1590252</v>
      </c>
      <c r="DO100" s="208">
        <v>-2756872</v>
      </c>
      <c r="DP100" s="208">
        <v>0</v>
      </c>
      <c r="DQ100" s="208">
        <v>-5300839</v>
      </c>
      <c r="DR100" s="208">
        <v>946969</v>
      </c>
      <c r="DS100" s="208">
        <v>137642</v>
      </c>
      <c r="DT100" s="208">
        <v>-625802</v>
      </c>
      <c r="DU100" s="208">
        <v>0</v>
      </c>
      <c r="DV100" s="208">
        <v>458809</v>
      </c>
      <c r="DW100" s="208">
        <v>-1900684</v>
      </c>
      <c r="DX100" s="208">
        <v>-1727894</v>
      </c>
      <c r="DY100" s="208">
        <v>-2131070</v>
      </c>
      <c r="DZ100" s="208">
        <v>0</v>
      </c>
      <c r="EA100" s="208">
        <v>-5759648</v>
      </c>
      <c r="EB100" s="208">
        <v>0</v>
      </c>
      <c r="EC100" s="208">
        <v>72221592</v>
      </c>
      <c r="ED100" s="208">
        <v>40624645</v>
      </c>
      <c r="EE100" s="208">
        <v>0</v>
      </c>
      <c r="EF100" s="208">
        <v>112846237</v>
      </c>
      <c r="EG100" s="208">
        <v>0</v>
      </c>
      <c r="EH100" s="208">
        <v>71143592</v>
      </c>
      <c r="EI100" s="208">
        <v>40018270</v>
      </c>
      <c r="EJ100" s="208">
        <v>0</v>
      </c>
      <c r="EK100" s="208">
        <v>111161862</v>
      </c>
      <c r="EL100" s="208">
        <v>0</v>
      </c>
      <c r="EM100" s="208">
        <v>-1078000</v>
      </c>
      <c r="EN100" s="208">
        <v>-606375</v>
      </c>
      <c r="EO100" s="208">
        <v>0</v>
      </c>
      <c r="EP100" s="208">
        <v>-1684375</v>
      </c>
      <c r="EQ100" s="208">
        <v>-1900684</v>
      </c>
      <c r="ER100" s="208">
        <v>-2805894</v>
      </c>
      <c r="ES100" s="208">
        <v>-2737445</v>
      </c>
      <c r="ET100" s="208">
        <v>0</v>
      </c>
      <c r="EU100" s="208">
        <v>-7444023</v>
      </c>
      <c r="EV100" s="666">
        <v>0</v>
      </c>
      <c r="EW100" s="666">
        <v>0.64</v>
      </c>
      <c r="EX100" s="666">
        <v>0.36</v>
      </c>
      <c r="EY100" s="666">
        <v>0</v>
      </c>
      <c r="EZ100" s="666">
        <v>1</v>
      </c>
      <c r="FA100" s="187" t="s">
        <v>1055</v>
      </c>
      <c r="FC100" s="187">
        <v>0</v>
      </c>
    </row>
    <row r="101" spans="1:159" s="187" customFormat="1" x14ac:dyDescent="0.2">
      <c r="B101" s="429" t="s">
        <v>281</v>
      </c>
      <c r="C101" s="429" t="s">
        <v>280</v>
      </c>
      <c r="D101" s="208">
        <v>18640522</v>
      </c>
      <c r="E101" s="208">
        <v>14912418</v>
      </c>
      <c r="F101" s="208">
        <v>3355294</v>
      </c>
      <c r="G101" s="208">
        <v>372810</v>
      </c>
      <c r="H101" s="208">
        <v>37281044</v>
      </c>
      <c r="I101" s="208">
        <v>0</v>
      </c>
      <c r="J101" s="208">
        <v>0</v>
      </c>
      <c r="K101" s="208">
        <v>18640522</v>
      </c>
      <c r="L101" s="208">
        <v>172565</v>
      </c>
      <c r="M101" s="208">
        <v>172565</v>
      </c>
      <c r="N101" s="208">
        <v>0</v>
      </c>
      <c r="O101" s="208">
        <v>0</v>
      </c>
      <c r="P101" s="208">
        <v>0</v>
      </c>
      <c r="Q101" s="208">
        <v>0</v>
      </c>
      <c r="R101" s="208">
        <v>0</v>
      </c>
      <c r="S101" s="208">
        <v>0</v>
      </c>
      <c r="T101" s="208">
        <v>0</v>
      </c>
      <c r="U101" s="208">
        <v>0</v>
      </c>
      <c r="V101" s="208">
        <v>0</v>
      </c>
      <c r="W101" s="208">
        <v>0</v>
      </c>
      <c r="X101" s="208">
        <v>0</v>
      </c>
      <c r="Y101" s="208">
        <v>0</v>
      </c>
      <c r="Z101" s="208">
        <v>0</v>
      </c>
      <c r="AA101" s="208">
        <v>0</v>
      </c>
      <c r="AB101" s="208">
        <v>0</v>
      </c>
      <c r="AC101" s="208">
        <v>0</v>
      </c>
      <c r="AD101" s="208">
        <v>0</v>
      </c>
      <c r="AE101" s="208">
        <v>0</v>
      </c>
      <c r="AF101" s="208">
        <v>0</v>
      </c>
      <c r="AG101" s="208">
        <v>2019638</v>
      </c>
      <c r="AH101" s="208">
        <v>454417</v>
      </c>
      <c r="AI101" s="208">
        <v>50491</v>
      </c>
      <c r="AJ101" s="208">
        <v>2524546</v>
      </c>
      <c r="AK101" s="208">
        <v>679153</v>
      </c>
      <c r="AL101" s="208">
        <v>543323</v>
      </c>
      <c r="AM101" s="208">
        <v>122248</v>
      </c>
      <c r="AN101" s="208">
        <v>13583</v>
      </c>
      <c r="AO101" s="208">
        <v>1358307</v>
      </c>
      <c r="AP101" s="208">
        <v>-316640</v>
      </c>
      <c r="AQ101" s="208">
        <v>-253312</v>
      </c>
      <c r="AR101" s="208">
        <v>-56995</v>
      </c>
      <c r="AS101" s="208">
        <v>-6333</v>
      </c>
      <c r="AT101" s="208">
        <v>-633280</v>
      </c>
      <c r="AU101" s="208">
        <v>-180339</v>
      </c>
      <c r="AV101" s="208">
        <v>-144271</v>
      </c>
      <c r="AW101" s="208">
        <v>-32461</v>
      </c>
      <c r="AX101" s="208">
        <v>-3607</v>
      </c>
      <c r="AY101" s="208">
        <v>-360678</v>
      </c>
      <c r="AZ101" s="208">
        <v>10422</v>
      </c>
      <c r="BA101" s="208">
        <v>8337</v>
      </c>
      <c r="BB101" s="208">
        <v>1876</v>
      </c>
      <c r="BC101" s="208">
        <v>208</v>
      </c>
      <c r="BD101" s="208">
        <v>20843</v>
      </c>
      <c r="BE101" s="208">
        <v>-55035</v>
      </c>
      <c r="BF101" s="208">
        <v>-44028</v>
      </c>
      <c r="BG101" s="208">
        <v>-9906</v>
      </c>
      <c r="BH101" s="208">
        <v>-1101</v>
      </c>
      <c r="BI101" s="208">
        <v>-110070</v>
      </c>
      <c r="BJ101" s="208">
        <v>-224952</v>
      </c>
      <c r="BK101" s="208">
        <v>-179962</v>
      </c>
      <c r="BL101" s="208">
        <v>-40491</v>
      </c>
      <c r="BM101" s="208">
        <v>-4500</v>
      </c>
      <c r="BN101" s="208">
        <v>-449905</v>
      </c>
      <c r="BO101" s="208">
        <v>-1694981</v>
      </c>
      <c r="BP101" s="208">
        <v>-1355985</v>
      </c>
      <c r="BQ101" s="208">
        <v>-305097</v>
      </c>
      <c r="BR101" s="208">
        <v>-33900</v>
      </c>
      <c r="BS101" s="208">
        <v>-3389963</v>
      </c>
      <c r="BT101" s="208">
        <v>-614759</v>
      </c>
      <c r="BU101" s="208">
        <v>-491808</v>
      </c>
      <c r="BV101" s="208">
        <v>-110657</v>
      </c>
      <c r="BW101" s="208">
        <v>-12295</v>
      </c>
      <c r="BX101" s="208">
        <v>-1229519</v>
      </c>
      <c r="BY101" s="208">
        <v>-1080222</v>
      </c>
      <c r="BZ101" s="208">
        <v>-864178</v>
      </c>
      <c r="CA101" s="208">
        <v>-194440</v>
      </c>
      <c r="CB101" s="208">
        <v>-21604</v>
      </c>
      <c r="CC101" s="208">
        <v>-2160444</v>
      </c>
      <c r="CD101" s="208">
        <v>13157</v>
      </c>
      <c r="CE101" s="208">
        <v>10526</v>
      </c>
      <c r="CF101" s="208">
        <v>2368</v>
      </c>
      <c r="CG101" s="208">
        <v>263</v>
      </c>
      <c r="CH101" s="208">
        <v>26314</v>
      </c>
      <c r="CI101" s="208">
        <v>0</v>
      </c>
      <c r="CJ101" s="208">
        <v>0</v>
      </c>
      <c r="CK101" s="208">
        <v>0</v>
      </c>
      <c r="CL101" s="208">
        <v>0</v>
      </c>
      <c r="CM101" s="208">
        <v>0</v>
      </c>
      <c r="CN101" s="208">
        <v>116220</v>
      </c>
      <c r="CO101" s="208">
        <v>92976</v>
      </c>
      <c r="CP101" s="208">
        <v>20920</v>
      </c>
      <c r="CQ101" s="208">
        <v>2324</v>
      </c>
      <c r="CR101" s="208">
        <v>232440</v>
      </c>
      <c r="CS101" s="208">
        <v>-3209</v>
      </c>
      <c r="CT101" s="208">
        <v>-2566</v>
      </c>
      <c r="CU101" s="208">
        <v>-577</v>
      </c>
      <c r="CV101" s="208">
        <v>-64</v>
      </c>
      <c r="CW101" s="208">
        <v>-6416</v>
      </c>
      <c r="CX101" s="208">
        <v>-1568813</v>
      </c>
      <c r="CY101" s="208">
        <v>-1255049</v>
      </c>
      <c r="CZ101" s="208">
        <v>-282386</v>
      </c>
      <c r="DA101" s="208">
        <v>-31377</v>
      </c>
      <c r="DB101" s="208">
        <v>-3137625</v>
      </c>
      <c r="DC101" s="208">
        <v>-485382</v>
      </c>
      <c r="DD101" s="208">
        <v>-388306</v>
      </c>
      <c r="DE101" s="208">
        <v>-87369</v>
      </c>
      <c r="DF101" s="208">
        <v>-9708</v>
      </c>
      <c r="DG101" s="208">
        <v>-970765</v>
      </c>
      <c r="DH101" s="208">
        <v>-1083431</v>
      </c>
      <c r="DI101" s="208">
        <v>-866744</v>
      </c>
      <c r="DJ101" s="208">
        <v>-195017</v>
      </c>
      <c r="DK101" s="208">
        <v>-21668</v>
      </c>
      <c r="DL101" s="208">
        <v>-2166860</v>
      </c>
      <c r="DM101" s="208">
        <v>514210</v>
      </c>
      <c r="DN101" s="208">
        <v>411369</v>
      </c>
      <c r="DO101" s="208">
        <v>92559</v>
      </c>
      <c r="DP101" s="208">
        <v>10284</v>
      </c>
      <c r="DQ101" s="208">
        <v>1028422</v>
      </c>
      <c r="DR101" s="208">
        <v>-678002</v>
      </c>
      <c r="DS101" s="208">
        <v>-542402</v>
      </c>
      <c r="DT101" s="208">
        <v>-122040</v>
      </c>
      <c r="DU101" s="208">
        <v>-13560</v>
      </c>
      <c r="DV101" s="208">
        <v>-1356004</v>
      </c>
      <c r="DW101" s="208">
        <v>1192212</v>
      </c>
      <c r="DX101" s="208">
        <v>953771</v>
      </c>
      <c r="DY101" s="208">
        <v>214599</v>
      </c>
      <c r="DZ101" s="208">
        <v>23844</v>
      </c>
      <c r="EA101" s="208">
        <v>2384426</v>
      </c>
      <c r="EB101" s="208">
        <v>17184269</v>
      </c>
      <c r="EC101" s="208">
        <v>13747415</v>
      </c>
      <c r="ED101" s="208">
        <v>3093168</v>
      </c>
      <c r="EE101" s="208">
        <v>343685</v>
      </c>
      <c r="EF101" s="208">
        <v>34368537</v>
      </c>
      <c r="EG101" s="208">
        <v>18640522</v>
      </c>
      <c r="EH101" s="208">
        <v>14912418</v>
      </c>
      <c r="EI101" s="208">
        <v>3355294</v>
      </c>
      <c r="EJ101" s="208">
        <v>372810</v>
      </c>
      <c r="EK101" s="208">
        <v>37281044</v>
      </c>
      <c r="EL101" s="208">
        <v>1456253</v>
      </c>
      <c r="EM101" s="208">
        <v>1165003</v>
      </c>
      <c r="EN101" s="208">
        <v>262126</v>
      </c>
      <c r="EO101" s="208">
        <v>29125</v>
      </c>
      <c r="EP101" s="208">
        <v>2912507</v>
      </c>
      <c r="EQ101" s="208">
        <v>2648465</v>
      </c>
      <c r="ER101" s="208">
        <v>2118774</v>
      </c>
      <c r="ES101" s="208">
        <v>476725</v>
      </c>
      <c r="ET101" s="208">
        <v>52969</v>
      </c>
      <c r="EU101" s="208">
        <v>5296933</v>
      </c>
      <c r="EV101" s="666">
        <v>0.5</v>
      </c>
      <c r="EW101" s="666">
        <v>0.4</v>
      </c>
      <c r="EX101" s="666">
        <v>0.09</v>
      </c>
      <c r="EY101" s="666">
        <v>0.01</v>
      </c>
      <c r="EZ101" s="666">
        <v>1</v>
      </c>
      <c r="FA101" s="187" t="s">
        <v>1054</v>
      </c>
      <c r="FC101" s="187">
        <v>0</v>
      </c>
    </row>
    <row r="102" spans="1:159" s="187" customFormat="1" x14ac:dyDescent="0.2">
      <c r="B102" s="429" t="s">
        <v>283</v>
      </c>
      <c r="C102" s="429" t="s">
        <v>282</v>
      </c>
      <c r="D102" s="208">
        <v>0</v>
      </c>
      <c r="E102" s="208">
        <v>8867927</v>
      </c>
      <c r="F102" s="208">
        <v>20691829</v>
      </c>
      <c r="G102" s="208">
        <v>0</v>
      </c>
      <c r="H102" s="208">
        <v>29559756</v>
      </c>
      <c r="I102" s="208">
        <v>0</v>
      </c>
      <c r="J102" s="208">
        <v>0</v>
      </c>
      <c r="K102" s="208">
        <v>0</v>
      </c>
      <c r="L102" s="208">
        <v>85059</v>
      </c>
      <c r="M102" s="208">
        <v>85059</v>
      </c>
      <c r="N102" s="208">
        <v>0</v>
      </c>
      <c r="O102" s="208">
        <v>0</v>
      </c>
      <c r="P102" s="208">
        <v>0</v>
      </c>
      <c r="Q102" s="208">
        <v>0</v>
      </c>
      <c r="R102" s="208">
        <v>0</v>
      </c>
      <c r="S102" s="208">
        <v>0</v>
      </c>
      <c r="T102" s="208">
        <v>0</v>
      </c>
      <c r="U102" s="208">
        <v>0</v>
      </c>
      <c r="V102" s="208">
        <v>0</v>
      </c>
      <c r="W102" s="208">
        <v>0</v>
      </c>
      <c r="X102" s="208">
        <v>0</v>
      </c>
      <c r="Y102" s="208">
        <v>0</v>
      </c>
      <c r="Z102" s="208">
        <v>0</v>
      </c>
      <c r="AA102" s="208">
        <v>0</v>
      </c>
      <c r="AB102" s="208">
        <v>0</v>
      </c>
      <c r="AC102" s="208">
        <v>0</v>
      </c>
      <c r="AD102" s="208">
        <v>0</v>
      </c>
      <c r="AE102" s="208">
        <v>0</v>
      </c>
      <c r="AF102" s="208">
        <v>0</v>
      </c>
      <c r="AG102" s="208">
        <v>683393</v>
      </c>
      <c r="AH102" s="208">
        <v>1594582</v>
      </c>
      <c r="AI102" s="208">
        <v>0</v>
      </c>
      <c r="AJ102" s="208">
        <v>2277975</v>
      </c>
      <c r="AK102" s="208">
        <v>0</v>
      </c>
      <c r="AL102" s="208">
        <v>83614</v>
      </c>
      <c r="AM102" s="208">
        <v>195099</v>
      </c>
      <c r="AN102" s="208">
        <v>0</v>
      </c>
      <c r="AO102" s="208">
        <v>278713</v>
      </c>
      <c r="AP102" s="208">
        <v>0</v>
      </c>
      <c r="AQ102" s="208">
        <v>-41750</v>
      </c>
      <c r="AR102" s="208">
        <v>-97416</v>
      </c>
      <c r="AS102" s="208">
        <v>0</v>
      </c>
      <c r="AT102" s="208">
        <v>-139166</v>
      </c>
      <c r="AU102" s="208">
        <v>0</v>
      </c>
      <c r="AV102" s="208">
        <v>-38828</v>
      </c>
      <c r="AW102" s="208">
        <v>-90599</v>
      </c>
      <c r="AX102" s="208">
        <v>0</v>
      </c>
      <c r="AY102" s="208">
        <v>-129427</v>
      </c>
      <c r="AZ102" s="208">
        <v>-1</v>
      </c>
      <c r="BA102" s="208">
        <v>13202</v>
      </c>
      <c r="BB102" s="208">
        <v>30804</v>
      </c>
      <c r="BC102" s="208">
        <v>0</v>
      </c>
      <c r="BD102" s="208">
        <v>44005</v>
      </c>
      <c r="BE102" s="208">
        <v>0</v>
      </c>
      <c r="BF102" s="208">
        <v>-9767</v>
      </c>
      <c r="BG102" s="208">
        <v>-22791</v>
      </c>
      <c r="BH102" s="208">
        <v>0</v>
      </c>
      <c r="BI102" s="208">
        <v>-32558</v>
      </c>
      <c r="BJ102" s="208">
        <v>-1</v>
      </c>
      <c r="BK102" s="208">
        <v>-35393</v>
      </c>
      <c r="BL102" s="208">
        <v>-82586</v>
      </c>
      <c r="BM102" s="208">
        <v>0</v>
      </c>
      <c r="BN102" s="208">
        <v>-117980</v>
      </c>
      <c r="BO102" s="208">
        <v>0</v>
      </c>
      <c r="BP102" s="208">
        <v>-1710056</v>
      </c>
      <c r="BQ102" s="208">
        <v>-3990130</v>
      </c>
      <c r="BR102" s="208">
        <v>0</v>
      </c>
      <c r="BS102" s="208">
        <v>-5700186</v>
      </c>
      <c r="BT102" s="208">
        <v>0</v>
      </c>
      <c r="BU102" s="208">
        <v>-546476</v>
      </c>
      <c r="BV102" s="208">
        <v>-1275110</v>
      </c>
      <c r="BW102" s="208">
        <v>0</v>
      </c>
      <c r="BX102" s="208">
        <v>-1821586</v>
      </c>
      <c r="BY102" s="208">
        <v>0</v>
      </c>
      <c r="BZ102" s="208">
        <v>-1163580</v>
      </c>
      <c r="CA102" s="208">
        <v>-2715020</v>
      </c>
      <c r="CB102" s="208">
        <v>0</v>
      </c>
      <c r="CC102" s="208">
        <v>-3878600</v>
      </c>
      <c r="CD102" s="208">
        <v>0</v>
      </c>
      <c r="CE102" s="208">
        <v>0</v>
      </c>
      <c r="CF102" s="208">
        <v>0</v>
      </c>
      <c r="CG102" s="208">
        <v>0</v>
      </c>
      <c r="CH102" s="208">
        <v>0</v>
      </c>
      <c r="CI102" s="208">
        <v>0</v>
      </c>
      <c r="CJ102" s="208">
        <v>0</v>
      </c>
      <c r="CK102" s="208">
        <v>0</v>
      </c>
      <c r="CL102" s="208">
        <v>0</v>
      </c>
      <c r="CM102" s="208">
        <v>0</v>
      </c>
      <c r="CN102" s="208">
        <v>0</v>
      </c>
      <c r="CO102" s="208">
        <v>245796</v>
      </c>
      <c r="CP102" s="208">
        <v>573523</v>
      </c>
      <c r="CQ102" s="208">
        <v>0</v>
      </c>
      <c r="CR102" s="208">
        <v>819319</v>
      </c>
      <c r="CS102" s="208">
        <v>0</v>
      </c>
      <c r="CT102" s="208">
        <v>1158798</v>
      </c>
      <c r="CU102" s="208">
        <v>2703863</v>
      </c>
      <c r="CV102" s="208">
        <v>0</v>
      </c>
      <c r="CW102" s="208">
        <v>3862661</v>
      </c>
      <c r="CX102" s="208">
        <v>0</v>
      </c>
      <c r="CY102" s="208">
        <v>-305462</v>
      </c>
      <c r="CZ102" s="208">
        <v>-712744</v>
      </c>
      <c r="DA102" s="208">
        <v>0</v>
      </c>
      <c r="DB102" s="208">
        <v>-1018206</v>
      </c>
      <c r="DC102" s="208">
        <v>0</v>
      </c>
      <c r="DD102" s="208">
        <v>-300680</v>
      </c>
      <c r="DE102" s="208">
        <v>-701587</v>
      </c>
      <c r="DF102" s="208">
        <v>0</v>
      </c>
      <c r="DG102" s="208">
        <v>-1002267</v>
      </c>
      <c r="DH102" s="208">
        <v>0</v>
      </c>
      <c r="DI102" s="208">
        <v>-4782</v>
      </c>
      <c r="DJ102" s="208">
        <v>-11157</v>
      </c>
      <c r="DK102" s="208">
        <v>0</v>
      </c>
      <c r="DL102" s="208">
        <v>-15939</v>
      </c>
      <c r="DM102" s="208">
        <v>-2493601</v>
      </c>
      <c r="DN102" s="208">
        <v>-1994880</v>
      </c>
      <c r="DO102" s="208">
        <v>-498720</v>
      </c>
      <c r="DP102" s="208">
        <v>0</v>
      </c>
      <c r="DQ102" s="208">
        <v>-4987201</v>
      </c>
      <c r="DR102" s="208">
        <v>-225108</v>
      </c>
      <c r="DS102" s="208">
        <v>-180086</v>
      </c>
      <c r="DT102" s="208">
        <v>-45022</v>
      </c>
      <c r="DU102" s="208">
        <v>0</v>
      </c>
      <c r="DV102" s="208">
        <v>-450216</v>
      </c>
      <c r="DW102" s="208">
        <v>-2268493</v>
      </c>
      <c r="DX102" s="208">
        <v>-1814794</v>
      </c>
      <c r="DY102" s="208">
        <v>-453698</v>
      </c>
      <c r="DZ102" s="208">
        <v>0</v>
      </c>
      <c r="EA102" s="208">
        <v>-4536985</v>
      </c>
      <c r="EB102" s="208">
        <v>0</v>
      </c>
      <c r="EC102" s="208">
        <v>7476655</v>
      </c>
      <c r="ED102" s="208">
        <v>17445527</v>
      </c>
      <c r="EE102" s="208">
        <v>0</v>
      </c>
      <c r="EF102" s="208">
        <v>24922182</v>
      </c>
      <c r="EG102" s="208">
        <v>0</v>
      </c>
      <c r="EH102" s="208">
        <v>8867927</v>
      </c>
      <c r="EI102" s="208">
        <v>20691829</v>
      </c>
      <c r="EJ102" s="208">
        <v>0</v>
      </c>
      <c r="EK102" s="208">
        <v>29559756</v>
      </c>
      <c r="EL102" s="208">
        <v>0</v>
      </c>
      <c r="EM102" s="208">
        <v>1391272</v>
      </c>
      <c r="EN102" s="208">
        <v>3246302</v>
      </c>
      <c r="EO102" s="208">
        <v>0</v>
      </c>
      <c r="EP102" s="208">
        <v>4637574</v>
      </c>
      <c r="EQ102" s="208">
        <v>-2268493</v>
      </c>
      <c r="ER102" s="208">
        <v>-423522</v>
      </c>
      <c r="ES102" s="208">
        <v>2792604</v>
      </c>
      <c r="ET102" s="208">
        <v>0</v>
      </c>
      <c r="EU102" s="208">
        <v>100589</v>
      </c>
      <c r="EV102" s="666">
        <v>0</v>
      </c>
      <c r="EW102" s="666">
        <v>0.3</v>
      </c>
      <c r="EX102" s="666">
        <v>0.7</v>
      </c>
      <c r="EY102" s="666">
        <v>0</v>
      </c>
      <c r="EZ102" s="666">
        <v>1</v>
      </c>
      <c r="FA102" s="187" t="s">
        <v>1054</v>
      </c>
      <c r="FC102" s="187">
        <v>0</v>
      </c>
    </row>
    <row r="103" spans="1:159" s="187" customFormat="1" x14ac:dyDescent="0.2">
      <c r="B103" s="429" t="s">
        <v>285</v>
      </c>
      <c r="C103" s="429" t="s">
        <v>284</v>
      </c>
      <c r="D103" s="208">
        <v>0</v>
      </c>
      <c r="E103" s="208">
        <v>12706882</v>
      </c>
      <c r="F103" s="208">
        <v>12452744</v>
      </c>
      <c r="G103" s="208">
        <v>254138</v>
      </c>
      <c r="H103" s="208">
        <v>25413764</v>
      </c>
      <c r="I103" s="208">
        <v>0</v>
      </c>
      <c r="J103" s="208">
        <v>0</v>
      </c>
      <c r="K103" s="208">
        <v>0</v>
      </c>
      <c r="L103" s="208">
        <v>134049</v>
      </c>
      <c r="M103" s="208">
        <v>134049</v>
      </c>
      <c r="N103" s="208">
        <v>0</v>
      </c>
      <c r="O103" s="208">
        <v>0</v>
      </c>
      <c r="P103" s="208">
        <v>0</v>
      </c>
      <c r="Q103" s="208">
        <v>0</v>
      </c>
      <c r="R103" s="208">
        <v>0</v>
      </c>
      <c r="S103" s="208">
        <v>0</v>
      </c>
      <c r="T103" s="208">
        <v>0</v>
      </c>
      <c r="U103" s="208">
        <v>0</v>
      </c>
      <c r="V103" s="208">
        <v>0</v>
      </c>
      <c r="W103" s="208">
        <v>0</v>
      </c>
      <c r="X103" s="208">
        <v>0</v>
      </c>
      <c r="Y103" s="208">
        <v>0</v>
      </c>
      <c r="Z103" s="208">
        <v>0</v>
      </c>
      <c r="AA103" s="208">
        <v>0</v>
      </c>
      <c r="AB103" s="208">
        <v>0</v>
      </c>
      <c r="AC103" s="208">
        <v>0</v>
      </c>
      <c r="AD103" s="208">
        <v>0</v>
      </c>
      <c r="AE103" s="208">
        <v>0</v>
      </c>
      <c r="AF103" s="208">
        <v>0</v>
      </c>
      <c r="AG103" s="208">
        <v>1843982</v>
      </c>
      <c r="AH103" s="208">
        <v>1807103</v>
      </c>
      <c r="AI103" s="208">
        <v>36879</v>
      </c>
      <c r="AJ103" s="208">
        <v>3687964</v>
      </c>
      <c r="AK103" s="208">
        <v>0</v>
      </c>
      <c r="AL103" s="208">
        <v>454064</v>
      </c>
      <c r="AM103" s="208">
        <v>444982</v>
      </c>
      <c r="AN103" s="208">
        <v>9081</v>
      </c>
      <c r="AO103" s="208">
        <v>908127</v>
      </c>
      <c r="AP103" s="208">
        <v>0</v>
      </c>
      <c r="AQ103" s="208">
        <v>-245402</v>
      </c>
      <c r="AR103" s="208">
        <v>-240493</v>
      </c>
      <c r="AS103" s="208">
        <v>-4908</v>
      </c>
      <c r="AT103" s="208">
        <v>-490803</v>
      </c>
      <c r="AU103" s="208">
        <v>0</v>
      </c>
      <c r="AV103" s="208">
        <v>-267617</v>
      </c>
      <c r="AW103" s="208">
        <v>-262264</v>
      </c>
      <c r="AX103" s="208">
        <v>-5352</v>
      </c>
      <c r="AY103" s="208">
        <v>-535233</v>
      </c>
      <c r="AZ103" s="208">
        <v>-1</v>
      </c>
      <c r="BA103" s="208">
        <v>126333</v>
      </c>
      <c r="BB103" s="208">
        <v>123806</v>
      </c>
      <c r="BC103" s="208">
        <v>2527</v>
      </c>
      <c r="BD103" s="208">
        <v>252665</v>
      </c>
      <c r="BE103" s="208">
        <v>0</v>
      </c>
      <c r="BF103" s="208">
        <v>-85560</v>
      </c>
      <c r="BG103" s="208">
        <v>-83848</v>
      </c>
      <c r="BH103" s="208">
        <v>-1711</v>
      </c>
      <c r="BI103" s="208">
        <v>-171119</v>
      </c>
      <c r="BJ103" s="208">
        <v>-1</v>
      </c>
      <c r="BK103" s="208">
        <v>-226844</v>
      </c>
      <c r="BL103" s="208">
        <v>-222306</v>
      </c>
      <c r="BM103" s="208">
        <v>-4536</v>
      </c>
      <c r="BN103" s="208">
        <v>-453687</v>
      </c>
      <c r="BO103" s="208">
        <v>0</v>
      </c>
      <c r="BP103" s="208">
        <v>-1198000</v>
      </c>
      <c r="BQ103" s="208">
        <v>-1174040</v>
      </c>
      <c r="BR103" s="208">
        <v>-23960</v>
      </c>
      <c r="BS103" s="208">
        <v>-2396000</v>
      </c>
      <c r="BT103" s="208">
        <v>0</v>
      </c>
      <c r="BU103" s="208">
        <v>-608000</v>
      </c>
      <c r="BV103" s="208">
        <v>-595840</v>
      </c>
      <c r="BW103" s="208">
        <v>-12160</v>
      </c>
      <c r="BX103" s="208">
        <v>-1216000</v>
      </c>
      <c r="BY103" s="208">
        <v>0</v>
      </c>
      <c r="BZ103" s="208">
        <v>-590000</v>
      </c>
      <c r="CA103" s="208">
        <v>-578200</v>
      </c>
      <c r="CB103" s="208">
        <v>-11800</v>
      </c>
      <c r="CC103" s="208">
        <v>-1180000</v>
      </c>
      <c r="CD103" s="208">
        <v>0</v>
      </c>
      <c r="CE103" s="208">
        <v>98714</v>
      </c>
      <c r="CF103" s="208">
        <v>96740</v>
      </c>
      <c r="CG103" s="208">
        <v>1974</v>
      </c>
      <c r="CH103" s="208">
        <v>197428</v>
      </c>
      <c r="CI103" s="208">
        <v>0</v>
      </c>
      <c r="CJ103" s="208">
        <v>19203</v>
      </c>
      <c r="CK103" s="208">
        <v>18819</v>
      </c>
      <c r="CL103" s="208">
        <v>384</v>
      </c>
      <c r="CM103" s="208">
        <v>38406</v>
      </c>
      <c r="CN103" s="208">
        <v>0</v>
      </c>
      <c r="CO103" s="208">
        <v>-7564</v>
      </c>
      <c r="CP103" s="208">
        <v>-7413</v>
      </c>
      <c r="CQ103" s="208">
        <v>-151</v>
      </c>
      <c r="CR103" s="208">
        <v>-15128</v>
      </c>
      <c r="CS103" s="208">
        <v>0</v>
      </c>
      <c r="CT103" s="208">
        <v>-157953</v>
      </c>
      <c r="CU103" s="208">
        <v>-154794</v>
      </c>
      <c r="CV103" s="208">
        <v>-3159</v>
      </c>
      <c r="CW103" s="208">
        <v>-315906</v>
      </c>
      <c r="CX103" s="208">
        <v>0</v>
      </c>
      <c r="CY103" s="208">
        <v>-1245600</v>
      </c>
      <c r="CZ103" s="208">
        <v>-1220688</v>
      </c>
      <c r="DA103" s="208">
        <v>-24912</v>
      </c>
      <c r="DB103" s="208">
        <v>-2491200</v>
      </c>
      <c r="DC103" s="208">
        <v>0</v>
      </c>
      <c r="DD103" s="208">
        <v>-516850</v>
      </c>
      <c r="DE103" s="208">
        <v>-506513</v>
      </c>
      <c r="DF103" s="208">
        <v>-10337</v>
      </c>
      <c r="DG103" s="208">
        <v>-1033700</v>
      </c>
      <c r="DH103" s="208">
        <v>0</v>
      </c>
      <c r="DI103" s="208">
        <v>-728750</v>
      </c>
      <c r="DJ103" s="208">
        <v>-714175</v>
      </c>
      <c r="DK103" s="208">
        <v>-14575</v>
      </c>
      <c r="DL103" s="208">
        <v>-1457500</v>
      </c>
      <c r="DM103" s="208">
        <v>-1677879</v>
      </c>
      <c r="DN103" s="208">
        <v>-1342303</v>
      </c>
      <c r="DO103" s="208">
        <v>-302018</v>
      </c>
      <c r="DP103" s="208">
        <v>-33558</v>
      </c>
      <c r="DQ103" s="208">
        <v>-3355758</v>
      </c>
      <c r="DR103" s="208">
        <v>-1514434</v>
      </c>
      <c r="DS103" s="208">
        <v>-1211547</v>
      </c>
      <c r="DT103" s="208">
        <v>-272598</v>
      </c>
      <c r="DU103" s="208">
        <v>-30289</v>
      </c>
      <c r="DV103" s="208">
        <v>-3028868</v>
      </c>
      <c r="DW103" s="208">
        <v>-163445</v>
      </c>
      <c r="DX103" s="208">
        <v>-130756</v>
      </c>
      <c r="DY103" s="208">
        <v>-29420</v>
      </c>
      <c r="DZ103" s="208">
        <v>-3269</v>
      </c>
      <c r="EA103" s="208">
        <v>-326890</v>
      </c>
      <c r="EB103" s="208">
        <v>0</v>
      </c>
      <c r="EC103" s="208">
        <v>12652287</v>
      </c>
      <c r="ED103" s="208">
        <v>12399242</v>
      </c>
      <c r="EE103" s="208">
        <v>253046</v>
      </c>
      <c r="EF103" s="208">
        <v>25304575</v>
      </c>
      <c r="EG103" s="208">
        <v>0</v>
      </c>
      <c r="EH103" s="208">
        <v>12706882</v>
      </c>
      <c r="EI103" s="208">
        <v>12452744</v>
      </c>
      <c r="EJ103" s="208">
        <v>254138</v>
      </c>
      <c r="EK103" s="208">
        <v>25413764</v>
      </c>
      <c r="EL103" s="208">
        <v>0</v>
      </c>
      <c r="EM103" s="208">
        <v>54595</v>
      </c>
      <c r="EN103" s="208">
        <v>53502</v>
      </c>
      <c r="EO103" s="208">
        <v>1092</v>
      </c>
      <c r="EP103" s="208">
        <v>109189</v>
      </c>
      <c r="EQ103" s="208">
        <v>-163445</v>
      </c>
      <c r="ER103" s="208">
        <v>-76161</v>
      </c>
      <c r="ES103" s="208">
        <v>24082</v>
      </c>
      <c r="ET103" s="208">
        <v>-2177</v>
      </c>
      <c r="EU103" s="208">
        <v>-217701</v>
      </c>
      <c r="EV103" s="666">
        <v>0</v>
      </c>
      <c r="EW103" s="666">
        <v>0.5</v>
      </c>
      <c r="EX103" s="666">
        <v>0.49</v>
      </c>
      <c r="EY103" s="666">
        <v>0.01</v>
      </c>
      <c r="EZ103" s="666">
        <v>1</v>
      </c>
      <c r="FA103" s="187" t="s">
        <v>1054</v>
      </c>
      <c r="FC103" s="187">
        <v>0</v>
      </c>
    </row>
    <row r="104" spans="1:159" s="187" customFormat="1" x14ac:dyDescent="0.2">
      <c r="B104" s="429" t="s">
        <v>287</v>
      </c>
      <c r="C104" s="429" t="s">
        <v>286</v>
      </c>
      <c r="D104" s="208">
        <v>0</v>
      </c>
      <c r="E104" s="208">
        <v>30594116</v>
      </c>
      <c r="F104" s="208">
        <v>45126322</v>
      </c>
      <c r="G104" s="208">
        <v>764853</v>
      </c>
      <c r="H104" s="208">
        <v>76485291</v>
      </c>
      <c r="I104" s="208">
        <v>0</v>
      </c>
      <c r="J104" s="208">
        <v>0</v>
      </c>
      <c r="K104" s="208">
        <v>0</v>
      </c>
      <c r="L104" s="208">
        <v>216303</v>
      </c>
      <c r="M104" s="208">
        <v>216303</v>
      </c>
      <c r="N104" s="208">
        <v>0</v>
      </c>
      <c r="O104" s="208">
        <v>0</v>
      </c>
      <c r="P104" s="208">
        <v>0</v>
      </c>
      <c r="Q104" s="208">
        <v>0</v>
      </c>
      <c r="R104" s="208">
        <v>0</v>
      </c>
      <c r="S104" s="208">
        <v>0</v>
      </c>
      <c r="T104" s="208">
        <v>0</v>
      </c>
      <c r="U104" s="208">
        <v>0</v>
      </c>
      <c r="V104" s="208">
        <v>0</v>
      </c>
      <c r="W104" s="208">
        <v>0</v>
      </c>
      <c r="X104" s="208">
        <v>0</v>
      </c>
      <c r="Y104" s="208">
        <v>0</v>
      </c>
      <c r="Z104" s="208">
        <v>0</v>
      </c>
      <c r="AA104" s="208">
        <v>0</v>
      </c>
      <c r="AB104" s="208">
        <v>0</v>
      </c>
      <c r="AC104" s="208">
        <v>0</v>
      </c>
      <c r="AD104" s="208">
        <v>0</v>
      </c>
      <c r="AE104" s="208">
        <v>0</v>
      </c>
      <c r="AF104" s="208">
        <v>0</v>
      </c>
      <c r="AG104" s="208">
        <v>2064556</v>
      </c>
      <c r="AH104" s="208">
        <v>3045221</v>
      </c>
      <c r="AI104" s="208">
        <v>51615</v>
      </c>
      <c r="AJ104" s="208">
        <v>5161392</v>
      </c>
      <c r="AK104" s="208">
        <v>0</v>
      </c>
      <c r="AL104" s="208">
        <v>1170279</v>
      </c>
      <c r="AM104" s="208">
        <v>1726162</v>
      </c>
      <c r="AN104" s="208">
        <v>29257</v>
      </c>
      <c r="AO104" s="208">
        <v>2925698</v>
      </c>
      <c r="AP104" s="208">
        <v>0</v>
      </c>
      <c r="AQ104" s="208">
        <v>-529351</v>
      </c>
      <c r="AR104" s="208">
        <v>-780793</v>
      </c>
      <c r="AS104" s="208">
        <v>-13234</v>
      </c>
      <c r="AT104" s="208">
        <v>-1323378</v>
      </c>
      <c r="AU104" s="208">
        <v>0</v>
      </c>
      <c r="AV104" s="208">
        <v>-228000</v>
      </c>
      <c r="AW104" s="208">
        <v>-336300</v>
      </c>
      <c r="AX104" s="208">
        <v>-5700</v>
      </c>
      <c r="AY104" s="208">
        <v>-570000</v>
      </c>
      <c r="AZ104" s="208">
        <v>0</v>
      </c>
      <c r="BA104" s="208">
        <v>0</v>
      </c>
      <c r="BB104" s="208">
        <v>0</v>
      </c>
      <c r="BC104" s="208">
        <v>0</v>
      </c>
      <c r="BD104" s="208">
        <v>0</v>
      </c>
      <c r="BE104" s="208">
        <v>0</v>
      </c>
      <c r="BF104" s="208">
        <v>0</v>
      </c>
      <c r="BG104" s="208">
        <v>0</v>
      </c>
      <c r="BH104" s="208">
        <v>0</v>
      </c>
      <c r="BI104" s="208">
        <v>0</v>
      </c>
      <c r="BJ104" s="208">
        <v>0</v>
      </c>
      <c r="BK104" s="208">
        <v>-228000</v>
      </c>
      <c r="BL104" s="208">
        <v>-336300</v>
      </c>
      <c r="BM104" s="208">
        <v>-5700</v>
      </c>
      <c r="BN104" s="208">
        <v>-570000</v>
      </c>
      <c r="BO104" s="208">
        <v>0</v>
      </c>
      <c r="BP104" s="208">
        <v>-1893447</v>
      </c>
      <c r="BQ104" s="208">
        <v>-2792834</v>
      </c>
      <c r="BR104" s="208">
        <v>-47336</v>
      </c>
      <c r="BS104" s="208">
        <v>-4733617</v>
      </c>
      <c r="BT104" s="208">
        <v>0</v>
      </c>
      <c r="BU104" s="208">
        <v>-427837</v>
      </c>
      <c r="BV104" s="208">
        <v>-631060</v>
      </c>
      <c r="BW104" s="208">
        <v>-10696</v>
      </c>
      <c r="BX104" s="208">
        <v>-1069593</v>
      </c>
      <c r="BY104" s="208">
        <v>0</v>
      </c>
      <c r="BZ104" s="208">
        <v>-1465610</v>
      </c>
      <c r="CA104" s="208">
        <v>-2161774</v>
      </c>
      <c r="CB104" s="208">
        <v>-36640</v>
      </c>
      <c r="CC104" s="208">
        <v>-3664024</v>
      </c>
      <c r="CD104" s="208">
        <v>0</v>
      </c>
      <c r="CE104" s="208">
        <v>0</v>
      </c>
      <c r="CF104" s="208">
        <v>0</v>
      </c>
      <c r="CG104" s="208">
        <v>0</v>
      </c>
      <c r="CH104" s="208">
        <v>0</v>
      </c>
      <c r="CI104" s="208">
        <v>0</v>
      </c>
      <c r="CJ104" s="208">
        <v>0</v>
      </c>
      <c r="CK104" s="208">
        <v>0</v>
      </c>
      <c r="CL104" s="208">
        <v>0</v>
      </c>
      <c r="CM104" s="208">
        <v>0</v>
      </c>
      <c r="CN104" s="208">
        <v>0</v>
      </c>
      <c r="CO104" s="208">
        <v>19968</v>
      </c>
      <c r="CP104" s="208">
        <v>29452</v>
      </c>
      <c r="CQ104" s="208">
        <v>499</v>
      </c>
      <c r="CR104" s="208">
        <v>49919</v>
      </c>
      <c r="CS104" s="208">
        <v>0</v>
      </c>
      <c r="CT104" s="208">
        <v>-1200000</v>
      </c>
      <c r="CU104" s="208">
        <v>-1770000</v>
      </c>
      <c r="CV104" s="208">
        <v>-30000</v>
      </c>
      <c r="CW104" s="208">
        <v>-3000000</v>
      </c>
      <c r="CX104" s="208">
        <v>0</v>
      </c>
      <c r="CY104" s="208">
        <v>-3073479</v>
      </c>
      <c r="CZ104" s="208">
        <v>-4533382</v>
      </c>
      <c r="DA104" s="208">
        <v>-76837</v>
      </c>
      <c r="DB104" s="208">
        <v>-7683698</v>
      </c>
      <c r="DC104" s="208">
        <v>0</v>
      </c>
      <c r="DD104" s="208">
        <v>-407869</v>
      </c>
      <c r="DE104" s="208">
        <v>-601608</v>
      </c>
      <c r="DF104" s="208">
        <v>-10197</v>
      </c>
      <c r="DG104" s="208">
        <v>-1019674</v>
      </c>
      <c r="DH104" s="208">
        <v>0</v>
      </c>
      <c r="DI104" s="208">
        <v>-2665610</v>
      </c>
      <c r="DJ104" s="208">
        <v>-3931774</v>
      </c>
      <c r="DK104" s="208">
        <v>-66640</v>
      </c>
      <c r="DL104" s="208">
        <v>-6664024</v>
      </c>
      <c r="DM104" s="208">
        <v>-2103559</v>
      </c>
      <c r="DN104" s="208">
        <v>-1682847</v>
      </c>
      <c r="DO104" s="208">
        <v>-378640</v>
      </c>
      <c r="DP104" s="208">
        <v>-42071</v>
      </c>
      <c r="DQ104" s="208">
        <v>-4207117</v>
      </c>
      <c r="DR104" s="208">
        <v>-987741</v>
      </c>
      <c r="DS104" s="208">
        <v>-790194</v>
      </c>
      <c r="DT104" s="208">
        <v>-177794</v>
      </c>
      <c r="DU104" s="208">
        <v>-19755</v>
      </c>
      <c r="DV104" s="208">
        <v>-1975484</v>
      </c>
      <c r="DW104" s="208">
        <v>-1115818</v>
      </c>
      <c r="DX104" s="208">
        <v>-892653</v>
      </c>
      <c r="DY104" s="208">
        <v>-200846</v>
      </c>
      <c r="DZ104" s="208">
        <v>-22316</v>
      </c>
      <c r="EA104" s="208">
        <v>-2231633</v>
      </c>
      <c r="EB104" s="208">
        <v>0</v>
      </c>
      <c r="EC104" s="208">
        <v>29985600</v>
      </c>
      <c r="ED104" s="208">
        <v>44228760</v>
      </c>
      <c r="EE104" s="208">
        <v>749640</v>
      </c>
      <c r="EF104" s="208">
        <v>74964000</v>
      </c>
      <c r="EG104" s="208">
        <v>0</v>
      </c>
      <c r="EH104" s="208">
        <v>30594116</v>
      </c>
      <c r="EI104" s="208">
        <v>45126322</v>
      </c>
      <c r="EJ104" s="208">
        <v>764853</v>
      </c>
      <c r="EK104" s="208">
        <v>76485291</v>
      </c>
      <c r="EL104" s="208">
        <v>0</v>
      </c>
      <c r="EM104" s="208">
        <v>608516</v>
      </c>
      <c r="EN104" s="208">
        <v>897562</v>
      </c>
      <c r="EO104" s="208">
        <v>15213</v>
      </c>
      <c r="EP104" s="208">
        <v>1521291</v>
      </c>
      <c r="EQ104" s="208">
        <v>-1115818</v>
      </c>
      <c r="ER104" s="208">
        <v>-284137</v>
      </c>
      <c r="ES104" s="208">
        <v>696716</v>
      </c>
      <c r="ET104" s="208">
        <v>-7103</v>
      </c>
      <c r="EU104" s="208">
        <v>-710342</v>
      </c>
      <c r="EV104" s="666">
        <v>0</v>
      </c>
      <c r="EW104" s="666">
        <v>0.4</v>
      </c>
      <c r="EX104" s="666">
        <v>0.59</v>
      </c>
      <c r="EY104" s="666">
        <v>0.01</v>
      </c>
      <c r="EZ104" s="666">
        <v>1</v>
      </c>
      <c r="FA104" s="187" t="s">
        <v>1054</v>
      </c>
      <c r="FC104" s="187">
        <v>0</v>
      </c>
    </row>
    <row r="105" spans="1:159" s="187" customFormat="1" x14ac:dyDescent="0.2">
      <c r="B105" s="429" t="s">
        <v>289</v>
      </c>
      <c r="C105" s="429" t="s">
        <v>288</v>
      </c>
      <c r="D105" s="208">
        <v>19609512</v>
      </c>
      <c r="E105" s="208">
        <v>15687609</v>
      </c>
      <c r="F105" s="208">
        <v>3529712</v>
      </c>
      <c r="G105" s="208">
        <v>392190</v>
      </c>
      <c r="H105" s="208">
        <v>39219023</v>
      </c>
      <c r="I105" s="208">
        <v>331562</v>
      </c>
      <c r="J105" s="208">
        <v>331562</v>
      </c>
      <c r="K105" s="208">
        <v>19277950</v>
      </c>
      <c r="L105" s="208">
        <v>137639</v>
      </c>
      <c r="M105" s="208">
        <v>137639</v>
      </c>
      <c r="N105" s="208">
        <v>104481</v>
      </c>
      <c r="O105" s="208">
        <v>104481</v>
      </c>
      <c r="P105" s="208">
        <v>79953</v>
      </c>
      <c r="Q105" s="208">
        <v>0</v>
      </c>
      <c r="R105" s="208">
        <v>79953</v>
      </c>
      <c r="S105" s="208">
        <v>0</v>
      </c>
      <c r="T105" s="208">
        <v>0</v>
      </c>
      <c r="U105" s="208">
        <v>0</v>
      </c>
      <c r="V105" s="208">
        <v>0</v>
      </c>
      <c r="W105" s="208">
        <v>331562.07083333336</v>
      </c>
      <c r="X105" s="208">
        <v>0</v>
      </c>
      <c r="Y105" s="208">
        <v>0</v>
      </c>
      <c r="Z105" s="208">
        <v>331562.07083333336</v>
      </c>
      <c r="AA105" s="208">
        <v>0</v>
      </c>
      <c r="AB105" s="208">
        <v>0</v>
      </c>
      <c r="AC105" s="208">
        <v>0</v>
      </c>
      <c r="AD105" s="208">
        <v>0</v>
      </c>
      <c r="AE105" s="208">
        <v>0</v>
      </c>
      <c r="AF105" s="208">
        <v>0</v>
      </c>
      <c r="AG105" s="208">
        <v>1452594</v>
      </c>
      <c r="AH105" s="208">
        <v>320366</v>
      </c>
      <c r="AI105" s="208">
        <v>35597</v>
      </c>
      <c r="AJ105" s="208">
        <v>1808557</v>
      </c>
      <c r="AK105" s="208">
        <v>377676</v>
      </c>
      <c r="AL105" s="208">
        <v>302141</v>
      </c>
      <c r="AM105" s="208">
        <v>67982</v>
      </c>
      <c r="AN105" s="208">
        <v>7554</v>
      </c>
      <c r="AO105" s="208">
        <v>755353</v>
      </c>
      <c r="AP105" s="208">
        <v>-505590</v>
      </c>
      <c r="AQ105" s="208">
        <v>-404472</v>
      </c>
      <c r="AR105" s="208">
        <v>-91006</v>
      </c>
      <c r="AS105" s="208">
        <v>-10112</v>
      </c>
      <c r="AT105" s="208">
        <v>-1011180</v>
      </c>
      <c r="AU105" s="208">
        <v>-307416.49</v>
      </c>
      <c r="AV105" s="208">
        <v>-245933</v>
      </c>
      <c r="AW105" s="208">
        <v>-55335</v>
      </c>
      <c r="AX105" s="208">
        <v>-6148</v>
      </c>
      <c r="AY105" s="208">
        <v>-614832.49</v>
      </c>
      <c r="AZ105" s="208">
        <v>51746</v>
      </c>
      <c r="BA105" s="208">
        <v>41396</v>
      </c>
      <c r="BB105" s="208">
        <v>9314</v>
      </c>
      <c r="BC105" s="208">
        <v>1035</v>
      </c>
      <c r="BD105" s="208">
        <v>103491</v>
      </c>
      <c r="BE105" s="208">
        <v>77598</v>
      </c>
      <c r="BF105" s="208">
        <v>62079</v>
      </c>
      <c r="BG105" s="208">
        <v>13968</v>
      </c>
      <c r="BH105" s="208">
        <v>1552</v>
      </c>
      <c r="BI105" s="208">
        <v>155197</v>
      </c>
      <c r="BJ105" s="208">
        <v>-178072.49</v>
      </c>
      <c r="BK105" s="208">
        <v>-142458</v>
      </c>
      <c r="BL105" s="208">
        <v>-32053</v>
      </c>
      <c r="BM105" s="208">
        <v>-3561</v>
      </c>
      <c r="BN105" s="208">
        <v>-356144.49</v>
      </c>
      <c r="BO105" s="208">
        <v>-2018192</v>
      </c>
      <c r="BP105" s="208">
        <v>-1614554</v>
      </c>
      <c r="BQ105" s="208">
        <v>-363275</v>
      </c>
      <c r="BR105" s="208">
        <v>-40364</v>
      </c>
      <c r="BS105" s="208">
        <v>-4036385</v>
      </c>
      <c r="BT105" s="208">
        <v>-1651082</v>
      </c>
      <c r="BU105" s="208">
        <v>-1320866</v>
      </c>
      <c r="BV105" s="208">
        <v>-297195</v>
      </c>
      <c r="BW105" s="208">
        <v>-33022</v>
      </c>
      <c r="BX105" s="208">
        <v>-3302165</v>
      </c>
      <c r="BY105" s="208">
        <v>-367110</v>
      </c>
      <c r="BZ105" s="208">
        <v>-293688</v>
      </c>
      <c r="CA105" s="208">
        <v>-66080</v>
      </c>
      <c r="CB105" s="208">
        <v>-7342</v>
      </c>
      <c r="CC105" s="208">
        <v>-734220</v>
      </c>
      <c r="CD105" s="208">
        <v>38521</v>
      </c>
      <c r="CE105" s="208">
        <v>30817</v>
      </c>
      <c r="CF105" s="208">
        <v>6934</v>
      </c>
      <c r="CG105" s="208">
        <v>770</v>
      </c>
      <c r="CH105" s="208">
        <v>77042</v>
      </c>
      <c r="CI105" s="208">
        <v>51919</v>
      </c>
      <c r="CJ105" s="208">
        <v>41535</v>
      </c>
      <c r="CK105" s="208">
        <v>9345</v>
      </c>
      <c r="CL105" s="208">
        <v>1038</v>
      </c>
      <c r="CM105" s="208">
        <v>103837</v>
      </c>
      <c r="CN105" s="208">
        <v>-449192</v>
      </c>
      <c r="CO105" s="208">
        <v>-359353</v>
      </c>
      <c r="CP105" s="208">
        <v>-80854</v>
      </c>
      <c r="CQ105" s="208">
        <v>-8984</v>
      </c>
      <c r="CR105" s="208">
        <v>-898383</v>
      </c>
      <c r="CS105" s="208">
        <v>-682772</v>
      </c>
      <c r="CT105" s="208">
        <v>-546217</v>
      </c>
      <c r="CU105" s="208">
        <v>-122899</v>
      </c>
      <c r="CV105" s="208">
        <v>-13655</v>
      </c>
      <c r="CW105" s="208">
        <v>-1365543</v>
      </c>
      <c r="CX105" s="208">
        <v>-3059716</v>
      </c>
      <c r="CY105" s="208">
        <v>-2447772</v>
      </c>
      <c r="CZ105" s="208">
        <v>-550749</v>
      </c>
      <c r="DA105" s="208">
        <v>-61195</v>
      </c>
      <c r="DB105" s="208">
        <v>-6119432</v>
      </c>
      <c r="DC105" s="208">
        <v>-2061753</v>
      </c>
      <c r="DD105" s="208">
        <v>-1649402</v>
      </c>
      <c r="DE105" s="208">
        <v>-371115</v>
      </c>
      <c r="DF105" s="208">
        <v>-41236</v>
      </c>
      <c r="DG105" s="208">
        <v>-4123506</v>
      </c>
      <c r="DH105" s="208">
        <v>-997963</v>
      </c>
      <c r="DI105" s="208">
        <v>-798370</v>
      </c>
      <c r="DJ105" s="208">
        <v>-179634</v>
      </c>
      <c r="DK105" s="208">
        <v>-19959</v>
      </c>
      <c r="DL105" s="208">
        <v>-1995926</v>
      </c>
      <c r="DM105" s="208">
        <v>1679932</v>
      </c>
      <c r="DN105" s="208">
        <v>1343946</v>
      </c>
      <c r="DO105" s="208">
        <v>302390</v>
      </c>
      <c r="DP105" s="208">
        <v>33598</v>
      </c>
      <c r="DQ105" s="208">
        <v>3359866</v>
      </c>
      <c r="DR105" s="208">
        <v>2049436</v>
      </c>
      <c r="DS105" s="208">
        <v>1639550</v>
      </c>
      <c r="DT105" s="208">
        <v>368899</v>
      </c>
      <c r="DU105" s="208">
        <v>40989</v>
      </c>
      <c r="DV105" s="208">
        <v>4098874</v>
      </c>
      <c r="DW105" s="208">
        <v>-369504</v>
      </c>
      <c r="DX105" s="208">
        <v>-295604</v>
      </c>
      <c r="DY105" s="208">
        <v>-66509</v>
      </c>
      <c r="DZ105" s="208">
        <v>-7391</v>
      </c>
      <c r="EA105" s="208">
        <v>-739008</v>
      </c>
      <c r="EB105" s="208">
        <v>18589292</v>
      </c>
      <c r="EC105" s="208">
        <v>14871434</v>
      </c>
      <c r="ED105" s="208">
        <v>3346073</v>
      </c>
      <c r="EE105" s="208">
        <v>371786</v>
      </c>
      <c r="EF105" s="208">
        <v>37178585</v>
      </c>
      <c r="EG105" s="208">
        <v>19609512</v>
      </c>
      <c r="EH105" s="208">
        <v>15687609</v>
      </c>
      <c r="EI105" s="208">
        <v>3529712</v>
      </c>
      <c r="EJ105" s="208">
        <v>392190</v>
      </c>
      <c r="EK105" s="208">
        <v>39219023</v>
      </c>
      <c r="EL105" s="208">
        <v>1020220</v>
      </c>
      <c r="EM105" s="208">
        <v>816175</v>
      </c>
      <c r="EN105" s="208">
        <v>183639</v>
      </c>
      <c r="EO105" s="208">
        <v>20404</v>
      </c>
      <c r="EP105" s="208">
        <v>2040438</v>
      </c>
      <c r="EQ105" s="208">
        <v>650716</v>
      </c>
      <c r="ER105" s="208">
        <v>520571</v>
      </c>
      <c r="ES105" s="208">
        <v>117130</v>
      </c>
      <c r="ET105" s="208">
        <v>13013</v>
      </c>
      <c r="EU105" s="208">
        <v>1301430</v>
      </c>
      <c r="EV105" s="666">
        <v>0.5</v>
      </c>
      <c r="EW105" s="666">
        <v>0.4</v>
      </c>
      <c r="EX105" s="666">
        <v>0.09</v>
      </c>
      <c r="EY105" s="666">
        <v>0.01</v>
      </c>
      <c r="EZ105" s="666">
        <v>1</v>
      </c>
      <c r="FA105" s="187" t="s">
        <v>1054</v>
      </c>
      <c r="FC105" s="187">
        <v>0</v>
      </c>
    </row>
    <row r="106" spans="1:159" s="187" customFormat="1" x14ac:dyDescent="0.2">
      <c r="B106" s="429" t="s">
        <v>291</v>
      </c>
      <c r="C106" s="429" t="s">
        <v>290</v>
      </c>
      <c r="D106" s="208">
        <v>11490243.890000001</v>
      </c>
      <c r="E106" s="208">
        <v>9192196</v>
      </c>
      <c r="F106" s="208">
        <v>2068244</v>
      </c>
      <c r="G106" s="208">
        <v>229805</v>
      </c>
      <c r="H106" s="208">
        <v>22980488.890000001</v>
      </c>
      <c r="I106" s="208">
        <v>0</v>
      </c>
      <c r="J106" s="208">
        <v>0</v>
      </c>
      <c r="K106" s="208">
        <v>11490243.890000001</v>
      </c>
      <c r="L106" s="208">
        <v>122761</v>
      </c>
      <c r="M106" s="208">
        <v>122761</v>
      </c>
      <c r="N106" s="208">
        <v>0</v>
      </c>
      <c r="O106" s="208">
        <v>0</v>
      </c>
      <c r="P106" s="208">
        <v>302408</v>
      </c>
      <c r="Q106" s="208">
        <v>0</v>
      </c>
      <c r="R106" s="208">
        <v>302408</v>
      </c>
      <c r="S106" s="208">
        <v>0</v>
      </c>
      <c r="T106" s="208">
        <v>0</v>
      </c>
      <c r="U106" s="208">
        <v>0</v>
      </c>
      <c r="V106" s="208">
        <v>0</v>
      </c>
      <c r="W106" s="208">
        <v>0</v>
      </c>
      <c r="X106" s="208">
        <v>0</v>
      </c>
      <c r="Y106" s="208">
        <v>0</v>
      </c>
      <c r="Z106" s="208">
        <v>0</v>
      </c>
      <c r="AA106" s="208">
        <v>0</v>
      </c>
      <c r="AB106" s="208">
        <v>0</v>
      </c>
      <c r="AC106" s="208">
        <v>0</v>
      </c>
      <c r="AD106" s="208">
        <v>0</v>
      </c>
      <c r="AE106" s="208">
        <v>0</v>
      </c>
      <c r="AF106" s="208">
        <v>0</v>
      </c>
      <c r="AG106" s="208">
        <v>1345874</v>
      </c>
      <c r="AH106" s="208">
        <v>301263</v>
      </c>
      <c r="AI106" s="208">
        <v>33473</v>
      </c>
      <c r="AJ106" s="208">
        <v>1680610</v>
      </c>
      <c r="AK106" s="208">
        <v>996359</v>
      </c>
      <c r="AL106" s="208">
        <v>797088</v>
      </c>
      <c r="AM106" s="208">
        <v>179345</v>
      </c>
      <c r="AN106" s="208">
        <v>19927</v>
      </c>
      <c r="AO106" s="208">
        <v>1992719</v>
      </c>
      <c r="AP106" s="208">
        <v>-206601</v>
      </c>
      <c r="AQ106" s="208">
        <v>-165281</v>
      </c>
      <c r="AR106" s="208">
        <v>-37188</v>
      </c>
      <c r="AS106" s="208">
        <v>-4132</v>
      </c>
      <c r="AT106" s="208">
        <v>-413202</v>
      </c>
      <c r="AU106" s="208">
        <v>-482479.53</v>
      </c>
      <c r="AV106" s="208">
        <v>-385984</v>
      </c>
      <c r="AW106" s="208">
        <v>-86846</v>
      </c>
      <c r="AX106" s="208">
        <v>-9650</v>
      </c>
      <c r="AY106" s="208">
        <v>-964959.53</v>
      </c>
      <c r="AZ106" s="208">
        <v>35408.839999999997</v>
      </c>
      <c r="BA106" s="208">
        <v>28327</v>
      </c>
      <c r="BB106" s="208">
        <v>6374</v>
      </c>
      <c r="BC106" s="208">
        <v>708</v>
      </c>
      <c r="BD106" s="208">
        <v>70817.84</v>
      </c>
      <c r="BE106" s="208">
        <v>-123281.10999999999</v>
      </c>
      <c r="BF106" s="208">
        <v>-98625</v>
      </c>
      <c r="BG106" s="208">
        <v>-22191</v>
      </c>
      <c r="BH106" s="208">
        <v>-2466</v>
      </c>
      <c r="BI106" s="208">
        <v>-246563.11</v>
      </c>
      <c r="BJ106" s="208">
        <v>-570351.80000000005</v>
      </c>
      <c r="BK106" s="208">
        <v>-456282</v>
      </c>
      <c r="BL106" s="208">
        <v>-102663</v>
      </c>
      <c r="BM106" s="208">
        <v>-11408</v>
      </c>
      <c r="BN106" s="208">
        <v>-1140704.8</v>
      </c>
      <c r="BO106" s="208">
        <v>-865809</v>
      </c>
      <c r="BP106" s="208">
        <v>-692647</v>
      </c>
      <c r="BQ106" s="208">
        <v>-155846</v>
      </c>
      <c r="BR106" s="208">
        <v>-17316</v>
      </c>
      <c r="BS106" s="208">
        <v>-1731618</v>
      </c>
      <c r="BT106" s="208">
        <v>-604635</v>
      </c>
      <c r="BU106" s="208">
        <v>-483708</v>
      </c>
      <c r="BV106" s="208">
        <v>-108834</v>
      </c>
      <c r="BW106" s="208">
        <v>-12093</v>
      </c>
      <c r="BX106" s="208">
        <v>-1209270</v>
      </c>
      <c r="BY106" s="208">
        <v>-261175</v>
      </c>
      <c r="BZ106" s="208">
        <v>-208939</v>
      </c>
      <c r="CA106" s="208">
        <v>-47011</v>
      </c>
      <c r="CB106" s="208">
        <v>-5223</v>
      </c>
      <c r="CC106" s="208">
        <v>-522348</v>
      </c>
      <c r="CD106" s="208">
        <v>554551</v>
      </c>
      <c r="CE106" s="208">
        <v>443640</v>
      </c>
      <c r="CF106" s="208">
        <v>99819</v>
      </c>
      <c r="CG106" s="208">
        <v>11091</v>
      </c>
      <c r="CH106" s="208">
        <v>1109101</v>
      </c>
      <c r="CI106" s="208">
        <v>0</v>
      </c>
      <c r="CJ106" s="208">
        <v>0</v>
      </c>
      <c r="CK106" s="208">
        <v>0</v>
      </c>
      <c r="CL106" s="208">
        <v>0</v>
      </c>
      <c r="CM106" s="208">
        <v>0</v>
      </c>
      <c r="CN106" s="208">
        <v>-305671</v>
      </c>
      <c r="CO106" s="208">
        <v>-244536</v>
      </c>
      <c r="CP106" s="208">
        <v>-55021</v>
      </c>
      <c r="CQ106" s="208">
        <v>-6113</v>
      </c>
      <c r="CR106" s="208">
        <v>-611341</v>
      </c>
      <c r="CS106" s="208">
        <v>-758875</v>
      </c>
      <c r="CT106" s="208">
        <v>-607101</v>
      </c>
      <c r="CU106" s="208">
        <v>-136598</v>
      </c>
      <c r="CV106" s="208">
        <v>-15178</v>
      </c>
      <c r="CW106" s="208">
        <v>-1517752</v>
      </c>
      <c r="CX106" s="208">
        <v>-1375804</v>
      </c>
      <c r="CY106" s="208">
        <v>-1100644</v>
      </c>
      <c r="CZ106" s="208">
        <v>-247646</v>
      </c>
      <c r="DA106" s="208">
        <v>-27516</v>
      </c>
      <c r="DB106" s="208">
        <v>-2751610</v>
      </c>
      <c r="DC106" s="208">
        <v>-355755</v>
      </c>
      <c r="DD106" s="208">
        <v>-284604</v>
      </c>
      <c r="DE106" s="208">
        <v>-64036</v>
      </c>
      <c r="DF106" s="208">
        <v>-7115</v>
      </c>
      <c r="DG106" s="208">
        <v>-711510</v>
      </c>
      <c r="DH106" s="208">
        <v>-1020050</v>
      </c>
      <c r="DI106" s="208">
        <v>-816040</v>
      </c>
      <c r="DJ106" s="208">
        <v>-183609</v>
      </c>
      <c r="DK106" s="208">
        <v>-20401</v>
      </c>
      <c r="DL106" s="208">
        <v>-2040100</v>
      </c>
      <c r="DM106" s="208">
        <v>331876</v>
      </c>
      <c r="DN106" s="208">
        <v>265502</v>
      </c>
      <c r="DO106" s="208">
        <v>59739</v>
      </c>
      <c r="DP106" s="208">
        <v>6637</v>
      </c>
      <c r="DQ106" s="208">
        <v>663754</v>
      </c>
      <c r="DR106" s="208">
        <v>-210853</v>
      </c>
      <c r="DS106" s="208">
        <v>-168682</v>
      </c>
      <c r="DT106" s="208">
        <v>-37954</v>
      </c>
      <c r="DU106" s="208">
        <v>-4217</v>
      </c>
      <c r="DV106" s="208">
        <v>-421706</v>
      </c>
      <c r="DW106" s="208">
        <v>542729</v>
      </c>
      <c r="DX106" s="208">
        <v>434184</v>
      </c>
      <c r="DY106" s="208">
        <v>97693</v>
      </c>
      <c r="DZ106" s="208">
        <v>10854</v>
      </c>
      <c r="EA106" s="208">
        <v>1085460</v>
      </c>
      <c r="EB106" s="208">
        <v>12576040</v>
      </c>
      <c r="EC106" s="208">
        <v>10060832</v>
      </c>
      <c r="ED106" s="208">
        <v>2263687</v>
      </c>
      <c r="EE106" s="208">
        <v>251521</v>
      </c>
      <c r="EF106" s="208">
        <v>25152080</v>
      </c>
      <c r="EG106" s="208">
        <v>11490243.890000001</v>
      </c>
      <c r="EH106" s="208">
        <v>9192196</v>
      </c>
      <c r="EI106" s="208">
        <v>2068244</v>
      </c>
      <c r="EJ106" s="208">
        <v>229805</v>
      </c>
      <c r="EK106" s="208">
        <v>22980488.890000001</v>
      </c>
      <c r="EL106" s="208">
        <v>-1085796.1099999994</v>
      </c>
      <c r="EM106" s="208">
        <v>-868636</v>
      </c>
      <c r="EN106" s="208">
        <v>-195443</v>
      </c>
      <c r="EO106" s="208">
        <v>-21716</v>
      </c>
      <c r="EP106" s="208">
        <v>-2171591.1099999994</v>
      </c>
      <c r="EQ106" s="208">
        <v>-543067.1099999994</v>
      </c>
      <c r="ER106" s="208">
        <v>-434452</v>
      </c>
      <c r="ES106" s="208">
        <v>-97750</v>
      </c>
      <c r="ET106" s="208">
        <v>-10862</v>
      </c>
      <c r="EU106" s="208">
        <v>-1086131.1099999994</v>
      </c>
      <c r="EV106" s="666">
        <v>0.5</v>
      </c>
      <c r="EW106" s="666">
        <v>0.4</v>
      </c>
      <c r="EX106" s="666">
        <v>0.09</v>
      </c>
      <c r="EY106" s="666">
        <v>0.01</v>
      </c>
      <c r="EZ106" s="666">
        <v>1</v>
      </c>
      <c r="FA106" s="187" t="s">
        <v>1054</v>
      </c>
      <c r="FC106" s="187">
        <v>0</v>
      </c>
    </row>
    <row r="107" spans="1:159" s="187" customFormat="1" x14ac:dyDescent="0.2">
      <c r="B107" s="429" t="s">
        <v>550</v>
      </c>
      <c r="C107" s="429" t="s">
        <v>1533</v>
      </c>
      <c r="D107" s="208">
        <v>0</v>
      </c>
      <c r="E107" s="208">
        <v>11542518</v>
      </c>
      <c r="F107" s="208">
        <v>17025215</v>
      </c>
      <c r="G107" s="208">
        <v>288563</v>
      </c>
      <c r="H107" s="208">
        <v>28856296</v>
      </c>
      <c r="I107" s="208">
        <v>0</v>
      </c>
      <c r="J107" s="208">
        <v>0</v>
      </c>
      <c r="K107" s="208">
        <v>0</v>
      </c>
      <c r="L107" s="208">
        <v>146744</v>
      </c>
      <c r="M107" s="208">
        <v>146744</v>
      </c>
      <c r="N107" s="208">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1494756</v>
      </c>
      <c r="AH107" s="208">
        <v>2204762</v>
      </c>
      <c r="AI107" s="208">
        <v>37369</v>
      </c>
      <c r="AJ107" s="208">
        <v>3736887</v>
      </c>
      <c r="AK107" s="208">
        <v>1</v>
      </c>
      <c r="AL107" s="208">
        <v>260844</v>
      </c>
      <c r="AM107" s="208">
        <v>384745</v>
      </c>
      <c r="AN107" s="208">
        <v>6521</v>
      </c>
      <c r="AO107" s="208">
        <v>652111</v>
      </c>
      <c r="AP107" s="208">
        <v>0</v>
      </c>
      <c r="AQ107" s="208">
        <v>-201870</v>
      </c>
      <c r="AR107" s="208">
        <v>-297758</v>
      </c>
      <c r="AS107" s="208">
        <v>-5047</v>
      </c>
      <c r="AT107" s="208">
        <v>-504675</v>
      </c>
      <c r="AU107" s="208">
        <v>1</v>
      </c>
      <c r="AV107" s="208">
        <v>-119981</v>
      </c>
      <c r="AW107" s="208">
        <v>-176972</v>
      </c>
      <c r="AX107" s="208">
        <v>-3000</v>
      </c>
      <c r="AY107" s="208">
        <v>-299952</v>
      </c>
      <c r="AZ107" s="208">
        <v>0</v>
      </c>
      <c r="BA107" s="208">
        <v>70171</v>
      </c>
      <c r="BB107" s="208">
        <v>103502</v>
      </c>
      <c r="BC107" s="208">
        <v>1754</v>
      </c>
      <c r="BD107" s="208">
        <v>175427</v>
      </c>
      <c r="BE107" s="208">
        <v>-1</v>
      </c>
      <c r="BF107" s="208">
        <v>-26778</v>
      </c>
      <c r="BG107" s="208">
        <v>-39498</v>
      </c>
      <c r="BH107" s="208">
        <v>-669</v>
      </c>
      <c r="BI107" s="208">
        <v>-66946</v>
      </c>
      <c r="BJ107" s="208">
        <v>0</v>
      </c>
      <c r="BK107" s="208">
        <v>-76588</v>
      </c>
      <c r="BL107" s="208">
        <v>-112968</v>
      </c>
      <c r="BM107" s="208">
        <v>-1915</v>
      </c>
      <c r="BN107" s="208">
        <v>-191471</v>
      </c>
      <c r="BO107" s="208">
        <v>0</v>
      </c>
      <c r="BP107" s="208">
        <v>-1806718</v>
      </c>
      <c r="BQ107" s="208">
        <v>-2664910</v>
      </c>
      <c r="BR107" s="208">
        <v>-45168</v>
      </c>
      <c r="BS107" s="208">
        <v>-4516796</v>
      </c>
      <c r="BT107" s="208">
        <v>0</v>
      </c>
      <c r="BU107" s="208">
        <v>0</v>
      </c>
      <c r="BV107" s="208">
        <v>0</v>
      </c>
      <c r="BW107" s="208">
        <v>0</v>
      </c>
      <c r="BX107" s="208">
        <v>0</v>
      </c>
      <c r="BY107" s="208">
        <v>0</v>
      </c>
      <c r="BZ107" s="208">
        <v>-1806718</v>
      </c>
      <c r="CA107" s="208">
        <v>-2664910</v>
      </c>
      <c r="CB107" s="208">
        <v>-45168</v>
      </c>
      <c r="CC107" s="208">
        <v>-4516796</v>
      </c>
      <c r="CD107" s="208">
        <v>0</v>
      </c>
      <c r="CE107" s="208">
        <v>384995</v>
      </c>
      <c r="CF107" s="208">
        <v>567868</v>
      </c>
      <c r="CG107" s="208">
        <v>9625</v>
      </c>
      <c r="CH107" s="208">
        <v>962488</v>
      </c>
      <c r="CI107" s="208">
        <v>0</v>
      </c>
      <c r="CJ107" s="208">
        <v>0</v>
      </c>
      <c r="CK107" s="208">
        <v>0</v>
      </c>
      <c r="CL107" s="208">
        <v>0</v>
      </c>
      <c r="CM107" s="208">
        <v>0</v>
      </c>
      <c r="CN107" s="208">
        <v>0</v>
      </c>
      <c r="CO107" s="208">
        <v>130470</v>
      </c>
      <c r="CP107" s="208">
        <v>192444</v>
      </c>
      <c r="CQ107" s="208">
        <v>3262</v>
      </c>
      <c r="CR107" s="208">
        <v>326176</v>
      </c>
      <c r="CS107" s="208">
        <v>0</v>
      </c>
      <c r="CT107" s="208">
        <v>-367680</v>
      </c>
      <c r="CU107" s="208">
        <v>-542328</v>
      </c>
      <c r="CV107" s="208">
        <v>-9192</v>
      </c>
      <c r="CW107" s="208">
        <v>-919200</v>
      </c>
      <c r="CX107" s="208">
        <v>0</v>
      </c>
      <c r="CY107" s="208">
        <v>-1658933</v>
      </c>
      <c r="CZ107" s="208">
        <v>-2446926</v>
      </c>
      <c r="DA107" s="208">
        <v>-41473</v>
      </c>
      <c r="DB107" s="208">
        <v>-4147332</v>
      </c>
      <c r="DC107" s="208">
        <v>0</v>
      </c>
      <c r="DD107" s="208">
        <v>515465</v>
      </c>
      <c r="DE107" s="208">
        <v>760312</v>
      </c>
      <c r="DF107" s="208">
        <v>12887</v>
      </c>
      <c r="DG107" s="208">
        <v>1288664</v>
      </c>
      <c r="DH107" s="208">
        <v>0</v>
      </c>
      <c r="DI107" s="208">
        <v>-2174398</v>
      </c>
      <c r="DJ107" s="208">
        <v>-3207238</v>
      </c>
      <c r="DK107" s="208">
        <v>-54360</v>
      </c>
      <c r="DL107" s="208">
        <v>-5435996</v>
      </c>
      <c r="DM107" s="208">
        <v>-1121660</v>
      </c>
      <c r="DN107" s="208">
        <v>-897325</v>
      </c>
      <c r="DO107" s="208">
        <v>-201898</v>
      </c>
      <c r="DP107" s="208">
        <v>-22433</v>
      </c>
      <c r="DQ107" s="208">
        <v>-2243316</v>
      </c>
      <c r="DR107" s="208">
        <v>198540</v>
      </c>
      <c r="DS107" s="208">
        <v>158832</v>
      </c>
      <c r="DT107" s="208">
        <v>35737</v>
      </c>
      <c r="DU107" s="208">
        <v>3971</v>
      </c>
      <c r="DV107" s="208">
        <v>397080</v>
      </c>
      <c r="DW107" s="208">
        <v>-1320200</v>
      </c>
      <c r="DX107" s="208">
        <v>-1056157</v>
      </c>
      <c r="DY107" s="208">
        <v>-237635</v>
      </c>
      <c r="DZ107" s="208">
        <v>-26404</v>
      </c>
      <c r="EA107" s="208">
        <v>-2640396</v>
      </c>
      <c r="EB107" s="208">
        <v>0</v>
      </c>
      <c r="EC107" s="208">
        <v>11099530</v>
      </c>
      <c r="ED107" s="208">
        <v>16371807</v>
      </c>
      <c r="EE107" s="208">
        <v>277488</v>
      </c>
      <c r="EF107" s="208">
        <v>27748825</v>
      </c>
      <c r="EG107" s="208">
        <v>0</v>
      </c>
      <c r="EH107" s="208">
        <v>11542518</v>
      </c>
      <c r="EI107" s="208">
        <v>17025215</v>
      </c>
      <c r="EJ107" s="208">
        <v>288563</v>
      </c>
      <c r="EK107" s="208">
        <v>28856296</v>
      </c>
      <c r="EL107" s="208">
        <v>0</v>
      </c>
      <c r="EM107" s="208">
        <v>442988</v>
      </c>
      <c r="EN107" s="208">
        <v>653408</v>
      </c>
      <c r="EO107" s="208">
        <v>11075</v>
      </c>
      <c r="EP107" s="208">
        <v>1107471</v>
      </c>
      <c r="EQ107" s="208">
        <v>-1320200</v>
      </c>
      <c r="ER107" s="208">
        <v>-613169</v>
      </c>
      <c r="ES107" s="208">
        <v>415773</v>
      </c>
      <c r="ET107" s="208">
        <v>-15329</v>
      </c>
      <c r="EU107" s="208">
        <v>-1532925</v>
      </c>
      <c r="EV107" s="666">
        <v>0</v>
      </c>
      <c r="EW107" s="666">
        <v>0.4</v>
      </c>
      <c r="EX107" s="666">
        <v>0.59</v>
      </c>
      <c r="EY107" s="666">
        <v>0.01</v>
      </c>
      <c r="EZ107" s="666">
        <v>1</v>
      </c>
      <c r="FA107" s="187" t="s">
        <v>1054</v>
      </c>
    </row>
    <row r="108" spans="1:159" s="187" customFormat="1" x14ac:dyDescent="0.2">
      <c r="B108" s="429" t="s">
        <v>293</v>
      </c>
      <c r="C108" s="429" t="s">
        <v>292</v>
      </c>
      <c r="D108" s="208">
        <v>0</v>
      </c>
      <c r="E108" s="208">
        <v>19385042</v>
      </c>
      <c r="F108" s="208">
        <v>4846260</v>
      </c>
      <c r="G108" s="208">
        <v>0</v>
      </c>
      <c r="H108" s="208">
        <v>24231302</v>
      </c>
      <c r="I108" s="208">
        <v>0</v>
      </c>
      <c r="J108" s="208">
        <v>0</v>
      </c>
      <c r="K108" s="208">
        <v>0</v>
      </c>
      <c r="L108" s="208">
        <v>89903</v>
      </c>
      <c r="M108" s="208">
        <v>89903</v>
      </c>
      <c r="N108" s="208">
        <v>0</v>
      </c>
      <c r="O108" s="208">
        <v>0</v>
      </c>
      <c r="P108" s="208">
        <v>172517</v>
      </c>
      <c r="Q108" s="208">
        <v>0</v>
      </c>
      <c r="R108" s="208">
        <v>172517</v>
      </c>
      <c r="S108" s="208">
        <v>0</v>
      </c>
      <c r="T108" s="208">
        <v>0</v>
      </c>
      <c r="U108" s="208">
        <v>0</v>
      </c>
      <c r="V108" s="208">
        <v>0</v>
      </c>
      <c r="W108" s="208">
        <v>0</v>
      </c>
      <c r="X108" s="208">
        <v>0</v>
      </c>
      <c r="Y108" s="208">
        <v>0</v>
      </c>
      <c r="Z108" s="208">
        <v>0</v>
      </c>
      <c r="AA108" s="208">
        <v>0</v>
      </c>
      <c r="AB108" s="208">
        <v>0</v>
      </c>
      <c r="AC108" s="208">
        <v>0</v>
      </c>
      <c r="AD108" s="208">
        <v>0</v>
      </c>
      <c r="AE108" s="208">
        <v>0</v>
      </c>
      <c r="AF108" s="208">
        <v>0</v>
      </c>
      <c r="AG108" s="208">
        <v>1958845</v>
      </c>
      <c r="AH108" s="208">
        <v>488723</v>
      </c>
      <c r="AI108" s="208">
        <v>0</v>
      </c>
      <c r="AJ108" s="208">
        <v>2447568</v>
      </c>
      <c r="AK108" s="208">
        <v>0</v>
      </c>
      <c r="AL108" s="208">
        <v>580122</v>
      </c>
      <c r="AM108" s="208">
        <v>145031</v>
      </c>
      <c r="AN108" s="208">
        <v>0</v>
      </c>
      <c r="AO108" s="208">
        <v>725153</v>
      </c>
      <c r="AP108" s="208">
        <v>0</v>
      </c>
      <c r="AQ108" s="208">
        <v>-419942</v>
      </c>
      <c r="AR108" s="208">
        <v>-104985</v>
      </c>
      <c r="AS108" s="208">
        <v>0</v>
      </c>
      <c r="AT108" s="208">
        <v>-524927</v>
      </c>
      <c r="AU108" s="208">
        <v>0.40000000002328306</v>
      </c>
      <c r="AV108" s="208">
        <v>-255582</v>
      </c>
      <c r="AW108" s="208">
        <v>-63896</v>
      </c>
      <c r="AX108" s="208">
        <v>0</v>
      </c>
      <c r="AY108" s="208">
        <v>-319477.59999999998</v>
      </c>
      <c r="AZ108" s="208">
        <v>-4.9999999988358468E-2</v>
      </c>
      <c r="BA108" s="208">
        <v>105969</v>
      </c>
      <c r="BB108" s="208">
        <v>26492</v>
      </c>
      <c r="BC108" s="208">
        <v>0</v>
      </c>
      <c r="BD108" s="208">
        <v>132460.95000000001</v>
      </c>
      <c r="BE108" s="208">
        <v>0</v>
      </c>
      <c r="BF108" s="208">
        <v>-72141</v>
      </c>
      <c r="BG108" s="208">
        <v>-18035</v>
      </c>
      <c r="BH108" s="208">
        <v>0</v>
      </c>
      <c r="BI108" s="208">
        <v>-90176</v>
      </c>
      <c r="BJ108" s="208">
        <v>0.3500000000349246</v>
      </c>
      <c r="BK108" s="208">
        <v>-221754</v>
      </c>
      <c r="BL108" s="208">
        <v>-55439</v>
      </c>
      <c r="BM108" s="208">
        <v>0</v>
      </c>
      <c r="BN108" s="208">
        <v>-277192.64999999997</v>
      </c>
      <c r="BO108" s="208">
        <v>0</v>
      </c>
      <c r="BP108" s="208">
        <v>-998008</v>
      </c>
      <c r="BQ108" s="208">
        <v>-249502</v>
      </c>
      <c r="BR108" s="208">
        <v>0</v>
      </c>
      <c r="BS108" s="208">
        <v>-1247510</v>
      </c>
      <c r="BT108" s="208">
        <v>0</v>
      </c>
      <c r="BU108" s="208">
        <v>0</v>
      </c>
      <c r="BV108" s="208">
        <v>0</v>
      </c>
      <c r="BW108" s="208">
        <v>0</v>
      </c>
      <c r="BX108" s="208">
        <v>0</v>
      </c>
      <c r="BY108" s="208">
        <v>0</v>
      </c>
      <c r="BZ108" s="208">
        <v>-998008</v>
      </c>
      <c r="CA108" s="208">
        <v>-249502</v>
      </c>
      <c r="CB108" s="208">
        <v>0</v>
      </c>
      <c r="CC108" s="208">
        <v>-1247510</v>
      </c>
      <c r="CD108" s="208">
        <v>0</v>
      </c>
      <c r="CE108" s="208">
        <v>131993</v>
      </c>
      <c r="CF108" s="208">
        <v>32998</v>
      </c>
      <c r="CG108" s="208">
        <v>0</v>
      </c>
      <c r="CH108" s="208">
        <v>164991</v>
      </c>
      <c r="CI108" s="208">
        <v>0</v>
      </c>
      <c r="CJ108" s="208">
        <v>0</v>
      </c>
      <c r="CK108" s="208">
        <v>0</v>
      </c>
      <c r="CL108" s="208">
        <v>0</v>
      </c>
      <c r="CM108" s="208">
        <v>0</v>
      </c>
      <c r="CN108" s="208">
        <v>0</v>
      </c>
      <c r="CO108" s="208">
        <v>-60431</v>
      </c>
      <c r="CP108" s="208">
        <v>-15108</v>
      </c>
      <c r="CQ108" s="208">
        <v>0</v>
      </c>
      <c r="CR108" s="208">
        <v>-75539</v>
      </c>
      <c r="CS108" s="208">
        <v>0</v>
      </c>
      <c r="CT108" s="208">
        <v>-857539</v>
      </c>
      <c r="CU108" s="208">
        <v>-214385</v>
      </c>
      <c r="CV108" s="208">
        <v>0</v>
      </c>
      <c r="CW108" s="208">
        <v>-1071924</v>
      </c>
      <c r="CX108" s="208">
        <v>0</v>
      </c>
      <c r="CY108" s="208">
        <v>-1783985</v>
      </c>
      <c r="CZ108" s="208">
        <v>-445997</v>
      </c>
      <c r="DA108" s="208">
        <v>0</v>
      </c>
      <c r="DB108" s="208">
        <v>-2229982</v>
      </c>
      <c r="DC108" s="208">
        <v>0</v>
      </c>
      <c r="DD108" s="208">
        <v>71562</v>
      </c>
      <c r="DE108" s="208">
        <v>17890</v>
      </c>
      <c r="DF108" s="208">
        <v>0</v>
      </c>
      <c r="DG108" s="208">
        <v>89452</v>
      </c>
      <c r="DH108" s="208">
        <v>0</v>
      </c>
      <c r="DI108" s="208">
        <v>-1855547</v>
      </c>
      <c r="DJ108" s="208">
        <v>-463887</v>
      </c>
      <c r="DK108" s="208">
        <v>0</v>
      </c>
      <c r="DL108" s="208">
        <v>-2319434</v>
      </c>
      <c r="DM108" s="208">
        <v>-207610</v>
      </c>
      <c r="DN108" s="208">
        <v>-166090</v>
      </c>
      <c r="DO108" s="208">
        <v>-41523</v>
      </c>
      <c r="DP108" s="208">
        <v>0</v>
      </c>
      <c r="DQ108" s="208">
        <v>-415223</v>
      </c>
      <c r="DR108" s="208">
        <v>-222858</v>
      </c>
      <c r="DS108" s="208">
        <v>-178287</v>
      </c>
      <c r="DT108" s="208">
        <v>-44572</v>
      </c>
      <c r="DU108" s="208">
        <v>0</v>
      </c>
      <c r="DV108" s="208">
        <v>-445717</v>
      </c>
      <c r="DW108" s="208">
        <v>15248</v>
      </c>
      <c r="DX108" s="208">
        <v>12197</v>
      </c>
      <c r="DY108" s="208">
        <v>3049</v>
      </c>
      <c r="DZ108" s="208">
        <v>0</v>
      </c>
      <c r="EA108" s="208">
        <v>30494</v>
      </c>
      <c r="EB108" s="208">
        <v>0</v>
      </c>
      <c r="EC108" s="208">
        <v>19472594</v>
      </c>
      <c r="ED108" s="208">
        <v>4868148</v>
      </c>
      <c r="EE108" s="208">
        <v>0</v>
      </c>
      <c r="EF108" s="208">
        <v>24340742</v>
      </c>
      <c r="EG108" s="208">
        <v>0</v>
      </c>
      <c r="EH108" s="208">
        <v>19385042</v>
      </c>
      <c r="EI108" s="208">
        <v>4846260</v>
      </c>
      <c r="EJ108" s="208">
        <v>0</v>
      </c>
      <c r="EK108" s="208">
        <v>24231302</v>
      </c>
      <c r="EL108" s="208">
        <v>0</v>
      </c>
      <c r="EM108" s="208">
        <v>-87552</v>
      </c>
      <c r="EN108" s="208">
        <v>-21888</v>
      </c>
      <c r="EO108" s="208">
        <v>0</v>
      </c>
      <c r="EP108" s="208">
        <v>-109440</v>
      </c>
      <c r="EQ108" s="208">
        <v>15248</v>
      </c>
      <c r="ER108" s="208">
        <v>-75355</v>
      </c>
      <c r="ES108" s="208">
        <v>-18839</v>
      </c>
      <c r="ET108" s="208">
        <v>0</v>
      </c>
      <c r="EU108" s="208">
        <v>-78946</v>
      </c>
      <c r="EV108" s="666">
        <v>0</v>
      </c>
      <c r="EW108" s="666">
        <v>0.8</v>
      </c>
      <c r="EX108" s="666">
        <v>0.2</v>
      </c>
      <c r="EY108" s="666">
        <v>0</v>
      </c>
      <c r="EZ108" s="666">
        <v>1</v>
      </c>
      <c r="FA108" s="187" t="s">
        <v>1054</v>
      </c>
      <c r="FC108" s="187">
        <v>0</v>
      </c>
    </row>
    <row r="109" spans="1:159" s="187" customFormat="1" x14ac:dyDescent="0.2">
      <c r="B109" s="429" t="s">
        <v>295</v>
      </c>
      <c r="C109" s="429" t="s">
        <v>294</v>
      </c>
      <c r="D109" s="208">
        <v>0</v>
      </c>
      <c r="E109" s="208">
        <v>6322432</v>
      </c>
      <c r="F109" s="208">
        <v>6322432</v>
      </c>
      <c r="G109" s="208">
        <v>0</v>
      </c>
      <c r="H109" s="208">
        <v>12644864</v>
      </c>
      <c r="I109" s="208">
        <v>0</v>
      </c>
      <c r="J109" s="208">
        <v>0</v>
      </c>
      <c r="K109" s="208">
        <v>0</v>
      </c>
      <c r="L109" s="208">
        <v>119349</v>
      </c>
      <c r="M109" s="208">
        <v>119349</v>
      </c>
      <c r="N109" s="208">
        <v>0</v>
      </c>
      <c r="O109" s="208">
        <v>0</v>
      </c>
      <c r="P109" s="208">
        <v>109520</v>
      </c>
      <c r="Q109" s="208">
        <v>0</v>
      </c>
      <c r="R109" s="208">
        <v>109520</v>
      </c>
      <c r="S109" s="208">
        <v>0</v>
      </c>
      <c r="T109" s="208">
        <v>0</v>
      </c>
      <c r="U109" s="208">
        <v>0</v>
      </c>
      <c r="V109" s="208">
        <v>0</v>
      </c>
      <c r="W109" s="208">
        <v>0</v>
      </c>
      <c r="X109" s="208">
        <v>0</v>
      </c>
      <c r="Y109" s="208">
        <v>0</v>
      </c>
      <c r="Z109" s="208">
        <v>0</v>
      </c>
      <c r="AA109" s="208">
        <v>0</v>
      </c>
      <c r="AB109" s="208">
        <v>0</v>
      </c>
      <c r="AC109" s="208">
        <v>0</v>
      </c>
      <c r="AD109" s="208">
        <v>0</v>
      </c>
      <c r="AE109" s="208">
        <v>0</v>
      </c>
      <c r="AF109" s="208">
        <v>0</v>
      </c>
      <c r="AG109" s="208">
        <v>1332723</v>
      </c>
      <c r="AH109" s="208">
        <v>1330213</v>
      </c>
      <c r="AI109" s="208">
        <v>0</v>
      </c>
      <c r="AJ109" s="208">
        <v>2662936</v>
      </c>
      <c r="AK109" s="208">
        <v>-1</v>
      </c>
      <c r="AL109" s="208">
        <v>251312</v>
      </c>
      <c r="AM109" s="208">
        <v>251312</v>
      </c>
      <c r="AN109" s="208">
        <v>0</v>
      </c>
      <c r="AO109" s="208">
        <v>502623</v>
      </c>
      <c r="AP109" s="208">
        <v>1</v>
      </c>
      <c r="AQ109" s="208">
        <v>-47390</v>
      </c>
      <c r="AR109" s="208">
        <v>-47390</v>
      </c>
      <c r="AS109" s="208">
        <v>0</v>
      </c>
      <c r="AT109" s="208">
        <v>-94779</v>
      </c>
      <c r="AU109" s="208">
        <v>0</v>
      </c>
      <c r="AV109" s="208">
        <v>-138750</v>
      </c>
      <c r="AW109" s="208">
        <v>-138750</v>
      </c>
      <c r="AX109" s="208">
        <v>0</v>
      </c>
      <c r="AY109" s="208">
        <v>-277500</v>
      </c>
      <c r="AZ109" s="208">
        <v>-1</v>
      </c>
      <c r="BA109" s="208">
        <v>14850</v>
      </c>
      <c r="BB109" s="208">
        <v>14850</v>
      </c>
      <c r="BC109" s="208">
        <v>0</v>
      </c>
      <c r="BD109" s="208">
        <v>29699</v>
      </c>
      <c r="BE109" s="208">
        <v>0</v>
      </c>
      <c r="BF109" s="208">
        <v>-32100</v>
      </c>
      <c r="BG109" s="208">
        <v>-32100</v>
      </c>
      <c r="BH109" s="208">
        <v>0</v>
      </c>
      <c r="BI109" s="208">
        <v>-64200</v>
      </c>
      <c r="BJ109" s="208">
        <v>-1</v>
      </c>
      <c r="BK109" s="208">
        <v>-156000</v>
      </c>
      <c r="BL109" s="208">
        <v>-156000</v>
      </c>
      <c r="BM109" s="208">
        <v>0</v>
      </c>
      <c r="BN109" s="208">
        <v>-312001</v>
      </c>
      <c r="BO109" s="208">
        <v>0</v>
      </c>
      <c r="BP109" s="208">
        <v>-269840</v>
      </c>
      <c r="BQ109" s="208">
        <v>-269840</v>
      </c>
      <c r="BR109" s="208">
        <v>0</v>
      </c>
      <c r="BS109" s="208">
        <v>-539680</v>
      </c>
      <c r="BT109" s="208">
        <v>1</v>
      </c>
      <c r="BU109" s="208">
        <v>-83878</v>
      </c>
      <c r="BV109" s="208">
        <v>-83878</v>
      </c>
      <c r="BW109" s="208">
        <v>0</v>
      </c>
      <c r="BX109" s="208">
        <v>-167755</v>
      </c>
      <c r="BY109" s="208">
        <v>1</v>
      </c>
      <c r="BZ109" s="208">
        <v>-185963</v>
      </c>
      <c r="CA109" s="208">
        <v>-185963</v>
      </c>
      <c r="CB109" s="208">
        <v>0</v>
      </c>
      <c r="CC109" s="208">
        <v>-371925</v>
      </c>
      <c r="CD109" s="208">
        <v>0</v>
      </c>
      <c r="CE109" s="208">
        <v>0</v>
      </c>
      <c r="CF109" s="208">
        <v>0</v>
      </c>
      <c r="CG109" s="208">
        <v>0</v>
      </c>
      <c r="CH109" s="208">
        <v>0</v>
      </c>
      <c r="CI109" s="208">
        <v>-1</v>
      </c>
      <c r="CJ109" s="208">
        <v>19374</v>
      </c>
      <c r="CK109" s="208">
        <v>19374</v>
      </c>
      <c r="CL109" s="208">
        <v>0</v>
      </c>
      <c r="CM109" s="208">
        <v>38747</v>
      </c>
      <c r="CN109" s="208">
        <v>0</v>
      </c>
      <c r="CO109" s="208">
        <v>-21207</v>
      </c>
      <c r="CP109" s="208">
        <v>-21207</v>
      </c>
      <c r="CQ109" s="208">
        <v>0</v>
      </c>
      <c r="CR109" s="208">
        <v>-42414</v>
      </c>
      <c r="CS109" s="208">
        <v>1</v>
      </c>
      <c r="CT109" s="208">
        <v>-74297</v>
      </c>
      <c r="CU109" s="208">
        <v>-74297</v>
      </c>
      <c r="CV109" s="208">
        <v>0</v>
      </c>
      <c r="CW109" s="208">
        <v>-148593</v>
      </c>
      <c r="CX109" s="208">
        <v>0</v>
      </c>
      <c r="CY109" s="208">
        <v>-345970</v>
      </c>
      <c r="CZ109" s="208">
        <v>-345970</v>
      </c>
      <c r="DA109" s="208">
        <v>0</v>
      </c>
      <c r="DB109" s="208">
        <v>-691940</v>
      </c>
      <c r="DC109" s="208">
        <v>1</v>
      </c>
      <c r="DD109" s="208">
        <v>-105085</v>
      </c>
      <c r="DE109" s="208">
        <v>-105085</v>
      </c>
      <c r="DF109" s="208">
        <v>0</v>
      </c>
      <c r="DG109" s="208">
        <v>-210169</v>
      </c>
      <c r="DH109" s="208">
        <v>1</v>
      </c>
      <c r="DI109" s="208">
        <v>-240886</v>
      </c>
      <c r="DJ109" s="208">
        <v>-240886</v>
      </c>
      <c r="DK109" s="208">
        <v>0</v>
      </c>
      <c r="DL109" s="208">
        <v>-481771</v>
      </c>
      <c r="DM109" s="208">
        <v>-213449</v>
      </c>
      <c r="DN109" s="208">
        <v>-170758</v>
      </c>
      <c r="DO109" s="208">
        <v>-42690</v>
      </c>
      <c r="DP109" s="208">
        <v>0</v>
      </c>
      <c r="DQ109" s="208">
        <v>-426897</v>
      </c>
      <c r="DR109" s="208">
        <v>-68616</v>
      </c>
      <c r="DS109" s="208">
        <v>-54892</v>
      </c>
      <c r="DT109" s="208">
        <v>-13723</v>
      </c>
      <c r="DU109" s="208">
        <v>0</v>
      </c>
      <c r="DV109" s="208">
        <v>-137231</v>
      </c>
      <c r="DW109" s="208">
        <v>-144833</v>
      </c>
      <c r="DX109" s="208">
        <v>-115866</v>
      </c>
      <c r="DY109" s="208">
        <v>-28967</v>
      </c>
      <c r="DZ109" s="208">
        <v>0</v>
      </c>
      <c r="EA109" s="208">
        <v>-289666</v>
      </c>
      <c r="EB109" s="208">
        <v>0</v>
      </c>
      <c r="EC109" s="208">
        <v>6382840</v>
      </c>
      <c r="ED109" s="208">
        <v>6382840</v>
      </c>
      <c r="EE109" s="208">
        <v>0</v>
      </c>
      <c r="EF109" s="208">
        <v>12765680</v>
      </c>
      <c r="EG109" s="208">
        <v>0</v>
      </c>
      <c r="EH109" s="208">
        <v>6322432</v>
      </c>
      <c r="EI109" s="208">
        <v>6322432</v>
      </c>
      <c r="EJ109" s="208">
        <v>0</v>
      </c>
      <c r="EK109" s="208">
        <v>12644864</v>
      </c>
      <c r="EL109" s="208">
        <v>0</v>
      </c>
      <c r="EM109" s="208">
        <v>-60408</v>
      </c>
      <c r="EN109" s="208">
        <v>-60408</v>
      </c>
      <c r="EO109" s="208">
        <v>0</v>
      </c>
      <c r="EP109" s="208">
        <v>-120816</v>
      </c>
      <c r="EQ109" s="208">
        <v>-144833</v>
      </c>
      <c r="ER109" s="208">
        <v>-176274</v>
      </c>
      <c r="ES109" s="208">
        <v>-89375</v>
      </c>
      <c r="ET109" s="208">
        <v>0</v>
      </c>
      <c r="EU109" s="208">
        <v>-410482</v>
      </c>
      <c r="EV109" s="666">
        <v>0</v>
      </c>
      <c r="EW109" s="666">
        <v>0.5</v>
      </c>
      <c r="EX109" s="666">
        <v>0.5</v>
      </c>
      <c r="EY109" s="666">
        <v>0</v>
      </c>
      <c r="EZ109" s="666">
        <v>1</v>
      </c>
      <c r="FA109" s="187" t="s">
        <v>1054</v>
      </c>
      <c r="FC109" s="187">
        <v>0</v>
      </c>
    </row>
    <row r="110" spans="1:159" s="187" customFormat="1" x14ac:dyDescent="0.2">
      <c r="B110" s="429" t="s">
        <v>297</v>
      </c>
      <c r="C110" s="429" t="s">
        <v>296</v>
      </c>
      <c r="D110" s="208">
        <v>12411618</v>
      </c>
      <c r="E110" s="208">
        <v>9929294</v>
      </c>
      <c r="F110" s="208">
        <v>2234091</v>
      </c>
      <c r="G110" s="208">
        <v>248232</v>
      </c>
      <c r="H110" s="208">
        <v>24823235</v>
      </c>
      <c r="I110" s="208">
        <v>281247</v>
      </c>
      <c r="J110" s="208">
        <v>281247</v>
      </c>
      <c r="K110" s="208">
        <v>12130371</v>
      </c>
      <c r="L110" s="208">
        <v>113116</v>
      </c>
      <c r="M110" s="208">
        <v>113116</v>
      </c>
      <c r="N110" s="208">
        <v>0</v>
      </c>
      <c r="O110" s="208">
        <v>0</v>
      </c>
      <c r="P110" s="208">
        <v>45897</v>
      </c>
      <c r="Q110" s="208">
        <v>11474</v>
      </c>
      <c r="R110" s="208">
        <v>57371</v>
      </c>
      <c r="S110" s="208">
        <v>25390</v>
      </c>
      <c r="T110" s="208">
        <v>10156.000000000002</v>
      </c>
      <c r="U110" s="208">
        <v>14980.099999999999</v>
      </c>
      <c r="V110" s="208">
        <v>25390</v>
      </c>
      <c r="W110" s="208">
        <v>281246.84583333333</v>
      </c>
      <c r="X110" s="208">
        <v>0</v>
      </c>
      <c r="Y110" s="208">
        <v>0</v>
      </c>
      <c r="Z110" s="208">
        <v>281246.84583333333</v>
      </c>
      <c r="AA110" s="208">
        <v>0</v>
      </c>
      <c r="AB110" s="208">
        <v>0</v>
      </c>
      <c r="AC110" s="208">
        <v>0</v>
      </c>
      <c r="AD110" s="208">
        <v>0</v>
      </c>
      <c r="AE110" s="208">
        <v>0</v>
      </c>
      <c r="AF110" s="208">
        <v>0</v>
      </c>
      <c r="AG110" s="208">
        <v>1291808</v>
      </c>
      <c r="AH110" s="208">
        <v>283316</v>
      </c>
      <c r="AI110" s="208">
        <v>31418</v>
      </c>
      <c r="AJ110" s="208">
        <v>1606542</v>
      </c>
      <c r="AK110" s="208">
        <v>765956</v>
      </c>
      <c r="AL110" s="208">
        <v>612764</v>
      </c>
      <c r="AM110" s="208">
        <v>137872</v>
      </c>
      <c r="AN110" s="208">
        <v>15319</v>
      </c>
      <c r="AO110" s="208">
        <v>1531911</v>
      </c>
      <c r="AP110" s="208">
        <v>-241337</v>
      </c>
      <c r="AQ110" s="208">
        <v>-193070</v>
      </c>
      <c r="AR110" s="208">
        <v>-43441</v>
      </c>
      <c r="AS110" s="208">
        <v>-4827</v>
      </c>
      <c r="AT110" s="208">
        <v>-482675</v>
      </c>
      <c r="AU110" s="208">
        <v>-592943</v>
      </c>
      <c r="AV110" s="208">
        <v>-474355</v>
      </c>
      <c r="AW110" s="208">
        <v>-106730</v>
      </c>
      <c r="AX110" s="208">
        <v>-11859</v>
      </c>
      <c r="AY110" s="208">
        <v>-1185887</v>
      </c>
      <c r="AZ110" s="208">
        <v>128911</v>
      </c>
      <c r="BA110" s="208">
        <v>103129</v>
      </c>
      <c r="BB110" s="208">
        <v>23204</v>
      </c>
      <c r="BC110" s="208">
        <v>2578</v>
      </c>
      <c r="BD110" s="208">
        <v>257822</v>
      </c>
      <c r="BE110" s="208">
        <v>-62481</v>
      </c>
      <c r="BF110" s="208">
        <v>-49985</v>
      </c>
      <c r="BG110" s="208">
        <v>-11247</v>
      </c>
      <c r="BH110" s="208">
        <v>-1250</v>
      </c>
      <c r="BI110" s="208">
        <v>-124963</v>
      </c>
      <c r="BJ110" s="208">
        <v>-526513</v>
      </c>
      <c r="BK110" s="208">
        <v>-421211</v>
      </c>
      <c r="BL110" s="208">
        <v>-94773</v>
      </c>
      <c r="BM110" s="208">
        <v>-10531</v>
      </c>
      <c r="BN110" s="208">
        <v>-1053028</v>
      </c>
      <c r="BO110" s="208">
        <v>-1828143</v>
      </c>
      <c r="BP110" s="208">
        <v>-1462514</v>
      </c>
      <c r="BQ110" s="208">
        <v>-329066</v>
      </c>
      <c r="BR110" s="208">
        <v>-36563</v>
      </c>
      <c r="BS110" s="208">
        <v>-3656286</v>
      </c>
      <c r="BT110" s="208">
        <v>-1265143</v>
      </c>
      <c r="BU110" s="208">
        <v>-1012114</v>
      </c>
      <c r="BV110" s="208">
        <v>-227726</v>
      </c>
      <c r="BW110" s="208">
        <v>-25303</v>
      </c>
      <c r="BX110" s="208">
        <v>-2530286</v>
      </c>
      <c r="BY110" s="208">
        <v>-563000</v>
      </c>
      <c r="BZ110" s="208">
        <v>-450400</v>
      </c>
      <c r="CA110" s="208">
        <v>-101340</v>
      </c>
      <c r="CB110" s="208">
        <v>-11260</v>
      </c>
      <c r="CC110" s="208">
        <v>-1126000</v>
      </c>
      <c r="CD110" s="208">
        <v>0</v>
      </c>
      <c r="CE110" s="208">
        <v>0</v>
      </c>
      <c r="CF110" s="208">
        <v>0</v>
      </c>
      <c r="CG110" s="208">
        <v>0</v>
      </c>
      <c r="CH110" s="208">
        <v>0</v>
      </c>
      <c r="CI110" s="208">
        <v>0</v>
      </c>
      <c r="CJ110" s="208">
        <v>0</v>
      </c>
      <c r="CK110" s="208">
        <v>0</v>
      </c>
      <c r="CL110" s="208">
        <v>0</v>
      </c>
      <c r="CM110" s="208">
        <v>0</v>
      </c>
      <c r="CN110" s="208">
        <v>24767</v>
      </c>
      <c r="CO110" s="208">
        <v>19814</v>
      </c>
      <c r="CP110" s="208">
        <v>4458</v>
      </c>
      <c r="CQ110" s="208">
        <v>495</v>
      </c>
      <c r="CR110" s="208">
        <v>49534</v>
      </c>
      <c r="CS110" s="208">
        <v>-629131</v>
      </c>
      <c r="CT110" s="208">
        <v>-503304</v>
      </c>
      <c r="CU110" s="208">
        <v>-113243</v>
      </c>
      <c r="CV110" s="208">
        <v>-12583</v>
      </c>
      <c r="CW110" s="208">
        <v>-1258261</v>
      </c>
      <c r="CX110" s="208">
        <v>-2432507</v>
      </c>
      <c r="CY110" s="208">
        <v>-1946004</v>
      </c>
      <c r="CZ110" s="208">
        <v>-437851</v>
      </c>
      <c r="DA110" s="208">
        <v>-48651</v>
      </c>
      <c r="DB110" s="208">
        <v>-4865013</v>
      </c>
      <c r="DC110" s="208">
        <v>-1240376</v>
      </c>
      <c r="DD110" s="208">
        <v>-992300</v>
      </c>
      <c r="DE110" s="208">
        <v>-223268</v>
      </c>
      <c r="DF110" s="208">
        <v>-24808</v>
      </c>
      <c r="DG110" s="208">
        <v>-2480752</v>
      </c>
      <c r="DH110" s="208">
        <v>-1192131</v>
      </c>
      <c r="DI110" s="208">
        <v>-953704</v>
      </c>
      <c r="DJ110" s="208">
        <v>-214583</v>
      </c>
      <c r="DK110" s="208">
        <v>-23843</v>
      </c>
      <c r="DL110" s="208">
        <v>-2384261</v>
      </c>
      <c r="DM110" s="208">
        <v>265382</v>
      </c>
      <c r="DN110" s="208">
        <v>212306</v>
      </c>
      <c r="DO110" s="208">
        <v>47769</v>
      </c>
      <c r="DP110" s="208">
        <v>5307</v>
      </c>
      <c r="DQ110" s="208">
        <v>530764</v>
      </c>
      <c r="DR110" s="208">
        <v>400314</v>
      </c>
      <c r="DS110" s="208">
        <v>320252</v>
      </c>
      <c r="DT110" s="208">
        <v>72057</v>
      </c>
      <c r="DU110" s="208">
        <v>8006</v>
      </c>
      <c r="DV110" s="208">
        <v>800629</v>
      </c>
      <c r="DW110" s="208">
        <v>-134932</v>
      </c>
      <c r="DX110" s="208">
        <v>-107946</v>
      </c>
      <c r="DY110" s="208">
        <v>-24288</v>
      </c>
      <c r="DZ110" s="208">
        <v>-2699</v>
      </c>
      <c r="EA110" s="208">
        <v>-269865</v>
      </c>
      <c r="EB110" s="208">
        <v>12491359</v>
      </c>
      <c r="EC110" s="208">
        <v>9993086</v>
      </c>
      <c r="ED110" s="208">
        <v>2248444</v>
      </c>
      <c r="EE110" s="208">
        <v>249827</v>
      </c>
      <c r="EF110" s="208">
        <v>24982716</v>
      </c>
      <c r="EG110" s="208">
        <v>12411618</v>
      </c>
      <c r="EH110" s="208">
        <v>9929294</v>
      </c>
      <c r="EI110" s="208">
        <v>2234091</v>
      </c>
      <c r="EJ110" s="208">
        <v>248232</v>
      </c>
      <c r="EK110" s="208">
        <v>24823235</v>
      </c>
      <c r="EL110" s="208">
        <v>-79741</v>
      </c>
      <c r="EM110" s="208">
        <v>-63792</v>
      </c>
      <c r="EN110" s="208">
        <v>-14353</v>
      </c>
      <c r="EO110" s="208">
        <v>-1595</v>
      </c>
      <c r="EP110" s="208">
        <v>-159481</v>
      </c>
      <c r="EQ110" s="208">
        <v>-214673</v>
      </c>
      <c r="ER110" s="208">
        <v>-171738</v>
      </c>
      <c r="ES110" s="208">
        <v>-38641</v>
      </c>
      <c r="ET110" s="208">
        <v>-4294</v>
      </c>
      <c r="EU110" s="208">
        <v>-429346</v>
      </c>
      <c r="EV110" s="666">
        <v>0.5</v>
      </c>
      <c r="EW110" s="666">
        <v>0.4</v>
      </c>
      <c r="EX110" s="666">
        <v>0.09</v>
      </c>
      <c r="EY110" s="666">
        <v>0.01</v>
      </c>
      <c r="EZ110" s="666">
        <v>1</v>
      </c>
      <c r="FA110" s="187" t="s">
        <v>1054</v>
      </c>
      <c r="FC110" s="187">
        <v>0</v>
      </c>
    </row>
    <row r="111" spans="1:159" s="187" customFormat="1" x14ac:dyDescent="0.2">
      <c r="B111" s="429" t="s">
        <v>299</v>
      </c>
      <c r="C111" s="429" t="s">
        <v>298</v>
      </c>
      <c r="D111" s="208">
        <v>44251808</v>
      </c>
      <c r="E111" s="208">
        <v>43366772</v>
      </c>
      <c r="F111" s="208">
        <v>0</v>
      </c>
      <c r="G111" s="208">
        <v>885036</v>
      </c>
      <c r="H111" s="208">
        <v>88503616</v>
      </c>
      <c r="I111" s="208">
        <v>0</v>
      </c>
      <c r="J111" s="208">
        <v>0</v>
      </c>
      <c r="K111" s="208">
        <v>44251808</v>
      </c>
      <c r="L111" s="208">
        <v>282158</v>
      </c>
      <c r="M111" s="208">
        <v>282158</v>
      </c>
      <c r="N111" s="208">
        <v>599180</v>
      </c>
      <c r="O111" s="208">
        <v>599180</v>
      </c>
      <c r="P111" s="208">
        <v>0</v>
      </c>
      <c r="Q111" s="208">
        <v>0</v>
      </c>
      <c r="R111" s="208">
        <v>0</v>
      </c>
      <c r="S111" s="208">
        <v>0</v>
      </c>
      <c r="T111" s="208">
        <v>0</v>
      </c>
      <c r="U111" s="208">
        <v>0</v>
      </c>
      <c r="V111" s="208">
        <v>0</v>
      </c>
      <c r="W111" s="208">
        <v>0</v>
      </c>
      <c r="X111" s="208">
        <v>0</v>
      </c>
      <c r="Y111" s="208">
        <v>0</v>
      </c>
      <c r="Z111" s="208">
        <v>0</v>
      </c>
      <c r="AA111" s="208">
        <v>0</v>
      </c>
      <c r="AB111" s="208">
        <v>0</v>
      </c>
      <c r="AC111" s="208">
        <v>0</v>
      </c>
      <c r="AD111" s="208">
        <v>0</v>
      </c>
      <c r="AE111" s="208">
        <v>0</v>
      </c>
      <c r="AF111" s="208">
        <v>0</v>
      </c>
      <c r="AG111" s="208">
        <v>3493889</v>
      </c>
      <c r="AH111" s="208">
        <v>0</v>
      </c>
      <c r="AI111" s="208">
        <v>68967</v>
      </c>
      <c r="AJ111" s="208">
        <v>3562856</v>
      </c>
      <c r="AK111" s="208">
        <v>1583690</v>
      </c>
      <c r="AL111" s="208">
        <v>1552016</v>
      </c>
      <c r="AM111" s="208">
        <v>0</v>
      </c>
      <c r="AN111" s="208">
        <v>31674</v>
      </c>
      <c r="AO111" s="208">
        <v>3167380</v>
      </c>
      <c r="AP111" s="208">
        <v>-795398</v>
      </c>
      <c r="AQ111" s="208">
        <v>-779490</v>
      </c>
      <c r="AR111" s="208">
        <v>0</v>
      </c>
      <c r="AS111" s="208">
        <v>-15908</v>
      </c>
      <c r="AT111" s="208">
        <v>-1590796</v>
      </c>
      <c r="AU111" s="208">
        <v>-750000</v>
      </c>
      <c r="AV111" s="208">
        <v>-735000</v>
      </c>
      <c r="AW111" s="208">
        <v>0</v>
      </c>
      <c r="AX111" s="208">
        <v>-15000</v>
      </c>
      <c r="AY111" s="208">
        <v>-1500000</v>
      </c>
      <c r="AZ111" s="208">
        <v>335135</v>
      </c>
      <c r="BA111" s="208">
        <v>328432</v>
      </c>
      <c r="BB111" s="208">
        <v>0</v>
      </c>
      <c r="BC111" s="208">
        <v>6703</v>
      </c>
      <c r="BD111" s="208">
        <v>670270</v>
      </c>
      <c r="BE111" s="208">
        <v>-335135</v>
      </c>
      <c r="BF111" s="208">
        <v>-328432</v>
      </c>
      <c r="BG111" s="208">
        <v>0</v>
      </c>
      <c r="BH111" s="208">
        <v>-6703</v>
      </c>
      <c r="BI111" s="208">
        <v>-670270</v>
      </c>
      <c r="BJ111" s="208">
        <v>-750000</v>
      </c>
      <c r="BK111" s="208">
        <v>-735000</v>
      </c>
      <c r="BL111" s="208">
        <v>0</v>
      </c>
      <c r="BM111" s="208">
        <v>-15000</v>
      </c>
      <c r="BN111" s="208">
        <v>-1500000</v>
      </c>
      <c r="BO111" s="208">
        <v>-2522437</v>
      </c>
      <c r="BP111" s="208">
        <v>-2471989</v>
      </c>
      <c r="BQ111" s="208">
        <v>0</v>
      </c>
      <c r="BR111" s="208">
        <v>-50449</v>
      </c>
      <c r="BS111" s="208">
        <v>-5044875</v>
      </c>
      <c r="BT111" s="208">
        <v>-550000</v>
      </c>
      <c r="BU111" s="208">
        <v>-539000</v>
      </c>
      <c r="BV111" s="208">
        <v>0</v>
      </c>
      <c r="BW111" s="208">
        <v>-11000</v>
      </c>
      <c r="BX111" s="208">
        <v>-1100000</v>
      </c>
      <c r="BY111" s="208">
        <v>-1972437</v>
      </c>
      <c r="BZ111" s="208">
        <v>-1932989</v>
      </c>
      <c r="CA111" s="208">
        <v>0</v>
      </c>
      <c r="CB111" s="208">
        <v>-39449</v>
      </c>
      <c r="CC111" s="208">
        <v>-3944875</v>
      </c>
      <c r="CD111" s="208">
        <v>562534</v>
      </c>
      <c r="CE111" s="208">
        <v>551284</v>
      </c>
      <c r="CF111" s="208">
        <v>0</v>
      </c>
      <c r="CG111" s="208">
        <v>11251</v>
      </c>
      <c r="CH111" s="208">
        <v>1125069</v>
      </c>
      <c r="CI111" s="208">
        <v>804303</v>
      </c>
      <c r="CJ111" s="208">
        <v>788216</v>
      </c>
      <c r="CK111" s="208">
        <v>0</v>
      </c>
      <c r="CL111" s="208">
        <v>16086</v>
      </c>
      <c r="CM111" s="208">
        <v>1608605</v>
      </c>
      <c r="CN111" s="208">
        <v>-562534</v>
      </c>
      <c r="CO111" s="208">
        <v>-551284</v>
      </c>
      <c r="CP111" s="208">
        <v>0</v>
      </c>
      <c r="CQ111" s="208">
        <v>-11251</v>
      </c>
      <c r="CR111" s="208">
        <v>-1125069</v>
      </c>
      <c r="CS111" s="208">
        <v>-804303</v>
      </c>
      <c r="CT111" s="208">
        <v>-788216</v>
      </c>
      <c r="CU111" s="208">
        <v>0</v>
      </c>
      <c r="CV111" s="208">
        <v>-16086</v>
      </c>
      <c r="CW111" s="208">
        <v>-1608605</v>
      </c>
      <c r="CX111" s="208">
        <v>-2522437</v>
      </c>
      <c r="CY111" s="208">
        <v>-2471989</v>
      </c>
      <c r="CZ111" s="208">
        <v>0</v>
      </c>
      <c r="DA111" s="208">
        <v>-50449</v>
      </c>
      <c r="DB111" s="208">
        <v>-5044875</v>
      </c>
      <c r="DC111" s="208">
        <v>-550000</v>
      </c>
      <c r="DD111" s="208">
        <v>-539000</v>
      </c>
      <c r="DE111" s="208">
        <v>0</v>
      </c>
      <c r="DF111" s="208">
        <v>-11000</v>
      </c>
      <c r="DG111" s="208">
        <v>-1100000</v>
      </c>
      <c r="DH111" s="208">
        <v>-1972437</v>
      </c>
      <c r="DI111" s="208">
        <v>-1932989</v>
      </c>
      <c r="DJ111" s="208">
        <v>0</v>
      </c>
      <c r="DK111" s="208">
        <v>-39449</v>
      </c>
      <c r="DL111" s="208">
        <v>-3944875</v>
      </c>
      <c r="DM111" s="208">
        <v>-4818766</v>
      </c>
      <c r="DN111" s="208">
        <v>-4722390</v>
      </c>
      <c r="DO111" s="208">
        <v>0</v>
      </c>
      <c r="DP111" s="208">
        <v>-96375</v>
      </c>
      <c r="DQ111" s="208">
        <v>-9637531</v>
      </c>
      <c r="DR111" s="208">
        <v>-4639985</v>
      </c>
      <c r="DS111" s="208">
        <v>-4547186</v>
      </c>
      <c r="DT111" s="208">
        <v>0</v>
      </c>
      <c r="DU111" s="208">
        <v>-92800</v>
      </c>
      <c r="DV111" s="208">
        <v>-9279971</v>
      </c>
      <c r="DW111" s="208">
        <v>-178781</v>
      </c>
      <c r="DX111" s="208">
        <v>-175204</v>
      </c>
      <c r="DY111" s="208">
        <v>0</v>
      </c>
      <c r="DZ111" s="208">
        <v>-3575</v>
      </c>
      <c r="EA111" s="208">
        <v>-357560</v>
      </c>
      <c r="EB111" s="208">
        <v>44334786</v>
      </c>
      <c r="EC111" s="208">
        <v>43448091</v>
      </c>
      <c r="ED111" s="208">
        <v>0</v>
      </c>
      <c r="EE111" s="208">
        <v>886696</v>
      </c>
      <c r="EF111" s="208">
        <v>88669573</v>
      </c>
      <c r="EG111" s="208">
        <v>44251808</v>
      </c>
      <c r="EH111" s="208">
        <v>43366772</v>
      </c>
      <c r="EI111" s="208">
        <v>0</v>
      </c>
      <c r="EJ111" s="208">
        <v>885036</v>
      </c>
      <c r="EK111" s="208">
        <v>88503616</v>
      </c>
      <c r="EL111" s="208">
        <v>-82978</v>
      </c>
      <c r="EM111" s="208">
        <v>-81319</v>
      </c>
      <c r="EN111" s="208">
        <v>0</v>
      </c>
      <c r="EO111" s="208">
        <v>-1660</v>
      </c>
      <c r="EP111" s="208">
        <v>-165957</v>
      </c>
      <c r="EQ111" s="208">
        <v>-261759</v>
      </c>
      <c r="ER111" s="208">
        <v>-256523</v>
      </c>
      <c r="ES111" s="208">
        <v>0</v>
      </c>
      <c r="ET111" s="208">
        <v>-5235</v>
      </c>
      <c r="EU111" s="208">
        <v>-523517</v>
      </c>
      <c r="EV111" s="666">
        <v>0.5</v>
      </c>
      <c r="EW111" s="666">
        <v>0.49</v>
      </c>
      <c r="EX111" s="666">
        <v>0</v>
      </c>
      <c r="EY111" s="666">
        <v>0.01</v>
      </c>
      <c r="EZ111" s="666">
        <v>1</v>
      </c>
      <c r="FA111" s="187" t="s">
        <v>1056</v>
      </c>
      <c r="FC111" s="187">
        <v>0</v>
      </c>
    </row>
    <row r="112" spans="1:159" s="187" customFormat="1" x14ac:dyDescent="0.2">
      <c r="B112" s="429" t="s">
        <v>301</v>
      </c>
      <c r="C112" s="429" t="s">
        <v>300</v>
      </c>
      <c r="D112" s="208">
        <v>11405085.27</v>
      </c>
      <c r="E112" s="208">
        <v>9124069</v>
      </c>
      <c r="F112" s="208">
        <v>2052916</v>
      </c>
      <c r="G112" s="208">
        <v>228102</v>
      </c>
      <c r="H112" s="208">
        <v>22810172.27</v>
      </c>
      <c r="I112" s="208">
        <v>0</v>
      </c>
      <c r="J112" s="208">
        <v>0</v>
      </c>
      <c r="K112" s="208">
        <v>11405085.27</v>
      </c>
      <c r="L112" s="208">
        <v>100325</v>
      </c>
      <c r="M112" s="208">
        <v>100325</v>
      </c>
      <c r="N112" s="208">
        <v>0</v>
      </c>
      <c r="O112" s="208">
        <v>0</v>
      </c>
      <c r="P112" s="208">
        <v>134786</v>
      </c>
      <c r="Q112" s="208">
        <v>0</v>
      </c>
      <c r="R112" s="208">
        <v>134786</v>
      </c>
      <c r="S112" s="208">
        <v>0</v>
      </c>
      <c r="T112" s="208">
        <v>0</v>
      </c>
      <c r="U112" s="208">
        <v>0</v>
      </c>
      <c r="V112" s="208">
        <v>0</v>
      </c>
      <c r="W112" s="208">
        <v>0</v>
      </c>
      <c r="X112" s="208">
        <v>0</v>
      </c>
      <c r="Y112" s="208">
        <v>0</v>
      </c>
      <c r="Z112" s="208">
        <v>0</v>
      </c>
      <c r="AA112" s="208">
        <v>0</v>
      </c>
      <c r="AB112" s="208">
        <v>0</v>
      </c>
      <c r="AC112" s="208">
        <v>0</v>
      </c>
      <c r="AD112" s="208">
        <v>0</v>
      </c>
      <c r="AE112" s="208">
        <v>0</v>
      </c>
      <c r="AF112" s="208">
        <v>0</v>
      </c>
      <c r="AG112" s="208">
        <v>1076482</v>
      </c>
      <c r="AH112" s="208">
        <v>241324</v>
      </c>
      <c r="AI112" s="208">
        <v>26814</v>
      </c>
      <c r="AJ112" s="208">
        <v>1344620</v>
      </c>
      <c r="AK112" s="208">
        <v>343847</v>
      </c>
      <c r="AL112" s="208">
        <v>275077</v>
      </c>
      <c r="AM112" s="208">
        <v>61892</v>
      </c>
      <c r="AN112" s="208">
        <v>6877</v>
      </c>
      <c r="AO112" s="208">
        <v>687693</v>
      </c>
      <c r="AP112" s="208">
        <v>-175149</v>
      </c>
      <c r="AQ112" s="208">
        <v>-140119</v>
      </c>
      <c r="AR112" s="208">
        <v>-31527</v>
      </c>
      <c r="AS112" s="208">
        <v>-3503</v>
      </c>
      <c r="AT112" s="208">
        <v>-350298</v>
      </c>
      <c r="AU112" s="208">
        <v>-123850</v>
      </c>
      <c r="AV112" s="208">
        <v>-99080</v>
      </c>
      <c r="AW112" s="208">
        <v>-22293</v>
      </c>
      <c r="AX112" s="208">
        <v>-2477</v>
      </c>
      <c r="AY112" s="208">
        <v>-247700</v>
      </c>
      <c r="AZ112" s="208">
        <v>44398</v>
      </c>
      <c r="BA112" s="208">
        <v>35519</v>
      </c>
      <c r="BB112" s="208">
        <v>7992</v>
      </c>
      <c r="BC112" s="208">
        <v>888</v>
      </c>
      <c r="BD112" s="208">
        <v>88797</v>
      </c>
      <c r="BE112" s="208">
        <v>-80510</v>
      </c>
      <c r="BF112" s="208">
        <v>-64408</v>
      </c>
      <c r="BG112" s="208">
        <v>-14492</v>
      </c>
      <c r="BH112" s="208">
        <v>-1610</v>
      </c>
      <c r="BI112" s="208">
        <v>-161020</v>
      </c>
      <c r="BJ112" s="208">
        <v>-159962</v>
      </c>
      <c r="BK112" s="208">
        <v>-127969</v>
      </c>
      <c r="BL112" s="208">
        <v>-28793</v>
      </c>
      <c r="BM112" s="208">
        <v>-3199</v>
      </c>
      <c r="BN112" s="208">
        <v>-319923</v>
      </c>
      <c r="BO112" s="208">
        <v>-1033907</v>
      </c>
      <c r="BP112" s="208">
        <v>-827125</v>
      </c>
      <c r="BQ112" s="208">
        <v>-186103</v>
      </c>
      <c r="BR112" s="208">
        <v>-20678</v>
      </c>
      <c r="BS112" s="208">
        <v>-2067813</v>
      </c>
      <c r="BT112" s="208">
        <v>-855839</v>
      </c>
      <c r="BU112" s="208">
        <v>-684672</v>
      </c>
      <c r="BV112" s="208">
        <v>-154051</v>
      </c>
      <c r="BW112" s="208">
        <v>-17117</v>
      </c>
      <c r="BX112" s="208">
        <v>-1711679</v>
      </c>
      <c r="BY112" s="208">
        <v>-178067</v>
      </c>
      <c r="BZ112" s="208">
        <v>-142454</v>
      </c>
      <c r="CA112" s="208">
        <v>-32052</v>
      </c>
      <c r="CB112" s="208">
        <v>-3561</v>
      </c>
      <c r="CC112" s="208">
        <v>-356134</v>
      </c>
      <c r="CD112" s="208">
        <v>83599</v>
      </c>
      <c r="CE112" s="208">
        <v>66880</v>
      </c>
      <c r="CF112" s="208">
        <v>15048</v>
      </c>
      <c r="CG112" s="208">
        <v>1672</v>
      </c>
      <c r="CH112" s="208">
        <v>167199</v>
      </c>
      <c r="CI112" s="208">
        <v>54520</v>
      </c>
      <c r="CJ112" s="208">
        <v>43615</v>
      </c>
      <c r="CK112" s="208">
        <v>9813</v>
      </c>
      <c r="CL112" s="208">
        <v>1090</v>
      </c>
      <c r="CM112" s="208">
        <v>109038</v>
      </c>
      <c r="CN112" s="208">
        <v>-25392</v>
      </c>
      <c r="CO112" s="208">
        <v>-20314</v>
      </c>
      <c r="CP112" s="208">
        <v>-4571</v>
      </c>
      <c r="CQ112" s="208">
        <v>-508</v>
      </c>
      <c r="CR112" s="208">
        <v>-50785</v>
      </c>
      <c r="CS112" s="208">
        <v>-145058</v>
      </c>
      <c r="CT112" s="208">
        <v>-116047</v>
      </c>
      <c r="CU112" s="208">
        <v>-26111</v>
      </c>
      <c r="CV112" s="208">
        <v>-2901</v>
      </c>
      <c r="CW112" s="208">
        <v>-290117</v>
      </c>
      <c r="CX112" s="208">
        <v>-1066238</v>
      </c>
      <c r="CY112" s="208">
        <v>-852991</v>
      </c>
      <c r="CZ112" s="208">
        <v>-191924</v>
      </c>
      <c r="DA112" s="208">
        <v>-21325</v>
      </c>
      <c r="DB112" s="208">
        <v>-2132478</v>
      </c>
      <c r="DC112" s="208">
        <v>-797632</v>
      </c>
      <c r="DD112" s="208">
        <v>-638106</v>
      </c>
      <c r="DE112" s="208">
        <v>-143574</v>
      </c>
      <c r="DF112" s="208">
        <v>-15953</v>
      </c>
      <c r="DG112" s="208">
        <v>-1595265</v>
      </c>
      <c r="DH112" s="208">
        <v>-268605</v>
      </c>
      <c r="DI112" s="208">
        <v>-214886</v>
      </c>
      <c r="DJ112" s="208">
        <v>-48350</v>
      </c>
      <c r="DK112" s="208">
        <v>-5372</v>
      </c>
      <c r="DL112" s="208">
        <v>-537213</v>
      </c>
      <c r="DM112" s="208">
        <v>-521428.67000000179</v>
      </c>
      <c r="DN112" s="208">
        <v>-417143</v>
      </c>
      <c r="DO112" s="208">
        <v>-93856</v>
      </c>
      <c r="DP112" s="208">
        <v>-10429</v>
      </c>
      <c r="DQ112" s="208">
        <v>-1042856.6700000018</v>
      </c>
      <c r="DR112" s="208">
        <v>-353846</v>
      </c>
      <c r="DS112" s="208">
        <v>-283077</v>
      </c>
      <c r="DT112" s="208">
        <v>-63692</v>
      </c>
      <c r="DU112" s="208">
        <v>-7077</v>
      </c>
      <c r="DV112" s="208">
        <v>-707692</v>
      </c>
      <c r="DW112" s="208">
        <v>-167582.67000000179</v>
      </c>
      <c r="DX112" s="208">
        <v>-134066</v>
      </c>
      <c r="DY112" s="208">
        <v>-30164</v>
      </c>
      <c r="DZ112" s="208">
        <v>-3352</v>
      </c>
      <c r="EA112" s="208">
        <v>-335164.67000000179</v>
      </c>
      <c r="EB112" s="208">
        <v>11520604</v>
      </c>
      <c r="EC112" s="208">
        <v>9216484</v>
      </c>
      <c r="ED112" s="208">
        <v>2073709</v>
      </c>
      <c r="EE112" s="208">
        <v>230412</v>
      </c>
      <c r="EF112" s="208">
        <v>23041209</v>
      </c>
      <c r="EG112" s="208">
        <v>11405085.27</v>
      </c>
      <c r="EH112" s="208">
        <v>9124069</v>
      </c>
      <c r="EI112" s="208">
        <v>2052916</v>
      </c>
      <c r="EJ112" s="208">
        <v>228102</v>
      </c>
      <c r="EK112" s="208">
        <v>22810172.27</v>
      </c>
      <c r="EL112" s="208">
        <v>-115518.73000000045</v>
      </c>
      <c r="EM112" s="208">
        <v>-92415</v>
      </c>
      <c r="EN112" s="208">
        <v>-20793</v>
      </c>
      <c r="EO112" s="208">
        <v>-2310</v>
      </c>
      <c r="EP112" s="208">
        <v>-231036.73000000045</v>
      </c>
      <c r="EQ112" s="208">
        <v>-283101.40000000224</v>
      </c>
      <c r="ER112" s="208">
        <v>-226481</v>
      </c>
      <c r="ES112" s="208">
        <v>-50957</v>
      </c>
      <c r="ET112" s="208">
        <v>-5662</v>
      </c>
      <c r="EU112" s="208">
        <v>-566201.40000000224</v>
      </c>
      <c r="EV112" s="666">
        <v>0.5</v>
      </c>
      <c r="EW112" s="666">
        <v>0.4</v>
      </c>
      <c r="EX112" s="666">
        <v>0.09</v>
      </c>
      <c r="EY112" s="666">
        <v>0.01</v>
      </c>
      <c r="EZ112" s="666">
        <v>1</v>
      </c>
      <c r="FA112" s="187" t="s">
        <v>1054</v>
      </c>
      <c r="FC112" s="187">
        <v>0</v>
      </c>
    </row>
    <row r="113" spans="2:159" s="187" customFormat="1" x14ac:dyDescent="0.2">
      <c r="B113" s="429" t="s">
        <v>303</v>
      </c>
      <c r="C113" s="429" t="s">
        <v>302</v>
      </c>
      <c r="D113" s="208">
        <v>-1</v>
      </c>
      <c r="E113" s="208">
        <v>26176174</v>
      </c>
      <c r="F113" s="208">
        <v>26176174</v>
      </c>
      <c r="G113" s="208">
        <v>0</v>
      </c>
      <c r="H113" s="208">
        <v>52352347</v>
      </c>
      <c r="I113" s="208">
        <v>0</v>
      </c>
      <c r="J113" s="208">
        <v>0</v>
      </c>
      <c r="K113" s="208">
        <v>-1</v>
      </c>
      <c r="L113" s="208">
        <v>172566</v>
      </c>
      <c r="M113" s="208">
        <v>172566</v>
      </c>
      <c r="N113" s="208">
        <v>0</v>
      </c>
      <c r="O113" s="208">
        <v>0</v>
      </c>
      <c r="P113" s="208">
        <v>0</v>
      </c>
      <c r="Q113" s="208">
        <v>0</v>
      </c>
      <c r="R113" s="208">
        <v>0</v>
      </c>
      <c r="S113" s="208">
        <v>0</v>
      </c>
      <c r="T113" s="208">
        <v>0</v>
      </c>
      <c r="U113" s="208">
        <v>0</v>
      </c>
      <c r="V113" s="208">
        <v>0</v>
      </c>
      <c r="W113" s="208">
        <v>0</v>
      </c>
      <c r="X113" s="208">
        <v>0</v>
      </c>
      <c r="Y113" s="208">
        <v>0</v>
      </c>
      <c r="Z113" s="208">
        <v>0</v>
      </c>
      <c r="AA113" s="208">
        <v>0</v>
      </c>
      <c r="AB113" s="208">
        <v>0</v>
      </c>
      <c r="AC113" s="208">
        <v>0</v>
      </c>
      <c r="AD113" s="208">
        <v>0</v>
      </c>
      <c r="AE113" s="208">
        <v>0</v>
      </c>
      <c r="AF113" s="208">
        <v>0</v>
      </c>
      <c r="AG113" s="208">
        <v>1846691</v>
      </c>
      <c r="AH113" s="208">
        <v>1846691</v>
      </c>
      <c r="AI113" s="208">
        <v>0</v>
      </c>
      <c r="AJ113" s="208">
        <v>3693382</v>
      </c>
      <c r="AK113" s="208">
        <v>0</v>
      </c>
      <c r="AL113" s="208">
        <v>780156</v>
      </c>
      <c r="AM113" s="208">
        <v>780156</v>
      </c>
      <c r="AN113" s="208">
        <v>0</v>
      </c>
      <c r="AO113" s="208">
        <v>1560312</v>
      </c>
      <c r="AP113" s="208">
        <v>0</v>
      </c>
      <c r="AQ113" s="208">
        <v>-753225</v>
      </c>
      <c r="AR113" s="208">
        <v>-753225</v>
      </c>
      <c r="AS113" s="208">
        <v>0</v>
      </c>
      <c r="AT113" s="208">
        <v>-1506450</v>
      </c>
      <c r="AU113" s="208">
        <v>1</v>
      </c>
      <c r="AV113" s="208">
        <v>-640670</v>
      </c>
      <c r="AW113" s="208">
        <v>-640670</v>
      </c>
      <c r="AX113" s="208">
        <v>0</v>
      </c>
      <c r="AY113" s="208">
        <v>-1281339</v>
      </c>
      <c r="AZ113" s="208">
        <v>0</v>
      </c>
      <c r="BA113" s="208">
        <v>449416</v>
      </c>
      <c r="BB113" s="208">
        <v>449416</v>
      </c>
      <c r="BC113" s="208">
        <v>0</v>
      </c>
      <c r="BD113" s="208">
        <v>898832</v>
      </c>
      <c r="BE113" s="208">
        <v>0</v>
      </c>
      <c r="BF113" s="208">
        <v>-222950</v>
      </c>
      <c r="BG113" s="208">
        <v>-222950</v>
      </c>
      <c r="BH113" s="208">
        <v>0</v>
      </c>
      <c r="BI113" s="208">
        <v>-445900</v>
      </c>
      <c r="BJ113" s="208">
        <v>1</v>
      </c>
      <c r="BK113" s="208">
        <v>-414204</v>
      </c>
      <c r="BL113" s="208">
        <v>-414204</v>
      </c>
      <c r="BM113" s="208">
        <v>0</v>
      </c>
      <c r="BN113" s="208">
        <v>-828407</v>
      </c>
      <c r="BO113" s="208">
        <v>1</v>
      </c>
      <c r="BP113" s="208">
        <v>-1875787</v>
      </c>
      <c r="BQ113" s="208">
        <v>-1875787</v>
      </c>
      <c r="BR113" s="208">
        <v>0</v>
      </c>
      <c r="BS113" s="208">
        <v>-3751573</v>
      </c>
      <c r="BT113" s="208">
        <v>1</v>
      </c>
      <c r="BU113" s="208">
        <v>-1199598</v>
      </c>
      <c r="BV113" s="208">
        <v>-1199598</v>
      </c>
      <c r="BW113" s="208">
        <v>0</v>
      </c>
      <c r="BX113" s="208">
        <v>-2399195</v>
      </c>
      <c r="BY113" s="208">
        <v>0</v>
      </c>
      <c r="BZ113" s="208">
        <v>-676189</v>
      </c>
      <c r="CA113" s="208">
        <v>-676189</v>
      </c>
      <c r="CB113" s="208">
        <v>0</v>
      </c>
      <c r="CC113" s="208">
        <v>-1352378</v>
      </c>
      <c r="CD113" s="208">
        <v>0</v>
      </c>
      <c r="CE113" s="208">
        <v>151660</v>
      </c>
      <c r="CF113" s="208">
        <v>151660</v>
      </c>
      <c r="CG113" s="208">
        <v>0</v>
      </c>
      <c r="CH113" s="208">
        <v>303320</v>
      </c>
      <c r="CI113" s="208">
        <v>0</v>
      </c>
      <c r="CJ113" s="208">
        <v>328530</v>
      </c>
      <c r="CK113" s="208">
        <v>328530</v>
      </c>
      <c r="CL113" s="208">
        <v>0</v>
      </c>
      <c r="CM113" s="208">
        <v>657060</v>
      </c>
      <c r="CN113" s="208">
        <v>-1</v>
      </c>
      <c r="CO113" s="208">
        <v>95211</v>
      </c>
      <c r="CP113" s="208">
        <v>95211</v>
      </c>
      <c r="CQ113" s="208">
        <v>0</v>
      </c>
      <c r="CR113" s="208">
        <v>190421</v>
      </c>
      <c r="CS113" s="208">
        <v>0</v>
      </c>
      <c r="CT113" s="208">
        <v>-328745</v>
      </c>
      <c r="CU113" s="208">
        <v>-328745</v>
      </c>
      <c r="CV113" s="208">
        <v>0</v>
      </c>
      <c r="CW113" s="208">
        <v>-657490</v>
      </c>
      <c r="CX113" s="208">
        <v>0</v>
      </c>
      <c r="CY113" s="208">
        <v>-1629131</v>
      </c>
      <c r="CZ113" s="208">
        <v>-1629131</v>
      </c>
      <c r="DA113" s="208">
        <v>0</v>
      </c>
      <c r="DB113" s="208">
        <v>-3258262</v>
      </c>
      <c r="DC113" s="208">
        <v>0</v>
      </c>
      <c r="DD113" s="208">
        <v>-952727</v>
      </c>
      <c r="DE113" s="208">
        <v>-952727</v>
      </c>
      <c r="DF113" s="208">
        <v>0</v>
      </c>
      <c r="DG113" s="208">
        <v>-1905454</v>
      </c>
      <c r="DH113" s="208">
        <v>0</v>
      </c>
      <c r="DI113" s="208">
        <v>-676404</v>
      </c>
      <c r="DJ113" s="208">
        <v>-676404</v>
      </c>
      <c r="DK113" s="208">
        <v>0</v>
      </c>
      <c r="DL113" s="208">
        <v>-1352808</v>
      </c>
      <c r="DM113" s="208">
        <v>-1126430</v>
      </c>
      <c r="DN113" s="208">
        <v>-901145</v>
      </c>
      <c r="DO113" s="208">
        <v>-225286</v>
      </c>
      <c r="DP113" s="208">
        <v>0</v>
      </c>
      <c r="DQ113" s="208">
        <v>-2252861</v>
      </c>
      <c r="DR113" s="208">
        <v>-1127052</v>
      </c>
      <c r="DS113" s="208">
        <v>-901642</v>
      </c>
      <c r="DT113" s="208">
        <v>-225410</v>
      </c>
      <c r="DU113" s="208">
        <v>0</v>
      </c>
      <c r="DV113" s="208">
        <v>-2254104</v>
      </c>
      <c r="DW113" s="208">
        <v>622</v>
      </c>
      <c r="DX113" s="208">
        <v>497</v>
      </c>
      <c r="DY113" s="208">
        <v>124</v>
      </c>
      <c r="DZ113" s="208">
        <v>0</v>
      </c>
      <c r="EA113" s="208">
        <v>1243</v>
      </c>
      <c r="EB113" s="208">
        <v>0</v>
      </c>
      <c r="EC113" s="208">
        <v>26583139</v>
      </c>
      <c r="ED113" s="208">
        <v>26583139</v>
      </c>
      <c r="EE113" s="208">
        <v>0</v>
      </c>
      <c r="EF113" s="208">
        <v>53166278</v>
      </c>
      <c r="EG113" s="208">
        <v>0</v>
      </c>
      <c r="EH113" s="208">
        <v>26176173</v>
      </c>
      <c r="EI113" s="208">
        <v>26176174</v>
      </c>
      <c r="EJ113" s="208">
        <v>0</v>
      </c>
      <c r="EK113" s="208">
        <v>52352347</v>
      </c>
      <c r="EL113" s="208">
        <v>0</v>
      </c>
      <c r="EM113" s="208">
        <v>-406966</v>
      </c>
      <c r="EN113" s="208">
        <v>-406965</v>
      </c>
      <c r="EO113" s="208">
        <v>0</v>
      </c>
      <c r="EP113" s="208">
        <v>-813931</v>
      </c>
      <c r="EQ113" s="208">
        <v>622</v>
      </c>
      <c r="ER113" s="208">
        <v>-406469</v>
      </c>
      <c r="ES113" s="208">
        <v>-406841</v>
      </c>
      <c r="ET113" s="208">
        <v>0</v>
      </c>
      <c r="EU113" s="208">
        <v>-812688</v>
      </c>
      <c r="EV113" s="666">
        <v>0</v>
      </c>
      <c r="EW113" s="666">
        <v>0.5</v>
      </c>
      <c r="EX113" s="666">
        <v>0.5</v>
      </c>
      <c r="EY113" s="666">
        <v>0</v>
      </c>
      <c r="EZ113" s="666">
        <v>1</v>
      </c>
      <c r="FA113" s="187" t="s">
        <v>1054</v>
      </c>
      <c r="FC113" s="187">
        <v>0</v>
      </c>
    </row>
    <row r="114" spans="2:159" s="187" customFormat="1" x14ac:dyDescent="0.2">
      <c r="B114" s="429" t="s">
        <v>305</v>
      </c>
      <c r="C114" s="429" t="s">
        <v>304</v>
      </c>
      <c r="D114" s="208">
        <v>7186599</v>
      </c>
      <c r="E114" s="208">
        <v>5749280</v>
      </c>
      <c r="F114" s="208">
        <v>1293588</v>
      </c>
      <c r="G114" s="208">
        <v>143732</v>
      </c>
      <c r="H114" s="208">
        <v>14373199</v>
      </c>
      <c r="I114" s="208">
        <v>413426</v>
      </c>
      <c r="J114" s="208">
        <v>413426</v>
      </c>
      <c r="K114" s="208">
        <v>6773173</v>
      </c>
      <c r="L114" s="208">
        <v>78594</v>
      </c>
      <c r="M114" s="208">
        <v>78594</v>
      </c>
      <c r="N114" s="208">
        <v>0</v>
      </c>
      <c r="O114" s="208">
        <v>0</v>
      </c>
      <c r="P114" s="208">
        <v>0</v>
      </c>
      <c r="Q114" s="208">
        <v>0</v>
      </c>
      <c r="R114" s="208">
        <v>0</v>
      </c>
      <c r="S114" s="208">
        <v>0</v>
      </c>
      <c r="T114" s="208">
        <v>0</v>
      </c>
      <c r="U114" s="208">
        <v>0</v>
      </c>
      <c r="V114" s="208">
        <v>0</v>
      </c>
      <c r="W114" s="208">
        <v>413426.09166666667</v>
      </c>
      <c r="X114" s="208">
        <v>0</v>
      </c>
      <c r="Y114" s="208">
        <v>0</v>
      </c>
      <c r="Z114" s="208">
        <v>413426.09166666667</v>
      </c>
      <c r="AA114" s="208">
        <v>0</v>
      </c>
      <c r="AB114" s="208">
        <v>0</v>
      </c>
      <c r="AC114" s="208">
        <v>0</v>
      </c>
      <c r="AD114" s="208">
        <v>0</v>
      </c>
      <c r="AE114" s="208">
        <v>0</v>
      </c>
      <c r="AF114" s="208">
        <v>0</v>
      </c>
      <c r="AG114" s="208">
        <v>828957</v>
      </c>
      <c r="AH114" s="208">
        <v>181577</v>
      </c>
      <c r="AI114" s="208">
        <v>20176</v>
      </c>
      <c r="AJ114" s="208">
        <v>1030710</v>
      </c>
      <c r="AK114" s="208">
        <v>454330</v>
      </c>
      <c r="AL114" s="208">
        <v>363465</v>
      </c>
      <c r="AM114" s="208">
        <v>81780</v>
      </c>
      <c r="AN114" s="208">
        <v>9087</v>
      </c>
      <c r="AO114" s="208">
        <v>908662</v>
      </c>
      <c r="AP114" s="208">
        <v>-106314</v>
      </c>
      <c r="AQ114" s="208">
        <v>-85051</v>
      </c>
      <c r="AR114" s="208">
        <v>-19136</v>
      </c>
      <c r="AS114" s="208">
        <v>-2126</v>
      </c>
      <c r="AT114" s="208">
        <v>-212627</v>
      </c>
      <c r="AU114" s="208">
        <v>-398850</v>
      </c>
      <c r="AV114" s="208">
        <v>-319080</v>
      </c>
      <c r="AW114" s="208">
        <v>-71793</v>
      </c>
      <c r="AX114" s="208">
        <v>-7977</v>
      </c>
      <c r="AY114" s="208">
        <v>-797700</v>
      </c>
      <c r="AZ114" s="208">
        <v>25025</v>
      </c>
      <c r="BA114" s="208">
        <v>20020</v>
      </c>
      <c r="BB114" s="208">
        <v>4504</v>
      </c>
      <c r="BC114" s="208">
        <v>500</v>
      </c>
      <c r="BD114" s="208">
        <v>50049</v>
      </c>
      <c r="BE114" s="208">
        <v>-28875</v>
      </c>
      <c r="BF114" s="208">
        <v>-23100</v>
      </c>
      <c r="BG114" s="208">
        <v>-5197</v>
      </c>
      <c r="BH114" s="208">
        <v>-577</v>
      </c>
      <c r="BI114" s="208">
        <v>-57749</v>
      </c>
      <c r="BJ114" s="208">
        <v>-402700</v>
      </c>
      <c r="BK114" s="208">
        <v>-322160</v>
      </c>
      <c r="BL114" s="208">
        <v>-72486</v>
      </c>
      <c r="BM114" s="208">
        <v>-8054</v>
      </c>
      <c r="BN114" s="208">
        <v>-805400</v>
      </c>
      <c r="BO114" s="208">
        <v>-994699</v>
      </c>
      <c r="BP114" s="208">
        <v>-795760</v>
      </c>
      <c r="BQ114" s="208">
        <v>-179046</v>
      </c>
      <c r="BR114" s="208">
        <v>-19894</v>
      </c>
      <c r="BS114" s="208">
        <v>-1989399</v>
      </c>
      <c r="BT114" s="208">
        <v>-617099</v>
      </c>
      <c r="BU114" s="208">
        <v>-493680</v>
      </c>
      <c r="BV114" s="208">
        <v>-111078</v>
      </c>
      <c r="BW114" s="208">
        <v>-12342</v>
      </c>
      <c r="BX114" s="208">
        <v>-1234199</v>
      </c>
      <c r="BY114" s="208">
        <v>-377600</v>
      </c>
      <c r="BZ114" s="208">
        <v>-302080</v>
      </c>
      <c r="CA114" s="208">
        <v>-67968</v>
      </c>
      <c r="CB114" s="208">
        <v>-7552</v>
      </c>
      <c r="CC114" s="208">
        <v>-755200</v>
      </c>
      <c r="CD114" s="208">
        <v>24292</v>
      </c>
      <c r="CE114" s="208">
        <v>19434</v>
      </c>
      <c r="CF114" s="208">
        <v>4373</v>
      </c>
      <c r="CG114" s="208">
        <v>486</v>
      </c>
      <c r="CH114" s="208">
        <v>48585</v>
      </c>
      <c r="CI114" s="208">
        <v>0</v>
      </c>
      <c r="CJ114" s="208">
        <v>0</v>
      </c>
      <c r="CK114" s="208">
        <v>0</v>
      </c>
      <c r="CL114" s="208">
        <v>0</v>
      </c>
      <c r="CM114" s="208">
        <v>0</v>
      </c>
      <c r="CN114" s="208">
        <v>-367762</v>
      </c>
      <c r="CO114" s="208">
        <v>-294209</v>
      </c>
      <c r="CP114" s="208">
        <v>-66197</v>
      </c>
      <c r="CQ114" s="208">
        <v>-7355</v>
      </c>
      <c r="CR114" s="208">
        <v>-735523</v>
      </c>
      <c r="CS114" s="208">
        <v>-381800</v>
      </c>
      <c r="CT114" s="208">
        <v>-305440</v>
      </c>
      <c r="CU114" s="208">
        <v>-68724</v>
      </c>
      <c r="CV114" s="208">
        <v>-7636</v>
      </c>
      <c r="CW114" s="208">
        <v>-763600</v>
      </c>
      <c r="CX114" s="208">
        <v>-1719969</v>
      </c>
      <c r="CY114" s="208">
        <v>-1375975</v>
      </c>
      <c r="CZ114" s="208">
        <v>-309594</v>
      </c>
      <c r="DA114" s="208">
        <v>-34399</v>
      </c>
      <c r="DB114" s="208">
        <v>-3439937</v>
      </c>
      <c r="DC114" s="208">
        <v>-960569</v>
      </c>
      <c r="DD114" s="208">
        <v>-768455</v>
      </c>
      <c r="DE114" s="208">
        <v>-172902</v>
      </c>
      <c r="DF114" s="208">
        <v>-19211</v>
      </c>
      <c r="DG114" s="208">
        <v>-1921137</v>
      </c>
      <c r="DH114" s="208">
        <v>-759400</v>
      </c>
      <c r="DI114" s="208">
        <v>-607520</v>
      </c>
      <c r="DJ114" s="208">
        <v>-136692</v>
      </c>
      <c r="DK114" s="208">
        <v>-15188</v>
      </c>
      <c r="DL114" s="208">
        <v>-1518800</v>
      </c>
      <c r="DM114" s="208">
        <v>514706</v>
      </c>
      <c r="DN114" s="208">
        <v>411767</v>
      </c>
      <c r="DO114" s="208">
        <v>92648</v>
      </c>
      <c r="DP114" s="208">
        <v>10294</v>
      </c>
      <c r="DQ114" s="208">
        <v>1029415</v>
      </c>
      <c r="DR114" s="208">
        <v>179730</v>
      </c>
      <c r="DS114" s="208">
        <v>143784</v>
      </c>
      <c r="DT114" s="208">
        <v>32351</v>
      </c>
      <c r="DU114" s="208">
        <v>3595</v>
      </c>
      <c r="DV114" s="208">
        <v>359460</v>
      </c>
      <c r="DW114" s="208">
        <v>334976</v>
      </c>
      <c r="DX114" s="208">
        <v>267983</v>
      </c>
      <c r="DY114" s="208">
        <v>60297</v>
      </c>
      <c r="DZ114" s="208">
        <v>6699</v>
      </c>
      <c r="EA114" s="208">
        <v>669955</v>
      </c>
      <c r="EB114" s="208">
        <v>7637978</v>
      </c>
      <c r="EC114" s="208">
        <v>6110382</v>
      </c>
      <c r="ED114" s="208">
        <v>1374836</v>
      </c>
      <c r="EE114" s="208">
        <v>152760</v>
      </c>
      <c r="EF114" s="208">
        <v>15275956</v>
      </c>
      <c r="EG114" s="208">
        <v>7186599</v>
      </c>
      <c r="EH114" s="208">
        <v>5749280</v>
      </c>
      <c r="EI114" s="208">
        <v>1293588</v>
      </c>
      <c r="EJ114" s="208">
        <v>143732</v>
      </c>
      <c r="EK114" s="208">
        <v>14373199</v>
      </c>
      <c r="EL114" s="208">
        <v>-451379</v>
      </c>
      <c r="EM114" s="208">
        <v>-361102</v>
      </c>
      <c r="EN114" s="208">
        <v>-81248</v>
      </c>
      <c r="EO114" s="208">
        <v>-9028</v>
      </c>
      <c r="EP114" s="208">
        <v>-902757</v>
      </c>
      <c r="EQ114" s="208">
        <v>-116403</v>
      </c>
      <c r="ER114" s="208">
        <v>-93119</v>
      </c>
      <c r="ES114" s="208">
        <v>-20951</v>
      </c>
      <c r="ET114" s="208">
        <v>-2329</v>
      </c>
      <c r="EU114" s="208">
        <v>-232802</v>
      </c>
      <c r="EV114" s="666">
        <v>0.5</v>
      </c>
      <c r="EW114" s="666">
        <v>0.4</v>
      </c>
      <c r="EX114" s="666">
        <v>0.09</v>
      </c>
      <c r="EY114" s="666">
        <v>0.01</v>
      </c>
      <c r="EZ114" s="666">
        <v>1</v>
      </c>
      <c r="FA114" s="187" t="s">
        <v>1054</v>
      </c>
      <c r="FC114" s="187">
        <v>0</v>
      </c>
    </row>
    <row r="115" spans="2:159" s="187" customFormat="1" x14ac:dyDescent="0.2">
      <c r="B115" s="429" t="s">
        <v>307</v>
      </c>
      <c r="C115" s="429" t="s">
        <v>306</v>
      </c>
      <c r="D115" s="208">
        <v>0</v>
      </c>
      <c r="E115" s="208">
        <v>10085713</v>
      </c>
      <c r="F115" s="208">
        <v>14876428</v>
      </c>
      <c r="G115" s="208">
        <v>252143</v>
      </c>
      <c r="H115" s="208">
        <v>25214284</v>
      </c>
      <c r="I115" s="208">
        <v>0</v>
      </c>
      <c r="J115" s="208">
        <v>0</v>
      </c>
      <c r="K115" s="208">
        <v>0</v>
      </c>
      <c r="L115" s="208">
        <v>94668</v>
      </c>
      <c r="M115" s="208">
        <v>94668</v>
      </c>
      <c r="N115" s="208">
        <v>0</v>
      </c>
      <c r="O115" s="208">
        <v>0</v>
      </c>
      <c r="P115" s="208">
        <v>0</v>
      </c>
      <c r="Q115" s="208">
        <v>0</v>
      </c>
      <c r="R115" s="208">
        <v>0</v>
      </c>
      <c r="S115" s="208">
        <v>0</v>
      </c>
      <c r="T115" s="208">
        <v>0</v>
      </c>
      <c r="U115" s="208">
        <v>0</v>
      </c>
      <c r="V115" s="208">
        <v>0</v>
      </c>
      <c r="W115" s="208">
        <v>0</v>
      </c>
      <c r="X115" s="208">
        <v>0</v>
      </c>
      <c r="Y115" s="208">
        <v>0</v>
      </c>
      <c r="Z115" s="208">
        <v>0</v>
      </c>
      <c r="AA115" s="208">
        <v>0</v>
      </c>
      <c r="AB115" s="208">
        <v>0</v>
      </c>
      <c r="AC115" s="208">
        <v>0</v>
      </c>
      <c r="AD115" s="208">
        <v>0</v>
      </c>
      <c r="AE115" s="208">
        <v>0</v>
      </c>
      <c r="AF115" s="208">
        <v>0</v>
      </c>
      <c r="AG115" s="208">
        <v>1136821</v>
      </c>
      <c r="AH115" s="208">
        <v>1676810</v>
      </c>
      <c r="AI115" s="208">
        <v>28420</v>
      </c>
      <c r="AJ115" s="208">
        <v>2842051</v>
      </c>
      <c r="AK115" s="208">
        <v>0</v>
      </c>
      <c r="AL115" s="208">
        <v>433344</v>
      </c>
      <c r="AM115" s="208">
        <v>639183</v>
      </c>
      <c r="AN115" s="208">
        <v>10834</v>
      </c>
      <c r="AO115" s="208">
        <v>1083361</v>
      </c>
      <c r="AP115" s="208">
        <v>0</v>
      </c>
      <c r="AQ115" s="208">
        <v>-90132</v>
      </c>
      <c r="AR115" s="208">
        <v>-132945</v>
      </c>
      <c r="AS115" s="208">
        <v>-2253</v>
      </c>
      <c r="AT115" s="208">
        <v>-225330</v>
      </c>
      <c r="AU115" s="208">
        <v>0</v>
      </c>
      <c r="AV115" s="208">
        <v>-566200</v>
      </c>
      <c r="AW115" s="208">
        <v>-835145</v>
      </c>
      <c r="AX115" s="208">
        <v>-14155</v>
      </c>
      <c r="AY115" s="208">
        <v>-1415500</v>
      </c>
      <c r="AZ115" s="208">
        <v>0</v>
      </c>
      <c r="BA115" s="208">
        <v>142442</v>
      </c>
      <c r="BB115" s="208">
        <v>210101</v>
      </c>
      <c r="BC115" s="208">
        <v>3561</v>
      </c>
      <c r="BD115" s="208">
        <v>356104</v>
      </c>
      <c r="BE115" s="208">
        <v>0</v>
      </c>
      <c r="BF115" s="208">
        <v>83823</v>
      </c>
      <c r="BG115" s="208">
        <v>123640</v>
      </c>
      <c r="BH115" s="208">
        <v>2096</v>
      </c>
      <c r="BI115" s="208">
        <v>209559</v>
      </c>
      <c r="BJ115" s="208">
        <v>0</v>
      </c>
      <c r="BK115" s="208">
        <v>-339935</v>
      </c>
      <c r="BL115" s="208">
        <v>-501404</v>
      </c>
      <c r="BM115" s="208">
        <v>-8498</v>
      </c>
      <c r="BN115" s="208">
        <v>-849837</v>
      </c>
      <c r="BO115" s="208">
        <v>0</v>
      </c>
      <c r="BP115" s="208">
        <v>-1468560</v>
      </c>
      <c r="BQ115" s="208">
        <v>-2166126</v>
      </c>
      <c r="BR115" s="208">
        <v>-36714</v>
      </c>
      <c r="BS115" s="208">
        <v>-3671400</v>
      </c>
      <c r="BT115" s="208">
        <v>0</v>
      </c>
      <c r="BU115" s="208">
        <v>-1268560</v>
      </c>
      <c r="BV115" s="208">
        <v>-1871126</v>
      </c>
      <c r="BW115" s="208">
        <v>-31714</v>
      </c>
      <c r="BX115" s="208">
        <v>-3171400</v>
      </c>
      <c r="BY115" s="208">
        <v>0</v>
      </c>
      <c r="BZ115" s="208">
        <v>-200000</v>
      </c>
      <c r="CA115" s="208">
        <v>-295000</v>
      </c>
      <c r="CB115" s="208">
        <v>-5000</v>
      </c>
      <c r="CC115" s="208">
        <v>-500000</v>
      </c>
      <c r="CD115" s="208">
        <v>0</v>
      </c>
      <c r="CE115" s="208">
        <v>20364</v>
      </c>
      <c r="CF115" s="208">
        <v>30037</v>
      </c>
      <c r="CG115" s="208">
        <v>509</v>
      </c>
      <c r="CH115" s="208">
        <v>50910</v>
      </c>
      <c r="CI115" s="208">
        <v>0</v>
      </c>
      <c r="CJ115" s="208">
        <v>0</v>
      </c>
      <c r="CK115" s="208">
        <v>0</v>
      </c>
      <c r="CL115" s="208">
        <v>0</v>
      </c>
      <c r="CM115" s="208">
        <v>0</v>
      </c>
      <c r="CN115" s="208">
        <v>0</v>
      </c>
      <c r="CO115" s="208">
        <v>290612</v>
      </c>
      <c r="CP115" s="208">
        <v>428653</v>
      </c>
      <c r="CQ115" s="208">
        <v>7265</v>
      </c>
      <c r="CR115" s="208">
        <v>726530</v>
      </c>
      <c r="CS115" s="208">
        <v>0</v>
      </c>
      <c r="CT115" s="208">
        <v>-60000</v>
      </c>
      <c r="CU115" s="208">
        <v>-88500</v>
      </c>
      <c r="CV115" s="208">
        <v>-1500</v>
      </c>
      <c r="CW115" s="208">
        <v>-150000</v>
      </c>
      <c r="CX115" s="208">
        <v>0</v>
      </c>
      <c r="CY115" s="208">
        <v>-1217584</v>
      </c>
      <c r="CZ115" s="208">
        <v>-1795936</v>
      </c>
      <c r="DA115" s="208">
        <v>-30440</v>
      </c>
      <c r="DB115" s="208">
        <v>-3043960</v>
      </c>
      <c r="DC115" s="208">
        <v>0</v>
      </c>
      <c r="DD115" s="208">
        <v>-957584</v>
      </c>
      <c r="DE115" s="208">
        <v>-1412436</v>
      </c>
      <c r="DF115" s="208">
        <v>-23940</v>
      </c>
      <c r="DG115" s="208">
        <v>-2393960</v>
      </c>
      <c r="DH115" s="208">
        <v>0</v>
      </c>
      <c r="DI115" s="208">
        <v>-260000</v>
      </c>
      <c r="DJ115" s="208">
        <v>-383500</v>
      </c>
      <c r="DK115" s="208">
        <v>-6500</v>
      </c>
      <c r="DL115" s="208">
        <v>-650000</v>
      </c>
      <c r="DM115" s="208">
        <v>-90000</v>
      </c>
      <c r="DN115" s="208">
        <v>-72000</v>
      </c>
      <c r="DO115" s="208">
        <v>-16200</v>
      </c>
      <c r="DP115" s="208">
        <v>-1800</v>
      </c>
      <c r="DQ115" s="208">
        <v>-180000</v>
      </c>
      <c r="DR115" s="208">
        <v>0</v>
      </c>
      <c r="DS115" s="208">
        <v>0</v>
      </c>
      <c r="DT115" s="208">
        <v>0</v>
      </c>
      <c r="DU115" s="208">
        <v>0</v>
      </c>
      <c r="DV115" s="208">
        <v>0</v>
      </c>
      <c r="DW115" s="208">
        <v>-90000</v>
      </c>
      <c r="DX115" s="208">
        <v>-72000</v>
      </c>
      <c r="DY115" s="208">
        <v>-16200</v>
      </c>
      <c r="DZ115" s="208">
        <v>-1800</v>
      </c>
      <c r="EA115" s="208">
        <v>-180000</v>
      </c>
      <c r="EB115" s="208">
        <v>0</v>
      </c>
      <c r="EC115" s="208">
        <v>9781713</v>
      </c>
      <c r="ED115" s="208">
        <v>14428028</v>
      </c>
      <c r="EE115" s="208">
        <v>244543</v>
      </c>
      <c r="EF115" s="208">
        <v>24454284</v>
      </c>
      <c r="EG115" s="208">
        <v>0</v>
      </c>
      <c r="EH115" s="208">
        <v>10085713</v>
      </c>
      <c r="EI115" s="208">
        <v>14876428</v>
      </c>
      <c r="EJ115" s="208">
        <v>252143</v>
      </c>
      <c r="EK115" s="208">
        <v>25214284</v>
      </c>
      <c r="EL115" s="208">
        <v>0</v>
      </c>
      <c r="EM115" s="208">
        <v>304000</v>
      </c>
      <c r="EN115" s="208">
        <v>448400</v>
      </c>
      <c r="EO115" s="208">
        <v>7600</v>
      </c>
      <c r="EP115" s="208">
        <v>760000</v>
      </c>
      <c r="EQ115" s="208">
        <v>-90000</v>
      </c>
      <c r="ER115" s="208">
        <v>232000</v>
      </c>
      <c r="ES115" s="208">
        <v>432200</v>
      </c>
      <c r="ET115" s="208">
        <v>5800</v>
      </c>
      <c r="EU115" s="208">
        <v>580000</v>
      </c>
      <c r="EV115" s="666">
        <v>0</v>
      </c>
      <c r="EW115" s="666">
        <v>0.4</v>
      </c>
      <c r="EX115" s="666">
        <v>0.59</v>
      </c>
      <c r="EY115" s="666">
        <v>0.01</v>
      </c>
      <c r="EZ115" s="666">
        <v>1</v>
      </c>
      <c r="FA115" s="187" t="s">
        <v>1054</v>
      </c>
      <c r="FC115" s="187">
        <v>0</v>
      </c>
    </row>
    <row r="116" spans="2:159" s="187" customFormat="1" x14ac:dyDescent="0.2">
      <c r="B116" s="429" t="s">
        <v>309</v>
      </c>
      <c r="C116" s="429" t="s">
        <v>308</v>
      </c>
      <c r="D116" s="208">
        <v>18497082</v>
      </c>
      <c r="E116" s="208">
        <v>14797666</v>
      </c>
      <c r="F116" s="208">
        <v>3699416</v>
      </c>
      <c r="G116" s="208">
        <v>0</v>
      </c>
      <c r="H116" s="208">
        <v>36994164</v>
      </c>
      <c r="I116" s="208">
        <v>573437</v>
      </c>
      <c r="J116" s="208">
        <v>573437</v>
      </c>
      <c r="K116" s="208">
        <v>17923645</v>
      </c>
      <c r="L116" s="208">
        <v>178566</v>
      </c>
      <c r="M116" s="208">
        <v>178566</v>
      </c>
      <c r="N116" s="208">
        <v>338381</v>
      </c>
      <c r="O116" s="208">
        <v>338381</v>
      </c>
      <c r="P116" s="208">
        <v>58034</v>
      </c>
      <c r="Q116" s="208">
        <v>0</v>
      </c>
      <c r="R116" s="208">
        <v>58034</v>
      </c>
      <c r="S116" s="208">
        <v>0</v>
      </c>
      <c r="T116" s="208">
        <v>0</v>
      </c>
      <c r="U116" s="208">
        <v>0</v>
      </c>
      <c r="V116" s="208">
        <v>0</v>
      </c>
      <c r="W116" s="208">
        <v>573436.85416666663</v>
      </c>
      <c r="X116" s="208">
        <v>0</v>
      </c>
      <c r="Y116" s="208">
        <v>0</v>
      </c>
      <c r="Z116" s="208">
        <v>573436.85416666663</v>
      </c>
      <c r="AA116" s="208">
        <v>0</v>
      </c>
      <c r="AB116" s="208">
        <v>0</v>
      </c>
      <c r="AC116" s="208">
        <v>0</v>
      </c>
      <c r="AD116" s="208">
        <v>0</v>
      </c>
      <c r="AE116" s="208">
        <v>0</v>
      </c>
      <c r="AF116" s="208">
        <v>0</v>
      </c>
      <c r="AG116" s="208">
        <v>1594462</v>
      </c>
      <c r="AH116" s="208">
        <v>395028</v>
      </c>
      <c r="AI116" s="208">
        <v>0</v>
      </c>
      <c r="AJ116" s="208">
        <v>1989490</v>
      </c>
      <c r="AK116" s="208">
        <v>680678</v>
      </c>
      <c r="AL116" s="208">
        <v>544543</v>
      </c>
      <c r="AM116" s="208">
        <v>136136</v>
      </c>
      <c r="AN116" s="208">
        <v>0</v>
      </c>
      <c r="AO116" s="208">
        <v>1361357</v>
      </c>
      <c r="AP116" s="208">
        <v>-247248</v>
      </c>
      <c r="AQ116" s="208">
        <v>-197798</v>
      </c>
      <c r="AR116" s="208">
        <v>-49450</v>
      </c>
      <c r="AS116" s="208">
        <v>0</v>
      </c>
      <c r="AT116" s="208">
        <v>-494496</v>
      </c>
      <c r="AU116" s="208">
        <v>-229007</v>
      </c>
      <c r="AV116" s="208">
        <v>-183206</v>
      </c>
      <c r="AW116" s="208">
        <v>-45801</v>
      </c>
      <c r="AX116" s="208">
        <v>0</v>
      </c>
      <c r="AY116" s="208">
        <v>-458014</v>
      </c>
      <c r="AZ116" s="208">
        <v>168398</v>
      </c>
      <c r="BA116" s="208">
        <v>134719</v>
      </c>
      <c r="BB116" s="208">
        <v>33680</v>
      </c>
      <c r="BC116" s="208">
        <v>0</v>
      </c>
      <c r="BD116" s="208">
        <v>336797</v>
      </c>
      <c r="BE116" s="208">
        <v>-143977</v>
      </c>
      <c r="BF116" s="208">
        <v>-115181</v>
      </c>
      <c r="BG116" s="208">
        <v>-28795</v>
      </c>
      <c r="BH116" s="208">
        <v>0</v>
      </c>
      <c r="BI116" s="208">
        <v>-287953</v>
      </c>
      <c r="BJ116" s="208">
        <v>-204586</v>
      </c>
      <c r="BK116" s="208">
        <v>-163668</v>
      </c>
      <c r="BL116" s="208">
        <v>-40916</v>
      </c>
      <c r="BM116" s="208">
        <v>0</v>
      </c>
      <c r="BN116" s="208">
        <v>-409170</v>
      </c>
      <c r="BO116" s="208">
        <v>-5050689</v>
      </c>
      <c r="BP116" s="208">
        <v>-4040552</v>
      </c>
      <c r="BQ116" s="208">
        <v>-1010138</v>
      </c>
      <c r="BR116" s="208">
        <v>0</v>
      </c>
      <c r="BS116" s="208">
        <v>-10101379</v>
      </c>
      <c r="BT116" s="208">
        <v>-4650689</v>
      </c>
      <c r="BU116" s="208">
        <v>-3720552</v>
      </c>
      <c r="BV116" s="208">
        <v>-930138</v>
      </c>
      <c r="BW116" s="208">
        <v>0</v>
      </c>
      <c r="BX116" s="208">
        <v>-9301379</v>
      </c>
      <c r="BY116" s="208">
        <v>-400000</v>
      </c>
      <c r="BZ116" s="208">
        <v>-320000</v>
      </c>
      <c r="CA116" s="208">
        <v>-80000</v>
      </c>
      <c r="CB116" s="208">
        <v>0</v>
      </c>
      <c r="CC116" s="208">
        <v>-800000</v>
      </c>
      <c r="CD116" s="208">
        <v>0</v>
      </c>
      <c r="CE116" s="208">
        <v>0</v>
      </c>
      <c r="CF116" s="208">
        <v>0</v>
      </c>
      <c r="CG116" s="208">
        <v>0</v>
      </c>
      <c r="CH116" s="208">
        <v>0</v>
      </c>
      <c r="CI116" s="208">
        <v>0</v>
      </c>
      <c r="CJ116" s="208">
        <v>0</v>
      </c>
      <c r="CK116" s="208">
        <v>0</v>
      </c>
      <c r="CL116" s="208">
        <v>0</v>
      </c>
      <c r="CM116" s="208">
        <v>0</v>
      </c>
      <c r="CN116" s="208">
        <v>3676807</v>
      </c>
      <c r="CO116" s="208">
        <v>2941446</v>
      </c>
      <c r="CP116" s="208">
        <v>735361</v>
      </c>
      <c r="CQ116" s="208">
        <v>0</v>
      </c>
      <c r="CR116" s="208">
        <v>7353614</v>
      </c>
      <c r="CS116" s="208">
        <v>-37479</v>
      </c>
      <c r="CT116" s="208">
        <v>-29983</v>
      </c>
      <c r="CU116" s="208">
        <v>-7496</v>
      </c>
      <c r="CV116" s="208">
        <v>0</v>
      </c>
      <c r="CW116" s="208">
        <v>-74958</v>
      </c>
      <c r="CX116" s="208">
        <v>-1411361</v>
      </c>
      <c r="CY116" s="208">
        <v>-1129089</v>
      </c>
      <c r="CZ116" s="208">
        <v>-282273</v>
      </c>
      <c r="DA116" s="208">
        <v>0</v>
      </c>
      <c r="DB116" s="208">
        <v>-2822723</v>
      </c>
      <c r="DC116" s="208">
        <v>-973882</v>
      </c>
      <c r="DD116" s="208">
        <v>-779106</v>
      </c>
      <c r="DE116" s="208">
        <v>-194777</v>
      </c>
      <c r="DF116" s="208">
        <v>0</v>
      </c>
      <c r="DG116" s="208">
        <v>-1947765</v>
      </c>
      <c r="DH116" s="208">
        <v>-437479</v>
      </c>
      <c r="DI116" s="208">
        <v>-349983</v>
      </c>
      <c r="DJ116" s="208">
        <v>-87496</v>
      </c>
      <c r="DK116" s="208">
        <v>0</v>
      </c>
      <c r="DL116" s="208">
        <v>-874958</v>
      </c>
      <c r="DM116" s="208">
        <v>-1226251</v>
      </c>
      <c r="DN116" s="208">
        <v>-980998</v>
      </c>
      <c r="DO116" s="208">
        <v>-245250</v>
      </c>
      <c r="DP116" s="208">
        <v>0</v>
      </c>
      <c r="DQ116" s="208">
        <v>-2452499</v>
      </c>
      <c r="DR116" s="208">
        <v>549988</v>
      </c>
      <c r="DS116" s="208">
        <v>439990</v>
      </c>
      <c r="DT116" s="208">
        <v>109998</v>
      </c>
      <c r="DU116" s="208">
        <v>0</v>
      </c>
      <c r="DV116" s="208">
        <v>1099976</v>
      </c>
      <c r="DW116" s="208">
        <v>-1776239</v>
      </c>
      <c r="DX116" s="208">
        <v>-1420988</v>
      </c>
      <c r="DY116" s="208">
        <v>-355248</v>
      </c>
      <c r="DZ116" s="208">
        <v>0</v>
      </c>
      <c r="EA116" s="208">
        <v>-3552475</v>
      </c>
      <c r="EB116" s="208">
        <v>14208014</v>
      </c>
      <c r="EC116" s="208">
        <v>11366411</v>
      </c>
      <c r="ED116" s="208">
        <v>2841603</v>
      </c>
      <c r="EE116" s="208">
        <v>0</v>
      </c>
      <c r="EF116" s="208">
        <v>28416028</v>
      </c>
      <c r="EG116" s="208">
        <v>18497082</v>
      </c>
      <c r="EH116" s="208">
        <v>14797666</v>
      </c>
      <c r="EI116" s="208">
        <v>3699416</v>
      </c>
      <c r="EJ116" s="208">
        <v>0</v>
      </c>
      <c r="EK116" s="208">
        <v>36994164</v>
      </c>
      <c r="EL116" s="208">
        <v>4289068</v>
      </c>
      <c r="EM116" s="208">
        <v>3431255</v>
      </c>
      <c r="EN116" s="208">
        <v>857813</v>
      </c>
      <c r="EO116" s="208">
        <v>0</v>
      </c>
      <c r="EP116" s="208">
        <v>8578136</v>
      </c>
      <c r="EQ116" s="208">
        <v>2512829</v>
      </c>
      <c r="ER116" s="208">
        <v>2010267</v>
      </c>
      <c r="ES116" s="208">
        <v>502565</v>
      </c>
      <c r="ET116" s="208">
        <v>0</v>
      </c>
      <c r="EU116" s="208">
        <v>5025661</v>
      </c>
      <c r="EV116" s="666">
        <v>0.5</v>
      </c>
      <c r="EW116" s="666">
        <v>0.4</v>
      </c>
      <c r="EX116" s="666">
        <v>0.1</v>
      </c>
      <c r="EY116" s="666">
        <v>0</v>
      </c>
      <c r="EZ116" s="666">
        <v>1</v>
      </c>
      <c r="FA116" s="187" t="s">
        <v>1054</v>
      </c>
      <c r="FC116" s="187">
        <v>0</v>
      </c>
    </row>
    <row r="117" spans="2:159" s="187" customFormat="1" x14ac:dyDescent="0.2">
      <c r="B117" s="429" t="s">
        <v>311</v>
      </c>
      <c r="C117" s="429" t="s">
        <v>310</v>
      </c>
      <c r="D117" s="208">
        <v>0</v>
      </c>
      <c r="E117" s="208">
        <v>58037418</v>
      </c>
      <c r="F117" s="208">
        <v>32646047</v>
      </c>
      <c r="G117" s="208">
        <v>0</v>
      </c>
      <c r="H117" s="208">
        <v>90683465</v>
      </c>
      <c r="I117" s="208">
        <v>0</v>
      </c>
      <c r="J117" s="208">
        <v>0</v>
      </c>
      <c r="K117" s="208">
        <v>0</v>
      </c>
      <c r="L117" s="208">
        <v>291335</v>
      </c>
      <c r="M117" s="208">
        <v>291335</v>
      </c>
      <c r="N117" s="208">
        <v>0</v>
      </c>
      <c r="O117" s="208">
        <v>0</v>
      </c>
      <c r="P117" s="208">
        <v>0</v>
      </c>
      <c r="Q117" s="208">
        <v>0</v>
      </c>
      <c r="R117" s="208">
        <v>0</v>
      </c>
      <c r="S117" s="208">
        <v>0</v>
      </c>
      <c r="T117" s="208">
        <v>0</v>
      </c>
      <c r="U117" s="208">
        <v>0</v>
      </c>
      <c r="V117" s="208">
        <v>0</v>
      </c>
      <c r="W117" s="208">
        <v>0</v>
      </c>
      <c r="X117" s="208">
        <v>0</v>
      </c>
      <c r="Y117" s="208">
        <v>0</v>
      </c>
      <c r="Z117" s="208">
        <v>0</v>
      </c>
      <c r="AA117" s="208">
        <v>0</v>
      </c>
      <c r="AB117" s="208">
        <v>0</v>
      </c>
      <c r="AC117" s="208">
        <v>0</v>
      </c>
      <c r="AD117" s="208">
        <v>0</v>
      </c>
      <c r="AE117" s="208">
        <v>0</v>
      </c>
      <c r="AF117" s="208">
        <v>0</v>
      </c>
      <c r="AG117" s="208">
        <v>4414531</v>
      </c>
      <c r="AH117" s="208">
        <v>2483173</v>
      </c>
      <c r="AI117" s="208">
        <v>0</v>
      </c>
      <c r="AJ117" s="208">
        <v>6897704</v>
      </c>
      <c r="AK117" s="208">
        <v>0</v>
      </c>
      <c r="AL117" s="208">
        <v>2646725</v>
      </c>
      <c r="AM117" s="208">
        <v>1488783</v>
      </c>
      <c r="AN117" s="208">
        <v>0</v>
      </c>
      <c r="AO117" s="208">
        <v>4135508</v>
      </c>
      <c r="AP117" s="208">
        <v>0</v>
      </c>
      <c r="AQ117" s="208">
        <v>-3472010</v>
      </c>
      <c r="AR117" s="208">
        <v>-1953005</v>
      </c>
      <c r="AS117" s="208">
        <v>0</v>
      </c>
      <c r="AT117" s="208">
        <v>-5425015</v>
      </c>
      <c r="AU117" s="208">
        <v>0</v>
      </c>
      <c r="AV117" s="208">
        <v>-933348</v>
      </c>
      <c r="AW117" s="208">
        <v>-525009</v>
      </c>
      <c r="AX117" s="208">
        <v>0</v>
      </c>
      <c r="AY117" s="208">
        <v>-1458357</v>
      </c>
      <c r="AZ117" s="208">
        <v>0</v>
      </c>
      <c r="BA117" s="208">
        <v>166272</v>
      </c>
      <c r="BB117" s="208">
        <v>93528</v>
      </c>
      <c r="BC117" s="208">
        <v>0</v>
      </c>
      <c r="BD117" s="208">
        <v>259800</v>
      </c>
      <c r="BE117" s="208">
        <v>0</v>
      </c>
      <c r="BF117" s="208">
        <v>-594804</v>
      </c>
      <c r="BG117" s="208">
        <v>-334577</v>
      </c>
      <c r="BH117" s="208">
        <v>0</v>
      </c>
      <c r="BI117" s="208">
        <v>-929381</v>
      </c>
      <c r="BJ117" s="208">
        <v>0</v>
      </c>
      <c r="BK117" s="208">
        <v>-1361880</v>
      </c>
      <c r="BL117" s="208">
        <v>-766058</v>
      </c>
      <c r="BM117" s="208">
        <v>0</v>
      </c>
      <c r="BN117" s="208">
        <v>-2127938</v>
      </c>
      <c r="BO117" s="208">
        <v>0</v>
      </c>
      <c r="BP117" s="208">
        <v>-9057741</v>
      </c>
      <c r="BQ117" s="208">
        <v>-5094980</v>
      </c>
      <c r="BR117" s="208">
        <v>0</v>
      </c>
      <c r="BS117" s="208">
        <v>-14152721</v>
      </c>
      <c r="BT117" s="208">
        <v>0</v>
      </c>
      <c r="BU117" s="208">
        <v>-5275096</v>
      </c>
      <c r="BV117" s="208">
        <v>-2967242</v>
      </c>
      <c r="BW117" s="208">
        <v>0</v>
      </c>
      <c r="BX117" s="208">
        <v>-8242338</v>
      </c>
      <c r="BY117" s="208">
        <v>0</v>
      </c>
      <c r="BZ117" s="208">
        <v>-3782645</v>
      </c>
      <c r="CA117" s="208">
        <v>-2127738</v>
      </c>
      <c r="CB117" s="208">
        <v>0</v>
      </c>
      <c r="CC117" s="208">
        <v>-5910383</v>
      </c>
      <c r="CD117" s="208">
        <v>0</v>
      </c>
      <c r="CE117" s="208">
        <v>0</v>
      </c>
      <c r="CF117" s="208">
        <v>0</v>
      </c>
      <c r="CG117" s="208">
        <v>0</v>
      </c>
      <c r="CH117" s="208">
        <v>0</v>
      </c>
      <c r="CI117" s="208">
        <v>0</v>
      </c>
      <c r="CJ117" s="208">
        <v>0</v>
      </c>
      <c r="CK117" s="208">
        <v>0</v>
      </c>
      <c r="CL117" s="208">
        <v>0</v>
      </c>
      <c r="CM117" s="208">
        <v>0</v>
      </c>
      <c r="CN117" s="208">
        <v>0</v>
      </c>
      <c r="CO117" s="208">
        <v>1534153</v>
      </c>
      <c r="CP117" s="208">
        <v>862961</v>
      </c>
      <c r="CQ117" s="208">
        <v>0</v>
      </c>
      <c r="CR117" s="208">
        <v>2397114</v>
      </c>
      <c r="CS117" s="208">
        <v>0</v>
      </c>
      <c r="CT117" s="208">
        <v>-2364289</v>
      </c>
      <c r="CU117" s="208">
        <v>-1329912</v>
      </c>
      <c r="CV117" s="208">
        <v>0</v>
      </c>
      <c r="CW117" s="208">
        <v>-3694201</v>
      </c>
      <c r="CX117" s="208">
        <v>0</v>
      </c>
      <c r="CY117" s="208">
        <v>-9887877</v>
      </c>
      <c r="CZ117" s="208">
        <v>-5561931</v>
      </c>
      <c r="DA117" s="208">
        <v>0</v>
      </c>
      <c r="DB117" s="208">
        <v>-15449808</v>
      </c>
      <c r="DC117" s="208">
        <v>0</v>
      </c>
      <c r="DD117" s="208">
        <v>-3740943</v>
      </c>
      <c r="DE117" s="208">
        <v>-2104281</v>
      </c>
      <c r="DF117" s="208">
        <v>0</v>
      </c>
      <c r="DG117" s="208">
        <v>-5845224</v>
      </c>
      <c r="DH117" s="208">
        <v>0</v>
      </c>
      <c r="DI117" s="208">
        <v>-6146934</v>
      </c>
      <c r="DJ117" s="208">
        <v>-3457650</v>
      </c>
      <c r="DK117" s="208">
        <v>0</v>
      </c>
      <c r="DL117" s="208">
        <v>-9604584</v>
      </c>
      <c r="DM117" s="208">
        <v>5847052</v>
      </c>
      <c r="DN117" s="208">
        <v>4721525</v>
      </c>
      <c r="DO117" s="208">
        <v>5169840</v>
      </c>
      <c r="DP117" s="208">
        <v>0</v>
      </c>
      <c r="DQ117" s="208">
        <v>15738417</v>
      </c>
      <c r="DR117" s="208">
        <v>5206340</v>
      </c>
      <c r="DS117" s="208">
        <v>4138992</v>
      </c>
      <c r="DT117" s="208">
        <v>4451308</v>
      </c>
      <c r="DU117" s="208">
        <v>0</v>
      </c>
      <c r="DV117" s="208">
        <v>13796640</v>
      </c>
      <c r="DW117" s="208">
        <v>640712</v>
      </c>
      <c r="DX117" s="208">
        <v>582533</v>
      </c>
      <c r="DY117" s="208">
        <v>718532</v>
      </c>
      <c r="DZ117" s="208">
        <v>0</v>
      </c>
      <c r="EA117" s="208">
        <v>1941777</v>
      </c>
      <c r="EB117" s="208">
        <v>0</v>
      </c>
      <c r="EC117" s="208">
        <v>50890372</v>
      </c>
      <c r="ED117" s="208">
        <v>28625835</v>
      </c>
      <c r="EE117" s="208">
        <v>0</v>
      </c>
      <c r="EF117" s="208">
        <v>79516207</v>
      </c>
      <c r="EG117" s="208">
        <v>0</v>
      </c>
      <c r="EH117" s="208">
        <v>58037418</v>
      </c>
      <c r="EI117" s="208">
        <v>32646047</v>
      </c>
      <c r="EJ117" s="208">
        <v>0</v>
      </c>
      <c r="EK117" s="208">
        <v>90683465</v>
      </c>
      <c r="EL117" s="208">
        <v>0</v>
      </c>
      <c r="EM117" s="208">
        <v>7147046</v>
      </c>
      <c r="EN117" s="208">
        <v>4020212</v>
      </c>
      <c r="EO117" s="208">
        <v>0</v>
      </c>
      <c r="EP117" s="208">
        <v>11167258</v>
      </c>
      <c r="EQ117" s="208">
        <v>640712</v>
      </c>
      <c r="ER117" s="208">
        <v>7729579</v>
      </c>
      <c r="ES117" s="208">
        <v>4738744</v>
      </c>
      <c r="ET117" s="208">
        <v>0</v>
      </c>
      <c r="EU117" s="208">
        <v>13109035</v>
      </c>
      <c r="EV117" s="666">
        <v>0</v>
      </c>
      <c r="EW117" s="666">
        <v>0.64</v>
      </c>
      <c r="EX117" s="666">
        <v>0.36</v>
      </c>
      <c r="EY117" s="666">
        <v>0</v>
      </c>
      <c r="EZ117" s="666">
        <v>1</v>
      </c>
      <c r="FA117" s="187" t="s">
        <v>1057</v>
      </c>
      <c r="FC117" s="187">
        <v>0</v>
      </c>
    </row>
    <row r="118" spans="2:159" s="187" customFormat="1" x14ac:dyDescent="0.2">
      <c r="B118" s="429" t="s">
        <v>313</v>
      </c>
      <c r="C118" s="429" t="s">
        <v>312</v>
      </c>
      <c r="D118" s="208">
        <v>0</v>
      </c>
      <c r="E118" s="208">
        <v>28628569</v>
      </c>
      <c r="F118" s="208">
        <v>66799993</v>
      </c>
      <c r="G118" s="208">
        <v>0</v>
      </c>
      <c r="H118" s="208">
        <v>95428562</v>
      </c>
      <c r="I118" s="208">
        <v>0</v>
      </c>
      <c r="J118" s="208">
        <v>0</v>
      </c>
      <c r="K118" s="208">
        <v>0</v>
      </c>
      <c r="L118" s="208">
        <v>231056</v>
      </c>
      <c r="M118" s="208">
        <v>231056</v>
      </c>
      <c r="N118" s="208">
        <v>0</v>
      </c>
      <c r="O118" s="208">
        <v>0</v>
      </c>
      <c r="P118" s="208">
        <v>0</v>
      </c>
      <c r="Q118" s="208">
        <v>0</v>
      </c>
      <c r="R118" s="208">
        <v>0</v>
      </c>
      <c r="S118" s="208">
        <v>0</v>
      </c>
      <c r="T118" s="208">
        <v>0</v>
      </c>
      <c r="U118" s="208">
        <v>0</v>
      </c>
      <c r="V118" s="208">
        <v>0</v>
      </c>
      <c r="W118" s="208">
        <v>0</v>
      </c>
      <c r="X118" s="208">
        <v>0</v>
      </c>
      <c r="Y118" s="208">
        <v>0</v>
      </c>
      <c r="Z118" s="208">
        <v>0</v>
      </c>
      <c r="AA118" s="208">
        <v>0</v>
      </c>
      <c r="AB118" s="208">
        <v>0</v>
      </c>
      <c r="AC118" s="208">
        <v>0</v>
      </c>
      <c r="AD118" s="208">
        <v>0</v>
      </c>
      <c r="AE118" s="208">
        <v>0</v>
      </c>
      <c r="AF118" s="208">
        <v>0</v>
      </c>
      <c r="AG118" s="208">
        <v>1563997</v>
      </c>
      <c r="AH118" s="208">
        <v>3649329</v>
      </c>
      <c r="AI118" s="208">
        <v>0</v>
      </c>
      <c r="AJ118" s="208">
        <v>5213326</v>
      </c>
      <c r="AK118" s="208">
        <v>0</v>
      </c>
      <c r="AL118" s="208">
        <v>384120</v>
      </c>
      <c r="AM118" s="208">
        <v>896281</v>
      </c>
      <c r="AN118" s="208">
        <v>0</v>
      </c>
      <c r="AO118" s="208">
        <v>1280401</v>
      </c>
      <c r="AP118" s="208">
        <v>0</v>
      </c>
      <c r="AQ118" s="208">
        <v>-510633</v>
      </c>
      <c r="AR118" s="208">
        <v>-1191476</v>
      </c>
      <c r="AS118" s="208">
        <v>0</v>
      </c>
      <c r="AT118" s="208">
        <v>-1702109</v>
      </c>
      <c r="AU118" s="208">
        <v>0</v>
      </c>
      <c r="AV118" s="208">
        <v>-338320</v>
      </c>
      <c r="AW118" s="208">
        <v>-789413</v>
      </c>
      <c r="AX118" s="208">
        <v>0</v>
      </c>
      <c r="AY118" s="208">
        <v>-1127733</v>
      </c>
      <c r="AZ118" s="208">
        <v>0</v>
      </c>
      <c r="BA118" s="208">
        <v>13608</v>
      </c>
      <c r="BB118" s="208">
        <v>31751</v>
      </c>
      <c r="BC118" s="208">
        <v>0</v>
      </c>
      <c r="BD118" s="208">
        <v>45359</v>
      </c>
      <c r="BE118" s="208">
        <v>0</v>
      </c>
      <c r="BF118" s="208">
        <v>-19608</v>
      </c>
      <c r="BG118" s="208">
        <v>-45751</v>
      </c>
      <c r="BH118" s="208">
        <v>0</v>
      </c>
      <c r="BI118" s="208">
        <v>-65359</v>
      </c>
      <c r="BJ118" s="208">
        <v>0</v>
      </c>
      <c r="BK118" s="208">
        <v>-344320</v>
      </c>
      <c r="BL118" s="208">
        <v>-803413</v>
      </c>
      <c r="BM118" s="208">
        <v>0</v>
      </c>
      <c r="BN118" s="208">
        <v>-1147733</v>
      </c>
      <c r="BO118" s="208">
        <v>0</v>
      </c>
      <c r="BP118" s="208">
        <v>-4501583</v>
      </c>
      <c r="BQ118" s="208">
        <v>-10503693</v>
      </c>
      <c r="BR118" s="208">
        <v>0</v>
      </c>
      <c r="BS118" s="208">
        <v>-15005276</v>
      </c>
      <c r="BT118" s="208">
        <v>0</v>
      </c>
      <c r="BU118" s="208">
        <v>0</v>
      </c>
      <c r="BV118" s="208">
        <v>0</v>
      </c>
      <c r="BW118" s="208">
        <v>0</v>
      </c>
      <c r="BX118" s="208">
        <v>0</v>
      </c>
      <c r="BY118" s="208">
        <v>0</v>
      </c>
      <c r="BZ118" s="208">
        <v>-4501583</v>
      </c>
      <c r="CA118" s="208">
        <v>-10503693</v>
      </c>
      <c r="CB118" s="208">
        <v>0</v>
      </c>
      <c r="CC118" s="208">
        <v>-15005276</v>
      </c>
      <c r="CD118" s="208">
        <v>-1</v>
      </c>
      <c r="CE118" s="208">
        <v>467165</v>
      </c>
      <c r="CF118" s="208">
        <v>1090051</v>
      </c>
      <c r="CG118" s="208">
        <v>0</v>
      </c>
      <c r="CH118" s="208">
        <v>1557215</v>
      </c>
      <c r="CI118" s="208">
        <v>0</v>
      </c>
      <c r="CJ118" s="208">
        <v>279169</v>
      </c>
      <c r="CK118" s="208">
        <v>651395</v>
      </c>
      <c r="CL118" s="208">
        <v>0</v>
      </c>
      <c r="CM118" s="208">
        <v>930564</v>
      </c>
      <c r="CN118" s="208">
        <v>0</v>
      </c>
      <c r="CO118" s="208">
        <v>1558619</v>
      </c>
      <c r="CP118" s="208">
        <v>3636779</v>
      </c>
      <c r="CQ118" s="208">
        <v>0</v>
      </c>
      <c r="CR118" s="208">
        <v>5195398</v>
      </c>
      <c r="CS118" s="208">
        <v>0</v>
      </c>
      <c r="CT118" s="208">
        <v>-334669</v>
      </c>
      <c r="CU118" s="208">
        <v>-780895</v>
      </c>
      <c r="CV118" s="208">
        <v>0</v>
      </c>
      <c r="CW118" s="208">
        <v>-1115564</v>
      </c>
      <c r="CX118" s="208">
        <v>-1</v>
      </c>
      <c r="CY118" s="208">
        <v>-2531299</v>
      </c>
      <c r="CZ118" s="208">
        <v>-5906363</v>
      </c>
      <c r="DA118" s="208">
        <v>0</v>
      </c>
      <c r="DB118" s="208">
        <v>-8437663</v>
      </c>
      <c r="DC118" s="208">
        <v>-1</v>
      </c>
      <c r="DD118" s="208">
        <v>2025784</v>
      </c>
      <c r="DE118" s="208">
        <v>4726830</v>
      </c>
      <c r="DF118" s="208">
        <v>0</v>
      </c>
      <c r="DG118" s="208">
        <v>6752613</v>
      </c>
      <c r="DH118" s="208">
        <v>0</v>
      </c>
      <c r="DI118" s="208">
        <v>-4557083</v>
      </c>
      <c r="DJ118" s="208">
        <v>-10633193</v>
      </c>
      <c r="DK118" s="208">
        <v>0</v>
      </c>
      <c r="DL118" s="208">
        <v>-15190276</v>
      </c>
      <c r="DM118" s="208">
        <v>-6051871</v>
      </c>
      <c r="DN118" s="208">
        <v>-4841497</v>
      </c>
      <c r="DO118" s="208">
        <v>-1210375</v>
      </c>
      <c r="DP118" s="208">
        <v>0</v>
      </c>
      <c r="DQ118" s="208">
        <v>-12103743</v>
      </c>
      <c r="DR118" s="208">
        <v>-66197</v>
      </c>
      <c r="DS118" s="208">
        <v>-52958</v>
      </c>
      <c r="DT118" s="208">
        <v>-13239</v>
      </c>
      <c r="DU118" s="208">
        <v>0</v>
      </c>
      <c r="DV118" s="208">
        <v>-132394</v>
      </c>
      <c r="DW118" s="208">
        <v>-5985674</v>
      </c>
      <c r="DX118" s="208">
        <v>-4788539</v>
      </c>
      <c r="DY118" s="208">
        <v>-1197136</v>
      </c>
      <c r="DZ118" s="208">
        <v>0</v>
      </c>
      <c r="EA118" s="208">
        <v>-11971349</v>
      </c>
      <c r="EB118" s="208">
        <v>0</v>
      </c>
      <c r="EC118" s="208">
        <v>26159016</v>
      </c>
      <c r="ED118" s="208">
        <v>61037703</v>
      </c>
      <c r="EE118" s="208">
        <v>0</v>
      </c>
      <c r="EF118" s="208">
        <v>87196719</v>
      </c>
      <c r="EG118" s="208">
        <v>0</v>
      </c>
      <c r="EH118" s="208">
        <v>28628569</v>
      </c>
      <c r="EI118" s="208">
        <v>66799993</v>
      </c>
      <c r="EJ118" s="208">
        <v>0</v>
      </c>
      <c r="EK118" s="208">
        <v>95428562</v>
      </c>
      <c r="EL118" s="208">
        <v>0</v>
      </c>
      <c r="EM118" s="208">
        <v>2469553</v>
      </c>
      <c r="EN118" s="208">
        <v>5762290</v>
      </c>
      <c r="EO118" s="208">
        <v>0</v>
      </c>
      <c r="EP118" s="208">
        <v>8231843</v>
      </c>
      <c r="EQ118" s="208">
        <v>-5985674</v>
      </c>
      <c r="ER118" s="208">
        <v>-2318986</v>
      </c>
      <c r="ES118" s="208">
        <v>4565154</v>
      </c>
      <c r="ET118" s="208">
        <v>0</v>
      </c>
      <c r="EU118" s="208">
        <v>-3739506</v>
      </c>
      <c r="EV118" s="666">
        <v>0</v>
      </c>
      <c r="EW118" s="666">
        <v>0.3</v>
      </c>
      <c r="EX118" s="666">
        <v>0.7</v>
      </c>
      <c r="EY118" s="666">
        <v>0</v>
      </c>
      <c r="EZ118" s="666">
        <v>1</v>
      </c>
      <c r="FA118" s="187" t="s">
        <v>1054</v>
      </c>
      <c r="FC118" s="187">
        <v>0</v>
      </c>
    </row>
    <row r="119" spans="2:159" s="187" customFormat="1" x14ac:dyDescent="0.2">
      <c r="B119" s="429" t="s">
        <v>315</v>
      </c>
      <c r="C119" s="429" t="s">
        <v>314</v>
      </c>
      <c r="D119" s="208">
        <v>0</v>
      </c>
      <c r="E119" s="208">
        <v>86175014</v>
      </c>
      <c r="F119" s="208">
        <v>48473446</v>
      </c>
      <c r="G119" s="208">
        <v>0</v>
      </c>
      <c r="H119" s="208">
        <v>134648460</v>
      </c>
      <c r="I119" s="208">
        <v>0</v>
      </c>
      <c r="J119" s="208">
        <v>0</v>
      </c>
      <c r="K119" s="208">
        <v>0</v>
      </c>
      <c r="L119" s="208">
        <v>546851</v>
      </c>
      <c r="M119" s="208">
        <v>546851</v>
      </c>
      <c r="N119" s="208">
        <v>0</v>
      </c>
      <c r="O119" s="208">
        <v>0</v>
      </c>
      <c r="P119" s="208">
        <v>0</v>
      </c>
      <c r="Q119" s="208">
        <v>0</v>
      </c>
      <c r="R119" s="208">
        <v>0</v>
      </c>
      <c r="S119" s="208">
        <v>0</v>
      </c>
      <c r="T119" s="208">
        <v>0</v>
      </c>
      <c r="U119" s="208">
        <v>0</v>
      </c>
      <c r="V119" s="208">
        <v>0</v>
      </c>
      <c r="W119" s="208">
        <v>0</v>
      </c>
      <c r="X119" s="208">
        <v>0</v>
      </c>
      <c r="Y119" s="208">
        <v>0</v>
      </c>
      <c r="Z119" s="208">
        <v>0</v>
      </c>
      <c r="AA119" s="208">
        <v>0</v>
      </c>
      <c r="AB119" s="208">
        <v>0</v>
      </c>
      <c r="AC119" s="208">
        <v>0</v>
      </c>
      <c r="AD119" s="208">
        <v>0</v>
      </c>
      <c r="AE119" s="208">
        <v>0</v>
      </c>
      <c r="AF119" s="208">
        <v>0</v>
      </c>
      <c r="AG119" s="208">
        <v>8151024</v>
      </c>
      <c r="AH119" s="208">
        <v>4584951</v>
      </c>
      <c r="AI119" s="208">
        <v>0</v>
      </c>
      <c r="AJ119" s="208">
        <v>12735975</v>
      </c>
      <c r="AK119" s="208">
        <v>0</v>
      </c>
      <c r="AL119" s="208">
        <v>21524348</v>
      </c>
      <c r="AM119" s="208">
        <v>12107446</v>
      </c>
      <c r="AN119" s="208">
        <v>0</v>
      </c>
      <c r="AO119" s="208">
        <v>33631794</v>
      </c>
      <c r="AP119" s="208">
        <v>0</v>
      </c>
      <c r="AQ119" s="208">
        <v>-8710172</v>
      </c>
      <c r="AR119" s="208">
        <v>-4899472</v>
      </c>
      <c r="AS119" s="208">
        <v>0</v>
      </c>
      <c r="AT119" s="208">
        <v>-13609644</v>
      </c>
      <c r="AU119" s="208">
        <v>-5.9999998658895493E-2</v>
      </c>
      <c r="AV119" s="208">
        <v>-12826231</v>
      </c>
      <c r="AW119" s="208">
        <v>-7214755</v>
      </c>
      <c r="AX119" s="208">
        <v>0</v>
      </c>
      <c r="AY119" s="208">
        <v>-20040986.059999999</v>
      </c>
      <c r="AZ119" s="208">
        <v>0</v>
      </c>
      <c r="BA119" s="208">
        <v>0</v>
      </c>
      <c r="BB119" s="208">
        <v>0</v>
      </c>
      <c r="BC119" s="208">
        <v>0</v>
      </c>
      <c r="BD119" s="208">
        <v>0</v>
      </c>
      <c r="BE119" s="208">
        <v>0</v>
      </c>
      <c r="BF119" s="208">
        <v>-1899403</v>
      </c>
      <c r="BG119" s="208">
        <v>-1068414</v>
      </c>
      <c r="BH119" s="208">
        <v>0</v>
      </c>
      <c r="BI119" s="208">
        <v>-2967817</v>
      </c>
      <c r="BJ119" s="208">
        <v>-5.9999998658895493E-2</v>
      </c>
      <c r="BK119" s="208">
        <v>-14725634</v>
      </c>
      <c r="BL119" s="208">
        <v>-8283169</v>
      </c>
      <c r="BM119" s="208">
        <v>0</v>
      </c>
      <c r="BN119" s="208">
        <v>-23008803.059999999</v>
      </c>
      <c r="BO119" s="208">
        <v>0</v>
      </c>
      <c r="BP119" s="208">
        <v>-11575682</v>
      </c>
      <c r="BQ119" s="208">
        <v>-6511321</v>
      </c>
      <c r="BR119" s="208">
        <v>0</v>
      </c>
      <c r="BS119" s="208">
        <v>-18087003</v>
      </c>
      <c r="BT119" s="208">
        <v>0</v>
      </c>
      <c r="BU119" s="208">
        <v>0</v>
      </c>
      <c r="BV119" s="208">
        <v>0</v>
      </c>
      <c r="BW119" s="208">
        <v>0</v>
      </c>
      <c r="BX119" s="208">
        <v>0</v>
      </c>
      <c r="BY119" s="208">
        <v>0</v>
      </c>
      <c r="BZ119" s="208">
        <v>-11575682</v>
      </c>
      <c r="CA119" s="208">
        <v>-6511321</v>
      </c>
      <c r="CB119" s="208">
        <v>0</v>
      </c>
      <c r="CC119" s="208">
        <v>-18087003</v>
      </c>
      <c r="CD119" s="208">
        <v>0</v>
      </c>
      <c r="CE119" s="208">
        <v>952318</v>
      </c>
      <c r="CF119" s="208">
        <v>535679</v>
      </c>
      <c r="CG119" s="208">
        <v>0</v>
      </c>
      <c r="CH119" s="208">
        <v>1487997</v>
      </c>
      <c r="CI119" s="208">
        <v>0</v>
      </c>
      <c r="CJ119" s="208">
        <v>5668904</v>
      </c>
      <c r="CK119" s="208">
        <v>3188758</v>
      </c>
      <c r="CL119" s="208">
        <v>0</v>
      </c>
      <c r="CM119" s="208">
        <v>8857662</v>
      </c>
      <c r="CN119" s="208">
        <v>0</v>
      </c>
      <c r="CO119" s="208">
        <v>0</v>
      </c>
      <c r="CP119" s="208">
        <v>0</v>
      </c>
      <c r="CQ119" s="208">
        <v>0</v>
      </c>
      <c r="CR119" s="208">
        <v>0</v>
      </c>
      <c r="CS119" s="208">
        <v>0</v>
      </c>
      <c r="CT119" s="208">
        <v>-18445932</v>
      </c>
      <c r="CU119" s="208">
        <v>-10375836</v>
      </c>
      <c r="CV119" s="208">
        <v>0</v>
      </c>
      <c r="CW119" s="208">
        <v>-28821768</v>
      </c>
      <c r="CX119" s="208">
        <v>0</v>
      </c>
      <c r="CY119" s="208">
        <v>-23400392</v>
      </c>
      <c r="CZ119" s="208">
        <v>-13162720</v>
      </c>
      <c r="DA119" s="208">
        <v>0</v>
      </c>
      <c r="DB119" s="208">
        <v>-36563112</v>
      </c>
      <c r="DC119" s="208">
        <v>0</v>
      </c>
      <c r="DD119" s="208">
        <v>952318</v>
      </c>
      <c r="DE119" s="208">
        <v>535679</v>
      </c>
      <c r="DF119" s="208">
        <v>0</v>
      </c>
      <c r="DG119" s="208">
        <v>1487997</v>
      </c>
      <c r="DH119" s="208">
        <v>0</v>
      </c>
      <c r="DI119" s="208">
        <v>-24352710</v>
      </c>
      <c r="DJ119" s="208">
        <v>-13698399</v>
      </c>
      <c r="DK119" s="208">
        <v>0</v>
      </c>
      <c r="DL119" s="208">
        <v>-38051109</v>
      </c>
      <c r="DM119" s="208">
        <v>627848.93999999762</v>
      </c>
      <c r="DN119" s="208">
        <v>754542</v>
      </c>
      <c r="DO119" s="208">
        <v>1132748</v>
      </c>
      <c r="DP119" s="208">
        <v>0</v>
      </c>
      <c r="DQ119" s="208">
        <v>2515138.9399999976</v>
      </c>
      <c r="DR119" s="208">
        <v>3813737</v>
      </c>
      <c r="DS119" s="208">
        <v>3650802</v>
      </c>
      <c r="DT119" s="208">
        <v>4704803</v>
      </c>
      <c r="DU119" s="208">
        <v>0</v>
      </c>
      <c r="DV119" s="208">
        <v>12169342</v>
      </c>
      <c r="DW119" s="208">
        <v>-3185888.0600000024</v>
      </c>
      <c r="DX119" s="208">
        <v>-2896260</v>
      </c>
      <c r="DY119" s="208">
        <v>-3572055</v>
      </c>
      <c r="DZ119" s="208">
        <v>0</v>
      </c>
      <c r="EA119" s="208">
        <v>-9654203.0600000024</v>
      </c>
      <c r="EB119" s="208">
        <v>0</v>
      </c>
      <c r="EC119" s="208">
        <v>79309466</v>
      </c>
      <c r="ED119" s="208">
        <v>44611574</v>
      </c>
      <c r="EE119" s="208">
        <v>0</v>
      </c>
      <c r="EF119" s="208">
        <v>123921040</v>
      </c>
      <c r="EG119" s="208">
        <v>0</v>
      </c>
      <c r="EH119" s="208">
        <v>86175014</v>
      </c>
      <c r="EI119" s="208">
        <v>48473446</v>
      </c>
      <c r="EJ119" s="208">
        <v>0</v>
      </c>
      <c r="EK119" s="208">
        <v>134648460</v>
      </c>
      <c r="EL119" s="208">
        <v>0</v>
      </c>
      <c r="EM119" s="208">
        <v>6865548</v>
      </c>
      <c r="EN119" s="208">
        <v>3861872</v>
      </c>
      <c r="EO119" s="208">
        <v>0</v>
      </c>
      <c r="EP119" s="208">
        <v>10727420</v>
      </c>
      <c r="EQ119" s="208">
        <v>-3185888.0600000024</v>
      </c>
      <c r="ER119" s="208">
        <v>3969288</v>
      </c>
      <c r="ES119" s="208">
        <v>289817</v>
      </c>
      <c r="ET119" s="208">
        <v>0</v>
      </c>
      <c r="EU119" s="208">
        <v>1073216.9399999976</v>
      </c>
      <c r="EV119" s="666">
        <v>0</v>
      </c>
      <c r="EW119" s="666">
        <v>0.64</v>
      </c>
      <c r="EX119" s="666">
        <v>0.36</v>
      </c>
      <c r="EY119" s="666">
        <v>0</v>
      </c>
      <c r="EZ119" s="666">
        <v>1</v>
      </c>
      <c r="FA119" s="187" t="s">
        <v>1057</v>
      </c>
      <c r="FC119" s="187">
        <v>0</v>
      </c>
    </row>
    <row r="120" spans="2:159" s="187" customFormat="1" x14ac:dyDescent="0.2">
      <c r="B120" s="429" t="s">
        <v>317</v>
      </c>
      <c r="C120" s="429" t="s">
        <v>316</v>
      </c>
      <c r="D120" s="208">
        <v>0</v>
      </c>
      <c r="E120" s="208">
        <v>51852224</v>
      </c>
      <c r="F120" s="208">
        <v>0</v>
      </c>
      <c r="G120" s="208">
        <v>523760</v>
      </c>
      <c r="H120" s="208">
        <v>52375984</v>
      </c>
      <c r="I120" s="208">
        <v>0</v>
      </c>
      <c r="J120" s="208">
        <v>0</v>
      </c>
      <c r="K120" s="208">
        <v>0</v>
      </c>
      <c r="L120" s="208">
        <v>156251</v>
      </c>
      <c r="M120" s="208">
        <v>156251</v>
      </c>
      <c r="N120" s="208">
        <v>0</v>
      </c>
      <c r="O120" s="208">
        <v>0</v>
      </c>
      <c r="P120" s="208">
        <v>0</v>
      </c>
      <c r="Q120" s="208">
        <v>0</v>
      </c>
      <c r="R120" s="208">
        <v>0</v>
      </c>
      <c r="S120" s="208">
        <v>0</v>
      </c>
      <c r="T120" s="208">
        <v>0</v>
      </c>
      <c r="U120" s="208">
        <v>0</v>
      </c>
      <c r="V120" s="208">
        <v>0</v>
      </c>
      <c r="W120" s="208">
        <v>0</v>
      </c>
      <c r="X120" s="208">
        <v>0</v>
      </c>
      <c r="Y120" s="208">
        <v>0</v>
      </c>
      <c r="Z120" s="208">
        <v>0</v>
      </c>
      <c r="AA120" s="208">
        <v>0</v>
      </c>
      <c r="AB120" s="208">
        <v>0</v>
      </c>
      <c r="AC120" s="208">
        <v>0</v>
      </c>
      <c r="AD120" s="208">
        <v>0</v>
      </c>
      <c r="AE120" s="208">
        <v>0</v>
      </c>
      <c r="AF120" s="208">
        <v>0</v>
      </c>
      <c r="AG120" s="208">
        <v>3986989</v>
      </c>
      <c r="AH120" s="208">
        <v>0</v>
      </c>
      <c r="AI120" s="208">
        <v>37081</v>
      </c>
      <c r="AJ120" s="208">
        <v>4024070</v>
      </c>
      <c r="AK120" s="208">
        <v>0</v>
      </c>
      <c r="AL120" s="208">
        <v>4703675</v>
      </c>
      <c r="AM120" s="208">
        <v>0</v>
      </c>
      <c r="AN120" s="208">
        <v>47512</v>
      </c>
      <c r="AO120" s="208">
        <v>4751187</v>
      </c>
      <c r="AP120" s="208">
        <v>0</v>
      </c>
      <c r="AQ120" s="208">
        <v>-575553</v>
      </c>
      <c r="AR120" s="208">
        <v>0</v>
      </c>
      <c r="AS120" s="208">
        <v>-5814</v>
      </c>
      <c r="AT120" s="208">
        <v>-581367</v>
      </c>
      <c r="AU120" s="208">
        <v>0</v>
      </c>
      <c r="AV120" s="208">
        <v>-3132868</v>
      </c>
      <c r="AW120" s="208">
        <v>0</v>
      </c>
      <c r="AX120" s="208">
        <v>-31645</v>
      </c>
      <c r="AY120" s="208">
        <v>-3164513</v>
      </c>
      <c r="AZ120" s="208">
        <v>0</v>
      </c>
      <c r="BA120" s="208">
        <v>11839</v>
      </c>
      <c r="BB120" s="208">
        <v>0</v>
      </c>
      <c r="BC120" s="208">
        <v>120</v>
      </c>
      <c r="BD120" s="208">
        <v>11959</v>
      </c>
      <c r="BE120" s="208">
        <v>0</v>
      </c>
      <c r="BF120" s="208">
        <v>-533618</v>
      </c>
      <c r="BG120" s="208">
        <v>0</v>
      </c>
      <c r="BH120" s="208">
        <v>-5390</v>
      </c>
      <c r="BI120" s="208">
        <v>-539008</v>
      </c>
      <c r="BJ120" s="208">
        <v>0</v>
      </c>
      <c r="BK120" s="208">
        <v>-3654647</v>
      </c>
      <c r="BL120" s="208">
        <v>0</v>
      </c>
      <c r="BM120" s="208">
        <v>-36915</v>
      </c>
      <c r="BN120" s="208">
        <v>-3691562</v>
      </c>
      <c r="BO120" s="208">
        <v>0</v>
      </c>
      <c r="BP120" s="208">
        <v>-5505176</v>
      </c>
      <c r="BQ120" s="208">
        <v>0</v>
      </c>
      <c r="BR120" s="208">
        <v>-55608</v>
      </c>
      <c r="BS120" s="208">
        <v>-5560784</v>
      </c>
      <c r="BT120" s="208">
        <v>0</v>
      </c>
      <c r="BU120" s="208">
        <v>0</v>
      </c>
      <c r="BV120" s="208">
        <v>0</v>
      </c>
      <c r="BW120" s="208">
        <v>0</v>
      </c>
      <c r="BX120" s="208">
        <v>0</v>
      </c>
      <c r="BY120" s="208">
        <v>0</v>
      </c>
      <c r="BZ120" s="208">
        <v>-5505176</v>
      </c>
      <c r="CA120" s="208">
        <v>0</v>
      </c>
      <c r="CB120" s="208">
        <v>-55608</v>
      </c>
      <c r="CC120" s="208">
        <v>-5560784</v>
      </c>
      <c r="CD120" s="208">
        <v>0</v>
      </c>
      <c r="CE120" s="208">
        <v>0</v>
      </c>
      <c r="CF120" s="208">
        <v>0</v>
      </c>
      <c r="CG120" s="208">
        <v>0</v>
      </c>
      <c r="CH120" s="208">
        <v>0</v>
      </c>
      <c r="CI120" s="208">
        <v>0</v>
      </c>
      <c r="CJ120" s="208">
        <v>0</v>
      </c>
      <c r="CK120" s="208">
        <v>0</v>
      </c>
      <c r="CL120" s="208">
        <v>0</v>
      </c>
      <c r="CM120" s="208">
        <v>0</v>
      </c>
      <c r="CN120" s="208">
        <v>0</v>
      </c>
      <c r="CO120" s="208">
        <v>952465</v>
      </c>
      <c r="CP120" s="208">
        <v>0</v>
      </c>
      <c r="CQ120" s="208">
        <v>9621</v>
      </c>
      <c r="CR120" s="208">
        <v>962086</v>
      </c>
      <c r="CS120" s="208">
        <v>0</v>
      </c>
      <c r="CT120" s="208">
        <v>-856973</v>
      </c>
      <c r="CU120" s="208">
        <v>0</v>
      </c>
      <c r="CV120" s="208">
        <v>-8656</v>
      </c>
      <c r="CW120" s="208">
        <v>-865629</v>
      </c>
      <c r="CX120" s="208">
        <v>0</v>
      </c>
      <c r="CY120" s="208">
        <v>-5409684</v>
      </c>
      <c r="CZ120" s="208">
        <v>0</v>
      </c>
      <c r="DA120" s="208">
        <v>-54643</v>
      </c>
      <c r="DB120" s="208">
        <v>-5464327</v>
      </c>
      <c r="DC120" s="208">
        <v>0</v>
      </c>
      <c r="DD120" s="208">
        <v>952465</v>
      </c>
      <c r="DE120" s="208">
        <v>0</v>
      </c>
      <c r="DF120" s="208">
        <v>9621</v>
      </c>
      <c r="DG120" s="208">
        <v>962086</v>
      </c>
      <c r="DH120" s="208">
        <v>0</v>
      </c>
      <c r="DI120" s="208">
        <v>-6362149</v>
      </c>
      <c r="DJ120" s="208">
        <v>0</v>
      </c>
      <c r="DK120" s="208">
        <v>-64264</v>
      </c>
      <c r="DL120" s="208">
        <v>-6426413</v>
      </c>
      <c r="DM120" s="208">
        <v>3748034</v>
      </c>
      <c r="DN120" s="208">
        <v>2736364</v>
      </c>
      <c r="DO120" s="208">
        <v>0</v>
      </c>
      <c r="DP120" s="208">
        <v>65499</v>
      </c>
      <c r="DQ120" s="208">
        <v>6549897</v>
      </c>
      <c r="DR120" s="208">
        <v>3747722</v>
      </c>
      <c r="DS120" s="208">
        <v>3391119</v>
      </c>
      <c r="DT120" s="208">
        <v>0</v>
      </c>
      <c r="DU120" s="208">
        <v>72109</v>
      </c>
      <c r="DV120" s="208">
        <v>7210950</v>
      </c>
      <c r="DW120" s="208">
        <v>312</v>
      </c>
      <c r="DX120" s="208">
        <v>-654755</v>
      </c>
      <c r="DY120" s="208">
        <v>0</v>
      </c>
      <c r="DZ120" s="208">
        <v>-6610</v>
      </c>
      <c r="EA120" s="208">
        <v>-661053</v>
      </c>
      <c r="EB120" s="208">
        <v>0</v>
      </c>
      <c r="EC120" s="208">
        <v>49456198</v>
      </c>
      <c r="ED120" s="208">
        <v>0</v>
      </c>
      <c r="EE120" s="208">
        <v>499558</v>
      </c>
      <c r="EF120" s="208">
        <v>49955756</v>
      </c>
      <c r="EG120" s="208">
        <v>0</v>
      </c>
      <c r="EH120" s="208">
        <v>51852224</v>
      </c>
      <c r="EI120" s="208">
        <v>0</v>
      </c>
      <c r="EJ120" s="208">
        <v>523760</v>
      </c>
      <c r="EK120" s="208">
        <v>52375984</v>
      </c>
      <c r="EL120" s="208">
        <v>0</v>
      </c>
      <c r="EM120" s="208">
        <v>2396026</v>
      </c>
      <c r="EN120" s="208">
        <v>0</v>
      </c>
      <c r="EO120" s="208">
        <v>24202</v>
      </c>
      <c r="EP120" s="208">
        <v>2420228</v>
      </c>
      <c r="EQ120" s="208">
        <v>312</v>
      </c>
      <c r="ER120" s="208">
        <v>1741271</v>
      </c>
      <c r="ES120" s="208">
        <v>0</v>
      </c>
      <c r="ET120" s="208">
        <v>17592</v>
      </c>
      <c r="EU120" s="208">
        <v>1759175</v>
      </c>
      <c r="EV120" s="666">
        <v>0</v>
      </c>
      <c r="EW120" s="666">
        <v>0.99</v>
      </c>
      <c r="EX120" s="666">
        <v>0</v>
      </c>
      <c r="EY120" s="666">
        <v>0.01</v>
      </c>
      <c r="EZ120" s="666">
        <v>1</v>
      </c>
      <c r="FA120" s="187" t="s">
        <v>742</v>
      </c>
      <c r="FC120" s="187">
        <v>0</v>
      </c>
    </row>
    <row r="121" spans="2:159" s="187" customFormat="1" x14ac:dyDescent="0.2">
      <c r="B121" s="429" t="s">
        <v>319</v>
      </c>
      <c r="C121" s="429" t="s">
        <v>318</v>
      </c>
      <c r="D121" s="208">
        <v>13618281</v>
      </c>
      <c r="E121" s="208">
        <v>10894626</v>
      </c>
      <c r="F121" s="208">
        <v>2451291</v>
      </c>
      <c r="G121" s="208">
        <v>272366</v>
      </c>
      <c r="H121" s="208">
        <v>27236564</v>
      </c>
      <c r="I121" s="208">
        <v>0</v>
      </c>
      <c r="J121" s="208">
        <v>0</v>
      </c>
      <c r="K121" s="208">
        <v>13618281</v>
      </c>
      <c r="L121" s="208">
        <v>155090</v>
      </c>
      <c r="M121" s="208">
        <v>155090</v>
      </c>
      <c r="N121" s="208">
        <v>0</v>
      </c>
      <c r="O121" s="208">
        <v>0</v>
      </c>
      <c r="P121" s="208">
        <v>69576</v>
      </c>
      <c r="Q121" s="208">
        <v>0</v>
      </c>
      <c r="R121" s="208">
        <v>69576</v>
      </c>
      <c r="S121" s="208">
        <v>0</v>
      </c>
      <c r="T121" s="208">
        <v>0</v>
      </c>
      <c r="U121" s="208">
        <v>0</v>
      </c>
      <c r="V121" s="208">
        <v>0</v>
      </c>
      <c r="W121" s="208">
        <v>0</v>
      </c>
      <c r="X121" s="208">
        <v>0</v>
      </c>
      <c r="Y121" s="208">
        <v>0</v>
      </c>
      <c r="Z121" s="208">
        <v>0</v>
      </c>
      <c r="AA121" s="208">
        <v>0</v>
      </c>
      <c r="AB121" s="208">
        <v>0</v>
      </c>
      <c r="AC121" s="208">
        <v>0</v>
      </c>
      <c r="AD121" s="208">
        <v>0</v>
      </c>
      <c r="AE121" s="208">
        <v>0</v>
      </c>
      <c r="AF121" s="208">
        <v>0</v>
      </c>
      <c r="AG121" s="208">
        <v>1738879</v>
      </c>
      <c r="AH121" s="208">
        <v>390888</v>
      </c>
      <c r="AI121" s="208">
        <v>43433</v>
      </c>
      <c r="AJ121" s="208">
        <v>2173200</v>
      </c>
      <c r="AK121" s="208">
        <v>292680</v>
      </c>
      <c r="AL121" s="208">
        <v>234145</v>
      </c>
      <c r="AM121" s="208">
        <v>52683</v>
      </c>
      <c r="AN121" s="208">
        <v>5854</v>
      </c>
      <c r="AO121" s="208">
        <v>585362</v>
      </c>
      <c r="AP121" s="208">
        <v>-351542</v>
      </c>
      <c r="AQ121" s="208">
        <v>-281234</v>
      </c>
      <c r="AR121" s="208">
        <v>-63278</v>
      </c>
      <c r="AS121" s="208">
        <v>-7031</v>
      </c>
      <c r="AT121" s="208">
        <v>-703085</v>
      </c>
      <c r="AU121" s="208">
        <v>-139344</v>
      </c>
      <c r="AV121" s="208">
        <v>-111475</v>
      </c>
      <c r="AW121" s="208">
        <v>-25082</v>
      </c>
      <c r="AX121" s="208">
        <v>-2787</v>
      </c>
      <c r="AY121" s="208">
        <v>-278688</v>
      </c>
      <c r="AZ121" s="208">
        <v>74147</v>
      </c>
      <c r="BA121" s="208">
        <v>59318</v>
      </c>
      <c r="BB121" s="208">
        <v>13347</v>
      </c>
      <c r="BC121" s="208">
        <v>1483</v>
      </c>
      <c r="BD121" s="208">
        <v>148295</v>
      </c>
      <c r="BE121" s="208">
        <v>-70286</v>
      </c>
      <c r="BF121" s="208">
        <v>-56228</v>
      </c>
      <c r="BG121" s="208">
        <v>-12651</v>
      </c>
      <c r="BH121" s="208">
        <v>-1406</v>
      </c>
      <c r="BI121" s="208">
        <v>-140571</v>
      </c>
      <c r="BJ121" s="208">
        <v>-135483</v>
      </c>
      <c r="BK121" s="208">
        <v>-108385</v>
      </c>
      <c r="BL121" s="208">
        <v>-24386</v>
      </c>
      <c r="BM121" s="208">
        <v>-2710</v>
      </c>
      <c r="BN121" s="208">
        <v>-270964</v>
      </c>
      <c r="BO121" s="208">
        <v>-609966</v>
      </c>
      <c r="BP121" s="208">
        <v>-487972</v>
      </c>
      <c r="BQ121" s="208">
        <v>-109794</v>
      </c>
      <c r="BR121" s="208">
        <v>-12199</v>
      </c>
      <c r="BS121" s="208">
        <v>-1219931</v>
      </c>
      <c r="BT121" s="208">
        <v>-200124</v>
      </c>
      <c r="BU121" s="208">
        <v>-160098</v>
      </c>
      <c r="BV121" s="208">
        <v>-36022</v>
      </c>
      <c r="BW121" s="208">
        <v>-4002</v>
      </c>
      <c r="BX121" s="208">
        <v>-400246</v>
      </c>
      <c r="BY121" s="208">
        <v>-409842</v>
      </c>
      <c r="BZ121" s="208">
        <v>-327874</v>
      </c>
      <c r="CA121" s="208">
        <v>-73772</v>
      </c>
      <c r="CB121" s="208">
        <v>-8197</v>
      </c>
      <c r="CC121" s="208">
        <v>-819685</v>
      </c>
      <c r="CD121" s="208">
        <v>259340</v>
      </c>
      <c r="CE121" s="208">
        <v>207472</v>
      </c>
      <c r="CF121" s="208">
        <v>46681</v>
      </c>
      <c r="CG121" s="208">
        <v>5187</v>
      </c>
      <c r="CH121" s="208">
        <v>518680</v>
      </c>
      <c r="CI121" s="208">
        <v>238670</v>
      </c>
      <c r="CJ121" s="208">
        <v>190936</v>
      </c>
      <c r="CK121" s="208">
        <v>42961</v>
      </c>
      <c r="CL121" s="208">
        <v>4773</v>
      </c>
      <c r="CM121" s="208">
        <v>477340</v>
      </c>
      <c r="CN121" s="208">
        <v>-408809</v>
      </c>
      <c r="CO121" s="208">
        <v>-327046</v>
      </c>
      <c r="CP121" s="208">
        <v>-73585</v>
      </c>
      <c r="CQ121" s="208">
        <v>-8176</v>
      </c>
      <c r="CR121" s="208">
        <v>-817616</v>
      </c>
      <c r="CS121" s="208">
        <v>-245717</v>
      </c>
      <c r="CT121" s="208">
        <v>-196573</v>
      </c>
      <c r="CU121" s="208">
        <v>-44229</v>
      </c>
      <c r="CV121" s="208">
        <v>-4914</v>
      </c>
      <c r="CW121" s="208">
        <v>-491433</v>
      </c>
      <c r="CX121" s="208">
        <v>-766482</v>
      </c>
      <c r="CY121" s="208">
        <v>-613183</v>
      </c>
      <c r="CZ121" s="208">
        <v>-137966</v>
      </c>
      <c r="DA121" s="208">
        <v>-15329</v>
      </c>
      <c r="DB121" s="208">
        <v>-1532960</v>
      </c>
      <c r="DC121" s="208">
        <v>-349593</v>
      </c>
      <c r="DD121" s="208">
        <v>-279672</v>
      </c>
      <c r="DE121" s="208">
        <v>-62926</v>
      </c>
      <c r="DF121" s="208">
        <v>-6991</v>
      </c>
      <c r="DG121" s="208">
        <v>-699182</v>
      </c>
      <c r="DH121" s="208">
        <v>-416889</v>
      </c>
      <c r="DI121" s="208">
        <v>-333511</v>
      </c>
      <c r="DJ121" s="208">
        <v>-75040</v>
      </c>
      <c r="DK121" s="208">
        <v>-8338</v>
      </c>
      <c r="DL121" s="208">
        <v>-833778</v>
      </c>
      <c r="DM121" s="208">
        <v>-376526</v>
      </c>
      <c r="DN121" s="208">
        <v>-301223</v>
      </c>
      <c r="DO121" s="208">
        <v>-67774</v>
      </c>
      <c r="DP121" s="208">
        <v>-7532</v>
      </c>
      <c r="DQ121" s="208">
        <v>-753055</v>
      </c>
      <c r="DR121" s="208">
        <v>95274</v>
      </c>
      <c r="DS121" s="208">
        <v>76218</v>
      </c>
      <c r="DT121" s="208">
        <v>17149</v>
      </c>
      <c r="DU121" s="208">
        <v>1905</v>
      </c>
      <c r="DV121" s="208">
        <v>190546</v>
      </c>
      <c r="DW121" s="208">
        <v>-471800</v>
      </c>
      <c r="DX121" s="208">
        <v>-377441</v>
      </c>
      <c r="DY121" s="208">
        <v>-84923</v>
      </c>
      <c r="DZ121" s="208">
        <v>-9437</v>
      </c>
      <c r="EA121" s="208">
        <v>-943601</v>
      </c>
      <c r="EB121" s="208">
        <v>14000436</v>
      </c>
      <c r="EC121" s="208">
        <v>11200349</v>
      </c>
      <c r="ED121" s="208">
        <v>2520078</v>
      </c>
      <c r="EE121" s="208">
        <v>280009</v>
      </c>
      <c r="EF121" s="208">
        <v>28000872</v>
      </c>
      <c r="EG121" s="208">
        <v>13618281</v>
      </c>
      <c r="EH121" s="208">
        <v>10894626</v>
      </c>
      <c r="EI121" s="208">
        <v>2451291</v>
      </c>
      <c r="EJ121" s="208">
        <v>272366</v>
      </c>
      <c r="EK121" s="208">
        <v>27236564</v>
      </c>
      <c r="EL121" s="208">
        <v>-382155</v>
      </c>
      <c r="EM121" s="208">
        <v>-305723</v>
      </c>
      <c r="EN121" s="208">
        <v>-68787</v>
      </c>
      <c r="EO121" s="208">
        <v>-7643</v>
      </c>
      <c r="EP121" s="208">
        <v>-764308</v>
      </c>
      <c r="EQ121" s="208">
        <v>-853955</v>
      </c>
      <c r="ER121" s="208">
        <v>-683164</v>
      </c>
      <c r="ES121" s="208">
        <v>-153710</v>
      </c>
      <c r="ET121" s="208">
        <v>-17080</v>
      </c>
      <c r="EU121" s="208">
        <v>-1707909</v>
      </c>
      <c r="EV121" s="666">
        <v>0.5</v>
      </c>
      <c r="EW121" s="666">
        <v>0.4</v>
      </c>
      <c r="EX121" s="666">
        <v>0.09</v>
      </c>
      <c r="EY121" s="666">
        <v>0.01</v>
      </c>
      <c r="EZ121" s="666">
        <v>1</v>
      </c>
      <c r="FA121" s="187" t="s">
        <v>1054</v>
      </c>
      <c r="FC121" s="187">
        <v>0</v>
      </c>
    </row>
    <row r="122" spans="2:159" s="187" customFormat="1" x14ac:dyDescent="0.2">
      <c r="B122" s="429" t="s">
        <v>321</v>
      </c>
      <c r="C122" s="429" t="s">
        <v>320</v>
      </c>
      <c r="D122" s="208">
        <v>0</v>
      </c>
      <c r="E122" s="208">
        <v>151077134</v>
      </c>
      <c r="F122" s="208">
        <v>84980888</v>
      </c>
      <c r="G122" s="208">
        <v>0</v>
      </c>
      <c r="H122" s="208">
        <v>236058022</v>
      </c>
      <c r="I122" s="208">
        <v>0</v>
      </c>
      <c r="J122" s="208">
        <v>0</v>
      </c>
      <c r="K122" s="208">
        <v>0</v>
      </c>
      <c r="L122" s="208">
        <v>582048</v>
      </c>
      <c r="M122" s="208">
        <v>582048</v>
      </c>
      <c r="N122" s="208">
        <v>0</v>
      </c>
      <c r="O122" s="208">
        <v>0</v>
      </c>
      <c r="P122" s="208">
        <v>0</v>
      </c>
      <c r="Q122" s="208">
        <v>0</v>
      </c>
      <c r="R122" s="208">
        <v>0</v>
      </c>
      <c r="S122" s="208">
        <v>0</v>
      </c>
      <c r="T122" s="208">
        <v>0</v>
      </c>
      <c r="U122" s="208">
        <v>0</v>
      </c>
      <c r="V122" s="208">
        <v>0</v>
      </c>
      <c r="W122" s="208">
        <v>0</v>
      </c>
      <c r="X122" s="208">
        <v>0</v>
      </c>
      <c r="Y122" s="208">
        <v>0</v>
      </c>
      <c r="Z122" s="208">
        <v>0</v>
      </c>
      <c r="AA122" s="208">
        <v>0</v>
      </c>
      <c r="AB122" s="208">
        <v>0</v>
      </c>
      <c r="AC122" s="208">
        <v>0</v>
      </c>
      <c r="AD122" s="208">
        <v>0</v>
      </c>
      <c r="AE122" s="208">
        <v>0</v>
      </c>
      <c r="AF122" s="208">
        <v>0</v>
      </c>
      <c r="AG122" s="208">
        <v>7223474</v>
      </c>
      <c r="AH122" s="208">
        <v>4063205</v>
      </c>
      <c r="AI122" s="208">
        <v>0</v>
      </c>
      <c r="AJ122" s="208">
        <v>11286679</v>
      </c>
      <c r="AK122" s="208">
        <v>-3.9999470114707947E-2</v>
      </c>
      <c r="AL122" s="208">
        <v>17053360</v>
      </c>
      <c r="AM122" s="208">
        <v>9592515</v>
      </c>
      <c r="AN122" s="208">
        <v>0</v>
      </c>
      <c r="AO122" s="208">
        <v>26645874.96000053</v>
      </c>
      <c r="AP122" s="208">
        <v>-0.64000000059604645</v>
      </c>
      <c r="AQ122" s="208">
        <v>-15052558</v>
      </c>
      <c r="AR122" s="208">
        <v>-8467064</v>
      </c>
      <c r="AS122" s="208">
        <v>0</v>
      </c>
      <c r="AT122" s="208">
        <v>-23519622.640000001</v>
      </c>
      <c r="AU122" s="208">
        <v>0</v>
      </c>
      <c r="AV122" s="208">
        <v>-10248188</v>
      </c>
      <c r="AW122" s="208">
        <v>-5764605</v>
      </c>
      <c r="AX122" s="208">
        <v>0</v>
      </c>
      <c r="AY122" s="208">
        <v>-16012793</v>
      </c>
      <c r="AZ122" s="208">
        <v>0</v>
      </c>
      <c r="BA122" s="208">
        <v>547921</v>
      </c>
      <c r="BB122" s="208">
        <v>308205</v>
      </c>
      <c r="BC122" s="208">
        <v>0</v>
      </c>
      <c r="BD122" s="208">
        <v>856126</v>
      </c>
      <c r="BE122" s="208">
        <v>0</v>
      </c>
      <c r="BF122" s="208">
        <v>-1322467</v>
      </c>
      <c r="BG122" s="208">
        <v>-743888</v>
      </c>
      <c r="BH122" s="208">
        <v>0</v>
      </c>
      <c r="BI122" s="208">
        <v>-2066355</v>
      </c>
      <c r="BJ122" s="208">
        <v>0</v>
      </c>
      <c r="BK122" s="208">
        <v>-11022734</v>
      </c>
      <c r="BL122" s="208">
        <v>-6200288</v>
      </c>
      <c r="BM122" s="208">
        <v>0</v>
      </c>
      <c r="BN122" s="208">
        <v>-17223022</v>
      </c>
      <c r="BO122" s="208">
        <v>0</v>
      </c>
      <c r="BP122" s="208">
        <v>-15114254</v>
      </c>
      <c r="BQ122" s="208">
        <v>-8501768</v>
      </c>
      <c r="BR122" s="208">
        <v>0</v>
      </c>
      <c r="BS122" s="208">
        <v>-23616022</v>
      </c>
      <c r="BT122" s="208">
        <v>0</v>
      </c>
      <c r="BU122" s="208">
        <v>-5817600</v>
      </c>
      <c r="BV122" s="208">
        <v>-3272400</v>
      </c>
      <c r="BW122" s="208">
        <v>0</v>
      </c>
      <c r="BX122" s="208">
        <v>-9090000</v>
      </c>
      <c r="BY122" s="208">
        <v>0</v>
      </c>
      <c r="BZ122" s="208">
        <v>-9296654</v>
      </c>
      <c r="CA122" s="208">
        <v>-5229368</v>
      </c>
      <c r="CB122" s="208">
        <v>0</v>
      </c>
      <c r="CC122" s="208">
        <v>-14526022</v>
      </c>
      <c r="CD122" s="208">
        <v>0</v>
      </c>
      <c r="CE122" s="208">
        <v>3014017</v>
      </c>
      <c r="CF122" s="208">
        <v>1695385</v>
      </c>
      <c r="CG122" s="208">
        <v>0</v>
      </c>
      <c r="CH122" s="208">
        <v>4709402</v>
      </c>
      <c r="CI122" s="208">
        <v>0</v>
      </c>
      <c r="CJ122" s="208">
        <v>3819402</v>
      </c>
      <c r="CK122" s="208">
        <v>2148414</v>
      </c>
      <c r="CL122" s="208">
        <v>0</v>
      </c>
      <c r="CM122" s="208">
        <v>5967816</v>
      </c>
      <c r="CN122" s="208">
        <v>0</v>
      </c>
      <c r="CO122" s="208">
        <v>0</v>
      </c>
      <c r="CP122" s="208">
        <v>0</v>
      </c>
      <c r="CQ122" s="208">
        <v>0</v>
      </c>
      <c r="CR122" s="208">
        <v>0</v>
      </c>
      <c r="CS122" s="208">
        <v>0</v>
      </c>
      <c r="CT122" s="208">
        <v>-15228388</v>
      </c>
      <c r="CU122" s="208">
        <v>-8565969</v>
      </c>
      <c r="CV122" s="208">
        <v>0</v>
      </c>
      <c r="CW122" s="208">
        <v>-23794357</v>
      </c>
      <c r="CX122" s="208">
        <v>0</v>
      </c>
      <c r="CY122" s="208">
        <v>-23509223</v>
      </c>
      <c r="CZ122" s="208">
        <v>-13223938</v>
      </c>
      <c r="DA122" s="208">
        <v>0</v>
      </c>
      <c r="DB122" s="208">
        <v>-36733161</v>
      </c>
      <c r="DC122" s="208">
        <v>0</v>
      </c>
      <c r="DD122" s="208">
        <v>-2803583</v>
      </c>
      <c r="DE122" s="208">
        <v>-1577015</v>
      </c>
      <c r="DF122" s="208">
        <v>0</v>
      </c>
      <c r="DG122" s="208">
        <v>-4380598</v>
      </c>
      <c r="DH122" s="208">
        <v>0</v>
      </c>
      <c r="DI122" s="208">
        <v>-20705640</v>
      </c>
      <c r="DJ122" s="208">
        <v>-11646923</v>
      </c>
      <c r="DK122" s="208">
        <v>0</v>
      </c>
      <c r="DL122" s="208">
        <v>-32352563</v>
      </c>
      <c r="DM122" s="208">
        <v>-5561059</v>
      </c>
      <c r="DN122" s="208">
        <v>-5254961</v>
      </c>
      <c r="DO122" s="208">
        <v>-6700516</v>
      </c>
      <c r="DP122" s="208">
        <v>0</v>
      </c>
      <c r="DQ122" s="208">
        <v>-17516536</v>
      </c>
      <c r="DR122" s="208">
        <v>-13857385</v>
      </c>
      <c r="DS122" s="208">
        <v>-12797075</v>
      </c>
      <c r="DT122" s="208">
        <v>-16002457</v>
      </c>
      <c r="DU122" s="208">
        <v>0</v>
      </c>
      <c r="DV122" s="208">
        <v>-42656917</v>
      </c>
      <c r="DW122" s="208">
        <v>8296326</v>
      </c>
      <c r="DX122" s="208">
        <v>7542114</v>
      </c>
      <c r="DY122" s="208">
        <v>9301941</v>
      </c>
      <c r="DZ122" s="208">
        <v>0</v>
      </c>
      <c r="EA122" s="208">
        <v>25140381</v>
      </c>
      <c r="EB122" s="208">
        <v>0</v>
      </c>
      <c r="EC122" s="208">
        <v>148967512</v>
      </c>
      <c r="ED122" s="208">
        <v>83794226</v>
      </c>
      <c r="EE122" s="208">
        <v>0</v>
      </c>
      <c r="EF122" s="208">
        <v>232761738</v>
      </c>
      <c r="EG122" s="208">
        <v>0</v>
      </c>
      <c r="EH122" s="208">
        <v>151077134</v>
      </c>
      <c r="EI122" s="208">
        <v>84980888</v>
      </c>
      <c r="EJ122" s="208">
        <v>0</v>
      </c>
      <c r="EK122" s="208">
        <v>236058022</v>
      </c>
      <c r="EL122" s="208">
        <v>0</v>
      </c>
      <c r="EM122" s="208">
        <v>2109622</v>
      </c>
      <c r="EN122" s="208">
        <v>1186662</v>
      </c>
      <c r="EO122" s="208">
        <v>0</v>
      </c>
      <c r="EP122" s="208">
        <v>3296284</v>
      </c>
      <c r="EQ122" s="208">
        <v>8296326</v>
      </c>
      <c r="ER122" s="208">
        <v>9651736</v>
      </c>
      <c r="ES122" s="208">
        <v>10488603</v>
      </c>
      <c r="ET122" s="208">
        <v>0</v>
      </c>
      <c r="EU122" s="208">
        <v>28436665</v>
      </c>
      <c r="EV122" s="666">
        <v>0</v>
      </c>
      <c r="EW122" s="666">
        <v>0.64</v>
      </c>
      <c r="EX122" s="666">
        <v>0.36</v>
      </c>
      <c r="EY122" s="666">
        <v>0</v>
      </c>
      <c r="EZ122" s="666">
        <v>1</v>
      </c>
      <c r="FA122" s="187" t="s">
        <v>1057</v>
      </c>
      <c r="FC122" s="187">
        <v>0</v>
      </c>
    </row>
    <row r="123" spans="2:159" s="187" customFormat="1" x14ac:dyDescent="0.2">
      <c r="B123" s="429" t="s">
        <v>323</v>
      </c>
      <c r="C123" s="429" t="s">
        <v>322</v>
      </c>
      <c r="D123" s="208">
        <v>23334217</v>
      </c>
      <c r="E123" s="208">
        <v>18667373</v>
      </c>
      <c r="F123" s="208">
        <v>4200159</v>
      </c>
      <c r="G123" s="208">
        <v>466684</v>
      </c>
      <c r="H123" s="208">
        <v>46668433</v>
      </c>
      <c r="I123" s="208">
        <v>0</v>
      </c>
      <c r="J123" s="208">
        <v>0</v>
      </c>
      <c r="K123" s="208">
        <v>23334217</v>
      </c>
      <c r="L123" s="208">
        <v>127235</v>
      </c>
      <c r="M123" s="208">
        <v>127235</v>
      </c>
      <c r="N123" s="208">
        <v>0</v>
      </c>
      <c r="O123" s="208">
        <v>0</v>
      </c>
      <c r="P123" s="208">
        <v>36706</v>
      </c>
      <c r="Q123" s="208">
        <v>0</v>
      </c>
      <c r="R123" s="208">
        <v>36706</v>
      </c>
      <c r="S123" s="208">
        <v>0</v>
      </c>
      <c r="T123" s="208">
        <v>0</v>
      </c>
      <c r="U123" s="208">
        <v>0</v>
      </c>
      <c r="V123" s="208">
        <v>0</v>
      </c>
      <c r="W123" s="208">
        <v>0</v>
      </c>
      <c r="X123" s="208">
        <v>0</v>
      </c>
      <c r="Y123" s="208">
        <v>0</v>
      </c>
      <c r="Z123" s="208">
        <v>0</v>
      </c>
      <c r="AA123" s="208">
        <v>0</v>
      </c>
      <c r="AB123" s="208">
        <v>0</v>
      </c>
      <c r="AC123" s="208">
        <v>0</v>
      </c>
      <c r="AD123" s="208">
        <v>0</v>
      </c>
      <c r="AE123" s="208">
        <v>0</v>
      </c>
      <c r="AF123" s="208">
        <v>0</v>
      </c>
      <c r="AG123" s="208">
        <v>1497045</v>
      </c>
      <c r="AH123" s="208">
        <v>336647</v>
      </c>
      <c r="AI123" s="208">
        <v>37405</v>
      </c>
      <c r="AJ123" s="208">
        <v>1871097</v>
      </c>
      <c r="AK123" s="208">
        <v>114471</v>
      </c>
      <c r="AL123" s="208">
        <v>91576</v>
      </c>
      <c r="AM123" s="208">
        <v>20605</v>
      </c>
      <c r="AN123" s="208">
        <v>2289</v>
      </c>
      <c r="AO123" s="208">
        <v>228941</v>
      </c>
      <c r="AP123" s="208">
        <v>-255131</v>
      </c>
      <c r="AQ123" s="208">
        <v>-204104</v>
      </c>
      <c r="AR123" s="208">
        <v>-45923</v>
      </c>
      <c r="AS123" s="208">
        <v>-5103</v>
      </c>
      <c r="AT123" s="208">
        <v>-510261</v>
      </c>
      <c r="AU123" s="208">
        <v>-3746</v>
      </c>
      <c r="AV123" s="208">
        <v>-2997</v>
      </c>
      <c r="AW123" s="208">
        <v>-674</v>
      </c>
      <c r="AX123" s="208">
        <v>-75</v>
      </c>
      <c r="AY123" s="208">
        <v>-7492</v>
      </c>
      <c r="AZ123" s="208">
        <v>64795</v>
      </c>
      <c r="BA123" s="208">
        <v>51836</v>
      </c>
      <c r="BB123" s="208">
        <v>11663</v>
      </c>
      <c r="BC123" s="208">
        <v>1296</v>
      </c>
      <c r="BD123" s="208">
        <v>129590</v>
      </c>
      <c r="BE123" s="208">
        <v>-66256</v>
      </c>
      <c r="BF123" s="208">
        <v>-53005</v>
      </c>
      <c r="BG123" s="208">
        <v>-11926</v>
      </c>
      <c r="BH123" s="208">
        <v>-1325</v>
      </c>
      <c r="BI123" s="208">
        <v>-132512</v>
      </c>
      <c r="BJ123" s="208">
        <v>-5207</v>
      </c>
      <c r="BK123" s="208">
        <v>-4166</v>
      </c>
      <c r="BL123" s="208">
        <v>-937</v>
      </c>
      <c r="BM123" s="208">
        <v>-104</v>
      </c>
      <c r="BN123" s="208">
        <v>-10414</v>
      </c>
      <c r="BO123" s="208">
        <v>-4687898</v>
      </c>
      <c r="BP123" s="208">
        <v>-3750318</v>
      </c>
      <c r="BQ123" s="208">
        <v>-843822</v>
      </c>
      <c r="BR123" s="208">
        <v>-93758</v>
      </c>
      <c r="BS123" s="208">
        <v>-9375796</v>
      </c>
      <c r="BT123" s="208">
        <v>0</v>
      </c>
      <c r="BU123" s="208">
        <v>0</v>
      </c>
      <c r="BV123" s="208">
        <v>0</v>
      </c>
      <c r="BW123" s="208">
        <v>0</v>
      </c>
      <c r="BX123" s="208">
        <v>0</v>
      </c>
      <c r="BY123" s="208">
        <v>-4687898</v>
      </c>
      <c r="BZ123" s="208">
        <v>-3750318</v>
      </c>
      <c r="CA123" s="208">
        <v>-843822</v>
      </c>
      <c r="CB123" s="208">
        <v>-93758</v>
      </c>
      <c r="CC123" s="208">
        <v>-9375796</v>
      </c>
      <c r="CD123" s="208">
        <v>353599</v>
      </c>
      <c r="CE123" s="208">
        <v>282880</v>
      </c>
      <c r="CF123" s="208">
        <v>63648</v>
      </c>
      <c r="CG123" s="208">
        <v>7072</v>
      </c>
      <c r="CH123" s="208">
        <v>707199</v>
      </c>
      <c r="CI123" s="208">
        <v>0</v>
      </c>
      <c r="CJ123" s="208">
        <v>0</v>
      </c>
      <c r="CK123" s="208">
        <v>0</v>
      </c>
      <c r="CL123" s="208">
        <v>0</v>
      </c>
      <c r="CM123" s="208">
        <v>0</v>
      </c>
      <c r="CN123" s="208">
        <v>759614</v>
      </c>
      <c r="CO123" s="208">
        <v>607692</v>
      </c>
      <c r="CP123" s="208">
        <v>136731</v>
      </c>
      <c r="CQ123" s="208">
        <v>15192</v>
      </c>
      <c r="CR123" s="208">
        <v>1519229</v>
      </c>
      <c r="CS123" s="208">
        <v>-48691</v>
      </c>
      <c r="CT123" s="208">
        <v>-38952</v>
      </c>
      <c r="CU123" s="208">
        <v>-8764</v>
      </c>
      <c r="CV123" s="208">
        <v>-974</v>
      </c>
      <c r="CW123" s="208">
        <v>-97381</v>
      </c>
      <c r="CX123" s="208">
        <v>-3623376</v>
      </c>
      <c r="CY123" s="208">
        <v>-2898698</v>
      </c>
      <c r="CZ123" s="208">
        <v>-652207</v>
      </c>
      <c r="DA123" s="208">
        <v>-72468</v>
      </c>
      <c r="DB123" s="208">
        <v>-7246749</v>
      </c>
      <c r="DC123" s="208">
        <v>1113213</v>
      </c>
      <c r="DD123" s="208">
        <v>890572</v>
      </c>
      <c r="DE123" s="208">
        <v>200379</v>
      </c>
      <c r="DF123" s="208">
        <v>22264</v>
      </c>
      <c r="DG123" s="208">
        <v>2226428</v>
      </c>
      <c r="DH123" s="208">
        <v>-4736589</v>
      </c>
      <c r="DI123" s="208">
        <v>-3789270</v>
      </c>
      <c r="DJ123" s="208">
        <v>-852586</v>
      </c>
      <c r="DK123" s="208">
        <v>-94732</v>
      </c>
      <c r="DL123" s="208">
        <v>-9473177</v>
      </c>
      <c r="DM123" s="208">
        <v>-77841</v>
      </c>
      <c r="DN123" s="208">
        <v>-62272</v>
      </c>
      <c r="DO123" s="208">
        <v>-14011</v>
      </c>
      <c r="DP123" s="208">
        <v>-1556</v>
      </c>
      <c r="DQ123" s="208">
        <v>-155680</v>
      </c>
      <c r="DR123" s="208">
        <v>2688750</v>
      </c>
      <c r="DS123" s="208">
        <v>2151000</v>
      </c>
      <c r="DT123" s="208">
        <v>483975</v>
      </c>
      <c r="DU123" s="208">
        <v>53775</v>
      </c>
      <c r="DV123" s="208">
        <v>5377500</v>
      </c>
      <c r="DW123" s="208">
        <v>-2766591</v>
      </c>
      <c r="DX123" s="208">
        <v>-2213272</v>
      </c>
      <c r="DY123" s="208">
        <v>-497986</v>
      </c>
      <c r="DZ123" s="208">
        <v>-55331</v>
      </c>
      <c r="EA123" s="208">
        <v>-5533180</v>
      </c>
      <c r="EB123" s="208">
        <v>20135597</v>
      </c>
      <c r="EC123" s="208">
        <v>16108477</v>
      </c>
      <c r="ED123" s="208">
        <v>3624407</v>
      </c>
      <c r="EE123" s="208">
        <v>402712</v>
      </c>
      <c r="EF123" s="208">
        <v>40271193</v>
      </c>
      <c r="EG123" s="208">
        <v>23334217</v>
      </c>
      <c r="EH123" s="208">
        <v>18667373</v>
      </c>
      <c r="EI123" s="208">
        <v>4200159</v>
      </c>
      <c r="EJ123" s="208">
        <v>466684</v>
      </c>
      <c r="EK123" s="208">
        <v>46668433</v>
      </c>
      <c r="EL123" s="208">
        <v>3198620</v>
      </c>
      <c r="EM123" s="208">
        <v>2558896</v>
      </c>
      <c r="EN123" s="208">
        <v>575752</v>
      </c>
      <c r="EO123" s="208">
        <v>63972</v>
      </c>
      <c r="EP123" s="208">
        <v>6397240</v>
      </c>
      <c r="EQ123" s="208">
        <v>432029</v>
      </c>
      <c r="ER123" s="208">
        <v>345624</v>
      </c>
      <c r="ES123" s="208">
        <v>77766</v>
      </c>
      <c r="ET123" s="208">
        <v>8641</v>
      </c>
      <c r="EU123" s="208">
        <v>864060</v>
      </c>
      <c r="EV123" s="666">
        <v>0.5</v>
      </c>
      <c r="EW123" s="666">
        <v>0.4</v>
      </c>
      <c r="EX123" s="666">
        <v>0.09</v>
      </c>
      <c r="EY123" s="666">
        <v>0.01</v>
      </c>
      <c r="EZ123" s="666">
        <v>1</v>
      </c>
      <c r="FA123" s="187" t="s">
        <v>1054</v>
      </c>
      <c r="FC123" s="187">
        <v>0</v>
      </c>
    </row>
    <row r="124" spans="2:159" s="187" customFormat="1" x14ac:dyDescent="0.2">
      <c r="B124" s="429" t="s">
        <v>325</v>
      </c>
      <c r="C124" s="429" t="s">
        <v>324</v>
      </c>
      <c r="D124" s="208">
        <v>0</v>
      </c>
      <c r="E124" s="208">
        <v>48253202</v>
      </c>
      <c r="F124" s="208">
        <v>27142426</v>
      </c>
      <c r="G124" s="208">
        <v>0</v>
      </c>
      <c r="H124" s="208">
        <v>75395628</v>
      </c>
      <c r="I124" s="208">
        <v>0</v>
      </c>
      <c r="J124" s="208">
        <v>0</v>
      </c>
      <c r="K124" s="208">
        <v>0</v>
      </c>
      <c r="L124" s="208">
        <v>308003</v>
      </c>
      <c r="M124" s="208">
        <v>308003</v>
      </c>
      <c r="N124" s="208">
        <v>0</v>
      </c>
      <c r="O124" s="208">
        <v>0</v>
      </c>
      <c r="P124" s="208">
        <v>0</v>
      </c>
      <c r="Q124" s="208">
        <v>0</v>
      </c>
      <c r="R124" s="208">
        <v>0</v>
      </c>
      <c r="S124" s="208">
        <v>0</v>
      </c>
      <c r="T124" s="208">
        <v>0</v>
      </c>
      <c r="U124" s="208">
        <v>0</v>
      </c>
      <c r="V124" s="208">
        <v>0</v>
      </c>
      <c r="W124" s="208">
        <v>0</v>
      </c>
      <c r="X124" s="208">
        <v>0</v>
      </c>
      <c r="Y124" s="208">
        <v>0</v>
      </c>
      <c r="Z124" s="208">
        <v>0</v>
      </c>
      <c r="AA124" s="208">
        <v>0</v>
      </c>
      <c r="AB124" s="208">
        <v>0</v>
      </c>
      <c r="AC124" s="208">
        <v>0</v>
      </c>
      <c r="AD124" s="208">
        <v>0</v>
      </c>
      <c r="AE124" s="208">
        <v>0</v>
      </c>
      <c r="AF124" s="208">
        <v>0</v>
      </c>
      <c r="AG124" s="208">
        <v>5900886</v>
      </c>
      <c r="AH124" s="208">
        <v>3319248</v>
      </c>
      <c r="AI124" s="208">
        <v>0</v>
      </c>
      <c r="AJ124" s="208">
        <v>9220134</v>
      </c>
      <c r="AK124" s="208">
        <v>0</v>
      </c>
      <c r="AL124" s="208">
        <v>6572919</v>
      </c>
      <c r="AM124" s="208">
        <v>3697267</v>
      </c>
      <c r="AN124" s="208">
        <v>0</v>
      </c>
      <c r="AO124" s="208">
        <v>10270186</v>
      </c>
      <c r="AP124" s="208">
        <v>0</v>
      </c>
      <c r="AQ124" s="208">
        <v>-5662221</v>
      </c>
      <c r="AR124" s="208">
        <v>-3185000</v>
      </c>
      <c r="AS124" s="208">
        <v>0</v>
      </c>
      <c r="AT124" s="208">
        <v>-8847221</v>
      </c>
      <c r="AU124" s="208">
        <v>-0.37000000011175871</v>
      </c>
      <c r="AV124" s="208">
        <v>-3352771</v>
      </c>
      <c r="AW124" s="208">
        <v>-1885934</v>
      </c>
      <c r="AX124" s="208">
        <v>0</v>
      </c>
      <c r="AY124" s="208">
        <v>-5238705.37</v>
      </c>
      <c r="AZ124" s="208">
        <v>0</v>
      </c>
      <c r="BA124" s="208">
        <v>354452</v>
      </c>
      <c r="BB124" s="208">
        <v>199379</v>
      </c>
      <c r="BC124" s="208">
        <v>0</v>
      </c>
      <c r="BD124" s="208">
        <v>553831</v>
      </c>
      <c r="BE124" s="208">
        <v>0</v>
      </c>
      <c r="BF124" s="208">
        <v>-293270</v>
      </c>
      <c r="BG124" s="208">
        <v>-164965</v>
      </c>
      <c r="BH124" s="208">
        <v>0</v>
      </c>
      <c r="BI124" s="208">
        <v>-458235</v>
      </c>
      <c r="BJ124" s="208">
        <v>-0.37000000011175871</v>
      </c>
      <c r="BK124" s="208">
        <v>-3291589</v>
      </c>
      <c r="BL124" s="208">
        <v>-1851520</v>
      </c>
      <c r="BM124" s="208">
        <v>0</v>
      </c>
      <c r="BN124" s="208">
        <v>-5143109.37</v>
      </c>
      <c r="BO124" s="208">
        <v>0</v>
      </c>
      <c r="BP124" s="208">
        <v>-6461726</v>
      </c>
      <c r="BQ124" s="208">
        <v>-3634721</v>
      </c>
      <c r="BR124" s="208">
        <v>0</v>
      </c>
      <c r="BS124" s="208">
        <v>-10096447</v>
      </c>
      <c r="BT124" s="208">
        <v>0</v>
      </c>
      <c r="BU124" s="208">
        <v>0</v>
      </c>
      <c r="BV124" s="208">
        <v>0</v>
      </c>
      <c r="BW124" s="208">
        <v>0</v>
      </c>
      <c r="BX124" s="208">
        <v>0</v>
      </c>
      <c r="BY124" s="208">
        <v>0</v>
      </c>
      <c r="BZ124" s="208">
        <v>-6461726</v>
      </c>
      <c r="CA124" s="208">
        <v>-3634721</v>
      </c>
      <c r="CB124" s="208">
        <v>0</v>
      </c>
      <c r="CC124" s="208">
        <v>-10096447</v>
      </c>
      <c r="CD124" s="208">
        <v>0</v>
      </c>
      <c r="CE124" s="208">
        <v>419528</v>
      </c>
      <c r="CF124" s="208">
        <v>235985</v>
      </c>
      <c r="CG124" s="208">
        <v>0</v>
      </c>
      <c r="CH124" s="208">
        <v>655513</v>
      </c>
      <c r="CI124" s="208">
        <v>0</v>
      </c>
      <c r="CJ124" s="208">
        <v>192571</v>
      </c>
      <c r="CK124" s="208">
        <v>108321</v>
      </c>
      <c r="CL124" s="208">
        <v>0</v>
      </c>
      <c r="CM124" s="208">
        <v>300892</v>
      </c>
      <c r="CN124" s="208">
        <v>0</v>
      </c>
      <c r="CO124" s="208">
        <v>1573902</v>
      </c>
      <c r="CP124" s="208">
        <v>885320</v>
      </c>
      <c r="CQ124" s="208">
        <v>0</v>
      </c>
      <c r="CR124" s="208">
        <v>2459222</v>
      </c>
      <c r="CS124" s="208">
        <v>0</v>
      </c>
      <c r="CT124" s="208">
        <v>-1107592</v>
      </c>
      <c r="CU124" s="208">
        <v>-623021</v>
      </c>
      <c r="CV124" s="208">
        <v>0</v>
      </c>
      <c r="CW124" s="208">
        <v>-1730613</v>
      </c>
      <c r="CX124" s="208">
        <v>0</v>
      </c>
      <c r="CY124" s="208">
        <v>-5383317</v>
      </c>
      <c r="CZ124" s="208">
        <v>-3028116</v>
      </c>
      <c r="DA124" s="208">
        <v>0</v>
      </c>
      <c r="DB124" s="208">
        <v>-8411433</v>
      </c>
      <c r="DC124" s="208">
        <v>0</v>
      </c>
      <c r="DD124" s="208">
        <v>1993430</v>
      </c>
      <c r="DE124" s="208">
        <v>1121305</v>
      </c>
      <c r="DF124" s="208">
        <v>0</v>
      </c>
      <c r="DG124" s="208">
        <v>3114735</v>
      </c>
      <c r="DH124" s="208">
        <v>0</v>
      </c>
      <c r="DI124" s="208">
        <v>-7376747</v>
      </c>
      <c r="DJ124" s="208">
        <v>-4149421</v>
      </c>
      <c r="DK124" s="208">
        <v>0</v>
      </c>
      <c r="DL124" s="208">
        <v>-11526168</v>
      </c>
      <c r="DM124" s="208">
        <v>-784680.0700000003</v>
      </c>
      <c r="DN124" s="208">
        <v>-670121</v>
      </c>
      <c r="DO124" s="208">
        <v>-778936</v>
      </c>
      <c r="DP124" s="208">
        <v>0</v>
      </c>
      <c r="DQ124" s="208">
        <v>-2233737.0700000003</v>
      </c>
      <c r="DR124" s="208">
        <v>-405922</v>
      </c>
      <c r="DS124" s="208">
        <v>-412246</v>
      </c>
      <c r="DT124" s="208">
        <v>-555984</v>
      </c>
      <c r="DU124" s="208">
        <v>0</v>
      </c>
      <c r="DV124" s="208">
        <v>-1374152</v>
      </c>
      <c r="DW124" s="208">
        <v>-378758.0700000003</v>
      </c>
      <c r="DX124" s="208">
        <v>-257875</v>
      </c>
      <c r="DY124" s="208">
        <v>-222952</v>
      </c>
      <c r="DZ124" s="208">
        <v>0</v>
      </c>
      <c r="EA124" s="208">
        <v>-859585.0700000003</v>
      </c>
      <c r="EB124" s="208">
        <v>0</v>
      </c>
      <c r="EC124" s="208">
        <v>46575889</v>
      </c>
      <c r="ED124" s="208">
        <v>26198938</v>
      </c>
      <c r="EE124" s="208">
        <v>0</v>
      </c>
      <c r="EF124" s="208">
        <v>72774827</v>
      </c>
      <c r="EG124" s="208">
        <v>0</v>
      </c>
      <c r="EH124" s="208">
        <v>48253202</v>
      </c>
      <c r="EI124" s="208">
        <v>27142426</v>
      </c>
      <c r="EJ124" s="208">
        <v>0</v>
      </c>
      <c r="EK124" s="208">
        <v>75395628</v>
      </c>
      <c r="EL124" s="208">
        <v>0</v>
      </c>
      <c r="EM124" s="208">
        <v>1677313</v>
      </c>
      <c r="EN124" s="208">
        <v>943488</v>
      </c>
      <c r="EO124" s="208">
        <v>0</v>
      </c>
      <c r="EP124" s="208">
        <v>2620801</v>
      </c>
      <c r="EQ124" s="208">
        <v>-378758.0700000003</v>
      </c>
      <c r="ER124" s="208">
        <v>1419438</v>
      </c>
      <c r="ES124" s="208">
        <v>720536</v>
      </c>
      <c r="ET124" s="208">
        <v>0</v>
      </c>
      <c r="EU124" s="208">
        <v>1761215.9299999997</v>
      </c>
      <c r="EV124" s="666">
        <v>0</v>
      </c>
      <c r="EW124" s="666">
        <v>0.64</v>
      </c>
      <c r="EX124" s="666">
        <v>0.36</v>
      </c>
      <c r="EY124" s="666">
        <v>0</v>
      </c>
      <c r="EZ124" s="666">
        <v>1</v>
      </c>
      <c r="FA124" s="187" t="s">
        <v>1055</v>
      </c>
      <c r="FC124" s="187">
        <v>0</v>
      </c>
    </row>
    <row r="125" spans="2:159" s="187" customFormat="1" x14ac:dyDescent="0.2">
      <c r="B125" s="429" t="s">
        <v>327</v>
      </c>
      <c r="C125" s="429" t="s">
        <v>326</v>
      </c>
      <c r="D125" s="208">
        <v>22812475</v>
      </c>
      <c r="E125" s="208">
        <v>18249980</v>
      </c>
      <c r="F125" s="208">
        <v>4106246</v>
      </c>
      <c r="G125" s="208">
        <v>456250</v>
      </c>
      <c r="H125" s="208">
        <v>45624951</v>
      </c>
      <c r="I125" s="208">
        <v>0</v>
      </c>
      <c r="J125" s="208">
        <v>0</v>
      </c>
      <c r="K125" s="208">
        <v>22812475</v>
      </c>
      <c r="L125" s="208">
        <v>116795</v>
      </c>
      <c r="M125" s="208">
        <v>116795</v>
      </c>
      <c r="N125" s="208">
        <v>875098</v>
      </c>
      <c r="O125" s="208">
        <v>875098</v>
      </c>
      <c r="P125" s="208">
        <v>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1183972</v>
      </c>
      <c r="AH125" s="208">
        <v>239434</v>
      </c>
      <c r="AI125" s="208">
        <v>26605</v>
      </c>
      <c r="AJ125" s="208">
        <v>1450011</v>
      </c>
      <c r="AK125" s="208">
        <v>1781816.5</v>
      </c>
      <c r="AL125" s="208">
        <v>1425453</v>
      </c>
      <c r="AM125" s="208">
        <v>320727</v>
      </c>
      <c r="AN125" s="208">
        <v>35636</v>
      </c>
      <c r="AO125" s="208">
        <v>3563632.5</v>
      </c>
      <c r="AP125" s="208">
        <v>-547170</v>
      </c>
      <c r="AQ125" s="208">
        <v>-437736</v>
      </c>
      <c r="AR125" s="208">
        <v>-98491</v>
      </c>
      <c r="AS125" s="208">
        <v>-10943</v>
      </c>
      <c r="AT125" s="208">
        <v>-1094340</v>
      </c>
      <c r="AU125" s="208">
        <v>-1173000</v>
      </c>
      <c r="AV125" s="208">
        <v>-938400</v>
      </c>
      <c r="AW125" s="208">
        <v>-211140</v>
      </c>
      <c r="AX125" s="208">
        <v>-23460</v>
      </c>
      <c r="AY125" s="208">
        <v>-2346000</v>
      </c>
      <c r="AZ125" s="208">
        <v>9705</v>
      </c>
      <c r="BA125" s="208">
        <v>7764</v>
      </c>
      <c r="BB125" s="208">
        <v>1747</v>
      </c>
      <c r="BC125" s="208">
        <v>194</v>
      </c>
      <c r="BD125" s="208">
        <v>19410</v>
      </c>
      <c r="BE125" s="208">
        <v>152500</v>
      </c>
      <c r="BF125" s="208">
        <v>122000</v>
      </c>
      <c r="BG125" s="208">
        <v>27450</v>
      </c>
      <c r="BH125" s="208">
        <v>3050</v>
      </c>
      <c r="BI125" s="208">
        <v>305000</v>
      </c>
      <c r="BJ125" s="208">
        <v>-1010795</v>
      </c>
      <c r="BK125" s="208">
        <v>-808636</v>
      </c>
      <c r="BL125" s="208">
        <v>-181943</v>
      </c>
      <c r="BM125" s="208">
        <v>-20216</v>
      </c>
      <c r="BN125" s="208">
        <v>-2021590</v>
      </c>
      <c r="BO125" s="208">
        <v>-1194544</v>
      </c>
      <c r="BP125" s="208">
        <v>-955635</v>
      </c>
      <c r="BQ125" s="208">
        <v>-215018</v>
      </c>
      <c r="BR125" s="208">
        <v>-23891</v>
      </c>
      <c r="BS125" s="208">
        <v>-2389088</v>
      </c>
      <c r="BT125" s="208">
        <v>-655549</v>
      </c>
      <c r="BU125" s="208">
        <v>-524440</v>
      </c>
      <c r="BV125" s="208">
        <v>-117999</v>
      </c>
      <c r="BW125" s="208">
        <v>-13111</v>
      </c>
      <c r="BX125" s="208">
        <v>-1311099</v>
      </c>
      <c r="BY125" s="208">
        <v>-538994</v>
      </c>
      <c r="BZ125" s="208">
        <v>-431196</v>
      </c>
      <c r="CA125" s="208">
        <v>-97019</v>
      </c>
      <c r="CB125" s="208">
        <v>-10780</v>
      </c>
      <c r="CC125" s="208">
        <v>-1077989</v>
      </c>
      <c r="CD125" s="208">
        <v>153876</v>
      </c>
      <c r="CE125" s="208">
        <v>123102</v>
      </c>
      <c r="CF125" s="208">
        <v>27698</v>
      </c>
      <c r="CG125" s="208">
        <v>3078</v>
      </c>
      <c r="CH125" s="208">
        <v>307754</v>
      </c>
      <c r="CI125" s="208">
        <v>491039</v>
      </c>
      <c r="CJ125" s="208">
        <v>392831</v>
      </c>
      <c r="CK125" s="208">
        <v>88387</v>
      </c>
      <c r="CL125" s="208">
        <v>9821</v>
      </c>
      <c r="CM125" s="208">
        <v>982078</v>
      </c>
      <c r="CN125" s="208">
        <v>-716754</v>
      </c>
      <c r="CO125" s="208">
        <v>-573404</v>
      </c>
      <c r="CP125" s="208">
        <v>-129016</v>
      </c>
      <c r="CQ125" s="208">
        <v>-14335</v>
      </c>
      <c r="CR125" s="208">
        <v>-1433509</v>
      </c>
      <c r="CS125" s="208">
        <v>0</v>
      </c>
      <c r="CT125" s="208">
        <v>0</v>
      </c>
      <c r="CU125" s="208">
        <v>0</v>
      </c>
      <c r="CV125" s="208">
        <v>0</v>
      </c>
      <c r="CW125" s="208">
        <v>0</v>
      </c>
      <c r="CX125" s="208">
        <v>-1266383</v>
      </c>
      <c r="CY125" s="208">
        <v>-1013106</v>
      </c>
      <c r="CZ125" s="208">
        <v>-227949</v>
      </c>
      <c r="DA125" s="208">
        <v>-25327</v>
      </c>
      <c r="DB125" s="208">
        <v>-2532765</v>
      </c>
      <c r="DC125" s="208">
        <v>-1218427</v>
      </c>
      <c r="DD125" s="208">
        <v>-974742</v>
      </c>
      <c r="DE125" s="208">
        <v>-219317</v>
      </c>
      <c r="DF125" s="208">
        <v>-24368</v>
      </c>
      <c r="DG125" s="208">
        <v>-2436854</v>
      </c>
      <c r="DH125" s="208">
        <v>-47955</v>
      </c>
      <c r="DI125" s="208">
        <v>-38365</v>
      </c>
      <c r="DJ125" s="208">
        <v>-8632</v>
      </c>
      <c r="DK125" s="208">
        <v>-959</v>
      </c>
      <c r="DL125" s="208">
        <v>-95911</v>
      </c>
      <c r="DM125" s="208">
        <v>-155015</v>
      </c>
      <c r="DN125" s="208">
        <v>-124014</v>
      </c>
      <c r="DO125" s="208">
        <v>-27903</v>
      </c>
      <c r="DP125" s="208">
        <v>-3101</v>
      </c>
      <c r="DQ125" s="208">
        <v>-310033</v>
      </c>
      <c r="DR125" s="208">
        <v>126974</v>
      </c>
      <c r="DS125" s="208">
        <v>101580</v>
      </c>
      <c r="DT125" s="208">
        <v>22856</v>
      </c>
      <c r="DU125" s="208">
        <v>2540</v>
      </c>
      <c r="DV125" s="208">
        <v>253950</v>
      </c>
      <c r="DW125" s="208">
        <v>-281989</v>
      </c>
      <c r="DX125" s="208">
        <v>-225594</v>
      </c>
      <c r="DY125" s="208">
        <v>-50759</v>
      </c>
      <c r="DZ125" s="208">
        <v>-5641</v>
      </c>
      <c r="EA125" s="208">
        <v>-563983</v>
      </c>
      <c r="EB125" s="208">
        <v>23461146</v>
      </c>
      <c r="EC125" s="208">
        <v>18768916</v>
      </c>
      <c r="ED125" s="208">
        <v>4223006</v>
      </c>
      <c r="EE125" s="208">
        <v>469223</v>
      </c>
      <c r="EF125" s="208">
        <v>46922291</v>
      </c>
      <c r="EG125" s="208">
        <v>22812475</v>
      </c>
      <c r="EH125" s="208">
        <v>18249980</v>
      </c>
      <c r="EI125" s="208">
        <v>4106246</v>
      </c>
      <c r="EJ125" s="208">
        <v>456250</v>
      </c>
      <c r="EK125" s="208">
        <v>45624951</v>
      </c>
      <c r="EL125" s="208">
        <v>-648671</v>
      </c>
      <c r="EM125" s="208">
        <v>-518936</v>
      </c>
      <c r="EN125" s="208">
        <v>-116760</v>
      </c>
      <c r="EO125" s="208">
        <v>-12973</v>
      </c>
      <c r="EP125" s="208">
        <v>-1297340</v>
      </c>
      <c r="EQ125" s="208">
        <v>-930660</v>
      </c>
      <c r="ER125" s="208">
        <v>-744530</v>
      </c>
      <c r="ES125" s="208">
        <v>-167519</v>
      </c>
      <c r="ET125" s="208">
        <v>-18614</v>
      </c>
      <c r="EU125" s="208">
        <v>-1861323</v>
      </c>
      <c r="EV125" s="666">
        <v>0.5</v>
      </c>
      <c r="EW125" s="666">
        <v>0.4</v>
      </c>
      <c r="EX125" s="666">
        <v>0.09</v>
      </c>
      <c r="EY125" s="666">
        <v>0.01</v>
      </c>
      <c r="EZ125" s="666">
        <v>1</v>
      </c>
      <c r="FA125" s="187" t="s">
        <v>1054</v>
      </c>
      <c r="FC125" s="187">
        <v>0</v>
      </c>
    </row>
    <row r="126" spans="2:159" s="187" customFormat="1" x14ac:dyDescent="0.2">
      <c r="B126" s="429" t="s">
        <v>329</v>
      </c>
      <c r="C126" s="429" t="s">
        <v>328</v>
      </c>
      <c r="D126" s="208">
        <v>1</v>
      </c>
      <c r="E126" s="208">
        <v>54968784</v>
      </c>
      <c r="F126" s="208">
        <v>5496878</v>
      </c>
      <c r="G126" s="208">
        <v>610764</v>
      </c>
      <c r="H126" s="208">
        <v>61076427</v>
      </c>
      <c r="I126" s="208">
        <v>0</v>
      </c>
      <c r="J126" s="208">
        <v>0</v>
      </c>
      <c r="K126" s="208">
        <v>1</v>
      </c>
      <c r="L126" s="208">
        <v>286834</v>
      </c>
      <c r="M126" s="208">
        <v>286834</v>
      </c>
      <c r="N126" s="208">
        <v>0</v>
      </c>
      <c r="O126" s="208">
        <v>0</v>
      </c>
      <c r="P126" s="208">
        <v>0</v>
      </c>
      <c r="Q126" s="208">
        <v>237148</v>
      </c>
      <c r="R126" s="208">
        <v>237148</v>
      </c>
      <c r="S126" s="208">
        <v>0</v>
      </c>
      <c r="T126" s="208">
        <v>0</v>
      </c>
      <c r="U126" s="208">
        <v>0</v>
      </c>
      <c r="V126" s="208">
        <v>0</v>
      </c>
      <c r="W126" s="208">
        <v>0</v>
      </c>
      <c r="X126" s="208">
        <v>0</v>
      </c>
      <c r="Y126" s="208">
        <v>0</v>
      </c>
      <c r="Z126" s="208">
        <v>0</v>
      </c>
      <c r="AA126" s="208">
        <v>0</v>
      </c>
      <c r="AB126" s="208">
        <v>0</v>
      </c>
      <c r="AC126" s="208">
        <v>0</v>
      </c>
      <c r="AD126" s="208">
        <v>0</v>
      </c>
      <c r="AE126" s="208">
        <v>0</v>
      </c>
      <c r="AF126" s="208">
        <v>0</v>
      </c>
      <c r="AG126" s="208">
        <v>6840797</v>
      </c>
      <c r="AH126" s="208">
        <v>689514</v>
      </c>
      <c r="AI126" s="208">
        <v>76010</v>
      </c>
      <c r="AJ126" s="208">
        <v>7606321</v>
      </c>
      <c r="AK126" s="208">
        <v>0</v>
      </c>
      <c r="AL126" s="208">
        <v>2344949</v>
      </c>
      <c r="AM126" s="208">
        <v>234495</v>
      </c>
      <c r="AN126" s="208">
        <v>26055</v>
      </c>
      <c r="AO126" s="208">
        <v>2605499</v>
      </c>
      <c r="AP126" s="208">
        <v>0</v>
      </c>
      <c r="AQ126" s="208">
        <v>-1791449</v>
      </c>
      <c r="AR126" s="208">
        <v>-179145</v>
      </c>
      <c r="AS126" s="208">
        <v>-19905</v>
      </c>
      <c r="AT126" s="208">
        <v>-1990499</v>
      </c>
      <c r="AU126" s="208">
        <v>0</v>
      </c>
      <c r="AV126" s="208">
        <v>-1392788</v>
      </c>
      <c r="AW126" s="208">
        <v>-139279</v>
      </c>
      <c r="AX126" s="208">
        <v>-15475</v>
      </c>
      <c r="AY126" s="208">
        <v>-1547542</v>
      </c>
      <c r="AZ126" s="208">
        <v>0</v>
      </c>
      <c r="BA126" s="208">
        <v>271655</v>
      </c>
      <c r="BB126" s="208">
        <v>27166</v>
      </c>
      <c r="BC126" s="208">
        <v>3018</v>
      </c>
      <c r="BD126" s="208">
        <v>301839</v>
      </c>
      <c r="BE126" s="208">
        <v>0</v>
      </c>
      <c r="BF126" s="208">
        <v>-513475</v>
      </c>
      <c r="BG126" s="208">
        <v>-51348</v>
      </c>
      <c r="BH126" s="208">
        <v>-5705</v>
      </c>
      <c r="BI126" s="208">
        <v>-570528</v>
      </c>
      <c r="BJ126" s="208">
        <v>0</v>
      </c>
      <c r="BK126" s="208">
        <v>-1634608</v>
      </c>
      <c r="BL126" s="208">
        <v>-163461</v>
      </c>
      <c r="BM126" s="208">
        <v>-18162</v>
      </c>
      <c r="BN126" s="208">
        <v>-1816231</v>
      </c>
      <c r="BO126" s="208">
        <v>0</v>
      </c>
      <c r="BP126" s="208">
        <v>-5175950</v>
      </c>
      <c r="BQ126" s="208">
        <v>-517595</v>
      </c>
      <c r="BR126" s="208">
        <v>-57511</v>
      </c>
      <c r="BS126" s="208">
        <v>-5751056</v>
      </c>
      <c r="BT126" s="208">
        <v>0</v>
      </c>
      <c r="BU126" s="208">
        <v>-2095689</v>
      </c>
      <c r="BV126" s="208">
        <v>-209569</v>
      </c>
      <c r="BW126" s="208">
        <v>-23285</v>
      </c>
      <c r="BX126" s="208">
        <v>-2328543</v>
      </c>
      <c r="BY126" s="208">
        <v>0</v>
      </c>
      <c r="BZ126" s="208">
        <v>-3080262</v>
      </c>
      <c r="CA126" s="208">
        <v>-308026</v>
      </c>
      <c r="CB126" s="208">
        <v>-34225</v>
      </c>
      <c r="CC126" s="208">
        <v>-3422513</v>
      </c>
      <c r="CD126" s="208">
        <v>0</v>
      </c>
      <c r="CE126" s="208">
        <v>1446914</v>
      </c>
      <c r="CF126" s="208">
        <v>144691</v>
      </c>
      <c r="CG126" s="208">
        <v>16077</v>
      </c>
      <c r="CH126" s="208">
        <v>1607682</v>
      </c>
      <c r="CI126" s="208">
        <v>-1</v>
      </c>
      <c r="CJ126" s="208">
        <v>501529</v>
      </c>
      <c r="CK126" s="208">
        <v>50153</v>
      </c>
      <c r="CL126" s="208">
        <v>5573</v>
      </c>
      <c r="CM126" s="208">
        <v>557254</v>
      </c>
      <c r="CN126" s="208">
        <v>0</v>
      </c>
      <c r="CO126" s="208">
        <v>-811456</v>
      </c>
      <c r="CP126" s="208">
        <v>-81146</v>
      </c>
      <c r="CQ126" s="208">
        <v>-9016</v>
      </c>
      <c r="CR126" s="208">
        <v>-901618</v>
      </c>
      <c r="CS126" s="208">
        <v>0</v>
      </c>
      <c r="CT126" s="208">
        <v>-2656372</v>
      </c>
      <c r="CU126" s="208">
        <v>-265637</v>
      </c>
      <c r="CV126" s="208">
        <v>-29515</v>
      </c>
      <c r="CW126" s="208">
        <v>-2951524</v>
      </c>
      <c r="CX126" s="208">
        <v>-1</v>
      </c>
      <c r="CY126" s="208">
        <v>-6695335</v>
      </c>
      <c r="CZ126" s="208">
        <v>-669534</v>
      </c>
      <c r="DA126" s="208">
        <v>-74392</v>
      </c>
      <c r="DB126" s="208">
        <v>-7439262</v>
      </c>
      <c r="DC126" s="208">
        <v>0</v>
      </c>
      <c r="DD126" s="208">
        <v>-1460231</v>
      </c>
      <c r="DE126" s="208">
        <v>-146024</v>
      </c>
      <c r="DF126" s="208">
        <v>-16224</v>
      </c>
      <c r="DG126" s="208">
        <v>-1622479</v>
      </c>
      <c r="DH126" s="208">
        <v>-1</v>
      </c>
      <c r="DI126" s="208">
        <v>-5235105</v>
      </c>
      <c r="DJ126" s="208">
        <v>-523510</v>
      </c>
      <c r="DK126" s="208">
        <v>-58167</v>
      </c>
      <c r="DL126" s="208">
        <v>-5816783</v>
      </c>
      <c r="DM126" s="208">
        <v>-1331143</v>
      </c>
      <c r="DN126" s="208">
        <v>-1064917</v>
      </c>
      <c r="DO126" s="208">
        <v>-239607</v>
      </c>
      <c r="DP126" s="208">
        <v>-26623</v>
      </c>
      <c r="DQ126" s="208">
        <v>-2662290</v>
      </c>
      <c r="DR126" s="208">
        <v>-979357</v>
      </c>
      <c r="DS126" s="208">
        <v>-783485</v>
      </c>
      <c r="DT126" s="208">
        <v>-176284</v>
      </c>
      <c r="DU126" s="208">
        <v>-19587</v>
      </c>
      <c r="DV126" s="208">
        <v>-1958713</v>
      </c>
      <c r="DW126" s="208">
        <v>-351786</v>
      </c>
      <c r="DX126" s="208">
        <v>-281432</v>
      </c>
      <c r="DY126" s="208">
        <v>-63323</v>
      </c>
      <c r="DZ126" s="208">
        <v>-7036</v>
      </c>
      <c r="EA126" s="208">
        <v>-703577</v>
      </c>
      <c r="EB126" s="208">
        <v>0</v>
      </c>
      <c r="EC126" s="208">
        <v>55444674</v>
      </c>
      <c r="ED126" s="208">
        <v>5544467</v>
      </c>
      <c r="EE126" s="208">
        <v>616052</v>
      </c>
      <c r="EF126" s="208">
        <v>61605193</v>
      </c>
      <c r="EG126" s="208">
        <v>0</v>
      </c>
      <c r="EH126" s="208">
        <v>54968785</v>
      </c>
      <c r="EI126" s="208">
        <v>5496878</v>
      </c>
      <c r="EJ126" s="208">
        <v>610764</v>
      </c>
      <c r="EK126" s="208">
        <v>61076427</v>
      </c>
      <c r="EL126" s="208">
        <v>0</v>
      </c>
      <c r="EM126" s="208">
        <v>-475889</v>
      </c>
      <c r="EN126" s="208">
        <v>-47589</v>
      </c>
      <c r="EO126" s="208">
        <v>-5288</v>
      </c>
      <c r="EP126" s="208">
        <v>-528766</v>
      </c>
      <c r="EQ126" s="208">
        <v>-351786</v>
      </c>
      <c r="ER126" s="208">
        <v>-757321</v>
      </c>
      <c r="ES126" s="208">
        <v>-110912</v>
      </c>
      <c r="ET126" s="208">
        <v>-12324</v>
      </c>
      <c r="EU126" s="208">
        <v>-1232343</v>
      </c>
      <c r="EV126" s="666">
        <v>0</v>
      </c>
      <c r="EW126" s="666">
        <v>0.9</v>
      </c>
      <c r="EX126" s="666">
        <v>0.09</v>
      </c>
      <c r="EY126" s="666">
        <v>0.01</v>
      </c>
      <c r="EZ126" s="666">
        <v>1</v>
      </c>
      <c r="FA126" s="187" t="s">
        <v>1054</v>
      </c>
      <c r="FC126" s="187">
        <v>0</v>
      </c>
    </row>
    <row r="127" spans="2:159" s="187" customFormat="1" x14ac:dyDescent="0.2">
      <c r="B127" s="429" t="s">
        <v>331</v>
      </c>
      <c r="C127" s="429" t="s">
        <v>330</v>
      </c>
      <c r="D127" s="208">
        <v>0</v>
      </c>
      <c r="E127" s="208">
        <v>33560006</v>
      </c>
      <c r="F127" s="208">
        <v>18877504</v>
      </c>
      <c r="G127" s="208">
        <v>0</v>
      </c>
      <c r="H127" s="208">
        <v>52437510</v>
      </c>
      <c r="I127" s="208">
        <v>0</v>
      </c>
      <c r="J127" s="208">
        <v>0</v>
      </c>
      <c r="K127" s="208">
        <v>0</v>
      </c>
      <c r="L127" s="208">
        <v>244486</v>
      </c>
      <c r="M127" s="208">
        <v>244486</v>
      </c>
      <c r="N127" s="208">
        <v>0</v>
      </c>
      <c r="O127" s="208">
        <v>0</v>
      </c>
      <c r="P127" s="208">
        <v>0</v>
      </c>
      <c r="Q127" s="208">
        <v>0</v>
      </c>
      <c r="R127" s="208">
        <v>0</v>
      </c>
      <c r="S127" s="208">
        <v>0</v>
      </c>
      <c r="T127" s="208">
        <v>0</v>
      </c>
      <c r="U127" s="208">
        <v>0</v>
      </c>
      <c r="V127" s="208">
        <v>0</v>
      </c>
      <c r="W127" s="208">
        <v>0</v>
      </c>
      <c r="X127" s="208">
        <v>0</v>
      </c>
      <c r="Y127" s="208">
        <v>0</v>
      </c>
      <c r="Z127" s="208">
        <v>0</v>
      </c>
      <c r="AA127" s="208">
        <v>0</v>
      </c>
      <c r="AB127" s="208">
        <v>0</v>
      </c>
      <c r="AC127" s="208">
        <v>0</v>
      </c>
      <c r="AD127" s="208">
        <v>0</v>
      </c>
      <c r="AE127" s="208">
        <v>0</v>
      </c>
      <c r="AF127" s="208">
        <v>0</v>
      </c>
      <c r="AG127" s="208">
        <v>4186006</v>
      </c>
      <c r="AH127" s="208">
        <v>2354628</v>
      </c>
      <c r="AI127" s="208">
        <v>0</v>
      </c>
      <c r="AJ127" s="208">
        <v>6540634</v>
      </c>
      <c r="AK127" s="208">
        <v>0</v>
      </c>
      <c r="AL127" s="208">
        <v>2329472</v>
      </c>
      <c r="AM127" s="208">
        <v>1310328</v>
      </c>
      <c r="AN127" s="208">
        <v>0</v>
      </c>
      <c r="AO127" s="208">
        <v>3639800</v>
      </c>
      <c r="AP127" s="208">
        <v>0</v>
      </c>
      <c r="AQ127" s="208">
        <v>-1202046</v>
      </c>
      <c r="AR127" s="208">
        <v>-676151</v>
      </c>
      <c r="AS127" s="208">
        <v>0</v>
      </c>
      <c r="AT127" s="208">
        <v>-1878197</v>
      </c>
      <c r="AU127" s="208">
        <v>0</v>
      </c>
      <c r="AV127" s="208">
        <v>-1618485</v>
      </c>
      <c r="AW127" s="208">
        <v>-910398</v>
      </c>
      <c r="AX127" s="208">
        <v>0</v>
      </c>
      <c r="AY127" s="208">
        <v>-2528883</v>
      </c>
      <c r="AZ127" s="208">
        <v>0</v>
      </c>
      <c r="BA127" s="208">
        <v>409459</v>
      </c>
      <c r="BB127" s="208">
        <v>230320</v>
      </c>
      <c r="BC127" s="208">
        <v>0</v>
      </c>
      <c r="BD127" s="208">
        <v>639779</v>
      </c>
      <c r="BE127" s="208">
        <v>0</v>
      </c>
      <c r="BF127" s="208">
        <v>-468825</v>
      </c>
      <c r="BG127" s="208">
        <v>-263714</v>
      </c>
      <c r="BH127" s="208">
        <v>0</v>
      </c>
      <c r="BI127" s="208">
        <v>-732539</v>
      </c>
      <c r="BJ127" s="208">
        <v>0</v>
      </c>
      <c r="BK127" s="208">
        <v>-1677851</v>
      </c>
      <c r="BL127" s="208">
        <v>-943792</v>
      </c>
      <c r="BM127" s="208">
        <v>0</v>
      </c>
      <c r="BN127" s="208">
        <v>-2621643</v>
      </c>
      <c r="BO127" s="208">
        <v>0</v>
      </c>
      <c r="BP127" s="208">
        <v>-2432000</v>
      </c>
      <c r="BQ127" s="208">
        <v>-1368000</v>
      </c>
      <c r="BR127" s="208">
        <v>0</v>
      </c>
      <c r="BS127" s="208">
        <v>-3800000</v>
      </c>
      <c r="BT127" s="208">
        <v>0</v>
      </c>
      <c r="BU127" s="208">
        <v>0</v>
      </c>
      <c r="BV127" s="208">
        <v>0</v>
      </c>
      <c r="BW127" s="208">
        <v>0</v>
      </c>
      <c r="BX127" s="208">
        <v>0</v>
      </c>
      <c r="BY127" s="208">
        <v>0</v>
      </c>
      <c r="BZ127" s="208">
        <v>-2432000</v>
      </c>
      <c r="CA127" s="208">
        <v>-1368000</v>
      </c>
      <c r="CB127" s="208">
        <v>0</v>
      </c>
      <c r="CC127" s="208">
        <v>-3800000</v>
      </c>
      <c r="CD127" s="208">
        <v>0</v>
      </c>
      <c r="CE127" s="208">
        <v>2229185</v>
      </c>
      <c r="CF127" s="208">
        <v>1253917</v>
      </c>
      <c r="CG127" s="208">
        <v>0</v>
      </c>
      <c r="CH127" s="208">
        <v>3483102</v>
      </c>
      <c r="CI127" s="208">
        <v>0</v>
      </c>
      <c r="CJ127" s="208">
        <v>2073217</v>
      </c>
      <c r="CK127" s="208">
        <v>1166185</v>
      </c>
      <c r="CL127" s="208">
        <v>0</v>
      </c>
      <c r="CM127" s="208">
        <v>3239402</v>
      </c>
      <c r="CN127" s="208">
        <v>0</v>
      </c>
      <c r="CO127" s="208">
        <v>-3470403</v>
      </c>
      <c r="CP127" s="208">
        <v>-1952101</v>
      </c>
      <c r="CQ127" s="208">
        <v>0</v>
      </c>
      <c r="CR127" s="208">
        <v>-5422504</v>
      </c>
      <c r="CS127" s="208">
        <v>0</v>
      </c>
      <c r="CT127" s="208">
        <v>-1280000</v>
      </c>
      <c r="CU127" s="208">
        <v>-720000</v>
      </c>
      <c r="CV127" s="208">
        <v>0</v>
      </c>
      <c r="CW127" s="208">
        <v>-2000000</v>
      </c>
      <c r="CX127" s="208">
        <v>0</v>
      </c>
      <c r="CY127" s="208">
        <v>-2880001</v>
      </c>
      <c r="CZ127" s="208">
        <v>-1619999</v>
      </c>
      <c r="DA127" s="208">
        <v>0</v>
      </c>
      <c r="DB127" s="208">
        <v>-4500000</v>
      </c>
      <c r="DC127" s="208">
        <v>0</v>
      </c>
      <c r="DD127" s="208">
        <v>-1241218</v>
      </c>
      <c r="DE127" s="208">
        <v>-698184</v>
      </c>
      <c r="DF127" s="208">
        <v>0</v>
      </c>
      <c r="DG127" s="208">
        <v>-1939402</v>
      </c>
      <c r="DH127" s="208">
        <v>0</v>
      </c>
      <c r="DI127" s="208">
        <v>-1638783</v>
      </c>
      <c r="DJ127" s="208">
        <v>-921815</v>
      </c>
      <c r="DK127" s="208">
        <v>0</v>
      </c>
      <c r="DL127" s="208">
        <v>-2560598</v>
      </c>
      <c r="DM127" s="208">
        <v>3700062</v>
      </c>
      <c r="DN127" s="208">
        <v>2878346</v>
      </c>
      <c r="DO127" s="208">
        <v>3016082</v>
      </c>
      <c r="DP127" s="208">
        <v>0</v>
      </c>
      <c r="DQ127" s="208">
        <v>9594490</v>
      </c>
      <c r="DR127" s="208">
        <v>3650999</v>
      </c>
      <c r="DS127" s="208">
        <v>2833745</v>
      </c>
      <c r="DT127" s="208">
        <v>2961072</v>
      </c>
      <c r="DU127" s="208">
        <v>0</v>
      </c>
      <c r="DV127" s="208">
        <v>9445816</v>
      </c>
      <c r="DW127" s="208">
        <v>49063</v>
      </c>
      <c r="DX127" s="208">
        <v>44601</v>
      </c>
      <c r="DY127" s="208">
        <v>55010</v>
      </c>
      <c r="DZ127" s="208">
        <v>0</v>
      </c>
      <c r="EA127" s="208">
        <v>148674</v>
      </c>
      <c r="EB127" s="208">
        <v>0</v>
      </c>
      <c r="EC127" s="208">
        <v>34438578</v>
      </c>
      <c r="ED127" s="208">
        <v>19371700</v>
      </c>
      <c r="EE127" s="208">
        <v>0</v>
      </c>
      <c r="EF127" s="208">
        <v>53810278</v>
      </c>
      <c r="EG127" s="208">
        <v>0</v>
      </c>
      <c r="EH127" s="208">
        <v>33560006</v>
      </c>
      <c r="EI127" s="208">
        <v>18877504</v>
      </c>
      <c r="EJ127" s="208">
        <v>0</v>
      </c>
      <c r="EK127" s="208">
        <v>52437510</v>
      </c>
      <c r="EL127" s="208">
        <v>0</v>
      </c>
      <c r="EM127" s="208">
        <v>-878572</v>
      </c>
      <c r="EN127" s="208">
        <v>-494196</v>
      </c>
      <c r="EO127" s="208">
        <v>0</v>
      </c>
      <c r="EP127" s="208">
        <v>-1372768</v>
      </c>
      <c r="EQ127" s="208">
        <v>49063</v>
      </c>
      <c r="ER127" s="208">
        <v>-833971</v>
      </c>
      <c r="ES127" s="208">
        <v>-439186</v>
      </c>
      <c r="ET127" s="208">
        <v>0</v>
      </c>
      <c r="EU127" s="208">
        <v>-1224094</v>
      </c>
      <c r="EV127" s="666">
        <v>0</v>
      </c>
      <c r="EW127" s="666">
        <v>0.64</v>
      </c>
      <c r="EX127" s="666">
        <v>0.36</v>
      </c>
      <c r="EY127" s="666">
        <v>0</v>
      </c>
      <c r="EZ127" s="666">
        <v>1</v>
      </c>
      <c r="FA127" s="187" t="s">
        <v>1055</v>
      </c>
      <c r="FC127" s="187">
        <v>0</v>
      </c>
    </row>
    <row r="128" spans="2:159" s="187" customFormat="1" x14ac:dyDescent="0.2">
      <c r="B128" s="429" t="s">
        <v>333</v>
      </c>
      <c r="C128" s="429" t="s">
        <v>332</v>
      </c>
      <c r="D128" s="208">
        <v>15118049</v>
      </c>
      <c r="E128" s="208">
        <v>12094439</v>
      </c>
      <c r="F128" s="208">
        <v>2721249</v>
      </c>
      <c r="G128" s="208">
        <v>302361</v>
      </c>
      <c r="H128" s="208">
        <v>30236098</v>
      </c>
      <c r="I128" s="208">
        <v>0</v>
      </c>
      <c r="J128" s="208">
        <v>0</v>
      </c>
      <c r="K128" s="208">
        <v>15118049</v>
      </c>
      <c r="L128" s="208">
        <v>99862</v>
      </c>
      <c r="M128" s="208">
        <v>99862</v>
      </c>
      <c r="N128" s="208">
        <v>0</v>
      </c>
      <c r="O128" s="208">
        <v>0</v>
      </c>
      <c r="P128" s="208">
        <v>0</v>
      </c>
      <c r="Q128" s="208">
        <v>0</v>
      </c>
      <c r="R128" s="208">
        <v>0</v>
      </c>
      <c r="S128" s="208">
        <v>0</v>
      </c>
      <c r="T128" s="208">
        <v>0</v>
      </c>
      <c r="U128" s="208">
        <v>0</v>
      </c>
      <c r="V128" s="208">
        <v>0</v>
      </c>
      <c r="W128" s="208">
        <v>0</v>
      </c>
      <c r="X128" s="208">
        <v>0</v>
      </c>
      <c r="Y128" s="208">
        <v>0</v>
      </c>
      <c r="Z128" s="208">
        <v>0</v>
      </c>
      <c r="AA128" s="208">
        <v>0</v>
      </c>
      <c r="AB128" s="208">
        <v>0</v>
      </c>
      <c r="AC128" s="208">
        <v>0</v>
      </c>
      <c r="AD128" s="208">
        <v>0</v>
      </c>
      <c r="AE128" s="208">
        <v>0</v>
      </c>
      <c r="AF128" s="208">
        <v>0</v>
      </c>
      <c r="AG128" s="208">
        <v>1113637</v>
      </c>
      <c r="AH128" s="208">
        <v>250569</v>
      </c>
      <c r="AI128" s="208">
        <v>27842</v>
      </c>
      <c r="AJ128" s="208">
        <v>1392048</v>
      </c>
      <c r="AK128" s="208">
        <v>776799</v>
      </c>
      <c r="AL128" s="208">
        <v>621439</v>
      </c>
      <c r="AM128" s="208">
        <v>139824</v>
      </c>
      <c r="AN128" s="208">
        <v>15536</v>
      </c>
      <c r="AO128" s="208">
        <v>1553598</v>
      </c>
      <c r="AP128" s="208">
        <v>-584722</v>
      </c>
      <c r="AQ128" s="208">
        <v>-467778</v>
      </c>
      <c r="AR128" s="208">
        <v>-105250</v>
      </c>
      <c r="AS128" s="208">
        <v>-11694</v>
      </c>
      <c r="AT128" s="208">
        <v>-1169444</v>
      </c>
      <c r="AU128" s="208">
        <v>-448344</v>
      </c>
      <c r="AV128" s="208">
        <v>-358675</v>
      </c>
      <c r="AW128" s="208">
        <v>-80702</v>
      </c>
      <c r="AX128" s="208">
        <v>-8967</v>
      </c>
      <c r="AY128" s="208">
        <v>-896688</v>
      </c>
      <c r="AZ128" s="208">
        <v>0</v>
      </c>
      <c r="BA128" s="208">
        <v>0</v>
      </c>
      <c r="BB128" s="208">
        <v>0</v>
      </c>
      <c r="BC128" s="208">
        <v>0</v>
      </c>
      <c r="BD128" s="208">
        <v>0</v>
      </c>
      <c r="BE128" s="208">
        <v>-65121</v>
      </c>
      <c r="BF128" s="208">
        <v>-52096</v>
      </c>
      <c r="BG128" s="208">
        <v>-11722</v>
      </c>
      <c r="BH128" s="208">
        <v>-1302</v>
      </c>
      <c r="BI128" s="208">
        <v>-130241</v>
      </c>
      <c r="BJ128" s="208">
        <v>-513465</v>
      </c>
      <c r="BK128" s="208">
        <v>-410771</v>
      </c>
      <c r="BL128" s="208">
        <v>-92424</v>
      </c>
      <c r="BM128" s="208">
        <v>-10269</v>
      </c>
      <c r="BN128" s="208">
        <v>-1026929</v>
      </c>
      <c r="BO128" s="208">
        <v>-595585.29999999981</v>
      </c>
      <c r="BP128" s="208">
        <v>-476468</v>
      </c>
      <c r="BQ128" s="208">
        <v>-107205</v>
      </c>
      <c r="BR128" s="208">
        <v>-11912</v>
      </c>
      <c r="BS128" s="208">
        <v>-1191170.2999999998</v>
      </c>
      <c r="BT128" s="208">
        <v>-521136</v>
      </c>
      <c r="BU128" s="208">
        <v>-416910</v>
      </c>
      <c r="BV128" s="208">
        <v>-93805</v>
      </c>
      <c r="BW128" s="208">
        <v>-10423</v>
      </c>
      <c r="BX128" s="208">
        <v>-1042274</v>
      </c>
      <c r="BY128" s="208">
        <v>-74447.299999999814</v>
      </c>
      <c r="BZ128" s="208">
        <v>-59559</v>
      </c>
      <c r="CA128" s="208">
        <v>-13401</v>
      </c>
      <c r="CB128" s="208">
        <v>-1489</v>
      </c>
      <c r="CC128" s="208">
        <v>-148896.29999999981</v>
      </c>
      <c r="CD128" s="208">
        <v>194388</v>
      </c>
      <c r="CE128" s="208">
        <v>155511</v>
      </c>
      <c r="CF128" s="208">
        <v>34990</v>
      </c>
      <c r="CG128" s="208">
        <v>3888</v>
      </c>
      <c r="CH128" s="208">
        <v>388777</v>
      </c>
      <c r="CI128" s="208">
        <v>0</v>
      </c>
      <c r="CJ128" s="208">
        <v>0</v>
      </c>
      <c r="CK128" s="208">
        <v>0</v>
      </c>
      <c r="CL128" s="208">
        <v>0</v>
      </c>
      <c r="CM128" s="208">
        <v>0</v>
      </c>
      <c r="CN128" s="208">
        <v>34267</v>
      </c>
      <c r="CO128" s="208">
        <v>27413</v>
      </c>
      <c r="CP128" s="208">
        <v>6168</v>
      </c>
      <c r="CQ128" s="208">
        <v>685</v>
      </c>
      <c r="CR128" s="208">
        <v>68533</v>
      </c>
      <c r="CS128" s="208">
        <v>-50121</v>
      </c>
      <c r="CT128" s="208">
        <v>-40096</v>
      </c>
      <c r="CU128" s="208">
        <v>-9022</v>
      </c>
      <c r="CV128" s="208">
        <v>-1002</v>
      </c>
      <c r="CW128" s="208">
        <v>-100241</v>
      </c>
      <c r="CX128" s="208">
        <v>-417051.29999999981</v>
      </c>
      <c r="CY128" s="208">
        <v>-333640</v>
      </c>
      <c r="CZ128" s="208">
        <v>-75069</v>
      </c>
      <c r="DA128" s="208">
        <v>-8341</v>
      </c>
      <c r="DB128" s="208">
        <v>-834101.29999999981</v>
      </c>
      <c r="DC128" s="208">
        <v>-292481</v>
      </c>
      <c r="DD128" s="208">
        <v>-233986</v>
      </c>
      <c r="DE128" s="208">
        <v>-52647</v>
      </c>
      <c r="DF128" s="208">
        <v>-5850</v>
      </c>
      <c r="DG128" s="208">
        <v>-584964</v>
      </c>
      <c r="DH128" s="208">
        <v>-124568.29999999981</v>
      </c>
      <c r="DI128" s="208">
        <v>-99655</v>
      </c>
      <c r="DJ128" s="208">
        <v>-22423</v>
      </c>
      <c r="DK128" s="208">
        <v>-2491</v>
      </c>
      <c r="DL128" s="208">
        <v>-249137.29999999981</v>
      </c>
      <c r="DM128" s="208">
        <v>-920113</v>
      </c>
      <c r="DN128" s="208">
        <v>-736087</v>
      </c>
      <c r="DO128" s="208">
        <v>-165619</v>
      </c>
      <c r="DP128" s="208">
        <v>-18402</v>
      </c>
      <c r="DQ128" s="208">
        <v>-1840221</v>
      </c>
      <c r="DR128" s="208">
        <v>-1032225</v>
      </c>
      <c r="DS128" s="208">
        <v>-825780</v>
      </c>
      <c r="DT128" s="208">
        <v>-185801</v>
      </c>
      <c r="DU128" s="208">
        <v>-20645</v>
      </c>
      <c r="DV128" s="208">
        <v>-2064451</v>
      </c>
      <c r="DW128" s="208">
        <v>112112</v>
      </c>
      <c r="DX128" s="208">
        <v>89693</v>
      </c>
      <c r="DY128" s="208">
        <v>20182</v>
      </c>
      <c r="DZ128" s="208">
        <v>2243</v>
      </c>
      <c r="EA128" s="208">
        <v>224230</v>
      </c>
      <c r="EB128" s="208">
        <v>15366748</v>
      </c>
      <c r="EC128" s="208">
        <v>12293399</v>
      </c>
      <c r="ED128" s="208">
        <v>2766015</v>
      </c>
      <c r="EE128" s="208">
        <v>307335</v>
      </c>
      <c r="EF128" s="208">
        <v>30733497</v>
      </c>
      <c r="EG128" s="208">
        <v>15118049</v>
      </c>
      <c r="EH128" s="208">
        <v>12094439</v>
      </c>
      <c r="EI128" s="208">
        <v>2721249</v>
      </c>
      <c r="EJ128" s="208">
        <v>302361</v>
      </c>
      <c r="EK128" s="208">
        <v>30236098</v>
      </c>
      <c r="EL128" s="208">
        <v>-248699</v>
      </c>
      <c r="EM128" s="208">
        <v>-198960</v>
      </c>
      <c r="EN128" s="208">
        <v>-44766</v>
      </c>
      <c r="EO128" s="208">
        <v>-4974</v>
      </c>
      <c r="EP128" s="208">
        <v>-497399</v>
      </c>
      <c r="EQ128" s="208">
        <v>-136587</v>
      </c>
      <c r="ER128" s="208">
        <v>-109267</v>
      </c>
      <c r="ES128" s="208">
        <v>-24584</v>
      </c>
      <c r="ET128" s="208">
        <v>-2731</v>
      </c>
      <c r="EU128" s="208">
        <v>-273169</v>
      </c>
      <c r="EV128" s="666">
        <v>0.5</v>
      </c>
      <c r="EW128" s="666">
        <v>0.4</v>
      </c>
      <c r="EX128" s="666">
        <v>0.09</v>
      </c>
      <c r="EY128" s="666">
        <v>0.01</v>
      </c>
      <c r="EZ128" s="666">
        <v>1</v>
      </c>
      <c r="FA128" s="187" t="s">
        <v>1054</v>
      </c>
      <c r="FC128" s="187">
        <v>0</v>
      </c>
    </row>
    <row r="129" spans="1:159" s="187" customFormat="1" x14ac:dyDescent="0.2">
      <c r="B129" s="429" t="s">
        <v>335</v>
      </c>
      <c r="C129" s="429" t="s">
        <v>334</v>
      </c>
      <c r="D129" s="208">
        <v>14956269</v>
      </c>
      <c r="E129" s="208">
        <v>14657144</v>
      </c>
      <c r="F129" s="208">
        <v>0</v>
      </c>
      <c r="G129" s="208">
        <v>299125</v>
      </c>
      <c r="H129" s="208">
        <v>29912538</v>
      </c>
      <c r="I129" s="208">
        <v>58195</v>
      </c>
      <c r="J129" s="208">
        <v>58195</v>
      </c>
      <c r="K129" s="208">
        <v>14898074</v>
      </c>
      <c r="L129" s="208">
        <v>114740</v>
      </c>
      <c r="M129" s="208">
        <v>114740</v>
      </c>
      <c r="N129" s="208">
        <v>78512</v>
      </c>
      <c r="O129" s="208">
        <v>78512</v>
      </c>
      <c r="P129" s="208">
        <v>0</v>
      </c>
      <c r="Q129" s="208">
        <v>0</v>
      </c>
      <c r="R129" s="208">
        <v>0</v>
      </c>
      <c r="S129" s="208">
        <v>0</v>
      </c>
      <c r="T129" s="208">
        <v>0</v>
      </c>
      <c r="U129" s="208">
        <v>0</v>
      </c>
      <c r="V129" s="208">
        <v>0</v>
      </c>
      <c r="W129" s="208">
        <v>58194.752083333333</v>
      </c>
      <c r="X129" s="208">
        <v>0</v>
      </c>
      <c r="Y129" s="208">
        <v>0</v>
      </c>
      <c r="Z129" s="208">
        <v>58194.752083333333</v>
      </c>
      <c r="AA129" s="208">
        <v>0</v>
      </c>
      <c r="AB129" s="208">
        <v>0</v>
      </c>
      <c r="AC129" s="208">
        <v>0</v>
      </c>
      <c r="AD129" s="208">
        <v>0</v>
      </c>
      <c r="AE129" s="208">
        <v>0</v>
      </c>
      <c r="AF129" s="208">
        <v>0</v>
      </c>
      <c r="AG129" s="208">
        <v>1442865</v>
      </c>
      <c r="AH129" s="208">
        <v>0</v>
      </c>
      <c r="AI129" s="208">
        <v>29402</v>
      </c>
      <c r="AJ129" s="208">
        <v>1472267</v>
      </c>
      <c r="AK129" s="208">
        <v>866784</v>
      </c>
      <c r="AL129" s="208">
        <v>849448</v>
      </c>
      <c r="AM129" s="208">
        <v>0</v>
      </c>
      <c r="AN129" s="208">
        <v>17336</v>
      </c>
      <c r="AO129" s="208">
        <v>1733568</v>
      </c>
      <c r="AP129" s="208">
        <v>-328751</v>
      </c>
      <c r="AQ129" s="208">
        <v>-322176</v>
      </c>
      <c r="AR129" s="208">
        <v>0</v>
      </c>
      <c r="AS129" s="208">
        <v>-6575</v>
      </c>
      <c r="AT129" s="208">
        <v>-657502</v>
      </c>
      <c r="AU129" s="208">
        <v>-531450</v>
      </c>
      <c r="AV129" s="208">
        <v>-520821</v>
      </c>
      <c r="AW129" s="208">
        <v>0</v>
      </c>
      <c r="AX129" s="208">
        <v>-10629</v>
      </c>
      <c r="AY129" s="208">
        <v>-1062900</v>
      </c>
      <c r="AZ129" s="208">
        <v>166158</v>
      </c>
      <c r="BA129" s="208">
        <v>162834</v>
      </c>
      <c r="BB129" s="208">
        <v>0</v>
      </c>
      <c r="BC129" s="208">
        <v>3323</v>
      </c>
      <c r="BD129" s="208">
        <v>332315</v>
      </c>
      <c r="BE129" s="208">
        <v>-136455</v>
      </c>
      <c r="BF129" s="208">
        <v>-133725</v>
      </c>
      <c r="BG129" s="208">
        <v>0</v>
      </c>
      <c r="BH129" s="208">
        <v>-2729</v>
      </c>
      <c r="BI129" s="208">
        <v>-272909</v>
      </c>
      <c r="BJ129" s="208">
        <v>-501747</v>
      </c>
      <c r="BK129" s="208">
        <v>-491712</v>
      </c>
      <c r="BL129" s="208">
        <v>0</v>
      </c>
      <c r="BM129" s="208">
        <v>-10035</v>
      </c>
      <c r="BN129" s="208">
        <v>-1003494</v>
      </c>
      <c r="BO129" s="208">
        <v>-2392676</v>
      </c>
      <c r="BP129" s="208">
        <v>-2344822</v>
      </c>
      <c r="BQ129" s="208">
        <v>0</v>
      </c>
      <c r="BR129" s="208">
        <v>-47854</v>
      </c>
      <c r="BS129" s="208">
        <v>-4785352</v>
      </c>
      <c r="BT129" s="208">
        <v>-2392676</v>
      </c>
      <c r="BU129" s="208">
        <v>-2344822</v>
      </c>
      <c r="BV129" s="208">
        <v>0</v>
      </c>
      <c r="BW129" s="208">
        <v>-47854</v>
      </c>
      <c r="BX129" s="208">
        <v>-4785352</v>
      </c>
      <c r="BY129" s="208">
        <v>0</v>
      </c>
      <c r="BZ129" s="208">
        <v>0</v>
      </c>
      <c r="CA129" s="208">
        <v>0</v>
      </c>
      <c r="CB129" s="208">
        <v>0</v>
      </c>
      <c r="CC129" s="208">
        <v>0</v>
      </c>
      <c r="CD129" s="208">
        <v>730601</v>
      </c>
      <c r="CE129" s="208">
        <v>715988</v>
      </c>
      <c r="CF129" s="208">
        <v>0</v>
      </c>
      <c r="CG129" s="208">
        <v>14612</v>
      </c>
      <c r="CH129" s="208">
        <v>1461201</v>
      </c>
      <c r="CI129" s="208">
        <v>0</v>
      </c>
      <c r="CJ129" s="208">
        <v>0</v>
      </c>
      <c r="CK129" s="208">
        <v>0</v>
      </c>
      <c r="CL129" s="208">
        <v>0</v>
      </c>
      <c r="CM129" s="208">
        <v>0</v>
      </c>
      <c r="CN129" s="208">
        <v>-773474</v>
      </c>
      <c r="CO129" s="208">
        <v>-758006</v>
      </c>
      <c r="CP129" s="208">
        <v>0</v>
      </c>
      <c r="CQ129" s="208">
        <v>-15470</v>
      </c>
      <c r="CR129" s="208">
        <v>-1546950</v>
      </c>
      <c r="CS129" s="208">
        <v>-125000</v>
      </c>
      <c r="CT129" s="208">
        <v>-122500</v>
      </c>
      <c r="CU129" s="208">
        <v>0</v>
      </c>
      <c r="CV129" s="208">
        <v>-2500</v>
      </c>
      <c r="CW129" s="208">
        <v>-250000</v>
      </c>
      <c r="CX129" s="208">
        <v>-2560549</v>
      </c>
      <c r="CY129" s="208">
        <v>-2509340</v>
      </c>
      <c r="CZ129" s="208">
        <v>0</v>
      </c>
      <c r="DA129" s="208">
        <v>-51212</v>
      </c>
      <c r="DB129" s="208">
        <v>-5121101</v>
      </c>
      <c r="DC129" s="208">
        <v>-2435549</v>
      </c>
      <c r="DD129" s="208">
        <v>-2386840</v>
      </c>
      <c r="DE129" s="208">
        <v>0</v>
      </c>
      <c r="DF129" s="208">
        <v>-48712</v>
      </c>
      <c r="DG129" s="208">
        <v>-4871101</v>
      </c>
      <c r="DH129" s="208">
        <v>-125000</v>
      </c>
      <c r="DI129" s="208">
        <v>-122500</v>
      </c>
      <c r="DJ129" s="208">
        <v>0</v>
      </c>
      <c r="DK129" s="208">
        <v>-2500</v>
      </c>
      <c r="DL129" s="208">
        <v>-250000</v>
      </c>
      <c r="DM129" s="208">
        <v>-995320</v>
      </c>
      <c r="DN129" s="208">
        <v>-975413</v>
      </c>
      <c r="DO129" s="208">
        <v>0</v>
      </c>
      <c r="DP129" s="208">
        <v>-19908</v>
      </c>
      <c r="DQ129" s="208">
        <v>-1990641</v>
      </c>
      <c r="DR129" s="208">
        <v>140920</v>
      </c>
      <c r="DS129" s="208">
        <v>138102</v>
      </c>
      <c r="DT129" s="208">
        <v>0</v>
      </c>
      <c r="DU129" s="208">
        <v>2818</v>
      </c>
      <c r="DV129" s="208">
        <v>281840</v>
      </c>
      <c r="DW129" s="208">
        <v>-1136240</v>
      </c>
      <c r="DX129" s="208">
        <v>-1113515</v>
      </c>
      <c r="DY129" s="208">
        <v>0</v>
      </c>
      <c r="DZ129" s="208">
        <v>-22726</v>
      </c>
      <c r="EA129" s="208">
        <v>-2272481</v>
      </c>
      <c r="EB129" s="208">
        <v>15181511</v>
      </c>
      <c r="EC129" s="208">
        <v>14877880</v>
      </c>
      <c r="ED129" s="208">
        <v>0</v>
      </c>
      <c r="EE129" s="208">
        <v>303630</v>
      </c>
      <c r="EF129" s="208">
        <v>30363021</v>
      </c>
      <c r="EG129" s="208">
        <v>14956269</v>
      </c>
      <c r="EH129" s="208">
        <v>14657144</v>
      </c>
      <c r="EI129" s="208">
        <v>0</v>
      </c>
      <c r="EJ129" s="208">
        <v>299125</v>
      </c>
      <c r="EK129" s="208">
        <v>29912538</v>
      </c>
      <c r="EL129" s="208">
        <v>-225242</v>
      </c>
      <c r="EM129" s="208">
        <v>-220736</v>
      </c>
      <c r="EN129" s="208">
        <v>0</v>
      </c>
      <c r="EO129" s="208">
        <v>-4505</v>
      </c>
      <c r="EP129" s="208">
        <v>-450483</v>
      </c>
      <c r="EQ129" s="208">
        <v>-1361482</v>
      </c>
      <c r="ER129" s="208">
        <v>-1334251</v>
      </c>
      <c r="ES129" s="208">
        <v>0</v>
      </c>
      <c r="ET129" s="208">
        <v>-27231</v>
      </c>
      <c r="EU129" s="208">
        <v>-2722964</v>
      </c>
      <c r="EV129" s="666">
        <v>0.5</v>
      </c>
      <c r="EW129" s="666">
        <v>0.49</v>
      </c>
      <c r="EX129" s="666">
        <v>0</v>
      </c>
      <c r="EY129" s="666">
        <v>0.01</v>
      </c>
      <c r="EZ129" s="666">
        <v>1</v>
      </c>
      <c r="FA129" s="187" t="s">
        <v>742</v>
      </c>
      <c r="FC129" s="187">
        <v>0</v>
      </c>
    </row>
    <row r="130" spans="1:159" s="187" customFormat="1" x14ac:dyDescent="0.2">
      <c r="B130" s="429" t="s">
        <v>337</v>
      </c>
      <c r="C130" s="429" t="s">
        <v>336</v>
      </c>
      <c r="D130" s="208">
        <v>10396420</v>
      </c>
      <c r="E130" s="208">
        <v>8317136</v>
      </c>
      <c r="F130" s="208">
        <v>1871356</v>
      </c>
      <c r="G130" s="208">
        <v>207928</v>
      </c>
      <c r="H130" s="208">
        <v>20792840</v>
      </c>
      <c r="I130" s="208">
        <v>0</v>
      </c>
      <c r="J130" s="208">
        <v>0</v>
      </c>
      <c r="K130" s="208">
        <v>10396420</v>
      </c>
      <c r="L130" s="208">
        <v>131620</v>
      </c>
      <c r="M130" s="208">
        <v>131620</v>
      </c>
      <c r="N130" s="208">
        <v>0</v>
      </c>
      <c r="O130" s="208">
        <v>0</v>
      </c>
      <c r="P130" s="208">
        <v>0</v>
      </c>
      <c r="Q130" s="208">
        <v>0</v>
      </c>
      <c r="R130" s="208">
        <v>0</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1236086</v>
      </c>
      <c r="AH130" s="208">
        <v>278119</v>
      </c>
      <c r="AI130" s="208">
        <v>30902</v>
      </c>
      <c r="AJ130" s="208">
        <v>1545107</v>
      </c>
      <c r="AK130" s="208">
        <v>800423</v>
      </c>
      <c r="AL130" s="208">
        <v>640338</v>
      </c>
      <c r="AM130" s="208">
        <v>144076</v>
      </c>
      <c r="AN130" s="208">
        <v>16008</v>
      </c>
      <c r="AO130" s="208">
        <v>1600845</v>
      </c>
      <c r="AP130" s="208">
        <v>-163019</v>
      </c>
      <c r="AQ130" s="208">
        <v>-130415</v>
      </c>
      <c r="AR130" s="208">
        <v>-29343</v>
      </c>
      <c r="AS130" s="208">
        <v>-3260</v>
      </c>
      <c r="AT130" s="208">
        <v>-326037</v>
      </c>
      <c r="AU130" s="208">
        <v>-493731</v>
      </c>
      <c r="AV130" s="208">
        <v>-394986</v>
      </c>
      <c r="AW130" s="208">
        <v>-88872</v>
      </c>
      <c r="AX130" s="208">
        <v>-9875</v>
      </c>
      <c r="AY130" s="208">
        <v>-987464</v>
      </c>
      <c r="AZ130" s="208">
        <v>101789</v>
      </c>
      <c r="BA130" s="208">
        <v>81432</v>
      </c>
      <c r="BB130" s="208">
        <v>18322</v>
      </c>
      <c r="BC130" s="208">
        <v>2036</v>
      </c>
      <c r="BD130" s="208">
        <v>203579</v>
      </c>
      <c r="BE130" s="208">
        <v>-388973</v>
      </c>
      <c r="BF130" s="208">
        <v>-311178</v>
      </c>
      <c r="BG130" s="208">
        <v>-70015</v>
      </c>
      <c r="BH130" s="208">
        <v>-7779</v>
      </c>
      <c r="BI130" s="208">
        <v>-777945</v>
      </c>
      <c r="BJ130" s="208">
        <v>-780915</v>
      </c>
      <c r="BK130" s="208">
        <v>-624732</v>
      </c>
      <c r="BL130" s="208">
        <v>-140565</v>
      </c>
      <c r="BM130" s="208">
        <v>-15618</v>
      </c>
      <c r="BN130" s="208">
        <v>-1561830</v>
      </c>
      <c r="BO130" s="208">
        <v>-1608500</v>
      </c>
      <c r="BP130" s="208">
        <v>-1286800</v>
      </c>
      <c r="BQ130" s="208">
        <v>-289530</v>
      </c>
      <c r="BR130" s="208">
        <v>-32170</v>
      </c>
      <c r="BS130" s="208">
        <v>-3217000</v>
      </c>
      <c r="BT130" s="208">
        <v>-911500</v>
      </c>
      <c r="BU130" s="208">
        <v>-729200</v>
      </c>
      <c r="BV130" s="208">
        <v>-164070</v>
      </c>
      <c r="BW130" s="208">
        <v>-18230</v>
      </c>
      <c r="BX130" s="208">
        <v>-1823000</v>
      </c>
      <c r="BY130" s="208">
        <v>-697000</v>
      </c>
      <c r="BZ130" s="208">
        <v>-557600</v>
      </c>
      <c r="CA130" s="208">
        <v>-125460</v>
      </c>
      <c r="CB130" s="208">
        <v>-13940</v>
      </c>
      <c r="CC130" s="208">
        <v>-1394000</v>
      </c>
      <c r="CD130" s="208">
        <v>249081</v>
      </c>
      <c r="CE130" s="208">
        <v>199264</v>
      </c>
      <c r="CF130" s="208">
        <v>44834</v>
      </c>
      <c r="CG130" s="208">
        <v>4982</v>
      </c>
      <c r="CH130" s="208">
        <v>498161</v>
      </c>
      <c r="CI130" s="208">
        <v>0</v>
      </c>
      <c r="CJ130" s="208">
        <v>0</v>
      </c>
      <c r="CK130" s="208">
        <v>0</v>
      </c>
      <c r="CL130" s="208">
        <v>0</v>
      </c>
      <c r="CM130" s="208">
        <v>0</v>
      </c>
      <c r="CN130" s="208">
        <v>98419</v>
      </c>
      <c r="CO130" s="208">
        <v>78736</v>
      </c>
      <c r="CP130" s="208">
        <v>17716</v>
      </c>
      <c r="CQ130" s="208">
        <v>1968</v>
      </c>
      <c r="CR130" s="208">
        <v>196839</v>
      </c>
      <c r="CS130" s="208">
        <v>-716500</v>
      </c>
      <c r="CT130" s="208">
        <v>-573200</v>
      </c>
      <c r="CU130" s="208">
        <v>-128970</v>
      </c>
      <c r="CV130" s="208">
        <v>-14330</v>
      </c>
      <c r="CW130" s="208">
        <v>-1433000</v>
      </c>
      <c r="CX130" s="208">
        <v>-1977500</v>
      </c>
      <c r="CY130" s="208">
        <v>-1582000</v>
      </c>
      <c r="CZ130" s="208">
        <v>-355950</v>
      </c>
      <c r="DA130" s="208">
        <v>-39550</v>
      </c>
      <c r="DB130" s="208">
        <v>-3955000</v>
      </c>
      <c r="DC130" s="208">
        <v>-564000</v>
      </c>
      <c r="DD130" s="208">
        <v>-451200</v>
      </c>
      <c r="DE130" s="208">
        <v>-101520</v>
      </c>
      <c r="DF130" s="208">
        <v>-11280</v>
      </c>
      <c r="DG130" s="208">
        <v>-1128000</v>
      </c>
      <c r="DH130" s="208">
        <v>-1413500</v>
      </c>
      <c r="DI130" s="208">
        <v>-1130800</v>
      </c>
      <c r="DJ130" s="208">
        <v>-254430</v>
      </c>
      <c r="DK130" s="208">
        <v>-28270</v>
      </c>
      <c r="DL130" s="208">
        <v>-2827000</v>
      </c>
      <c r="DM130" s="208">
        <v>-208895</v>
      </c>
      <c r="DN130" s="208">
        <v>-167117</v>
      </c>
      <c r="DO130" s="208">
        <v>-37602</v>
      </c>
      <c r="DP130" s="208">
        <v>-4179</v>
      </c>
      <c r="DQ130" s="208">
        <v>-417793</v>
      </c>
      <c r="DR130" s="208">
        <v>-79245</v>
      </c>
      <c r="DS130" s="208">
        <v>-63396</v>
      </c>
      <c r="DT130" s="208">
        <v>-14264</v>
      </c>
      <c r="DU130" s="208">
        <v>-1585</v>
      </c>
      <c r="DV130" s="208">
        <v>-158490</v>
      </c>
      <c r="DW130" s="208">
        <v>-129650</v>
      </c>
      <c r="DX130" s="208">
        <v>-103721</v>
      </c>
      <c r="DY130" s="208">
        <v>-23338</v>
      </c>
      <c r="DZ130" s="208">
        <v>-2594</v>
      </c>
      <c r="EA130" s="208">
        <v>-259303</v>
      </c>
      <c r="EB130" s="208">
        <v>10466231</v>
      </c>
      <c r="EC130" s="208">
        <v>8372984</v>
      </c>
      <c r="ED130" s="208">
        <v>1883921</v>
      </c>
      <c r="EE130" s="208">
        <v>209325</v>
      </c>
      <c r="EF130" s="208">
        <v>20932461</v>
      </c>
      <c r="EG130" s="208">
        <v>10396420</v>
      </c>
      <c r="EH130" s="208">
        <v>8317136</v>
      </c>
      <c r="EI130" s="208">
        <v>1871356</v>
      </c>
      <c r="EJ130" s="208">
        <v>207928</v>
      </c>
      <c r="EK130" s="208">
        <v>20792840</v>
      </c>
      <c r="EL130" s="208">
        <v>-69811</v>
      </c>
      <c r="EM130" s="208">
        <v>-55848</v>
      </c>
      <c r="EN130" s="208">
        <v>-12565</v>
      </c>
      <c r="EO130" s="208">
        <v>-1397</v>
      </c>
      <c r="EP130" s="208">
        <v>-139621</v>
      </c>
      <c r="EQ130" s="208">
        <v>-199461</v>
      </c>
      <c r="ER130" s="208">
        <v>-159569</v>
      </c>
      <c r="ES130" s="208">
        <v>-35903</v>
      </c>
      <c r="ET130" s="208">
        <v>-3991</v>
      </c>
      <c r="EU130" s="208">
        <v>-398924</v>
      </c>
      <c r="EV130" s="666">
        <v>0.5</v>
      </c>
      <c r="EW130" s="666">
        <v>0.4</v>
      </c>
      <c r="EX130" s="666">
        <v>0.09</v>
      </c>
      <c r="EY130" s="666">
        <v>0.01</v>
      </c>
      <c r="EZ130" s="666">
        <v>1</v>
      </c>
      <c r="FA130" s="187" t="s">
        <v>1054</v>
      </c>
      <c r="FC130" s="187">
        <v>0</v>
      </c>
    </row>
    <row r="131" spans="1:159" s="187" customFormat="1" x14ac:dyDescent="0.2">
      <c r="B131" s="429" t="s">
        <v>339</v>
      </c>
      <c r="C131" s="429" t="s">
        <v>338</v>
      </c>
      <c r="D131" s="208">
        <v>17383473</v>
      </c>
      <c r="E131" s="208">
        <v>13906778</v>
      </c>
      <c r="F131" s="208">
        <v>3129025</v>
      </c>
      <c r="G131" s="208">
        <v>347669</v>
      </c>
      <c r="H131" s="208">
        <v>34766945</v>
      </c>
      <c r="I131" s="208">
        <v>0</v>
      </c>
      <c r="J131" s="208">
        <v>0</v>
      </c>
      <c r="K131" s="208">
        <v>17383473</v>
      </c>
      <c r="L131" s="208">
        <v>137914</v>
      </c>
      <c r="M131" s="208">
        <v>137914</v>
      </c>
      <c r="N131" s="208">
        <v>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1382929</v>
      </c>
      <c r="AH131" s="208">
        <v>311159</v>
      </c>
      <c r="AI131" s="208">
        <v>34572</v>
      </c>
      <c r="AJ131" s="208">
        <v>1728660</v>
      </c>
      <c r="AK131" s="208">
        <v>291530</v>
      </c>
      <c r="AL131" s="208">
        <v>233225</v>
      </c>
      <c r="AM131" s="208">
        <v>52476</v>
      </c>
      <c r="AN131" s="208">
        <v>5831</v>
      </c>
      <c r="AO131" s="208">
        <v>583062</v>
      </c>
      <c r="AP131" s="208">
        <v>-489634</v>
      </c>
      <c r="AQ131" s="208">
        <v>-391708</v>
      </c>
      <c r="AR131" s="208">
        <v>-88134</v>
      </c>
      <c r="AS131" s="208">
        <v>-9793</v>
      </c>
      <c r="AT131" s="208">
        <v>-979269</v>
      </c>
      <c r="AU131" s="208">
        <v>-112247</v>
      </c>
      <c r="AV131" s="208">
        <v>-89798</v>
      </c>
      <c r="AW131" s="208">
        <v>-20205</v>
      </c>
      <c r="AX131" s="208">
        <v>-2245</v>
      </c>
      <c r="AY131" s="208">
        <v>-224495</v>
      </c>
      <c r="AZ131" s="208">
        <v>27085</v>
      </c>
      <c r="BA131" s="208">
        <v>21668</v>
      </c>
      <c r="BB131" s="208">
        <v>4875</v>
      </c>
      <c r="BC131" s="208">
        <v>542</v>
      </c>
      <c r="BD131" s="208">
        <v>54170</v>
      </c>
      <c r="BE131" s="208">
        <v>-50957</v>
      </c>
      <c r="BF131" s="208">
        <v>-40765</v>
      </c>
      <c r="BG131" s="208">
        <v>-9172</v>
      </c>
      <c r="BH131" s="208">
        <v>-1019</v>
      </c>
      <c r="BI131" s="208">
        <v>-101913</v>
      </c>
      <c r="BJ131" s="208">
        <v>-136119</v>
      </c>
      <c r="BK131" s="208">
        <v>-108895</v>
      </c>
      <c r="BL131" s="208">
        <v>-24502</v>
      </c>
      <c r="BM131" s="208">
        <v>-2722</v>
      </c>
      <c r="BN131" s="208">
        <v>-272238</v>
      </c>
      <c r="BO131" s="208">
        <v>-739464</v>
      </c>
      <c r="BP131" s="208">
        <v>-591570</v>
      </c>
      <c r="BQ131" s="208">
        <v>-133103</v>
      </c>
      <c r="BR131" s="208">
        <v>-14789</v>
      </c>
      <c r="BS131" s="208">
        <v>-1478926</v>
      </c>
      <c r="BT131" s="208">
        <v>-739464</v>
      </c>
      <c r="BU131" s="208">
        <v>-591570</v>
      </c>
      <c r="BV131" s="208">
        <v>-133103</v>
      </c>
      <c r="BW131" s="208">
        <v>-14789</v>
      </c>
      <c r="BX131" s="208">
        <v>-1478926</v>
      </c>
      <c r="BY131" s="208">
        <v>0</v>
      </c>
      <c r="BZ131" s="208">
        <v>0</v>
      </c>
      <c r="CA131" s="208">
        <v>0</v>
      </c>
      <c r="CB131" s="208">
        <v>0</v>
      </c>
      <c r="CC131" s="208">
        <v>0</v>
      </c>
      <c r="CD131" s="208">
        <v>1939189</v>
      </c>
      <c r="CE131" s="208">
        <v>1551352</v>
      </c>
      <c r="CF131" s="208">
        <v>349054</v>
      </c>
      <c r="CG131" s="208">
        <v>38784</v>
      </c>
      <c r="CH131" s="208">
        <v>3878379</v>
      </c>
      <c r="CI131" s="208">
        <v>0</v>
      </c>
      <c r="CJ131" s="208">
        <v>0</v>
      </c>
      <c r="CK131" s="208">
        <v>0</v>
      </c>
      <c r="CL131" s="208">
        <v>0</v>
      </c>
      <c r="CM131" s="208">
        <v>0</v>
      </c>
      <c r="CN131" s="208">
        <v>-1671218</v>
      </c>
      <c r="CO131" s="208">
        <v>-1336974</v>
      </c>
      <c r="CP131" s="208">
        <v>-300819</v>
      </c>
      <c r="CQ131" s="208">
        <v>-33424</v>
      </c>
      <c r="CR131" s="208">
        <v>-3342435</v>
      </c>
      <c r="CS131" s="208">
        <v>-134712</v>
      </c>
      <c r="CT131" s="208">
        <v>-107770</v>
      </c>
      <c r="CU131" s="208">
        <v>-24248</v>
      </c>
      <c r="CV131" s="208">
        <v>-2694</v>
      </c>
      <c r="CW131" s="208">
        <v>-269424</v>
      </c>
      <c r="CX131" s="208">
        <v>-606205</v>
      </c>
      <c r="CY131" s="208">
        <v>-484962</v>
      </c>
      <c r="CZ131" s="208">
        <v>-109116</v>
      </c>
      <c r="DA131" s="208">
        <v>-12123</v>
      </c>
      <c r="DB131" s="208">
        <v>-1212406</v>
      </c>
      <c r="DC131" s="208">
        <v>-471493</v>
      </c>
      <c r="DD131" s="208">
        <v>-377192</v>
      </c>
      <c r="DE131" s="208">
        <v>-84868</v>
      </c>
      <c r="DF131" s="208">
        <v>-9429</v>
      </c>
      <c r="DG131" s="208">
        <v>-942982</v>
      </c>
      <c r="DH131" s="208">
        <v>-134712</v>
      </c>
      <c r="DI131" s="208">
        <v>-107770</v>
      </c>
      <c r="DJ131" s="208">
        <v>-24248</v>
      </c>
      <c r="DK131" s="208">
        <v>-2694</v>
      </c>
      <c r="DL131" s="208">
        <v>-269424</v>
      </c>
      <c r="DM131" s="208">
        <v>-1143057</v>
      </c>
      <c r="DN131" s="208">
        <v>-914446</v>
      </c>
      <c r="DO131" s="208">
        <v>-205751</v>
      </c>
      <c r="DP131" s="208">
        <v>-22862</v>
      </c>
      <c r="DQ131" s="208">
        <v>-2286116</v>
      </c>
      <c r="DR131" s="208">
        <v>-1035672</v>
      </c>
      <c r="DS131" s="208">
        <v>-828537</v>
      </c>
      <c r="DT131" s="208">
        <v>-186421</v>
      </c>
      <c r="DU131" s="208">
        <v>-20713</v>
      </c>
      <c r="DV131" s="208">
        <v>-2071343</v>
      </c>
      <c r="DW131" s="208">
        <v>-107385</v>
      </c>
      <c r="DX131" s="208">
        <v>-85909</v>
      </c>
      <c r="DY131" s="208">
        <v>-19330</v>
      </c>
      <c r="DZ131" s="208">
        <v>-2149</v>
      </c>
      <c r="EA131" s="208">
        <v>-214773</v>
      </c>
      <c r="EB131" s="208">
        <v>17466376</v>
      </c>
      <c r="EC131" s="208">
        <v>13973101</v>
      </c>
      <c r="ED131" s="208">
        <v>3143948</v>
      </c>
      <c r="EE131" s="208">
        <v>349328</v>
      </c>
      <c r="EF131" s="208">
        <v>34932753</v>
      </c>
      <c r="EG131" s="208">
        <v>17383473</v>
      </c>
      <c r="EH131" s="208">
        <v>13906778</v>
      </c>
      <c r="EI131" s="208">
        <v>3129025</v>
      </c>
      <c r="EJ131" s="208">
        <v>347669</v>
      </c>
      <c r="EK131" s="208">
        <v>34766945</v>
      </c>
      <c r="EL131" s="208">
        <v>-82903</v>
      </c>
      <c r="EM131" s="208">
        <v>-66323</v>
      </c>
      <c r="EN131" s="208">
        <v>-14923</v>
      </c>
      <c r="EO131" s="208">
        <v>-1659</v>
      </c>
      <c r="EP131" s="208">
        <v>-165808</v>
      </c>
      <c r="EQ131" s="208">
        <v>-190288</v>
      </c>
      <c r="ER131" s="208">
        <v>-152232</v>
      </c>
      <c r="ES131" s="208">
        <v>-34253</v>
      </c>
      <c r="ET131" s="208">
        <v>-3808</v>
      </c>
      <c r="EU131" s="208">
        <v>-380581</v>
      </c>
      <c r="EV131" s="666">
        <v>0.5</v>
      </c>
      <c r="EW131" s="666">
        <v>0.4</v>
      </c>
      <c r="EX131" s="666">
        <v>0.09</v>
      </c>
      <c r="EY131" s="666">
        <v>0.01</v>
      </c>
      <c r="EZ131" s="666">
        <v>1</v>
      </c>
      <c r="FA131" s="187" t="s">
        <v>1054</v>
      </c>
      <c r="FC131" s="187">
        <v>0</v>
      </c>
    </row>
    <row r="132" spans="1:159" s="187" customFormat="1" x14ac:dyDescent="0.2">
      <c r="A132" s="188"/>
      <c r="B132" s="429" t="s">
        <v>341</v>
      </c>
      <c r="C132" s="429" t="s">
        <v>340</v>
      </c>
      <c r="D132" s="208">
        <v>0</v>
      </c>
      <c r="E132" s="208">
        <v>50495213</v>
      </c>
      <c r="F132" s="208">
        <v>28403557</v>
      </c>
      <c r="G132" s="208">
        <v>0</v>
      </c>
      <c r="H132" s="208">
        <v>78898770</v>
      </c>
      <c r="I132" s="208">
        <v>0</v>
      </c>
      <c r="J132" s="208">
        <v>0</v>
      </c>
      <c r="K132" s="208">
        <v>0</v>
      </c>
      <c r="L132" s="208">
        <v>272140</v>
      </c>
      <c r="M132" s="208">
        <v>272140</v>
      </c>
      <c r="N132" s="208">
        <v>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4965520</v>
      </c>
      <c r="AH132" s="208">
        <v>2793106</v>
      </c>
      <c r="AI132" s="208">
        <v>0</v>
      </c>
      <c r="AJ132" s="208">
        <v>7758626</v>
      </c>
      <c r="AK132" s="208">
        <v>0</v>
      </c>
      <c r="AL132" s="208">
        <v>2267292</v>
      </c>
      <c r="AM132" s="208">
        <v>1275351</v>
      </c>
      <c r="AN132" s="208">
        <v>0</v>
      </c>
      <c r="AO132" s="208">
        <v>3542643</v>
      </c>
      <c r="AP132" s="208">
        <v>0</v>
      </c>
      <c r="AQ132" s="208">
        <v>-4155097</v>
      </c>
      <c r="AR132" s="208">
        <v>-2337242</v>
      </c>
      <c r="AS132" s="208">
        <v>0</v>
      </c>
      <c r="AT132" s="208">
        <v>-6492339</v>
      </c>
      <c r="AU132" s="208">
        <v>0.16999999992549419</v>
      </c>
      <c r="AV132" s="208">
        <v>-1311489</v>
      </c>
      <c r="AW132" s="208">
        <v>-737713</v>
      </c>
      <c r="AX132" s="208">
        <v>0</v>
      </c>
      <c r="AY132" s="208">
        <v>-2049201.83</v>
      </c>
      <c r="AZ132" s="208">
        <v>0</v>
      </c>
      <c r="BA132" s="208">
        <v>100460</v>
      </c>
      <c r="BB132" s="208">
        <v>56509</v>
      </c>
      <c r="BC132" s="208">
        <v>0</v>
      </c>
      <c r="BD132" s="208">
        <v>156969</v>
      </c>
      <c r="BE132" s="208">
        <v>0</v>
      </c>
      <c r="BF132" s="208">
        <v>-196477</v>
      </c>
      <c r="BG132" s="208">
        <v>-110519</v>
      </c>
      <c r="BH132" s="208">
        <v>0</v>
      </c>
      <c r="BI132" s="208">
        <v>-306996</v>
      </c>
      <c r="BJ132" s="208">
        <v>0.16999999992549419</v>
      </c>
      <c r="BK132" s="208">
        <v>-1407506</v>
      </c>
      <c r="BL132" s="208">
        <v>-791723</v>
      </c>
      <c r="BM132" s="208">
        <v>0</v>
      </c>
      <c r="BN132" s="208">
        <v>-2199228.83</v>
      </c>
      <c r="BO132" s="208">
        <v>0.59999999962747097</v>
      </c>
      <c r="BP132" s="208">
        <v>-4466394</v>
      </c>
      <c r="BQ132" s="208">
        <v>-2512347</v>
      </c>
      <c r="BR132" s="208">
        <v>0</v>
      </c>
      <c r="BS132" s="208">
        <v>-6978740.4000000004</v>
      </c>
      <c r="BT132" s="208">
        <v>0</v>
      </c>
      <c r="BU132" s="208">
        <v>0</v>
      </c>
      <c r="BV132" s="208">
        <v>0</v>
      </c>
      <c r="BW132" s="208">
        <v>0</v>
      </c>
      <c r="BX132" s="208">
        <v>0</v>
      </c>
      <c r="BY132" s="208">
        <v>0.59999999962747097</v>
      </c>
      <c r="BZ132" s="208">
        <v>-4466394</v>
      </c>
      <c r="CA132" s="208">
        <v>-2512347</v>
      </c>
      <c r="CB132" s="208">
        <v>0</v>
      </c>
      <c r="CC132" s="208">
        <v>-6978740.4000000004</v>
      </c>
      <c r="CD132" s="208">
        <v>0</v>
      </c>
      <c r="CE132" s="208">
        <v>400037</v>
      </c>
      <c r="CF132" s="208">
        <v>225021</v>
      </c>
      <c r="CG132" s="208">
        <v>0</v>
      </c>
      <c r="CH132" s="208">
        <v>625058</v>
      </c>
      <c r="CI132" s="208">
        <v>0</v>
      </c>
      <c r="CJ132" s="208">
        <v>983009</v>
      </c>
      <c r="CK132" s="208">
        <v>552943</v>
      </c>
      <c r="CL132" s="208">
        <v>0</v>
      </c>
      <c r="CM132" s="208">
        <v>1535952</v>
      </c>
      <c r="CN132" s="208">
        <v>0</v>
      </c>
      <c r="CO132" s="208">
        <v>-381036</v>
      </c>
      <c r="CP132" s="208">
        <v>-214332</v>
      </c>
      <c r="CQ132" s="208">
        <v>0</v>
      </c>
      <c r="CR132" s="208">
        <v>-595368</v>
      </c>
      <c r="CS132" s="208">
        <v>0</v>
      </c>
      <c r="CT132" s="208">
        <v>-3391417</v>
      </c>
      <c r="CU132" s="208">
        <v>-1907672</v>
      </c>
      <c r="CV132" s="208">
        <v>0</v>
      </c>
      <c r="CW132" s="208">
        <v>-5299089</v>
      </c>
      <c r="CX132" s="208">
        <v>0.59999999962747097</v>
      </c>
      <c r="CY132" s="208">
        <v>-6855801</v>
      </c>
      <c r="CZ132" s="208">
        <v>-3856387</v>
      </c>
      <c r="DA132" s="208">
        <v>0</v>
      </c>
      <c r="DB132" s="208">
        <v>-10712187.4</v>
      </c>
      <c r="DC132" s="208">
        <v>0</v>
      </c>
      <c r="DD132" s="208">
        <v>19001</v>
      </c>
      <c r="DE132" s="208">
        <v>10689</v>
      </c>
      <c r="DF132" s="208">
        <v>0</v>
      </c>
      <c r="DG132" s="208">
        <v>29690</v>
      </c>
      <c r="DH132" s="208">
        <v>0.59999999962747097</v>
      </c>
      <c r="DI132" s="208">
        <v>-6874802</v>
      </c>
      <c r="DJ132" s="208">
        <v>-3867076</v>
      </c>
      <c r="DK132" s="208">
        <v>0</v>
      </c>
      <c r="DL132" s="208">
        <v>-10741877.4</v>
      </c>
      <c r="DM132" s="208">
        <v>-613552.26000000536</v>
      </c>
      <c r="DN132" s="208">
        <v>-411795</v>
      </c>
      <c r="DO132" s="208">
        <v>-347308</v>
      </c>
      <c r="DP132" s="208">
        <v>0</v>
      </c>
      <c r="DQ132" s="208">
        <v>-1372655.2600000054</v>
      </c>
      <c r="DR132" s="208">
        <v>-832951</v>
      </c>
      <c r="DS132" s="208">
        <v>-637301</v>
      </c>
      <c r="DT132" s="208">
        <v>-654085</v>
      </c>
      <c r="DU132" s="208">
        <v>0</v>
      </c>
      <c r="DV132" s="208">
        <v>-2124337</v>
      </c>
      <c r="DW132" s="208">
        <v>219398.73999999464</v>
      </c>
      <c r="DX132" s="208">
        <v>225506</v>
      </c>
      <c r="DY132" s="208">
        <v>306777</v>
      </c>
      <c r="DZ132" s="208">
        <v>0</v>
      </c>
      <c r="EA132" s="208">
        <v>751681.73999999464</v>
      </c>
      <c r="EB132" s="208">
        <v>0</v>
      </c>
      <c r="EC132" s="208">
        <v>51623259</v>
      </c>
      <c r="ED132" s="208">
        <v>29038083</v>
      </c>
      <c r="EE132" s="208">
        <v>0</v>
      </c>
      <c r="EF132" s="208">
        <v>80661342</v>
      </c>
      <c r="EG132" s="208">
        <v>0</v>
      </c>
      <c r="EH132" s="208">
        <v>50495213</v>
      </c>
      <c r="EI132" s="208">
        <v>28403557</v>
      </c>
      <c r="EJ132" s="208">
        <v>0</v>
      </c>
      <c r="EK132" s="208">
        <v>78898770</v>
      </c>
      <c r="EL132" s="208">
        <v>0</v>
      </c>
      <c r="EM132" s="208">
        <v>-1128046</v>
      </c>
      <c r="EN132" s="208">
        <v>-634526</v>
      </c>
      <c r="EO132" s="208">
        <v>0</v>
      </c>
      <c r="EP132" s="208">
        <v>-1762572</v>
      </c>
      <c r="EQ132" s="208">
        <v>219398.73999999464</v>
      </c>
      <c r="ER132" s="208">
        <v>-902540</v>
      </c>
      <c r="ES132" s="208">
        <v>-327749</v>
      </c>
      <c r="ET132" s="208">
        <v>0</v>
      </c>
      <c r="EU132" s="208">
        <v>-1010890.2600000054</v>
      </c>
      <c r="EV132" s="666">
        <v>0</v>
      </c>
      <c r="EW132" s="666">
        <v>0.64</v>
      </c>
      <c r="EX132" s="666">
        <v>0.36</v>
      </c>
      <c r="EY132" s="666">
        <v>0</v>
      </c>
      <c r="EZ132" s="666">
        <v>1</v>
      </c>
      <c r="FA132" s="187" t="s">
        <v>1055</v>
      </c>
      <c r="FC132" s="187">
        <v>0</v>
      </c>
    </row>
    <row r="133" spans="1:159" s="187" customFormat="1" x14ac:dyDescent="0.2">
      <c r="B133" s="429" t="s">
        <v>343</v>
      </c>
      <c r="C133" s="429" t="s">
        <v>342</v>
      </c>
      <c r="D133" s="208">
        <v>22728954</v>
      </c>
      <c r="E133" s="208">
        <v>22274374</v>
      </c>
      <c r="F133" s="208">
        <v>0</v>
      </c>
      <c r="G133" s="208">
        <v>454579</v>
      </c>
      <c r="H133" s="208">
        <v>45457907</v>
      </c>
      <c r="I133" s="208">
        <v>350269</v>
      </c>
      <c r="J133" s="208">
        <v>350269</v>
      </c>
      <c r="K133" s="208">
        <v>22378685</v>
      </c>
      <c r="L133" s="208">
        <v>300791</v>
      </c>
      <c r="M133" s="208">
        <v>300791</v>
      </c>
      <c r="N133" s="208">
        <v>77445</v>
      </c>
      <c r="O133" s="208">
        <v>77445</v>
      </c>
      <c r="P133" s="208">
        <v>177704</v>
      </c>
      <c r="Q133" s="208">
        <v>0</v>
      </c>
      <c r="R133" s="208">
        <v>177704</v>
      </c>
      <c r="S133" s="208">
        <v>0</v>
      </c>
      <c r="T133" s="208">
        <v>0</v>
      </c>
      <c r="U133" s="208">
        <v>0</v>
      </c>
      <c r="V133" s="208">
        <v>0</v>
      </c>
      <c r="W133" s="208">
        <v>350269.17083333334</v>
      </c>
      <c r="X133" s="208">
        <v>0</v>
      </c>
      <c r="Y133" s="208">
        <v>0</v>
      </c>
      <c r="Z133" s="208">
        <v>350269.17083333334</v>
      </c>
      <c r="AA133" s="208">
        <v>0</v>
      </c>
      <c r="AB133" s="208">
        <v>0</v>
      </c>
      <c r="AC133" s="208">
        <v>0</v>
      </c>
      <c r="AD133" s="208">
        <v>0</v>
      </c>
      <c r="AE133" s="208">
        <v>0</v>
      </c>
      <c r="AF133" s="208">
        <v>0</v>
      </c>
      <c r="AG133" s="208">
        <v>3782492</v>
      </c>
      <c r="AH133" s="208">
        <v>0</v>
      </c>
      <c r="AI133" s="208">
        <v>75870</v>
      </c>
      <c r="AJ133" s="208">
        <v>3858362</v>
      </c>
      <c r="AK133" s="208">
        <v>824886</v>
      </c>
      <c r="AL133" s="208">
        <v>808389</v>
      </c>
      <c r="AM133" s="208">
        <v>0</v>
      </c>
      <c r="AN133" s="208">
        <v>16498</v>
      </c>
      <c r="AO133" s="208">
        <v>1649773</v>
      </c>
      <c r="AP133" s="208">
        <v>-343102</v>
      </c>
      <c r="AQ133" s="208">
        <v>-336240</v>
      </c>
      <c r="AR133" s="208">
        <v>0</v>
      </c>
      <c r="AS133" s="208">
        <v>-6862</v>
      </c>
      <c r="AT133" s="208">
        <v>-686204</v>
      </c>
      <c r="AU133" s="208">
        <v>-275662.42000000004</v>
      </c>
      <c r="AV133" s="208">
        <v>-270149</v>
      </c>
      <c r="AW133" s="208">
        <v>0</v>
      </c>
      <c r="AX133" s="208">
        <v>-5513</v>
      </c>
      <c r="AY133" s="208">
        <v>-551324.42000000004</v>
      </c>
      <c r="AZ133" s="208">
        <v>127461</v>
      </c>
      <c r="BA133" s="208">
        <v>124912</v>
      </c>
      <c r="BB133" s="208">
        <v>0</v>
      </c>
      <c r="BC133" s="208">
        <v>2549</v>
      </c>
      <c r="BD133" s="208">
        <v>254922</v>
      </c>
      <c r="BE133" s="208">
        <v>-152655</v>
      </c>
      <c r="BF133" s="208">
        <v>-149601</v>
      </c>
      <c r="BG133" s="208">
        <v>0</v>
      </c>
      <c r="BH133" s="208">
        <v>-3053</v>
      </c>
      <c r="BI133" s="208">
        <v>-305309</v>
      </c>
      <c r="BJ133" s="208">
        <v>-300856.42000000004</v>
      </c>
      <c r="BK133" s="208">
        <v>-294838</v>
      </c>
      <c r="BL133" s="208">
        <v>0</v>
      </c>
      <c r="BM133" s="208">
        <v>-6017</v>
      </c>
      <c r="BN133" s="208">
        <v>-601711.42000000004</v>
      </c>
      <c r="BO133" s="208">
        <v>-3404343</v>
      </c>
      <c r="BP133" s="208">
        <v>-3336257</v>
      </c>
      <c r="BQ133" s="208">
        <v>0</v>
      </c>
      <c r="BR133" s="208">
        <v>-68087</v>
      </c>
      <c r="BS133" s="208">
        <v>-6808687</v>
      </c>
      <c r="BT133" s="208">
        <v>-1945058</v>
      </c>
      <c r="BU133" s="208">
        <v>-1906157</v>
      </c>
      <c r="BV133" s="208">
        <v>0</v>
      </c>
      <c r="BW133" s="208">
        <v>-38901</v>
      </c>
      <c r="BX133" s="208">
        <v>-3890116</v>
      </c>
      <c r="BY133" s="208">
        <v>-1459285</v>
      </c>
      <c r="BZ133" s="208">
        <v>-1430100</v>
      </c>
      <c r="CA133" s="208">
        <v>0</v>
      </c>
      <c r="CB133" s="208">
        <v>-29186</v>
      </c>
      <c r="CC133" s="208">
        <v>-2918571</v>
      </c>
      <c r="CD133" s="208">
        <v>254787</v>
      </c>
      <c r="CE133" s="208">
        <v>249691</v>
      </c>
      <c r="CF133" s="208">
        <v>0</v>
      </c>
      <c r="CG133" s="208">
        <v>5096</v>
      </c>
      <c r="CH133" s="208">
        <v>509574</v>
      </c>
      <c r="CI133" s="208">
        <v>0</v>
      </c>
      <c r="CJ133" s="208">
        <v>0</v>
      </c>
      <c r="CK133" s="208">
        <v>0</v>
      </c>
      <c r="CL133" s="208">
        <v>0</v>
      </c>
      <c r="CM133" s="208">
        <v>0</v>
      </c>
      <c r="CN133" s="208">
        <v>-247517</v>
      </c>
      <c r="CO133" s="208">
        <v>-242567</v>
      </c>
      <c r="CP133" s="208">
        <v>0</v>
      </c>
      <c r="CQ133" s="208">
        <v>-4950</v>
      </c>
      <c r="CR133" s="208">
        <v>-495034</v>
      </c>
      <c r="CS133" s="208">
        <v>-1010421</v>
      </c>
      <c r="CT133" s="208">
        <v>-990212</v>
      </c>
      <c r="CU133" s="208">
        <v>0</v>
      </c>
      <c r="CV133" s="208">
        <v>-20208</v>
      </c>
      <c r="CW133" s="208">
        <v>-2020841</v>
      </c>
      <c r="CX133" s="208">
        <v>-4407494</v>
      </c>
      <c r="CY133" s="208">
        <v>-4319345</v>
      </c>
      <c r="CZ133" s="208">
        <v>0</v>
      </c>
      <c r="DA133" s="208">
        <v>-88149</v>
      </c>
      <c r="DB133" s="208">
        <v>-8814988</v>
      </c>
      <c r="DC133" s="208">
        <v>-1937788</v>
      </c>
      <c r="DD133" s="208">
        <v>-1899033</v>
      </c>
      <c r="DE133" s="208">
        <v>0</v>
      </c>
      <c r="DF133" s="208">
        <v>-38755</v>
      </c>
      <c r="DG133" s="208">
        <v>-3875576</v>
      </c>
      <c r="DH133" s="208">
        <v>-2469706</v>
      </c>
      <c r="DI133" s="208">
        <v>-2420312</v>
      </c>
      <c r="DJ133" s="208">
        <v>0</v>
      </c>
      <c r="DK133" s="208">
        <v>-49394</v>
      </c>
      <c r="DL133" s="208">
        <v>-4939412</v>
      </c>
      <c r="DM133" s="208">
        <v>84648</v>
      </c>
      <c r="DN133" s="208">
        <v>82955</v>
      </c>
      <c r="DO133" s="208">
        <v>0</v>
      </c>
      <c r="DP133" s="208">
        <v>1693</v>
      </c>
      <c r="DQ133" s="208">
        <v>169296</v>
      </c>
      <c r="DR133" s="208">
        <v>-400382</v>
      </c>
      <c r="DS133" s="208">
        <v>-392375</v>
      </c>
      <c r="DT133" s="208">
        <v>0</v>
      </c>
      <c r="DU133" s="208">
        <v>-8008</v>
      </c>
      <c r="DV133" s="208">
        <v>-800765</v>
      </c>
      <c r="DW133" s="208">
        <v>485030</v>
      </c>
      <c r="DX133" s="208">
        <v>475330</v>
      </c>
      <c r="DY133" s="208">
        <v>0</v>
      </c>
      <c r="DZ133" s="208">
        <v>9701</v>
      </c>
      <c r="EA133" s="208">
        <v>970061</v>
      </c>
      <c r="EB133" s="208">
        <v>23032789</v>
      </c>
      <c r="EC133" s="208">
        <v>22572133</v>
      </c>
      <c r="ED133" s="208">
        <v>0</v>
      </c>
      <c r="EE133" s="208">
        <v>460656</v>
      </c>
      <c r="EF133" s="208">
        <v>46065578</v>
      </c>
      <c r="EG133" s="208">
        <v>22728954</v>
      </c>
      <c r="EH133" s="208">
        <v>22274374</v>
      </c>
      <c r="EI133" s="208">
        <v>0</v>
      </c>
      <c r="EJ133" s="208">
        <v>454579</v>
      </c>
      <c r="EK133" s="208">
        <v>45457907</v>
      </c>
      <c r="EL133" s="208">
        <v>-303835</v>
      </c>
      <c r="EM133" s="208">
        <v>-297759</v>
      </c>
      <c r="EN133" s="208">
        <v>0</v>
      </c>
      <c r="EO133" s="208">
        <v>-6077</v>
      </c>
      <c r="EP133" s="208">
        <v>-607671</v>
      </c>
      <c r="EQ133" s="208">
        <v>181195</v>
      </c>
      <c r="ER133" s="208">
        <v>177571</v>
      </c>
      <c r="ES133" s="208">
        <v>0</v>
      </c>
      <c r="ET133" s="208">
        <v>3624</v>
      </c>
      <c r="EU133" s="208">
        <v>362390</v>
      </c>
      <c r="EV133" s="666">
        <v>0.5</v>
      </c>
      <c r="EW133" s="666">
        <v>0.49</v>
      </c>
      <c r="EX133" s="666">
        <v>0</v>
      </c>
      <c r="EY133" s="666">
        <v>0.01</v>
      </c>
      <c r="EZ133" s="666">
        <v>1</v>
      </c>
      <c r="FA133" s="187" t="s">
        <v>742</v>
      </c>
      <c r="FC133" s="187">
        <v>0</v>
      </c>
    </row>
    <row r="134" spans="1:159" s="187" customFormat="1" x14ac:dyDescent="0.2">
      <c r="B134" s="429" t="s">
        <v>345</v>
      </c>
      <c r="C134" s="429" t="s">
        <v>344</v>
      </c>
      <c r="D134" s="208">
        <v>22333886</v>
      </c>
      <c r="E134" s="208">
        <v>17867108</v>
      </c>
      <c r="F134" s="208">
        <v>4466777</v>
      </c>
      <c r="G134" s="208">
        <v>0</v>
      </c>
      <c r="H134" s="208">
        <v>44667771</v>
      </c>
      <c r="I134" s="208">
        <v>0</v>
      </c>
      <c r="J134" s="208">
        <v>0</v>
      </c>
      <c r="K134" s="208">
        <v>22333886</v>
      </c>
      <c r="L134" s="208">
        <v>151694</v>
      </c>
      <c r="M134" s="208">
        <v>151694</v>
      </c>
      <c r="N134" s="208">
        <v>0</v>
      </c>
      <c r="O134" s="208">
        <v>0</v>
      </c>
      <c r="P134" s="208">
        <v>0</v>
      </c>
      <c r="Q134" s="208">
        <v>0</v>
      </c>
      <c r="R134" s="208">
        <v>0</v>
      </c>
      <c r="S134" s="208">
        <v>0</v>
      </c>
      <c r="T134" s="208">
        <v>0</v>
      </c>
      <c r="U134" s="208">
        <v>0</v>
      </c>
      <c r="V134" s="208">
        <v>0</v>
      </c>
      <c r="W134" s="208">
        <v>0</v>
      </c>
      <c r="X134" s="208">
        <v>0</v>
      </c>
      <c r="Y134" s="208">
        <v>0</v>
      </c>
      <c r="Z134" s="208">
        <v>0</v>
      </c>
      <c r="AA134" s="208">
        <v>0</v>
      </c>
      <c r="AB134" s="208">
        <v>0</v>
      </c>
      <c r="AC134" s="208">
        <v>0</v>
      </c>
      <c r="AD134" s="208">
        <v>0</v>
      </c>
      <c r="AE134" s="208">
        <v>0</v>
      </c>
      <c r="AF134" s="208">
        <v>0</v>
      </c>
      <c r="AG134" s="208">
        <v>1506143</v>
      </c>
      <c r="AH134" s="208">
        <v>376538</v>
      </c>
      <c r="AI134" s="208">
        <v>0</v>
      </c>
      <c r="AJ134" s="208">
        <v>1882681</v>
      </c>
      <c r="AK134" s="208">
        <v>881645</v>
      </c>
      <c r="AL134" s="208">
        <v>705316</v>
      </c>
      <c r="AM134" s="208">
        <v>176329</v>
      </c>
      <c r="AN134" s="208">
        <v>0</v>
      </c>
      <c r="AO134" s="208">
        <v>1763290</v>
      </c>
      <c r="AP134" s="208">
        <v>-546549</v>
      </c>
      <c r="AQ134" s="208">
        <v>-437240</v>
      </c>
      <c r="AR134" s="208">
        <v>-109310</v>
      </c>
      <c r="AS134" s="208">
        <v>0</v>
      </c>
      <c r="AT134" s="208">
        <v>-1093099</v>
      </c>
      <c r="AU134" s="208">
        <v>-185010.34999999998</v>
      </c>
      <c r="AV134" s="208">
        <v>-148008</v>
      </c>
      <c r="AW134" s="208">
        <v>-37002</v>
      </c>
      <c r="AX134" s="208">
        <v>0</v>
      </c>
      <c r="AY134" s="208">
        <v>-370020.35</v>
      </c>
      <c r="AZ134" s="208">
        <v>21652</v>
      </c>
      <c r="BA134" s="208">
        <v>17322</v>
      </c>
      <c r="BB134" s="208">
        <v>4331</v>
      </c>
      <c r="BC134" s="208">
        <v>0</v>
      </c>
      <c r="BD134" s="208">
        <v>43305</v>
      </c>
      <c r="BE134" s="208">
        <v>-145171</v>
      </c>
      <c r="BF134" s="208">
        <v>-116137</v>
      </c>
      <c r="BG134" s="208">
        <v>-29034</v>
      </c>
      <c r="BH134" s="208">
        <v>0</v>
      </c>
      <c r="BI134" s="208">
        <v>-290342</v>
      </c>
      <c r="BJ134" s="208">
        <v>-308529.34999999998</v>
      </c>
      <c r="BK134" s="208">
        <v>-246823</v>
      </c>
      <c r="BL134" s="208">
        <v>-61705</v>
      </c>
      <c r="BM134" s="208">
        <v>0</v>
      </c>
      <c r="BN134" s="208">
        <v>-617057.35</v>
      </c>
      <c r="BO134" s="208">
        <v>-3131793</v>
      </c>
      <c r="BP134" s="208">
        <v>-2505435</v>
      </c>
      <c r="BQ134" s="208">
        <v>-626359</v>
      </c>
      <c r="BR134" s="208">
        <v>0</v>
      </c>
      <c r="BS134" s="208">
        <v>-6263587</v>
      </c>
      <c r="BT134" s="208">
        <v>-1533299</v>
      </c>
      <c r="BU134" s="208">
        <v>-1226640</v>
      </c>
      <c r="BV134" s="208">
        <v>-306660</v>
      </c>
      <c r="BW134" s="208">
        <v>0</v>
      </c>
      <c r="BX134" s="208">
        <v>-3066599</v>
      </c>
      <c r="BY134" s="208">
        <v>-1598494</v>
      </c>
      <c r="BZ134" s="208">
        <v>-1278795</v>
      </c>
      <c r="CA134" s="208">
        <v>-319699</v>
      </c>
      <c r="CB134" s="208">
        <v>0</v>
      </c>
      <c r="CC134" s="208">
        <v>-3196988</v>
      </c>
      <c r="CD134" s="208">
        <v>412932</v>
      </c>
      <c r="CE134" s="208">
        <v>330345</v>
      </c>
      <c r="CF134" s="208">
        <v>82586</v>
      </c>
      <c r="CG134" s="208">
        <v>0</v>
      </c>
      <c r="CH134" s="208">
        <v>825863</v>
      </c>
      <c r="CI134" s="208">
        <v>0</v>
      </c>
      <c r="CJ134" s="208">
        <v>0</v>
      </c>
      <c r="CK134" s="208">
        <v>0</v>
      </c>
      <c r="CL134" s="208">
        <v>0</v>
      </c>
      <c r="CM134" s="208">
        <v>0</v>
      </c>
      <c r="CN134" s="208">
        <v>84932</v>
      </c>
      <c r="CO134" s="208">
        <v>67946</v>
      </c>
      <c r="CP134" s="208">
        <v>16987</v>
      </c>
      <c r="CQ134" s="208">
        <v>0</v>
      </c>
      <c r="CR134" s="208">
        <v>169865</v>
      </c>
      <c r="CS134" s="208">
        <v>-1643977</v>
      </c>
      <c r="CT134" s="208">
        <v>-1315181</v>
      </c>
      <c r="CU134" s="208">
        <v>-328795</v>
      </c>
      <c r="CV134" s="208">
        <v>0</v>
      </c>
      <c r="CW134" s="208">
        <v>-3287953</v>
      </c>
      <c r="CX134" s="208">
        <v>-4277906</v>
      </c>
      <c r="CY134" s="208">
        <v>-3422325</v>
      </c>
      <c r="CZ134" s="208">
        <v>-855581</v>
      </c>
      <c r="DA134" s="208">
        <v>0</v>
      </c>
      <c r="DB134" s="208">
        <v>-8555812</v>
      </c>
      <c r="DC134" s="208">
        <v>-1035435</v>
      </c>
      <c r="DD134" s="208">
        <v>-828349</v>
      </c>
      <c r="DE134" s="208">
        <v>-207087</v>
      </c>
      <c r="DF134" s="208">
        <v>0</v>
      </c>
      <c r="DG134" s="208">
        <v>-2070871</v>
      </c>
      <c r="DH134" s="208">
        <v>-3242471</v>
      </c>
      <c r="DI134" s="208">
        <v>-2593976</v>
      </c>
      <c r="DJ134" s="208">
        <v>-648494</v>
      </c>
      <c r="DK134" s="208">
        <v>0</v>
      </c>
      <c r="DL134" s="208">
        <v>-6484941</v>
      </c>
      <c r="DM134" s="208">
        <v>375154</v>
      </c>
      <c r="DN134" s="208">
        <v>300121</v>
      </c>
      <c r="DO134" s="208">
        <v>75031</v>
      </c>
      <c r="DP134" s="208">
        <v>0</v>
      </c>
      <c r="DQ134" s="208">
        <v>750306</v>
      </c>
      <c r="DR134" s="208">
        <v>802415</v>
      </c>
      <c r="DS134" s="208">
        <v>641932</v>
      </c>
      <c r="DT134" s="208">
        <v>160483</v>
      </c>
      <c r="DU134" s="208">
        <v>0</v>
      </c>
      <c r="DV134" s="208">
        <v>1604830</v>
      </c>
      <c r="DW134" s="208">
        <v>-427261</v>
      </c>
      <c r="DX134" s="208">
        <v>-341811</v>
      </c>
      <c r="DY134" s="208">
        <v>-85452</v>
      </c>
      <c r="DZ134" s="208">
        <v>0</v>
      </c>
      <c r="EA134" s="208">
        <v>-854524</v>
      </c>
      <c r="EB134" s="208">
        <v>22589266</v>
      </c>
      <c r="EC134" s="208">
        <v>18071413</v>
      </c>
      <c r="ED134" s="208">
        <v>4517853</v>
      </c>
      <c r="EE134" s="208">
        <v>0</v>
      </c>
      <c r="EF134" s="208">
        <v>45178532</v>
      </c>
      <c r="EG134" s="208">
        <v>22333886</v>
      </c>
      <c r="EH134" s="208">
        <v>17867108</v>
      </c>
      <c r="EI134" s="208">
        <v>4466777</v>
      </c>
      <c r="EJ134" s="208">
        <v>0</v>
      </c>
      <c r="EK134" s="208">
        <v>44667771</v>
      </c>
      <c r="EL134" s="208">
        <v>-255380</v>
      </c>
      <c r="EM134" s="208">
        <v>-204305</v>
      </c>
      <c r="EN134" s="208">
        <v>-51076</v>
      </c>
      <c r="EO134" s="208">
        <v>0</v>
      </c>
      <c r="EP134" s="208">
        <v>-510761</v>
      </c>
      <c r="EQ134" s="208">
        <v>-682641</v>
      </c>
      <c r="ER134" s="208">
        <v>-546116</v>
      </c>
      <c r="ES134" s="208">
        <v>-136528</v>
      </c>
      <c r="ET134" s="208">
        <v>0</v>
      </c>
      <c r="EU134" s="208">
        <v>-1365285</v>
      </c>
      <c r="EV134" s="666">
        <v>0.5</v>
      </c>
      <c r="EW134" s="666">
        <v>0.4</v>
      </c>
      <c r="EX134" s="666">
        <v>0.1</v>
      </c>
      <c r="EY134" s="666">
        <v>0</v>
      </c>
      <c r="EZ134" s="666">
        <v>1</v>
      </c>
      <c r="FA134" s="187" t="s">
        <v>1054</v>
      </c>
      <c r="FC134" s="187">
        <v>0</v>
      </c>
    </row>
    <row r="135" spans="1:159" s="187" customFormat="1" x14ac:dyDescent="0.2">
      <c r="B135" s="429" t="s">
        <v>347</v>
      </c>
      <c r="C135" s="429" t="s">
        <v>346</v>
      </c>
      <c r="D135" s="208">
        <v>0</v>
      </c>
      <c r="E135" s="208">
        <v>12853524</v>
      </c>
      <c r="F135" s="208">
        <v>12596454</v>
      </c>
      <c r="G135" s="208">
        <v>257070</v>
      </c>
      <c r="H135" s="208">
        <v>25707048</v>
      </c>
      <c r="I135" s="208">
        <v>0</v>
      </c>
      <c r="J135" s="208">
        <v>0</v>
      </c>
      <c r="K135" s="208">
        <v>0</v>
      </c>
      <c r="L135" s="208">
        <v>136210</v>
      </c>
      <c r="M135" s="208">
        <v>136210</v>
      </c>
      <c r="N135" s="208">
        <v>0</v>
      </c>
      <c r="O135" s="208">
        <v>0</v>
      </c>
      <c r="P135" s="208">
        <v>0</v>
      </c>
      <c r="Q135" s="208">
        <v>0</v>
      </c>
      <c r="R135" s="208">
        <v>0</v>
      </c>
      <c r="S135" s="208">
        <v>0</v>
      </c>
      <c r="T135" s="208">
        <v>0</v>
      </c>
      <c r="U135" s="208">
        <v>0</v>
      </c>
      <c r="V135" s="208">
        <v>0</v>
      </c>
      <c r="W135" s="208">
        <v>0</v>
      </c>
      <c r="X135" s="208">
        <v>0</v>
      </c>
      <c r="Y135" s="208">
        <v>0</v>
      </c>
      <c r="Z135" s="208">
        <v>0</v>
      </c>
      <c r="AA135" s="208">
        <v>0</v>
      </c>
      <c r="AB135" s="208">
        <v>0</v>
      </c>
      <c r="AC135" s="208">
        <v>0</v>
      </c>
      <c r="AD135" s="208">
        <v>0</v>
      </c>
      <c r="AE135" s="208">
        <v>0</v>
      </c>
      <c r="AF135" s="208">
        <v>0</v>
      </c>
      <c r="AG135" s="208">
        <v>1920090</v>
      </c>
      <c r="AH135" s="208">
        <v>1881687</v>
      </c>
      <c r="AI135" s="208">
        <v>38401</v>
      </c>
      <c r="AJ135" s="208">
        <v>3840178</v>
      </c>
      <c r="AK135" s="208">
        <v>0</v>
      </c>
      <c r="AL135" s="208">
        <v>557070</v>
      </c>
      <c r="AM135" s="208">
        <v>545928</v>
      </c>
      <c r="AN135" s="208">
        <v>11141</v>
      </c>
      <c r="AO135" s="208">
        <v>1114139</v>
      </c>
      <c r="AP135" s="208">
        <v>0</v>
      </c>
      <c r="AQ135" s="208">
        <v>-289012</v>
      </c>
      <c r="AR135" s="208">
        <v>-283232</v>
      </c>
      <c r="AS135" s="208">
        <v>-5780</v>
      </c>
      <c r="AT135" s="208">
        <v>-578024</v>
      </c>
      <c r="AU135" s="208">
        <v>0</v>
      </c>
      <c r="AV135" s="208">
        <v>-398585</v>
      </c>
      <c r="AW135" s="208">
        <v>-390613</v>
      </c>
      <c r="AX135" s="208">
        <v>-7972</v>
      </c>
      <c r="AY135" s="208">
        <v>-797170</v>
      </c>
      <c r="AZ135" s="208">
        <v>-1</v>
      </c>
      <c r="BA135" s="208">
        <v>25083</v>
      </c>
      <c r="BB135" s="208">
        <v>24581</v>
      </c>
      <c r="BC135" s="208">
        <v>502</v>
      </c>
      <c r="BD135" s="208">
        <v>50165</v>
      </c>
      <c r="BE135" s="208">
        <v>1</v>
      </c>
      <c r="BF135" s="208">
        <v>-68446</v>
      </c>
      <c r="BG135" s="208">
        <v>-67077</v>
      </c>
      <c r="BH135" s="208">
        <v>-1369</v>
      </c>
      <c r="BI135" s="208">
        <v>-136891</v>
      </c>
      <c r="BJ135" s="208">
        <v>0</v>
      </c>
      <c r="BK135" s="208">
        <v>-441948</v>
      </c>
      <c r="BL135" s="208">
        <v>-433109</v>
      </c>
      <c r="BM135" s="208">
        <v>-8839</v>
      </c>
      <c r="BN135" s="208">
        <v>-883896</v>
      </c>
      <c r="BO135" s="208">
        <v>1</v>
      </c>
      <c r="BP135" s="208">
        <v>-762688</v>
      </c>
      <c r="BQ135" s="208">
        <v>-747434</v>
      </c>
      <c r="BR135" s="208">
        <v>-15254</v>
      </c>
      <c r="BS135" s="208">
        <v>-1525375</v>
      </c>
      <c r="BT135" s="208">
        <v>0</v>
      </c>
      <c r="BU135" s="208">
        <v>-171836</v>
      </c>
      <c r="BV135" s="208">
        <v>-168399</v>
      </c>
      <c r="BW135" s="208">
        <v>-3437</v>
      </c>
      <c r="BX135" s="208">
        <v>-343672</v>
      </c>
      <c r="BY135" s="208">
        <v>0</v>
      </c>
      <c r="BZ135" s="208">
        <v>-590852</v>
      </c>
      <c r="CA135" s="208">
        <v>-579034</v>
      </c>
      <c r="CB135" s="208">
        <v>-11817</v>
      </c>
      <c r="CC135" s="208">
        <v>-1181703</v>
      </c>
      <c r="CD135" s="208">
        <v>-1</v>
      </c>
      <c r="CE135" s="208">
        <v>32827</v>
      </c>
      <c r="CF135" s="208">
        <v>32170</v>
      </c>
      <c r="CG135" s="208">
        <v>657</v>
      </c>
      <c r="CH135" s="208">
        <v>65653</v>
      </c>
      <c r="CI135" s="208">
        <v>0</v>
      </c>
      <c r="CJ135" s="208">
        <v>5909</v>
      </c>
      <c r="CK135" s="208">
        <v>5790</v>
      </c>
      <c r="CL135" s="208">
        <v>118</v>
      </c>
      <c r="CM135" s="208">
        <v>11817</v>
      </c>
      <c r="CN135" s="208">
        <v>0</v>
      </c>
      <c r="CO135" s="208">
        <v>-203953</v>
      </c>
      <c r="CP135" s="208">
        <v>-199873</v>
      </c>
      <c r="CQ135" s="208">
        <v>-4079</v>
      </c>
      <c r="CR135" s="208">
        <v>-407905</v>
      </c>
      <c r="CS135" s="208">
        <v>0</v>
      </c>
      <c r="CT135" s="208">
        <v>-619546</v>
      </c>
      <c r="CU135" s="208">
        <v>-607155</v>
      </c>
      <c r="CV135" s="208">
        <v>-12391</v>
      </c>
      <c r="CW135" s="208">
        <v>-1239092</v>
      </c>
      <c r="CX135" s="208">
        <v>0</v>
      </c>
      <c r="CY135" s="208">
        <v>-1547451</v>
      </c>
      <c r="CZ135" s="208">
        <v>-1516502</v>
      </c>
      <c r="DA135" s="208">
        <v>-30949</v>
      </c>
      <c r="DB135" s="208">
        <v>-3094902</v>
      </c>
      <c r="DC135" s="208">
        <v>-1</v>
      </c>
      <c r="DD135" s="208">
        <v>-342962</v>
      </c>
      <c r="DE135" s="208">
        <v>-336102</v>
      </c>
      <c r="DF135" s="208">
        <v>-6859</v>
      </c>
      <c r="DG135" s="208">
        <v>-685924</v>
      </c>
      <c r="DH135" s="208">
        <v>0</v>
      </c>
      <c r="DI135" s="208">
        <v>-1204489</v>
      </c>
      <c r="DJ135" s="208">
        <v>-1180399</v>
      </c>
      <c r="DK135" s="208">
        <v>-24090</v>
      </c>
      <c r="DL135" s="208">
        <v>-2408978</v>
      </c>
      <c r="DM135" s="208">
        <v>-1089694</v>
      </c>
      <c r="DN135" s="208">
        <v>-871757</v>
      </c>
      <c r="DO135" s="208">
        <v>-196146</v>
      </c>
      <c r="DP135" s="208">
        <v>-21794</v>
      </c>
      <c r="DQ135" s="208">
        <v>-2179391</v>
      </c>
      <c r="DR135" s="208">
        <v>-1334297</v>
      </c>
      <c r="DS135" s="208">
        <v>-1067438</v>
      </c>
      <c r="DT135" s="208">
        <v>-240174</v>
      </c>
      <c r="DU135" s="208">
        <v>-26686</v>
      </c>
      <c r="DV135" s="208">
        <v>-2668595</v>
      </c>
      <c r="DW135" s="208">
        <v>244603</v>
      </c>
      <c r="DX135" s="208">
        <v>195681</v>
      </c>
      <c r="DY135" s="208">
        <v>44028</v>
      </c>
      <c r="DZ135" s="208">
        <v>4892</v>
      </c>
      <c r="EA135" s="208">
        <v>489204</v>
      </c>
      <c r="EB135" s="208">
        <v>0</v>
      </c>
      <c r="EC135" s="208">
        <v>13008892</v>
      </c>
      <c r="ED135" s="208">
        <v>12748714</v>
      </c>
      <c r="EE135" s="208">
        <v>260178</v>
      </c>
      <c r="EF135" s="208">
        <v>26017784</v>
      </c>
      <c r="EG135" s="208">
        <v>0</v>
      </c>
      <c r="EH135" s="208">
        <v>12853524</v>
      </c>
      <c r="EI135" s="208">
        <v>12596454</v>
      </c>
      <c r="EJ135" s="208">
        <v>257070</v>
      </c>
      <c r="EK135" s="208">
        <v>25707048</v>
      </c>
      <c r="EL135" s="208">
        <v>0</v>
      </c>
      <c r="EM135" s="208">
        <v>-155368</v>
      </c>
      <c r="EN135" s="208">
        <v>-152260</v>
      </c>
      <c r="EO135" s="208">
        <v>-3108</v>
      </c>
      <c r="EP135" s="208">
        <v>-310736</v>
      </c>
      <c r="EQ135" s="208">
        <v>244603</v>
      </c>
      <c r="ER135" s="208">
        <v>40313</v>
      </c>
      <c r="ES135" s="208">
        <v>-108232</v>
      </c>
      <c r="ET135" s="208">
        <v>1784</v>
      </c>
      <c r="EU135" s="208">
        <v>178468</v>
      </c>
      <c r="EV135" s="666">
        <v>0</v>
      </c>
      <c r="EW135" s="666">
        <v>0.5</v>
      </c>
      <c r="EX135" s="666">
        <v>0.49</v>
      </c>
      <c r="EY135" s="666">
        <v>0.01</v>
      </c>
      <c r="EZ135" s="666">
        <v>1</v>
      </c>
      <c r="FA135" s="187" t="s">
        <v>1054</v>
      </c>
      <c r="FC135" s="187">
        <v>0</v>
      </c>
    </row>
    <row r="136" spans="1:159" s="187" customFormat="1" x14ac:dyDescent="0.2">
      <c r="B136" s="429" t="s">
        <v>349</v>
      </c>
      <c r="C136" s="429" t="s">
        <v>348</v>
      </c>
      <c r="D136" s="208">
        <v>0</v>
      </c>
      <c r="E136" s="208">
        <v>234322309</v>
      </c>
      <c r="F136" s="208">
        <v>131806299</v>
      </c>
      <c r="G136" s="208">
        <v>0</v>
      </c>
      <c r="H136" s="208">
        <v>366128608</v>
      </c>
      <c r="I136" s="208">
        <v>0</v>
      </c>
      <c r="J136" s="208">
        <v>0</v>
      </c>
      <c r="K136" s="208">
        <v>0</v>
      </c>
      <c r="L136" s="208">
        <v>574046</v>
      </c>
      <c r="M136" s="208">
        <v>574046</v>
      </c>
      <c r="N136" s="208">
        <v>0</v>
      </c>
      <c r="O136" s="208">
        <v>0</v>
      </c>
      <c r="P136" s="208">
        <v>0</v>
      </c>
      <c r="Q136" s="208">
        <v>0</v>
      </c>
      <c r="R136" s="208">
        <v>0</v>
      </c>
      <c r="S136" s="208">
        <v>0</v>
      </c>
      <c r="T136" s="208">
        <v>0</v>
      </c>
      <c r="U136" s="208">
        <v>0</v>
      </c>
      <c r="V136" s="208">
        <v>0</v>
      </c>
      <c r="W136" s="208">
        <v>0</v>
      </c>
      <c r="X136" s="208">
        <v>0</v>
      </c>
      <c r="Y136" s="208">
        <v>0</v>
      </c>
      <c r="Z136" s="208">
        <v>0</v>
      </c>
      <c r="AA136" s="208">
        <v>0</v>
      </c>
      <c r="AB136" s="208">
        <v>0</v>
      </c>
      <c r="AC136" s="208">
        <v>0</v>
      </c>
      <c r="AD136" s="208">
        <v>0</v>
      </c>
      <c r="AE136" s="208">
        <v>0</v>
      </c>
      <c r="AF136" s="208">
        <v>0</v>
      </c>
      <c r="AG136" s="208">
        <v>9217736</v>
      </c>
      <c r="AH136" s="208">
        <v>5184978</v>
      </c>
      <c r="AI136" s="208">
        <v>0</v>
      </c>
      <c r="AJ136" s="208">
        <v>14402714</v>
      </c>
      <c r="AK136" s="208">
        <v>0</v>
      </c>
      <c r="AL136" s="208">
        <v>5265729</v>
      </c>
      <c r="AM136" s="208">
        <v>2961972</v>
      </c>
      <c r="AN136" s="208">
        <v>0</v>
      </c>
      <c r="AO136" s="208">
        <v>8227701</v>
      </c>
      <c r="AP136" s="208">
        <v>0</v>
      </c>
      <c r="AQ136" s="208">
        <v>-9057076</v>
      </c>
      <c r="AR136" s="208">
        <v>-5094605</v>
      </c>
      <c r="AS136" s="208">
        <v>0</v>
      </c>
      <c r="AT136" s="208">
        <v>-14151681</v>
      </c>
      <c r="AU136" s="208">
        <v>0</v>
      </c>
      <c r="AV136" s="208">
        <v>-128040</v>
      </c>
      <c r="AW136" s="208">
        <v>-72022</v>
      </c>
      <c r="AX136" s="208">
        <v>0</v>
      </c>
      <c r="AY136" s="208">
        <v>-200062</v>
      </c>
      <c r="AZ136" s="208">
        <v>0</v>
      </c>
      <c r="BA136" s="208">
        <v>1273781</v>
      </c>
      <c r="BB136" s="208">
        <v>716502</v>
      </c>
      <c r="BC136" s="208">
        <v>0</v>
      </c>
      <c r="BD136" s="208">
        <v>1990283</v>
      </c>
      <c r="BE136" s="208">
        <v>0</v>
      </c>
      <c r="BF136" s="208">
        <v>577462</v>
      </c>
      <c r="BG136" s="208">
        <v>324822</v>
      </c>
      <c r="BH136" s="208">
        <v>0</v>
      </c>
      <c r="BI136" s="208">
        <v>902284</v>
      </c>
      <c r="BJ136" s="208">
        <v>0</v>
      </c>
      <c r="BK136" s="208">
        <v>1723203</v>
      </c>
      <c r="BL136" s="208">
        <v>969302</v>
      </c>
      <c r="BM136" s="208">
        <v>0</v>
      </c>
      <c r="BN136" s="208">
        <v>2692505</v>
      </c>
      <c r="BO136" s="208">
        <v>0</v>
      </c>
      <c r="BP136" s="208">
        <v>-3258830</v>
      </c>
      <c r="BQ136" s="208">
        <v>-1833092</v>
      </c>
      <c r="BR136" s="208">
        <v>0</v>
      </c>
      <c r="BS136" s="208">
        <v>-5091922</v>
      </c>
      <c r="BT136" s="208">
        <v>0</v>
      </c>
      <c r="BU136" s="208">
        <v>0</v>
      </c>
      <c r="BV136" s="208">
        <v>0</v>
      </c>
      <c r="BW136" s="208">
        <v>0</v>
      </c>
      <c r="BX136" s="208">
        <v>0</v>
      </c>
      <c r="BY136" s="208">
        <v>0</v>
      </c>
      <c r="BZ136" s="208">
        <v>-3258830</v>
      </c>
      <c r="CA136" s="208">
        <v>-1833092</v>
      </c>
      <c r="CB136" s="208">
        <v>0</v>
      </c>
      <c r="CC136" s="208">
        <v>-5091922</v>
      </c>
      <c r="CD136" s="208">
        <v>0</v>
      </c>
      <c r="CE136" s="208">
        <v>1985599</v>
      </c>
      <c r="CF136" s="208">
        <v>1116900</v>
      </c>
      <c r="CG136" s="208">
        <v>0</v>
      </c>
      <c r="CH136" s="208">
        <v>3102499</v>
      </c>
      <c r="CI136" s="208">
        <v>0</v>
      </c>
      <c r="CJ136" s="208">
        <v>0</v>
      </c>
      <c r="CK136" s="208">
        <v>0</v>
      </c>
      <c r="CL136" s="208">
        <v>0</v>
      </c>
      <c r="CM136" s="208">
        <v>0</v>
      </c>
      <c r="CN136" s="208">
        <v>0</v>
      </c>
      <c r="CO136" s="208">
        <v>-568117</v>
      </c>
      <c r="CP136" s="208">
        <v>-319566</v>
      </c>
      <c r="CQ136" s="208">
        <v>0</v>
      </c>
      <c r="CR136" s="208">
        <v>-887683</v>
      </c>
      <c r="CS136" s="208">
        <v>0</v>
      </c>
      <c r="CT136" s="208">
        <v>0</v>
      </c>
      <c r="CU136" s="208">
        <v>0</v>
      </c>
      <c r="CV136" s="208">
        <v>0</v>
      </c>
      <c r="CW136" s="208">
        <v>0</v>
      </c>
      <c r="CX136" s="208">
        <v>0</v>
      </c>
      <c r="CY136" s="208">
        <v>-1841348</v>
      </c>
      <c r="CZ136" s="208">
        <v>-1035758</v>
      </c>
      <c r="DA136" s="208">
        <v>0</v>
      </c>
      <c r="DB136" s="208">
        <v>-2877106</v>
      </c>
      <c r="DC136" s="208">
        <v>0</v>
      </c>
      <c r="DD136" s="208">
        <v>1417482</v>
      </c>
      <c r="DE136" s="208">
        <v>797334</v>
      </c>
      <c r="DF136" s="208">
        <v>0</v>
      </c>
      <c r="DG136" s="208">
        <v>2214816</v>
      </c>
      <c r="DH136" s="208">
        <v>0</v>
      </c>
      <c r="DI136" s="208">
        <v>-3258830</v>
      </c>
      <c r="DJ136" s="208">
        <v>-1833092</v>
      </c>
      <c r="DK136" s="208">
        <v>0</v>
      </c>
      <c r="DL136" s="208">
        <v>-5091922</v>
      </c>
      <c r="DM136" s="208">
        <v>-2300711</v>
      </c>
      <c r="DN136" s="208">
        <v>-1588390</v>
      </c>
      <c r="DO136" s="208">
        <v>-1405532</v>
      </c>
      <c r="DP136" s="208">
        <v>0</v>
      </c>
      <c r="DQ136" s="208">
        <v>-5294633</v>
      </c>
      <c r="DR136" s="208">
        <v>-1342720</v>
      </c>
      <c r="DS136" s="208">
        <v>-717300</v>
      </c>
      <c r="DT136" s="208">
        <v>-330980</v>
      </c>
      <c r="DU136" s="208">
        <v>0</v>
      </c>
      <c r="DV136" s="208">
        <v>-2391000</v>
      </c>
      <c r="DW136" s="208">
        <v>-957991</v>
      </c>
      <c r="DX136" s="208">
        <v>-871090</v>
      </c>
      <c r="DY136" s="208">
        <v>-1074552</v>
      </c>
      <c r="DZ136" s="208">
        <v>0</v>
      </c>
      <c r="EA136" s="208">
        <v>-2903633</v>
      </c>
      <c r="EB136" s="208">
        <v>0</v>
      </c>
      <c r="EC136" s="208">
        <v>233753757</v>
      </c>
      <c r="ED136" s="208">
        <v>131486488</v>
      </c>
      <c r="EE136" s="208">
        <v>0</v>
      </c>
      <c r="EF136" s="208">
        <v>365240245</v>
      </c>
      <c r="EG136" s="208">
        <v>0</v>
      </c>
      <c r="EH136" s="208">
        <v>234322309</v>
      </c>
      <c r="EI136" s="208">
        <v>131806299</v>
      </c>
      <c r="EJ136" s="208">
        <v>0</v>
      </c>
      <c r="EK136" s="208">
        <v>366128608</v>
      </c>
      <c r="EL136" s="208">
        <v>0</v>
      </c>
      <c r="EM136" s="208">
        <v>568552</v>
      </c>
      <c r="EN136" s="208">
        <v>319811</v>
      </c>
      <c r="EO136" s="208">
        <v>0</v>
      </c>
      <c r="EP136" s="208">
        <v>888363</v>
      </c>
      <c r="EQ136" s="208">
        <v>-957991</v>
      </c>
      <c r="ER136" s="208">
        <v>-302538</v>
      </c>
      <c r="ES136" s="208">
        <v>-754741</v>
      </c>
      <c r="ET136" s="208">
        <v>0</v>
      </c>
      <c r="EU136" s="208">
        <v>-2015270</v>
      </c>
      <c r="EV136" s="666">
        <v>0</v>
      </c>
      <c r="EW136" s="666">
        <v>0.64</v>
      </c>
      <c r="EX136" s="666">
        <v>0.36</v>
      </c>
      <c r="EY136" s="666">
        <v>0</v>
      </c>
      <c r="EZ136" s="666">
        <v>1</v>
      </c>
      <c r="FA136" s="187" t="s">
        <v>1055</v>
      </c>
      <c r="FC136" s="187">
        <v>0</v>
      </c>
    </row>
    <row r="137" spans="1:159" s="187" customFormat="1" x14ac:dyDescent="0.2">
      <c r="A137" s="188"/>
      <c r="B137" s="429" t="s">
        <v>351</v>
      </c>
      <c r="C137" s="429" t="s">
        <v>350</v>
      </c>
      <c r="D137" s="208">
        <v>16091411</v>
      </c>
      <c r="E137" s="208">
        <v>12873128</v>
      </c>
      <c r="F137" s="208">
        <v>2896454</v>
      </c>
      <c r="G137" s="208">
        <v>321828</v>
      </c>
      <c r="H137" s="208">
        <v>32182821</v>
      </c>
      <c r="I137" s="208">
        <v>224049</v>
      </c>
      <c r="J137" s="208">
        <v>224049</v>
      </c>
      <c r="K137" s="208">
        <v>15867362</v>
      </c>
      <c r="L137" s="208">
        <v>126266</v>
      </c>
      <c r="M137" s="208">
        <v>126266</v>
      </c>
      <c r="N137" s="208">
        <v>80136</v>
      </c>
      <c r="O137" s="208">
        <v>80136</v>
      </c>
      <c r="P137" s="208">
        <v>78899</v>
      </c>
      <c r="Q137" s="208">
        <v>0</v>
      </c>
      <c r="R137" s="208">
        <v>78899</v>
      </c>
      <c r="S137" s="208">
        <v>0</v>
      </c>
      <c r="T137" s="208">
        <v>0</v>
      </c>
      <c r="U137" s="208">
        <v>0</v>
      </c>
      <c r="V137" s="208">
        <v>0</v>
      </c>
      <c r="W137" s="208">
        <v>224049.4375</v>
      </c>
      <c r="X137" s="208">
        <v>0</v>
      </c>
      <c r="Y137" s="208">
        <v>0</v>
      </c>
      <c r="Z137" s="208">
        <v>224049.4375</v>
      </c>
      <c r="AA137" s="208">
        <v>0</v>
      </c>
      <c r="AB137" s="208">
        <v>0</v>
      </c>
      <c r="AC137" s="208">
        <v>0</v>
      </c>
      <c r="AD137" s="208">
        <v>0</v>
      </c>
      <c r="AE137" s="208">
        <v>0</v>
      </c>
      <c r="AF137" s="208">
        <v>0</v>
      </c>
      <c r="AG137" s="208">
        <v>1459924</v>
      </c>
      <c r="AH137" s="208">
        <v>327278</v>
      </c>
      <c r="AI137" s="208">
        <v>36363</v>
      </c>
      <c r="AJ137" s="208">
        <v>1823565</v>
      </c>
      <c r="AK137" s="208">
        <v>159707</v>
      </c>
      <c r="AL137" s="208">
        <v>127765</v>
      </c>
      <c r="AM137" s="208">
        <v>28747</v>
      </c>
      <c r="AN137" s="208">
        <v>3194</v>
      </c>
      <c r="AO137" s="208">
        <v>319413</v>
      </c>
      <c r="AP137" s="208">
        <v>-270084</v>
      </c>
      <c r="AQ137" s="208">
        <v>-216068</v>
      </c>
      <c r="AR137" s="208">
        <v>-48615</v>
      </c>
      <c r="AS137" s="208">
        <v>-5402</v>
      </c>
      <c r="AT137" s="208">
        <v>-540169</v>
      </c>
      <c r="AU137" s="208">
        <v>-22045</v>
      </c>
      <c r="AV137" s="208">
        <v>-17636</v>
      </c>
      <c r="AW137" s="208">
        <v>-3968</v>
      </c>
      <c r="AX137" s="208">
        <v>-441</v>
      </c>
      <c r="AY137" s="208">
        <v>-44090</v>
      </c>
      <c r="AZ137" s="208">
        <v>22045</v>
      </c>
      <c r="BA137" s="208">
        <v>17636</v>
      </c>
      <c r="BB137" s="208">
        <v>3968</v>
      </c>
      <c r="BC137" s="208">
        <v>441</v>
      </c>
      <c r="BD137" s="208">
        <v>44090</v>
      </c>
      <c r="BE137" s="208">
        <v>-27481</v>
      </c>
      <c r="BF137" s="208">
        <v>-21986</v>
      </c>
      <c r="BG137" s="208">
        <v>-4947</v>
      </c>
      <c r="BH137" s="208">
        <v>-550</v>
      </c>
      <c r="BI137" s="208">
        <v>-54964</v>
      </c>
      <c r="BJ137" s="208">
        <v>-27481</v>
      </c>
      <c r="BK137" s="208">
        <v>-21986</v>
      </c>
      <c r="BL137" s="208">
        <v>-4947</v>
      </c>
      <c r="BM137" s="208">
        <v>-550</v>
      </c>
      <c r="BN137" s="208">
        <v>-54964</v>
      </c>
      <c r="BO137" s="208">
        <v>-1482986</v>
      </c>
      <c r="BP137" s="208">
        <v>-1186389</v>
      </c>
      <c r="BQ137" s="208">
        <v>-266938</v>
      </c>
      <c r="BR137" s="208">
        <v>-29660</v>
      </c>
      <c r="BS137" s="208">
        <v>-2965973</v>
      </c>
      <c r="BT137" s="208">
        <v>-768393</v>
      </c>
      <c r="BU137" s="208">
        <v>-614715</v>
      </c>
      <c r="BV137" s="208">
        <v>-138311</v>
      </c>
      <c r="BW137" s="208">
        <v>-15368</v>
      </c>
      <c r="BX137" s="208">
        <v>-1536787</v>
      </c>
      <c r="BY137" s="208">
        <v>-714593</v>
      </c>
      <c r="BZ137" s="208">
        <v>-571674</v>
      </c>
      <c r="CA137" s="208">
        <v>-128627</v>
      </c>
      <c r="CB137" s="208">
        <v>-14292</v>
      </c>
      <c r="CC137" s="208">
        <v>-1429186</v>
      </c>
      <c r="CD137" s="208">
        <v>254592</v>
      </c>
      <c r="CE137" s="208">
        <v>203673</v>
      </c>
      <c r="CF137" s="208">
        <v>45826</v>
      </c>
      <c r="CG137" s="208">
        <v>5092</v>
      </c>
      <c r="CH137" s="208">
        <v>509183</v>
      </c>
      <c r="CI137" s="208">
        <v>14428</v>
      </c>
      <c r="CJ137" s="208">
        <v>11543</v>
      </c>
      <c r="CK137" s="208">
        <v>2597</v>
      </c>
      <c r="CL137" s="208">
        <v>289</v>
      </c>
      <c r="CM137" s="208">
        <v>28857</v>
      </c>
      <c r="CN137" s="208">
        <v>10925</v>
      </c>
      <c r="CO137" s="208">
        <v>8740</v>
      </c>
      <c r="CP137" s="208">
        <v>1966</v>
      </c>
      <c r="CQ137" s="208">
        <v>218</v>
      </c>
      <c r="CR137" s="208">
        <v>21849</v>
      </c>
      <c r="CS137" s="208">
        <v>-488886</v>
      </c>
      <c r="CT137" s="208">
        <v>-391110</v>
      </c>
      <c r="CU137" s="208">
        <v>-88000</v>
      </c>
      <c r="CV137" s="208">
        <v>-9778</v>
      </c>
      <c r="CW137" s="208">
        <v>-977774</v>
      </c>
      <c r="CX137" s="208">
        <v>-1691927</v>
      </c>
      <c r="CY137" s="208">
        <v>-1353543</v>
      </c>
      <c r="CZ137" s="208">
        <v>-304549</v>
      </c>
      <c r="DA137" s="208">
        <v>-33839</v>
      </c>
      <c r="DB137" s="208">
        <v>-3383858</v>
      </c>
      <c r="DC137" s="208">
        <v>-502876</v>
      </c>
      <c r="DD137" s="208">
        <v>-402302</v>
      </c>
      <c r="DE137" s="208">
        <v>-90519</v>
      </c>
      <c r="DF137" s="208">
        <v>-10058</v>
      </c>
      <c r="DG137" s="208">
        <v>-1005755</v>
      </c>
      <c r="DH137" s="208">
        <v>-1189051</v>
      </c>
      <c r="DI137" s="208">
        <v>-951241</v>
      </c>
      <c r="DJ137" s="208">
        <v>-214030</v>
      </c>
      <c r="DK137" s="208">
        <v>-23781</v>
      </c>
      <c r="DL137" s="208">
        <v>-2378103</v>
      </c>
      <c r="DM137" s="208">
        <v>-187748</v>
      </c>
      <c r="DN137" s="208">
        <v>-150198</v>
      </c>
      <c r="DO137" s="208">
        <v>-33795</v>
      </c>
      <c r="DP137" s="208">
        <v>-3755</v>
      </c>
      <c r="DQ137" s="208">
        <v>-375496</v>
      </c>
      <c r="DR137" s="208">
        <v>-375670</v>
      </c>
      <c r="DS137" s="208">
        <v>-300536</v>
      </c>
      <c r="DT137" s="208">
        <v>-67621</v>
      </c>
      <c r="DU137" s="208">
        <v>-7513</v>
      </c>
      <c r="DV137" s="208">
        <v>-751340</v>
      </c>
      <c r="DW137" s="208">
        <v>187922</v>
      </c>
      <c r="DX137" s="208">
        <v>150338</v>
      </c>
      <c r="DY137" s="208">
        <v>33826</v>
      </c>
      <c r="DZ137" s="208">
        <v>3758</v>
      </c>
      <c r="EA137" s="208">
        <v>375844</v>
      </c>
      <c r="EB137" s="208">
        <v>16320207</v>
      </c>
      <c r="EC137" s="208">
        <v>13056165</v>
      </c>
      <c r="ED137" s="208">
        <v>2937637</v>
      </c>
      <c r="EE137" s="208">
        <v>326404</v>
      </c>
      <c r="EF137" s="208">
        <v>32640413</v>
      </c>
      <c r="EG137" s="208">
        <v>16091411</v>
      </c>
      <c r="EH137" s="208">
        <v>12873128</v>
      </c>
      <c r="EI137" s="208">
        <v>2896454</v>
      </c>
      <c r="EJ137" s="208">
        <v>321828</v>
      </c>
      <c r="EK137" s="208">
        <v>32182821</v>
      </c>
      <c r="EL137" s="208">
        <v>-228796</v>
      </c>
      <c r="EM137" s="208">
        <v>-183037</v>
      </c>
      <c r="EN137" s="208">
        <v>-41183</v>
      </c>
      <c r="EO137" s="208">
        <v>-4576</v>
      </c>
      <c r="EP137" s="208">
        <v>-457592</v>
      </c>
      <c r="EQ137" s="208">
        <v>-40874</v>
      </c>
      <c r="ER137" s="208">
        <v>-32699</v>
      </c>
      <c r="ES137" s="208">
        <v>-7357</v>
      </c>
      <c r="ET137" s="208">
        <v>-818</v>
      </c>
      <c r="EU137" s="208">
        <v>-81748</v>
      </c>
      <c r="EV137" s="666">
        <v>0.5</v>
      </c>
      <c r="EW137" s="666">
        <v>0.4</v>
      </c>
      <c r="EX137" s="666">
        <v>0.09</v>
      </c>
      <c r="EY137" s="666">
        <v>0.01</v>
      </c>
      <c r="EZ137" s="666">
        <v>1</v>
      </c>
      <c r="FA137" s="187" t="s">
        <v>1054</v>
      </c>
      <c r="FC137" s="187">
        <v>0</v>
      </c>
    </row>
    <row r="138" spans="1:159" s="187" customFormat="1" x14ac:dyDescent="0.2">
      <c r="B138" s="429" t="s">
        <v>353</v>
      </c>
      <c r="C138" s="429" t="s">
        <v>352</v>
      </c>
      <c r="D138" s="208">
        <v>20827037</v>
      </c>
      <c r="E138" s="208">
        <v>16661629</v>
      </c>
      <c r="F138" s="208">
        <v>4165407</v>
      </c>
      <c r="G138" s="208">
        <v>0</v>
      </c>
      <c r="H138" s="208">
        <v>41654073</v>
      </c>
      <c r="I138" s="208">
        <v>0</v>
      </c>
      <c r="J138" s="208">
        <v>0</v>
      </c>
      <c r="K138" s="208">
        <v>20827037</v>
      </c>
      <c r="L138" s="208">
        <v>180268</v>
      </c>
      <c r="M138" s="208">
        <v>180268</v>
      </c>
      <c r="N138" s="208">
        <v>0</v>
      </c>
      <c r="O138" s="208">
        <v>0</v>
      </c>
      <c r="P138" s="208">
        <v>0</v>
      </c>
      <c r="Q138" s="208">
        <v>0</v>
      </c>
      <c r="R138" s="208">
        <v>0</v>
      </c>
      <c r="S138" s="208">
        <v>0</v>
      </c>
      <c r="T138" s="208">
        <v>0</v>
      </c>
      <c r="U138" s="208">
        <v>0</v>
      </c>
      <c r="V138" s="208">
        <v>0</v>
      </c>
      <c r="W138" s="208">
        <v>0</v>
      </c>
      <c r="X138" s="208">
        <v>0</v>
      </c>
      <c r="Y138" s="208">
        <v>0</v>
      </c>
      <c r="Z138" s="208">
        <v>0</v>
      </c>
      <c r="AA138" s="208">
        <v>0</v>
      </c>
      <c r="AB138" s="208">
        <v>0</v>
      </c>
      <c r="AC138" s="208">
        <v>0</v>
      </c>
      <c r="AD138" s="208">
        <v>0</v>
      </c>
      <c r="AE138" s="208">
        <v>0</v>
      </c>
      <c r="AF138" s="208">
        <v>0</v>
      </c>
      <c r="AG138" s="208">
        <v>2085868</v>
      </c>
      <c r="AH138" s="208">
        <v>521465</v>
      </c>
      <c r="AI138" s="208">
        <v>0</v>
      </c>
      <c r="AJ138" s="208">
        <v>2607333</v>
      </c>
      <c r="AK138" s="208">
        <v>1267712</v>
      </c>
      <c r="AL138" s="208">
        <v>1014170</v>
      </c>
      <c r="AM138" s="208">
        <v>253543</v>
      </c>
      <c r="AN138" s="208">
        <v>0</v>
      </c>
      <c r="AO138" s="208">
        <v>2535425</v>
      </c>
      <c r="AP138" s="208">
        <v>-1127973</v>
      </c>
      <c r="AQ138" s="208">
        <v>-902378</v>
      </c>
      <c r="AR138" s="208">
        <v>-225595</v>
      </c>
      <c r="AS138" s="208">
        <v>0</v>
      </c>
      <c r="AT138" s="208">
        <v>-2255946</v>
      </c>
      <c r="AU138" s="208">
        <v>-494443</v>
      </c>
      <c r="AV138" s="208">
        <v>-395554</v>
      </c>
      <c r="AW138" s="208">
        <v>-98889</v>
      </c>
      <c r="AX138" s="208">
        <v>0</v>
      </c>
      <c r="AY138" s="208">
        <v>-988886</v>
      </c>
      <c r="AZ138" s="208">
        <v>220337</v>
      </c>
      <c r="BA138" s="208">
        <v>176270</v>
      </c>
      <c r="BB138" s="208">
        <v>44067</v>
      </c>
      <c r="BC138" s="208">
        <v>0</v>
      </c>
      <c r="BD138" s="208">
        <v>440674</v>
      </c>
      <c r="BE138" s="208">
        <v>-371623</v>
      </c>
      <c r="BF138" s="208">
        <v>-297299</v>
      </c>
      <c r="BG138" s="208">
        <v>-74325</v>
      </c>
      <c r="BH138" s="208">
        <v>0</v>
      </c>
      <c r="BI138" s="208">
        <v>-743247</v>
      </c>
      <c r="BJ138" s="208">
        <v>-645729</v>
      </c>
      <c r="BK138" s="208">
        <v>-516583</v>
      </c>
      <c r="BL138" s="208">
        <v>-129147</v>
      </c>
      <c r="BM138" s="208">
        <v>0</v>
      </c>
      <c r="BN138" s="208">
        <v>-1291459</v>
      </c>
      <c r="BO138" s="208">
        <v>-2306279</v>
      </c>
      <c r="BP138" s="208">
        <v>-1845023</v>
      </c>
      <c r="BQ138" s="208">
        <v>-461256</v>
      </c>
      <c r="BR138" s="208">
        <v>0</v>
      </c>
      <c r="BS138" s="208">
        <v>-4612558</v>
      </c>
      <c r="BT138" s="208">
        <v>-1325620</v>
      </c>
      <c r="BU138" s="208">
        <v>-1060496</v>
      </c>
      <c r="BV138" s="208">
        <v>-265124</v>
      </c>
      <c r="BW138" s="208">
        <v>0</v>
      </c>
      <c r="BX138" s="208">
        <v>-2651240</v>
      </c>
      <c r="BY138" s="208">
        <v>-980659</v>
      </c>
      <c r="BZ138" s="208">
        <v>-784527</v>
      </c>
      <c r="CA138" s="208">
        <v>-196132</v>
      </c>
      <c r="CB138" s="208">
        <v>0</v>
      </c>
      <c r="CC138" s="208">
        <v>-1961318</v>
      </c>
      <c r="CD138" s="208">
        <v>194337</v>
      </c>
      <c r="CE138" s="208">
        <v>155470</v>
      </c>
      <c r="CF138" s="208">
        <v>38868</v>
      </c>
      <c r="CG138" s="208">
        <v>0</v>
      </c>
      <c r="CH138" s="208">
        <v>388675</v>
      </c>
      <c r="CI138" s="208">
        <v>26560</v>
      </c>
      <c r="CJ138" s="208">
        <v>21248</v>
      </c>
      <c r="CK138" s="208">
        <v>5312</v>
      </c>
      <c r="CL138" s="208">
        <v>0</v>
      </c>
      <c r="CM138" s="208">
        <v>53120</v>
      </c>
      <c r="CN138" s="208">
        <v>404313</v>
      </c>
      <c r="CO138" s="208">
        <v>323450</v>
      </c>
      <c r="CP138" s="208">
        <v>80863</v>
      </c>
      <c r="CQ138" s="208">
        <v>0</v>
      </c>
      <c r="CR138" s="208">
        <v>808626</v>
      </c>
      <c r="CS138" s="208">
        <v>-1435469</v>
      </c>
      <c r="CT138" s="208">
        <v>-1148376</v>
      </c>
      <c r="CU138" s="208">
        <v>-287094</v>
      </c>
      <c r="CV138" s="208">
        <v>0</v>
      </c>
      <c r="CW138" s="208">
        <v>-2870939</v>
      </c>
      <c r="CX138" s="208">
        <v>-3116538</v>
      </c>
      <c r="CY138" s="208">
        <v>-2493231</v>
      </c>
      <c r="CZ138" s="208">
        <v>-623307</v>
      </c>
      <c r="DA138" s="208">
        <v>0</v>
      </c>
      <c r="DB138" s="208">
        <v>-6233076</v>
      </c>
      <c r="DC138" s="208">
        <v>-726970</v>
      </c>
      <c r="DD138" s="208">
        <v>-581576</v>
      </c>
      <c r="DE138" s="208">
        <v>-145393</v>
      </c>
      <c r="DF138" s="208">
        <v>0</v>
      </c>
      <c r="DG138" s="208">
        <v>-1453939</v>
      </c>
      <c r="DH138" s="208">
        <v>-2389568</v>
      </c>
      <c r="DI138" s="208">
        <v>-1911655</v>
      </c>
      <c r="DJ138" s="208">
        <v>-477914</v>
      </c>
      <c r="DK138" s="208">
        <v>0</v>
      </c>
      <c r="DL138" s="208">
        <v>-4779137</v>
      </c>
      <c r="DM138" s="208">
        <v>-1020431</v>
      </c>
      <c r="DN138" s="208">
        <v>-816345</v>
      </c>
      <c r="DO138" s="208">
        <v>-204086</v>
      </c>
      <c r="DP138" s="208">
        <v>0</v>
      </c>
      <c r="DQ138" s="208">
        <v>-2040862</v>
      </c>
      <c r="DR138" s="208">
        <v>-161546</v>
      </c>
      <c r="DS138" s="208">
        <v>-129237</v>
      </c>
      <c r="DT138" s="208">
        <v>-32309</v>
      </c>
      <c r="DU138" s="208">
        <v>0</v>
      </c>
      <c r="DV138" s="208">
        <v>-323092</v>
      </c>
      <c r="DW138" s="208">
        <v>-858885</v>
      </c>
      <c r="DX138" s="208">
        <v>-687108</v>
      </c>
      <c r="DY138" s="208">
        <v>-171777</v>
      </c>
      <c r="DZ138" s="208">
        <v>0</v>
      </c>
      <c r="EA138" s="208">
        <v>-1717770</v>
      </c>
      <c r="EB138" s="208">
        <v>21337728</v>
      </c>
      <c r="EC138" s="208">
        <v>17070182</v>
      </c>
      <c r="ED138" s="208">
        <v>4267546</v>
      </c>
      <c r="EE138" s="208">
        <v>0</v>
      </c>
      <c r="EF138" s="208">
        <v>42675456</v>
      </c>
      <c r="EG138" s="208">
        <v>20827037</v>
      </c>
      <c r="EH138" s="208">
        <v>16661629</v>
      </c>
      <c r="EI138" s="208">
        <v>4165407</v>
      </c>
      <c r="EJ138" s="208">
        <v>0</v>
      </c>
      <c r="EK138" s="208">
        <v>41654073</v>
      </c>
      <c r="EL138" s="208">
        <v>-510691</v>
      </c>
      <c r="EM138" s="208">
        <v>-408553</v>
      </c>
      <c r="EN138" s="208">
        <v>-102139</v>
      </c>
      <c r="EO138" s="208">
        <v>0</v>
      </c>
      <c r="EP138" s="208">
        <v>-1021383</v>
      </c>
      <c r="EQ138" s="208">
        <v>-1369576</v>
      </c>
      <c r="ER138" s="208">
        <v>-1095661</v>
      </c>
      <c r="ES138" s="208">
        <v>-273916</v>
      </c>
      <c r="ET138" s="208">
        <v>0</v>
      </c>
      <c r="EU138" s="208">
        <v>-2739153</v>
      </c>
      <c r="EV138" s="666">
        <v>0.5</v>
      </c>
      <c r="EW138" s="666">
        <v>0.4</v>
      </c>
      <c r="EX138" s="666">
        <v>0.1</v>
      </c>
      <c r="EY138" s="666">
        <v>0</v>
      </c>
      <c r="EZ138" s="666">
        <v>1</v>
      </c>
      <c r="FA138" s="187" t="s">
        <v>1054</v>
      </c>
      <c r="FC138" s="187">
        <v>0</v>
      </c>
    </row>
    <row r="139" spans="1:159" s="187" customFormat="1" x14ac:dyDescent="0.2">
      <c r="B139" s="429" t="s">
        <v>355</v>
      </c>
      <c r="C139" s="429" t="s">
        <v>354</v>
      </c>
      <c r="D139" s="208">
        <v>0</v>
      </c>
      <c r="E139" s="208">
        <v>125395194</v>
      </c>
      <c r="F139" s="208">
        <v>70534797</v>
      </c>
      <c r="G139" s="208">
        <v>0</v>
      </c>
      <c r="H139" s="208">
        <v>195929991</v>
      </c>
      <c r="I139" s="208">
        <v>0</v>
      </c>
      <c r="J139" s="208">
        <v>0</v>
      </c>
      <c r="K139" s="208">
        <v>0</v>
      </c>
      <c r="L139" s="208">
        <v>418053</v>
      </c>
      <c r="M139" s="208">
        <v>418053</v>
      </c>
      <c r="N139" s="208">
        <v>0</v>
      </c>
      <c r="O139" s="208">
        <v>0</v>
      </c>
      <c r="P139" s="208">
        <v>0</v>
      </c>
      <c r="Q139" s="208">
        <v>0</v>
      </c>
      <c r="R139" s="208">
        <v>0</v>
      </c>
      <c r="S139" s="208">
        <v>0</v>
      </c>
      <c r="T139" s="208">
        <v>0</v>
      </c>
      <c r="U139" s="208">
        <v>0</v>
      </c>
      <c r="V139" s="208">
        <v>0</v>
      </c>
      <c r="W139" s="208">
        <v>0</v>
      </c>
      <c r="X139" s="208">
        <v>0</v>
      </c>
      <c r="Y139" s="208">
        <v>0</v>
      </c>
      <c r="Z139" s="208">
        <v>0</v>
      </c>
      <c r="AA139" s="208">
        <v>0</v>
      </c>
      <c r="AB139" s="208">
        <v>0</v>
      </c>
      <c r="AC139" s="208">
        <v>0</v>
      </c>
      <c r="AD139" s="208">
        <v>0</v>
      </c>
      <c r="AE139" s="208">
        <v>0</v>
      </c>
      <c r="AF139" s="208">
        <v>0</v>
      </c>
      <c r="AG139" s="208">
        <v>6283460</v>
      </c>
      <c r="AH139" s="208">
        <v>3534446</v>
      </c>
      <c r="AI139" s="208">
        <v>0</v>
      </c>
      <c r="AJ139" s="208">
        <v>9817906</v>
      </c>
      <c r="AK139" s="208">
        <v>0</v>
      </c>
      <c r="AL139" s="208">
        <v>5103653</v>
      </c>
      <c r="AM139" s="208">
        <v>2870805</v>
      </c>
      <c r="AN139" s="208">
        <v>0</v>
      </c>
      <c r="AO139" s="208">
        <v>7974458</v>
      </c>
      <c r="AP139" s="208">
        <v>0</v>
      </c>
      <c r="AQ139" s="208">
        <v>-5603791</v>
      </c>
      <c r="AR139" s="208">
        <v>-3152133</v>
      </c>
      <c r="AS139" s="208">
        <v>0</v>
      </c>
      <c r="AT139" s="208">
        <v>-8755924</v>
      </c>
      <c r="AU139" s="208">
        <v>0</v>
      </c>
      <c r="AV139" s="208">
        <v>-1664000</v>
      </c>
      <c r="AW139" s="208">
        <v>-936000</v>
      </c>
      <c r="AX139" s="208">
        <v>0</v>
      </c>
      <c r="AY139" s="208">
        <v>-2600000</v>
      </c>
      <c r="AZ139" s="208">
        <v>0</v>
      </c>
      <c r="BA139" s="208">
        <v>439057</v>
      </c>
      <c r="BB139" s="208">
        <v>246970</v>
      </c>
      <c r="BC139" s="208">
        <v>0</v>
      </c>
      <c r="BD139" s="208">
        <v>686027</v>
      </c>
      <c r="BE139" s="208">
        <v>0</v>
      </c>
      <c r="BF139" s="208">
        <v>-311057</v>
      </c>
      <c r="BG139" s="208">
        <v>-174970</v>
      </c>
      <c r="BH139" s="208">
        <v>0</v>
      </c>
      <c r="BI139" s="208">
        <v>-486027</v>
      </c>
      <c r="BJ139" s="208">
        <v>0</v>
      </c>
      <c r="BK139" s="208">
        <v>-1536000</v>
      </c>
      <c r="BL139" s="208">
        <v>-864000</v>
      </c>
      <c r="BM139" s="208">
        <v>0</v>
      </c>
      <c r="BN139" s="208">
        <v>-2400000</v>
      </c>
      <c r="BO139" s="208">
        <v>0</v>
      </c>
      <c r="BP139" s="208">
        <v>-10240000</v>
      </c>
      <c r="BQ139" s="208">
        <v>-5760000</v>
      </c>
      <c r="BR139" s="208">
        <v>0</v>
      </c>
      <c r="BS139" s="208">
        <v>-16000000</v>
      </c>
      <c r="BT139" s="208">
        <v>0</v>
      </c>
      <c r="BU139" s="208">
        <v>0</v>
      </c>
      <c r="BV139" s="208">
        <v>0</v>
      </c>
      <c r="BW139" s="208">
        <v>0</v>
      </c>
      <c r="BX139" s="208">
        <v>0</v>
      </c>
      <c r="BY139" s="208">
        <v>0</v>
      </c>
      <c r="BZ139" s="208">
        <v>-10240000</v>
      </c>
      <c r="CA139" s="208">
        <v>-5760000</v>
      </c>
      <c r="CB139" s="208">
        <v>0</v>
      </c>
      <c r="CC139" s="208">
        <v>-16000000</v>
      </c>
      <c r="CD139" s="208">
        <v>0</v>
      </c>
      <c r="CE139" s="208">
        <v>5888000</v>
      </c>
      <c r="CF139" s="208">
        <v>3312000</v>
      </c>
      <c r="CG139" s="208">
        <v>0</v>
      </c>
      <c r="CH139" s="208">
        <v>9200000</v>
      </c>
      <c r="CI139" s="208">
        <v>0</v>
      </c>
      <c r="CJ139" s="208">
        <v>1536000</v>
      </c>
      <c r="CK139" s="208">
        <v>864000</v>
      </c>
      <c r="CL139" s="208">
        <v>0</v>
      </c>
      <c r="CM139" s="208">
        <v>2400000</v>
      </c>
      <c r="CN139" s="208">
        <v>0</v>
      </c>
      <c r="CO139" s="208">
        <v>-2432000</v>
      </c>
      <c r="CP139" s="208">
        <v>-1368000</v>
      </c>
      <c r="CQ139" s="208">
        <v>0</v>
      </c>
      <c r="CR139" s="208">
        <v>-3800000</v>
      </c>
      <c r="CS139" s="208">
        <v>0</v>
      </c>
      <c r="CT139" s="208">
        <v>-1855741</v>
      </c>
      <c r="CU139" s="208">
        <v>-1043855</v>
      </c>
      <c r="CV139" s="208">
        <v>0</v>
      </c>
      <c r="CW139" s="208">
        <v>-2899596</v>
      </c>
      <c r="CX139" s="208">
        <v>0</v>
      </c>
      <c r="CY139" s="208">
        <v>-7103741</v>
      </c>
      <c r="CZ139" s="208">
        <v>-3995855</v>
      </c>
      <c r="DA139" s="208">
        <v>0</v>
      </c>
      <c r="DB139" s="208">
        <v>-11099596</v>
      </c>
      <c r="DC139" s="208">
        <v>0</v>
      </c>
      <c r="DD139" s="208">
        <v>3456000</v>
      </c>
      <c r="DE139" s="208">
        <v>1944000</v>
      </c>
      <c r="DF139" s="208">
        <v>0</v>
      </c>
      <c r="DG139" s="208">
        <v>5400000</v>
      </c>
      <c r="DH139" s="208">
        <v>0</v>
      </c>
      <c r="DI139" s="208">
        <v>-10559741</v>
      </c>
      <c r="DJ139" s="208">
        <v>-5939855</v>
      </c>
      <c r="DK139" s="208">
        <v>0</v>
      </c>
      <c r="DL139" s="208">
        <v>-16499596</v>
      </c>
      <c r="DM139" s="208">
        <v>2382667.3499999996</v>
      </c>
      <c r="DN139" s="208">
        <v>3827489.61</v>
      </c>
      <c r="DO139" s="208">
        <v>6548141.7400000002</v>
      </c>
      <c r="DP139" s="208">
        <v>0</v>
      </c>
      <c r="DQ139" s="208">
        <v>12758299</v>
      </c>
      <c r="DR139" s="208">
        <v>3254315</v>
      </c>
      <c r="DS139" s="208">
        <v>4618380</v>
      </c>
      <c r="DT139" s="208">
        <v>7521905</v>
      </c>
      <c r="DU139" s="208">
        <v>0</v>
      </c>
      <c r="DV139" s="208">
        <v>15394600</v>
      </c>
      <c r="DW139" s="208">
        <v>-871647.65000000037</v>
      </c>
      <c r="DX139" s="208">
        <v>-790890.39000000013</v>
      </c>
      <c r="DY139" s="208">
        <v>-973763.25999999978</v>
      </c>
      <c r="DZ139" s="208">
        <v>0</v>
      </c>
      <c r="EA139" s="208">
        <v>-2636301</v>
      </c>
      <c r="EB139" s="208">
        <v>0</v>
      </c>
      <c r="EC139" s="208">
        <v>138234404</v>
      </c>
      <c r="ED139" s="208">
        <v>77756852</v>
      </c>
      <c r="EE139" s="208">
        <v>0</v>
      </c>
      <c r="EF139" s="208">
        <v>215991256</v>
      </c>
      <c r="EG139" s="208">
        <v>0</v>
      </c>
      <c r="EH139" s="208">
        <v>125395194</v>
      </c>
      <c r="EI139" s="208">
        <v>70534797</v>
      </c>
      <c r="EJ139" s="208">
        <v>0</v>
      </c>
      <c r="EK139" s="208">
        <v>195929991</v>
      </c>
      <c r="EL139" s="208">
        <v>0</v>
      </c>
      <c r="EM139" s="208">
        <v>-12839210</v>
      </c>
      <c r="EN139" s="208">
        <v>-7222055</v>
      </c>
      <c r="EO139" s="208">
        <v>0</v>
      </c>
      <c r="EP139" s="208">
        <v>-20061265</v>
      </c>
      <c r="EQ139" s="208">
        <v>-871647.65000000037</v>
      </c>
      <c r="ER139" s="208">
        <v>-13630100.390000001</v>
      </c>
      <c r="ES139" s="208">
        <v>-8195818.2599999998</v>
      </c>
      <c r="ET139" s="208">
        <v>0</v>
      </c>
      <c r="EU139" s="208">
        <v>-22697566</v>
      </c>
      <c r="EV139" s="666">
        <v>0</v>
      </c>
      <c r="EW139" s="666">
        <v>0.64</v>
      </c>
      <c r="EX139" s="666">
        <v>0.36</v>
      </c>
      <c r="EY139" s="666">
        <v>0</v>
      </c>
      <c r="EZ139" s="666">
        <v>1</v>
      </c>
      <c r="FA139" s="187" t="s">
        <v>1055</v>
      </c>
      <c r="FC139" s="187">
        <v>0</v>
      </c>
    </row>
    <row r="140" spans="1:159" s="187" customFormat="1" x14ac:dyDescent="0.2">
      <c r="B140" s="429" t="s">
        <v>357</v>
      </c>
      <c r="C140" s="429" t="s">
        <v>356</v>
      </c>
      <c r="D140" s="208">
        <v>30696986</v>
      </c>
      <c r="E140" s="208">
        <v>24557588</v>
      </c>
      <c r="F140" s="208">
        <v>5525457</v>
      </c>
      <c r="G140" s="208">
        <v>613940</v>
      </c>
      <c r="H140" s="208">
        <v>61393971</v>
      </c>
      <c r="I140" s="208">
        <v>324034</v>
      </c>
      <c r="J140" s="208">
        <v>324034</v>
      </c>
      <c r="K140" s="208">
        <v>30372952</v>
      </c>
      <c r="L140" s="208">
        <v>215821</v>
      </c>
      <c r="M140" s="208">
        <v>215821</v>
      </c>
      <c r="N140" s="208">
        <v>1132448</v>
      </c>
      <c r="O140" s="208">
        <v>1132448</v>
      </c>
      <c r="P140" s="208">
        <v>879563</v>
      </c>
      <c r="Q140" s="208">
        <v>0</v>
      </c>
      <c r="R140" s="208">
        <v>879563</v>
      </c>
      <c r="S140" s="208">
        <v>0</v>
      </c>
      <c r="T140" s="208">
        <v>0</v>
      </c>
      <c r="U140" s="208">
        <v>0</v>
      </c>
      <c r="V140" s="208">
        <v>0</v>
      </c>
      <c r="W140" s="208">
        <v>324034.42708333331</v>
      </c>
      <c r="X140" s="208">
        <v>0</v>
      </c>
      <c r="Y140" s="208">
        <v>0</v>
      </c>
      <c r="Z140" s="208">
        <v>324034.42708333331</v>
      </c>
      <c r="AA140" s="208">
        <v>0</v>
      </c>
      <c r="AB140" s="208">
        <v>0</v>
      </c>
      <c r="AC140" s="208">
        <v>0</v>
      </c>
      <c r="AD140" s="208">
        <v>0</v>
      </c>
      <c r="AE140" s="208">
        <v>0</v>
      </c>
      <c r="AF140" s="208">
        <v>0</v>
      </c>
      <c r="AG140" s="208">
        <v>2369847</v>
      </c>
      <c r="AH140" s="208">
        <v>521555</v>
      </c>
      <c r="AI140" s="208">
        <v>57949</v>
      </c>
      <c r="AJ140" s="208">
        <v>2949351</v>
      </c>
      <c r="AK140" s="208">
        <v>708786</v>
      </c>
      <c r="AL140" s="208">
        <v>567029</v>
      </c>
      <c r="AM140" s="208">
        <v>127582</v>
      </c>
      <c r="AN140" s="208">
        <v>14176</v>
      </c>
      <c r="AO140" s="208">
        <v>1417573</v>
      </c>
      <c r="AP140" s="208">
        <v>-24889</v>
      </c>
      <c r="AQ140" s="208">
        <v>-19911</v>
      </c>
      <c r="AR140" s="208">
        <v>-4480</v>
      </c>
      <c r="AS140" s="208">
        <v>-498</v>
      </c>
      <c r="AT140" s="208">
        <v>-49778</v>
      </c>
      <c r="AU140" s="208">
        <v>442991</v>
      </c>
      <c r="AV140" s="208">
        <v>354394</v>
      </c>
      <c r="AW140" s="208">
        <v>79739</v>
      </c>
      <c r="AX140" s="208">
        <v>8860</v>
      </c>
      <c r="AY140" s="208">
        <v>885984</v>
      </c>
      <c r="AZ140" s="208">
        <v>-134164</v>
      </c>
      <c r="BA140" s="208">
        <v>-107331</v>
      </c>
      <c r="BB140" s="208">
        <v>-24150</v>
      </c>
      <c r="BC140" s="208">
        <v>-2683</v>
      </c>
      <c r="BD140" s="208">
        <v>-268328</v>
      </c>
      <c r="BE140" s="208">
        <v>-413801</v>
      </c>
      <c r="BF140" s="208">
        <v>-331040</v>
      </c>
      <c r="BG140" s="208">
        <v>-74484</v>
      </c>
      <c r="BH140" s="208">
        <v>-8276</v>
      </c>
      <c r="BI140" s="208">
        <v>-827601</v>
      </c>
      <c r="BJ140" s="208">
        <v>-104974</v>
      </c>
      <c r="BK140" s="208">
        <v>-83977</v>
      </c>
      <c r="BL140" s="208">
        <v>-18895</v>
      </c>
      <c r="BM140" s="208">
        <v>-2099</v>
      </c>
      <c r="BN140" s="208">
        <v>-209945</v>
      </c>
      <c r="BO140" s="208">
        <v>-1987853</v>
      </c>
      <c r="BP140" s="208">
        <v>-1590283</v>
      </c>
      <c r="BQ140" s="208">
        <v>-357814</v>
      </c>
      <c r="BR140" s="208">
        <v>-39757</v>
      </c>
      <c r="BS140" s="208">
        <v>-3975707</v>
      </c>
      <c r="BT140" s="208">
        <v>-627410</v>
      </c>
      <c r="BU140" s="208">
        <v>-501928</v>
      </c>
      <c r="BV140" s="208">
        <v>-112934</v>
      </c>
      <c r="BW140" s="208">
        <v>-12548</v>
      </c>
      <c r="BX140" s="208">
        <v>-1254820</v>
      </c>
      <c r="BY140" s="208">
        <v>-1360443</v>
      </c>
      <c r="BZ140" s="208">
        <v>-1088355</v>
      </c>
      <c r="CA140" s="208">
        <v>-244880</v>
      </c>
      <c r="CB140" s="208">
        <v>-27209</v>
      </c>
      <c r="CC140" s="208">
        <v>-2720887</v>
      </c>
      <c r="CD140" s="208">
        <v>289777</v>
      </c>
      <c r="CE140" s="208">
        <v>231822</v>
      </c>
      <c r="CF140" s="208">
        <v>52160</v>
      </c>
      <c r="CG140" s="208">
        <v>5796</v>
      </c>
      <c r="CH140" s="208">
        <v>579555</v>
      </c>
      <c r="CI140" s="208">
        <v>0</v>
      </c>
      <c r="CJ140" s="208">
        <v>0</v>
      </c>
      <c r="CK140" s="208">
        <v>0</v>
      </c>
      <c r="CL140" s="208">
        <v>0</v>
      </c>
      <c r="CM140" s="208">
        <v>0</v>
      </c>
      <c r="CN140" s="208">
        <v>-50875</v>
      </c>
      <c r="CO140" s="208">
        <v>-40700</v>
      </c>
      <c r="CP140" s="208">
        <v>-9158</v>
      </c>
      <c r="CQ140" s="208">
        <v>-1018</v>
      </c>
      <c r="CR140" s="208">
        <v>-101751</v>
      </c>
      <c r="CS140" s="208">
        <v>-192224</v>
      </c>
      <c r="CT140" s="208">
        <v>-153779</v>
      </c>
      <c r="CU140" s="208">
        <v>-34600</v>
      </c>
      <c r="CV140" s="208">
        <v>-3844</v>
      </c>
      <c r="CW140" s="208">
        <v>-384447</v>
      </c>
      <c r="CX140" s="208">
        <v>-1941175</v>
      </c>
      <c r="CY140" s="208">
        <v>-1552940</v>
      </c>
      <c r="CZ140" s="208">
        <v>-349412</v>
      </c>
      <c r="DA140" s="208">
        <v>-38823</v>
      </c>
      <c r="DB140" s="208">
        <v>-3882350</v>
      </c>
      <c r="DC140" s="208">
        <v>-388508</v>
      </c>
      <c r="DD140" s="208">
        <v>-310806</v>
      </c>
      <c r="DE140" s="208">
        <v>-69932</v>
      </c>
      <c r="DF140" s="208">
        <v>-7770</v>
      </c>
      <c r="DG140" s="208">
        <v>-777016</v>
      </c>
      <c r="DH140" s="208">
        <v>-1552667</v>
      </c>
      <c r="DI140" s="208">
        <v>-1242134</v>
      </c>
      <c r="DJ140" s="208">
        <v>-279480</v>
      </c>
      <c r="DK140" s="208">
        <v>-31053</v>
      </c>
      <c r="DL140" s="208">
        <v>-3105334</v>
      </c>
      <c r="DM140" s="208">
        <v>339087</v>
      </c>
      <c r="DN140" s="208">
        <v>271270</v>
      </c>
      <c r="DO140" s="208">
        <v>61035</v>
      </c>
      <c r="DP140" s="208">
        <v>6782</v>
      </c>
      <c r="DQ140" s="208">
        <v>678174</v>
      </c>
      <c r="DR140" s="208">
        <v>1955761</v>
      </c>
      <c r="DS140" s="208">
        <v>1564608</v>
      </c>
      <c r="DT140" s="208">
        <v>352037</v>
      </c>
      <c r="DU140" s="208">
        <v>39115</v>
      </c>
      <c r="DV140" s="208">
        <v>3911521</v>
      </c>
      <c r="DW140" s="208">
        <v>-1616674</v>
      </c>
      <c r="DX140" s="208">
        <v>-1293338</v>
      </c>
      <c r="DY140" s="208">
        <v>-291002</v>
      </c>
      <c r="DZ140" s="208">
        <v>-32333</v>
      </c>
      <c r="EA140" s="208">
        <v>-3233347</v>
      </c>
      <c r="EB140" s="208">
        <v>28879893</v>
      </c>
      <c r="EC140" s="208">
        <v>23103914</v>
      </c>
      <c r="ED140" s="208">
        <v>5198381</v>
      </c>
      <c r="EE140" s="208">
        <v>577598</v>
      </c>
      <c r="EF140" s="208">
        <v>57759786</v>
      </c>
      <c r="EG140" s="208">
        <v>30696986</v>
      </c>
      <c r="EH140" s="208">
        <v>24557588</v>
      </c>
      <c r="EI140" s="208">
        <v>5525457</v>
      </c>
      <c r="EJ140" s="208">
        <v>613940</v>
      </c>
      <c r="EK140" s="208">
        <v>61393971</v>
      </c>
      <c r="EL140" s="208">
        <v>1817093</v>
      </c>
      <c r="EM140" s="208">
        <v>1453674</v>
      </c>
      <c r="EN140" s="208">
        <v>327076</v>
      </c>
      <c r="EO140" s="208">
        <v>36342</v>
      </c>
      <c r="EP140" s="208">
        <v>3634185</v>
      </c>
      <c r="EQ140" s="208">
        <v>200419</v>
      </c>
      <c r="ER140" s="208">
        <v>160336</v>
      </c>
      <c r="ES140" s="208">
        <v>36074</v>
      </c>
      <c r="ET140" s="208">
        <v>4009</v>
      </c>
      <c r="EU140" s="208">
        <v>400838</v>
      </c>
      <c r="EV140" s="666">
        <v>0.5</v>
      </c>
      <c r="EW140" s="666">
        <v>0.4</v>
      </c>
      <c r="EX140" s="666">
        <v>0.09</v>
      </c>
      <c r="EY140" s="666">
        <v>0.01</v>
      </c>
      <c r="EZ140" s="666">
        <v>1</v>
      </c>
      <c r="FA140" s="187" t="s">
        <v>1054</v>
      </c>
      <c r="FC140" s="187">
        <v>0</v>
      </c>
    </row>
    <row r="141" spans="1:159" s="187" customFormat="1" x14ac:dyDescent="0.2">
      <c r="B141" s="429" t="s">
        <v>359</v>
      </c>
      <c r="C141" s="429" t="s">
        <v>358</v>
      </c>
      <c r="D141" s="208">
        <v>9074741</v>
      </c>
      <c r="E141" s="208">
        <v>7259794</v>
      </c>
      <c r="F141" s="208">
        <v>1633454</v>
      </c>
      <c r="G141" s="208">
        <v>181495</v>
      </c>
      <c r="H141" s="208">
        <v>18149484</v>
      </c>
      <c r="I141" s="208">
        <v>0</v>
      </c>
      <c r="J141" s="208">
        <v>0</v>
      </c>
      <c r="K141" s="208">
        <v>9074741</v>
      </c>
      <c r="L141" s="208">
        <v>124871</v>
      </c>
      <c r="M141" s="208">
        <v>124871</v>
      </c>
      <c r="N141" s="208">
        <v>0</v>
      </c>
      <c r="O141" s="208">
        <v>0</v>
      </c>
      <c r="P141" s="208">
        <v>0</v>
      </c>
      <c r="Q141" s="208">
        <v>0</v>
      </c>
      <c r="R141" s="208">
        <v>0</v>
      </c>
      <c r="S141" s="208">
        <v>0</v>
      </c>
      <c r="T141" s="208">
        <v>0</v>
      </c>
      <c r="U141" s="208">
        <v>0</v>
      </c>
      <c r="V141" s="208">
        <v>0</v>
      </c>
      <c r="W141" s="208">
        <v>0</v>
      </c>
      <c r="X141" s="208">
        <v>0</v>
      </c>
      <c r="Y141" s="208">
        <v>0</v>
      </c>
      <c r="Z141" s="208">
        <v>0</v>
      </c>
      <c r="AA141" s="208">
        <v>0</v>
      </c>
      <c r="AB141" s="208">
        <v>0</v>
      </c>
      <c r="AC141" s="208">
        <v>0</v>
      </c>
      <c r="AD141" s="208">
        <v>0</v>
      </c>
      <c r="AE141" s="208">
        <v>0</v>
      </c>
      <c r="AF141" s="208">
        <v>0</v>
      </c>
      <c r="AG141" s="208">
        <v>1323191</v>
      </c>
      <c r="AH141" s="208">
        <v>297718</v>
      </c>
      <c r="AI141" s="208">
        <v>33079</v>
      </c>
      <c r="AJ141" s="208">
        <v>1653988</v>
      </c>
      <c r="AK141" s="208">
        <v>1263227</v>
      </c>
      <c r="AL141" s="208">
        <v>1010582</v>
      </c>
      <c r="AM141" s="208">
        <v>227381</v>
      </c>
      <c r="AN141" s="208">
        <v>25265</v>
      </c>
      <c r="AO141" s="208">
        <v>2526455</v>
      </c>
      <c r="AP141" s="208">
        <v>-509670</v>
      </c>
      <c r="AQ141" s="208">
        <v>-407735</v>
      </c>
      <c r="AR141" s="208">
        <v>-91740</v>
      </c>
      <c r="AS141" s="208">
        <v>-10193</v>
      </c>
      <c r="AT141" s="208">
        <v>-1019338</v>
      </c>
      <c r="AU141" s="208">
        <v>-1198510</v>
      </c>
      <c r="AV141" s="208">
        <v>-958808</v>
      </c>
      <c r="AW141" s="208">
        <v>-215732</v>
      </c>
      <c r="AX141" s="208">
        <v>-23970</v>
      </c>
      <c r="AY141" s="208">
        <v>-2397020</v>
      </c>
      <c r="AZ141" s="208">
        <v>473528</v>
      </c>
      <c r="BA141" s="208">
        <v>378823</v>
      </c>
      <c r="BB141" s="208">
        <v>85235</v>
      </c>
      <c r="BC141" s="208">
        <v>9471</v>
      </c>
      <c r="BD141" s="208">
        <v>947057</v>
      </c>
      <c r="BE141" s="208">
        <v>-217044</v>
      </c>
      <c r="BF141" s="208">
        <v>-173635</v>
      </c>
      <c r="BG141" s="208">
        <v>-39068</v>
      </c>
      <c r="BH141" s="208">
        <v>-4341</v>
      </c>
      <c r="BI141" s="208">
        <v>-434088</v>
      </c>
      <c r="BJ141" s="208">
        <v>-942026</v>
      </c>
      <c r="BK141" s="208">
        <v>-753620</v>
      </c>
      <c r="BL141" s="208">
        <v>-169565</v>
      </c>
      <c r="BM141" s="208">
        <v>-18840</v>
      </c>
      <c r="BN141" s="208">
        <v>-1884051</v>
      </c>
      <c r="BO141" s="208">
        <v>-1852928.2000000002</v>
      </c>
      <c r="BP141" s="208">
        <v>-1482343</v>
      </c>
      <c r="BQ141" s="208">
        <v>-333527</v>
      </c>
      <c r="BR141" s="208">
        <v>-37059</v>
      </c>
      <c r="BS141" s="208">
        <v>-3705857.2</v>
      </c>
      <c r="BT141" s="208">
        <v>-1371926</v>
      </c>
      <c r="BU141" s="208">
        <v>-1097541</v>
      </c>
      <c r="BV141" s="208">
        <v>-246947</v>
      </c>
      <c r="BW141" s="208">
        <v>-27439</v>
      </c>
      <c r="BX141" s="208">
        <v>-2743853</v>
      </c>
      <c r="BY141" s="208">
        <v>-481002.20000000019</v>
      </c>
      <c r="BZ141" s="208">
        <v>-384802</v>
      </c>
      <c r="CA141" s="208">
        <v>-86580</v>
      </c>
      <c r="CB141" s="208">
        <v>-9620</v>
      </c>
      <c r="CC141" s="208">
        <v>-962004.20000000019</v>
      </c>
      <c r="CD141" s="208">
        <v>388264</v>
      </c>
      <c r="CE141" s="208">
        <v>310611</v>
      </c>
      <c r="CF141" s="208">
        <v>69887</v>
      </c>
      <c r="CG141" s="208">
        <v>7765</v>
      </c>
      <c r="CH141" s="208">
        <v>776527</v>
      </c>
      <c r="CI141" s="208">
        <v>106075</v>
      </c>
      <c r="CJ141" s="208">
        <v>84860</v>
      </c>
      <c r="CK141" s="208">
        <v>19093</v>
      </c>
      <c r="CL141" s="208">
        <v>2121</v>
      </c>
      <c r="CM141" s="208">
        <v>212149</v>
      </c>
      <c r="CN141" s="208">
        <v>-424678</v>
      </c>
      <c r="CO141" s="208">
        <v>-339743</v>
      </c>
      <c r="CP141" s="208">
        <v>-76442</v>
      </c>
      <c r="CQ141" s="208">
        <v>-8494</v>
      </c>
      <c r="CR141" s="208">
        <v>-849357</v>
      </c>
      <c r="CS141" s="208">
        <v>-203507</v>
      </c>
      <c r="CT141" s="208">
        <v>-162805</v>
      </c>
      <c r="CU141" s="208">
        <v>-36631</v>
      </c>
      <c r="CV141" s="208">
        <v>-4070</v>
      </c>
      <c r="CW141" s="208">
        <v>-407013</v>
      </c>
      <c r="CX141" s="208">
        <v>-1986774.2000000002</v>
      </c>
      <c r="CY141" s="208">
        <v>-1589420</v>
      </c>
      <c r="CZ141" s="208">
        <v>-357620</v>
      </c>
      <c r="DA141" s="208">
        <v>-39737</v>
      </c>
      <c r="DB141" s="208">
        <v>-3973551.2</v>
      </c>
      <c r="DC141" s="208">
        <v>-1408340</v>
      </c>
      <c r="DD141" s="208">
        <v>-1126673</v>
      </c>
      <c r="DE141" s="208">
        <v>-253502</v>
      </c>
      <c r="DF141" s="208">
        <v>-28168</v>
      </c>
      <c r="DG141" s="208">
        <v>-2816683</v>
      </c>
      <c r="DH141" s="208">
        <v>-578434.20000000019</v>
      </c>
      <c r="DI141" s="208">
        <v>-462747</v>
      </c>
      <c r="DJ141" s="208">
        <v>-104118</v>
      </c>
      <c r="DK141" s="208">
        <v>-11569</v>
      </c>
      <c r="DL141" s="208">
        <v>-1156868.2000000002</v>
      </c>
      <c r="DM141" s="208">
        <v>90096</v>
      </c>
      <c r="DN141" s="208">
        <v>72080</v>
      </c>
      <c r="DO141" s="208">
        <v>16218</v>
      </c>
      <c r="DP141" s="208">
        <v>1802</v>
      </c>
      <c r="DQ141" s="208">
        <v>180196</v>
      </c>
      <c r="DR141" s="208">
        <v>527980</v>
      </c>
      <c r="DS141" s="208">
        <v>422384</v>
      </c>
      <c r="DT141" s="208">
        <v>95036</v>
      </c>
      <c r="DU141" s="208">
        <v>10560</v>
      </c>
      <c r="DV141" s="208">
        <v>1055960</v>
      </c>
      <c r="DW141" s="208">
        <v>-437884</v>
      </c>
      <c r="DX141" s="208">
        <v>-350304</v>
      </c>
      <c r="DY141" s="208">
        <v>-78818</v>
      </c>
      <c r="DZ141" s="208">
        <v>-8758</v>
      </c>
      <c r="EA141" s="208">
        <v>-875764</v>
      </c>
      <c r="EB141" s="208">
        <v>8221370</v>
      </c>
      <c r="EC141" s="208">
        <v>6577096</v>
      </c>
      <c r="ED141" s="208">
        <v>1479847</v>
      </c>
      <c r="EE141" s="208">
        <v>164427</v>
      </c>
      <c r="EF141" s="208">
        <v>16442740</v>
      </c>
      <c r="EG141" s="208">
        <v>9074741</v>
      </c>
      <c r="EH141" s="208">
        <v>7259794</v>
      </c>
      <c r="EI141" s="208">
        <v>1633454</v>
      </c>
      <c r="EJ141" s="208">
        <v>181495</v>
      </c>
      <c r="EK141" s="208">
        <v>18149484</v>
      </c>
      <c r="EL141" s="208">
        <v>853371</v>
      </c>
      <c r="EM141" s="208">
        <v>682698</v>
      </c>
      <c r="EN141" s="208">
        <v>153607</v>
      </c>
      <c r="EO141" s="208">
        <v>17068</v>
      </c>
      <c r="EP141" s="208">
        <v>1706744</v>
      </c>
      <c r="EQ141" s="208">
        <v>415487</v>
      </c>
      <c r="ER141" s="208">
        <v>332394</v>
      </c>
      <c r="ES141" s="208">
        <v>74789</v>
      </c>
      <c r="ET141" s="208">
        <v>8310</v>
      </c>
      <c r="EU141" s="208">
        <v>830980</v>
      </c>
      <c r="EV141" s="666">
        <v>0.5</v>
      </c>
      <c r="EW141" s="666">
        <v>0.4</v>
      </c>
      <c r="EX141" s="666">
        <v>0.09</v>
      </c>
      <c r="EY141" s="666">
        <v>0.01</v>
      </c>
      <c r="EZ141" s="666">
        <v>1</v>
      </c>
      <c r="FA141" s="187" t="s">
        <v>1054</v>
      </c>
      <c r="FC141" s="187">
        <v>0</v>
      </c>
    </row>
    <row r="142" spans="1:159" s="187" customFormat="1" x14ac:dyDescent="0.2">
      <c r="A142" s="188"/>
      <c r="B142" s="429" t="s">
        <v>361</v>
      </c>
      <c r="C142" s="429" t="s">
        <v>360</v>
      </c>
      <c r="D142" s="208">
        <v>0</v>
      </c>
      <c r="E142" s="208">
        <v>42494211</v>
      </c>
      <c r="F142" s="208">
        <v>10623553</v>
      </c>
      <c r="G142" s="208">
        <v>0</v>
      </c>
      <c r="H142" s="208">
        <v>53117764</v>
      </c>
      <c r="I142" s="208">
        <v>0</v>
      </c>
      <c r="J142" s="208">
        <v>0</v>
      </c>
      <c r="K142" s="208">
        <v>0</v>
      </c>
      <c r="L142" s="208">
        <v>186210</v>
      </c>
      <c r="M142" s="208">
        <v>186210</v>
      </c>
      <c r="N142" s="208">
        <v>567870</v>
      </c>
      <c r="O142" s="208">
        <v>567870</v>
      </c>
      <c r="P142" s="208">
        <v>3109</v>
      </c>
      <c r="Q142" s="208">
        <v>108</v>
      </c>
      <c r="R142" s="208">
        <v>3217</v>
      </c>
      <c r="S142" s="208">
        <v>0</v>
      </c>
      <c r="T142" s="208">
        <v>0</v>
      </c>
      <c r="U142" s="208">
        <v>0</v>
      </c>
      <c r="V142" s="208">
        <v>0</v>
      </c>
      <c r="W142" s="208">
        <v>0</v>
      </c>
      <c r="X142" s="208">
        <v>0</v>
      </c>
      <c r="Y142" s="208">
        <v>0</v>
      </c>
      <c r="Z142" s="208">
        <v>0</v>
      </c>
      <c r="AA142" s="208">
        <v>0</v>
      </c>
      <c r="AB142" s="208">
        <v>0</v>
      </c>
      <c r="AC142" s="208">
        <v>0</v>
      </c>
      <c r="AD142" s="208">
        <v>0</v>
      </c>
      <c r="AE142" s="208">
        <v>0</v>
      </c>
      <c r="AF142" s="208">
        <v>0</v>
      </c>
      <c r="AG142" s="208">
        <v>3912578</v>
      </c>
      <c r="AH142" s="208">
        <v>930889</v>
      </c>
      <c r="AI142" s="208">
        <v>0</v>
      </c>
      <c r="AJ142" s="208">
        <v>4843467</v>
      </c>
      <c r="AK142" s="208">
        <v>0</v>
      </c>
      <c r="AL142" s="208">
        <v>1501995</v>
      </c>
      <c r="AM142" s="208">
        <v>375499</v>
      </c>
      <c r="AN142" s="208">
        <v>0</v>
      </c>
      <c r="AO142" s="208">
        <v>1877494</v>
      </c>
      <c r="AP142" s="208">
        <v>0</v>
      </c>
      <c r="AQ142" s="208">
        <v>-231458</v>
      </c>
      <c r="AR142" s="208">
        <v>-57865</v>
      </c>
      <c r="AS142" s="208">
        <v>0</v>
      </c>
      <c r="AT142" s="208">
        <v>-289323</v>
      </c>
      <c r="AU142" s="208">
        <v>0</v>
      </c>
      <c r="AV142" s="208">
        <v>-713710</v>
      </c>
      <c r="AW142" s="208">
        <v>-178427</v>
      </c>
      <c r="AX142" s="208">
        <v>0</v>
      </c>
      <c r="AY142" s="208">
        <v>-892137</v>
      </c>
      <c r="AZ142" s="208">
        <v>0</v>
      </c>
      <c r="BA142" s="208">
        <v>303766</v>
      </c>
      <c r="BB142" s="208">
        <v>75942</v>
      </c>
      <c r="BC142" s="208">
        <v>0</v>
      </c>
      <c r="BD142" s="208">
        <v>379708</v>
      </c>
      <c r="BE142" s="208">
        <v>0</v>
      </c>
      <c r="BF142" s="208">
        <v>-389972</v>
      </c>
      <c r="BG142" s="208">
        <v>-97493</v>
      </c>
      <c r="BH142" s="208">
        <v>0</v>
      </c>
      <c r="BI142" s="208">
        <v>-487465</v>
      </c>
      <c r="BJ142" s="208">
        <v>0</v>
      </c>
      <c r="BK142" s="208">
        <v>-799916</v>
      </c>
      <c r="BL142" s="208">
        <v>-199978</v>
      </c>
      <c r="BM142" s="208">
        <v>0</v>
      </c>
      <c r="BN142" s="208">
        <v>-999894</v>
      </c>
      <c r="BO142" s="208">
        <v>0</v>
      </c>
      <c r="BP142" s="208">
        <v>-1312662</v>
      </c>
      <c r="BQ142" s="208">
        <v>-328165</v>
      </c>
      <c r="BR142" s="208">
        <v>0</v>
      </c>
      <c r="BS142" s="208">
        <v>-1640827</v>
      </c>
      <c r="BT142" s="208">
        <v>0</v>
      </c>
      <c r="BU142" s="208">
        <v>0</v>
      </c>
      <c r="BV142" s="208">
        <v>0</v>
      </c>
      <c r="BW142" s="208">
        <v>0</v>
      </c>
      <c r="BX142" s="208">
        <v>0</v>
      </c>
      <c r="BY142" s="208">
        <v>0</v>
      </c>
      <c r="BZ142" s="208">
        <v>-1312662</v>
      </c>
      <c r="CA142" s="208">
        <v>-328165</v>
      </c>
      <c r="CB142" s="208">
        <v>0</v>
      </c>
      <c r="CC142" s="208">
        <v>-1640827</v>
      </c>
      <c r="CD142" s="208">
        <v>0</v>
      </c>
      <c r="CE142" s="208">
        <v>322806</v>
      </c>
      <c r="CF142" s="208">
        <v>80701</v>
      </c>
      <c r="CG142" s="208">
        <v>0</v>
      </c>
      <c r="CH142" s="208">
        <v>403507</v>
      </c>
      <c r="CI142" s="208">
        <v>0</v>
      </c>
      <c r="CJ142" s="208">
        <v>0</v>
      </c>
      <c r="CK142" s="208">
        <v>0</v>
      </c>
      <c r="CL142" s="208">
        <v>0</v>
      </c>
      <c r="CM142" s="208">
        <v>0</v>
      </c>
      <c r="CN142" s="208">
        <v>0</v>
      </c>
      <c r="CO142" s="208">
        <v>-774389</v>
      </c>
      <c r="CP142" s="208">
        <v>-193597</v>
      </c>
      <c r="CQ142" s="208">
        <v>0</v>
      </c>
      <c r="CR142" s="208">
        <v>-967986</v>
      </c>
      <c r="CS142" s="208">
        <v>0</v>
      </c>
      <c r="CT142" s="208">
        <v>-71254</v>
      </c>
      <c r="CU142" s="208">
        <v>-17813</v>
      </c>
      <c r="CV142" s="208">
        <v>0</v>
      </c>
      <c r="CW142" s="208">
        <v>-89067</v>
      </c>
      <c r="CX142" s="208">
        <v>0</v>
      </c>
      <c r="CY142" s="208">
        <v>-1835499</v>
      </c>
      <c r="CZ142" s="208">
        <v>-458874</v>
      </c>
      <c r="DA142" s="208">
        <v>0</v>
      </c>
      <c r="DB142" s="208">
        <v>-2294373</v>
      </c>
      <c r="DC142" s="208">
        <v>0</v>
      </c>
      <c r="DD142" s="208">
        <v>-451583</v>
      </c>
      <c r="DE142" s="208">
        <v>-112896</v>
      </c>
      <c r="DF142" s="208">
        <v>0</v>
      </c>
      <c r="DG142" s="208">
        <v>-564479</v>
      </c>
      <c r="DH142" s="208">
        <v>0</v>
      </c>
      <c r="DI142" s="208">
        <v>-1383916</v>
      </c>
      <c r="DJ142" s="208">
        <v>-345978</v>
      </c>
      <c r="DK142" s="208">
        <v>0</v>
      </c>
      <c r="DL142" s="208">
        <v>-1729894</v>
      </c>
      <c r="DM142" s="208">
        <v>-1405177</v>
      </c>
      <c r="DN142" s="208">
        <v>-1124143</v>
      </c>
      <c r="DO142" s="208">
        <v>-281036</v>
      </c>
      <c r="DP142" s="208">
        <v>0</v>
      </c>
      <c r="DQ142" s="208">
        <v>-2810356</v>
      </c>
      <c r="DR142" s="208">
        <v>-428507</v>
      </c>
      <c r="DS142" s="208">
        <v>-342806</v>
      </c>
      <c r="DT142" s="208">
        <v>-85701</v>
      </c>
      <c r="DU142" s="208">
        <v>0</v>
      </c>
      <c r="DV142" s="208">
        <v>-857014</v>
      </c>
      <c r="DW142" s="208">
        <v>-976670</v>
      </c>
      <c r="DX142" s="208">
        <v>-781337</v>
      </c>
      <c r="DY142" s="208">
        <v>-195335</v>
      </c>
      <c r="DZ142" s="208">
        <v>0</v>
      </c>
      <c r="EA142" s="208">
        <v>-1953342</v>
      </c>
      <c r="EB142" s="208">
        <v>0</v>
      </c>
      <c r="EC142" s="208">
        <v>43410251</v>
      </c>
      <c r="ED142" s="208">
        <v>10852563</v>
      </c>
      <c r="EE142" s="208">
        <v>0</v>
      </c>
      <c r="EF142" s="208">
        <v>54262814</v>
      </c>
      <c r="EG142" s="208">
        <v>0</v>
      </c>
      <c r="EH142" s="208">
        <v>42494211</v>
      </c>
      <c r="EI142" s="208">
        <v>10623553</v>
      </c>
      <c r="EJ142" s="208">
        <v>0</v>
      </c>
      <c r="EK142" s="208">
        <v>53117764</v>
      </c>
      <c r="EL142" s="208">
        <v>0</v>
      </c>
      <c r="EM142" s="208">
        <v>-916040</v>
      </c>
      <c r="EN142" s="208">
        <v>-229010</v>
      </c>
      <c r="EO142" s="208">
        <v>0</v>
      </c>
      <c r="EP142" s="208">
        <v>-1145050</v>
      </c>
      <c r="EQ142" s="208">
        <v>-976670</v>
      </c>
      <c r="ER142" s="208">
        <v>-1697377</v>
      </c>
      <c r="ES142" s="208">
        <v>-424345</v>
      </c>
      <c r="ET142" s="208">
        <v>0</v>
      </c>
      <c r="EU142" s="208">
        <v>-3098392</v>
      </c>
      <c r="EV142" s="666">
        <v>0</v>
      </c>
      <c r="EW142" s="666">
        <v>0.8</v>
      </c>
      <c r="EX142" s="666">
        <v>0.2</v>
      </c>
      <c r="EY142" s="666">
        <v>0</v>
      </c>
      <c r="EZ142" s="666">
        <v>1</v>
      </c>
      <c r="FA142" s="187" t="s">
        <v>1054</v>
      </c>
      <c r="FC142" s="187">
        <v>0</v>
      </c>
    </row>
    <row r="143" spans="1:159" s="187" customFormat="1" x14ac:dyDescent="0.2">
      <c r="B143" s="429" t="s">
        <v>363</v>
      </c>
      <c r="C143" s="429" t="s">
        <v>362</v>
      </c>
      <c r="D143" s="208">
        <v>0</v>
      </c>
      <c r="E143" s="208">
        <v>38641253</v>
      </c>
      <c r="F143" s="208">
        <v>0</v>
      </c>
      <c r="G143" s="208">
        <v>0</v>
      </c>
      <c r="H143" s="208">
        <v>38641253</v>
      </c>
      <c r="I143" s="208">
        <v>0</v>
      </c>
      <c r="J143" s="208">
        <v>0</v>
      </c>
      <c r="K143" s="208">
        <v>0</v>
      </c>
      <c r="L143" s="208">
        <v>263701</v>
      </c>
      <c r="M143" s="208">
        <v>263701</v>
      </c>
      <c r="N143" s="208">
        <v>0</v>
      </c>
      <c r="O143" s="208">
        <v>0</v>
      </c>
      <c r="P143" s="208">
        <v>277491</v>
      </c>
      <c r="Q143" s="208">
        <v>0</v>
      </c>
      <c r="R143" s="208">
        <v>277491</v>
      </c>
      <c r="S143" s="208">
        <v>0</v>
      </c>
      <c r="T143" s="208">
        <v>0</v>
      </c>
      <c r="U143" s="208">
        <v>0</v>
      </c>
      <c r="V143" s="208">
        <v>0</v>
      </c>
      <c r="W143" s="208">
        <v>0</v>
      </c>
      <c r="X143" s="208">
        <v>0</v>
      </c>
      <c r="Y143" s="208">
        <v>0</v>
      </c>
      <c r="Z143" s="208">
        <v>0</v>
      </c>
      <c r="AA143" s="208">
        <v>0</v>
      </c>
      <c r="AB143" s="208">
        <v>0</v>
      </c>
      <c r="AC143" s="208">
        <v>0</v>
      </c>
      <c r="AD143" s="208">
        <v>0</v>
      </c>
      <c r="AE143" s="208">
        <v>0</v>
      </c>
      <c r="AF143" s="208">
        <v>0</v>
      </c>
      <c r="AG143" s="208">
        <v>6870614</v>
      </c>
      <c r="AH143" s="208">
        <v>0</v>
      </c>
      <c r="AI143" s="208">
        <v>0</v>
      </c>
      <c r="AJ143" s="208">
        <v>6870614</v>
      </c>
      <c r="AK143" s="208">
        <v>0</v>
      </c>
      <c r="AL143" s="208">
        <v>1328875</v>
      </c>
      <c r="AM143" s="208">
        <v>0</v>
      </c>
      <c r="AN143" s="208">
        <v>0</v>
      </c>
      <c r="AO143" s="208">
        <v>1328875</v>
      </c>
      <c r="AP143" s="208">
        <v>0</v>
      </c>
      <c r="AQ143" s="208">
        <v>-731855</v>
      </c>
      <c r="AR143" s="208">
        <v>0</v>
      </c>
      <c r="AS143" s="208">
        <v>0</v>
      </c>
      <c r="AT143" s="208">
        <v>-731855</v>
      </c>
      <c r="AU143" s="208">
        <v>0</v>
      </c>
      <c r="AV143" s="208">
        <v>-423945</v>
      </c>
      <c r="AW143" s="208">
        <v>0</v>
      </c>
      <c r="AX143" s="208">
        <v>0</v>
      </c>
      <c r="AY143" s="208">
        <v>-423945</v>
      </c>
      <c r="AZ143" s="208">
        <v>0</v>
      </c>
      <c r="BA143" s="208">
        <v>287482</v>
      </c>
      <c r="BB143" s="208">
        <v>0</v>
      </c>
      <c r="BC143" s="208">
        <v>0</v>
      </c>
      <c r="BD143" s="208">
        <v>287482</v>
      </c>
      <c r="BE143" s="208">
        <v>0</v>
      </c>
      <c r="BF143" s="208">
        <v>-343631</v>
      </c>
      <c r="BG143" s="208">
        <v>0</v>
      </c>
      <c r="BH143" s="208">
        <v>0</v>
      </c>
      <c r="BI143" s="208">
        <v>-343631</v>
      </c>
      <c r="BJ143" s="208">
        <v>0</v>
      </c>
      <c r="BK143" s="208">
        <v>-480094</v>
      </c>
      <c r="BL143" s="208">
        <v>0</v>
      </c>
      <c r="BM143" s="208">
        <v>0</v>
      </c>
      <c r="BN143" s="208">
        <v>-480094</v>
      </c>
      <c r="BO143" s="208">
        <v>0</v>
      </c>
      <c r="BP143" s="208">
        <v>-6166315</v>
      </c>
      <c r="BQ143" s="208">
        <v>0</v>
      </c>
      <c r="BR143" s="208">
        <v>0</v>
      </c>
      <c r="BS143" s="208">
        <v>-6166315</v>
      </c>
      <c r="BT143" s="208">
        <v>0</v>
      </c>
      <c r="BU143" s="208">
        <v>-4241902</v>
      </c>
      <c r="BV143" s="208">
        <v>0</v>
      </c>
      <c r="BW143" s="208">
        <v>0</v>
      </c>
      <c r="BX143" s="208">
        <v>-4241902</v>
      </c>
      <c r="BY143" s="208">
        <v>0</v>
      </c>
      <c r="BZ143" s="208">
        <v>-1924413</v>
      </c>
      <c r="CA143" s="208">
        <v>0</v>
      </c>
      <c r="CB143" s="208">
        <v>0</v>
      </c>
      <c r="CC143" s="208">
        <v>-1924413</v>
      </c>
      <c r="CD143" s="208">
        <v>0</v>
      </c>
      <c r="CE143" s="208">
        <v>616760</v>
      </c>
      <c r="CF143" s="208">
        <v>0</v>
      </c>
      <c r="CG143" s="208">
        <v>0</v>
      </c>
      <c r="CH143" s="208">
        <v>616760</v>
      </c>
      <c r="CI143" s="208">
        <v>0</v>
      </c>
      <c r="CJ143" s="208">
        <v>50045</v>
      </c>
      <c r="CK143" s="208">
        <v>0</v>
      </c>
      <c r="CL143" s="208">
        <v>0</v>
      </c>
      <c r="CM143" s="208">
        <v>50045</v>
      </c>
      <c r="CN143" s="208">
        <v>0</v>
      </c>
      <c r="CO143" s="208">
        <v>500888</v>
      </c>
      <c r="CP143" s="208">
        <v>0</v>
      </c>
      <c r="CQ143" s="208">
        <v>0</v>
      </c>
      <c r="CR143" s="208">
        <v>500888</v>
      </c>
      <c r="CS143" s="208">
        <v>0</v>
      </c>
      <c r="CT143" s="208">
        <v>-1838994</v>
      </c>
      <c r="CU143" s="208">
        <v>0</v>
      </c>
      <c r="CV143" s="208">
        <v>0</v>
      </c>
      <c r="CW143" s="208">
        <v>-1838994</v>
      </c>
      <c r="CX143" s="208">
        <v>0</v>
      </c>
      <c r="CY143" s="208">
        <v>-6837616</v>
      </c>
      <c r="CZ143" s="208">
        <v>0</v>
      </c>
      <c r="DA143" s="208">
        <v>0</v>
      </c>
      <c r="DB143" s="208">
        <v>-6837616</v>
      </c>
      <c r="DC143" s="208">
        <v>0</v>
      </c>
      <c r="DD143" s="208">
        <v>-3124254</v>
      </c>
      <c r="DE143" s="208">
        <v>0</v>
      </c>
      <c r="DF143" s="208">
        <v>0</v>
      </c>
      <c r="DG143" s="208">
        <v>-3124254</v>
      </c>
      <c r="DH143" s="208">
        <v>0</v>
      </c>
      <c r="DI143" s="208">
        <v>-3713362</v>
      </c>
      <c r="DJ143" s="208">
        <v>0</v>
      </c>
      <c r="DK143" s="208">
        <v>0</v>
      </c>
      <c r="DL143" s="208">
        <v>-3713362</v>
      </c>
      <c r="DM143" s="208">
        <v>-634312</v>
      </c>
      <c r="DN143" s="208">
        <v>-634312</v>
      </c>
      <c r="DO143" s="208">
        <v>0</v>
      </c>
      <c r="DP143" s="208">
        <v>0</v>
      </c>
      <c r="DQ143" s="208">
        <v>-1268624</v>
      </c>
      <c r="DR143" s="208">
        <v>-265000</v>
      </c>
      <c r="DS143" s="208">
        <v>-265000</v>
      </c>
      <c r="DT143" s="208">
        <v>0</v>
      </c>
      <c r="DU143" s="208">
        <v>0</v>
      </c>
      <c r="DV143" s="208">
        <v>-530000</v>
      </c>
      <c r="DW143" s="208">
        <v>-369312</v>
      </c>
      <c r="DX143" s="208">
        <v>-369312</v>
      </c>
      <c r="DY143" s="208">
        <v>0</v>
      </c>
      <c r="DZ143" s="208">
        <v>0</v>
      </c>
      <c r="EA143" s="208">
        <v>-738624</v>
      </c>
      <c r="EB143" s="208">
        <v>0</v>
      </c>
      <c r="EC143" s="208">
        <v>38484258</v>
      </c>
      <c r="ED143" s="208">
        <v>0</v>
      </c>
      <c r="EE143" s="208">
        <v>0</v>
      </c>
      <c r="EF143" s="208">
        <v>38484258</v>
      </c>
      <c r="EG143" s="208">
        <v>0</v>
      </c>
      <c r="EH143" s="208">
        <v>38641253</v>
      </c>
      <c r="EI143" s="208">
        <v>0</v>
      </c>
      <c r="EJ143" s="208">
        <v>0</v>
      </c>
      <c r="EK143" s="208">
        <v>38641253</v>
      </c>
      <c r="EL143" s="208">
        <v>0</v>
      </c>
      <c r="EM143" s="208">
        <v>156995</v>
      </c>
      <c r="EN143" s="208">
        <v>0</v>
      </c>
      <c r="EO143" s="208">
        <v>0</v>
      </c>
      <c r="EP143" s="208">
        <v>156995</v>
      </c>
      <c r="EQ143" s="208">
        <v>-369312</v>
      </c>
      <c r="ER143" s="208">
        <v>-212317</v>
      </c>
      <c r="ES143" s="208">
        <v>0</v>
      </c>
      <c r="ET143" s="208">
        <v>0</v>
      </c>
      <c r="EU143" s="208">
        <v>-581629</v>
      </c>
      <c r="EV143" s="666">
        <v>0</v>
      </c>
      <c r="EW143" s="666">
        <v>1</v>
      </c>
      <c r="EX143" s="666">
        <v>0</v>
      </c>
      <c r="EY143" s="666">
        <v>0</v>
      </c>
      <c r="EZ143" s="666">
        <v>1</v>
      </c>
      <c r="FA143" s="187" t="s">
        <v>742</v>
      </c>
      <c r="FC143" s="187">
        <v>0</v>
      </c>
    </row>
    <row r="144" spans="1:159" s="187" customFormat="1" x14ac:dyDescent="0.2">
      <c r="B144" s="429" t="s">
        <v>365</v>
      </c>
      <c r="C144" s="429" t="s">
        <v>364</v>
      </c>
      <c r="D144" s="208">
        <v>747132</v>
      </c>
      <c r="E144" s="208">
        <v>747132</v>
      </c>
      <c r="F144" s="208">
        <v>0</v>
      </c>
      <c r="G144" s="208">
        <v>0</v>
      </c>
      <c r="H144" s="208">
        <v>1494264</v>
      </c>
      <c r="I144" s="208">
        <v>0</v>
      </c>
      <c r="J144" s="208">
        <v>0</v>
      </c>
      <c r="K144" s="208">
        <v>747132</v>
      </c>
      <c r="L144" s="208">
        <v>24069</v>
      </c>
      <c r="M144" s="208">
        <v>24069</v>
      </c>
      <c r="N144" s="208">
        <v>0</v>
      </c>
      <c r="O144" s="208">
        <v>0</v>
      </c>
      <c r="P144" s="208">
        <v>0</v>
      </c>
      <c r="Q144" s="208">
        <v>0</v>
      </c>
      <c r="R144" s="208">
        <v>0</v>
      </c>
      <c r="S144" s="208">
        <v>0</v>
      </c>
      <c r="T144" s="208">
        <v>0</v>
      </c>
      <c r="U144" s="208">
        <v>0</v>
      </c>
      <c r="V144" s="208">
        <v>0</v>
      </c>
      <c r="W144" s="208">
        <v>0</v>
      </c>
      <c r="X144" s="208">
        <v>0</v>
      </c>
      <c r="Y144" s="208">
        <v>0</v>
      </c>
      <c r="Z144" s="208">
        <v>0</v>
      </c>
      <c r="AA144" s="208">
        <v>0</v>
      </c>
      <c r="AB144" s="208">
        <v>0</v>
      </c>
      <c r="AC144" s="208">
        <v>0</v>
      </c>
      <c r="AD144" s="208">
        <v>0</v>
      </c>
      <c r="AE144" s="208">
        <v>0</v>
      </c>
      <c r="AF144" s="208">
        <v>0</v>
      </c>
      <c r="AG144" s="208">
        <v>215743</v>
      </c>
      <c r="AH144" s="208">
        <v>0</v>
      </c>
      <c r="AI144" s="208">
        <v>0</v>
      </c>
      <c r="AJ144" s="208">
        <v>215743</v>
      </c>
      <c r="AK144" s="208">
        <v>51227</v>
      </c>
      <c r="AL144" s="208">
        <v>51228</v>
      </c>
      <c r="AM144" s="208">
        <v>0</v>
      </c>
      <c r="AN144" s="208">
        <v>0</v>
      </c>
      <c r="AO144" s="208">
        <v>102455</v>
      </c>
      <c r="AP144" s="208">
        <v>-10736</v>
      </c>
      <c r="AQ144" s="208">
        <v>-10737</v>
      </c>
      <c r="AR144" s="208">
        <v>0</v>
      </c>
      <c r="AS144" s="208">
        <v>0</v>
      </c>
      <c r="AT144" s="208">
        <v>-21473</v>
      </c>
      <c r="AU144" s="208">
        <v>-30700</v>
      </c>
      <c r="AV144" s="208">
        <v>-30700</v>
      </c>
      <c r="AW144" s="208">
        <v>0</v>
      </c>
      <c r="AX144" s="208">
        <v>0</v>
      </c>
      <c r="AY144" s="208">
        <v>-61400</v>
      </c>
      <c r="AZ144" s="208">
        <v>0</v>
      </c>
      <c r="BA144" s="208">
        <v>0</v>
      </c>
      <c r="BB144" s="208">
        <v>0</v>
      </c>
      <c r="BC144" s="208">
        <v>0</v>
      </c>
      <c r="BD144" s="208">
        <v>0</v>
      </c>
      <c r="BE144" s="208">
        <v>7747</v>
      </c>
      <c r="BF144" s="208">
        <v>7748</v>
      </c>
      <c r="BG144" s="208">
        <v>0</v>
      </c>
      <c r="BH144" s="208">
        <v>0</v>
      </c>
      <c r="BI144" s="208">
        <v>15495</v>
      </c>
      <c r="BJ144" s="208">
        <v>-22953</v>
      </c>
      <c r="BK144" s="208">
        <v>-22952</v>
      </c>
      <c r="BL144" s="208">
        <v>0</v>
      </c>
      <c r="BM144" s="208">
        <v>0</v>
      </c>
      <c r="BN144" s="208">
        <v>-45905</v>
      </c>
      <c r="BO144" s="208">
        <v>-86000</v>
      </c>
      <c r="BP144" s="208">
        <v>-86000</v>
      </c>
      <c r="BQ144" s="208">
        <v>0</v>
      </c>
      <c r="BR144" s="208">
        <v>0</v>
      </c>
      <c r="BS144" s="208">
        <v>-172000</v>
      </c>
      <c r="BT144" s="208">
        <v>-50000</v>
      </c>
      <c r="BU144" s="208">
        <v>-50000</v>
      </c>
      <c r="BV144" s="208">
        <v>0</v>
      </c>
      <c r="BW144" s="208">
        <v>0</v>
      </c>
      <c r="BX144" s="208">
        <v>-100000</v>
      </c>
      <c r="BY144" s="208">
        <v>-36000</v>
      </c>
      <c r="BZ144" s="208">
        <v>-36000</v>
      </c>
      <c r="CA144" s="208">
        <v>0</v>
      </c>
      <c r="CB144" s="208">
        <v>0</v>
      </c>
      <c r="CC144" s="208">
        <v>-72000</v>
      </c>
      <c r="CD144" s="208">
        <v>0</v>
      </c>
      <c r="CE144" s="208">
        <v>0</v>
      </c>
      <c r="CF144" s="208">
        <v>0</v>
      </c>
      <c r="CG144" s="208">
        <v>0</v>
      </c>
      <c r="CH144" s="208">
        <v>0</v>
      </c>
      <c r="CI144" s="208">
        <v>0</v>
      </c>
      <c r="CJ144" s="208">
        <v>0</v>
      </c>
      <c r="CK144" s="208">
        <v>0</v>
      </c>
      <c r="CL144" s="208">
        <v>0</v>
      </c>
      <c r="CM144" s="208">
        <v>0</v>
      </c>
      <c r="CN144" s="208">
        <v>-8238</v>
      </c>
      <c r="CO144" s="208">
        <v>-8238</v>
      </c>
      <c r="CP144" s="208">
        <v>0</v>
      </c>
      <c r="CQ144" s="208">
        <v>0</v>
      </c>
      <c r="CR144" s="208">
        <v>-16476</v>
      </c>
      <c r="CS144" s="208">
        <v>0</v>
      </c>
      <c r="CT144" s="208">
        <v>0</v>
      </c>
      <c r="CU144" s="208">
        <v>0</v>
      </c>
      <c r="CV144" s="208">
        <v>0</v>
      </c>
      <c r="CW144" s="208">
        <v>0</v>
      </c>
      <c r="CX144" s="208">
        <v>-94238</v>
      </c>
      <c r="CY144" s="208">
        <v>-94238</v>
      </c>
      <c r="CZ144" s="208">
        <v>0</v>
      </c>
      <c r="DA144" s="208">
        <v>0</v>
      </c>
      <c r="DB144" s="208">
        <v>-188476</v>
      </c>
      <c r="DC144" s="208">
        <v>-58238</v>
      </c>
      <c r="DD144" s="208">
        <v>-58238</v>
      </c>
      <c r="DE144" s="208">
        <v>0</v>
      </c>
      <c r="DF144" s="208">
        <v>0</v>
      </c>
      <c r="DG144" s="208">
        <v>-116476</v>
      </c>
      <c r="DH144" s="208">
        <v>-36000</v>
      </c>
      <c r="DI144" s="208">
        <v>-36000</v>
      </c>
      <c r="DJ144" s="208">
        <v>0</v>
      </c>
      <c r="DK144" s="208">
        <v>0</v>
      </c>
      <c r="DL144" s="208">
        <v>-72000</v>
      </c>
      <c r="DM144" s="208">
        <v>-169993</v>
      </c>
      <c r="DN144" s="208">
        <v>-169994</v>
      </c>
      <c r="DO144" s="208">
        <v>0</v>
      </c>
      <c r="DP144" s="208">
        <v>0</v>
      </c>
      <c r="DQ144" s="208">
        <v>-339987</v>
      </c>
      <c r="DR144" s="208">
        <v>-170000</v>
      </c>
      <c r="DS144" s="208">
        <v>-170000</v>
      </c>
      <c r="DT144" s="208">
        <v>0</v>
      </c>
      <c r="DU144" s="208">
        <v>0</v>
      </c>
      <c r="DV144" s="208">
        <v>-340000</v>
      </c>
      <c r="DW144" s="208">
        <v>7</v>
      </c>
      <c r="DX144" s="208">
        <v>6</v>
      </c>
      <c r="DY144" s="208">
        <v>0</v>
      </c>
      <c r="DZ144" s="208">
        <v>0</v>
      </c>
      <c r="EA144" s="208">
        <v>13</v>
      </c>
      <c r="EB144" s="208">
        <v>742100</v>
      </c>
      <c r="EC144" s="208">
        <v>742100</v>
      </c>
      <c r="ED144" s="208">
        <v>0</v>
      </c>
      <c r="EE144" s="208">
        <v>0</v>
      </c>
      <c r="EF144" s="208">
        <v>1484200</v>
      </c>
      <c r="EG144" s="208">
        <v>747132</v>
      </c>
      <c r="EH144" s="208">
        <v>747132</v>
      </c>
      <c r="EI144" s="208">
        <v>0</v>
      </c>
      <c r="EJ144" s="208">
        <v>0</v>
      </c>
      <c r="EK144" s="208">
        <v>1494264</v>
      </c>
      <c r="EL144" s="208">
        <v>5032</v>
      </c>
      <c r="EM144" s="208">
        <v>5032</v>
      </c>
      <c r="EN144" s="208">
        <v>0</v>
      </c>
      <c r="EO144" s="208">
        <v>0</v>
      </c>
      <c r="EP144" s="208">
        <v>10064</v>
      </c>
      <c r="EQ144" s="208">
        <v>5039</v>
      </c>
      <c r="ER144" s="208">
        <v>5038</v>
      </c>
      <c r="ES144" s="208">
        <v>0</v>
      </c>
      <c r="ET144" s="208">
        <v>0</v>
      </c>
      <c r="EU144" s="208">
        <v>10077</v>
      </c>
      <c r="EV144" s="666">
        <v>0.5</v>
      </c>
      <c r="EW144" s="666">
        <v>0.5</v>
      </c>
      <c r="EX144" s="666">
        <v>0</v>
      </c>
      <c r="EY144" s="666">
        <v>0</v>
      </c>
      <c r="EZ144" s="666">
        <v>1</v>
      </c>
      <c r="FA144" s="187" t="s">
        <v>742</v>
      </c>
      <c r="FC144" s="187">
        <v>0</v>
      </c>
    </row>
    <row r="145" spans="1:159" s="187" customFormat="1" x14ac:dyDescent="0.2">
      <c r="B145" s="429" t="s">
        <v>367</v>
      </c>
      <c r="C145" s="429" t="s">
        <v>366</v>
      </c>
      <c r="D145" s="208">
        <v>0</v>
      </c>
      <c r="E145" s="208">
        <v>187413428</v>
      </c>
      <c r="F145" s="208">
        <v>105420053</v>
      </c>
      <c r="G145" s="208">
        <v>0</v>
      </c>
      <c r="H145" s="208">
        <v>292833481</v>
      </c>
      <c r="I145" s="208">
        <v>0</v>
      </c>
      <c r="J145" s="208">
        <v>0</v>
      </c>
      <c r="K145" s="208">
        <v>0</v>
      </c>
      <c r="L145" s="208">
        <v>706880</v>
      </c>
      <c r="M145" s="208">
        <v>706880</v>
      </c>
      <c r="N145" s="208">
        <v>0</v>
      </c>
      <c r="O145" s="208">
        <v>0</v>
      </c>
      <c r="P145" s="208">
        <v>76437</v>
      </c>
      <c r="Q145" s="208">
        <v>0</v>
      </c>
      <c r="R145" s="208">
        <v>76437</v>
      </c>
      <c r="S145" s="208">
        <v>0</v>
      </c>
      <c r="T145" s="208">
        <v>0</v>
      </c>
      <c r="U145" s="208">
        <v>0</v>
      </c>
      <c r="V145" s="208">
        <v>0</v>
      </c>
      <c r="W145" s="208">
        <v>0</v>
      </c>
      <c r="X145" s="208">
        <v>0</v>
      </c>
      <c r="Y145" s="208">
        <v>0</v>
      </c>
      <c r="Z145" s="208">
        <v>0</v>
      </c>
      <c r="AA145" s="208">
        <v>0</v>
      </c>
      <c r="AB145" s="208">
        <v>0</v>
      </c>
      <c r="AC145" s="208">
        <v>0</v>
      </c>
      <c r="AD145" s="208">
        <v>0</v>
      </c>
      <c r="AE145" s="208">
        <v>0</v>
      </c>
      <c r="AF145" s="208">
        <v>0</v>
      </c>
      <c r="AG145" s="208">
        <v>9388766</v>
      </c>
      <c r="AH145" s="208">
        <v>5280196</v>
      </c>
      <c r="AI145" s="208">
        <v>0</v>
      </c>
      <c r="AJ145" s="208">
        <v>14668962</v>
      </c>
      <c r="AK145" s="208">
        <v>0</v>
      </c>
      <c r="AL145" s="208">
        <v>12223603</v>
      </c>
      <c r="AM145" s="208">
        <v>6875776</v>
      </c>
      <c r="AN145" s="208">
        <v>0</v>
      </c>
      <c r="AO145" s="208">
        <v>19099379</v>
      </c>
      <c r="AP145" s="208">
        <v>0</v>
      </c>
      <c r="AQ145" s="208">
        <v>-13384031</v>
      </c>
      <c r="AR145" s="208">
        <v>-7528518</v>
      </c>
      <c r="AS145" s="208">
        <v>0</v>
      </c>
      <c r="AT145" s="208">
        <v>-20912549</v>
      </c>
      <c r="AU145" s="208">
        <v>0</v>
      </c>
      <c r="AV145" s="208">
        <v>-11637565</v>
      </c>
      <c r="AW145" s="208">
        <v>-6546131</v>
      </c>
      <c r="AX145" s="208">
        <v>0</v>
      </c>
      <c r="AY145" s="208">
        <v>-18183696</v>
      </c>
      <c r="AZ145" s="208">
        <v>0</v>
      </c>
      <c r="BA145" s="208">
        <v>1860294</v>
      </c>
      <c r="BB145" s="208">
        <v>1046416</v>
      </c>
      <c r="BC145" s="208">
        <v>0</v>
      </c>
      <c r="BD145" s="208">
        <v>2906710</v>
      </c>
      <c r="BE145" s="208">
        <v>0</v>
      </c>
      <c r="BF145" s="208">
        <v>-783291</v>
      </c>
      <c r="BG145" s="208">
        <v>-440601</v>
      </c>
      <c r="BH145" s="208">
        <v>0</v>
      </c>
      <c r="BI145" s="208">
        <v>-1223892</v>
      </c>
      <c r="BJ145" s="208">
        <v>0</v>
      </c>
      <c r="BK145" s="208">
        <v>-10560562</v>
      </c>
      <c r="BL145" s="208">
        <v>-5940316</v>
      </c>
      <c r="BM145" s="208">
        <v>0</v>
      </c>
      <c r="BN145" s="208">
        <v>-16500878</v>
      </c>
      <c r="BO145" s="208">
        <v>0</v>
      </c>
      <c r="BP145" s="208">
        <v>-13661786</v>
      </c>
      <c r="BQ145" s="208">
        <v>-7684755</v>
      </c>
      <c r="BR145" s="208">
        <v>0</v>
      </c>
      <c r="BS145" s="208">
        <v>-21346541</v>
      </c>
      <c r="BT145" s="208">
        <v>0</v>
      </c>
      <c r="BU145" s="208">
        <v>-10857883</v>
      </c>
      <c r="BV145" s="208">
        <v>-6107559</v>
      </c>
      <c r="BW145" s="208">
        <v>0</v>
      </c>
      <c r="BX145" s="208">
        <v>-16965442</v>
      </c>
      <c r="BY145" s="208">
        <v>0</v>
      </c>
      <c r="BZ145" s="208">
        <v>-2803903</v>
      </c>
      <c r="CA145" s="208">
        <v>-1577196</v>
      </c>
      <c r="CB145" s="208">
        <v>0</v>
      </c>
      <c r="CC145" s="208">
        <v>-4381099</v>
      </c>
      <c r="CD145" s="208">
        <v>0</v>
      </c>
      <c r="CE145" s="208">
        <v>7116129</v>
      </c>
      <c r="CF145" s="208">
        <v>4002823</v>
      </c>
      <c r="CG145" s="208">
        <v>0</v>
      </c>
      <c r="CH145" s="208">
        <v>11118952</v>
      </c>
      <c r="CI145" s="208">
        <v>0</v>
      </c>
      <c r="CJ145" s="208">
        <v>0</v>
      </c>
      <c r="CK145" s="208">
        <v>0</v>
      </c>
      <c r="CL145" s="208">
        <v>0</v>
      </c>
      <c r="CM145" s="208">
        <v>0</v>
      </c>
      <c r="CN145" s="208">
        <v>0</v>
      </c>
      <c r="CO145" s="208">
        <v>0</v>
      </c>
      <c r="CP145" s="208">
        <v>0</v>
      </c>
      <c r="CQ145" s="208">
        <v>0</v>
      </c>
      <c r="CR145" s="208">
        <v>0</v>
      </c>
      <c r="CS145" s="208">
        <v>0</v>
      </c>
      <c r="CT145" s="208">
        <v>-9951899</v>
      </c>
      <c r="CU145" s="208">
        <v>-5597943</v>
      </c>
      <c r="CV145" s="208">
        <v>0</v>
      </c>
      <c r="CW145" s="208">
        <v>-15549842</v>
      </c>
      <c r="CX145" s="208">
        <v>0</v>
      </c>
      <c r="CY145" s="208">
        <v>-16497556</v>
      </c>
      <c r="CZ145" s="208">
        <v>-9279875</v>
      </c>
      <c r="DA145" s="208">
        <v>0</v>
      </c>
      <c r="DB145" s="208">
        <v>-25777431</v>
      </c>
      <c r="DC145" s="208">
        <v>0</v>
      </c>
      <c r="DD145" s="208">
        <v>-3741754</v>
      </c>
      <c r="DE145" s="208">
        <v>-2104736</v>
      </c>
      <c r="DF145" s="208">
        <v>0</v>
      </c>
      <c r="DG145" s="208">
        <v>-5846490</v>
      </c>
      <c r="DH145" s="208">
        <v>0</v>
      </c>
      <c r="DI145" s="208">
        <v>-12755802</v>
      </c>
      <c r="DJ145" s="208">
        <v>-7175139</v>
      </c>
      <c r="DK145" s="208">
        <v>0</v>
      </c>
      <c r="DL145" s="208">
        <v>-19930941</v>
      </c>
      <c r="DM145" s="208">
        <v>5328879</v>
      </c>
      <c r="DN145" s="208">
        <v>4819832</v>
      </c>
      <c r="DO145" s="208">
        <v>5917399</v>
      </c>
      <c r="DP145" s="208">
        <v>0</v>
      </c>
      <c r="DQ145" s="208">
        <v>16066110</v>
      </c>
      <c r="DR145" s="208">
        <v>4261929</v>
      </c>
      <c r="DS145" s="208">
        <v>3849880</v>
      </c>
      <c r="DT145" s="208">
        <v>4721123</v>
      </c>
      <c r="DU145" s="208">
        <v>0</v>
      </c>
      <c r="DV145" s="208">
        <v>12832932</v>
      </c>
      <c r="DW145" s="208">
        <v>1066950</v>
      </c>
      <c r="DX145" s="208">
        <v>969952</v>
      </c>
      <c r="DY145" s="208">
        <v>1196276</v>
      </c>
      <c r="DZ145" s="208">
        <v>0</v>
      </c>
      <c r="EA145" s="208">
        <v>3233178</v>
      </c>
      <c r="EB145" s="208">
        <v>0</v>
      </c>
      <c r="EC145" s="208">
        <v>180897123</v>
      </c>
      <c r="ED145" s="208">
        <v>101754631</v>
      </c>
      <c r="EE145" s="208">
        <v>0</v>
      </c>
      <c r="EF145" s="208">
        <v>282651754</v>
      </c>
      <c r="EG145" s="208">
        <v>0</v>
      </c>
      <c r="EH145" s="208">
        <v>187413428</v>
      </c>
      <c r="EI145" s="208">
        <v>105420053</v>
      </c>
      <c r="EJ145" s="208">
        <v>0</v>
      </c>
      <c r="EK145" s="208">
        <v>292833481</v>
      </c>
      <c r="EL145" s="208">
        <v>0</v>
      </c>
      <c r="EM145" s="208">
        <v>6516305</v>
      </c>
      <c r="EN145" s="208">
        <v>3665422</v>
      </c>
      <c r="EO145" s="208">
        <v>0</v>
      </c>
      <c r="EP145" s="208">
        <v>10181727</v>
      </c>
      <c r="EQ145" s="208">
        <v>1066950</v>
      </c>
      <c r="ER145" s="208">
        <v>7486257</v>
      </c>
      <c r="ES145" s="208">
        <v>4861698</v>
      </c>
      <c r="ET145" s="208">
        <v>0</v>
      </c>
      <c r="EU145" s="208">
        <v>13414905</v>
      </c>
      <c r="EV145" s="666">
        <v>0</v>
      </c>
      <c r="EW145" s="666">
        <v>0.64</v>
      </c>
      <c r="EX145" s="666">
        <v>0.36</v>
      </c>
      <c r="EY145" s="666">
        <v>0</v>
      </c>
      <c r="EZ145" s="666">
        <v>1</v>
      </c>
      <c r="FA145" s="187" t="s">
        <v>1057</v>
      </c>
      <c r="FC145" s="187">
        <v>0</v>
      </c>
    </row>
    <row r="146" spans="1:159" s="187" customFormat="1" x14ac:dyDescent="0.2">
      <c r="B146" s="429" t="s">
        <v>369</v>
      </c>
      <c r="C146" s="429" t="s">
        <v>368</v>
      </c>
      <c r="D146" s="208">
        <v>0</v>
      </c>
      <c r="E146" s="208">
        <v>214656420</v>
      </c>
      <c r="F146" s="208">
        <v>120744236</v>
      </c>
      <c r="G146" s="208">
        <v>0</v>
      </c>
      <c r="H146" s="208">
        <v>335400656</v>
      </c>
      <c r="I146" s="208">
        <v>0</v>
      </c>
      <c r="J146" s="208">
        <v>0</v>
      </c>
      <c r="K146" s="208">
        <v>0</v>
      </c>
      <c r="L146" s="208">
        <v>654901</v>
      </c>
      <c r="M146" s="208">
        <v>654901</v>
      </c>
      <c r="N146" s="208">
        <v>0</v>
      </c>
      <c r="O146" s="208">
        <v>0</v>
      </c>
      <c r="P146" s="208">
        <v>0</v>
      </c>
      <c r="Q146" s="208">
        <v>0</v>
      </c>
      <c r="R146" s="208">
        <v>0</v>
      </c>
      <c r="S146" s="208">
        <v>0</v>
      </c>
      <c r="T146" s="208">
        <v>0</v>
      </c>
      <c r="U146" s="208">
        <v>0</v>
      </c>
      <c r="V146" s="208">
        <v>0</v>
      </c>
      <c r="W146" s="208">
        <v>0</v>
      </c>
      <c r="X146" s="208">
        <v>0</v>
      </c>
      <c r="Y146" s="208">
        <v>0</v>
      </c>
      <c r="Z146" s="208">
        <v>0</v>
      </c>
      <c r="AA146" s="208">
        <v>0</v>
      </c>
      <c r="AB146" s="208">
        <v>0</v>
      </c>
      <c r="AC146" s="208">
        <v>0</v>
      </c>
      <c r="AD146" s="208">
        <v>0</v>
      </c>
      <c r="AE146" s="208">
        <v>0</v>
      </c>
      <c r="AF146" s="208">
        <v>0</v>
      </c>
      <c r="AG146" s="208">
        <v>7725405</v>
      </c>
      <c r="AH146" s="208">
        <v>4345539</v>
      </c>
      <c r="AI146" s="208">
        <v>0</v>
      </c>
      <c r="AJ146" s="208">
        <v>12070944</v>
      </c>
      <c r="AK146" s="208">
        <v>0</v>
      </c>
      <c r="AL146" s="208">
        <v>8140056</v>
      </c>
      <c r="AM146" s="208">
        <v>4578781</v>
      </c>
      <c r="AN146" s="208">
        <v>0</v>
      </c>
      <c r="AO146" s="208">
        <v>12718837</v>
      </c>
      <c r="AP146" s="208">
        <v>0</v>
      </c>
      <c r="AQ146" s="208">
        <v>-9188082</v>
      </c>
      <c r="AR146" s="208">
        <v>-5168296</v>
      </c>
      <c r="AS146" s="208">
        <v>0</v>
      </c>
      <c r="AT146" s="208">
        <v>-14356378</v>
      </c>
      <c r="AU146" s="208">
        <v>0</v>
      </c>
      <c r="AV146" s="208">
        <v>-2585237</v>
      </c>
      <c r="AW146" s="208">
        <v>-1454196</v>
      </c>
      <c r="AX146" s="208">
        <v>0</v>
      </c>
      <c r="AY146" s="208">
        <v>-4039433</v>
      </c>
      <c r="AZ146" s="208">
        <v>0</v>
      </c>
      <c r="BA146" s="208">
        <v>810165</v>
      </c>
      <c r="BB146" s="208">
        <v>455718</v>
      </c>
      <c r="BC146" s="208">
        <v>0</v>
      </c>
      <c r="BD146" s="208">
        <v>1265883</v>
      </c>
      <c r="BE146" s="208">
        <v>0</v>
      </c>
      <c r="BF146" s="208">
        <v>-1686511</v>
      </c>
      <c r="BG146" s="208">
        <v>-948663</v>
      </c>
      <c r="BH146" s="208">
        <v>0</v>
      </c>
      <c r="BI146" s="208">
        <v>-2635174</v>
      </c>
      <c r="BJ146" s="208">
        <v>0</v>
      </c>
      <c r="BK146" s="208">
        <v>-3461583</v>
      </c>
      <c r="BL146" s="208">
        <v>-1947141</v>
      </c>
      <c r="BM146" s="208">
        <v>0</v>
      </c>
      <c r="BN146" s="208">
        <v>-5408724</v>
      </c>
      <c r="BO146" s="208">
        <v>0</v>
      </c>
      <c r="BP146" s="208">
        <v>-23932922</v>
      </c>
      <c r="BQ146" s="208">
        <v>-13462268</v>
      </c>
      <c r="BR146" s="208">
        <v>0</v>
      </c>
      <c r="BS146" s="208">
        <v>-37395190</v>
      </c>
      <c r="BT146" s="208">
        <v>0</v>
      </c>
      <c r="BU146" s="208">
        <v>-7884800</v>
      </c>
      <c r="BV146" s="208">
        <v>-4435200</v>
      </c>
      <c r="BW146" s="208">
        <v>0</v>
      </c>
      <c r="BX146" s="208">
        <v>-12320000</v>
      </c>
      <c r="BY146" s="208">
        <v>0</v>
      </c>
      <c r="BZ146" s="208">
        <v>-16048122</v>
      </c>
      <c r="CA146" s="208">
        <v>-9027068</v>
      </c>
      <c r="CB146" s="208">
        <v>0</v>
      </c>
      <c r="CC146" s="208">
        <v>-25075190</v>
      </c>
      <c r="CD146" s="208">
        <v>0</v>
      </c>
      <c r="CE146" s="208">
        <v>6199827</v>
      </c>
      <c r="CF146" s="208">
        <v>3487402</v>
      </c>
      <c r="CG146" s="208">
        <v>0</v>
      </c>
      <c r="CH146" s="208">
        <v>9687229</v>
      </c>
      <c r="CI146" s="208">
        <v>0</v>
      </c>
      <c r="CJ146" s="208">
        <v>3118570</v>
      </c>
      <c r="CK146" s="208">
        <v>1754195</v>
      </c>
      <c r="CL146" s="208">
        <v>0</v>
      </c>
      <c r="CM146" s="208">
        <v>4872765</v>
      </c>
      <c r="CN146" s="208">
        <v>0</v>
      </c>
      <c r="CO146" s="208">
        <v>-971337</v>
      </c>
      <c r="CP146" s="208">
        <v>-546377</v>
      </c>
      <c r="CQ146" s="208">
        <v>0</v>
      </c>
      <c r="CR146" s="208">
        <v>-1517714</v>
      </c>
      <c r="CS146" s="208">
        <v>0</v>
      </c>
      <c r="CT146" s="208">
        <v>-15732284</v>
      </c>
      <c r="CU146" s="208">
        <v>-8849409</v>
      </c>
      <c r="CV146" s="208">
        <v>0</v>
      </c>
      <c r="CW146" s="208">
        <v>-24581693</v>
      </c>
      <c r="CX146" s="208">
        <v>0</v>
      </c>
      <c r="CY146" s="208">
        <v>-31318146</v>
      </c>
      <c r="CZ146" s="208">
        <v>-17616457</v>
      </c>
      <c r="DA146" s="208">
        <v>0</v>
      </c>
      <c r="DB146" s="208">
        <v>-48934603</v>
      </c>
      <c r="DC146" s="208">
        <v>0</v>
      </c>
      <c r="DD146" s="208">
        <v>-2656310</v>
      </c>
      <c r="DE146" s="208">
        <v>-1494175</v>
      </c>
      <c r="DF146" s="208">
        <v>0</v>
      </c>
      <c r="DG146" s="208">
        <v>-4150485</v>
      </c>
      <c r="DH146" s="208">
        <v>0</v>
      </c>
      <c r="DI146" s="208">
        <v>-28661836</v>
      </c>
      <c r="DJ146" s="208">
        <v>-16122282</v>
      </c>
      <c r="DK146" s="208">
        <v>0</v>
      </c>
      <c r="DL146" s="208">
        <v>-44784118</v>
      </c>
      <c r="DM146" s="208">
        <v>1366363</v>
      </c>
      <c r="DN146" s="208">
        <v>693412</v>
      </c>
      <c r="DO146" s="208">
        <v>251599</v>
      </c>
      <c r="DP146" s="208">
        <v>0</v>
      </c>
      <c r="DQ146" s="208">
        <v>2311374</v>
      </c>
      <c r="DR146" s="208">
        <v>2568821</v>
      </c>
      <c r="DS146" s="208">
        <v>1787881</v>
      </c>
      <c r="DT146" s="208">
        <v>1602899</v>
      </c>
      <c r="DU146" s="208">
        <v>0</v>
      </c>
      <c r="DV146" s="208">
        <v>5959601</v>
      </c>
      <c r="DW146" s="208">
        <v>-1202458</v>
      </c>
      <c r="DX146" s="208">
        <v>-1094469</v>
      </c>
      <c r="DY146" s="208">
        <v>-1351300</v>
      </c>
      <c r="DZ146" s="208">
        <v>0</v>
      </c>
      <c r="EA146" s="208">
        <v>-3648227</v>
      </c>
      <c r="EB146" s="208">
        <v>0</v>
      </c>
      <c r="EC146" s="208">
        <v>211917528</v>
      </c>
      <c r="ED146" s="208">
        <v>119203610</v>
      </c>
      <c r="EE146" s="208">
        <v>0</v>
      </c>
      <c r="EF146" s="208">
        <v>331121138</v>
      </c>
      <c r="EG146" s="208">
        <v>0</v>
      </c>
      <c r="EH146" s="208">
        <v>214656420</v>
      </c>
      <c r="EI146" s="208">
        <v>120744236</v>
      </c>
      <c r="EJ146" s="208">
        <v>0</v>
      </c>
      <c r="EK146" s="208">
        <v>335400656</v>
      </c>
      <c r="EL146" s="208">
        <v>0</v>
      </c>
      <c r="EM146" s="208">
        <v>2738892</v>
      </c>
      <c r="EN146" s="208">
        <v>1540626</v>
      </c>
      <c r="EO146" s="208">
        <v>0</v>
      </c>
      <c r="EP146" s="208">
        <v>4279518</v>
      </c>
      <c r="EQ146" s="208">
        <v>-1202458</v>
      </c>
      <c r="ER146" s="208">
        <v>1644423</v>
      </c>
      <c r="ES146" s="208">
        <v>189326</v>
      </c>
      <c r="ET146" s="208">
        <v>0</v>
      </c>
      <c r="EU146" s="208">
        <v>631291</v>
      </c>
      <c r="EV146" s="666">
        <v>0</v>
      </c>
      <c r="EW146" s="666">
        <v>0.64</v>
      </c>
      <c r="EX146" s="666">
        <v>0.36</v>
      </c>
      <c r="EY146" s="666">
        <v>0</v>
      </c>
      <c r="EZ146" s="666">
        <v>1</v>
      </c>
      <c r="FA146" s="187" t="s">
        <v>1057</v>
      </c>
      <c r="FC146" s="187">
        <v>0</v>
      </c>
    </row>
    <row r="147" spans="1:159" s="187" customFormat="1" x14ac:dyDescent="0.2">
      <c r="B147" s="429" t="s">
        <v>371</v>
      </c>
      <c r="C147" s="429" t="s">
        <v>370</v>
      </c>
      <c r="D147" s="208">
        <v>16031761</v>
      </c>
      <c r="E147" s="208">
        <v>12825408</v>
      </c>
      <c r="F147" s="208">
        <v>3206352</v>
      </c>
      <c r="G147" s="208">
        <v>0</v>
      </c>
      <c r="H147" s="208">
        <v>32063521</v>
      </c>
      <c r="I147" s="208">
        <v>0</v>
      </c>
      <c r="J147" s="208">
        <v>0</v>
      </c>
      <c r="K147" s="208">
        <v>16031761</v>
      </c>
      <c r="L147" s="208">
        <v>109312</v>
      </c>
      <c r="M147" s="208">
        <v>109312</v>
      </c>
      <c r="N147" s="208">
        <v>0</v>
      </c>
      <c r="O147" s="208">
        <v>0</v>
      </c>
      <c r="P147" s="208">
        <v>347536</v>
      </c>
      <c r="Q147" s="208">
        <v>0</v>
      </c>
      <c r="R147" s="208">
        <v>347536</v>
      </c>
      <c r="S147" s="208">
        <v>0</v>
      </c>
      <c r="T147" s="208">
        <v>0</v>
      </c>
      <c r="U147" s="208">
        <v>0</v>
      </c>
      <c r="V147" s="208">
        <v>0</v>
      </c>
      <c r="W147" s="208">
        <v>0</v>
      </c>
      <c r="X147" s="208">
        <v>0</v>
      </c>
      <c r="Y147" s="208">
        <v>0</v>
      </c>
      <c r="Z147" s="208">
        <v>0</v>
      </c>
      <c r="AA147" s="208">
        <v>0</v>
      </c>
      <c r="AB147" s="208">
        <v>0</v>
      </c>
      <c r="AC147" s="208">
        <v>0</v>
      </c>
      <c r="AD147" s="208">
        <v>0</v>
      </c>
      <c r="AE147" s="208">
        <v>0</v>
      </c>
      <c r="AF147" s="208">
        <v>0</v>
      </c>
      <c r="AG147" s="208">
        <v>1197583</v>
      </c>
      <c r="AH147" s="208">
        <v>297404</v>
      </c>
      <c r="AI147" s="208">
        <v>0</v>
      </c>
      <c r="AJ147" s="208">
        <v>1494987</v>
      </c>
      <c r="AK147" s="208">
        <v>86011</v>
      </c>
      <c r="AL147" s="208">
        <v>68808</v>
      </c>
      <c r="AM147" s="208">
        <v>17202</v>
      </c>
      <c r="AN147" s="208">
        <v>0</v>
      </c>
      <c r="AO147" s="208">
        <v>172021</v>
      </c>
      <c r="AP147" s="208">
        <v>-183707</v>
      </c>
      <c r="AQ147" s="208">
        <v>-146966</v>
      </c>
      <c r="AR147" s="208">
        <v>-36742</v>
      </c>
      <c r="AS147" s="208">
        <v>0</v>
      </c>
      <c r="AT147" s="208">
        <v>-367415</v>
      </c>
      <c r="AU147" s="208">
        <v>-30890</v>
      </c>
      <c r="AV147" s="208">
        <v>-24712</v>
      </c>
      <c r="AW147" s="208">
        <v>-6178</v>
      </c>
      <c r="AX147" s="208">
        <v>0</v>
      </c>
      <c r="AY147" s="208">
        <v>-61780</v>
      </c>
      <c r="AZ147" s="208">
        <v>58225</v>
      </c>
      <c r="BA147" s="208">
        <v>46580</v>
      </c>
      <c r="BB147" s="208">
        <v>11645</v>
      </c>
      <c r="BC147" s="208">
        <v>0</v>
      </c>
      <c r="BD147" s="208">
        <v>116450</v>
      </c>
      <c r="BE147" s="208">
        <v>-62927</v>
      </c>
      <c r="BF147" s="208">
        <v>-50342</v>
      </c>
      <c r="BG147" s="208">
        <v>-12585</v>
      </c>
      <c r="BH147" s="208">
        <v>0</v>
      </c>
      <c r="BI147" s="208">
        <v>-125854</v>
      </c>
      <c r="BJ147" s="208">
        <v>-35592</v>
      </c>
      <c r="BK147" s="208">
        <v>-28474</v>
      </c>
      <c r="BL147" s="208">
        <v>-7118</v>
      </c>
      <c r="BM147" s="208">
        <v>0</v>
      </c>
      <c r="BN147" s="208">
        <v>-71184</v>
      </c>
      <c r="BO147" s="208">
        <v>-2154628</v>
      </c>
      <c r="BP147" s="208">
        <v>-1723703</v>
      </c>
      <c r="BQ147" s="208">
        <v>-430926</v>
      </c>
      <c r="BR147" s="208">
        <v>0</v>
      </c>
      <c r="BS147" s="208">
        <v>-4309257</v>
      </c>
      <c r="BT147" s="208">
        <v>-1954628</v>
      </c>
      <c r="BU147" s="208">
        <v>-1563703</v>
      </c>
      <c r="BV147" s="208">
        <v>-390926</v>
      </c>
      <c r="BW147" s="208">
        <v>0</v>
      </c>
      <c r="BX147" s="208">
        <v>-3909257</v>
      </c>
      <c r="BY147" s="208">
        <v>-200000</v>
      </c>
      <c r="BZ147" s="208">
        <v>-160000</v>
      </c>
      <c r="CA147" s="208">
        <v>-40000</v>
      </c>
      <c r="CB147" s="208">
        <v>0</v>
      </c>
      <c r="CC147" s="208">
        <v>-400000</v>
      </c>
      <c r="CD147" s="208">
        <v>213634</v>
      </c>
      <c r="CE147" s="208">
        <v>170908</v>
      </c>
      <c r="CF147" s="208">
        <v>42727</v>
      </c>
      <c r="CG147" s="208">
        <v>0</v>
      </c>
      <c r="CH147" s="208">
        <v>427269</v>
      </c>
      <c r="CI147" s="208">
        <v>0</v>
      </c>
      <c r="CJ147" s="208">
        <v>0</v>
      </c>
      <c r="CK147" s="208">
        <v>0</v>
      </c>
      <c r="CL147" s="208">
        <v>0</v>
      </c>
      <c r="CM147" s="208">
        <v>0</v>
      </c>
      <c r="CN147" s="208">
        <v>241717</v>
      </c>
      <c r="CO147" s="208">
        <v>193373</v>
      </c>
      <c r="CP147" s="208">
        <v>48343</v>
      </c>
      <c r="CQ147" s="208">
        <v>0</v>
      </c>
      <c r="CR147" s="208">
        <v>483433</v>
      </c>
      <c r="CS147" s="208">
        <v>-448693</v>
      </c>
      <c r="CT147" s="208">
        <v>-358955</v>
      </c>
      <c r="CU147" s="208">
        <v>-89739</v>
      </c>
      <c r="CV147" s="208">
        <v>0</v>
      </c>
      <c r="CW147" s="208">
        <v>-897387</v>
      </c>
      <c r="CX147" s="208">
        <v>-2147970</v>
      </c>
      <c r="CY147" s="208">
        <v>-1718377</v>
      </c>
      <c r="CZ147" s="208">
        <v>-429595</v>
      </c>
      <c r="DA147" s="208">
        <v>0</v>
      </c>
      <c r="DB147" s="208">
        <v>-4295942</v>
      </c>
      <c r="DC147" s="208">
        <v>-1499277</v>
      </c>
      <c r="DD147" s="208">
        <v>-1199422</v>
      </c>
      <c r="DE147" s="208">
        <v>-299856</v>
      </c>
      <c r="DF147" s="208">
        <v>0</v>
      </c>
      <c r="DG147" s="208">
        <v>-2998555</v>
      </c>
      <c r="DH147" s="208">
        <v>-648693</v>
      </c>
      <c r="DI147" s="208">
        <v>-518955</v>
      </c>
      <c r="DJ147" s="208">
        <v>-129739</v>
      </c>
      <c r="DK147" s="208">
        <v>0</v>
      </c>
      <c r="DL147" s="208">
        <v>-1297387</v>
      </c>
      <c r="DM147" s="208">
        <v>-980452</v>
      </c>
      <c r="DN147" s="208">
        <v>-784362</v>
      </c>
      <c r="DO147" s="208">
        <v>-196090</v>
      </c>
      <c r="DP147" s="208">
        <v>0</v>
      </c>
      <c r="DQ147" s="208">
        <v>-1960904</v>
      </c>
      <c r="DR147" s="208">
        <v>-885913</v>
      </c>
      <c r="DS147" s="208">
        <v>-708731</v>
      </c>
      <c r="DT147" s="208">
        <v>-177183</v>
      </c>
      <c r="DU147" s="208">
        <v>0</v>
      </c>
      <c r="DV147" s="208">
        <v>-1771827</v>
      </c>
      <c r="DW147" s="208">
        <v>-94539</v>
      </c>
      <c r="DX147" s="208">
        <v>-75631</v>
      </c>
      <c r="DY147" s="208">
        <v>-18907</v>
      </c>
      <c r="DZ147" s="208">
        <v>0</v>
      </c>
      <c r="EA147" s="208">
        <v>-189077</v>
      </c>
      <c r="EB147" s="208">
        <v>15638834</v>
      </c>
      <c r="EC147" s="208">
        <v>12511068</v>
      </c>
      <c r="ED147" s="208">
        <v>3127767</v>
      </c>
      <c r="EE147" s="208">
        <v>0</v>
      </c>
      <c r="EF147" s="208">
        <v>31277669</v>
      </c>
      <c r="EG147" s="208">
        <v>16031761</v>
      </c>
      <c r="EH147" s="208">
        <v>12825408</v>
      </c>
      <c r="EI147" s="208">
        <v>3206352</v>
      </c>
      <c r="EJ147" s="208">
        <v>0</v>
      </c>
      <c r="EK147" s="208">
        <v>32063521</v>
      </c>
      <c r="EL147" s="208">
        <v>392927</v>
      </c>
      <c r="EM147" s="208">
        <v>314340</v>
      </c>
      <c r="EN147" s="208">
        <v>78585</v>
      </c>
      <c r="EO147" s="208">
        <v>0</v>
      </c>
      <c r="EP147" s="208">
        <v>785852</v>
      </c>
      <c r="EQ147" s="208">
        <v>298388</v>
      </c>
      <c r="ER147" s="208">
        <v>238709</v>
      </c>
      <c r="ES147" s="208">
        <v>59678</v>
      </c>
      <c r="ET147" s="208">
        <v>0</v>
      </c>
      <c r="EU147" s="208">
        <v>596775</v>
      </c>
      <c r="EV147" s="666">
        <v>0.5</v>
      </c>
      <c r="EW147" s="666">
        <v>0.4</v>
      </c>
      <c r="EX147" s="666">
        <v>0.1</v>
      </c>
      <c r="EY147" s="666">
        <v>0</v>
      </c>
      <c r="EZ147" s="666">
        <v>1</v>
      </c>
      <c r="FA147" s="187" t="s">
        <v>1054</v>
      </c>
      <c r="FC147" s="187">
        <v>0</v>
      </c>
    </row>
    <row r="148" spans="1:159" s="187" customFormat="1" x14ac:dyDescent="0.2">
      <c r="A148" s="187" t="s">
        <v>1817</v>
      </c>
      <c r="B148" s="429" t="s">
        <v>373</v>
      </c>
      <c r="C148" s="429" t="s">
        <v>372</v>
      </c>
      <c r="D148" s="208">
        <v>21544039</v>
      </c>
      <c r="E148" s="208">
        <v>17235231</v>
      </c>
      <c r="F148" s="208">
        <v>4308808</v>
      </c>
      <c r="G148" s="208">
        <v>0</v>
      </c>
      <c r="H148" s="208">
        <v>43088078</v>
      </c>
      <c r="I148" s="208">
        <v>78133</v>
      </c>
      <c r="J148" s="208">
        <v>78133</v>
      </c>
      <c r="K148" s="208">
        <v>21465906</v>
      </c>
      <c r="L148" s="208">
        <v>219879</v>
      </c>
      <c r="M148" s="208">
        <v>219879</v>
      </c>
      <c r="N148" s="208">
        <v>0</v>
      </c>
      <c r="O148" s="208">
        <v>0</v>
      </c>
      <c r="P148" s="208">
        <v>3162615</v>
      </c>
      <c r="Q148" s="208">
        <v>0</v>
      </c>
      <c r="R148" s="208">
        <v>3162615</v>
      </c>
      <c r="S148" s="208">
        <v>0</v>
      </c>
      <c r="T148" s="208">
        <v>0</v>
      </c>
      <c r="U148" s="208">
        <v>0</v>
      </c>
      <c r="V148" s="208">
        <v>0</v>
      </c>
      <c r="W148" s="208">
        <v>78133.443750000006</v>
      </c>
      <c r="X148" s="208">
        <v>0</v>
      </c>
      <c r="Y148" s="208">
        <v>0</v>
      </c>
      <c r="Z148" s="208">
        <v>78133.443750000006</v>
      </c>
      <c r="AA148" s="208">
        <v>0</v>
      </c>
      <c r="AB148" s="208">
        <v>0</v>
      </c>
      <c r="AC148" s="208">
        <v>0</v>
      </c>
      <c r="AD148" s="208">
        <v>0</v>
      </c>
      <c r="AE148" s="208">
        <v>0</v>
      </c>
      <c r="AF148" s="208">
        <v>0</v>
      </c>
      <c r="AG148" s="208">
        <v>2353492</v>
      </c>
      <c r="AH148" s="208">
        <v>568691</v>
      </c>
      <c r="AI148" s="208">
        <v>0</v>
      </c>
      <c r="AJ148" s="208">
        <v>2922183</v>
      </c>
      <c r="AK148" s="208">
        <v>336778</v>
      </c>
      <c r="AL148" s="208">
        <v>269422</v>
      </c>
      <c r="AM148" s="208">
        <v>67356</v>
      </c>
      <c r="AN148" s="208">
        <v>0</v>
      </c>
      <c r="AO148" s="208">
        <v>673556</v>
      </c>
      <c r="AP148" s="208">
        <v>-212858</v>
      </c>
      <c r="AQ148" s="208">
        <v>-170286</v>
      </c>
      <c r="AR148" s="208">
        <v>-42572</v>
      </c>
      <c r="AS148" s="208">
        <v>0</v>
      </c>
      <c r="AT148" s="208">
        <v>-425716</v>
      </c>
      <c r="AU148" s="208">
        <v>-185317</v>
      </c>
      <c r="AV148" s="208">
        <v>-148254</v>
      </c>
      <c r="AW148" s="208">
        <v>-37063</v>
      </c>
      <c r="AX148" s="208">
        <v>0</v>
      </c>
      <c r="AY148" s="208">
        <v>-370634</v>
      </c>
      <c r="AZ148" s="208">
        <v>72337</v>
      </c>
      <c r="BA148" s="208">
        <v>57870</v>
      </c>
      <c r="BB148" s="208">
        <v>14468</v>
      </c>
      <c r="BC148" s="208">
        <v>0</v>
      </c>
      <c r="BD148" s="208">
        <v>144675</v>
      </c>
      <c r="BE148" s="208">
        <v>-52343</v>
      </c>
      <c r="BF148" s="208">
        <v>-41874</v>
      </c>
      <c r="BG148" s="208">
        <v>-10469</v>
      </c>
      <c r="BH148" s="208">
        <v>0</v>
      </c>
      <c r="BI148" s="208">
        <v>-104686</v>
      </c>
      <c r="BJ148" s="208">
        <v>-165323</v>
      </c>
      <c r="BK148" s="208">
        <v>-132258</v>
      </c>
      <c r="BL148" s="208">
        <v>-33064</v>
      </c>
      <c r="BM148" s="208">
        <v>0</v>
      </c>
      <c r="BN148" s="208">
        <v>-330645</v>
      </c>
      <c r="BO148" s="208">
        <v>-2538361.5999999996</v>
      </c>
      <c r="BP148" s="208">
        <v>-2030689</v>
      </c>
      <c r="BQ148" s="208">
        <v>-507672</v>
      </c>
      <c r="BR148" s="208">
        <v>0</v>
      </c>
      <c r="BS148" s="208">
        <v>-5076722.5999999996</v>
      </c>
      <c r="BT148" s="208">
        <v>-1437921</v>
      </c>
      <c r="BU148" s="208">
        <v>-1150337</v>
      </c>
      <c r="BV148" s="208">
        <v>-287584</v>
      </c>
      <c r="BW148" s="208">
        <v>0</v>
      </c>
      <c r="BX148" s="208">
        <v>-2875842</v>
      </c>
      <c r="BY148" s="208">
        <v>-1100440.5999999996</v>
      </c>
      <c r="BZ148" s="208">
        <v>-880352</v>
      </c>
      <c r="CA148" s="208">
        <v>-220088</v>
      </c>
      <c r="CB148" s="208">
        <v>0</v>
      </c>
      <c r="CC148" s="208">
        <v>-2200880.5999999996</v>
      </c>
      <c r="CD148" s="208">
        <v>0</v>
      </c>
      <c r="CE148" s="208">
        <v>0</v>
      </c>
      <c r="CF148" s="208">
        <v>0</v>
      </c>
      <c r="CG148" s="208">
        <v>0</v>
      </c>
      <c r="CH148" s="208">
        <v>0</v>
      </c>
      <c r="CI148" s="208">
        <v>0</v>
      </c>
      <c r="CJ148" s="208">
        <v>0</v>
      </c>
      <c r="CK148" s="208">
        <v>0</v>
      </c>
      <c r="CL148" s="208">
        <v>0</v>
      </c>
      <c r="CM148" s="208">
        <v>0</v>
      </c>
      <c r="CN148" s="208">
        <v>1075245</v>
      </c>
      <c r="CO148" s="208">
        <v>860196</v>
      </c>
      <c r="CP148" s="208">
        <v>215049</v>
      </c>
      <c r="CQ148" s="208">
        <v>0</v>
      </c>
      <c r="CR148" s="208">
        <v>2150490</v>
      </c>
      <c r="CS148" s="208">
        <v>-1202497</v>
      </c>
      <c r="CT148" s="208">
        <v>-961998</v>
      </c>
      <c r="CU148" s="208">
        <v>-240499</v>
      </c>
      <c r="CV148" s="208">
        <v>0</v>
      </c>
      <c r="CW148" s="208">
        <v>-2404994</v>
      </c>
      <c r="CX148" s="208">
        <v>-2665613.5999999996</v>
      </c>
      <c r="CY148" s="208">
        <v>-2132491</v>
      </c>
      <c r="CZ148" s="208">
        <v>-533122</v>
      </c>
      <c r="DA148" s="208">
        <v>0</v>
      </c>
      <c r="DB148" s="208">
        <v>-5331226.5999999996</v>
      </c>
      <c r="DC148" s="208">
        <v>-362676</v>
      </c>
      <c r="DD148" s="208">
        <v>-290141</v>
      </c>
      <c r="DE148" s="208">
        <v>-72535</v>
      </c>
      <c r="DF148" s="208">
        <v>0</v>
      </c>
      <c r="DG148" s="208">
        <v>-725352</v>
      </c>
      <c r="DH148" s="208">
        <v>-2302937.5999999996</v>
      </c>
      <c r="DI148" s="208">
        <v>-1842350</v>
      </c>
      <c r="DJ148" s="208">
        <v>-460587</v>
      </c>
      <c r="DK148" s="208">
        <v>0</v>
      </c>
      <c r="DL148" s="208">
        <v>-4605874.5999999996</v>
      </c>
      <c r="DM148" s="208">
        <v>505535</v>
      </c>
      <c r="DN148" s="208">
        <v>404426</v>
      </c>
      <c r="DO148" s="208">
        <v>101105</v>
      </c>
      <c r="DP148" s="208">
        <v>0</v>
      </c>
      <c r="DQ148" s="208">
        <v>1011066</v>
      </c>
      <c r="DR148" s="208">
        <v>784159</v>
      </c>
      <c r="DS148" s="208">
        <v>627327</v>
      </c>
      <c r="DT148" s="208">
        <v>156832</v>
      </c>
      <c r="DU148" s="208">
        <v>0</v>
      </c>
      <c r="DV148" s="208">
        <v>1568318</v>
      </c>
      <c r="DW148" s="208">
        <v>-278624</v>
      </c>
      <c r="DX148" s="208">
        <v>-222901</v>
      </c>
      <c r="DY148" s="208">
        <v>-55727</v>
      </c>
      <c r="DZ148" s="208">
        <v>0</v>
      </c>
      <c r="EA148" s="208">
        <v>-557252</v>
      </c>
      <c r="EB148" s="208">
        <v>21540194</v>
      </c>
      <c r="EC148" s="208">
        <v>17232155</v>
      </c>
      <c r="ED148" s="208">
        <v>4308039</v>
      </c>
      <c r="EE148" s="208">
        <v>0</v>
      </c>
      <c r="EF148" s="208">
        <v>43080388</v>
      </c>
      <c r="EG148" s="208">
        <v>21544039</v>
      </c>
      <c r="EH148" s="208">
        <v>17235231</v>
      </c>
      <c r="EI148" s="208">
        <v>4308808</v>
      </c>
      <c r="EJ148" s="208">
        <v>0</v>
      </c>
      <c r="EK148" s="208">
        <v>43088078</v>
      </c>
      <c r="EL148" s="208">
        <v>3845</v>
      </c>
      <c r="EM148" s="208">
        <v>3076</v>
      </c>
      <c r="EN148" s="208">
        <v>769</v>
      </c>
      <c r="EO148" s="208">
        <v>0</v>
      </c>
      <c r="EP148" s="208">
        <v>7690</v>
      </c>
      <c r="EQ148" s="208">
        <v>-274779</v>
      </c>
      <c r="ER148" s="208">
        <v>-219825</v>
      </c>
      <c r="ES148" s="208">
        <v>-54958</v>
      </c>
      <c r="ET148" s="208">
        <v>0</v>
      </c>
      <c r="EU148" s="208">
        <v>-549562</v>
      </c>
      <c r="EV148" s="666">
        <v>0.5</v>
      </c>
      <c r="EW148" s="666">
        <v>0.4</v>
      </c>
      <c r="EX148" s="666">
        <v>0.1</v>
      </c>
      <c r="EY148" s="666">
        <v>0</v>
      </c>
      <c r="EZ148" s="666">
        <v>1</v>
      </c>
      <c r="FA148" s="187" t="s">
        <v>1054</v>
      </c>
      <c r="FC148" s="187">
        <v>0</v>
      </c>
    </row>
    <row r="149" spans="1:159" s="187" customFormat="1" x14ac:dyDescent="0.2">
      <c r="B149" s="429" t="s">
        <v>375</v>
      </c>
      <c r="C149" s="429" t="s">
        <v>374</v>
      </c>
      <c r="D149" s="208">
        <v>36283010</v>
      </c>
      <c r="E149" s="208">
        <v>35557349</v>
      </c>
      <c r="F149" s="208">
        <v>0</v>
      </c>
      <c r="G149" s="208">
        <v>725660</v>
      </c>
      <c r="H149" s="208">
        <v>72566019</v>
      </c>
      <c r="I149" s="208">
        <v>311593</v>
      </c>
      <c r="J149" s="208">
        <v>311593</v>
      </c>
      <c r="K149" s="208">
        <v>35971417</v>
      </c>
      <c r="L149" s="208">
        <v>356351</v>
      </c>
      <c r="M149" s="208">
        <v>356351</v>
      </c>
      <c r="N149" s="208">
        <v>2857973</v>
      </c>
      <c r="O149" s="208">
        <v>2857973</v>
      </c>
      <c r="P149" s="208">
        <v>50509</v>
      </c>
      <c r="Q149" s="208">
        <v>0</v>
      </c>
      <c r="R149" s="208">
        <v>50509</v>
      </c>
      <c r="S149" s="208">
        <v>0</v>
      </c>
      <c r="T149" s="208">
        <v>0</v>
      </c>
      <c r="U149" s="208">
        <v>0</v>
      </c>
      <c r="V149" s="208">
        <v>0</v>
      </c>
      <c r="W149" s="208">
        <v>311592.69166666665</v>
      </c>
      <c r="X149" s="208">
        <v>0</v>
      </c>
      <c r="Y149" s="208">
        <v>0</v>
      </c>
      <c r="Z149" s="208">
        <v>311592.69166666665</v>
      </c>
      <c r="AA149" s="208">
        <v>0</v>
      </c>
      <c r="AB149" s="208">
        <v>0</v>
      </c>
      <c r="AC149" s="208">
        <v>0</v>
      </c>
      <c r="AD149" s="208">
        <v>0</v>
      </c>
      <c r="AE149" s="208">
        <v>0</v>
      </c>
      <c r="AF149" s="208">
        <v>0</v>
      </c>
      <c r="AG149" s="208">
        <v>4393760</v>
      </c>
      <c r="AH149" s="208">
        <v>0</v>
      </c>
      <c r="AI149" s="208">
        <v>88139</v>
      </c>
      <c r="AJ149" s="208">
        <v>4481899</v>
      </c>
      <c r="AK149" s="208">
        <v>1732878</v>
      </c>
      <c r="AL149" s="208">
        <v>1698221</v>
      </c>
      <c r="AM149" s="208">
        <v>0</v>
      </c>
      <c r="AN149" s="208">
        <v>34658</v>
      </c>
      <c r="AO149" s="208">
        <v>3465757</v>
      </c>
      <c r="AP149" s="208">
        <v>-562325</v>
      </c>
      <c r="AQ149" s="208">
        <v>-551079</v>
      </c>
      <c r="AR149" s="208">
        <v>0</v>
      </c>
      <c r="AS149" s="208">
        <v>-11247</v>
      </c>
      <c r="AT149" s="208">
        <v>-1124651</v>
      </c>
      <c r="AU149" s="208">
        <v>-625000</v>
      </c>
      <c r="AV149" s="208">
        <v>-612500</v>
      </c>
      <c r="AW149" s="208">
        <v>0</v>
      </c>
      <c r="AX149" s="208">
        <v>-12500</v>
      </c>
      <c r="AY149" s="208">
        <v>-1250000</v>
      </c>
      <c r="AZ149" s="208">
        <v>1048347</v>
      </c>
      <c r="BA149" s="208">
        <v>1027381</v>
      </c>
      <c r="BB149" s="208">
        <v>0</v>
      </c>
      <c r="BC149" s="208">
        <v>20967</v>
      </c>
      <c r="BD149" s="208">
        <v>2096695</v>
      </c>
      <c r="BE149" s="208">
        <v>-900000</v>
      </c>
      <c r="BF149" s="208">
        <v>-882000</v>
      </c>
      <c r="BG149" s="208">
        <v>0</v>
      </c>
      <c r="BH149" s="208">
        <v>-18000</v>
      </c>
      <c r="BI149" s="208">
        <v>-1800000</v>
      </c>
      <c r="BJ149" s="208">
        <v>-476653</v>
      </c>
      <c r="BK149" s="208">
        <v>-467119</v>
      </c>
      <c r="BL149" s="208">
        <v>0</v>
      </c>
      <c r="BM149" s="208">
        <v>-9533</v>
      </c>
      <c r="BN149" s="208">
        <v>-953305</v>
      </c>
      <c r="BO149" s="208">
        <v>-2627000</v>
      </c>
      <c r="BP149" s="208">
        <v>-2574460</v>
      </c>
      <c r="BQ149" s="208">
        <v>0</v>
      </c>
      <c r="BR149" s="208">
        <v>-52540</v>
      </c>
      <c r="BS149" s="208">
        <v>-5254000</v>
      </c>
      <c r="BT149" s="208">
        <v>-2000000</v>
      </c>
      <c r="BU149" s="208">
        <v>-1960000</v>
      </c>
      <c r="BV149" s="208">
        <v>0</v>
      </c>
      <c r="BW149" s="208">
        <v>-40000</v>
      </c>
      <c r="BX149" s="208">
        <v>-4000000</v>
      </c>
      <c r="BY149" s="208">
        <v>-627000</v>
      </c>
      <c r="BZ149" s="208">
        <v>-614460</v>
      </c>
      <c r="CA149" s="208">
        <v>0</v>
      </c>
      <c r="CB149" s="208">
        <v>-12540</v>
      </c>
      <c r="CC149" s="208">
        <v>-1254000</v>
      </c>
      <c r="CD149" s="208">
        <v>500000</v>
      </c>
      <c r="CE149" s="208">
        <v>490000</v>
      </c>
      <c r="CF149" s="208">
        <v>0</v>
      </c>
      <c r="CG149" s="208">
        <v>10000</v>
      </c>
      <c r="CH149" s="208">
        <v>1000000</v>
      </c>
      <c r="CI149" s="208">
        <v>850000</v>
      </c>
      <c r="CJ149" s="208">
        <v>833000</v>
      </c>
      <c r="CK149" s="208">
        <v>0</v>
      </c>
      <c r="CL149" s="208">
        <v>17000</v>
      </c>
      <c r="CM149" s="208">
        <v>1700000</v>
      </c>
      <c r="CN149" s="208">
        <v>-1000000</v>
      </c>
      <c r="CO149" s="208">
        <v>-980000</v>
      </c>
      <c r="CP149" s="208">
        <v>0</v>
      </c>
      <c r="CQ149" s="208">
        <v>-20000</v>
      </c>
      <c r="CR149" s="208">
        <v>-2000000</v>
      </c>
      <c r="CS149" s="208">
        <v>-3750000</v>
      </c>
      <c r="CT149" s="208">
        <v>-3675000</v>
      </c>
      <c r="CU149" s="208">
        <v>0</v>
      </c>
      <c r="CV149" s="208">
        <v>-75000</v>
      </c>
      <c r="CW149" s="208">
        <v>-7500000</v>
      </c>
      <c r="CX149" s="208">
        <v>-6027000</v>
      </c>
      <c r="CY149" s="208">
        <v>-5906460</v>
      </c>
      <c r="CZ149" s="208">
        <v>0</v>
      </c>
      <c r="DA149" s="208">
        <v>-120540</v>
      </c>
      <c r="DB149" s="208">
        <v>-12054000</v>
      </c>
      <c r="DC149" s="208">
        <v>-2500000</v>
      </c>
      <c r="DD149" s="208">
        <v>-2450000</v>
      </c>
      <c r="DE149" s="208">
        <v>0</v>
      </c>
      <c r="DF149" s="208">
        <v>-50000</v>
      </c>
      <c r="DG149" s="208">
        <v>-5000000</v>
      </c>
      <c r="DH149" s="208">
        <v>-3527000</v>
      </c>
      <c r="DI149" s="208">
        <v>-3456460</v>
      </c>
      <c r="DJ149" s="208">
        <v>0</v>
      </c>
      <c r="DK149" s="208">
        <v>-70540</v>
      </c>
      <c r="DL149" s="208">
        <v>-7054000</v>
      </c>
      <c r="DM149" s="208">
        <v>-1836086</v>
      </c>
      <c r="DN149" s="208">
        <v>-1799363</v>
      </c>
      <c r="DO149" s="208">
        <v>0</v>
      </c>
      <c r="DP149" s="208">
        <v>-36721</v>
      </c>
      <c r="DQ149" s="208">
        <v>-3672170</v>
      </c>
      <c r="DR149" s="208">
        <v>-858824</v>
      </c>
      <c r="DS149" s="208">
        <v>-841648</v>
      </c>
      <c r="DT149" s="208">
        <v>0</v>
      </c>
      <c r="DU149" s="208">
        <v>-17176</v>
      </c>
      <c r="DV149" s="208">
        <v>-1717648</v>
      </c>
      <c r="DW149" s="208">
        <v>-977262</v>
      </c>
      <c r="DX149" s="208">
        <v>-957715</v>
      </c>
      <c r="DY149" s="208">
        <v>0</v>
      </c>
      <c r="DZ149" s="208">
        <v>-19545</v>
      </c>
      <c r="EA149" s="208">
        <v>-1954522</v>
      </c>
      <c r="EB149" s="208">
        <v>42886087</v>
      </c>
      <c r="EC149" s="208">
        <v>42028366</v>
      </c>
      <c r="ED149" s="208">
        <v>0</v>
      </c>
      <c r="EE149" s="208">
        <v>857722</v>
      </c>
      <c r="EF149" s="208">
        <v>85772175</v>
      </c>
      <c r="EG149" s="208">
        <v>36283010</v>
      </c>
      <c r="EH149" s="208">
        <v>35557349</v>
      </c>
      <c r="EI149" s="208">
        <v>0</v>
      </c>
      <c r="EJ149" s="208">
        <v>725660</v>
      </c>
      <c r="EK149" s="208">
        <v>72566019</v>
      </c>
      <c r="EL149" s="208">
        <v>-6603077</v>
      </c>
      <c r="EM149" s="208">
        <v>-6471017</v>
      </c>
      <c r="EN149" s="208">
        <v>0</v>
      </c>
      <c r="EO149" s="208">
        <v>-132062</v>
      </c>
      <c r="EP149" s="208">
        <v>-13206156</v>
      </c>
      <c r="EQ149" s="208">
        <v>-7580339</v>
      </c>
      <c r="ER149" s="208">
        <v>-7428732</v>
      </c>
      <c r="ES149" s="208">
        <v>0</v>
      </c>
      <c r="ET149" s="208">
        <v>-151607</v>
      </c>
      <c r="EU149" s="208">
        <v>-15160678</v>
      </c>
      <c r="EV149" s="666">
        <v>0.5</v>
      </c>
      <c r="EW149" s="666">
        <v>0.49</v>
      </c>
      <c r="EX149" s="666">
        <v>0</v>
      </c>
      <c r="EY149" s="666">
        <v>0.01</v>
      </c>
      <c r="EZ149" s="666">
        <v>1</v>
      </c>
      <c r="FA149" s="187" t="s">
        <v>742</v>
      </c>
      <c r="FC149" s="187">
        <v>0</v>
      </c>
    </row>
    <row r="150" spans="1:159" s="187" customFormat="1" x14ac:dyDescent="0.2">
      <c r="B150" s="429" t="s">
        <v>377</v>
      </c>
      <c r="C150" s="429" t="s">
        <v>376</v>
      </c>
      <c r="D150" s="208">
        <v>0</v>
      </c>
      <c r="E150" s="208">
        <v>54272329</v>
      </c>
      <c r="F150" s="208">
        <v>30528185</v>
      </c>
      <c r="G150" s="208">
        <v>0</v>
      </c>
      <c r="H150" s="208">
        <v>84800514</v>
      </c>
      <c r="I150" s="208">
        <v>0</v>
      </c>
      <c r="J150" s="208">
        <v>0</v>
      </c>
      <c r="K150" s="208">
        <v>0</v>
      </c>
      <c r="L150" s="208">
        <v>242238</v>
      </c>
      <c r="M150" s="208">
        <v>242238</v>
      </c>
      <c r="N150" s="208">
        <v>0</v>
      </c>
      <c r="O150" s="208">
        <v>0</v>
      </c>
      <c r="P150" s="208">
        <v>0</v>
      </c>
      <c r="Q150" s="208">
        <v>0</v>
      </c>
      <c r="R150" s="208">
        <v>0</v>
      </c>
      <c r="S150" s="208">
        <v>0</v>
      </c>
      <c r="T150" s="208">
        <v>0</v>
      </c>
      <c r="U150" s="208">
        <v>0</v>
      </c>
      <c r="V150" s="208">
        <v>0</v>
      </c>
      <c r="W150" s="208">
        <v>0</v>
      </c>
      <c r="X150" s="208">
        <v>0</v>
      </c>
      <c r="Y150" s="208">
        <v>0</v>
      </c>
      <c r="Z150" s="208">
        <v>0</v>
      </c>
      <c r="AA150" s="208">
        <v>0</v>
      </c>
      <c r="AB150" s="208">
        <v>0</v>
      </c>
      <c r="AC150" s="208">
        <v>0</v>
      </c>
      <c r="AD150" s="208">
        <v>0</v>
      </c>
      <c r="AE150" s="208">
        <v>0</v>
      </c>
      <c r="AF150" s="208">
        <v>0</v>
      </c>
      <c r="AG150" s="208">
        <v>3479408</v>
      </c>
      <c r="AH150" s="208">
        <v>1957166</v>
      </c>
      <c r="AI150" s="208">
        <v>0</v>
      </c>
      <c r="AJ150" s="208">
        <v>5436574</v>
      </c>
      <c r="AK150" s="208">
        <v>0</v>
      </c>
      <c r="AL150" s="208">
        <v>3071067</v>
      </c>
      <c r="AM150" s="208">
        <v>1727475</v>
      </c>
      <c r="AN150" s="208">
        <v>0</v>
      </c>
      <c r="AO150" s="208">
        <v>4798542</v>
      </c>
      <c r="AP150" s="208">
        <v>0.3893555992981419</v>
      </c>
      <c r="AQ150" s="208">
        <v>-538817</v>
      </c>
      <c r="AR150" s="208">
        <v>-303085</v>
      </c>
      <c r="AS150" s="208">
        <v>0</v>
      </c>
      <c r="AT150" s="208">
        <v>-841901.6106444007</v>
      </c>
      <c r="AU150" s="208">
        <v>0</v>
      </c>
      <c r="AV150" s="208">
        <v>-3535348</v>
      </c>
      <c r="AW150" s="208">
        <v>-1988633</v>
      </c>
      <c r="AX150" s="208">
        <v>0</v>
      </c>
      <c r="AY150" s="208">
        <v>-5523981</v>
      </c>
      <c r="AZ150" s="208">
        <v>0</v>
      </c>
      <c r="BA150" s="208">
        <v>390522</v>
      </c>
      <c r="BB150" s="208">
        <v>219668</v>
      </c>
      <c r="BC150" s="208">
        <v>0</v>
      </c>
      <c r="BD150" s="208">
        <v>610190</v>
      </c>
      <c r="BE150" s="208">
        <v>0</v>
      </c>
      <c r="BF150" s="208">
        <v>-700844</v>
      </c>
      <c r="BG150" s="208">
        <v>-394224</v>
      </c>
      <c r="BH150" s="208">
        <v>0</v>
      </c>
      <c r="BI150" s="208">
        <v>-1095068</v>
      </c>
      <c r="BJ150" s="208">
        <v>0</v>
      </c>
      <c r="BK150" s="208">
        <v>-3845670</v>
      </c>
      <c r="BL150" s="208">
        <v>-2163189</v>
      </c>
      <c r="BM150" s="208">
        <v>0</v>
      </c>
      <c r="BN150" s="208">
        <v>-6008859</v>
      </c>
      <c r="BO150" s="208">
        <v>0</v>
      </c>
      <c r="BP150" s="208">
        <v>-1061539</v>
      </c>
      <c r="BQ150" s="208">
        <v>-597116</v>
      </c>
      <c r="BR150" s="208">
        <v>0</v>
      </c>
      <c r="BS150" s="208">
        <v>-1658655</v>
      </c>
      <c r="BT150" s="208">
        <v>0</v>
      </c>
      <c r="BU150" s="208">
        <v>0</v>
      </c>
      <c r="BV150" s="208">
        <v>0</v>
      </c>
      <c r="BW150" s="208">
        <v>0</v>
      </c>
      <c r="BX150" s="208">
        <v>0</v>
      </c>
      <c r="BY150" s="208">
        <v>0</v>
      </c>
      <c r="BZ150" s="208">
        <v>-1061539</v>
      </c>
      <c r="CA150" s="208">
        <v>-597116</v>
      </c>
      <c r="CB150" s="208">
        <v>0</v>
      </c>
      <c r="CC150" s="208">
        <v>-1658655</v>
      </c>
      <c r="CD150" s="208">
        <v>0</v>
      </c>
      <c r="CE150" s="208">
        <v>1460041</v>
      </c>
      <c r="CF150" s="208">
        <v>821273</v>
      </c>
      <c r="CG150" s="208">
        <v>0</v>
      </c>
      <c r="CH150" s="208">
        <v>2281314</v>
      </c>
      <c r="CI150" s="208">
        <v>0</v>
      </c>
      <c r="CJ150" s="208">
        <v>0</v>
      </c>
      <c r="CK150" s="208">
        <v>0</v>
      </c>
      <c r="CL150" s="208">
        <v>0</v>
      </c>
      <c r="CM150" s="208">
        <v>0</v>
      </c>
      <c r="CN150" s="208">
        <v>0</v>
      </c>
      <c r="CO150" s="208">
        <v>-1928259</v>
      </c>
      <c r="CP150" s="208">
        <v>-1084645</v>
      </c>
      <c r="CQ150" s="208">
        <v>0</v>
      </c>
      <c r="CR150" s="208">
        <v>-3012904</v>
      </c>
      <c r="CS150" s="208">
        <v>0</v>
      </c>
      <c r="CT150" s="208">
        <v>0</v>
      </c>
      <c r="CU150" s="208">
        <v>0</v>
      </c>
      <c r="CV150" s="208">
        <v>0</v>
      </c>
      <c r="CW150" s="208">
        <v>0</v>
      </c>
      <c r="CX150" s="208">
        <v>0</v>
      </c>
      <c r="CY150" s="208">
        <v>-1529757</v>
      </c>
      <c r="CZ150" s="208">
        <v>-860488</v>
      </c>
      <c r="DA150" s="208">
        <v>0</v>
      </c>
      <c r="DB150" s="208">
        <v>-2390245</v>
      </c>
      <c r="DC150" s="208">
        <v>0</v>
      </c>
      <c r="DD150" s="208">
        <v>-468218</v>
      </c>
      <c r="DE150" s="208">
        <v>-263372</v>
      </c>
      <c r="DF150" s="208">
        <v>0</v>
      </c>
      <c r="DG150" s="208">
        <v>-731590</v>
      </c>
      <c r="DH150" s="208">
        <v>0</v>
      </c>
      <c r="DI150" s="208">
        <v>-1061539</v>
      </c>
      <c r="DJ150" s="208">
        <v>-597116</v>
      </c>
      <c r="DK150" s="208">
        <v>0</v>
      </c>
      <c r="DL150" s="208">
        <v>-1658655</v>
      </c>
      <c r="DM150" s="208">
        <v>2933941</v>
      </c>
      <c r="DN150" s="208">
        <v>2268993</v>
      </c>
      <c r="DO150" s="208">
        <v>2360375</v>
      </c>
      <c r="DP150" s="208">
        <v>0</v>
      </c>
      <c r="DQ150" s="208">
        <v>7563309</v>
      </c>
      <c r="DR150" s="208">
        <v>1304010</v>
      </c>
      <c r="DS150" s="208">
        <v>787200</v>
      </c>
      <c r="DT150" s="208">
        <v>532790</v>
      </c>
      <c r="DU150" s="208">
        <v>0</v>
      </c>
      <c r="DV150" s="208">
        <v>2624000</v>
      </c>
      <c r="DW150" s="208">
        <v>1629931</v>
      </c>
      <c r="DX150" s="208">
        <v>1481793</v>
      </c>
      <c r="DY150" s="208">
        <v>1827585</v>
      </c>
      <c r="DZ150" s="208">
        <v>0</v>
      </c>
      <c r="EA150" s="208">
        <v>4939309</v>
      </c>
      <c r="EB150" s="208">
        <v>0</v>
      </c>
      <c r="EC150" s="208">
        <v>55230936</v>
      </c>
      <c r="ED150" s="208">
        <v>31067402</v>
      </c>
      <c r="EE150" s="208">
        <v>0</v>
      </c>
      <c r="EF150" s="208">
        <v>86298338</v>
      </c>
      <c r="EG150" s="208">
        <v>0</v>
      </c>
      <c r="EH150" s="208">
        <v>54272329</v>
      </c>
      <c r="EI150" s="208">
        <v>30528185</v>
      </c>
      <c r="EJ150" s="208">
        <v>0</v>
      </c>
      <c r="EK150" s="208">
        <v>84800514</v>
      </c>
      <c r="EL150" s="208">
        <v>0</v>
      </c>
      <c r="EM150" s="208">
        <v>-958607</v>
      </c>
      <c r="EN150" s="208">
        <v>-539217</v>
      </c>
      <c r="EO150" s="208">
        <v>0</v>
      </c>
      <c r="EP150" s="208">
        <v>-1497824</v>
      </c>
      <c r="EQ150" s="208">
        <v>1629931</v>
      </c>
      <c r="ER150" s="208">
        <v>523186</v>
      </c>
      <c r="ES150" s="208">
        <v>1288368</v>
      </c>
      <c r="ET150" s="208">
        <v>0</v>
      </c>
      <c r="EU150" s="208">
        <v>3441485</v>
      </c>
      <c r="EV150" s="666">
        <v>0</v>
      </c>
      <c r="EW150" s="666">
        <v>0.64</v>
      </c>
      <c r="EX150" s="666">
        <v>0.36</v>
      </c>
      <c r="EY150" s="666">
        <v>0</v>
      </c>
      <c r="EZ150" s="666">
        <v>1</v>
      </c>
      <c r="FA150" s="187" t="s">
        <v>1055</v>
      </c>
      <c r="FC150" s="187">
        <v>0</v>
      </c>
    </row>
    <row r="151" spans="1:159" s="187" customFormat="1" x14ac:dyDescent="0.2">
      <c r="B151" s="429" t="s">
        <v>379</v>
      </c>
      <c r="C151" s="429" t="s">
        <v>378</v>
      </c>
      <c r="D151" s="208">
        <v>0</v>
      </c>
      <c r="E151" s="208">
        <v>108342875</v>
      </c>
      <c r="F151" s="208">
        <v>0</v>
      </c>
      <c r="G151" s="208">
        <v>1094372</v>
      </c>
      <c r="H151" s="208">
        <v>109437247</v>
      </c>
      <c r="I151" s="208">
        <v>0</v>
      </c>
      <c r="J151" s="208">
        <v>0</v>
      </c>
      <c r="K151" s="208">
        <v>0</v>
      </c>
      <c r="L151" s="208">
        <v>598520</v>
      </c>
      <c r="M151" s="208">
        <v>598520</v>
      </c>
      <c r="N151" s="208">
        <v>72366</v>
      </c>
      <c r="O151" s="208">
        <v>72366</v>
      </c>
      <c r="P151" s="208">
        <v>0</v>
      </c>
      <c r="Q151" s="208">
        <v>0</v>
      </c>
      <c r="R151" s="208">
        <v>0</v>
      </c>
      <c r="S151" s="208">
        <v>0</v>
      </c>
      <c r="T151" s="208">
        <v>0</v>
      </c>
      <c r="U151" s="208">
        <v>0</v>
      </c>
      <c r="V151" s="208">
        <v>0</v>
      </c>
      <c r="W151" s="208">
        <v>0</v>
      </c>
      <c r="X151" s="208">
        <v>0</v>
      </c>
      <c r="Y151" s="208">
        <v>0</v>
      </c>
      <c r="Z151" s="208">
        <v>0</v>
      </c>
      <c r="AA151" s="208">
        <v>0</v>
      </c>
      <c r="AB151" s="208">
        <v>0</v>
      </c>
      <c r="AC151" s="208">
        <v>0</v>
      </c>
      <c r="AD151" s="208">
        <v>0</v>
      </c>
      <c r="AE151" s="208">
        <v>0</v>
      </c>
      <c r="AF151" s="208">
        <v>0</v>
      </c>
      <c r="AG151" s="208">
        <v>16600274</v>
      </c>
      <c r="AH151" s="208">
        <v>0</v>
      </c>
      <c r="AI151" s="208">
        <v>166497</v>
      </c>
      <c r="AJ151" s="208">
        <v>16766771</v>
      </c>
      <c r="AK151" s="208">
        <v>-1</v>
      </c>
      <c r="AL151" s="208">
        <v>4309718</v>
      </c>
      <c r="AM151" s="208">
        <v>0</v>
      </c>
      <c r="AN151" s="208">
        <v>43533</v>
      </c>
      <c r="AO151" s="208">
        <v>4353250</v>
      </c>
      <c r="AP151" s="208">
        <v>0</v>
      </c>
      <c r="AQ151" s="208">
        <v>-1148981</v>
      </c>
      <c r="AR151" s="208">
        <v>0</v>
      </c>
      <c r="AS151" s="208">
        <v>-11606</v>
      </c>
      <c r="AT151" s="208">
        <v>-1160587</v>
      </c>
      <c r="AU151" s="208">
        <v>0</v>
      </c>
      <c r="AV151" s="208">
        <v>-2631204</v>
      </c>
      <c r="AW151" s="208">
        <v>0</v>
      </c>
      <c r="AX151" s="208">
        <v>-26578</v>
      </c>
      <c r="AY151" s="208">
        <v>-2657782</v>
      </c>
      <c r="AZ151" s="208">
        <v>0</v>
      </c>
      <c r="BA151" s="208">
        <v>901545</v>
      </c>
      <c r="BB151" s="208">
        <v>0</v>
      </c>
      <c r="BC151" s="208">
        <v>9107</v>
      </c>
      <c r="BD151" s="208">
        <v>910652</v>
      </c>
      <c r="BE151" s="208">
        <v>0</v>
      </c>
      <c r="BF151" s="208">
        <v>-664968</v>
      </c>
      <c r="BG151" s="208">
        <v>0</v>
      </c>
      <c r="BH151" s="208">
        <v>-6717</v>
      </c>
      <c r="BI151" s="208">
        <v>-671685</v>
      </c>
      <c r="BJ151" s="208">
        <v>0</v>
      </c>
      <c r="BK151" s="208">
        <v>-2394627</v>
      </c>
      <c r="BL151" s="208">
        <v>0</v>
      </c>
      <c r="BM151" s="208">
        <v>-24188</v>
      </c>
      <c r="BN151" s="208">
        <v>-2418815</v>
      </c>
      <c r="BO151" s="208">
        <v>-0.12188899889588356</v>
      </c>
      <c r="BP151" s="208">
        <v>-11414188</v>
      </c>
      <c r="BQ151" s="208">
        <v>0</v>
      </c>
      <c r="BR151" s="208">
        <v>-115295</v>
      </c>
      <c r="BS151" s="208">
        <v>-11529483.121888999</v>
      </c>
      <c r="BT151" s="208">
        <v>0</v>
      </c>
      <c r="BU151" s="208">
        <v>-10547047</v>
      </c>
      <c r="BV151" s="208">
        <v>0</v>
      </c>
      <c r="BW151" s="208">
        <v>-106536</v>
      </c>
      <c r="BX151" s="208">
        <v>-10653583</v>
      </c>
      <c r="BY151" s="208">
        <v>-0.12188899889588356</v>
      </c>
      <c r="BZ151" s="208">
        <v>-867141</v>
      </c>
      <c r="CA151" s="208">
        <v>0</v>
      </c>
      <c r="CB151" s="208">
        <v>-8759</v>
      </c>
      <c r="CC151" s="208">
        <v>-875900.1218889989</v>
      </c>
      <c r="CD151" s="208">
        <v>0</v>
      </c>
      <c r="CE151" s="208">
        <v>1708448</v>
      </c>
      <c r="CF151" s="208">
        <v>0</v>
      </c>
      <c r="CG151" s="208">
        <v>17257</v>
      </c>
      <c r="CH151" s="208">
        <v>1725705</v>
      </c>
      <c r="CI151" s="208">
        <v>0</v>
      </c>
      <c r="CJ151" s="208">
        <v>89919</v>
      </c>
      <c r="CK151" s="208">
        <v>0</v>
      </c>
      <c r="CL151" s="208">
        <v>908</v>
      </c>
      <c r="CM151" s="208">
        <v>90827</v>
      </c>
      <c r="CN151" s="208">
        <v>0</v>
      </c>
      <c r="CO151" s="208">
        <v>4767444</v>
      </c>
      <c r="CP151" s="208">
        <v>0</v>
      </c>
      <c r="CQ151" s="208">
        <v>48156</v>
      </c>
      <c r="CR151" s="208">
        <v>4815600</v>
      </c>
      <c r="CS151" s="208">
        <v>0</v>
      </c>
      <c r="CT151" s="208">
        <v>96221</v>
      </c>
      <c r="CU151" s="208">
        <v>0</v>
      </c>
      <c r="CV151" s="208">
        <v>972</v>
      </c>
      <c r="CW151" s="208">
        <v>97193</v>
      </c>
      <c r="CX151" s="208">
        <v>-0.12188899889588356</v>
      </c>
      <c r="CY151" s="208">
        <v>-4752156</v>
      </c>
      <c r="CZ151" s="208">
        <v>0</v>
      </c>
      <c r="DA151" s="208">
        <v>-48002</v>
      </c>
      <c r="DB151" s="208">
        <v>-4800158.1218889989</v>
      </c>
      <c r="DC151" s="208">
        <v>0</v>
      </c>
      <c r="DD151" s="208">
        <v>-4071155</v>
      </c>
      <c r="DE151" s="208">
        <v>0</v>
      </c>
      <c r="DF151" s="208">
        <v>-41123</v>
      </c>
      <c r="DG151" s="208">
        <v>-4112278</v>
      </c>
      <c r="DH151" s="208">
        <v>-0.12188899889588356</v>
      </c>
      <c r="DI151" s="208">
        <v>-681001</v>
      </c>
      <c r="DJ151" s="208">
        <v>0</v>
      </c>
      <c r="DK151" s="208">
        <v>-6879</v>
      </c>
      <c r="DL151" s="208">
        <v>-687880.1218889989</v>
      </c>
      <c r="DM151" s="208">
        <v>4720.8781110048294</v>
      </c>
      <c r="DN151" s="208">
        <v>4628</v>
      </c>
      <c r="DO151" s="208">
        <v>0</v>
      </c>
      <c r="DP151" s="208">
        <v>94</v>
      </c>
      <c r="DQ151" s="208">
        <v>9442.8781110048294</v>
      </c>
      <c r="DR151" s="208">
        <v>-934</v>
      </c>
      <c r="DS151" s="208">
        <v>-915</v>
      </c>
      <c r="DT151" s="208">
        <v>0</v>
      </c>
      <c r="DU151" s="208">
        <v>-19</v>
      </c>
      <c r="DV151" s="208">
        <v>-1868</v>
      </c>
      <c r="DW151" s="208">
        <v>5654.8781110048294</v>
      </c>
      <c r="DX151" s="208">
        <v>5543</v>
      </c>
      <c r="DY151" s="208">
        <v>0</v>
      </c>
      <c r="DZ151" s="208">
        <v>113</v>
      </c>
      <c r="EA151" s="208">
        <v>11310.878111004829</v>
      </c>
      <c r="EB151" s="208">
        <v>0</v>
      </c>
      <c r="EC151" s="208">
        <v>99648047</v>
      </c>
      <c r="ED151" s="208">
        <v>0</v>
      </c>
      <c r="EE151" s="208">
        <v>1006546</v>
      </c>
      <c r="EF151" s="208">
        <v>100654593</v>
      </c>
      <c r="EG151" s="208">
        <v>0</v>
      </c>
      <c r="EH151" s="208">
        <v>108342875</v>
      </c>
      <c r="EI151" s="208">
        <v>0</v>
      </c>
      <c r="EJ151" s="208">
        <v>1094372</v>
      </c>
      <c r="EK151" s="208">
        <v>109437247</v>
      </c>
      <c r="EL151" s="208">
        <v>0</v>
      </c>
      <c r="EM151" s="208">
        <v>8694828</v>
      </c>
      <c r="EN151" s="208">
        <v>0</v>
      </c>
      <c r="EO151" s="208">
        <v>87826</v>
      </c>
      <c r="EP151" s="208">
        <v>8782654</v>
      </c>
      <c r="EQ151" s="208">
        <v>5654.8781110048294</v>
      </c>
      <c r="ER151" s="208">
        <v>8700371</v>
      </c>
      <c r="ES151" s="208">
        <v>0</v>
      </c>
      <c r="ET151" s="208">
        <v>87939</v>
      </c>
      <c r="EU151" s="208">
        <v>8793964.8781110048</v>
      </c>
      <c r="EV151" s="666">
        <v>0</v>
      </c>
      <c r="EW151" s="666">
        <v>0.99</v>
      </c>
      <c r="EX151" s="666">
        <v>0</v>
      </c>
      <c r="EY151" s="666">
        <v>0.01</v>
      </c>
      <c r="EZ151" s="666">
        <v>1</v>
      </c>
      <c r="FA151" s="187" t="s">
        <v>1056</v>
      </c>
      <c r="FC151" s="187">
        <v>0</v>
      </c>
    </row>
    <row r="152" spans="1:159" s="187" customFormat="1" x14ac:dyDescent="0.2">
      <c r="B152" s="429" t="s">
        <v>381</v>
      </c>
      <c r="C152" s="429" t="s">
        <v>380</v>
      </c>
      <c r="D152" s="208">
        <v>0</v>
      </c>
      <c r="E152" s="208">
        <v>45008348</v>
      </c>
      <c r="F152" s="208">
        <v>0</v>
      </c>
      <c r="G152" s="208">
        <v>454630</v>
      </c>
      <c r="H152" s="208">
        <v>45462978</v>
      </c>
      <c r="I152" s="208">
        <v>0</v>
      </c>
      <c r="J152" s="208">
        <v>0</v>
      </c>
      <c r="K152" s="208">
        <v>0</v>
      </c>
      <c r="L152" s="208">
        <v>141368</v>
      </c>
      <c r="M152" s="208">
        <v>141368</v>
      </c>
      <c r="N152" s="208">
        <v>0</v>
      </c>
      <c r="O152" s="208">
        <v>0</v>
      </c>
      <c r="P152" s="208">
        <v>0</v>
      </c>
      <c r="Q152" s="208">
        <v>0</v>
      </c>
      <c r="R152" s="208">
        <v>0</v>
      </c>
      <c r="S152" s="208">
        <v>0</v>
      </c>
      <c r="T152" s="208">
        <v>0</v>
      </c>
      <c r="U152" s="208">
        <v>0</v>
      </c>
      <c r="V152" s="208">
        <v>0</v>
      </c>
      <c r="W152" s="208">
        <v>0</v>
      </c>
      <c r="X152" s="208">
        <v>0</v>
      </c>
      <c r="Y152" s="208">
        <v>0</v>
      </c>
      <c r="Z152" s="208">
        <v>0</v>
      </c>
      <c r="AA152" s="208">
        <v>0</v>
      </c>
      <c r="AB152" s="208">
        <v>0</v>
      </c>
      <c r="AC152" s="208">
        <v>0</v>
      </c>
      <c r="AD152" s="208">
        <v>0</v>
      </c>
      <c r="AE152" s="208">
        <v>0</v>
      </c>
      <c r="AF152" s="208">
        <v>0</v>
      </c>
      <c r="AG152" s="208">
        <v>3590245</v>
      </c>
      <c r="AH152" s="208">
        <v>0</v>
      </c>
      <c r="AI152" s="208">
        <v>36267</v>
      </c>
      <c r="AJ152" s="208">
        <v>3626512</v>
      </c>
      <c r="AK152" s="208">
        <v>0</v>
      </c>
      <c r="AL152" s="208">
        <v>4397146</v>
      </c>
      <c r="AM152" s="208">
        <v>0</v>
      </c>
      <c r="AN152" s="208">
        <v>44416</v>
      </c>
      <c r="AO152" s="208">
        <v>4441562</v>
      </c>
      <c r="AP152" s="208">
        <v>0</v>
      </c>
      <c r="AQ152" s="208">
        <v>-1531660</v>
      </c>
      <c r="AR152" s="208">
        <v>0</v>
      </c>
      <c r="AS152" s="208">
        <v>-15471</v>
      </c>
      <c r="AT152" s="208">
        <v>-1547131</v>
      </c>
      <c r="AU152" s="208">
        <v>-0.26000000000931323</v>
      </c>
      <c r="AV152" s="208">
        <v>-2072580</v>
      </c>
      <c r="AW152" s="208">
        <v>0</v>
      </c>
      <c r="AX152" s="208">
        <v>-20935</v>
      </c>
      <c r="AY152" s="208">
        <v>-2093515.26</v>
      </c>
      <c r="AZ152" s="208">
        <v>0</v>
      </c>
      <c r="BA152" s="208">
        <v>5263</v>
      </c>
      <c r="BB152" s="208">
        <v>0</v>
      </c>
      <c r="BC152" s="208">
        <v>53</v>
      </c>
      <c r="BD152" s="208">
        <v>5316</v>
      </c>
      <c r="BE152" s="208">
        <v>0</v>
      </c>
      <c r="BF152" s="208">
        <v>0</v>
      </c>
      <c r="BG152" s="208">
        <v>0</v>
      </c>
      <c r="BH152" s="208">
        <v>0</v>
      </c>
      <c r="BI152" s="208">
        <v>0</v>
      </c>
      <c r="BJ152" s="208">
        <v>-0.26000000000931323</v>
      </c>
      <c r="BK152" s="208">
        <v>-2067317</v>
      </c>
      <c r="BL152" s="208">
        <v>0</v>
      </c>
      <c r="BM152" s="208">
        <v>-20882</v>
      </c>
      <c r="BN152" s="208">
        <v>-2088199.26</v>
      </c>
      <c r="BO152" s="208">
        <v>0</v>
      </c>
      <c r="BP152" s="208">
        <v>-8986453</v>
      </c>
      <c r="BQ152" s="208">
        <v>0</v>
      </c>
      <c r="BR152" s="208">
        <v>-90772</v>
      </c>
      <c r="BS152" s="208">
        <v>-9077225</v>
      </c>
      <c r="BT152" s="208">
        <v>0</v>
      </c>
      <c r="BU152" s="208">
        <v>-4471330</v>
      </c>
      <c r="BV152" s="208">
        <v>0</v>
      </c>
      <c r="BW152" s="208">
        <v>-45165</v>
      </c>
      <c r="BX152" s="208">
        <v>-4516495</v>
      </c>
      <c r="BY152" s="208">
        <v>0</v>
      </c>
      <c r="BZ152" s="208">
        <v>-4515123</v>
      </c>
      <c r="CA152" s="208">
        <v>0</v>
      </c>
      <c r="CB152" s="208">
        <v>-45607</v>
      </c>
      <c r="CC152" s="208">
        <v>-4560730</v>
      </c>
      <c r="CD152" s="208">
        <v>0</v>
      </c>
      <c r="CE152" s="208">
        <v>536945</v>
      </c>
      <c r="CF152" s="208">
        <v>0</v>
      </c>
      <c r="CG152" s="208">
        <v>5424</v>
      </c>
      <c r="CH152" s="208">
        <v>542369</v>
      </c>
      <c r="CI152" s="208">
        <v>0</v>
      </c>
      <c r="CJ152" s="208">
        <v>2025105</v>
      </c>
      <c r="CK152" s="208">
        <v>0</v>
      </c>
      <c r="CL152" s="208">
        <v>20456</v>
      </c>
      <c r="CM152" s="208">
        <v>2045561</v>
      </c>
      <c r="CN152" s="208">
        <v>0</v>
      </c>
      <c r="CO152" s="208">
        <v>0</v>
      </c>
      <c r="CP152" s="208">
        <v>0</v>
      </c>
      <c r="CQ152" s="208">
        <v>0</v>
      </c>
      <c r="CR152" s="208">
        <v>0</v>
      </c>
      <c r="CS152" s="208">
        <v>0</v>
      </c>
      <c r="CT152" s="208">
        <v>-855589</v>
      </c>
      <c r="CU152" s="208">
        <v>0</v>
      </c>
      <c r="CV152" s="208">
        <v>-8642</v>
      </c>
      <c r="CW152" s="208">
        <v>-864231</v>
      </c>
      <c r="CX152" s="208">
        <v>0</v>
      </c>
      <c r="CY152" s="208">
        <v>-7279992</v>
      </c>
      <c r="CZ152" s="208">
        <v>0</v>
      </c>
      <c r="DA152" s="208">
        <v>-73534</v>
      </c>
      <c r="DB152" s="208">
        <v>-7353526</v>
      </c>
      <c r="DC152" s="208">
        <v>0</v>
      </c>
      <c r="DD152" s="208">
        <v>-3934385</v>
      </c>
      <c r="DE152" s="208">
        <v>0</v>
      </c>
      <c r="DF152" s="208">
        <v>-39741</v>
      </c>
      <c r="DG152" s="208">
        <v>-3974126</v>
      </c>
      <c r="DH152" s="208">
        <v>0</v>
      </c>
      <c r="DI152" s="208">
        <v>-3345607</v>
      </c>
      <c r="DJ152" s="208">
        <v>0</v>
      </c>
      <c r="DK152" s="208">
        <v>-33793</v>
      </c>
      <c r="DL152" s="208">
        <v>-3379400</v>
      </c>
      <c r="DM152" s="208">
        <v>4890238</v>
      </c>
      <c r="DN152" s="208">
        <v>2737392</v>
      </c>
      <c r="DO152" s="208">
        <v>0</v>
      </c>
      <c r="DP152" s="208">
        <v>77046</v>
      </c>
      <c r="DQ152" s="208">
        <v>7702032</v>
      </c>
      <c r="DR152" s="208">
        <v>4890237</v>
      </c>
      <c r="DS152" s="208">
        <v>2737392</v>
      </c>
      <c r="DT152" s="208">
        <v>0</v>
      </c>
      <c r="DU152" s="208">
        <v>77047</v>
      </c>
      <c r="DV152" s="208">
        <v>7704676</v>
      </c>
      <c r="DW152" s="208">
        <v>1</v>
      </c>
      <c r="DX152" s="208">
        <v>0</v>
      </c>
      <c r="DY152" s="208">
        <v>0</v>
      </c>
      <c r="DZ152" s="208">
        <v>-1</v>
      </c>
      <c r="EA152" s="208">
        <v>-2644</v>
      </c>
      <c r="EB152" s="208">
        <v>0</v>
      </c>
      <c r="EC152" s="208">
        <v>44226000</v>
      </c>
      <c r="ED152" s="208">
        <v>0</v>
      </c>
      <c r="EE152" s="208">
        <v>446727</v>
      </c>
      <c r="EF152" s="208">
        <v>44672727</v>
      </c>
      <c r="EG152" s="208">
        <v>0</v>
      </c>
      <c r="EH152" s="208">
        <v>45008348</v>
      </c>
      <c r="EI152" s="208">
        <v>0</v>
      </c>
      <c r="EJ152" s="208">
        <v>454630</v>
      </c>
      <c r="EK152" s="208">
        <v>45462978</v>
      </c>
      <c r="EL152" s="208">
        <v>0</v>
      </c>
      <c r="EM152" s="208">
        <v>782348</v>
      </c>
      <c r="EN152" s="208">
        <v>0</v>
      </c>
      <c r="EO152" s="208">
        <v>7903</v>
      </c>
      <c r="EP152" s="208">
        <v>790251</v>
      </c>
      <c r="EQ152" s="208">
        <v>1</v>
      </c>
      <c r="ER152" s="208">
        <v>782348</v>
      </c>
      <c r="ES152" s="208">
        <v>0</v>
      </c>
      <c r="ET152" s="208">
        <v>7902</v>
      </c>
      <c r="EU152" s="208">
        <v>787607</v>
      </c>
      <c r="EV152" s="666">
        <v>0</v>
      </c>
      <c r="EW152" s="666">
        <v>0.99</v>
      </c>
      <c r="EX152" s="666">
        <v>0</v>
      </c>
      <c r="EY152" s="666">
        <v>0.01</v>
      </c>
      <c r="EZ152" s="666">
        <v>1</v>
      </c>
      <c r="FA152" s="187" t="s">
        <v>1056</v>
      </c>
      <c r="FC152" s="187">
        <v>0</v>
      </c>
    </row>
    <row r="153" spans="1:159" s="187" customFormat="1" x14ac:dyDescent="0.2">
      <c r="B153" s="429" t="s">
        <v>383</v>
      </c>
      <c r="C153" s="429" t="s">
        <v>382</v>
      </c>
      <c r="D153" s="208">
        <v>0</v>
      </c>
      <c r="E153" s="208">
        <v>111094276</v>
      </c>
      <c r="F153" s="208">
        <v>62490530</v>
      </c>
      <c r="G153" s="208">
        <v>0</v>
      </c>
      <c r="H153" s="208">
        <v>173584806</v>
      </c>
      <c r="I153" s="208">
        <v>0</v>
      </c>
      <c r="J153" s="208">
        <v>0</v>
      </c>
      <c r="K153" s="208">
        <v>0</v>
      </c>
      <c r="L153" s="208">
        <v>507173</v>
      </c>
      <c r="M153" s="208">
        <v>507173</v>
      </c>
      <c r="N153" s="208">
        <v>0</v>
      </c>
      <c r="O153" s="208">
        <v>0</v>
      </c>
      <c r="P153" s="208">
        <v>0</v>
      </c>
      <c r="Q153" s="208">
        <v>0</v>
      </c>
      <c r="R153" s="208">
        <v>0</v>
      </c>
      <c r="S153" s="208">
        <v>0</v>
      </c>
      <c r="T153" s="208">
        <v>0</v>
      </c>
      <c r="U153" s="208">
        <v>0</v>
      </c>
      <c r="V153" s="208">
        <v>0</v>
      </c>
      <c r="W153" s="208">
        <v>0</v>
      </c>
      <c r="X153" s="208">
        <v>0</v>
      </c>
      <c r="Y153" s="208">
        <v>0</v>
      </c>
      <c r="Z153" s="208">
        <v>0</v>
      </c>
      <c r="AA153" s="208">
        <v>0</v>
      </c>
      <c r="AB153" s="208">
        <v>0</v>
      </c>
      <c r="AC153" s="208">
        <v>0</v>
      </c>
      <c r="AD153" s="208">
        <v>0</v>
      </c>
      <c r="AE153" s="208">
        <v>0</v>
      </c>
      <c r="AF153" s="208">
        <v>0</v>
      </c>
      <c r="AG153" s="208">
        <v>7999696</v>
      </c>
      <c r="AH153" s="208">
        <v>4499839</v>
      </c>
      <c r="AI153" s="208">
        <v>0</v>
      </c>
      <c r="AJ153" s="208">
        <v>12499535</v>
      </c>
      <c r="AK153" s="208">
        <v>0</v>
      </c>
      <c r="AL153" s="208">
        <v>2646284</v>
      </c>
      <c r="AM153" s="208">
        <v>1488534</v>
      </c>
      <c r="AN153" s="208">
        <v>0</v>
      </c>
      <c r="AO153" s="208">
        <v>4134818</v>
      </c>
      <c r="AP153" s="208">
        <v>0</v>
      </c>
      <c r="AQ153" s="208">
        <v>-4953138</v>
      </c>
      <c r="AR153" s="208">
        <v>-2786140</v>
      </c>
      <c r="AS153" s="208">
        <v>0</v>
      </c>
      <c r="AT153" s="208">
        <v>-7739278</v>
      </c>
      <c r="AU153" s="208">
        <v>0</v>
      </c>
      <c r="AV153" s="208">
        <v>-2408225</v>
      </c>
      <c r="AW153" s="208">
        <v>-1354626</v>
      </c>
      <c r="AX153" s="208">
        <v>0</v>
      </c>
      <c r="AY153" s="208">
        <v>-3762851</v>
      </c>
      <c r="AZ153" s="208">
        <v>0</v>
      </c>
      <c r="BA153" s="208">
        <v>457660</v>
      </c>
      <c r="BB153" s="208">
        <v>257433</v>
      </c>
      <c r="BC153" s="208">
        <v>0</v>
      </c>
      <c r="BD153" s="208">
        <v>715093</v>
      </c>
      <c r="BE153" s="208">
        <v>0</v>
      </c>
      <c r="BF153" s="208">
        <v>-341315</v>
      </c>
      <c r="BG153" s="208">
        <v>-191989</v>
      </c>
      <c r="BH153" s="208">
        <v>0</v>
      </c>
      <c r="BI153" s="208">
        <v>-533304</v>
      </c>
      <c r="BJ153" s="208">
        <v>0</v>
      </c>
      <c r="BK153" s="208">
        <v>-2291880</v>
      </c>
      <c r="BL153" s="208">
        <v>-1289182</v>
      </c>
      <c r="BM153" s="208">
        <v>0</v>
      </c>
      <c r="BN153" s="208">
        <v>-3581062</v>
      </c>
      <c r="BO153" s="208">
        <v>0</v>
      </c>
      <c r="BP153" s="208">
        <v>-6810267</v>
      </c>
      <c r="BQ153" s="208">
        <v>-3830775</v>
      </c>
      <c r="BR153" s="208">
        <v>0</v>
      </c>
      <c r="BS153" s="208">
        <v>-10641042</v>
      </c>
      <c r="BT153" s="208">
        <v>0</v>
      </c>
      <c r="BU153" s="208">
        <v>0</v>
      </c>
      <c r="BV153" s="208">
        <v>0</v>
      </c>
      <c r="BW153" s="208">
        <v>0</v>
      </c>
      <c r="BX153" s="208">
        <v>0</v>
      </c>
      <c r="BY153" s="208">
        <v>0</v>
      </c>
      <c r="BZ153" s="208">
        <v>-6810267</v>
      </c>
      <c r="CA153" s="208">
        <v>-3830775</v>
      </c>
      <c r="CB153" s="208">
        <v>0</v>
      </c>
      <c r="CC153" s="208">
        <v>-10641042</v>
      </c>
      <c r="CD153" s="208">
        <v>0</v>
      </c>
      <c r="CE153" s="208">
        <v>2718275</v>
      </c>
      <c r="CF153" s="208">
        <v>1529029</v>
      </c>
      <c r="CG153" s="208">
        <v>0</v>
      </c>
      <c r="CH153" s="208">
        <v>4247304</v>
      </c>
      <c r="CI153" s="208">
        <v>0</v>
      </c>
      <c r="CJ153" s="208">
        <v>141274</v>
      </c>
      <c r="CK153" s="208">
        <v>79467</v>
      </c>
      <c r="CL153" s="208">
        <v>0</v>
      </c>
      <c r="CM153" s="208">
        <v>220741</v>
      </c>
      <c r="CN153" s="208">
        <v>0</v>
      </c>
      <c r="CO153" s="208">
        <v>-1002742</v>
      </c>
      <c r="CP153" s="208">
        <v>-564042</v>
      </c>
      <c r="CQ153" s="208">
        <v>0</v>
      </c>
      <c r="CR153" s="208">
        <v>-1566784</v>
      </c>
      <c r="CS153" s="208">
        <v>0</v>
      </c>
      <c r="CT153" s="208">
        <v>-770799</v>
      </c>
      <c r="CU153" s="208">
        <v>-433574</v>
      </c>
      <c r="CV153" s="208">
        <v>0</v>
      </c>
      <c r="CW153" s="208">
        <v>-1204373</v>
      </c>
      <c r="CX153" s="208">
        <v>0</v>
      </c>
      <c r="CY153" s="208">
        <v>-5724259</v>
      </c>
      <c r="CZ153" s="208">
        <v>-3219895</v>
      </c>
      <c r="DA153" s="208">
        <v>0</v>
      </c>
      <c r="DB153" s="208">
        <v>-8944154</v>
      </c>
      <c r="DC153" s="208">
        <v>0</v>
      </c>
      <c r="DD153" s="208">
        <v>1715533</v>
      </c>
      <c r="DE153" s="208">
        <v>964987</v>
      </c>
      <c r="DF153" s="208">
        <v>0</v>
      </c>
      <c r="DG153" s="208">
        <v>2680520</v>
      </c>
      <c r="DH153" s="208">
        <v>0</v>
      </c>
      <c r="DI153" s="208">
        <v>-7439792</v>
      </c>
      <c r="DJ153" s="208">
        <v>-4184882</v>
      </c>
      <c r="DK153" s="208">
        <v>0</v>
      </c>
      <c r="DL153" s="208">
        <v>-11624674</v>
      </c>
      <c r="DM153" s="208">
        <v>18137035</v>
      </c>
      <c r="DN153" s="208">
        <v>10580952</v>
      </c>
      <c r="DO153" s="208">
        <v>6551854</v>
      </c>
      <c r="DP153" s="208">
        <v>0</v>
      </c>
      <c r="DQ153" s="208">
        <v>35269841</v>
      </c>
      <c r="DR153" s="208">
        <v>15871264</v>
      </c>
      <c r="DS153" s="208">
        <v>8826621</v>
      </c>
      <c r="DT153" s="208">
        <v>4724183</v>
      </c>
      <c r="DU153" s="208">
        <v>0</v>
      </c>
      <c r="DV153" s="208">
        <v>29422068</v>
      </c>
      <c r="DW153" s="208">
        <v>2265771</v>
      </c>
      <c r="DX153" s="208">
        <v>1754331</v>
      </c>
      <c r="DY153" s="208">
        <v>1827671</v>
      </c>
      <c r="DZ153" s="208">
        <v>0</v>
      </c>
      <c r="EA153" s="208">
        <v>5847773</v>
      </c>
      <c r="EB153" s="208">
        <v>0</v>
      </c>
      <c r="EC153" s="208">
        <v>104466794</v>
      </c>
      <c r="ED153" s="208">
        <v>58762571</v>
      </c>
      <c r="EE153" s="208">
        <v>0</v>
      </c>
      <c r="EF153" s="208">
        <v>163229365</v>
      </c>
      <c r="EG153" s="208">
        <v>0</v>
      </c>
      <c r="EH153" s="208">
        <v>111094276</v>
      </c>
      <c r="EI153" s="208">
        <v>62490530</v>
      </c>
      <c r="EJ153" s="208">
        <v>0</v>
      </c>
      <c r="EK153" s="208">
        <v>173584806</v>
      </c>
      <c r="EL153" s="208">
        <v>0</v>
      </c>
      <c r="EM153" s="208">
        <v>6627482</v>
      </c>
      <c r="EN153" s="208">
        <v>3727959</v>
      </c>
      <c r="EO153" s="208">
        <v>0</v>
      </c>
      <c r="EP153" s="208">
        <v>10355441</v>
      </c>
      <c r="EQ153" s="208">
        <v>2265771</v>
      </c>
      <c r="ER153" s="208">
        <v>8381813</v>
      </c>
      <c r="ES153" s="208">
        <v>5555630</v>
      </c>
      <c r="ET153" s="208">
        <v>0</v>
      </c>
      <c r="EU153" s="208">
        <v>16203214</v>
      </c>
      <c r="EV153" s="666">
        <v>0</v>
      </c>
      <c r="EW153" s="666">
        <v>0.64</v>
      </c>
      <c r="EX153" s="666">
        <v>0.36</v>
      </c>
      <c r="EY153" s="666">
        <v>0</v>
      </c>
      <c r="EZ153" s="666">
        <v>1</v>
      </c>
      <c r="FA153" s="187" t="s">
        <v>1057</v>
      </c>
      <c r="FC153" s="187">
        <v>0</v>
      </c>
    </row>
    <row r="154" spans="1:159" s="187" customFormat="1" x14ac:dyDescent="0.2">
      <c r="B154" s="429" t="s">
        <v>385</v>
      </c>
      <c r="C154" s="429" t="s">
        <v>384</v>
      </c>
      <c r="D154" s="208">
        <v>30480223</v>
      </c>
      <c r="E154" s="208">
        <v>24384178</v>
      </c>
      <c r="F154" s="208">
        <v>5486440</v>
      </c>
      <c r="G154" s="208">
        <v>609604</v>
      </c>
      <c r="H154" s="208">
        <v>60960445</v>
      </c>
      <c r="I154" s="208">
        <v>0</v>
      </c>
      <c r="J154" s="208">
        <v>0</v>
      </c>
      <c r="K154" s="208">
        <v>30480223</v>
      </c>
      <c r="L154" s="208">
        <v>214675</v>
      </c>
      <c r="M154" s="208">
        <v>214675</v>
      </c>
      <c r="N154" s="208">
        <v>0</v>
      </c>
      <c r="O154" s="208">
        <v>0</v>
      </c>
      <c r="P154" s="208">
        <v>986922</v>
      </c>
      <c r="Q154" s="208">
        <v>9632</v>
      </c>
      <c r="R154" s="208">
        <v>996554</v>
      </c>
      <c r="S154" s="208">
        <v>0</v>
      </c>
      <c r="T154" s="208">
        <v>0</v>
      </c>
      <c r="U154" s="208">
        <v>0</v>
      </c>
      <c r="V154" s="208">
        <v>0</v>
      </c>
      <c r="W154" s="208">
        <v>0</v>
      </c>
      <c r="X154" s="208">
        <v>0</v>
      </c>
      <c r="Y154" s="208">
        <v>0</v>
      </c>
      <c r="Z154" s="208">
        <v>0</v>
      </c>
      <c r="AA154" s="208">
        <v>0</v>
      </c>
      <c r="AB154" s="208">
        <v>0</v>
      </c>
      <c r="AC154" s="208">
        <v>0</v>
      </c>
      <c r="AD154" s="208">
        <v>0</v>
      </c>
      <c r="AE154" s="208">
        <v>0</v>
      </c>
      <c r="AF154" s="208">
        <v>0</v>
      </c>
      <c r="AG154" s="208">
        <v>2061922</v>
      </c>
      <c r="AH154" s="208">
        <v>459065</v>
      </c>
      <c r="AI154" s="208">
        <v>50983</v>
      </c>
      <c r="AJ154" s="208">
        <v>2571970</v>
      </c>
      <c r="AK154" s="208">
        <v>795547</v>
      </c>
      <c r="AL154" s="208">
        <v>636438</v>
      </c>
      <c r="AM154" s="208">
        <v>143199</v>
      </c>
      <c r="AN154" s="208">
        <v>15911</v>
      </c>
      <c r="AO154" s="208">
        <v>1591095</v>
      </c>
      <c r="AP154" s="208">
        <v>-180576</v>
      </c>
      <c r="AQ154" s="208">
        <v>-144462</v>
      </c>
      <c r="AR154" s="208">
        <v>-32504</v>
      </c>
      <c r="AS154" s="208">
        <v>-3612</v>
      </c>
      <c r="AT154" s="208">
        <v>-361154</v>
      </c>
      <c r="AU154" s="208">
        <v>-129829</v>
      </c>
      <c r="AV154" s="208">
        <v>-103864</v>
      </c>
      <c r="AW154" s="208">
        <v>-23369</v>
      </c>
      <c r="AX154" s="208">
        <v>-2597</v>
      </c>
      <c r="AY154" s="208">
        <v>-259659</v>
      </c>
      <c r="AZ154" s="208">
        <v>129828</v>
      </c>
      <c r="BA154" s="208">
        <v>103862</v>
      </c>
      <c r="BB154" s="208">
        <v>23369</v>
      </c>
      <c r="BC154" s="208">
        <v>2597</v>
      </c>
      <c r="BD154" s="208">
        <v>259656</v>
      </c>
      <c r="BE154" s="208">
        <v>-150000</v>
      </c>
      <c r="BF154" s="208">
        <v>-120000</v>
      </c>
      <c r="BG154" s="208">
        <v>-27000</v>
      </c>
      <c r="BH154" s="208">
        <v>-3000</v>
      </c>
      <c r="BI154" s="208">
        <v>-300000</v>
      </c>
      <c r="BJ154" s="208">
        <v>-150001</v>
      </c>
      <c r="BK154" s="208">
        <v>-120002</v>
      </c>
      <c r="BL154" s="208">
        <v>-27000</v>
      </c>
      <c r="BM154" s="208">
        <v>-3000</v>
      </c>
      <c r="BN154" s="208">
        <v>-300003</v>
      </c>
      <c r="BO154" s="208">
        <v>-3072658</v>
      </c>
      <c r="BP154" s="208">
        <v>-2458126</v>
      </c>
      <c r="BQ154" s="208">
        <v>-553078</v>
      </c>
      <c r="BR154" s="208">
        <v>-61453</v>
      </c>
      <c r="BS154" s="208">
        <v>-6145315</v>
      </c>
      <c r="BT154" s="208">
        <v>0</v>
      </c>
      <c r="BU154" s="208">
        <v>0</v>
      </c>
      <c r="BV154" s="208">
        <v>0</v>
      </c>
      <c r="BW154" s="208">
        <v>0</v>
      </c>
      <c r="BX154" s="208">
        <v>0</v>
      </c>
      <c r="BY154" s="208">
        <v>-3072658</v>
      </c>
      <c r="BZ154" s="208">
        <v>-2458126</v>
      </c>
      <c r="CA154" s="208">
        <v>-553078</v>
      </c>
      <c r="CB154" s="208">
        <v>-61453</v>
      </c>
      <c r="CC154" s="208">
        <v>-6145315</v>
      </c>
      <c r="CD154" s="208">
        <v>0</v>
      </c>
      <c r="CE154" s="208">
        <v>0</v>
      </c>
      <c r="CF154" s="208">
        <v>0</v>
      </c>
      <c r="CG154" s="208">
        <v>0</v>
      </c>
      <c r="CH154" s="208">
        <v>0</v>
      </c>
      <c r="CI154" s="208">
        <v>0</v>
      </c>
      <c r="CJ154" s="208">
        <v>0</v>
      </c>
      <c r="CK154" s="208">
        <v>0</v>
      </c>
      <c r="CL154" s="208">
        <v>0</v>
      </c>
      <c r="CM154" s="208">
        <v>0</v>
      </c>
      <c r="CN154" s="208">
        <v>0</v>
      </c>
      <c r="CO154" s="208">
        <v>0</v>
      </c>
      <c r="CP154" s="208">
        <v>0</v>
      </c>
      <c r="CQ154" s="208">
        <v>0</v>
      </c>
      <c r="CR154" s="208">
        <v>0</v>
      </c>
      <c r="CS154" s="208">
        <v>-1553650</v>
      </c>
      <c r="CT154" s="208">
        <v>-1242920</v>
      </c>
      <c r="CU154" s="208">
        <v>-279657</v>
      </c>
      <c r="CV154" s="208">
        <v>-31073</v>
      </c>
      <c r="CW154" s="208">
        <v>-3107300</v>
      </c>
      <c r="CX154" s="208">
        <v>-4626308</v>
      </c>
      <c r="CY154" s="208">
        <v>-3701046</v>
      </c>
      <c r="CZ154" s="208">
        <v>-832735</v>
      </c>
      <c r="DA154" s="208">
        <v>-92526</v>
      </c>
      <c r="DB154" s="208">
        <v>-9252615</v>
      </c>
      <c r="DC154" s="208">
        <v>0</v>
      </c>
      <c r="DD154" s="208">
        <v>0</v>
      </c>
      <c r="DE154" s="208">
        <v>0</v>
      </c>
      <c r="DF154" s="208">
        <v>0</v>
      </c>
      <c r="DG154" s="208">
        <v>0</v>
      </c>
      <c r="DH154" s="208">
        <v>-4626308</v>
      </c>
      <c r="DI154" s="208">
        <v>-3701046</v>
      </c>
      <c r="DJ154" s="208">
        <v>-832735</v>
      </c>
      <c r="DK154" s="208">
        <v>-92526</v>
      </c>
      <c r="DL154" s="208">
        <v>-9252615</v>
      </c>
      <c r="DM154" s="208">
        <v>4664770</v>
      </c>
      <c r="DN154" s="208">
        <v>3731817</v>
      </c>
      <c r="DO154" s="208">
        <v>839660</v>
      </c>
      <c r="DP154" s="208">
        <v>93296</v>
      </c>
      <c r="DQ154" s="208">
        <v>9329543</v>
      </c>
      <c r="DR154" s="208">
        <v>3714538</v>
      </c>
      <c r="DS154" s="208">
        <v>2971630</v>
      </c>
      <c r="DT154" s="208">
        <v>668617</v>
      </c>
      <c r="DU154" s="208">
        <v>74291</v>
      </c>
      <c r="DV154" s="208">
        <v>7429076</v>
      </c>
      <c r="DW154" s="208">
        <v>950232</v>
      </c>
      <c r="DX154" s="208">
        <v>760187</v>
      </c>
      <c r="DY154" s="208">
        <v>171043</v>
      </c>
      <c r="DZ154" s="208">
        <v>19005</v>
      </c>
      <c r="EA154" s="208">
        <v>1900467</v>
      </c>
      <c r="EB154" s="208">
        <v>30682029</v>
      </c>
      <c r="EC154" s="208">
        <v>24545623</v>
      </c>
      <c r="ED154" s="208">
        <v>5522765</v>
      </c>
      <c r="EE154" s="208">
        <v>613641</v>
      </c>
      <c r="EF154" s="208">
        <v>61364058</v>
      </c>
      <c r="EG154" s="208">
        <v>30480223</v>
      </c>
      <c r="EH154" s="208">
        <v>24384178</v>
      </c>
      <c r="EI154" s="208">
        <v>5486440</v>
      </c>
      <c r="EJ154" s="208">
        <v>609604</v>
      </c>
      <c r="EK154" s="208">
        <v>60960445</v>
      </c>
      <c r="EL154" s="208">
        <v>-201806</v>
      </c>
      <c r="EM154" s="208">
        <v>-161445</v>
      </c>
      <c r="EN154" s="208">
        <v>-36325</v>
      </c>
      <c r="EO154" s="208">
        <v>-4037</v>
      </c>
      <c r="EP154" s="208">
        <v>-403613</v>
      </c>
      <c r="EQ154" s="208">
        <v>748426</v>
      </c>
      <c r="ER154" s="208">
        <v>598742</v>
      </c>
      <c r="ES154" s="208">
        <v>134718</v>
      </c>
      <c r="ET154" s="208">
        <v>14968</v>
      </c>
      <c r="EU154" s="208">
        <v>1496854</v>
      </c>
      <c r="EV154" s="666">
        <v>0.5</v>
      </c>
      <c r="EW154" s="666">
        <v>0.4</v>
      </c>
      <c r="EX154" s="666">
        <v>0.09</v>
      </c>
      <c r="EY154" s="666">
        <v>0.01</v>
      </c>
      <c r="EZ154" s="666">
        <v>1</v>
      </c>
      <c r="FA154" s="187" t="s">
        <v>1054</v>
      </c>
      <c r="FC154" s="187">
        <v>0</v>
      </c>
    </row>
    <row r="155" spans="1:159" s="187" customFormat="1" x14ac:dyDescent="0.2">
      <c r="B155" s="429" t="s">
        <v>387</v>
      </c>
      <c r="C155" s="429" t="s">
        <v>386</v>
      </c>
      <c r="D155" s="208">
        <v>0</v>
      </c>
      <c r="E155" s="208">
        <v>355712731</v>
      </c>
      <c r="F155" s="208">
        <v>0</v>
      </c>
      <c r="G155" s="208">
        <v>3593058</v>
      </c>
      <c r="H155" s="208">
        <v>359305789</v>
      </c>
      <c r="I155" s="208">
        <v>0</v>
      </c>
      <c r="J155" s="208">
        <v>0</v>
      </c>
      <c r="K155" s="208">
        <v>0</v>
      </c>
      <c r="L155" s="208">
        <v>1205212</v>
      </c>
      <c r="M155" s="208">
        <v>1205212</v>
      </c>
      <c r="N155" s="208">
        <v>1121248</v>
      </c>
      <c r="O155" s="208">
        <v>1121248</v>
      </c>
      <c r="P155" s="208">
        <v>226148</v>
      </c>
      <c r="Q155" s="208">
        <v>0</v>
      </c>
      <c r="R155" s="208">
        <v>226148</v>
      </c>
      <c r="S155" s="208">
        <v>0</v>
      </c>
      <c r="T155" s="208">
        <v>0</v>
      </c>
      <c r="U155" s="208">
        <v>0</v>
      </c>
      <c r="V155" s="208">
        <v>0</v>
      </c>
      <c r="W155" s="208">
        <v>0</v>
      </c>
      <c r="X155" s="208">
        <v>0</v>
      </c>
      <c r="Y155" s="208">
        <v>0</v>
      </c>
      <c r="Z155" s="208">
        <v>0</v>
      </c>
      <c r="AA155" s="208">
        <v>0</v>
      </c>
      <c r="AB155" s="208">
        <v>0</v>
      </c>
      <c r="AC155" s="208">
        <v>0</v>
      </c>
      <c r="AD155" s="208">
        <v>0</v>
      </c>
      <c r="AE155" s="208">
        <v>0</v>
      </c>
      <c r="AF155" s="208">
        <v>0</v>
      </c>
      <c r="AG155" s="208">
        <v>30829362</v>
      </c>
      <c r="AH155" s="208">
        <v>0</v>
      </c>
      <c r="AI155" s="208">
        <v>305982</v>
      </c>
      <c r="AJ155" s="208">
        <v>31135344</v>
      </c>
      <c r="AK155" s="208">
        <v>0</v>
      </c>
      <c r="AL155" s="208">
        <v>11237343</v>
      </c>
      <c r="AM155" s="208">
        <v>0</v>
      </c>
      <c r="AN155" s="208">
        <v>113509</v>
      </c>
      <c r="AO155" s="208">
        <v>11350852</v>
      </c>
      <c r="AP155" s="208">
        <v>0</v>
      </c>
      <c r="AQ155" s="208">
        <v>-9060535</v>
      </c>
      <c r="AR155" s="208">
        <v>0</v>
      </c>
      <c r="AS155" s="208">
        <v>-91521</v>
      </c>
      <c r="AT155" s="208">
        <v>-9152056</v>
      </c>
      <c r="AU155" s="208">
        <v>0</v>
      </c>
      <c r="AV155" s="208">
        <v>-6784713</v>
      </c>
      <c r="AW155" s="208">
        <v>0</v>
      </c>
      <c r="AX155" s="208">
        <v>-68532</v>
      </c>
      <c r="AY155" s="208">
        <v>-6853245</v>
      </c>
      <c r="AZ155" s="208">
        <v>0</v>
      </c>
      <c r="BA155" s="208">
        <v>2907295</v>
      </c>
      <c r="BB155" s="208">
        <v>0</v>
      </c>
      <c r="BC155" s="208">
        <v>29367</v>
      </c>
      <c r="BD155" s="208">
        <v>2936662</v>
      </c>
      <c r="BE155" s="208">
        <v>0</v>
      </c>
      <c r="BF155" s="208">
        <v>-2148566</v>
      </c>
      <c r="BG155" s="208">
        <v>0</v>
      </c>
      <c r="BH155" s="208">
        <v>-21703</v>
      </c>
      <c r="BI155" s="208">
        <v>-2170269</v>
      </c>
      <c r="BJ155" s="208">
        <v>0</v>
      </c>
      <c r="BK155" s="208">
        <v>-6025984</v>
      </c>
      <c r="BL155" s="208">
        <v>0</v>
      </c>
      <c r="BM155" s="208">
        <v>-60868</v>
      </c>
      <c r="BN155" s="208">
        <v>-6086852</v>
      </c>
      <c r="BO155" s="208">
        <v>0</v>
      </c>
      <c r="BP155" s="208">
        <v>-12408286</v>
      </c>
      <c r="BQ155" s="208">
        <v>0</v>
      </c>
      <c r="BR155" s="208">
        <v>-125336</v>
      </c>
      <c r="BS155" s="208">
        <v>-12533622</v>
      </c>
      <c r="BT155" s="208">
        <v>0</v>
      </c>
      <c r="BU155" s="208">
        <v>-11440424</v>
      </c>
      <c r="BV155" s="208">
        <v>0</v>
      </c>
      <c r="BW155" s="208">
        <v>-115560</v>
      </c>
      <c r="BX155" s="208">
        <v>-11555984</v>
      </c>
      <c r="BY155" s="208">
        <v>0</v>
      </c>
      <c r="BZ155" s="208">
        <v>-967862</v>
      </c>
      <c r="CA155" s="208">
        <v>0</v>
      </c>
      <c r="CB155" s="208">
        <v>-9776</v>
      </c>
      <c r="CC155" s="208">
        <v>-977638</v>
      </c>
      <c r="CD155" s="208">
        <v>0</v>
      </c>
      <c r="CE155" s="208">
        <v>4516158</v>
      </c>
      <c r="CF155" s="208">
        <v>0</v>
      </c>
      <c r="CG155" s="208">
        <v>45618</v>
      </c>
      <c r="CH155" s="208">
        <v>4561776</v>
      </c>
      <c r="CI155" s="208">
        <v>0</v>
      </c>
      <c r="CJ155" s="208">
        <v>487995</v>
      </c>
      <c r="CK155" s="208">
        <v>0</v>
      </c>
      <c r="CL155" s="208">
        <v>4929</v>
      </c>
      <c r="CM155" s="208">
        <v>492924</v>
      </c>
      <c r="CN155" s="208">
        <v>0</v>
      </c>
      <c r="CO155" s="208">
        <v>-6738738</v>
      </c>
      <c r="CP155" s="208">
        <v>0</v>
      </c>
      <c r="CQ155" s="208">
        <v>-68068</v>
      </c>
      <c r="CR155" s="208">
        <v>-6806806</v>
      </c>
      <c r="CS155" s="208">
        <v>0</v>
      </c>
      <c r="CT155" s="208">
        <v>-6653307</v>
      </c>
      <c r="CU155" s="208">
        <v>0</v>
      </c>
      <c r="CV155" s="208">
        <v>-67205</v>
      </c>
      <c r="CW155" s="208">
        <v>-6720512</v>
      </c>
      <c r="CX155" s="208">
        <v>0</v>
      </c>
      <c r="CY155" s="208">
        <v>-20796178</v>
      </c>
      <c r="CZ155" s="208">
        <v>0</v>
      </c>
      <c r="DA155" s="208">
        <v>-210062</v>
      </c>
      <c r="DB155" s="208">
        <v>-21006240</v>
      </c>
      <c r="DC155" s="208">
        <v>0</v>
      </c>
      <c r="DD155" s="208">
        <v>-13663004</v>
      </c>
      <c r="DE155" s="208">
        <v>0</v>
      </c>
      <c r="DF155" s="208">
        <v>-138010</v>
      </c>
      <c r="DG155" s="208">
        <v>-13801014</v>
      </c>
      <c r="DH155" s="208">
        <v>0</v>
      </c>
      <c r="DI155" s="208">
        <v>-7133174</v>
      </c>
      <c r="DJ155" s="208">
        <v>0</v>
      </c>
      <c r="DK155" s="208">
        <v>-72052</v>
      </c>
      <c r="DL155" s="208">
        <v>-7205226</v>
      </c>
      <c r="DM155" s="208">
        <v>-16367500</v>
      </c>
      <c r="DN155" s="208">
        <v>-16040150</v>
      </c>
      <c r="DO155" s="208">
        <v>0</v>
      </c>
      <c r="DP155" s="208">
        <v>-327350</v>
      </c>
      <c r="DQ155" s="208">
        <v>-32735000</v>
      </c>
      <c r="DR155" s="208">
        <v>-13607179</v>
      </c>
      <c r="DS155" s="208">
        <v>-13335036</v>
      </c>
      <c r="DT155" s="208">
        <v>0</v>
      </c>
      <c r="DU155" s="208">
        <v>-272144</v>
      </c>
      <c r="DV155" s="208">
        <v>-27214359</v>
      </c>
      <c r="DW155" s="208">
        <v>-2760321</v>
      </c>
      <c r="DX155" s="208">
        <v>-2705114</v>
      </c>
      <c r="DY155" s="208">
        <v>0</v>
      </c>
      <c r="DZ155" s="208">
        <v>-55206</v>
      </c>
      <c r="EA155" s="208">
        <v>-5520641</v>
      </c>
      <c r="EB155" s="208">
        <v>0</v>
      </c>
      <c r="EC155" s="208">
        <v>359378600</v>
      </c>
      <c r="ED155" s="208">
        <v>0</v>
      </c>
      <c r="EE155" s="208">
        <v>3630087</v>
      </c>
      <c r="EF155" s="208">
        <v>363008687</v>
      </c>
      <c r="EG155" s="208">
        <v>0</v>
      </c>
      <c r="EH155" s="208">
        <v>355712731</v>
      </c>
      <c r="EI155" s="208">
        <v>0</v>
      </c>
      <c r="EJ155" s="208">
        <v>3593058</v>
      </c>
      <c r="EK155" s="208">
        <v>359305789</v>
      </c>
      <c r="EL155" s="208">
        <v>0</v>
      </c>
      <c r="EM155" s="208">
        <v>-3665869</v>
      </c>
      <c r="EN155" s="208">
        <v>0</v>
      </c>
      <c r="EO155" s="208">
        <v>-37029</v>
      </c>
      <c r="EP155" s="208">
        <v>-3702898</v>
      </c>
      <c r="EQ155" s="208">
        <v>-2760321</v>
      </c>
      <c r="ER155" s="208">
        <v>-6370983</v>
      </c>
      <c r="ES155" s="208">
        <v>0</v>
      </c>
      <c r="ET155" s="208">
        <v>-92235</v>
      </c>
      <c r="EU155" s="208">
        <v>-9223539</v>
      </c>
      <c r="EV155" s="666">
        <v>0</v>
      </c>
      <c r="EW155" s="666">
        <v>0.99</v>
      </c>
      <c r="EX155" s="666">
        <v>0</v>
      </c>
      <c r="EY155" s="666">
        <v>0.01</v>
      </c>
      <c r="EZ155" s="666">
        <v>1</v>
      </c>
      <c r="FA155" s="187" t="s">
        <v>1056</v>
      </c>
      <c r="FC155" s="187">
        <v>0</v>
      </c>
    </row>
    <row r="156" spans="1:159" s="187" customFormat="1" x14ac:dyDescent="0.2">
      <c r="B156" s="429" t="s">
        <v>389</v>
      </c>
      <c r="C156" s="429" t="s">
        <v>388</v>
      </c>
      <c r="D156" s="208">
        <v>53364590</v>
      </c>
      <c r="E156" s="208">
        <v>52297299</v>
      </c>
      <c r="F156" s="208">
        <v>0</v>
      </c>
      <c r="G156" s="208">
        <v>1067292</v>
      </c>
      <c r="H156" s="208">
        <v>106729181</v>
      </c>
      <c r="I156" s="208">
        <v>9580</v>
      </c>
      <c r="J156" s="208">
        <v>9580</v>
      </c>
      <c r="K156" s="208">
        <v>53355010</v>
      </c>
      <c r="L156" s="208">
        <v>488823</v>
      </c>
      <c r="M156" s="208">
        <v>488823</v>
      </c>
      <c r="N156" s="208">
        <v>0</v>
      </c>
      <c r="O156" s="208">
        <v>0</v>
      </c>
      <c r="P156" s="208">
        <v>0</v>
      </c>
      <c r="Q156" s="208">
        <v>0</v>
      </c>
      <c r="R156" s="208">
        <v>0</v>
      </c>
      <c r="S156" s="208">
        <v>0</v>
      </c>
      <c r="T156" s="208">
        <v>0</v>
      </c>
      <c r="U156" s="208">
        <v>0</v>
      </c>
      <c r="V156" s="208">
        <v>0</v>
      </c>
      <c r="W156" s="208">
        <v>9579.6145833333339</v>
      </c>
      <c r="X156" s="208">
        <v>0</v>
      </c>
      <c r="Y156" s="208">
        <v>0</v>
      </c>
      <c r="Z156" s="208">
        <v>9579.6145833333339</v>
      </c>
      <c r="AA156" s="208">
        <v>0</v>
      </c>
      <c r="AB156" s="208">
        <v>0</v>
      </c>
      <c r="AC156" s="208">
        <v>0</v>
      </c>
      <c r="AD156" s="208">
        <v>0</v>
      </c>
      <c r="AE156" s="208">
        <v>0</v>
      </c>
      <c r="AF156" s="208">
        <v>0</v>
      </c>
      <c r="AG156" s="208">
        <v>6787376</v>
      </c>
      <c r="AH156" s="208">
        <v>0</v>
      </c>
      <c r="AI156" s="208">
        <v>130526</v>
      </c>
      <c r="AJ156" s="208">
        <v>6917902</v>
      </c>
      <c r="AK156" s="208">
        <v>4836059</v>
      </c>
      <c r="AL156" s="208">
        <v>4739338</v>
      </c>
      <c r="AM156" s="208">
        <v>0</v>
      </c>
      <c r="AN156" s="208">
        <v>96721</v>
      </c>
      <c r="AO156" s="208">
        <v>9672118</v>
      </c>
      <c r="AP156" s="208">
        <v>-1172364</v>
      </c>
      <c r="AQ156" s="208">
        <v>-1148916</v>
      </c>
      <c r="AR156" s="208">
        <v>0</v>
      </c>
      <c r="AS156" s="208">
        <v>-23447</v>
      </c>
      <c r="AT156" s="208">
        <v>-2344727</v>
      </c>
      <c r="AU156" s="208">
        <v>-2195985</v>
      </c>
      <c r="AV156" s="208">
        <v>-2152066</v>
      </c>
      <c r="AW156" s="208">
        <v>0</v>
      </c>
      <c r="AX156" s="208">
        <v>-43920</v>
      </c>
      <c r="AY156" s="208">
        <v>-4391971</v>
      </c>
      <c r="AZ156" s="208">
        <v>1266063</v>
      </c>
      <c r="BA156" s="208">
        <v>1240741</v>
      </c>
      <c r="BB156" s="208">
        <v>0</v>
      </c>
      <c r="BC156" s="208">
        <v>25321</v>
      </c>
      <c r="BD156" s="208">
        <v>2532125</v>
      </c>
      <c r="BE156" s="208">
        <v>-1087927</v>
      </c>
      <c r="BF156" s="208">
        <v>-1066169</v>
      </c>
      <c r="BG156" s="208">
        <v>0</v>
      </c>
      <c r="BH156" s="208">
        <v>-21759</v>
      </c>
      <c r="BI156" s="208">
        <v>-2175855</v>
      </c>
      <c r="BJ156" s="208">
        <v>-2017849</v>
      </c>
      <c r="BK156" s="208">
        <v>-1977494</v>
      </c>
      <c r="BL156" s="208">
        <v>0</v>
      </c>
      <c r="BM156" s="208">
        <v>-40358</v>
      </c>
      <c r="BN156" s="208">
        <v>-4035701</v>
      </c>
      <c r="BO156" s="208">
        <v>-3997627</v>
      </c>
      <c r="BP156" s="208">
        <v>-3917675</v>
      </c>
      <c r="BQ156" s="208">
        <v>0</v>
      </c>
      <c r="BR156" s="208">
        <v>-79953</v>
      </c>
      <c r="BS156" s="208">
        <v>-7995255</v>
      </c>
      <c r="BT156" s="208">
        <v>-1636184</v>
      </c>
      <c r="BU156" s="208">
        <v>-1603461</v>
      </c>
      <c r="BV156" s="208">
        <v>0</v>
      </c>
      <c r="BW156" s="208">
        <v>-32724</v>
      </c>
      <c r="BX156" s="208">
        <v>-3272369</v>
      </c>
      <c r="BY156" s="208">
        <v>-2361443</v>
      </c>
      <c r="BZ156" s="208">
        <v>-2314214</v>
      </c>
      <c r="CA156" s="208">
        <v>0</v>
      </c>
      <c r="CB156" s="208">
        <v>-47229</v>
      </c>
      <c r="CC156" s="208">
        <v>-4722886</v>
      </c>
      <c r="CD156" s="208">
        <v>514375</v>
      </c>
      <c r="CE156" s="208">
        <v>504087</v>
      </c>
      <c r="CF156" s="208">
        <v>0</v>
      </c>
      <c r="CG156" s="208">
        <v>10287</v>
      </c>
      <c r="CH156" s="208">
        <v>1028749</v>
      </c>
      <c r="CI156" s="208">
        <v>795552</v>
      </c>
      <c r="CJ156" s="208">
        <v>779641</v>
      </c>
      <c r="CK156" s="208">
        <v>0</v>
      </c>
      <c r="CL156" s="208">
        <v>15911</v>
      </c>
      <c r="CM156" s="208">
        <v>1591104</v>
      </c>
      <c r="CN156" s="208">
        <v>-589630</v>
      </c>
      <c r="CO156" s="208">
        <v>-577838</v>
      </c>
      <c r="CP156" s="208">
        <v>0</v>
      </c>
      <c r="CQ156" s="208">
        <v>-11793</v>
      </c>
      <c r="CR156" s="208">
        <v>-1179261</v>
      </c>
      <c r="CS156" s="208">
        <v>-3790526</v>
      </c>
      <c r="CT156" s="208">
        <v>-3714716</v>
      </c>
      <c r="CU156" s="208">
        <v>0</v>
      </c>
      <c r="CV156" s="208">
        <v>-75811</v>
      </c>
      <c r="CW156" s="208">
        <v>-7581053</v>
      </c>
      <c r="CX156" s="208">
        <v>-7067856</v>
      </c>
      <c r="CY156" s="208">
        <v>-6926501</v>
      </c>
      <c r="CZ156" s="208">
        <v>0</v>
      </c>
      <c r="DA156" s="208">
        <v>-141359</v>
      </c>
      <c r="DB156" s="208">
        <v>-14135716</v>
      </c>
      <c r="DC156" s="208">
        <v>-1711439</v>
      </c>
      <c r="DD156" s="208">
        <v>-1677212</v>
      </c>
      <c r="DE156" s="208">
        <v>0</v>
      </c>
      <c r="DF156" s="208">
        <v>-34230</v>
      </c>
      <c r="DG156" s="208">
        <v>-3422881</v>
      </c>
      <c r="DH156" s="208">
        <v>-5356417</v>
      </c>
      <c r="DI156" s="208">
        <v>-5249289</v>
      </c>
      <c r="DJ156" s="208">
        <v>0</v>
      </c>
      <c r="DK156" s="208">
        <v>-107129</v>
      </c>
      <c r="DL156" s="208">
        <v>-10712835</v>
      </c>
      <c r="DM156" s="208">
        <v>-2906776</v>
      </c>
      <c r="DN156" s="208">
        <v>-2848642</v>
      </c>
      <c r="DO156" s="208">
        <v>0</v>
      </c>
      <c r="DP156" s="208">
        <v>-58136</v>
      </c>
      <c r="DQ156" s="208">
        <v>-5813554</v>
      </c>
      <c r="DR156" s="208">
        <v>-1415925</v>
      </c>
      <c r="DS156" s="208">
        <v>-1387607</v>
      </c>
      <c r="DT156" s="208">
        <v>0</v>
      </c>
      <c r="DU156" s="208">
        <v>-28319</v>
      </c>
      <c r="DV156" s="208">
        <v>-2831851</v>
      </c>
      <c r="DW156" s="208">
        <v>-1490851</v>
      </c>
      <c r="DX156" s="208">
        <v>-1461035</v>
      </c>
      <c r="DY156" s="208">
        <v>0</v>
      </c>
      <c r="DZ156" s="208">
        <v>-29817</v>
      </c>
      <c r="EA156" s="208">
        <v>-2981703</v>
      </c>
      <c r="EB156" s="208">
        <v>55943075</v>
      </c>
      <c r="EC156" s="208">
        <v>54824214</v>
      </c>
      <c r="ED156" s="208">
        <v>0</v>
      </c>
      <c r="EE156" s="208">
        <v>1118862</v>
      </c>
      <c r="EF156" s="208">
        <v>111886151</v>
      </c>
      <c r="EG156" s="208">
        <v>53364590</v>
      </c>
      <c r="EH156" s="208">
        <v>52297299</v>
      </c>
      <c r="EI156" s="208">
        <v>0</v>
      </c>
      <c r="EJ156" s="208">
        <v>1067292</v>
      </c>
      <c r="EK156" s="208">
        <v>106729181</v>
      </c>
      <c r="EL156" s="208">
        <v>-2578485</v>
      </c>
      <c r="EM156" s="208">
        <v>-2526915</v>
      </c>
      <c r="EN156" s="208">
        <v>0</v>
      </c>
      <c r="EO156" s="208">
        <v>-51570</v>
      </c>
      <c r="EP156" s="208">
        <v>-5156970</v>
      </c>
      <c r="EQ156" s="208">
        <v>-4069336</v>
      </c>
      <c r="ER156" s="208">
        <v>-3987950</v>
      </c>
      <c r="ES156" s="208">
        <v>0</v>
      </c>
      <c r="ET156" s="208">
        <v>-81387</v>
      </c>
      <c r="EU156" s="208">
        <v>-8138673</v>
      </c>
      <c r="EV156" s="666">
        <v>0.5</v>
      </c>
      <c r="EW156" s="666">
        <v>0.49</v>
      </c>
      <c r="EX156" s="666">
        <v>0</v>
      </c>
      <c r="EY156" s="666">
        <v>0.01</v>
      </c>
      <c r="EZ156" s="666">
        <v>1</v>
      </c>
      <c r="FA156" s="187" t="s">
        <v>742</v>
      </c>
      <c r="FC156" s="187">
        <v>0</v>
      </c>
    </row>
    <row r="157" spans="1:159" s="187" customFormat="1" x14ac:dyDescent="0.2">
      <c r="A157" s="187" t="s">
        <v>1811</v>
      </c>
      <c r="B157" s="429" t="s">
        <v>391</v>
      </c>
      <c r="C157" s="429" t="s">
        <v>390</v>
      </c>
      <c r="D157" s="208">
        <v>12743767</v>
      </c>
      <c r="E157" s="208">
        <v>10195014</v>
      </c>
      <c r="F157" s="208">
        <v>2293878</v>
      </c>
      <c r="G157" s="208">
        <v>254875</v>
      </c>
      <c r="H157" s="208">
        <v>25487534</v>
      </c>
      <c r="I157" s="208">
        <v>361144</v>
      </c>
      <c r="J157" s="208">
        <v>361144</v>
      </c>
      <c r="K157" s="208">
        <v>12382623</v>
      </c>
      <c r="L157" s="208">
        <v>134766</v>
      </c>
      <c r="M157" s="208">
        <v>134766</v>
      </c>
      <c r="N157" s="208">
        <v>342254</v>
      </c>
      <c r="O157" s="208">
        <v>342254</v>
      </c>
      <c r="P157" s="208">
        <v>0</v>
      </c>
      <c r="Q157" s="208">
        <v>0</v>
      </c>
      <c r="R157" s="208">
        <v>0</v>
      </c>
      <c r="S157" s="208">
        <v>0</v>
      </c>
      <c r="T157" s="208">
        <v>0</v>
      </c>
      <c r="U157" s="208">
        <v>0</v>
      </c>
      <c r="V157" s="208">
        <v>0</v>
      </c>
      <c r="W157" s="208">
        <v>361143.79791666666</v>
      </c>
      <c r="X157" s="208">
        <v>0</v>
      </c>
      <c r="Y157" s="208">
        <v>0</v>
      </c>
      <c r="Z157" s="208">
        <v>361143.79791666666</v>
      </c>
      <c r="AA157" s="208">
        <v>0</v>
      </c>
      <c r="AB157" s="208">
        <v>0</v>
      </c>
      <c r="AC157" s="208">
        <v>0</v>
      </c>
      <c r="AD157" s="208">
        <v>0</v>
      </c>
      <c r="AE157" s="208">
        <v>0</v>
      </c>
      <c r="AF157" s="208">
        <v>0</v>
      </c>
      <c r="AG157" s="208">
        <v>1691398</v>
      </c>
      <c r="AH157" s="208">
        <v>311229</v>
      </c>
      <c r="AI157" s="208">
        <v>34580</v>
      </c>
      <c r="AJ157" s="208">
        <v>2037207</v>
      </c>
      <c r="AK157" s="208">
        <v>542642</v>
      </c>
      <c r="AL157" s="208">
        <v>434114</v>
      </c>
      <c r="AM157" s="208">
        <v>97676</v>
      </c>
      <c r="AN157" s="208">
        <v>10853</v>
      </c>
      <c r="AO157" s="208">
        <v>1085285</v>
      </c>
      <c r="AP157" s="208">
        <v>-562029</v>
      </c>
      <c r="AQ157" s="208">
        <v>-449623</v>
      </c>
      <c r="AR157" s="208">
        <v>-101165</v>
      </c>
      <c r="AS157" s="208">
        <v>-11241</v>
      </c>
      <c r="AT157" s="208">
        <v>-1124058</v>
      </c>
      <c r="AU157" s="208">
        <v>-152500</v>
      </c>
      <c r="AV157" s="208">
        <v>-122000</v>
      </c>
      <c r="AW157" s="208">
        <v>-27450</v>
      </c>
      <c r="AX157" s="208">
        <v>-3050</v>
      </c>
      <c r="AY157" s="208">
        <v>-305000</v>
      </c>
      <c r="AZ157" s="208">
        <v>56988</v>
      </c>
      <c r="BA157" s="208">
        <v>45590</v>
      </c>
      <c r="BB157" s="208">
        <v>10258</v>
      </c>
      <c r="BC157" s="208">
        <v>1140</v>
      </c>
      <c r="BD157" s="208">
        <v>113976</v>
      </c>
      <c r="BE157" s="208">
        <v>-93664</v>
      </c>
      <c r="BF157" s="208">
        <v>-74931</v>
      </c>
      <c r="BG157" s="208">
        <v>-16859</v>
      </c>
      <c r="BH157" s="208">
        <v>-1873</v>
      </c>
      <c r="BI157" s="208">
        <v>-187327</v>
      </c>
      <c r="BJ157" s="208">
        <v>-189176</v>
      </c>
      <c r="BK157" s="208">
        <v>-151341</v>
      </c>
      <c r="BL157" s="208">
        <v>-34051</v>
      </c>
      <c r="BM157" s="208">
        <v>-3783</v>
      </c>
      <c r="BN157" s="208">
        <v>-378351</v>
      </c>
      <c r="BO157" s="208">
        <v>-1480000</v>
      </c>
      <c r="BP157" s="208">
        <v>-1184000</v>
      </c>
      <c r="BQ157" s="208">
        <v>-266400</v>
      </c>
      <c r="BR157" s="208">
        <v>-29600</v>
      </c>
      <c r="BS157" s="208">
        <v>-2960000</v>
      </c>
      <c r="BT157" s="208">
        <v>-530000</v>
      </c>
      <c r="BU157" s="208">
        <v>-424000</v>
      </c>
      <c r="BV157" s="208">
        <v>-95400</v>
      </c>
      <c r="BW157" s="208">
        <v>-10600</v>
      </c>
      <c r="BX157" s="208">
        <v>-1060000</v>
      </c>
      <c r="BY157" s="208">
        <v>-950000</v>
      </c>
      <c r="BZ157" s="208">
        <v>-760000</v>
      </c>
      <c r="CA157" s="208">
        <v>-171000</v>
      </c>
      <c r="CB157" s="208">
        <v>-19000</v>
      </c>
      <c r="CC157" s="208">
        <v>-1900000</v>
      </c>
      <c r="CD157" s="208">
        <v>0</v>
      </c>
      <c r="CE157" s="208">
        <v>0</v>
      </c>
      <c r="CF157" s="208">
        <v>0</v>
      </c>
      <c r="CG157" s="208">
        <v>0</v>
      </c>
      <c r="CH157" s="208">
        <v>0</v>
      </c>
      <c r="CI157" s="208">
        <v>0</v>
      </c>
      <c r="CJ157" s="208">
        <v>0</v>
      </c>
      <c r="CK157" s="208">
        <v>0</v>
      </c>
      <c r="CL157" s="208">
        <v>0</v>
      </c>
      <c r="CM157" s="208">
        <v>0</v>
      </c>
      <c r="CN157" s="208">
        <v>180891</v>
      </c>
      <c r="CO157" s="208">
        <v>144714</v>
      </c>
      <c r="CP157" s="208">
        <v>32561</v>
      </c>
      <c r="CQ157" s="208">
        <v>3618</v>
      </c>
      <c r="CR157" s="208">
        <v>361784</v>
      </c>
      <c r="CS157" s="208">
        <v>-16535</v>
      </c>
      <c r="CT157" s="208">
        <v>-13228</v>
      </c>
      <c r="CU157" s="208">
        <v>-2976</v>
      </c>
      <c r="CV157" s="208">
        <v>-331</v>
      </c>
      <c r="CW157" s="208">
        <v>-33070</v>
      </c>
      <c r="CX157" s="208">
        <v>-1315644</v>
      </c>
      <c r="CY157" s="208">
        <v>-1052514</v>
      </c>
      <c r="CZ157" s="208">
        <v>-236815</v>
      </c>
      <c r="DA157" s="208">
        <v>-26313</v>
      </c>
      <c r="DB157" s="208">
        <v>-2631286</v>
      </c>
      <c r="DC157" s="208">
        <v>-349109</v>
      </c>
      <c r="DD157" s="208">
        <v>-279286</v>
      </c>
      <c r="DE157" s="208">
        <v>-62839</v>
      </c>
      <c r="DF157" s="208">
        <v>-6982</v>
      </c>
      <c r="DG157" s="208">
        <v>-698216</v>
      </c>
      <c r="DH157" s="208">
        <v>-966535</v>
      </c>
      <c r="DI157" s="208">
        <v>-773228</v>
      </c>
      <c r="DJ157" s="208">
        <v>-173976</v>
      </c>
      <c r="DK157" s="208">
        <v>-19331</v>
      </c>
      <c r="DL157" s="208">
        <v>-1933070</v>
      </c>
      <c r="DM157" s="208">
        <v>-974326</v>
      </c>
      <c r="DN157" s="208">
        <v>-779461</v>
      </c>
      <c r="DO157" s="208">
        <v>-175380</v>
      </c>
      <c r="DP157" s="208">
        <v>-19486</v>
      </c>
      <c r="DQ157" s="208">
        <v>-1948653</v>
      </c>
      <c r="DR157" s="208">
        <v>-390000</v>
      </c>
      <c r="DS157" s="208">
        <v>-312000</v>
      </c>
      <c r="DT157" s="208">
        <v>-70200</v>
      </c>
      <c r="DU157" s="208">
        <v>-7800</v>
      </c>
      <c r="DV157" s="208">
        <v>-780000</v>
      </c>
      <c r="DW157" s="208">
        <v>-584326</v>
      </c>
      <c r="DX157" s="208">
        <v>-467461</v>
      </c>
      <c r="DY157" s="208">
        <v>-105180</v>
      </c>
      <c r="DZ157" s="208">
        <v>-11686</v>
      </c>
      <c r="EA157" s="208">
        <v>-1168653</v>
      </c>
      <c r="EB157" s="208">
        <v>12106849</v>
      </c>
      <c r="EC157" s="208">
        <v>9685479</v>
      </c>
      <c r="ED157" s="208">
        <v>2179233</v>
      </c>
      <c r="EE157" s="208">
        <v>242137</v>
      </c>
      <c r="EF157" s="208">
        <v>24213698</v>
      </c>
      <c r="EG157" s="208">
        <v>12743767</v>
      </c>
      <c r="EH157" s="208">
        <v>10195014</v>
      </c>
      <c r="EI157" s="208">
        <v>2293878</v>
      </c>
      <c r="EJ157" s="208">
        <v>254875</v>
      </c>
      <c r="EK157" s="208">
        <v>25487534</v>
      </c>
      <c r="EL157" s="208">
        <v>636918</v>
      </c>
      <c r="EM157" s="208">
        <v>509535</v>
      </c>
      <c r="EN157" s="208">
        <v>114645</v>
      </c>
      <c r="EO157" s="208">
        <v>12738</v>
      </c>
      <c r="EP157" s="208">
        <v>1273836</v>
      </c>
      <c r="EQ157" s="208">
        <v>52592</v>
      </c>
      <c r="ER157" s="208">
        <v>42074</v>
      </c>
      <c r="ES157" s="208">
        <v>9465</v>
      </c>
      <c r="ET157" s="208">
        <v>1052</v>
      </c>
      <c r="EU157" s="208">
        <v>105183</v>
      </c>
      <c r="EV157" s="666">
        <v>0.5</v>
      </c>
      <c r="EW157" s="666">
        <v>0.4</v>
      </c>
      <c r="EX157" s="666">
        <v>0.09</v>
      </c>
      <c r="EY157" s="666">
        <v>0.01</v>
      </c>
      <c r="EZ157" s="666">
        <v>1</v>
      </c>
      <c r="FA157" s="187" t="s">
        <v>1054</v>
      </c>
      <c r="FC157" s="187">
        <v>0</v>
      </c>
    </row>
    <row r="158" spans="1:159" s="187" customFormat="1" x14ac:dyDescent="0.2">
      <c r="B158" s="429" t="s">
        <v>393</v>
      </c>
      <c r="C158" s="429" t="s">
        <v>392</v>
      </c>
      <c r="D158" s="208">
        <v>0</v>
      </c>
      <c r="E158" s="208">
        <v>41644630</v>
      </c>
      <c r="F158" s="208">
        <v>23425105</v>
      </c>
      <c r="G158" s="208">
        <v>0</v>
      </c>
      <c r="H158" s="208">
        <v>65069735</v>
      </c>
      <c r="I158" s="208">
        <v>0</v>
      </c>
      <c r="J158" s="208">
        <v>0</v>
      </c>
      <c r="K158" s="208">
        <v>0</v>
      </c>
      <c r="L158" s="208">
        <v>305024</v>
      </c>
      <c r="M158" s="208">
        <v>305024</v>
      </c>
      <c r="N158" s="208">
        <v>0</v>
      </c>
      <c r="O158" s="208">
        <v>0</v>
      </c>
      <c r="P158" s="208">
        <v>0</v>
      </c>
      <c r="Q158" s="208">
        <v>0</v>
      </c>
      <c r="R158" s="208">
        <v>0</v>
      </c>
      <c r="S158" s="208">
        <v>0</v>
      </c>
      <c r="T158" s="208">
        <v>0</v>
      </c>
      <c r="U158" s="208">
        <v>0</v>
      </c>
      <c r="V158" s="208">
        <v>0</v>
      </c>
      <c r="W158" s="208">
        <v>0</v>
      </c>
      <c r="X158" s="208">
        <v>0</v>
      </c>
      <c r="Y158" s="208">
        <v>0</v>
      </c>
      <c r="Z158" s="208">
        <v>0</v>
      </c>
      <c r="AA158" s="208">
        <v>0</v>
      </c>
      <c r="AB158" s="208">
        <v>0</v>
      </c>
      <c r="AC158" s="208">
        <v>0</v>
      </c>
      <c r="AD158" s="208">
        <v>0</v>
      </c>
      <c r="AE158" s="208">
        <v>0</v>
      </c>
      <c r="AF158" s="208">
        <v>0</v>
      </c>
      <c r="AG158" s="208">
        <v>5058557</v>
      </c>
      <c r="AH158" s="208">
        <v>2845438</v>
      </c>
      <c r="AI158" s="208">
        <v>0</v>
      </c>
      <c r="AJ158" s="208">
        <v>7903995</v>
      </c>
      <c r="AK158" s="208">
        <v>0</v>
      </c>
      <c r="AL158" s="208">
        <v>2098300</v>
      </c>
      <c r="AM158" s="208">
        <v>1180294</v>
      </c>
      <c r="AN158" s="208">
        <v>0</v>
      </c>
      <c r="AO158" s="208">
        <v>3278594</v>
      </c>
      <c r="AP158" s="208">
        <v>0</v>
      </c>
      <c r="AQ158" s="208">
        <v>-6369421</v>
      </c>
      <c r="AR158" s="208">
        <v>-3582800</v>
      </c>
      <c r="AS158" s="208">
        <v>0</v>
      </c>
      <c r="AT158" s="208">
        <v>-9952221</v>
      </c>
      <c r="AU158" s="208">
        <v>0.5</v>
      </c>
      <c r="AV158" s="208">
        <v>-1165995</v>
      </c>
      <c r="AW158" s="208">
        <v>-655872</v>
      </c>
      <c r="AX158" s="208">
        <v>0</v>
      </c>
      <c r="AY158" s="208">
        <v>-1821866.5</v>
      </c>
      <c r="AZ158" s="208">
        <v>0</v>
      </c>
      <c r="BA158" s="208">
        <v>485031</v>
      </c>
      <c r="BB158" s="208">
        <v>272830</v>
      </c>
      <c r="BC158" s="208">
        <v>0</v>
      </c>
      <c r="BD158" s="208">
        <v>757861</v>
      </c>
      <c r="BE158" s="208">
        <v>0</v>
      </c>
      <c r="BF158" s="208">
        <v>-347306</v>
      </c>
      <c r="BG158" s="208">
        <v>-195359</v>
      </c>
      <c r="BH158" s="208">
        <v>0</v>
      </c>
      <c r="BI158" s="208">
        <v>-542665</v>
      </c>
      <c r="BJ158" s="208">
        <v>0.5</v>
      </c>
      <c r="BK158" s="208">
        <v>-1028270</v>
      </c>
      <c r="BL158" s="208">
        <v>-578401</v>
      </c>
      <c r="BM158" s="208">
        <v>0</v>
      </c>
      <c r="BN158" s="208">
        <v>-1606670.5</v>
      </c>
      <c r="BO158" s="208">
        <v>0</v>
      </c>
      <c r="BP158" s="208">
        <v>-1289334</v>
      </c>
      <c r="BQ158" s="208">
        <v>-725251</v>
      </c>
      <c r="BR158" s="208">
        <v>0</v>
      </c>
      <c r="BS158" s="208">
        <v>-2014585</v>
      </c>
      <c r="BT158" s="208">
        <v>0</v>
      </c>
      <c r="BU158" s="208">
        <v>-15452</v>
      </c>
      <c r="BV158" s="208">
        <v>-8691</v>
      </c>
      <c r="BW158" s="208">
        <v>0</v>
      </c>
      <c r="BX158" s="208">
        <v>-24143</v>
      </c>
      <c r="BY158" s="208">
        <v>0</v>
      </c>
      <c r="BZ158" s="208">
        <v>-1273883</v>
      </c>
      <c r="CA158" s="208">
        <v>-716559</v>
      </c>
      <c r="CB158" s="208">
        <v>0</v>
      </c>
      <c r="CC158" s="208">
        <v>-1990442</v>
      </c>
      <c r="CD158" s="208">
        <v>0</v>
      </c>
      <c r="CE158" s="208">
        <v>78655</v>
      </c>
      <c r="CF158" s="208">
        <v>44243</v>
      </c>
      <c r="CG158" s="208">
        <v>0</v>
      </c>
      <c r="CH158" s="208">
        <v>122898</v>
      </c>
      <c r="CI158" s="208">
        <v>0</v>
      </c>
      <c r="CJ158" s="208">
        <v>26957</v>
      </c>
      <c r="CK158" s="208">
        <v>15164</v>
      </c>
      <c r="CL158" s="208">
        <v>0</v>
      </c>
      <c r="CM158" s="208">
        <v>42121</v>
      </c>
      <c r="CN158" s="208">
        <v>0</v>
      </c>
      <c r="CO158" s="208">
        <v>-74561</v>
      </c>
      <c r="CP158" s="208">
        <v>-41941</v>
      </c>
      <c r="CQ158" s="208">
        <v>0</v>
      </c>
      <c r="CR158" s="208">
        <v>-116502</v>
      </c>
      <c r="CS158" s="208">
        <v>0</v>
      </c>
      <c r="CT158" s="208">
        <v>294508</v>
      </c>
      <c r="CU158" s="208">
        <v>165661</v>
      </c>
      <c r="CV158" s="208">
        <v>0</v>
      </c>
      <c r="CW158" s="208">
        <v>460169</v>
      </c>
      <c r="CX158" s="208">
        <v>0</v>
      </c>
      <c r="CY158" s="208">
        <v>-963775</v>
      </c>
      <c r="CZ158" s="208">
        <v>-542124</v>
      </c>
      <c r="DA158" s="208">
        <v>0</v>
      </c>
      <c r="DB158" s="208">
        <v>-1505899</v>
      </c>
      <c r="DC158" s="208">
        <v>0</v>
      </c>
      <c r="DD158" s="208">
        <v>-11358</v>
      </c>
      <c r="DE158" s="208">
        <v>-6389</v>
      </c>
      <c r="DF158" s="208">
        <v>0</v>
      </c>
      <c r="DG158" s="208">
        <v>-17747</v>
      </c>
      <c r="DH158" s="208">
        <v>0</v>
      </c>
      <c r="DI158" s="208">
        <v>-952418</v>
      </c>
      <c r="DJ158" s="208">
        <v>-535734</v>
      </c>
      <c r="DK158" s="208">
        <v>0</v>
      </c>
      <c r="DL158" s="208">
        <v>-1488152</v>
      </c>
      <c r="DM158" s="208">
        <v>-2720585</v>
      </c>
      <c r="DN158" s="208">
        <v>-2163551</v>
      </c>
      <c r="DO158" s="208">
        <v>-2327703</v>
      </c>
      <c r="DP158" s="208">
        <v>0</v>
      </c>
      <c r="DQ158" s="208">
        <v>-7211839</v>
      </c>
      <c r="DR158" s="208">
        <v>-2628828</v>
      </c>
      <c r="DS158" s="208">
        <v>-2080135</v>
      </c>
      <c r="DT158" s="208">
        <v>-2224823</v>
      </c>
      <c r="DU158" s="208">
        <v>0</v>
      </c>
      <c r="DV158" s="208">
        <v>-6933786</v>
      </c>
      <c r="DW158" s="208">
        <v>-91757</v>
      </c>
      <c r="DX158" s="208">
        <v>-83416</v>
      </c>
      <c r="DY158" s="208">
        <v>-102880</v>
      </c>
      <c r="DZ158" s="208">
        <v>0</v>
      </c>
      <c r="EA158" s="208">
        <v>-278053</v>
      </c>
      <c r="EB158" s="208">
        <v>0</v>
      </c>
      <c r="EC158" s="208">
        <v>43221261</v>
      </c>
      <c r="ED158" s="208">
        <v>24311959</v>
      </c>
      <c r="EE158" s="208">
        <v>0</v>
      </c>
      <c r="EF158" s="208">
        <v>67533220</v>
      </c>
      <c r="EG158" s="208">
        <v>0</v>
      </c>
      <c r="EH158" s="208">
        <v>41644630</v>
      </c>
      <c r="EI158" s="208">
        <v>23425105</v>
      </c>
      <c r="EJ158" s="208">
        <v>0</v>
      </c>
      <c r="EK158" s="208">
        <v>65069735</v>
      </c>
      <c r="EL158" s="208">
        <v>0</v>
      </c>
      <c r="EM158" s="208">
        <v>-1576631</v>
      </c>
      <c r="EN158" s="208">
        <v>-886854</v>
      </c>
      <c r="EO158" s="208">
        <v>0</v>
      </c>
      <c r="EP158" s="208">
        <v>-2463485</v>
      </c>
      <c r="EQ158" s="208">
        <v>-91757</v>
      </c>
      <c r="ER158" s="208">
        <v>-1660047</v>
      </c>
      <c r="ES158" s="208">
        <v>-989734</v>
      </c>
      <c r="ET158" s="208">
        <v>0</v>
      </c>
      <c r="EU158" s="208">
        <v>-2741538</v>
      </c>
      <c r="EV158" s="666">
        <v>0</v>
      </c>
      <c r="EW158" s="666">
        <v>0.64</v>
      </c>
      <c r="EX158" s="666">
        <v>0.36</v>
      </c>
      <c r="EY158" s="666">
        <v>0</v>
      </c>
      <c r="EZ158" s="666">
        <v>1</v>
      </c>
      <c r="FA158" s="187" t="s">
        <v>1057</v>
      </c>
      <c r="FC158" s="187">
        <v>0</v>
      </c>
    </row>
    <row r="159" spans="1:159" s="187" customFormat="1" x14ac:dyDescent="0.2">
      <c r="B159" s="429" t="s">
        <v>395</v>
      </c>
      <c r="C159" s="429" t="s">
        <v>394</v>
      </c>
      <c r="D159" s="208">
        <v>18506553</v>
      </c>
      <c r="E159" s="208">
        <v>14805243</v>
      </c>
      <c r="F159" s="208">
        <v>3331180</v>
      </c>
      <c r="G159" s="208">
        <v>370131</v>
      </c>
      <c r="H159" s="208">
        <v>37013107</v>
      </c>
      <c r="I159" s="208">
        <v>0</v>
      </c>
      <c r="J159" s="208">
        <v>0</v>
      </c>
      <c r="K159" s="208">
        <v>18506553</v>
      </c>
      <c r="L159" s="208">
        <v>123519</v>
      </c>
      <c r="M159" s="208">
        <v>123519</v>
      </c>
      <c r="N159" s="208">
        <v>0</v>
      </c>
      <c r="O159" s="208">
        <v>0</v>
      </c>
      <c r="P159" s="208">
        <v>0</v>
      </c>
      <c r="Q159" s="208">
        <v>0</v>
      </c>
      <c r="R159" s="208">
        <v>0</v>
      </c>
      <c r="S159" s="208">
        <v>0</v>
      </c>
      <c r="T159" s="208">
        <v>0</v>
      </c>
      <c r="U159" s="208">
        <v>0</v>
      </c>
      <c r="V159" s="208">
        <v>0</v>
      </c>
      <c r="W159" s="208">
        <v>0</v>
      </c>
      <c r="X159" s="208">
        <v>0</v>
      </c>
      <c r="Y159" s="208">
        <v>0</v>
      </c>
      <c r="Z159" s="208">
        <v>0</v>
      </c>
      <c r="AA159" s="208">
        <v>0</v>
      </c>
      <c r="AB159" s="208">
        <v>0</v>
      </c>
      <c r="AC159" s="208">
        <v>0</v>
      </c>
      <c r="AD159" s="208">
        <v>0</v>
      </c>
      <c r="AE159" s="208">
        <v>0</v>
      </c>
      <c r="AF159" s="208">
        <v>0</v>
      </c>
      <c r="AG159" s="208">
        <v>1475568</v>
      </c>
      <c r="AH159" s="208">
        <v>332003</v>
      </c>
      <c r="AI159" s="208">
        <v>36889</v>
      </c>
      <c r="AJ159" s="208">
        <v>1844460</v>
      </c>
      <c r="AK159" s="208">
        <v>406086</v>
      </c>
      <c r="AL159" s="208">
        <v>324868</v>
      </c>
      <c r="AM159" s="208">
        <v>73095</v>
      </c>
      <c r="AN159" s="208">
        <v>8122</v>
      </c>
      <c r="AO159" s="208">
        <v>812171</v>
      </c>
      <c r="AP159" s="208">
        <v>-373512</v>
      </c>
      <c r="AQ159" s="208">
        <v>-298810</v>
      </c>
      <c r="AR159" s="208">
        <v>-67232</v>
      </c>
      <c r="AS159" s="208">
        <v>-7470</v>
      </c>
      <c r="AT159" s="208">
        <v>-747024</v>
      </c>
      <c r="AU159" s="208">
        <v>-125843.59999999998</v>
      </c>
      <c r="AV159" s="208">
        <v>-100675</v>
      </c>
      <c r="AW159" s="208">
        <v>-22652</v>
      </c>
      <c r="AX159" s="208">
        <v>-2517</v>
      </c>
      <c r="AY159" s="208">
        <v>-251687.59999999998</v>
      </c>
      <c r="AZ159" s="208">
        <v>41405</v>
      </c>
      <c r="BA159" s="208">
        <v>33124</v>
      </c>
      <c r="BB159" s="208">
        <v>7453</v>
      </c>
      <c r="BC159" s="208">
        <v>828</v>
      </c>
      <c r="BD159" s="208">
        <v>82810</v>
      </c>
      <c r="BE159" s="208">
        <v>-105495</v>
      </c>
      <c r="BF159" s="208">
        <v>-84396</v>
      </c>
      <c r="BG159" s="208">
        <v>-18989</v>
      </c>
      <c r="BH159" s="208">
        <v>-2110</v>
      </c>
      <c r="BI159" s="208">
        <v>-210990</v>
      </c>
      <c r="BJ159" s="208">
        <v>-189933.59999999998</v>
      </c>
      <c r="BK159" s="208">
        <v>-151947</v>
      </c>
      <c r="BL159" s="208">
        <v>-34188</v>
      </c>
      <c r="BM159" s="208">
        <v>-3799</v>
      </c>
      <c r="BN159" s="208">
        <v>-379867.6</v>
      </c>
      <c r="BO159" s="208">
        <v>-1850000</v>
      </c>
      <c r="BP159" s="208">
        <v>-1480000</v>
      </c>
      <c r="BQ159" s="208">
        <v>-333000</v>
      </c>
      <c r="BR159" s="208">
        <v>-37000</v>
      </c>
      <c r="BS159" s="208">
        <v>-3700000</v>
      </c>
      <c r="BT159" s="208">
        <v>-1416500</v>
      </c>
      <c r="BU159" s="208">
        <v>-1133200</v>
      </c>
      <c r="BV159" s="208">
        <v>-254970</v>
      </c>
      <c r="BW159" s="208">
        <v>-28330</v>
      </c>
      <c r="BX159" s="208">
        <v>-2833000</v>
      </c>
      <c r="BY159" s="208">
        <v>-433500</v>
      </c>
      <c r="BZ159" s="208">
        <v>-346800</v>
      </c>
      <c r="CA159" s="208">
        <v>-78030</v>
      </c>
      <c r="CB159" s="208">
        <v>-8670</v>
      </c>
      <c r="CC159" s="208">
        <v>-867000</v>
      </c>
      <c r="CD159" s="208">
        <v>104009</v>
      </c>
      <c r="CE159" s="208">
        <v>83207</v>
      </c>
      <c r="CF159" s="208">
        <v>18722</v>
      </c>
      <c r="CG159" s="208">
        <v>2080</v>
      </c>
      <c r="CH159" s="208">
        <v>208018</v>
      </c>
      <c r="CI159" s="208">
        <v>33293</v>
      </c>
      <c r="CJ159" s="208">
        <v>26635</v>
      </c>
      <c r="CK159" s="208">
        <v>5993</v>
      </c>
      <c r="CL159" s="208">
        <v>666</v>
      </c>
      <c r="CM159" s="208">
        <v>66587</v>
      </c>
      <c r="CN159" s="208">
        <v>495697</v>
      </c>
      <c r="CO159" s="208">
        <v>396558</v>
      </c>
      <c r="CP159" s="208">
        <v>89226</v>
      </c>
      <c r="CQ159" s="208">
        <v>9914</v>
      </c>
      <c r="CR159" s="208">
        <v>991395</v>
      </c>
      <c r="CS159" s="208">
        <v>-233000</v>
      </c>
      <c r="CT159" s="208">
        <v>-186400</v>
      </c>
      <c r="CU159" s="208">
        <v>-41940</v>
      </c>
      <c r="CV159" s="208">
        <v>-4660</v>
      </c>
      <c r="CW159" s="208">
        <v>-466000</v>
      </c>
      <c r="CX159" s="208">
        <v>-1450001</v>
      </c>
      <c r="CY159" s="208">
        <v>-1160000</v>
      </c>
      <c r="CZ159" s="208">
        <v>-260999</v>
      </c>
      <c r="DA159" s="208">
        <v>-29000</v>
      </c>
      <c r="DB159" s="208">
        <v>-2900000</v>
      </c>
      <c r="DC159" s="208">
        <v>-816794</v>
      </c>
      <c r="DD159" s="208">
        <v>-653435</v>
      </c>
      <c r="DE159" s="208">
        <v>-147022</v>
      </c>
      <c r="DF159" s="208">
        <v>-16336</v>
      </c>
      <c r="DG159" s="208">
        <v>-1633587</v>
      </c>
      <c r="DH159" s="208">
        <v>-633207</v>
      </c>
      <c r="DI159" s="208">
        <v>-506565</v>
      </c>
      <c r="DJ159" s="208">
        <v>-113977</v>
      </c>
      <c r="DK159" s="208">
        <v>-12664</v>
      </c>
      <c r="DL159" s="208">
        <v>-1266413</v>
      </c>
      <c r="DM159" s="208">
        <v>708413</v>
      </c>
      <c r="DN159" s="208">
        <v>566730</v>
      </c>
      <c r="DO159" s="208">
        <v>127515</v>
      </c>
      <c r="DP159" s="208">
        <v>14168</v>
      </c>
      <c r="DQ159" s="208">
        <v>1416826</v>
      </c>
      <c r="DR159" s="208">
        <v>739062</v>
      </c>
      <c r="DS159" s="208">
        <v>591250</v>
      </c>
      <c r="DT159" s="208">
        <v>133031</v>
      </c>
      <c r="DU159" s="208">
        <v>14781</v>
      </c>
      <c r="DV159" s="208">
        <v>1478124</v>
      </c>
      <c r="DW159" s="208">
        <v>-30649</v>
      </c>
      <c r="DX159" s="208">
        <v>-24520</v>
      </c>
      <c r="DY159" s="208">
        <v>-5516</v>
      </c>
      <c r="DZ159" s="208">
        <v>-613</v>
      </c>
      <c r="EA159" s="208">
        <v>-61298</v>
      </c>
      <c r="EB159" s="208">
        <v>18176500</v>
      </c>
      <c r="EC159" s="208">
        <v>14541200</v>
      </c>
      <c r="ED159" s="208">
        <v>3271770</v>
      </c>
      <c r="EE159" s="208">
        <v>363530</v>
      </c>
      <c r="EF159" s="208">
        <v>36353000</v>
      </c>
      <c r="EG159" s="208">
        <v>18506553</v>
      </c>
      <c r="EH159" s="208">
        <v>14805243</v>
      </c>
      <c r="EI159" s="208">
        <v>3331180</v>
      </c>
      <c r="EJ159" s="208">
        <v>370131</v>
      </c>
      <c r="EK159" s="208">
        <v>37013107</v>
      </c>
      <c r="EL159" s="208">
        <v>330053</v>
      </c>
      <c r="EM159" s="208">
        <v>264043</v>
      </c>
      <c r="EN159" s="208">
        <v>59410</v>
      </c>
      <c r="EO159" s="208">
        <v>6601</v>
      </c>
      <c r="EP159" s="208">
        <v>660107</v>
      </c>
      <c r="EQ159" s="208">
        <v>299404</v>
      </c>
      <c r="ER159" s="208">
        <v>239523</v>
      </c>
      <c r="ES159" s="208">
        <v>53894</v>
      </c>
      <c r="ET159" s="208">
        <v>5988</v>
      </c>
      <c r="EU159" s="208">
        <v>598809</v>
      </c>
      <c r="EV159" s="666">
        <v>0.5</v>
      </c>
      <c r="EW159" s="666">
        <v>0.4</v>
      </c>
      <c r="EX159" s="666">
        <v>0.09</v>
      </c>
      <c r="EY159" s="666">
        <v>0.01</v>
      </c>
      <c r="EZ159" s="666">
        <v>1</v>
      </c>
      <c r="FA159" s="187" t="s">
        <v>1054</v>
      </c>
      <c r="FC159" s="187">
        <v>0</v>
      </c>
    </row>
    <row r="160" spans="1:159" s="187" customFormat="1" x14ac:dyDescent="0.2">
      <c r="B160" s="429" t="s">
        <v>397</v>
      </c>
      <c r="C160" s="429" t="s">
        <v>396</v>
      </c>
      <c r="D160" s="208">
        <v>0</v>
      </c>
      <c r="E160" s="208">
        <v>27183449</v>
      </c>
      <c r="F160" s="208">
        <v>18122300</v>
      </c>
      <c r="G160" s="208">
        <v>0</v>
      </c>
      <c r="H160" s="208">
        <v>45305749</v>
      </c>
      <c r="I160" s="208">
        <v>0</v>
      </c>
      <c r="J160" s="208">
        <v>0</v>
      </c>
      <c r="K160" s="208">
        <v>0</v>
      </c>
      <c r="L160" s="208">
        <v>144939</v>
      </c>
      <c r="M160" s="208">
        <v>144939</v>
      </c>
      <c r="N160" s="208">
        <v>0</v>
      </c>
      <c r="O160" s="208">
        <v>0</v>
      </c>
      <c r="P160" s="208">
        <v>0</v>
      </c>
      <c r="Q160" s="208">
        <v>0</v>
      </c>
      <c r="R160" s="208">
        <v>0</v>
      </c>
      <c r="S160" s="208">
        <v>0</v>
      </c>
      <c r="T160" s="208">
        <v>0</v>
      </c>
      <c r="U160" s="208">
        <v>0</v>
      </c>
      <c r="V160" s="208">
        <v>0</v>
      </c>
      <c r="W160" s="208">
        <v>0</v>
      </c>
      <c r="X160" s="208">
        <v>0</v>
      </c>
      <c r="Y160" s="208">
        <v>0</v>
      </c>
      <c r="Z160" s="208">
        <v>0</v>
      </c>
      <c r="AA160" s="208">
        <v>0</v>
      </c>
      <c r="AB160" s="208">
        <v>0</v>
      </c>
      <c r="AC160" s="208">
        <v>0</v>
      </c>
      <c r="AD160" s="208">
        <v>0</v>
      </c>
      <c r="AE160" s="208">
        <v>0</v>
      </c>
      <c r="AF160" s="208">
        <v>0</v>
      </c>
      <c r="AG160" s="208">
        <v>2340245</v>
      </c>
      <c r="AH160" s="208">
        <v>1560164</v>
      </c>
      <c r="AI160" s="208">
        <v>0</v>
      </c>
      <c r="AJ160" s="208">
        <v>3900409</v>
      </c>
      <c r="AK160" s="208">
        <v>0</v>
      </c>
      <c r="AL160" s="208">
        <v>657494</v>
      </c>
      <c r="AM160" s="208">
        <v>438330</v>
      </c>
      <c r="AN160" s="208">
        <v>0</v>
      </c>
      <c r="AO160" s="208">
        <v>1095824</v>
      </c>
      <c r="AP160" s="208">
        <v>0</v>
      </c>
      <c r="AQ160" s="208">
        <v>-777445</v>
      </c>
      <c r="AR160" s="208">
        <v>-518296</v>
      </c>
      <c r="AS160" s="208">
        <v>0</v>
      </c>
      <c r="AT160" s="208">
        <v>-1295741</v>
      </c>
      <c r="AU160" s="208">
        <v>0</v>
      </c>
      <c r="AV160" s="208">
        <v>-291653</v>
      </c>
      <c r="AW160" s="208">
        <v>-194436</v>
      </c>
      <c r="AX160" s="208">
        <v>0</v>
      </c>
      <c r="AY160" s="208">
        <v>-486089</v>
      </c>
      <c r="AZ160" s="208">
        <v>0</v>
      </c>
      <c r="BA160" s="208">
        <v>50594</v>
      </c>
      <c r="BB160" s="208">
        <v>33729</v>
      </c>
      <c r="BC160" s="208">
        <v>0</v>
      </c>
      <c r="BD160" s="208">
        <v>84323</v>
      </c>
      <c r="BE160" s="208">
        <v>0</v>
      </c>
      <c r="BF160" s="208">
        <v>-85036</v>
      </c>
      <c r="BG160" s="208">
        <v>-56690</v>
      </c>
      <c r="BH160" s="208">
        <v>0</v>
      </c>
      <c r="BI160" s="208">
        <v>-141726</v>
      </c>
      <c r="BJ160" s="208">
        <v>0</v>
      </c>
      <c r="BK160" s="208">
        <v>-326095</v>
      </c>
      <c r="BL160" s="208">
        <v>-217397</v>
      </c>
      <c r="BM160" s="208">
        <v>0</v>
      </c>
      <c r="BN160" s="208">
        <v>-543492</v>
      </c>
      <c r="BO160" s="208">
        <v>0</v>
      </c>
      <c r="BP160" s="208">
        <v>-4584769</v>
      </c>
      <c r="BQ160" s="208">
        <v>-3056512</v>
      </c>
      <c r="BR160" s="208">
        <v>0</v>
      </c>
      <c r="BS160" s="208">
        <v>-7641281</v>
      </c>
      <c r="BT160" s="208">
        <v>0</v>
      </c>
      <c r="BU160" s="208">
        <v>0</v>
      </c>
      <c r="BV160" s="208">
        <v>0</v>
      </c>
      <c r="BW160" s="208">
        <v>0</v>
      </c>
      <c r="BX160" s="208">
        <v>0</v>
      </c>
      <c r="BY160" s="208">
        <v>0</v>
      </c>
      <c r="BZ160" s="208">
        <v>-4584769</v>
      </c>
      <c r="CA160" s="208">
        <v>-3056512</v>
      </c>
      <c r="CB160" s="208">
        <v>0</v>
      </c>
      <c r="CC160" s="208">
        <v>-7641281</v>
      </c>
      <c r="CD160" s="208">
        <v>0</v>
      </c>
      <c r="CE160" s="208">
        <v>125612</v>
      </c>
      <c r="CF160" s="208">
        <v>83742</v>
      </c>
      <c r="CG160" s="208">
        <v>0</v>
      </c>
      <c r="CH160" s="208">
        <v>209354</v>
      </c>
      <c r="CI160" s="208">
        <v>0</v>
      </c>
      <c r="CJ160" s="208">
        <v>0</v>
      </c>
      <c r="CK160" s="208">
        <v>0</v>
      </c>
      <c r="CL160" s="208">
        <v>0</v>
      </c>
      <c r="CM160" s="208">
        <v>0</v>
      </c>
      <c r="CN160" s="208">
        <v>0</v>
      </c>
      <c r="CO160" s="208">
        <v>1166522</v>
      </c>
      <c r="CP160" s="208">
        <v>777682</v>
      </c>
      <c r="CQ160" s="208">
        <v>0</v>
      </c>
      <c r="CR160" s="208">
        <v>1944204</v>
      </c>
      <c r="CS160" s="208">
        <v>0</v>
      </c>
      <c r="CT160" s="208">
        <v>6608</v>
      </c>
      <c r="CU160" s="208">
        <v>4405</v>
      </c>
      <c r="CV160" s="208">
        <v>0</v>
      </c>
      <c r="CW160" s="208">
        <v>11013</v>
      </c>
      <c r="CX160" s="208">
        <v>0</v>
      </c>
      <c r="CY160" s="208">
        <v>-3286027</v>
      </c>
      <c r="CZ160" s="208">
        <v>-2190683</v>
      </c>
      <c r="DA160" s="208">
        <v>0</v>
      </c>
      <c r="DB160" s="208">
        <v>-5476710</v>
      </c>
      <c r="DC160" s="208">
        <v>0</v>
      </c>
      <c r="DD160" s="208">
        <v>1292134</v>
      </c>
      <c r="DE160" s="208">
        <v>861424</v>
      </c>
      <c r="DF160" s="208">
        <v>0</v>
      </c>
      <c r="DG160" s="208">
        <v>2153558</v>
      </c>
      <c r="DH160" s="208">
        <v>0</v>
      </c>
      <c r="DI160" s="208">
        <v>-4578161</v>
      </c>
      <c r="DJ160" s="208">
        <v>-3052107</v>
      </c>
      <c r="DK160" s="208">
        <v>0</v>
      </c>
      <c r="DL160" s="208">
        <v>-7630268</v>
      </c>
      <c r="DM160" s="208">
        <v>370984</v>
      </c>
      <c r="DN160" s="208">
        <v>296786</v>
      </c>
      <c r="DO160" s="208">
        <v>74197</v>
      </c>
      <c r="DP160" s="208">
        <v>0</v>
      </c>
      <c r="DQ160" s="208">
        <v>741967</v>
      </c>
      <c r="DR160" s="208">
        <v>540244</v>
      </c>
      <c r="DS160" s="208">
        <v>432196</v>
      </c>
      <c r="DT160" s="208">
        <v>108049</v>
      </c>
      <c r="DU160" s="208">
        <v>0</v>
      </c>
      <c r="DV160" s="208">
        <v>1080489.2400000021</v>
      </c>
      <c r="DW160" s="208">
        <v>-169260</v>
      </c>
      <c r="DX160" s="208">
        <v>-135410</v>
      </c>
      <c r="DY160" s="208">
        <v>-33852</v>
      </c>
      <c r="DZ160" s="208">
        <v>0</v>
      </c>
      <c r="EA160" s="208">
        <v>-338522.24000000209</v>
      </c>
      <c r="EB160" s="208">
        <v>0</v>
      </c>
      <c r="EC160" s="208">
        <v>26032017</v>
      </c>
      <c r="ED160" s="208">
        <v>17354678</v>
      </c>
      <c r="EE160" s="208">
        <v>0</v>
      </c>
      <c r="EF160" s="208">
        <v>43386695</v>
      </c>
      <c r="EG160" s="208">
        <v>0</v>
      </c>
      <c r="EH160" s="208">
        <v>27183449</v>
      </c>
      <c r="EI160" s="208">
        <v>18122300</v>
      </c>
      <c r="EJ160" s="208">
        <v>0</v>
      </c>
      <c r="EK160" s="208">
        <v>45305749</v>
      </c>
      <c r="EL160" s="208">
        <v>0</v>
      </c>
      <c r="EM160" s="208">
        <v>1151432</v>
      </c>
      <c r="EN160" s="208">
        <v>767622</v>
      </c>
      <c r="EO160" s="208">
        <v>0</v>
      </c>
      <c r="EP160" s="208">
        <v>1919054</v>
      </c>
      <c r="EQ160" s="208">
        <v>-169260</v>
      </c>
      <c r="ER160" s="208">
        <v>1016022</v>
      </c>
      <c r="ES160" s="208">
        <v>733770</v>
      </c>
      <c r="ET160" s="208">
        <v>0</v>
      </c>
      <c r="EU160" s="208">
        <v>1580531.7599999979</v>
      </c>
      <c r="EV160" s="666">
        <v>0</v>
      </c>
      <c r="EW160" s="666">
        <v>0.6</v>
      </c>
      <c r="EX160" s="666">
        <v>0.4</v>
      </c>
      <c r="EY160" s="666">
        <v>0</v>
      </c>
      <c r="EZ160" s="666">
        <v>1</v>
      </c>
      <c r="FA160" s="187" t="s">
        <v>1054</v>
      </c>
      <c r="FC160" s="187">
        <v>0</v>
      </c>
    </row>
    <row r="161" spans="2:159" s="187" customFormat="1" x14ac:dyDescent="0.2">
      <c r="B161" s="429" t="s">
        <v>399</v>
      </c>
      <c r="C161" s="429" t="s">
        <v>398</v>
      </c>
      <c r="D161" s="208">
        <v>0</v>
      </c>
      <c r="E161" s="208">
        <v>189096559</v>
      </c>
      <c r="F161" s="208">
        <v>0</v>
      </c>
      <c r="G161" s="208">
        <v>1910066</v>
      </c>
      <c r="H161" s="208">
        <v>191006625</v>
      </c>
      <c r="I161" s="208">
        <v>0</v>
      </c>
      <c r="J161" s="208">
        <v>0</v>
      </c>
      <c r="K161" s="208">
        <v>0</v>
      </c>
      <c r="L161" s="208">
        <v>763373</v>
      </c>
      <c r="M161" s="208">
        <v>763373</v>
      </c>
      <c r="N161" s="208">
        <v>0</v>
      </c>
      <c r="O161" s="208">
        <v>0</v>
      </c>
      <c r="P161" s="208">
        <v>0</v>
      </c>
      <c r="Q161" s="208">
        <v>0</v>
      </c>
      <c r="R161" s="208">
        <v>0</v>
      </c>
      <c r="S161" s="208">
        <v>0</v>
      </c>
      <c r="T161" s="208">
        <v>0</v>
      </c>
      <c r="U161" s="208">
        <v>0</v>
      </c>
      <c r="V161" s="208">
        <v>0</v>
      </c>
      <c r="W161" s="208">
        <v>0</v>
      </c>
      <c r="X161" s="208">
        <v>0</v>
      </c>
      <c r="Y161" s="208">
        <v>0</v>
      </c>
      <c r="Z161" s="208">
        <v>0</v>
      </c>
      <c r="AA161" s="208">
        <v>0</v>
      </c>
      <c r="AB161" s="208">
        <v>0</v>
      </c>
      <c r="AC161" s="208">
        <v>0</v>
      </c>
      <c r="AD161" s="208">
        <v>0</v>
      </c>
      <c r="AE161" s="208">
        <v>0</v>
      </c>
      <c r="AF161" s="208">
        <v>0</v>
      </c>
      <c r="AG161" s="208">
        <v>16474678</v>
      </c>
      <c r="AH161" s="208">
        <v>0</v>
      </c>
      <c r="AI161" s="208">
        <v>153514</v>
      </c>
      <c r="AJ161" s="208">
        <v>16628192</v>
      </c>
      <c r="AK161" s="208">
        <v>0</v>
      </c>
      <c r="AL161" s="208">
        <v>33257024</v>
      </c>
      <c r="AM161" s="208">
        <v>0</v>
      </c>
      <c r="AN161" s="208">
        <v>335930</v>
      </c>
      <c r="AO161" s="208">
        <v>33592954</v>
      </c>
      <c r="AP161" s="208">
        <v>0</v>
      </c>
      <c r="AQ161" s="208">
        <v>-2399746</v>
      </c>
      <c r="AR161" s="208">
        <v>0</v>
      </c>
      <c r="AS161" s="208">
        <v>-24240</v>
      </c>
      <c r="AT161" s="208">
        <v>-2423986</v>
      </c>
      <c r="AU161" s="208">
        <v>0</v>
      </c>
      <c r="AV161" s="208">
        <v>-42983610</v>
      </c>
      <c r="AW161" s="208">
        <v>0</v>
      </c>
      <c r="AX161" s="208">
        <v>-434178</v>
      </c>
      <c r="AY161" s="208">
        <v>-43417788</v>
      </c>
      <c r="AZ161" s="208">
        <v>0</v>
      </c>
      <c r="BA161" s="208">
        <v>21059895</v>
      </c>
      <c r="BB161" s="208">
        <v>0</v>
      </c>
      <c r="BC161" s="208">
        <v>212726</v>
      </c>
      <c r="BD161" s="208">
        <v>21272621</v>
      </c>
      <c r="BE161" s="208">
        <v>0</v>
      </c>
      <c r="BF161" s="208">
        <v>-6035813</v>
      </c>
      <c r="BG161" s="208">
        <v>0</v>
      </c>
      <c r="BH161" s="208">
        <v>-60968</v>
      </c>
      <c r="BI161" s="208">
        <v>-6096781</v>
      </c>
      <c r="BJ161" s="208">
        <v>0</v>
      </c>
      <c r="BK161" s="208">
        <v>-27959528</v>
      </c>
      <c r="BL161" s="208">
        <v>0</v>
      </c>
      <c r="BM161" s="208">
        <v>-282420</v>
      </c>
      <c r="BN161" s="208">
        <v>-28241948</v>
      </c>
      <c r="BO161" s="208">
        <v>0</v>
      </c>
      <c r="BP161" s="208">
        <v>-25556233</v>
      </c>
      <c r="BQ161" s="208">
        <v>0</v>
      </c>
      <c r="BR161" s="208">
        <v>-258144</v>
      </c>
      <c r="BS161" s="208">
        <v>-25814377</v>
      </c>
      <c r="BT161" s="208">
        <v>0</v>
      </c>
      <c r="BU161" s="208">
        <v>0</v>
      </c>
      <c r="BV161" s="208">
        <v>0</v>
      </c>
      <c r="BW161" s="208">
        <v>0</v>
      </c>
      <c r="BX161" s="208">
        <v>0</v>
      </c>
      <c r="BY161" s="208">
        <v>0</v>
      </c>
      <c r="BZ161" s="208">
        <v>-25556233</v>
      </c>
      <c r="CA161" s="208">
        <v>0</v>
      </c>
      <c r="CB161" s="208">
        <v>-258144</v>
      </c>
      <c r="CC161" s="208">
        <v>-25814377</v>
      </c>
      <c r="CD161" s="208">
        <v>0</v>
      </c>
      <c r="CE161" s="208">
        <v>3601010</v>
      </c>
      <c r="CF161" s="208">
        <v>0</v>
      </c>
      <c r="CG161" s="208">
        <v>36374</v>
      </c>
      <c r="CH161" s="208">
        <v>3637384</v>
      </c>
      <c r="CI161" s="208">
        <v>0</v>
      </c>
      <c r="CJ161" s="208">
        <v>0</v>
      </c>
      <c r="CK161" s="208">
        <v>0</v>
      </c>
      <c r="CL161" s="208">
        <v>0</v>
      </c>
      <c r="CM161" s="208">
        <v>0</v>
      </c>
      <c r="CN161" s="208">
        <v>0</v>
      </c>
      <c r="CO161" s="208">
        <v>-4115234</v>
      </c>
      <c r="CP161" s="208">
        <v>0</v>
      </c>
      <c r="CQ161" s="208">
        <v>-41568</v>
      </c>
      <c r="CR161" s="208">
        <v>-4156802</v>
      </c>
      <c r="CS161" s="208">
        <v>0</v>
      </c>
      <c r="CT161" s="208">
        <v>-10230505</v>
      </c>
      <c r="CU161" s="208">
        <v>0</v>
      </c>
      <c r="CV161" s="208">
        <v>-103338</v>
      </c>
      <c r="CW161" s="208">
        <v>-10333843</v>
      </c>
      <c r="CX161" s="208">
        <v>0</v>
      </c>
      <c r="CY161" s="208">
        <v>-36300962</v>
      </c>
      <c r="CZ161" s="208">
        <v>0</v>
      </c>
      <c r="DA161" s="208">
        <v>-366676</v>
      </c>
      <c r="DB161" s="208">
        <v>-36667638</v>
      </c>
      <c r="DC161" s="208">
        <v>0</v>
      </c>
      <c r="DD161" s="208">
        <v>-514224</v>
      </c>
      <c r="DE161" s="208">
        <v>0</v>
      </c>
      <c r="DF161" s="208">
        <v>-5194</v>
      </c>
      <c r="DG161" s="208">
        <v>-519418</v>
      </c>
      <c r="DH161" s="208">
        <v>0</v>
      </c>
      <c r="DI161" s="208">
        <v>-35786738</v>
      </c>
      <c r="DJ161" s="208">
        <v>0</v>
      </c>
      <c r="DK161" s="208">
        <v>-361482</v>
      </c>
      <c r="DL161" s="208">
        <v>-36148220</v>
      </c>
      <c r="DM161" s="208">
        <v>150724</v>
      </c>
      <c r="DN161" s="208">
        <v>-6506595</v>
      </c>
      <c r="DO161" s="208">
        <v>0</v>
      </c>
      <c r="DP161" s="208">
        <v>-64200</v>
      </c>
      <c r="DQ161" s="208">
        <v>-6420071</v>
      </c>
      <c r="DR161" s="208">
        <v>149618</v>
      </c>
      <c r="DS161" s="208">
        <v>-7104961</v>
      </c>
      <c r="DT161" s="208">
        <v>0</v>
      </c>
      <c r="DU161" s="208">
        <v>-70256</v>
      </c>
      <c r="DV161" s="208">
        <v>-7025599</v>
      </c>
      <c r="DW161" s="208">
        <v>1106</v>
      </c>
      <c r="DX161" s="208">
        <v>598366</v>
      </c>
      <c r="DY161" s="208">
        <v>0</v>
      </c>
      <c r="DZ161" s="208">
        <v>6056</v>
      </c>
      <c r="EA161" s="208">
        <v>605528</v>
      </c>
      <c r="EB161" s="208">
        <v>0</v>
      </c>
      <c r="EC161" s="208">
        <v>185985162</v>
      </c>
      <c r="ED161" s="208">
        <v>0</v>
      </c>
      <c r="EE161" s="208">
        <v>1878638</v>
      </c>
      <c r="EF161" s="208">
        <v>187863800</v>
      </c>
      <c r="EG161" s="208">
        <v>0</v>
      </c>
      <c r="EH161" s="208">
        <v>189096559</v>
      </c>
      <c r="EI161" s="208">
        <v>0</v>
      </c>
      <c r="EJ161" s="208">
        <v>1910066</v>
      </c>
      <c r="EK161" s="208">
        <v>191006625</v>
      </c>
      <c r="EL161" s="208">
        <v>0</v>
      </c>
      <c r="EM161" s="208">
        <v>3111397</v>
      </c>
      <c r="EN161" s="208">
        <v>0</v>
      </c>
      <c r="EO161" s="208">
        <v>31428</v>
      </c>
      <c r="EP161" s="208">
        <v>3142825</v>
      </c>
      <c r="EQ161" s="208">
        <v>1106</v>
      </c>
      <c r="ER161" s="208">
        <v>3709763</v>
      </c>
      <c r="ES161" s="208">
        <v>0</v>
      </c>
      <c r="ET161" s="208">
        <v>37484</v>
      </c>
      <c r="EU161" s="208">
        <v>3748353</v>
      </c>
      <c r="EV161" s="666">
        <v>0</v>
      </c>
      <c r="EW161" s="666">
        <v>0.99</v>
      </c>
      <c r="EX161" s="666">
        <v>0</v>
      </c>
      <c r="EY161" s="666">
        <v>0.01</v>
      </c>
      <c r="EZ161" s="666">
        <v>1</v>
      </c>
      <c r="FA161" s="187" t="s">
        <v>1056</v>
      </c>
      <c r="FC161" s="187">
        <v>0</v>
      </c>
    </row>
    <row r="162" spans="2:159" s="187" customFormat="1" x14ac:dyDescent="0.2">
      <c r="B162" s="429" t="s">
        <v>401</v>
      </c>
      <c r="C162" s="429" t="s">
        <v>400</v>
      </c>
      <c r="D162" s="208">
        <v>31363594</v>
      </c>
      <c r="E162" s="208">
        <v>30736323</v>
      </c>
      <c r="F162" s="208">
        <v>0</v>
      </c>
      <c r="G162" s="208">
        <v>627272</v>
      </c>
      <c r="H162" s="208">
        <v>62727189</v>
      </c>
      <c r="I162" s="208">
        <v>0</v>
      </c>
      <c r="J162" s="208">
        <v>0</v>
      </c>
      <c r="K162" s="208">
        <v>31363594</v>
      </c>
      <c r="L162" s="208">
        <v>243357</v>
      </c>
      <c r="M162" s="208">
        <v>243357</v>
      </c>
      <c r="N162" s="208">
        <v>0</v>
      </c>
      <c r="O162" s="208">
        <v>0</v>
      </c>
      <c r="P162" s="208">
        <v>0</v>
      </c>
      <c r="Q162" s="208">
        <v>0</v>
      </c>
      <c r="R162" s="208">
        <v>0</v>
      </c>
      <c r="S162" s="208">
        <v>0</v>
      </c>
      <c r="T162" s="208">
        <v>0</v>
      </c>
      <c r="U162" s="208">
        <v>0</v>
      </c>
      <c r="V162" s="208">
        <v>0</v>
      </c>
      <c r="W162" s="208">
        <v>0</v>
      </c>
      <c r="X162" s="208">
        <v>0</v>
      </c>
      <c r="Y162" s="208">
        <v>0</v>
      </c>
      <c r="Z162" s="208">
        <v>0</v>
      </c>
      <c r="AA162" s="208">
        <v>0</v>
      </c>
      <c r="AB162" s="208">
        <v>0</v>
      </c>
      <c r="AC162" s="208">
        <v>0</v>
      </c>
      <c r="AD162" s="208">
        <v>0</v>
      </c>
      <c r="AE162" s="208">
        <v>0</v>
      </c>
      <c r="AF162" s="208">
        <v>0</v>
      </c>
      <c r="AG162" s="208">
        <v>2988483</v>
      </c>
      <c r="AH162" s="208">
        <v>0</v>
      </c>
      <c r="AI162" s="208">
        <v>60552</v>
      </c>
      <c r="AJ162" s="208">
        <v>3049035</v>
      </c>
      <c r="AK162" s="208">
        <v>6576735</v>
      </c>
      <c r="AL162" s="208">
        <v>6445201</v>
      </c>
      <c r="AM162" s="208">
        <v>0</v>
      </c>
      <c r="AN162" s="208">
        <v>131535</v>
      </c>
      <c r="AO162" s="208">
        <v>13153471</v>
      </c>
      <c r="AP162" s="208">
        <v>-1970479.98</v>
      </c>
      <c r="AQ162" s="208">
        <v>-1931071</v>
      </c>
      <c r="AR162" s="208">
        <v>0</v>
      </c>
      <c r="AS162" s="208">
        <v>-39410</v>
      </c>
      <c r="AT162" s="208">
        <v>-3940960.98</v>
      </c>
      <c r="AU162" s="208">
        <v>-3111169</v>
      </c>
      <c r="AV162" s="208">
        <v>-3048945</v>
      </c>
      <c r="AW162" s="208">
        <v>0</v>
      </c>
      <c r="AX162" s="208">
        <v>-62223</v>
      </c>
      <c r="AY162" s="208">
        <v>-6222337</v>
      </c>
      <c r="AZ162" s="208">
        <v>113943</v>
      </c>
      <c r="BA162" s="208">
        <v>111665</v>
      </c>
      <c r="BB162" s="208">
        <v>0</v>
      </c>
      <c r="BC162" s="208">
        <v>2279</v>
      </c>
      <c r="BD162" s="208">
        <v>227887</v>
      </c>
      <c r="BE162" s="208">
        <v>-1164278</v>
      </c>
      <c r="BF162" s="208">
        <v>-1140993</v>
      </c>
      <c r="BG162" s="208">
        <v>0</v>
      </c>
      <c r="BH162" s="208">
        <v>-23286</v>
      </c>
      <c r="BI162" s="208">
        <v>-2328557</v>
      </c>
      <c r="BJ162" s="208">
        <v>-4161504</v>
      </c>
      <c r="BK162" s="208">
        <v>-4078273</v>
      </c>
      <c r="BL162" s="208">
        <v>0</v>
      </c>
      <c r="BM162" s="208">
        <v>-83230</v>
      </c>
      <c r="BN162" s="208">
        <v>-8323007</v>
      </c>
      <c r="BO162" s="208">
        <v>-4563728</v>
      </c>
      <c r="BP162" s="208">
        <v>-4472454</v>
      </c>
      <c r="BQ162" s="208">
        <v>0</v>
      </c>
      <c r="BR162" s="208">
        <v>-91275</v>
      </c>
      <c r="BS162" s="208">
        <v>-9127457</v>
      </c>
      <c r="BT162" s="208">
        <v>-3005792</v>
      </c>
      <c r="BU162" s="208">
        <v>-2945677</v>
      </c>
      <c r="BV162" s="208">
        <v>0</v>
      </c>
      <c r="BW162" s="208">
        <v>-60116</v>
      </c>
      <c r="BX162" s="208">
        <v>-6011585</v>
      </c>
      <c r="BY162" s="208">
        <v>-1557936</v>
      </c>
      <c r="BZ162" s="208">
        <v>-1526777</v>
      </c>
      <c r="CA162" s="208">
        <v>0</v>
      </c>
      <c r="CB162" s="208">
        <v>-31159</v>
      </c>
      <c r="CC162" s="208">
        <v>-3115872</v>
      </c>
      <c r="CD162" s="208">
        <v>1190322</v>
      </c>
      <c r="CE162" s="208">
        <v>1166516</v>
      </c>
      <c r="CF162" s="208">
        <v>0</v>
      </c>
      <c r="CG162" s="208">
        <v>23806</v>
      </c>
      <c r="CH162" s="208">
        <v>2380644</v>
      </c>
      <c r="CI162" s="208">
        <v>87437</v>
      </c>
      <c r="CJ162" s="208">
        <v>85689</v>
      </c>
      <c r="CK162" s="208">
        <v>0</v>
      </c>
      <c r="CL162" s="208">
        <v>1749</v>
      </c>
      <c r="CM162" s="208">
        <v>174875</v>
      </c>
      <c r="CN162" s="208">
        <v>-76159</v>
      </c>
      <c r="CO162" s="208">
        <v>-74636</v>
      </c>
      <c r="CP162" s="208">
        <v>0</v>
      </c>
      <c r="CQ162" s="208">
        <v>-1523</v>
      </c>
      <c r="CR162" s="208">
        <v>-152318</v>
      </c>
      <c r="CS162" s="208">
        <v>-1845549</v>
      </c>
      <c r="CT162" s="208">
        <v>-1808639</v>
      </c>
      <c r="CU162" s="208">
        <v>0</v>
      </c>
      <c r="CV162" s="208">
        <v>-36911</v>
      </c>
      <c r="CW162" s="208">
        <v>-3691099</v>
      </c>
      <c r="CX162" s="208">
        <v>-5207677</v>
      </c>
      <c r="CY162" s="208">
        <v>-5103524</v>
      </c>
      <c r="CZ162" s="208">
        <v>0</v>
      </c>
      <c r="DA162" s="208">
        <v>-104154</v>
      </c>
      <c r="DB162" s="208">
        <v>-10415355</v>
      </c>
      <c r="DC162" s="208">
        <v>-1891629</v>
      </c>
      <c r="DD162" s="208">
        <v>-1853797</v>
      </c>
      <c r="DE162" s="208">
        <v>0</v>
      </c>
      <c r="DF162" s="208">
        <v>-37833</v>
      </c>
      <c r="DG162" s="208">
        <v>-3783259</v>
      </c>
      <c r="DH162" s="208">
        <v>-3316048</v>
      </c>
      <c r="DI162" s="208">
        <v>-3249727</v>
      </c>
      <c r="DJ162" s="208">
        <v>0</v>
      </c>
      <c r="DK162" s="208">
        <v>-66321</v>
      </c>
      <c r="DL162" s="208">
        <v>-6632096</v>
      </c>
      <c r="DM162" s="208">
        <v>494263</v>
      </c>
      <c r="DN162" s="208">
        <v>484378</v>
      </c>
      <c r="DO162" s="208">
        <v>0</v>
      </c>
      <c r="DP162" s="208">
        <v>9885</v>
      </c>
      <c r="DQ162" s="208">
        <v>988526</v>
      </c>
      <c r="DR162" s="208">
        <v>-596750</v>
      </c>
      <c r="DS162" s="208">
        <v>-584815</v>
      </c>
      <c r="DT162" s="208">
        <v>0</v>
      </c>
      <c r="DU162" s="208">
        <v>-11935</v>
      </c>
      <c r="DV162" s="208">
        <v>-1193500</v>
      </c>
      <c r="DW162" s="208">
        <v>1091013</v>
      </c>
      <c r="DX162" s="208">
        <v>1069193</v>
      </c>
      <c r="DY162" s="208">
        <v>0</v>
      </c>
      <c r="DZ162" s="208">
        <v>21820</v>
      </c>
      <c r="EA162" s="208">
        <v>2182026</v>
      </c>
      <c r="EB162" s="208">
        <v>33018435</v>
      </c>
      <c r="EC162" s="208">
        <v>32358067</v>
      </c>
      <c r="ED162" s="208">
        <v>0</v>
      </c>
      <c r="EE162" s="208">
        <v>660369</v>
      </c>
      <c r="EF162" s="208">
        <v>66036871</v>
      </c>
      <c r="EG162" s="208">
        <v>31363594</v>
      </c>
      <c r="EH162" s="208">
        <v>30736323</v>
      </c>
      <c r="EI162" s="208">
        <v>0</v>
      </c>
      <c r="EJ162" s="208">
        <v>627272</v>
      </c>
      <c r="EK162" s="208">
        <v>62727189</v>
      </c>
      <c r="EL162" s="208">
        <v>-1654841</v>
      </c>
      <c r="EM162" s="208">
        <v>-1621744</v>
      </c>
      <c r="EN162" s="208">
        <v>0</v>
      </c>
      <c r="EO162" s="208">
        <v>-33097</v>
      </c>
      <c r="EP162" s="208">
        <v>-3309682</v>
      </c>
      <c r="EQ162" s="208">
        <v>-563828</v>
      </c>
      <c r="ER162" s="208">
        <v>-552551</v>
      </c>
      <c r="ES162" s="208">
        <v>0</v>
      </c>
      <c r="ET162" s="208">
        <v>-11277</v>
      </c>
      <c r="EU162" s="208">
        <v>-1127656</v>
      </c>
      <c r="EV162" s="666">
        <v>0.5</v>
      </c>
      <c r="EW162" s="666">
        <v>0.49</v>
      </c>
      <c r="EX162" s="666">
        <v>0</v>
      </c>
      <c r="EY162" s="666">
        <v>0.01</v>
      </c>
      <c r="EZ162" s="666">
        <v>1</v>
      </c>
      <c r="FA162" s="187" t="s">
        <v>742</v>
      </c>
      <c r="FC162" s="187">
        <v>0</v>
      </c>
    </row>
    <row r="163" spans="2:159" s="187" customFormat="1" x14ac:dyDescent="0.2">
      <c r="B163" s="429" t="s">
        <v>403</v>
      </c>
      <c r="C163" s="429" t="s">
        <v>402</v>
      </c>
      <c r="D163" s="208">
        <v>-1</v>
      </c>
      <c r="E163" s="208">
        <v>23274956</v>
      </c>
      <c r="F163" s="208">
        <v>34330560</v>
      </c>
      <c r="G163" s="208">
        <v>581874</v>
      </c>
      <c r="H163" s="208">
        <v>58187389</v>
      </c>
      <c r="I163" s="208">
        <v>0</v>
      </c>
      <c r="J163" s="208">
        <v>0</v>
      </c>
      <c r="K163" s="208">
        <v>-1</v>
      </c>
      <c r="L163" s="208">
        <v>206311</v>
      </c>
      <c r="M163" s="208">
        <v>206311</v>
      </c>
      <c r="N163" s="208">
        <v>0</v>
      </c>
      <c r="O163" s="208">
        <v>0</v>
      </c>
      <c r="P163" s="208">
        <v>32817</v>
      </c>
      <c r="Q163" s="208">
        <v>0</v>
      </c>
      <c r="R163" s="208">
        <v>32817</v>
      </c>
      <c r="S163" s="208">
        <v>0</v>
      </c>
      <c r="T163" s="208">
        <v>0</v>
      </c>
      <c r="U163" s="208">
        <v>0</v>
      </c>
      <c r="V163" s="208">
        <v>0</v>
      </c>
      <c r="W163" s="208">
        <v>0</v>
      </c>
      <c r="X163" s="208">
        <v>0</v>
      </c>
      <c r="Y163" s="208">
        <v>0</v>
      </c>
      <c r="Z163" s="208">
        <v>0</v>
      </c>
      <c r="AA163" s="208">
        <v>0</v>
      </c>
      <c r="AB163" s="208">
        <v>0</v>
      </c>
      <c r="AC163" s="208">
        <v>0</v>
      </c>
      <c r="AD163" s="208">
        <v>0</v>
      </c>
      <c r="AE163" s="208">
        <v>0</v>
      </c>
      <c r="AF163" s="208">
        <v>0</v>
      </c>
      <c r="AG163" s="208">
        <v>2073765</v>
      </c>
      <c r="AH163" s="208">
        <v>3057695</v>
      </c>
      <c r="AI163" s="208">
        <v>51825</v>
      </c>
      <c r="AJ163" s="208">
        <v>5183285</v>
      </c>
      <c r="AK163" s="208">
        <v>1</v>
      </c>
      <c r="AL163" s="208">
        <v>1595618</v>
      </c>
      <c r="AM163" s="208">
        <v>2353537</v>
      </c>
      <c r="AN163" s="208">
        <v>39890</v>
      </c>
      <c r="AO163" s="208">
        <v>3989046</v>
      </c>
      <c r="AP163" s="208">
        <v>1</v>
      </c>
      <c r="AQ163" s="208">
        <v>-407544</v>
      </c>
      <c r="AR163" s="208">
        <v>-601127</v>
      </c>
      <c r="AS163" s="208">
        <v>-10189</v>
      </c>
      <c r="AT163" s="208">
        <v>-1018859</v>
      </c>
      <c r="AU163" s="208">
        <v>0.10000000009313226</v>
      </c>
      <c r="AV163" s="208">
        <v>-632433</v>
      </c>
      <c r="AW163" s="208">
        <v>-932838</v>
      </c>
      <c r="AX163" s="208">
        <v>-15811</v>
      </c>
      <c r="AY163" s="208">
        <v>-1581081.9</v>
      </c>
      <c r="AZ163" s="208">
        <v>0</v>
      </c>
      <c r="BA163" s="208">
        <v>170812</v>
      </c>
      <c r="BB163" s="208">
        <v>251947</v>
      </c>
      <c r="BC163" s="208">
        <v>4270</v>
      </c>
      <c r="BD163" s="208">
        <v>427029</v>
      </c>
      <c r="BE163" s="208">
        <v>0</v>
      </c>
      <c r="BF163" s="208">
        <v>-454010</v>
      </c>
      <c r="BG163" s="208">
        <v>-669664</v>
      </c>
      <c r="BH163" s="208">
        <v>-11350</v>
      </c>
      <c r="BI163" s="208">
        <v>-1135024</v>
      </c>
      <c r="BJ163" s="208">
        <v>0.10000000009313226</v>
      </c>
      <c r="BK163" s="208">
        <v>-915631</v>
      </c>
      <c r="BL163" s="208">
        <v>-1350555</v>
      </c>
      <c r="BM163" s="208">
        <v>-22891</v>
      </c>
      <c r="BN163" s="208">
        <v>-2289076.9</v>
      </c>
      <c r="BO163" s="208">
        <v>0</v>
      </c>
      <c r="BP163" s="208">
        <v>-2306169</v>
      </c>
      <c r="BQ163" s="208">
        <v>-3401600</v>
      </c>
      <c r="BR163" s="208">
        <v>-57654</v>
      </c>
      <c r="BS163" s="208">
        <v>-5765423</v>
      </c>
      <c r="BT163" s="208">
        <v>0</v>
      </c>
      <c r="BU163" s="208">
        <v>-1086837</v>
      </c>
      <c r="BV163" s="208">
        <v>-1603084</v>
      </c>
      <c r="BW163" s="208">
        <v>-27171</v>
      </c>
      <c r="BX163" s="208">
        <v>-2717092</v>
      </c>
      <c r="BY163" s="208">
        <v>-1</v>
      </c>
      <c r="BZ163" s="208">
        <v>-1219332</v>
      </c>
      <c r="CA163" s="208">
        <v>-1798515</v>
      </c>
      <c r="CB163" s="208">
        <v>-30483</v>
      </c>
      <c r="CC163" s="208">
        <v>-3048331</v>
      </c>
      <c r="CD163" s="208">
        <v>0</v>
      </c>
      <c r="CE163" s="208">
        <v>179343</v>
      </c>
      <c r="CF163" s="208">
        <v>264531</v>
      </c>
      <c r="CG163" s="208">
        <v>4484</v>
      </c>
      <c r="CH163" s="208">
        <v>448358</v>
      </c>
      <c r="CI163" s="208">
        <v>-1</v>
      </c>
      <c r="CJ163" s="208">
        <v>28262</v>
      </c>
      <c r="CK163" s="208">
        <v>41686</v>
      </c>
      <c r="CL163" s="208">
        <v>707</v>
      </c>
      <c r="CM163" s="208">
        <v>70654</v>
      </c>
      <c r="CN163" s="208">
        <v>1</v>
      </c>
      <c r="CO163" s="208">
        <v>80497</v>
      </c>
      <c r="CP163" s="208">
        <v>118733</v>
      </c>
      <c r="CQ163" s="208">
        <v>2012</v>
      </c>
      <c r="CR163" s="208">
        <v>201243</v>
      </c>
      <c r="CS163" s="208">
        <v>1</v>
      </c>
      <c r="CT163" s="208">
        <v>132014</v>
      </c>
      <c r="CU163" s="208">
        <v>194721</v>
      </c>
      <c r="CV163" s="208">
        <v>3300</v>
      </c>
      <c r="CW163" s="208">
        <v>330036</v>
      </c>
      <c r="CX163" s="208">
        <v>1</v>
      </c>
      <c r="CY163" s="208">
        <v>-1886053</v>
      </c>
      <c r="CZ163" s="208">
        <v>-2781929</v>
      </c>
      <c r="DA163" s="208">
        <v>-47151</v>
      </c>
      <c r="DB163" s="208">
        <v>-4715132</v>
      </c>
      <c r="DC163" s="208">
        <v>1</v>
      </c>
      <c r="DD163" s="208">
        <v>-826997</v>
      </c>
      <c r="DE163" s="208">
        <v>-1219820</v>
      </c>
      <c r="DF163" s="208">
        <v>-20675</v>
      </c>
      <c r="DG163" s="208">
        <v>-2067491</v>
      </c>
      <c r="DH163" s="208">
        <v>-1</v>
      </c>
      <c r="DI163" s="208">
        <v>-1059056</v>
      </c>
      <c r="DJ163" s="208">
        <v>-1562108</v>
      </c>
      <c r="DK163" s="208">
        <v>-26476</v>
      </c>
      <c r="DL163" s="208">
        <v>-2647641</v>
      </c>
      <c r="DM163" s="208">
        <v>-3320449</v>
      </c>
      <c r="DN163" s="208">
        <v>-2656358</v>
      </c>
      <c r="DO163" s="208">
        <v>-597681</v>
      </c>
      <c r="DP163" s="208">
        <v>-66408</v>
      </c>
      <c r="DQ163" s="208">
        <v>-6640896</v>
      </c>
      <c r="DR163" s="208">
        <v>-808547</v>
      </c>
      <c r="DS163" s="208">
        <v>-646838</v>
      </c>
      <c r="DT163" s="208">
        <v>-145538</v>
      </c>
      <c r="DU163" s="208">
        <v>-16171</v>
      </c>
      <c r="DV163" s="208">
        <v>-1617094</v>
      </c>
      <c r="DW163" s="208">
        <v>-2511902</v>
      </c>
      <c r="DX163" s="208">
        <v>-2009520</v>
      </c>
      <c r="DY163" s="208">
        <v>-452143</v>
      </c>
      <c r="DZ163" s="208">
        <v>-50237</v>
      </c>
      <c r="EA163" s="208">
        <v>-5023802</v>
      </c>
      <c r="EB163" s="208">
        <v>0</v>
      </c>
      <c r="EC163" s="208">
        <v>22648774</v>
      </c>
      <c r="ED163" s="208">
        <v>33406941</v>
      </c>
      <c r="EE163" s="208">
        <v>566219</v>
      </c>
      <c r="EF163" s="208">
        <v>56621934</v>
      </c>
      <c r="EG163" s="208">
        <v>0</v>
      </c>
      <c r="EH163" s="208">
        <v>23274955</v>
      </c>
      <c r="EI163" s="208">
        <v>34330560</v>
      </c>
      <c r="EJ163" s="208">
        <v>581874</v>
      </c>
      <c r="EK163" s="208">
        <v>58187389</v>
      </c>
      <c r="EL163" s="208">
        <v>0</v>
      </c>
      <c r="EM163" s="208">
        <v>626181</v>
      </c>
      <c r="EN163" s="208">
        <v>923619</v>
      </c>
      <c r="EO163" s="208">
        <v>15655</v>
      </c>
      <c r="EP163" s="208">
        <v>1565455</v>
      </c>
      <c r="EQ163" s="208">
        <v>-2511902</v>
      </c>
      <c r="ER163" s="208">
        <v>-1383339</v>
      </c>
      <c r="ES163" s="208">
        <v>471476</v>
      </c>
      <c r="ET163" s="208">
        <v>-34582</v>
      </c>
      <c r="EU163" s="208">
        <v>-3458347</v>
      </c>
      <c r="EV163" s="666">
        <v>0</v>
      </c>
      <c r="EW163" s="666">
        <v>0.4</v>
      </c>
      <c r="EX163" s="666">
        <v>0.59</v>
      </c>
      <c r="EY163" s="666">
        <v>0.01</v>
      </c>
      <c r="EZ163" s="666">
        <v>1</v>
      </c>
      <c r="FA163" s="187" t="s">
        <v>1054</v>
      </c>
      <c r="FC163" s="187">
        <v>0</v>
      </c>
    </row>
    <row r="164" spans="2:159" s="187" customFormat="1" x14ac:dyDescent="0.2">
      <c r="B164" s="429" t="s">
        <v>405</v>
      </c>
      <c r="C164" s="429" t="s">
        <v>404</v>
      </c>
      <c r="D164" s="208">
        <v>6238025.5899999999</v>
      </c>
      <c r="E164" s="208">
        <v>4990420</v>
      </c>
      <c r="F164" s="208">
        <v>1122844</v>
      </c>
      <c r="G164" s="208">
        <v>124760</v>
      </c>
      <c r="H164" s="208">
        <v>12476049.59</v>
      </c>
      <c r="I164" s="208">
        <v>0</v>
      </c>
      <c r="J164" s="208">
        <v>0</v>
      </c>
      <c r="K164" s="208">
        <v>6238025.5899999999</v>
      </c>
      <c r="L164" s="208">
        <v>91371</v>
      </c>
      <c r="M164" s="208">
        <v>91371</v>
      </c>
      <c r="N164" s="208">
        <v>0</v>
      </c>
      <c r="O164" s="208">
        <v>0</v>
      </c>
      <c r="P164" s="208">
        <v>719513</v>
      </c>
      <c r="Q164" s="208">
        <v>0.41000000003259629</v>
      </c>
      <c r="R164" s="208">
        <v>719513.41</v>
      </c>
      <c r="S164" s="208">
        <v>0</v>
      </c>
      <c r="T164" s="208">
        <v>0</v>
      </c>
      <c r="U164" s="208">
        <v>0</v>
      </c>
      <c r="V164" s="208">
        <v>0</v>
      </c>
      <c r="W164" s="208">
        <v>0</v>
      </c>
      <c r="X164" s="208">
        <v>0</v>
      </c>
      <c r="Y164" s="208">
        <v>0</v>
      </c>
      <c r="Z164" s="208">
        <v>0</v>
      </c>
      <c r="AA164" s="208">
        <v>0</v>
      </c>
      <c r="AB164" s="208">
        <v>0</v>
      </c>
      <c r="AC164" s="208">
        <v>0</v>
      </c>
      <c r="AD164" s="208">
        <v>0</v>
      </c>
      <c r="AE164" s="208">
        <v>0</v>
      </c>
      <c r="AF164" s="208">
        <v>0</v>
      </c>
      <c r="AG164" s="208">
        <v>1054192</v>
      </c>
      <c r="AH164" s="208">
        <v>233484</v>
      </c>
      <c r="AI164" s="208">
        <v>25944</v>
      </c>
      <c r="AJ164" s="208">
        <v>1313620</v>
      </c>
      <c r="AK164" s="208">
        <v>357619</v>
      </c>
      <c r="AL164" s="208">
        <v>286095</v>
      </c>
      <c r="AM164" s="208">
        <v>64371</v>
      </c>
      <c r="AN164" s="208">
        <v>7152</v>
      </c>
      <c r="AO164" s="208">
        <v>715237</v>
      </c>
      <c r="AP164" s="208">
        <v>-128809</v>
      </c>
      <c r="AQ164" s="208">
        <v>-103048</v>
      </c>
      <c r="AR164" s="208">
        <v>-23186</v>
      </c>
      <c r="AS164" s="208">
        <v>-2576</v>
      </c>
      <c r="AT164" s="208">
        <v>-257619</v>
      </c>
      <c r="AU164" s="208">
        <v>-179000</v>
      </c>
      <c r="AV164" s="208">
        <v>-143200</v>
      </c>
      <c r="AW164" s="208">
        <v>-32220</v>
      </c>
      <c r="AX164" s="208">
        <v>-3580</v>
      </c>
      <c r="AY164" s="208">
        <v>-358000</v>
      </c>
      <c r="AZ164" s="208">
        <v>42027.880000000005</v>
      </c>
      <c r="BA164" s="208">
        <v>33623</v>
      </c>
      <c r="BB164" s="208">
        <v>7565</v>
      </c>
      <c r="BC164" s="208">
        <v>841</v>
      </c>
      <c r="BD164" s="208">
        <v>84056.88</v>
      </c>
      <c r="BE164" s="208">
        <v>-40528</v>
      </c>
      <c r="BF164" s="208">
        <v>-32423</v>
      </c>
      <c r="BG164" s="208">
        <v>-7295</v>
      </c>
      <c r="BH164" s="208">
        <v>-811</v>
      </c>
      <c r="BI164" s="208">
        <v>-81057</v>
      </c>
      <c r="BJ164" s="208">
        <v>-177500.12</v>
      </c>
      <c r="BK164" s="208">
        <v>-142000</v>
      </c>
      <c r="BL164" s="208">
        <v>-31950</v>
      </c>
      <c r="BM164" s="208">
        <v>-3550</v>
      </c>
      <c r="BN164" s="208">
        <v>-355000.12</v>
      </c>
      <c r="BO164" s="208">
        <v>-721575</v>
      </c>
      <c r="BP164" s="208">
        <v>-577260</v>
      </c>
      <c r="BQ164" s="208">
        <v>-129883</v>
      </c>
      <c r="BR164" s="208">
        <v>-14431</v>
      </c>
      <c r="BS164" s="208">
        <v>-1443149</v>
      </c>
      <c r="BT164" s="208">
        <v>0</v>
      </c>
      <c r="BU164" s="208">
        <v>0</v>
      </c>
      <c r="BV164" s="208">
        <v>0</v>
      </c>
      <c r="BW164" s="208">
        <v>0</v>
      </c>
      <c r="BX164" s="208">
        <v>0</v>
      </c>
      <c r="BY164" s="208">
        <v>-721575</v>
      </c>
      <c r="BZ164" s="208">
        <v>-577260</v>
      </c>
      <c r="CA164" s="208">
        <v>-129883</v>
      </c>
      <c r="CB164" s="208">
        <v>-14431</v>
      </c>
      <c r="CC164" s="208">
        <v>-1443149</v>
      </c>
      <c r="CD164" s="208">
        <v>236642</v>
      </c>
      <c r="CE164" s="208">
        <v>189313</v>
      </c>
      <c r="CF164" s="208">
        <v>42595</v>
      </c>
      <c r="CG164" s="208">
        <v>4733</v>
      </c>
      <c r="CH164" s="208">
        <v>473283</v>
      </c>
      <c r="CI164" s="208">
        <v>0</v>
      </c>
      <c r="CJ164" s="208">
        <v>0</v>
      </c>
      <c r="CK164" s="208">
        <v>0</v>
      </c>
      <c r="CL164" s="208">
        <v>0</v>
      </c>
      <c r="CM164" s="208">
        <v>0</v>
      </c>
      <c r="CN164" s="208">
        <v>-799275</v>
      </c>
      <c r="CO164" s="208">
        <v>-639420</v>
      </c>
      <c r="CP164" s="208">
        <v>-143869</v>
      </c>
      <c r="CQ164" s="208">
        <v>-15985</v>
      </c>
      <c r="CR164" s="208">
        <v>-1598549</v>
      </c>
      <c r="CS164" s="208">
        <v>0</v>
      </c>
      <c r="CT164" s="208">
        <v>0</v>
      </c>
      <c r="CU164" s="208">
        <v>0</v>
      </c>
      <c r="CV164" s="208">
        <v>0</v>
      </c>
      <c r="CW164" s="208">
        <v>0</v>
      </c>
      <c r="CX164" s="208">
        <v>-1284208</v>
      </c>
      <c r="CY164" s="208">
        <v>-1027367</v>
      </c>
      <c r="CZ164" s="208">
        <v>-231157</v>
      </c>
      <c r="DA164" s="208">
        <v>-25683</v>
      </c>
      <c r="DB164" s="208">
        <v>-2568415</v>
      </c>
      <c r="DC164" s="208">
        <v>-562633</v>
      </c>
      <c r="DD164" s="208">
        <v>-450107</v>
      </c>
      <c r="DE164" s="208">
        <v>-101274</v>
      </c>
      <c r="DF164" s="208">
        <v>-11252</v>
      </c>
      <c r="DG164" s="208">
        <v>-1125266</v>
      </c>
      <c r="DH164" s="208">
        <v>-721575</v>
      </c>
      <c r="DI164" s="208">
        <v>-577260</v>
      </c>
      <c r="DJ164" s="208">
        <v>-129883</v>
      </c>
      <c r="DK164" s="208">
        <v>-14431</v>
      </c>
      <c r="DL164" s="208">
        <v>-1443149</v>
      </c>
      <c r="DM164" s="208">
        <v>-41847</v>
      </c>
      <c r="DN164" s="208">
        <v>-33479</v>
      </c>
      <c r="DO164" s="208">
        <v>-7533</v>
      </c>
      <c r="DP164" s="208">
        <v>-837</v>
      </c>
      <c r="DQ164" s="208">
        <v>-83696</v>
      </c>
      <c r="DR164" s="208">
        <v>88658</v>
      </c>
      <c r="DS164" s="208">
        <v>70926</v>
      </c>
      <c r="DT164" s="208">
        <v>15958</v>
      </c>
      <c r="DU164" s="208">
        <v>1773</v>
      </c>
      <c r="DV164" s="208">
        <v>177315</v>
      </c>
      <c r="DW164" s="208">
        <v>-130505</v>
      </c>
      <c r="DX164" s="208">
        <v>-104405</v>
      </c>
      <c r="DY164" s="208">
        <v>-23491</v>
      </c>
      <c r="DZ164" s="208">
        <v>-2610</v>
      </c>
      <c r="EA164" s="208">
        <v>-261011</v>
      </c>
      <c r="EB164" s="208">
        <v>6635298</v>
      </c>
      <c r="EC164" s="208">
        <v>5308238</v>
      </c>
      <c r="ED164" s="208">
        <v>1194354</v>
      </c>
      <c r="EE164" s="208">
        <v>132706</v>
      </c>
      <c r="EF164" s="208">
        <v>13270596</v>
      </c>
      <c r="EG164" s="208">
        <v>6238025.5899999999</v>
      </c>
      <c r="EH164" s="208">
        <v>4990420</v>
      </c>
      <c r="EI164" s="208">
        <v>1122844</v>
      </c>
      <c r="EJ164" s="208">
        <v>124760</v>
      </c>
      <c r="EK164" s="208">
        <v>12476049.59</v>
      </c>
      <c r="EL164" s="208">
        <v>-397272.41000000015</v>
      </c>
      <c r="EM164" s="208">
        <v>-317818</v>
      </c>
      <c r="EN164" s="208">
        <v>-71510</v>
      </c>
      <c r="EO164" s="208">
        <v>-7946</v>
      </c>
      <c r="EP164" s="208">
        <v>-794546.41000000015</v>
      </c>
      <c r="EQ164" s="208">
        <v>-527777.41000000015</v>
      </c>
      <c r="ER164" s="208">
        <v>-422223</v>
      </c>
      <c r="ES164" s="208">
        <v>-95001</v>
      </c>
      <c r="ET164" s="208">
        <v>-10556</v>
      </c>
      <c r="EU164" s="208">
        <v>-1055557.4100000001</v>
      </c>
      <c r="EV164" s="666">
        <v>0.5</v>
      </c>
      <c r="EW164" s="666">
        <v>0.4</v>
      </c>
      <c r="EX164" s="666">
        <v>0.09</v>
      </c>
      <c r="EY164" s="666">
        <v>0.01</v>
      </c>
      <c r="EZ164" s="666">
        <v>1</v>
      </c>
      <c r="FA164" s="187" t="s">
        <v>1054</v>
      </c>
      <c r="FC164" s="187">
        <v>0</v>
      </c>
    </row>
    <row r="165" spans="2:159" s="187" customFormat="1" x14ac:dyDescent="0.2">
      <c r="B165" s="429" t="s">
        <v>407</v>
      </c>
      <c r="C165" s="429" t="s">
        <v>406</v>
      </c>
      <c r="D165" s="208">
        <v>7281831</v>
      </c>
      <c r="E165" s="208">
        <v>5825465</v>
      </c>
      <c r="F165" s="208">
        <v>1310730</v>
      </c>
      <c r="G165" s="208">
        <v>145637</v>
      </c>
      <c r="H165" s="208">
        <v>14563663</v>
      </c>
      <c r="I165" s="208">
        <v>0</v>
      </c>
      <c r="J165" s="208">
        <v>0</v>
      </c>
      <c r="K165" s="208">
        <v>7281831</v>
      </c>
      <c r="L165" s="208">
        <v>106886</v>
      </c>
      <c r="M165" s="208">
        <v>106886</v>
      </c>
      <c r="N165" s="208">
        <v>0</v>
      </c>
      <c r="O165" s="208">
        <v>0</v>
      </c>
      <c r="P165" s="208">
        <v>0</v>
      </c>
      <c r="Q165" s="208">
        <v>0</v>
      </c>
      <c r="R165" s="208">
        <v>0</v>
      </c>
      <c r="S165" s="208">
        <v>0</v>
      </c>
      <c r="T165" s="208">
        <v>0</v>
      </c>
      <c r="U165" s="208">
        <v>0</v>
      </c>
      <c r="V165" s="208">
        <v>0</v>
      </c>
      <c r="W165" s="208">
        <v>0</v>
      </c>
      <c r="X165" s="208">
        <v>0</v>
      </c>
      <c r="Y165" s="208">
        <v>0</v>
      </c>
      <c r="Z165" s="208">
        <v>0</v>
      </c>
      <c r="AA165" s="208">
        <v>0</v>
      </c>
      <c r="AB165" s="208">
        <v>0</v>
      </c>
      <c r="AC165" s="208">
        <v>0</v>
      </c>
      <c r="AD165" s="208">
        <v>0</v>
      </c>
      <c r="AE165" s="208">
        <v>0</v>
      </c>
      <c r="AF165" s="208">
        <v>0</v>
      </c>
      <c r="AG165" s="208">
        <v>1229376</v>
      </c>
      <c r="AH165" s="208">
        <v>276611</v>
      </c>
      <c r="AI165" s="208">
        <v>30734</v>
      </c>
      <c r="AJ165" s="208">
        <v>1536721</v>
      </c>
      <c r="AK165" s="208">
        <v>175575</v>
      </c>
      <c r="AL165" s="208">
        <v>140460</v>
      </c>
      <c r="AM165" s="208">
        <v>31604</v>
      </c>
      <c r="AN165" s="208">
        <v>3512</v>
      </c>
      <c r="AO165" s="208">
        <v>351151</v>
      </c>
      <c r="AP165" s="208">
        <v>-83521</v>
      </c>
      <c r="AQ165" s="208">
        <v>-66817</v>
      </c>
      <c r="AR165" s="208">
        <v>-15034</v>
      </c>
      <c r="AS165" s="208">
        <v>-1670</v>
      </c>
      <c r="AT165" s="208">
        <v>-167042</v>
      </c>
      <c r="AU165" s="208">
        <v>21393</v>
      </c>
      <c r="AV165" s="208">
        <v>17115</v>
      </c>
      <c r="AW165" s="208">
        <v>3851</v>
      </c>
      <c r="AX165" s="208">
        <v>428</v>
      </c>
      <c r="AY165" s="208">
        <v>42787</v>
      </c>
      <c r="AZ165" s="208">
        <v>31549</v>
      </c>
      <c r="BA165" s="208">
        <v>25239</v>
      </c>
      <c r="BB165" s="208">
        <v>5679</v>
      </c>
      <c r="BC165" s="208">
        <v>631</v>
      </c>
      <c r="BD165" s="208">
        <v>63098</v>
      </c>
      <c r="BE165" s="208">
        <v>17770</v>
      </c>
      <c r="BF165" s="208">
        <v>14215</v>
      </c>
      <c r="BG165" s="208">
        <v>3198</v>
      </c>
      <c r="BH165" s="208">
        <v>355</v>
      </c>
      <c r="BI165" s="208">
        <v>35538</v>
      </c>
      <c r="BJ165" s="208">
        <v>70712</v>
      </c>
      <c r="BK165" s="208">
        <v>56569</v>
      </c>
      <c r="BL165" s="208">
        <v>12728</v>
      </c>
      <c r="BM165" s="208">
        <v>1414</v>
      </c>
      <c r="BN165" s="208">
        <v>141423</v>
      </c>
      <c r="BO165" s="208">
        <v>-1165062.4000000004</v>
      </c>
      <c r="BP165" s="208">
        <v>-932049</v>
      </c>
      <c r="BQ165" s="208">
        <v>-209711</v>
      </c>
      <c r="BR165" s="208">
        <v>-23301</v>
      </c>
      <c r="BS165" s="208">
        <v>-2330123.4000000004</v>
      </c>
      <c r="BT165" s="208">
        <v>-627562</v>
      </c>
      <c r="BU165" s="208">
        <v>-502049</v>
      </c>
      <c r="BV165" s="208">
        <v>-112961</v>
      </c>
      <c r="BW165" s="208">
        <v>-12551</v>
      </c>
      <c r="BX165" s="208">
        <v>-1255123</v>
      </c>
      <c r="BY165" s="208">
        <v>-537500.40000000037</v>
      </c>
      <c r="BZ165" s="208">
        <v>-430000</v>
      </c>
      <c r="CA165" s="208">
        <v>-96750</v>
      </c>
      <c r="CB165" s="208">
        <v>-10750</v>
      </c>
      <c r="CC165" s="208">
        <v>-1075000.4000000004</v>
      </c>
      <c r="CD165" s="208">
        <v>177707</v>
      </c>
      <c r="CE165" s="208">
        <v>142165</v>
      </c>
      <c r="CF165" s="208">
        <v>31987</v>
      </c>
      <c r="CG165" s="208">
        <v>3554</v>
      </c>
      <c r="CH165" s="208">
        <v>355413</v>
      </c>
      <c r="CI165" s="208">
        <v>5000</v>
      </c>
      <c r="CJ165" s="208">
        <v>4000</v>
      </c>
      <c r="CK165" s="208">
        <v>900</v>
      </c>
      <c r="CL165" s="208">
        <v>100</v>
      </c>
      <c r="CM165" s="208">
        <v>10000</v>
      </c>
      <c r="CN165" s="208">
        <v>-135201</v>
      </c>
      <c r="CO165" s="208">
        <v>-108161</v>
      </c>
      <c r="CP165" s="208">
        <v>-24336</v>
      </c>
      <c r="CQ165" s="208">
        <v>-2704</v>
      </c>
      <c r="CR165" s="208">
        <v>-270402</v>
      </c>
      <c r="CS165" s="208">
        <v>-501100</v>
      </c>
      <c r="CT165" s="208">
        <v>-400880</v>
      </c>
      <c r="CU165" s="208">
        <v>-90198</v>
      </c>
      <c r="CV165" s="208">
        <v>-10022</v>
      </c>
      <c r="CW165" s="208">
        <v>-1002200</v>
      </c>
      <c r="CX165" s="208">
        <v>-1618656.4000000004</v>
      </c>
      <c r="CY165" s="208">
        <v>-1294925</v>
      </c>
      <c r="CZ165" s="208">
        <v>-291358</v>
      </c>
      <c r="DA165" s="208">
        <v>-32373</v>
      </c>
      <c r="DB165" s="208">
        <v>-3237312.4000000004</v>
      </c>
      <c r="DC165" s="208">
        <v>-585056</v>
      </c>
      <c r="DD165" s="208">
        <v>-468045</v>
      </c>
      <c r="DE165" s="208">
        <v>-105310</v>
      </c>
      <c r="DF165" s="208">
        <v>-11701</v>
      </c>
      <c r="DG165" s="208">
        <v>-1170112</v>
      </c>
      <c r="DH165" s="208">
        <v>-1033600.4000000004</v>
      </c>
      <c r="DI165" s="208">
        <v>-826880</v>
      </c>
      <c r="DJ165" s="208">
        <v>-186048</v>
      </c>
      <c r="DK165" s="208">
        <v>-20672</v>
      </c>
      <c r="DL165" s="208">
        <v>-2067200.4000000004</v>
      </c>
      <c r="DM165" s="208">
        <v>1202062.5</v>
      </c>
      <c r="DN165" s="208">
        <v>961651.19999999995</v>
      </c>
      <c r="DO165" s="208">
        <v>216372.27000000002</v>
      </c>
      <c r="DP165" s="208">
        <v>24041.03</v>
      </c>
      <c r="DQ165" s="208">
        <v>2404127</v>
      </c>
      <c r="DR165" s="208">
        <v>-109991</v>
      </c>
      <c r="DS165" s="208">
        <v>-87993</v>
      </c>
      <c r="DT165" s="208">
        <v>-19798</v>
      </c>
      <c r="DU165" s="208">
        <v>-2200</v>
      </c>
      <c r="DV165" s="208">
        <v>-219982</v>
      </c>
      <c r="DW165" s="208">
        <v>1312053.5</v>
      </c>
      <c r="DX165" s="208">
        <v>1049644.2</v>
      </c>
      <c r="DY165" s="208">
        <v>236170.27000000002</v>
      </c>
      <c r="DZ165" s="208">
        <v>26241.03</v>
      </c>
      <c r="EA165" s="208">
        <v>2624109</v>
      </c>
      <c r="EB165" s="208">
        <v>7482152</v>
      </c>
      <c r="EC165" s="208">
        <v>5985722</v>
      </c>
      <c r="ED165" s="208">
        <v>1346787</v>
      </c>
      <c r="EE165" s="208">
        <v>149643</v>
      </c>
      <c r="EF165" s="208">
        <v>14964304</v>
      </c>
      <c r="EG165" s="208">
        <v>7281831</v>
      </c>
      <c r="EH165" s="208">
        <v>5825465</v>
      </c>
      <c r="EI165" s="208">
        <v>1310730</v>
      </c>
      <c r="EJ165" s="208">
        <v>145637</v>
      </c>
      <c r="EK165" s="208">
        <v>14563663</v>
      </c>
      <c r="EL165" s="208">
        <v>-200321</v>
      </c>
      <c r="EM165" s="208">
        <v>-160257</v>
      </c>
      <c r="EN165" s="208">
        <v>-36057</v>
      </c>
      <c r="EO165" s="208">
        <v>-4006</v>
      </c>
      <c r="EP165" s="208">
        <v>-400641</v>
      </c>
      <c r="EQ165" s="208">
        <v>1111732.5</v>
      </c>
      <c r="ER165" s="208">
        <v>889387.2</v>
      </c>
      <c r="ES165" s="208">
        <v>200113.27000000002</v>
      </c>
      <c r="ET165" s="208">
        <v>22235.03</v>
      </c>
      <c r="EU165" s="208">
        <v>2223468</v>
      </c>
      <c r="EV165" s="666">
        <v>0.5</v>
      </c>
      <c r="EW165" s="666">
        <v>0.4</v>
      </c>
      <c r="EX165" s="666">
        <v>0.09</v>
      </c>
      <c r="EY165" s="666">
        <v>0.01</v>
      </c>
      <c r="EZ165" s="666">
        <v>1</v>
      </c>
      <c r="FA165" s="187" t="s">
        <v>1054</v>
      </c>
      <c r="FC165" s="187">
        <v>0</v>
      </c>
    </row>
    <row r="166" spans="2:159" s="187" customFormat="1" x14ac:dyDescent="0.2">
      <c r="B166" s="429" t="s">
        <v>409</v>
      </c>
      <c r="C166" s="429" t="s">
        <v>408</v>
      </c>
      <c r="D166" s="208">
        <v>0</v>
      </c>
      <c r="E166" s="208">
        <v>339128752</v>
      </c>
      <c r="F166" s="208">
        <v>0</v>
      </c>
      <c r="G166" s="208">
        <v>3425543</v>
      </c>
      <c r="H166" s="208">
        <v>342554295</v>
      </c>
      <c r="I166" s="208">
        <v>0</v>
      </c>
      <c r="J166" s="208">
        <v>0</v>
      </c>
      <c r="K166" s="208">
        <v>0</v>
      </c>
      <c r="L166" s="208">
        <v>1130659</v>
      </c>
      <c r="M166" s="208">
        <v>1130659</v>
      </c>
      <c r="N166" s="208">
        <v>567752</v>
      </c>
      <c r="O166" s="208">
        <v>567752</v>
      </c>
      <c r="P166" s="208">
        <v>0</v>
      </c>
      <c r="Q166" s="208">
        <v>0</v>
      </c>
      <c r="R166" s="208">
        <v>0</v>
      </c>
      <c r="S166" s="208">
        <v>0</v>
      </c>
      <c r="T166" s="208">
        <v>0</v>
      </c>
      <c r="U166" s="208">
        <v>0</v>
      </c>
      <c r="V166" s="208">
        <v>0</v>
      </c>
      <c r="W166" s="208">
        <v>0</v>
      </c>
      <c r="X166" s="208">
        <v>0</v>
      </c>
      <c r="Y166" s="208">
        <v>0</v>
      </c>
      <c r="Z166" s="208">
        <v>0</v>
      </c>
      <c r="AA166" s="208">
        <v>0</v>
      </c>
      <c r="AB166" s="208">
        <v>0</v>
      </c>
      <c r="AC166" s="208">
        <v>0</v>
      </c>
      <c r="AD166" s="208">
        <v>0</v>
      </c>
      <c r="AE166" s="208">
        <v>0</v>
      </c>
      <c r="AF166" s="208">
        <v>0</v>
      </c>
      <c r="AG166" s="208">
        <v>25056153</v>
      </c>
      <c r="AH166" s="208">
        <v>0</v>
      </c>
      <c r="AI166" s="208">
        <v>235049</v>
      </c>
      <c r="AJ166" s="208">
        <v>25291202</v>
      </c>
      <c r="AK166" s="208">
        <v>0</v>
      </c>
      <c r="AL166" s="208">
        <v>33880503</v>
      </c>
      <c r="AM166" s="208">
        <v>0</v>
      </c>
      <c r="AN166" s="208">
        <v>342227</v>
      </c>
      <c r="AO166" s="208">
        <v>34222730</v>
      </c>
      <c r="AP166" s="208">
        <v>0</v>
      </c>
      <c r="AQ166" s="208">
        <v>-15575726</v>
      </c>
      <c r="AR166" s="208">
        <v>0</v>
      </c>
      <c r="AS166" s="208">
        <v>-157331</v>
      </c>
      <c r="AT166" s="208">
        <v>-15733057</v>
      </c>
      <c r="AU166" s="208">
        <v>0</v>
      </c>
      <c r="AV166" s="208">
        <v>-22434880</v>
      </c>
      <c r="AW166" s="208">
        <v>0</v>
      </c>
      <c r="AX166" s="208">
        <v>-226615</v>
      </c>
      <c r="AY166" s="208">
        <v>-22661495</v>
      </c>
      <c r="AZ166" s="208">
        <v>0</v>
      </c>
      <c r="BA166" s="208">
        <v>5666062</v>
      </c>
      <c r="BB166" s="208">
        <v>0</v>
      </c>
      <c r="BC166" s="208">
        <v>57233</v>
      </c>
      <c r="BD166" s="208">
        <v>5723295</v>
      </c>
      <c r="BE166" s="208">
        <v>0</v>
      </c>
      <c r="BF166" s="208">
        <v>-6934553</v>
      </c>
      <c r="BG166" s="208">
        <v>0</v>
      </c>
      <c r="BH166" s="208">
        <v>-70046</v>
      </c>
      <c r="BI166" s="208">
        <v>-7004599</v>
      </c>
      <c r="BJ166" s="208">
        <v>0</v>
      </c>
      <c r="BK166" s="208">
        <v>-23703371</v>
      </c>
      <c r="BL166" s="208">
        <v>0</v>
      </c>
      <c r="BM166" s="208">
        <v>-239428</v>
      </c>
      <c r="BN166" s="208">
        <v>-23942799</v>
      </c>
      <c r="BO166" s="208">
        <v>1</v>
      </c>
      <c r="BP166" s="208">
        <v>-80564270</v>
      </c>
      <c r="BQ166" s="208">
        <v>0</v>
      </c>
      <c r="BR166" s="208">
        <v>-813781</v>
      </c>
      <c r="BS166" s="208">
        <v>-81378050</v>
      </c>
      <c r="BT166" s="208">
        <v>0</v>
      </c>
      <c r="BU166" s="208">
        <v>-54970198</v>
      </c>
      <c r="BV166" s="208">
        <v>0</v>
      </c>
      <c r="BW166" s="208">
        <v>-555255</v>
      </c>
      <c r="BX166" s="208">
        <v>-55525453</v>
      </c>
      <c r="BY166" s="208">
        <v>0</v>
      </c>
      <c r="BZ166" s="208">
        <v>-25594071</v>
      </c>
      <c r="CA166" s="208">
        <v>0</v>
      </c>
      <c r="CB166" s="208">
        <v>-258526</v>
      </c>
      <c r="CC166" s="208">
        <v>-25852597</v>
      </c>
      <c r="CD166" s="208">
        <v>0</v>
      </c>
      <c r="CE166" s="208">
        <v>10987751</v>
      </c>
      <c r="CF166" s="208">
        <v>0</v>
      </c>
      <c r="CG166" s="208">
        <v>110987</v>
      </c>
      <c r="CH166" s="208">
        <v>11098738</v>
      </c>
      <c r="CI166" s="208">
        <v>0</v>
      </c>
      <c r="CJ166" s="208">
        <v>12457652</v>
      </c>
      <c r="CK166" s="208">
        <v>0</v>
      </c>
      <c r="CL166" s="208">
        <v>125835</v>
      </c>
      <c r="CM166" s="208">
        <v>12583487</v>
      </c>
      <c r="CN166" s="208">
        <v>0</v>
      </c>
      <c r="CO166" s="208">
        <v>11829604</v>
      </c>
      <c r="CP166" s="208">
        <v>0</v>
      </c>
      <c r="CQ166" s="208">
        <v>119491</v>
      </c>
      <c r="CR166" s="208">
        <v>11949095</v>
      </c>
      <c r="CS166" s="208">
        <v>0</v>
      </c>
      <c r="CT166" s="208">
        <v>-33486962</v>
      </c>
      <c r="CU166" s="208">
        <v>0</v>
      </c>
      <c r="CV166" s="208">
        <v>-338252</v>
      </c>
      <c r="CW166" s="208">
        <v>-33825214</v>
      </c>
      <c r="CX166" s="208">
        <v>1</v>
      </c>
      <c r="CY166" s="208">
        <v>-78776225</v>
      </c>
      <c r="CZ166" s="208">
        <v>0</v>
      </c>
      <c r="DA166" s="208">
        <v>-795720</v>
      </c>
      <c r="DB166" s="208">
        <v>-79571944</v>
      </c>
      <c r="DC166" s="208">
        <v>0</v>
      </c>
      <c r="DD166" s="208">
        <v>-32152843</v>
      </c>
      <c r="DE166" s="208">
        <v>0</v>
      </c>
      <c r="DF166" s="208">
        <v>-324777</v>
      </c>
      <c r="DG166" s="208">
        <v>-32477620</v>
      </c>
      <c r="DH166" s="208">
        <v>0</v>
      </c>
      <c r="DI166" s="208">
        <v>-46623381</v>
      </c>
      <c r="DJ166" s="208">
        <v>0</v>
      </c>
      <c r="DK166" s="208">
        <v>-470943</v>
      </c>
      <c r="DL166" s="208">
        <v>-47094324</v>
      </c>
      <c r="DM166" s="208">
        <v>6496738</v>
      </c>
      <c r="DN166" s="208">
        <v>14575156</v>
      </c>
      <c r="DO166" s="208">
        <v>0</v>
      </c>
      <c r="DP166" s="208">
        <v>212847</v>
      </c>
      <c r="DQ166" s="208">
        <v>21284741</v>
      </c>
      <c r="DR166" s="208">
        <v>6496738</v>
      </c>
      <c r="DS166" s="208">
        <v>16359561</v>
      </c>
      <c r="DT166" s="208">
        <v>0</v>
      </c>
      <c r="DU166" s="208">
        <v>230872</v>
      </c>
      <c r="DV166" s="208">
        <v>23087171</v>
      </c>
      <c r="DW166" s="208">
        <v>0</v>
      </c>
      <c r="DX166" s="208">
        <v>-1784405</v>
      </c>
      <c r="DY166" s="208">
        <v>0</v>
      </c>
      <c r="DZ166" s="208">
        <v>-18025</v>
      </c>
      <c r="EA166" s="208">
        <v>-1802430</v>
      </c>
      <c r="EB166" s="208">
        <v>0</v>
      </c>
      <c r="EC166" s="208">
        <v>321572894</v>
      </c>
      <c r="ED166" s="208">
        <v>0</v>
      </c>
      <c r="EE166" s="208">
        <v>3248211</v>
      </c>
      <c r="EF166" s="208">
        <v>324821105</v>
      </c>
      <c r="EG166" s="208">
        <v>0</v>
      </c>
      <c r="EH166" s="208">
        <v>339128752</v>
      </c>
      <c r="EI166" s="208">
        <v>0</v>
      </c>
      <c r="EJ166" s="208">
        <v>3425543</v>
      </c>
      <c r="EK166" s="208">
        <v>342554295</v>
      </c>
      <c r="EL166" s="208">
        <v>0</v>
      </c>
      <c r="EM166" s="208">
        <v>17555858</v>
      </c>
      <c r="EN166" s="208">
        <v>0</v>
      </c>
      <c r="EO166" s="208">
        <v>177332</v>
      </c>
      <c r="EP166" s="208">
        <v>17733190</v>
      </c>
      <c r="EQ166" s="208">
        <v>0</v>
      </c>
      <c r="ER166" s="208">
        <v>15771453</v>
      </c>
      <c r="ES166" s="208">
        <v>0</v>
      </c>
      <c r="ET166" s="208">
        <v>159307</v>
      </c>
      <c r="EU166" s="208">
        <v>15930760</v>
      </c>
      <c r="EV166" s="666">
        <v>0</v>
      </c>
      <c r="EW166" s="666">
        <v>0.99</v>
      </c>
      <c r="EX166" s="666">
        <v>0</v>
      </c>
      <c r="EY166" s="666">
        <v>0.01</v>
      </c>
      <c r="EZ166" s="666">
        <v>1</v>
      </c>
      <c r="FA166" s="187" t="s">
        <v>1056</v>
      </c>
      <c r="FC166" s="187">
        <v>0</v>
      </c>
    </row>
    <row r="167" spans="2:159" s="187" customFormat="1" x14ac:dyDescent="0.2">
      <c r="B167" s="429" t="s">
        <v>411</v>
      </c>
      <c r="C167" s="429" t="s">
        <v>410</v>
      </c>
      <c r="D167" s="208">
        <v>12397983</v>
      </c>
      <c r="E167" s="208">
        <v>9918386</v>
      </c>
      <c r="F167" s="208">
        <v>2231637</v>
      </c>
      <c r="G167" s="208">
        <v>247960</v>
      </c>
      <c r="H167" s="208">
        <v>24795966</v>
      </c>
      <c r="I167" s="208">
        <v>0</v>
      </c>
      <c r="J167" s="208">
        <v>0</v>
      </c>
      <c r="K167" s="208">
        <v>12397983</v>
      </c>
      <c r="L167" s="208">
        <v>127686</v>
      </c>
      <c r="M167" s="208">
        <v>127686</v>
      </c>
      <c r="N167" s="208">
        <v>0</v>
      </c>
      <c r="O167" s="208">
        <v>0</v>
      </c>
      <c r="P167" s="208">
        <v>78039</v>
      </c>
      <c r="Q167" s="208">
        <v>0</v>
      </c>
      <c r="R167" s="208">
        <v>78039</v>
      </c>
      <c r="S167" s="208">
        <v>0</v>
      </c>
      <c r="T167" s="208">
        <v>0</v>
      </c>
      <c r="U167" s="208">
        <v>0</v>
      </c>
      <c r="V167" s="208">
        <v>0</v>
      </c>
      <c r="W167" s="208">
        <v>0</v>
      </c>
      <c r="X167" s="208">
        <v>0</v>
      </c>
      <c r="Y167" s="208">
        <v>0</v>
      </c>
      <c r="Z167" s="208">
        <v>0</v>
      </c>
      <c r="AA167" s="208">
        <v>0</v>
      </c>
      <c r="AB167" s="208">
        <v>0</v>
      </c>
      <c r="AC167" s="208">
        <v>0</v>
      </c>
      <c r="AD167" s="208">
        <v>0</v>
      </c>
      <c r="AE167" s="208">
        <v>0</v>
      </c>
      <c r="AF167" s="208">
        <v>0</v>
      </c>
      <c r="AG167" s="208">
        <v>1183377</v>
      </c>
      <c r="AH167" s="208">
        <v>265858</v>
      </c>
      <c r="AI167" s="208">
        <v>29540</v>
      </c>
      <c r="AJ167" s="208">
        <v>1478775</v>
      </c>
      <c r="AK167" s="208">
        <v>375447</v>
      </c>
      <c r="AL167" s="208">
        <v>300358</v>
      </c>
      <c r="AM167" s="208">
        <v>67580</v>
      </c>
      <c r="AN167" s="208">
        <v>7509</v>
      </c>
      <c r="AO167" s="208">
        <v>750894</v>
      </c>
      <c r="AP167" s="208">
        <v>-133224</v>
      </c>
      <c r="AQ167" s="208">
        <v>-106578</v>
      </c>
      <c r="AR167" s="208">
        <v>-23980</v>
      </c>
      <c r="AS167" s="208">
        <v>-2664</v>
      </c>
      <c r="AT167" s="208">
        <v>-266446</v>
      </c>
      <c r="AU167" s="208">
        <v>-218719</v>
      </c>
      <c r="AV167" s="208">
        <v>-174975</v>
      </c>
      <c r="AW167" s="208">
        <v>-39369</v>
      </c>
      <c r="AX167" s="208">
        <v>-4374</v>
      </c>
      <c r="AY167" s="208">
        <v>-437437</v>
      </c>
      <c r="AZ167" s="208">
        <v>108514</v>
      </c>
      <c r="BA167" s="208">
        <v>86810</v>
      </c>
      <c r="BB167" s="208">
        <v>19532</v>
      </c>
      <c r="BC167" s="208">
        <v>2170</v>
      </c>
      <c r="BD167" s="208">
        <v>217026</v>
      </c>
      <c r="BE167" s="208">
        <v>-214638</v>
      </c>
      <c r="BF167" s="208">
        <v>-171711</v>
      </c>
      <c r="BG167" s="208">
        <v>-38635</v>
      </c>
      <c r="BH167" s="208">
        <v>-4293</v>
      </c>
      <c r="BI167" s="208">
        <v>-429277</v>
      </c>
      <c r="BJ167" s="208">
        <v>-324843</v>
      </c>
      <c r="BK167" s="208">
        <v>-259876</v>
      </c>
      <c r="BL167" s="208">
        <v>-58472</v>
      </c>
      <c r="BM167" s="208">
        <v>-6497</v>
      </c>
      <c r="BN167" s="208">
        <v>-649688</v>
      </c>
      <c r="BO167" s="208">
        <v>-1326219</v>
      </c>
      <c r="BP167" s="208">
        <v>-1060975</v>
      </c>
      <c r="BQ167" s="208">
        <v>-238719</v>
      </c>
      <c r="BR167" s="208">
        <v>-26524</v>
      </c>
      <c r="BS167" s="208">
        <v>-2652437</v>
      </c>
      <c r="BT167" s="208">
        <v>0</v>
      </c>
      <c r="BU167" s="208">
        <v>0</v>
      </c>
      <c r="BV167" s="208">
        <v>0</v>
      </c>
      <c r="BW167" s="208">
        <v>0</v>
      </c>
      <c r="BX167" s="208">
        <v>0</v>
      </c>
      <c r="BY167" s="208">
        <v>-1326219</v>
      </c>
      <c r="BZ167" s="208">
        <v>-1060975</v>
      </c>
      <c r="CA167" s="208">
        <v>-238719</v>
      </c>
      <c r="CB167" s="208">
        <v>-26524</v>
      </c>
      <c r="CC167" s="208">
        <v>-2652437</v>
      </c>
      <c r="CD167" s="208">
        <v>78652</v>
      </c>
      <c r="CE167" s="208">
        <v>62922</v>
      </c>
      <c r="CF167" s="208">
        <v>14157</v>
      </c>
      <c r="CG167" s="208">
        <v>1573</v>
      </c>
      <c r="CH167" s="208">
        <v>157304</v>
      </c>
      <c r="CI167" s="208">
        <v>51581</v>
      </c>
      <c r="CJ167" s="208">
        <v>41266</v>
      </c>
      <c r="CK167" s="208">
        <v>9285</v>
      </c>
      <c r="CL167" s="208">
        <v>1032</v>
      </c>
      <c r="CM167" s="208">
        <v>103164</v>
      </c>
      <c r="CN167" s="208">
        <v>-176903</v>
      </c>
      <c r="CO167" s="208">
        <v>-141522</v>
      </c>
      <c r="CP167" s="208">
        <v>-31843</v>
      </c>
      <c r="CQ167" s="208">
        <v>-3538</v>
      </c>
      <c r="CR167" s="208">
        <v>-353806</v>
      </c>
      <c r="CS167" s="208">
        <v>-1935122</v>
      </c>
      <c r="CT167" s="208">
        <v>-1548097</v>
      </c>
      <c r="CU167" s="208">
        <v>-348322</v>
      </c>
      <c r="CV167" s="208">
        <v>-38702</v>
      </c>
      <c r="CW167" s="208">
        <v>-3870243</v>
      </c>
      <c r="CX167" s="208">
        <v>-3308011</v>
      </c>
      <c r="CY167" s="208">
        <v>-2646406</v>
      </c>
      <c r="CZ167" s="208">
        <v>-595442</v>
      </c>
      <c r="DA167" s="208">
        <v>-66159</v>
      </c>
      <c r="DB167" s="208">
        <v>-6616018</v>
      </c>
      <c r="DC167" s="208">
        <v>-98251</v>
      </c>
      <c r="DD167" s="208">
        <v>-78600</v>
      </c>
      <c r="DE167" s="208">
        <v>-17686</v>
      </c>
      <c r="DF167" s="208">
        <v>-1965</v>
      </c>
      <c r="DG167" s="208">
        <v>-196502</v>
      </c>
      <c r="DH167" s="208">
        <v>-3209760</v>
      </c>
      <c r="DI167" s="208">
        <v>-2567806</v>
      </c>
      <c r="DJ167" s="208">
        <v>-577756</v>
      </c>
      <c r="DK167" s="208">
        <v>-64194</v>
      </c>
      <c r="DL167" s="208">
        <v>-6419516</v>
      </c>
      <c r="DM167" s="208">
        <v>-1082222</v>
      </c>
      <c r="DN167" s="208">
        <v>-865777</v>
      </c>
      <c r="DO167" s="208">
        <v>-194800</v>
      </c>
      <c r="DP167" s="208">
        <v>-21645</v>
      </c>
      <c r="DQ167" s="208">
        <v>-2164444</v>
      </c>
      <c r="DR167" s="208">
        <v>-1080008</v>
      </c>
      <c r="DS167" s="208">
        <v>-864006</v>
      </c>
      <c r="DT167" s="208">
        <v>-194401</v>
      </c>
      <c r="DU167" s="208">
        <v>-21600</v>
      </c>
      <c r="DV167" s="208">
        <v>-2160015</v>
      </c>
      <c r="DW167" s="208">
        <v>-2214</v>
      </c>
      <c r="DX167" s="208">
        <v>-1771</v>
      </c>
      <c r="DY167" s="208">
        <v>-399</v>
      </c>
      <c r="DZ167" s="208">
        <v>-45</v>
      </c>
      <c r="EA167" s="208">
        <v>-4429</v>
      </c>
      <c r="EB167" s="208">
        <v>13800275</v>
      </c>
      <c r="EC167" s="208">
        <v>11040221</v>
      </c>
      <c r="ED167" s="208">
        <v>2484050</v>
      </c>
      <c r="EE167" s="208">
        <v>276006</v>
      </c>
      <c r="EF167" s="208">
        <v>27600552</v>
      </c>
      <c r="EG167" s="208">
        <v>12397983</v>
      </c>
      <c r="EH167" s="208">
        <v>9918386</v>
      </c>
      <c r="EI167" s="208">
        <v>2231637</v>
      </c>
      <c r="EJ167" s="208">
        <v>247960</v>
      </c>
      <c r="EK167" s="208">
        <v>24795966</v>
      </c>
      <c r="EL167" s="208">
        <v>-1402292</v>
      </c>
      <c r="EM167" s="208">
        <v>-1121835</v>
      </c>
      <c r="EN167" s="208">
        <v>-252413</v>
      </c>
      <c r="EO167" s="208">
        <v>-28046</v>
      </c>
      <c r="EP167" s="208">
        <v>-2804586</v>
      </c>
      <c r="EQ167" s="208">
        <v>-1404506</v>
      </c>
      <c r="ER167" s="208">
        <v>-1123606</v>
      </c>
      <c r="ES167" s="208">
        <v>-252812</v>
      </c>
      <c r="ET167" s="208">
        <v>-28091</v>
      </c>
      <c r="EU167" s="208">
        <v>-2809015</v>
      </c>
      <c r="EV167" s="666">
        <v>0.5</v>
      </c>
      <c r="EW167" s="666">
        <v>0.4</v>
      </c>
      <c r="EX167" s="666">
        <v>0.09</v>
      </c>
      <c r="EY167" s="666">
        <v>0.01</v>
      </c>
      <c r="EZ167" s="666">
        <v>1</v>
      </c>
      <c r="FA167" s="187" t="s">
        <v>1054</v>
      </c>
      <c r="FC167" s="187">
        <v>0</v>
      </c>
    </row>
    <row r="168" spans="2:159" s="187" customFormat="1" x14ac:dyDescent="0.2">
      <c r="B168" s="429" t="s">
        <v>413</v>
      </c>
      <c r="C168" s="429" t="s">
        <v>412</v>
      </c>
      <c r="D168" s="208">
        <v>0</v>
      </c>
      <c r="E168" s="208">
        <v>87607456</v>
      </c>
      <c r="F168" s="208">
        <v>0</v>
      </c>
      <c r="G168" s="208">
        <v>884924</v>
      </c>
      <c r="H168" s="208">
        <v>88492380</v>
      </c>
      <c r="I168" s="208">
        <v>0</v>
      </c>
      <c r="J168" s="208">
        <v>0</v>
      </c>
      <c r="K168" s="208">
        <v>0</v>
      </c>
      <c r="L168" s="208">
        <v>268967</v>
      </c>
      <c r="M168" s="208">
        <v>268967</v>
      </c>
      <c r="N168" s="208">
        <v>23141</v>
      </c>
      <c r="O168" s="208">
        <v>23141</v>
      </c>
      <c r="P168" s="208">
        <v>0</v>
      </c>
      <c r="Q168" s="208">
        <v>0</v>
      </c>
      <c r="R168" s="208">
        <v>0</v>
      </c>
      <c r="S168" s="208">
        <v>0</v>
      </c>
      <c r="T168" s="208">
        <v>0</v>
      </c>
      <c r="U168" s="208">
        <v>0</v>
      </c>
      <c r="V168" s="208">
        <v>0</v>
      </c>
      <c r="W168" s="208">
        <v>0</v>
      </c>
      <c r="X168" s="208">
        <v>0</v>
      </c>
      <c r="Y168" s="208">
        <v>0</v>
      </c>
      <c r="Z168" s="208">
        <v>0</v>
      </c>
      <c r="AA168" s="208">
        <v>0</v>
      </c>
      <c r="AB168" s="208">
        <v>0</v>
      </c>
      <c r="AC168" s="208">
        <v>0</v>
      </c>
      <c r="AD168" s="208">
        <v>0</v>
      </c>
      <c r="AE168" s="208">
        <v>0</v>
      </c>
      <c r="AF168" s="208">
        <v>0</v>
      </c>
      <c r="AG168" s="208">
        <v>7777301</v>
      </c>
      <c r="AH168" s="208">
        <v>0</v>
      </c>
      <c r="AI168" s="208">
        <v>78553</v>
      </c>
      <c r="AJ168" s="208">
        <v>7855854</v>
      </c>
      <c r="AK168" s="208">
        <v>0</v>
      </c>
      <c r="AL168" s="208">
        <v>6857212</v>
      </c>
      <c r="AM168" s="208">
        <v>0</v>
      </c>
      <c r="AN168" s="208">
        <v>69265</v>
      </c>
      <c r="AO168" s="208">
        <v>6926477</v>
      </c>
      <c r="AP168" s="208">
        <v>0</v>
      </c>
      <c r="AQ168" s="208">
        <v>-2844334</v>
      </c>
      <c r="AR168" s="208">
        <v>0</v>
      </c>
      <c r="AS168" s="208">
        <v>-28731</v>
      </c>
      <c r="AT168" s="208">
        <v>-2873065</v>
      </c>
      <c r="AU168" s="208">
        <v>0</v>
      </c>
      <c r="AV168" s="208">
        <v>-3898418</v>
      </c>
      <c r="AW168" s="208">
        <v>0</v>
      </c>
      <c r="AX168" s="208">
        <v>-39378</v>
      </c>
      <c r="AY168" s="208">
        <v>-3937796</v>
      </c>
      <c r="AZ168" s="208">
        <v>0</v>
      </c>
      <c r="BA168" s="208">
        <v>2107563</v>
      </c>
      <c r="BB168" s="208">
        <v>0</v>
      </c>
      <c r="BC168" s="208">
        <v>21289</v>
      </c>
      <c r="BD168" s="208">
        <v>2128852</v>
      </c>
      <c r="BE168" s="208">
        <v>0</v>
      </c>
      <c r="BF168" s="208">
        <v>-603306</v>
      </c>
      <c r="BG168" s="208">
        <v>0</v>
      </c>
      <c r="BH168" s="208">
        <v>-6094</v>
      </c>
      <c r="BI168" s="208">
        <v>-609400</v>
      </c>
      <c r="BJ168" s="208">
        <v>0</v>
      </c>
      <c r="BK168" s="208">
        <v>-2394161</v>
      </c>
      <c r="BL168" s="208">
        <v>0</v>
      </c>
      <c r="BM168" s="208">
        <v>-24183</v>
      </c>
      <c r="BN168" s="208">
        <v>-2418344</v>
      </c>
      <c r="BO168" s="208">
        <v>0</v>
      </c>
      <c r="BP168" s="208">
        <v>-14223540</v>
      </c>
      <c r="BQ168" s="208">
        <v>0</v>
      </c>
      <c r="BR168" s="208">
        <v>-143672</v>
      </c>
      <c r="BS168" s="208">
        <v>-14367212</v>
      </c>
      <c r="BT168" s="208">
        <v>0</v>
      </c>
      <c r="BU168" s="208">
        <v>-10660910</v>
      </c>
      <c r="BV168" s="208">
        <v>0</v>
      </c>
      <c r="BW168" s="208">
        <v>-107686</v>
      </c>
      <c r="BX168" s="208">
        <v>-10768596</v>
      </c>
      <c r="BY168" s="208">
        <v>0</v>
      </c>
      <c r="BZ168" s="208">
        <v>-3562630</v>
      </c>
      <c r="CA168" s="208">
        <v>0</v>
      </c>
      <c r="CB168" s="208">
        <v>-35986</v>
      </c>
      <c r="CC168" s="208">
        <v>-3598616</v>
      </c>
      <c r="CD168" s="208">
        <v>0</v>
      </c>
      <c r="CE168" s="208">
        <v>5400592</v>
      </c>
      <c r="CF168" s="208">
        <v>0</v>
      </c>
      <c r="CG168" s="208">
        <v>54551</v>
      </c>
      <c r="CH168" s="208">
        <v>5455143</v>
      </c>
      <c r="CI168" s="208">
        <v>0</v>
      </c>
      <c r="CJ168" s="208">
        <v>0</v>
      </c>
      <c r="CK168" s="208">
        <v>0</v>
      </c>
      <c r="CL168" s="208">
        <v>0</v>
      </c>
      <c r="CM168" s="208">
        <v>0</v>
      </c>
      <c r="CN168" s="208">
        <v>0</v>
      </c>
      <c r="CO168" s="208">
        <v>-842867</v>
      </c>
      <c r="CP168" s="208">
        <v>0</v>
      </c>
      <c r="CQ168" s="208">
        <v>-8514</v>
      </c>
      <c r="CR168" s="208">
        <v>-851381</v>
      </c>
      <c r="CS168" s="208">
        <v>0</v>
      </c>
      <c r="CT168" s="208">
        <v>-3362617</v>
      </c>
      <c r="CU168" s="208">
        <v>0</v>
      </c>
      <c r="CV168" s="208">
        <v>-33966</v>
      </c>
      <c r="CW168" s="208">
        <v>-3396583</v>
      </c>
      <c r="CX168" s="208">
        <v>0</v>
      </c>
      <c r="CY168" s="208">
        <v>-13028432</v>
      </c>
      <c r="CZ168" s="208">
        <v>0</v>
      </c>
      <c r="DA168" s="208">
        <v>-131601</v>
      </c>
      <c r="DB168" s="208">
        <v>-13160033</v>
      </c>
      <c r="DC168" s="208">
        <v>0</v>
      </c>
      <c r="DD168" s="208">
        <v>-6103185</v>
      </c>
      <c r="DE168" s="208">
        <v>0</v>
      </c>
      <c r="DF168" s="208">
        <v>-61649</v>
      </c>
      <c r="DG168" s="208">
        <v>-6164834</v>
      </c>
      <c r="DH168" s="208">
        <v>0</v>
      </c>
      <c r="DI168" s="208">
        <v>-6925247</v>
      </c>
      <c r="DJ168" s="208">
        <v>0</v>
      </c>
      <c r="DK168" s="208">
        <v>-69952</v>
      </c>
      <c r="DL168" s="208">
        <v>-6995199</v>
      </c>
      <c r="DM168" s="208">
        <v>-4040423</v>
      </c>
      <c r="DN168" s="208">
        <v>-3959615</v>
      </c>
      <c r="DO168" s="208">
        <v>0</v>
      </c>
      <c r="DP168" s="208">
        <v>-80809</v>
      </c>
      <c r="DQ168" s="208">
        <v>-8080847</v>
      </c>
      <c r="DR168" s="208">
        <v>-1114114</v>
      </c>
      <c r="DS168" s="208">
        <v>-1091831</v>
      </c>
      <c r="DT168" s="208">
        <v>0</v>
      </c>
      <c r="DU168" s="208">
        <v>-22282</v>
      </c>
      <c r="DV168" s="208">
        <v>-2228227</v>
      </c>
      <c r="DW168" s="208">
        <v>-2926309</v>
      </c>
      <c r="DX168" s="208">
        <v>-2867784</v>
      </c>
      <c r="DY168" s="208">
        <v>0</v>
      </c>
      <c r="DZ168" s="208">
        <v>-58527</v>
      </c>
      <c r="EA168" s="208">
        <v>-5852620</v>
      </c>
      <c r="EB168" s="208">
        <v>0</v>
      </c>
      <c r="EC168" s="208">
        <v>85722437</v>
      </c>
      <c r="ED168" s="208">
        <v>0</v>
      </c>
      <c r="EE168" s="208">
        <v>865883</v>
      </c>
      <c r="EF168" s="208">
        <v>86588320</v>
      </c>
      <c r="EG168" s="208">
        <v>0</v>
      </c>
      <c r="EH168" s="208">
        <v>87607456</v>
      </c>
      <c r="EI168" s="208">
        <v>0</v>
      </c>
      <c r="EJ168" s="208">
        <v>884924</v>
      </c>
      <c r="EK168" s="208">
        <v>88492380</v>
      </c>
      <c r="EL168" s="208">
        <v>0</v>
      </c>
      <c r="EM168" s="208">
        <v>1885019</v>
      </c>
      <c r="EN168" s="208">
        <v>0</v>
      </c>
      <c r="EO168" s="208">
        <v>19041</v>
      </c>
      <c r="EP168" s="208">
        <v>1904060</v>
      </c>
      <c r="EQ168" s="208">
        <v>-2926309</v>
      </c>
      <c r="ER168" s="208">
        <v>-982765</v>
      </c>
      <c r="ES168" s="208">
        <v>0</v>
      </c>
      <c r="ET168" s="208">
        <v>-39486</v>
      </c>
      <c r="EU168" s="208">
        <v>-3948560</v>
      </c>
      <c r="EV168" s="666">
        <v>0</v>
      </c>
      <c r="EW168" s="666">
        <v>0.99</v>
      </c>
      <c r="EX168" s="666">
        <v>0</v>
      </c>
      <c r="EY168" s="666">
        <v>0.01</v>
      </c>
      <c r="EZ168" s="666">
        <v>1</v>
      </c>
      <c r="FA168" s="187" t="s">
        <v>742</v>
      </c>
      <c r="FC168" s="187">
        <v>0</v>
      </c>
    </row>
    <row r="169" spans="2:159" s="187" customFormat="1" x14ac:dyDescent="0.2">
      <c r="B169" s="429" t="s">
        <v>415</v>
      </c>
      <c r="C169" s="429" t="s">
        <v>414</v>
      </c>
      <c r="D169" s="208">
        <v>7144275</v>
      </c>
      <c r="E169" s="208">
        <v>5715421</v>
      </c>
      <c r="F169" s="208">
        <v>1285970</v>
      </c>
      <c r="G169" s="208">
        <v>142886</v>
      </c>
      <c r="H169" s="208">
        <v>14288552</v>
      </c>
      <c r="I169" s="208">
        <v>0</v>
      </c>
      <c r="J169" s="208">
        <v>0</v>
      </c>
      <c r="K169" s="208">
        <v>7144275</v>
      </c>
      <c r="L169" s="208">
        <v>62355</v>
      </c>
      <c r="M169" s="208">
        <v>62355</v>
      </c>
      <c r="N169" s="208">
        <v>0</v>
      </c>
      <c r="O169" s="208">
        <v>0</v>
      </c>
      <c r="P169" s="208">
        <v>138562</v>
      </c>
      <c r="Q169" s="208">
        <v>0</v>
      </c>
      <c r="R169" s="208">
        <v>138562</v>
      </c>
      <c r="S169" s="208">
        <v>0</v>
      </c>
      <c r="T169" s="208">
        <v>0</v>
      </c>
      <c r="U169" s="208">
        <v>0</v>
      </c>
      <c r="V169" s="208">
        <v>0</v>
      </c>
      <c r="W169" s="208">
        <v>0</v>
      </c>
      <c r="X169" s="208">
        <v>0</v>
      </c>
      <c r="Y169" s="208">
        <v>0</v>
      </c>
      <c r="Z169" s="208">
        <v>0</v>
      </c>
      <c r="AA169" s="208">
        <v>0</v>
      </c>
      <c r="AB169" s="208">
        <v>0</v>
      </c>
      <c r="AC169" s="208">
        <v>0</v>
      </c>
      <c r="AD169" s="208">
        <v>0</v>
      </c>
      <c r="AE169" s="208">
        <v>0</v>
      </c>
      <c r="AF169" s="208">
        <v>0</v>
      </c>
      <c r="AG169" s="208">
        <v>745446</v>
      </c>
      <c r="AH169" s="208">
        <v>167010</v>
      </c>
      <c r="AI169" s="208">
        <v>18555</v>
      </c>
      <c r="AJ169" s="208">
        <v>931011</v>
      </c>
      <c r="AK169" s="208">
        <v>185734</v>
      </c>
      <c r="AL169" s="208">
        <v>148588</v>
      </c>
      <c r="AM169" s="208">
        <v>33432</v>
      </c>
      <c r="AN169" s="208">
        <v>3715</v>
      </c>
      <c r="AO169" s="208">
        <v>371469</v>
      </c>
      <c r="AP169" s="208">
        <v>-126059</v>
      </c>
      <c r="AQ169" s="208">
        <v>-100846</v>
      </c>
      <c r="AR169" s="208">
        <v>-22690</v>
      </c>
      <c r="AS169" s="208">
        <v>-2521</v>
      </c>
      <c r="AT169" s="208">
        <v>-252116</v>
      </c>
      <c r="AU169" s="208">
        <v>-91300.110000000015</v>
      </c>
      <c r="AV169" s="208">
        <v>-73040</v>
      </c>
      <c r="AW169" s="208">
        <v>-16434</v>
      </c>
      <c r="AX169" s="208">
        <v>-1826</v>
      </c>
      <c r="AY169" s="208">
        <v>-182600.11000000002</v>
      </c>
      <c r="AZ169" s="208">
        <v>91300</v>
      </c>
      <c r="BA169" s="208">
        <v>73040</v>
      </c>
      <c r="BB169" s="208">
        <v>16434</v>
      </c>
      <c r="BC169" s="208">
        <v>1826</v>
      </c>
      <c r="BD169" s="208">
        <v>182600</v>
      </c>
      <c r="BE169" s="208">
        <v>-41561</v>
      </c>
      <c r="BF169" s="208">
        <v>-33249</v>
      </c>
      <c r="BG169" s="208">
        <v>-7481</v>
      </c>
      <c r="BH169" s="208">
        <v>-831</v>
      </c>
      <c r="BI169" s="208">
        <v>-83122</v>
      </c>
      <c r="BJ169" s="208">
        <v>-41561.110000000015</v>
      </c>
      <c r="BK169" s="208">
        <v>-33249</v>
      </c>
      <c r="BL169" s="208">
        <v>-7481</v>
      </c>
      <c r="BM169" s="208">
        <v>-831</v>
      </c>
      <c r="BN169" s="208">
        <v>-83122.110000000015</v>
      </c>
      <c r="BO169" s="208">
        <v>-419784.18999999994</v>
      </c>
      <c r="BP169" s="208">
        <v>-335828</v>
      </c>
      <c r="BQ169" s="208">
        <v>-75561</v>
      </c>
      <c r="BR169" s="208">
        <v>-8396</v>
      </c>
      <c r="BS169" s="208">
        <v>-839569.19</v>
      </c>
      <c r="BT169" s="208">
        <v>0</v>
      </c>
      <c r="BU169" s="208">
        <v>0</v>
      </c>
      <c r="BV169" s="208">
        <v>0</v>
      </c>
      <c r="BW169" s="208">
        <v>0</v>
      </c>
      <c r="BX169" s="208">
        <v>0</v>
      </c>
      <c r="BY169" s="208">
        <v>-419784.18999999994</v>
      </c>
      <c r="BZ169" s="208">
        <v>-335828</v>
      </c>
      <c r="CA169" s="208">
        <v>-75561</v>
      </c>
      <c r="CB169" s="208">
        <v>-8396</v>
      </c>
      <c r="CC169" s="208">
        <v>-839569.19</v>
      </c>
      <c r="CD169" s="208">
        <v>45008</v>
      </c>
      <c r="CE169" s="208">
        <v>36007</v>
      </c>
      <c r="CF169" s="208">
        <v>8102</v>
      </c>
      <c r="CG169" s="208">
        <v>900</v>
      </c>
      <c r="CH169" s="208">
        <v>90017</v>
      </c>
      <c r="CI169" s="208">
        <v>68958</v>
      </c>
      <c r="CJ169" s="208">
        <v>55166</v>
      </c>
      <c r="CK169" s="208">
        <v>12412</v>
      </c>
      <c r="CL169" s="208">
        <v>1379</v>
      </c>
      <c r="CM169" s="208">
        <v>137915</v>
      </c>
      <c r="CN169" s="208">
        <v>17955</v>
      </c>
      <c r="CO169" s="208">
        <v>14364</v>
      </c>
      <c r="CP169" s="208">
        <v>3232</v>
      </c>
      <c r="CQ169" s="208">
        <v>359</v>
      </c>
      <c r="CR169" s="208">
        <v>35910</v>
      </c>
      <c r="CS169" s="208">
        <v>-346196</v>
      </c>
      <c r="CT169" s="208">
        <v>-276956</v>
      </c>
      <c r="CU169" s="208">
        <v>-62315</v>
      </c>
      <c r="CV169" s="208">
        <v>-6924</v>
      </c>
      <c r="CW169" s="208">
        <v>-692391</v>
      </c>
      <c r="CX169" s="208">
        <v>-634059.18999999994</v>
      </c>
      <c r="CY169" s="208">
        <v>-507247</v>
      </c>
      <c r="CZ169" s="208">
        <v>-114130</v>
      </c>
      <c r="DA169" s="208">
        <v>-12682</v>
      </c>
      <c r="DB169" s="208">
        <v>-1268118.19</v>
      </c>
      <c r="DC169" s="208">
        <v>62963</v>
      </c>
      <c r="DD169" s="208">
        <v>50371</v>
      </c>
      <c r="DE169" s="208">
        <v>11334</v>
      </c>
      <c r="DF169" s="208">
        <v>1259</v>
      </c>
      <c r="DG169" s="208">
        <v>125927</v>
      </c>
      <c r="DH169" s="208">
        <v>-697022.19</v>
      </c>
      <c r="DI169" s="208">
        <v>-557618</v>
      </c>
      <c r="DJ169" s="208">
        <v>-125464</v>
      </c>
      <c r="DK169" s="208">
        <v>-13941</v>
      </c>
      <c r="DL169" s="208">
        <v>-1394045.19</v>
      </c>
      <c r="DM169" s="208">
        <v>-42704.599999999627</v>
      </c>
      <c r="DN169" s="208">
        <v>-34162</v>
      </c>
      <c r="DO169" s="208">
        <v>-7686</v>
      </c>
      <c r="DP169" s="208">
        <v>-853</v>
      </c>
      <c r="DQ169" s="208">
        <v>-85405.599999999627</v>
      </c>
      <c r="DR169" s="208">
        <v>176970</v>
      </c>
      <c r="DS169" s="208">
        <v>141576</v>
      </c>
      <c r="DT169" s="208">
        <v>31855</v>
      </c>
      <c r="DU169" s="208">
        <v>3539</v>
      </c>
      <c r="DV169" s="208">
        <v>353940</v>
      </c>
      <c r="DW169" s="208">
        <v>-219674.59999999963</v>
      </c>
      <c r="DX169" s="208">
        <v>-175738</v>
      </c>
      <c r="DY169" s="208">
        <v>-39541</v>
      </c>
      <c r="DZ169" s="208">
        <v>-4392</v>
      </c>
      <c r="EA169" s="208">
        <v>-439345.59999999963</v>
      </c>
      <c r="EB169" s="208">
        <v>7145529</v>
      </c>
      <c r="EC169" s="208">
        <v>5716424</v>
      </c>
      <c r="ED169" s="208">
        <v>1286195</v>
      </c>
      <c r="EE169" s="208">
        <v>142911</v>
      </c>
      <c r="EF169" s="208">
        <v>14291059</v>
      </c>
      <c r="EG169" s="208">
        <v>7144275</v>
      </c>
      <c r="EH169" s="208">
        <v>5715421</v>
      </c>
      <c r="EI169" s="208">
        <v>1285970</v>
      </c>
      <c r="EJ169" s="208">
        <v>142886</v>
      </c>
      <c r="EK169" s="208">
        <v>14288552</v>
      </c>
      <c r="EL169" s="208">
        <v>-1254</v>
      </c>
      <c r="EM169" s="208">
        <v>-1003</v>
      </c>
      <c r="EN169" s="208">
        <v>-225</v>
      </c>
      <c r="EO169" s="208">
        <v>-25</v>
      </c>
      <c r="EP169" s="208">
        <v>-2507</v>
      </c>
      <c r="EQ169" s="208">
        <v>-220928.59999999963</v>
      </c>
      <c r="ER169" s="208">
        <v>-176741</v>
      </c>
      <c r="ES169" s="208">
        <v>-39766</v>
      </c>
      <c r="ET169" s="208">
        <v>-4417</v>
      </c>
      <c r="EU169" s="208">
        <v>-441852.59999999963</v>
      </c>
      <c r="EV169" s="666">
        <v>0.5</v>
      </c>
      <c r="EW169" s="666">
        <v>0.4</v>
      </c>
      <c r="EX169" s="666">
        <v>0.09</v>
      </c>
      <c r="EY169" s="666">
        <v>0.01</v>
      </c>
      <c r="EZ169" s="666">
        <v>1</v>
      </c>
      <c r="FA169" s="187" t="s">
        <v>1054</v>
      </c>
      <c r="FC169" s="187">
        <v>0</v>
      </c>
    </row>
    <row r="170" spans="2:159" s="187" customFormat="1" x14ac:dyDescent="0.2">
      <c r="B170" s="429" t="s">
        <v>417</v>
      </c>
      <c r="C170" s="429" t="s">
        <v>416</v>
      </c>
      <c r="D170" s="208">
        <v>17705658</v>
      </c>
      <c r="E170" s="208">
        <v>14164526</v>
      </c>
      <c r="F170" s="208">
        <v>3187018</v>
      </c>
      <c r="G170" s="208">
        <v>354113</v>
      </c>
      <c r="H170" s="208">
        <v>35411315</v>
      </c>
      <c r="I170" s="208">
        <v>0</v>
      </c>
      <c r="J170" s="208">
        <v>0</v>
      </c>
      <c r="K170" s="208">
        <v>17705658</v>
      </c>
      <c r="L170" s="208">
        <v>167260</v>
      </c>
      <c r="M170" s="208">
        <v>167260</v>
      </c>
      <c r="N170" s="208">
        <v>0</v>
      </c>
      <c r="O170" s="208">
        <v>0</v>
      </c>
      <c r="P170" s="208">
        <v>121723</v>
      </c>
      <c r="Q170" s="208">
        <v>0</v>
      </c>
      <c r="R170" s="208">
        <v>121723</v>
      </c>
      <c r="S170" s="208">
        <v>0</v>
      </c>
      <c r="T170" s="208">
        <v>0</v>
      </c>
      <c r="U170" s="208">
        <v>0</v>
      </c>
      <c r="V170" s="208">
        <v>0</v>
      </c>
      <c r="W170" s="208">
        <v>0</v>
      </c>
      <c r="X170" s="208">
        <v>0</v>
      </c>
      <c r="Y170" s="208">
        <v>0</v>
      </c>
      <c r="Z170" s="208">
        <v>0</v>
      </c>
      <c r="AA170" s="208">
        <v>0</v>
      </c>
      <c r="AB170" s="208">
        <v>0</v>
      </c>
      <c r="AC170" s="208">
        <v>0</v>
      </c>
      <c r="AD170" s="208">
        <v>0</v>
      </c>
      <c r="AE170" s="208">
        <v>0</v>
      </c>
      <c r="AF170" s="208">
        <v>0</v>
      </c>
      <c r="AG170" s="208">
        <v>1905343</v>
      </c>
      <c r="AH170" s="208">
        <v>428073</v>
      </c>
      <c r="AI170" s="208">
        <v>47564</v>
      </c>
      <c r="AJ170" s="208">
        <v>2380980</v>
      </c>
      <c r="AK170" s="208">
        <v>414058</v>
      </c>
      <c r="AL170" s="208">
        <v>331247</v>
      </c>
      <c r="AM170" s="208">
        <v>74531</v>
      </c>
      <c r="AN170" s="208">
        <v>8281</v>
      </c>
      <c r="AO170" s="208">
        <v>828117</v>
      </c>
      <c r="AP170" s="208">
        <v>-456819</v>
      </c>
      <c r="AQ170" s="208">
        <v>-365456</v>
      </c>
      <c r="AR170" s="208">
        <v>-82228</v>
      </c>
      <c r="AS170" s="208">
        <v>-9136</v>
      </c>
      <c r="AT170" s="208">
        <v>-913639</v>
      </c>
      <c r="AU170" s="208">
        <v>-152470</v>
      </c>
      <c r="AV170" s="208">
        <v>-121976</v>
      </c>
      <c r="AW170" s="208">
        <v>-27445</v>
      </c>
      <c r="AX170" s="208">
        <v>-3049</v>
      </c>
      <c r="AY170" s="208">
        <v>-304940</v>
      </c>
      <c r="AZ170" s="208">
        <v>0</v>
      </c>
      <c r="BA170" s="208">
        <v>0</v>
      </c>
      <c r="BB170" s="208">
        <v>0</v>
      </c>
      <c r="BC170" s="208">
        <v>0</v>
      </c>
      <c r="BD170" s="208">
        <v>0</v>
      </c>
      <c r="BE170" s="208">
        <v>-86559</v>
      </c>
      <c r="BF170" s="208">
        <v>-69247</v>
      </c>
      <c r="BG170" s="208">
        <v>-15581</v>
      </c>
      <c r="BH170" s="208">
        <v>-1731</v>
      </c>
      <c r="BI170" s="208">
        <v>-173118</v>
      </c>
      <c r="BJ170" s="208">
        <v>-239029</v>
      </c>
      <c r="BK170" s="208">
        <v>-191223</v>
      </c>
      <c r="BL170" s="208">
        <v>-43026</v>
      </c>
      <c r="BM170" s="208">
        <v>-4780</v>
      </c>
      <c r="BN170" s="208">
        <v>-478058</v>
      </c>
      <c r="BO170" s="208">
        <v>-402852</v>
      </c>
      <c r="BP170" s="208">
        <v>-322281</v>
      </c>
      <c r="BQ170" s="208">
        <v>-72513</v>
      </c>
      <c r="BR170" s="208">
        <v>-8057</v>
      </c>
      <c r="BS170" s="208">
        <v>-805703</v>
      </c>
      <c r="BT170" s="208">
        <v>-352496</v>
      </c>
      <c r="BU170" s="208">
        <v>-281996</v>
      </c>
      <c r="BV170" s="208">
        <v>-63449</v>
      </c>
      <c r="BW170" s="208">
        <v>-7050</v>
      </c>
      <c r="BX170" s="208">
        <v>-704991</v>
      </c>
      <c r="BY170" s="208">
        <v>-50356</v>
      </c>
      <c r="BZ170" s="208">
        <v>-40285</v>
      </c>
      <c r="CA170" s="208">
        <v>-9064</v>
      </c>
      <c r="CB170" s="208">
        <v>-1007</v>
      </c>
      <c r="CC170" s="208">
        <v>-100712</v>
      </c>
      <c r="CD170" s="208">
        <v>198684</v>
      </c>
      <c r="CE170" s="208">
        <v>158947</v>
      </c>
      <c r="CF170" s="208">
        <v>35763</v>
      </c>
      <c r="CG170" s="208">
        <v>3974</v>
      </c>
      <c r="CH170" s="208">
        <v>397368</v>
      </c>
      <c r="CI170" s="208">
        <v>0</v>
      </c>
      <c r="CJ170" s="208">
        <v>0</v>
      </c>
      <c r="CK170" s="208">
        <v>0</v>
      </c>
      <c r="CL170" s="208">
        <v>0</v>
      </c>
      <c r="CM170" s="208">
        <v>0</v>
      </c>
      <c r="CN170" s="208">
        <v>-240741</v>
      </c>
      <c r="CO170" s="208">
        <v>-192593</v>
      </c>
      <c r="CP170" s="208">
        <v>-43333</v>
      </c>
      <c r="CQ170" s="208">
        <v>-4815</v>
      </c>
      <c r="CR170" s="208">
        <v>-481482</v>
      </c>
      <c r="CS170" s="208">
        <v>-63681</v>
      </c>
      <c r="CT170" s="208">
        <v>-50945</v>
      </c>
      <c r="CU170" s="208">
        <v>-11463</v>
      </c>
      <c r="CV170" s="208">
        <v>-1274</v>
      </c>
      <c r="CW170" s="208">
        <v>-127363</v>
      </c>
      <c r="CX170" s="208">
        <v>-508590</v>
      </c>
      <c r="CY170" s="208">
        <v>-406872</v>
      </c>
      <c r="CZ170" s="208">
        <v>-91546</v>
      </c>
      <c r="DA170" s="208">
        <v>-10172</v>
      </c>
      <c r="DB170" s="208">
        <v>-1017180</v>
      </c>
      <c r="DC170" s="208">
        <v>-394553</v>
      </c>
      <c r="DD170" s="208">
        <v>-315642</v>
      </c>
      <c r="DE170" s="208">
        <v>-71019</v>
      </c>
      <c r="DF170" s="208">
        <v>-7891</v>
      </c>
      <c r="DG170" s="208">
        <v>-789105</v>
      </c>
      <c r="DH170" s="208">
        <v>-114037</v>
      </c>
      <c r="DI170" s="208">
        <v>-91230</v>
      </c>
      <c r="DJ170" s="208">
        <v>-20527</v>
      </c>
      <c r="DK170" s="208">
        <v>-2281</v>
      </c>
      <c r="DL170" s="208">
        <v>-228075</v>
      </c>
      <c r="DM170" s="208">
        <v>1005421</v>
      </c>
      <c r="DN170" s="208">
        <v>804336</v>
      </c>
      <c r="DO170" s="208">
        <v>180975</v>
      </c>
      <c r="DP170" s="208">
        <v>20108</v>
      </c>
      <c r="DQ170" s="208">
        <v>2010840</v>
      </c>
      <c r="DR170" s="208">
        <v>1289960</v>
      </c>
      <c r="DS170" s="208">
        <v>1031968</v>
      </c>
      <c r="DT170" s="208">
        <v>232193</v>
      </c>
      <c r="DU170" s="208">
        <v>25799</v>
      </c>
      <c r="DV170" s="208">
        <v>2579920</v>
      </c>
      <c r="DW170" s="208">
        <v>-284539</v>
      </c>
      <c r="DX170" s="208">
        <v>-227632</v>
      </c>
      <c r="DY170" s="208">
        <v>-51218</v>
      </c>
      <c r="DZ170" s="208">
        <v>-5691</v>
      </c>
      <c r="EA170" s="208">
        <v>-569080</v>
      </c>
      <c r="EB170" s="208">
        <v>18407443</v>
      </c>
      <c r="EC170" s="208">
        <v>14725954</v>
      </c>
      <c r="ED170" s="208">
        <v>3313340</v>
      </c>
      <c r="EE170" s="208">
        <v>368149</v>
      </c>
      <c r="EF170" s="208">
        <v>36814886</v>
      </c>
      <c r="EG170" s="208">
        <v>17705658</v>
      </c>
      <c r="EH170" s="208">
        <v>14164526</v>
      </c>
      <c r="EI170" s="208">
        <v>3187018</v>
      </c>
      <c r="EJ170" s="208">
        <v>354113</v>
      </c>
      <c r="EK170" s="208">
        <v>35411315</v>
      </c>
      <c r="EL170" s="208">
        <v>-701785</v>
      </c>
      <c r="EM170" s="208">
        <v>-561428</v>
      </c>
      <c r="EN170" s="208">
        <v>-126322</v>
      </c>
      <c r="EO170" s="208">
        <v>-14036</v>
      </c>
      <c r="EP170" s="208">
        <v>-1403571</v>
      </c>
      <c r="EQ170" s="208">
        <v>-986324</v>
      </c>
      <c r="ER170" s="208">
        <v>-789060</v>
      </c>
      <c r="ES170" s="208">
        <v>-177540</v>
      </c>
      <c r="ET170" s="208">
        <v>-19727</v>
      </c>
      <c r="EU170" s="208">
        <v>-1972651</v>
      </c>
      <c r="EV170" s="666">
        <v>0.5</v>
      </c>
      <c r="EW170" s="666">
        <v>0.4</v>
      </c>
      <c r="EX170" s="666">
        <v>0.09</v>
      </c>
      <c r="EY170" s="666">
        <v>0.01</v>
      </c>
      <c r="EZ170" s="666">
        <v>1</v>
      </c>
      <c r="FA170" s="187" t="s">
        <v>1054</v>
      </c>
      <c r="FC170" s="187">
        <v>0</v>
      </c>
    </row>
    <row r="171" spans="2:159" s="187" customFormat="1" x14ac:dyDescent="0.2">
      <c r="B171" s="429" t="s">
        <v>419</v>
      </c>
      <c r="C171" s="429" t="s">
        <v>418</v>
      </c>
      <c r="D171" s="208">
        <v>0</v>
      </c>
      <c r="E171" s="208">
        <v>53363585</v>
      </c>
      <c r="F171" s="208">
        <v>30017016</v>
      </c>
      <c r="G171" s="208">
        <v>0</v>
      </c>
      <c r="H171" s="208">
        <v>83380601</v>
      </c>
      <c r="I171" s="208">
        <v>0</v>
      </c>
      <c r="J171" s="208">
        <v>0</v>
      </c>
      <c r="K171" s="208">
        <v>0</v>
      </c>
      <c r="L171" s="208">
        <v>265211</v>
      </c>
      <c r="M171" s="208">
        <v>265211</v>
      </c>
      <c r="N171" s="208">
        <v>0</v>
      </c>
      <c r="O171" s="208">
        <v>0</v>
      </c>
      <c r="P171" s="208">
        <v>0</v>
      </c>
      <c r="Q171" s="208">
        <v>0</v>
      </c>
      <c r="R171" s="208">
        <v>0</v>
      </c>
      <c r="S171" s="208">
        <v>0</v>
      </c>
      <c r="T171" s="208">
        <v>0</v>
      </c>
      <c r="U171" s="208">
        <v>0</v>
      </c>
      <c r="V171" s="208">
        <v>0</v>
      </c>
      <c r="W171" s="208">
        <v>0</v>
      </c>
      <c r="X171" s="208">
        <v>0</v>
      </c>
      <c r="Y171" s="208">
        <v>0</v>
      </c>
      <c r="Z171" s="208">
        <v>0</v>
      </c>
      <c r="AA171" s="208">
        <v>0</v>
      </c>
      <c r="AB171" s="208">
        <v>0</v>
      </c>
      <c r="AC171" s="208">
        <v>0</v>
      </c>
      <c r="AD171" s="208">
        <v>0</v>
      </c>
      <c r="AE171" s="208">
        <v>0</v>
      </c>
      <c r="AF171" s="208">
        <v>0</v>
      </c>
      <c r="AG171" s="208">
        <v>3836671</v>
      </c>
      <c r="AH171" s="208">
        <v>2158129</v>
      </c>
      <c r="AI171" s="208">
        <v>0</v>
      </c>
      <c r="AJ171" s="208">
        <v>5994800</v>
      </c>
      <c r="AK171" s="208">
        <v>0</v>
      </c>
      <c r="AL171" s="208">
        <v>1922221</v>
      </c>
      <c r="AM171" s="208">
        <v>1081249</v>
      </c>
      <c r="AN171" s="208">
        <v>0</v>
      </c>
      <c r="AO171" s="208">
        <v>3003470</v>
      </c>
      <c r="AP171" s="208">
        <v>0</v>
      </c>
      <c r="AQ171" s="208">
        <v>-2451996</v>
      </c>
      <c r="AR171" s="208">
        <v>-1379248</v>
      </c>
      <c r="AS171" s="208">
        <v>0</v>
      </c>
      <c r="AT171" s="208">
        <v>-3831244</v>
      </c>
      <c r="AU171" s="208">
        <v>0</v>
      </c>
      <c r="AV171" s="208">
        <v>-2032318</v>
      </c>
      <c r="AW171" s="208">
        <v>-1143179</v>
      </c>
      <c r="AX171" s="208">
        <v>0</v>
      </c>
      <c r="AY171" s="208">
        <v>-3175497</v>
      </c>
      <c r="AZ171" s="208">
        <v>0</v>
      </c>
      <c r="BA171" s="208">
        <v>242287</v>
      </c>
      <c r="BB171" s="208">
        <v>136286</v>
      </c>
      <c r="BC171" s="208">
        <v>0</v>
      </c>
      <c r="BD171" s="208">
        <v>378573</v>
      </c>
      <c r="BE171" s="208">
        <v>0</v>
      </c>
      <c r="BF171" s="208">
        <v>145882</v>
      </c>
      <c r="BG171" s="208">
        <v>82058</v>
      </c>
      <c r="BH171" s="208">
        <v>0</v>
      </c>
      <c r="BI171" s="208">
        <v>227940</v>
      </c>
      <c r="BJ171" s="208">
        <v>0</v>
      </c>
      <c r="BK171" s="208">
        <v>-1644149</v>
      </c>
      <c r="BL171" s="208">
        <v>-924835</v>
      </c>
      <c r="BM171" s="208">
        <v>0</v>
      </c>
      <c r="BN171" s="208">
        <v>-2568984</v>
      </c>
      <c r="BO171" s="208">
        <v>0</v>
      </c>
      <c r="BP171" s="208">
        <v>-3798532</v>
      </c>
      <c r="BQ171" s="208">
        <v>-2136675</v>
      </c>
      <c r="BR171" s="208">
        <v>0</v>
      </c>
      <c r="BS171" s="208">
        <v>-5935207</v>
      </c>
      <c r="BT171" s="208">
        <v>0</v>
      </c>
      <c r="BU171" s="208">
        <v>0</v>
      </c>
      <c r="BV171" s="208">
        <v>0</v>
      </c>
      <c r="BW171" s="208">
        <v>0</v>
      </c>
      <c r="BX171" s="208">
        <v>0</v>
      </c>
      <c r="BY171" s="208">
        <v>0</v>
      </c>
      <c r="BZ171" s="208">
        <v>-3798532</v>
      </c>
      <c r="CA171" s="208">
        <v>-2136675</v>
      </c>
      <c r="CB171" s="208">
        <v>0</v>
      </c>
      <c r="CC171" s="208">
        <v>-5935207</v>
      </c>
      <c r="CD171" s="208">
        <v>0</v>
      </c>
      <c r="CE171" s="208">
        <v>418885</v>
      </c>
      <c r="CF171" s="208">
        <v>235623</v>
      </c>
      <c r="CG171" s="208">
        <v>0</v>
      </c>
      <c r="CH171" s="208">
        <v>654508</v>
      </c>
      <c r="CI171" s="208">
        <v>0</v>
      </c>
      <c r="CJ171" s="208">
        <v>769136</v>
      </c>
      <c r="CK171" s="208">
        <v>432639</v>
      </c>
      <c r="CL171" s="208">
        <v>0</v>
      </c>
      <c r="CM171" s="208">
        <v>1201775</v>
      </c>
      <c r="CN171" s="208">
        <v>0</v>
      </c>
      <c r="CO171" s="208">
        <v>-4692472</v>
      </c>
      <c r="CP171" s="208">
        <v>-2639516</v>
      </c>
      <c r="CQ171" s="208">
        <v>0</v>
      </c>
      <c r="CR171" s="208">
        <v>-7331988</v>
      </c>
      <c r="CS171" s="208">
        <v>0</v>
      </c>
      <c r="CT171" s="208">
        <v>-664759</v>
      </c>
      <c r="CU171" s="208">
        <v>-373927</v>
      </c>
      <c r="CV171" s="208">
        <v>0</v>
      </c>
      <c r="CW171" s="208">
        <v>-1038686</v>
      </c>
      <c r="CX171" s="208">
        <v>0</v>
      </c>
      <c r="CY171" s="208">
        <v>-7967742</v>
      </c>
      <c r="CZ171" s="208">
        <v>-4481856</v>
      </c>
      <c r="DA171" s="208">
        <v>0</v>
      </c>
      <c r="DB171" s="208">
        <v>-12449598</v>
      </c>
      <c r="DC171" s="208">
        <v>0</v>
      </c>
      <c r="DD171" s="208">
        <v>-4273587</v>
      </c>
      <c r="DE171" s="208">
        <v>-2403893</v>
      </c>
      <c r="DF171" s="208">
        <v>0</v>
      </c>
      <c r="DG171" s="208">
        <v>-6677480</v>
      </c>
      <c r="DH171" s="208">
        <v>0</v>
      </c>
      <c r="DI171" s="208">
        <v>-3694155</v>
      </c>
      <c r="DJ171" s="208">
        <v>-2077963</v>
      </c>
      <c r="DK171" s="208">
        <v>0</v>
      </c>
      <c r="DL171" s="208">
        <v>-5772118</v>
      </c>
      <c r="DM171" s="208">
        <v>-1373727</v>
      </c>
      <c r="DN171" s="208">
        <v>-914075</v>
      </c>
      <c r="DO171" s="208">
        <v>-759118</v>
      </c>
      <c r="DP171" s="208">
        <v>0</v>
      </c>
      <c r="DQ171" s="208">
        <v>-3046920</v>
      </c>
      <c r="DR171" s="208">
        <v>-1713805</v>
      </c>
      <c r="DS171" s="208">
        <v>-1223215</v>
      </c>
      <c r="DT171" s="208">
        <v>-1140361</v>
      </c>
      <c r="DU171" s="208">
        <v>0</v>
      </c>
      <c r="DV171" s="208">
        <v>-4077381</v>
      </c>
      <c r="DW171" s="208">
        <v>340078</v>
      </c>
      <c r="DX171" s="208">
        <v>309140</v>
      </c>
      <c r="DY171" s="208">
        <v>381243</v>
      </c>
      <c r="DZ171" s="208">
        <v>0</v>
      </c>
      <c r="EA171" s="208">
        <v>1030461</v>
      </c>
      <c r="EB171" s="208">
        <v>0</v>
      </c>
      <c r="EC171" s="208">
        <v>56307628</v>
      </c>
      <c r="ED171" s="208">
        <v>31673040</v>
      </c>
      <c r="EE171" s="208">
        <v>0</v>
      </c>
      <c r="EF171" s="208">
        <v>87980668</v>
      </c>
      <c r="EG171" s="208">
        <v>0</v>
      </c>
      <c r="EH171" s="208">
        <v>53363585</v>
      </c>
      <c r="EI171" s="208">
        <v>30017016</v>
      </c>
      <c r="EJ171" s="208">
        <v>0</v>
      </c>
      <c r="EK171" s="208">
        <v>83380601</v>
      </c>
      <c r="EL171" s="208">
        <v>0</v>
      </c>
      <c r="EM171" s="208">
        <v>-2944043</v>
      </c>
      <c r="EN171" s="208">
        <v>-1656024</v>
      </c>
      <c r="EO171" s="208">
        <v>0</v>
      </c>
      <c r="EP171" s="208">
        <v>-4600067</v>
      </c>
      <c r="EQ171" s="208">
        <v>340078</v>
      </c>
      <c r="ER171" s="208">
        <v>-2634903</v>
      </c>
      <c r="ES171" s="208">
        <v>-1274781</v>
      </c>
      <c r="ET171" s="208">
        <v>0</v>
      </c>
      <c r="EU171" s="208">
        <v>-3569606</v>
      </c>
      <c r="EV171" s="666">
        <v>0</v>
      </c>
      <c r="EW171" s="666">
        <v>0.64</v>
      </c>
      <c r="EX171" s="666">
        <v>0.36</v>
      </c>
      <c r="EY171" s="666">
        <v>0</v>
      </c>
      <c r="EZ171" s="666">
        <v>1</v>
      </c>
      <c r="FA171" s="187" t="s">
        <v>1055</v>
      </c>
      <c r="FC171" s="187">
        <v>0</v>
      </c>
    </row>
    <row r="172" spans="2:159" s="187" customFormat="1" x14ac:dyDescent="0.2">
      <c r="B172" s="429" t="s">
        <v>421</v>
      </c>
      <c r="C172" s="429" t="s">
        <v>420</v>
      </c>
      <c r="D172" s="208">
        <v>0</v>
      </c>
      <c r="E172" s="208">
        <v>5683858</v>
      </c>
      <c r="F172" s="208">
        <v>8383691</v>
      </c>
      <c r="G172" s="208">
        <v>142096</v>
      </c>
      <c r="H172" s="208">
        <v>14209645</v>
      </c>
      <c r="I172" s="208">
        <v>0</v>
      </c>
      <c r="J172" s="208">
        <v>0</v>
      </c>
      <c r="K172" s="208">
        <v>0</v>
      </c>
      <c r="L172" s="208">
        <v>108153</v>
      </c>
      <c r="M172" s="208">
        <v>108153</v>
      </c>
      <c r="N172" s="208">
        <v>0</v>
      </c>
      <c r="O172" s="208">
        <v>0</v>
      </c>
      <c r="P172" s="208">
        <v>175759</v>
      </c>
      <c r="Q172" s="208">
        <v>0</v>
      </c>
      <c r="R172" s="208">
        <v>175759</v>
      </c>
      <c r="S172" s="208">
        <v>0</v>
      </c>
      <c r="T172" s="208">
        <v>0</v>
      </c>
      <c r="U172" s="208">
        <v>0</v>
      </c>
      <c r="V172" s="208">
        <v>0</v>
      </c>
      <c r="W172" s="208">
        <v>0</v>
      </c>
      <c r="X172" s="208">
        <v>0</v>
      </c>
      <c r="Y172" s="208">
        <v>0</v>
      </c>
      <c r="Z172" s="208">
        <v>0</v>
      </c>
      <c r="AA172" s="208">
        <v>0</v>
      </c>
      <c r="AB172" s="208">
        <v>0</v>
      </c>
      <c r="AC172" s="208">
        <v>0</v>
      </c>
      <c r="AD172" s="208">
        <v>0</v>
      </c>
      <c r="AE172" s="208">
        <v>0</v>
      </c>
      <c r="AF172" s="208">
        <v>0</v>
      </c>
      <c r="AG172" s="208">
        <v>1224771</v>
      </c>
      <c r="AH172" s="208">
        <v>1800595</v>
      </c>
      <c r="AI172" s="208">
        <v>30518</v>
      </c>
      <c r="AJ172" s="208">
        <v>3055884</v>
      </c>
      <c r="AK172" s="208">
        <v>0</v>
      </c>
      <c r="AL172" s="208">
        <v>165685</v>
      </c>
      <c r="AM172" s="208">
        <v>244386</v>
      </c>
      <c r="AN172" s="208">
        <v>4142</v>
      </c>
      <c r="AO172" s="208">
        <v>414213</v>
      </c>
      <c r="AP172" s="208">
        <v>0</v>
      </c>
      <c r="AQ172" s="208">
        <v>-184481</v>
      </c>
      <c r="AR172" s="208">
        <v>-272109</v>
      </c>
      <c r="AS172" s="208">
        <v>-4612</v>
      </c>
      <c r="AT172" s="208">
        <v>-461202</v>
      </c>
      <c r="AU172" s="208">
        <v>0</v>
      </c>
      <c r="AV172" s="208">
        <v>-67873</v>
      </c>
      <c r="AW172" s="208">
        <v>-100113</v>
      </c>
      <c r="AX172" s="208">
        <v>-1697</v>
      </c>
      <c r="AY172" s="208">
        <v>-169683</v>
      </c>
      <c r="AZ172" s="208">
        <v>0</v>
      </c>
      <c r="BA172" s="208">
        <v>27712</v>
      </c>
      <c r="BB172" s="208">
        <v>40875</v>
      </c>
      <c r="BC172" s="208">
        <v>693</v>
      </c>
      <c r="BD172" s="208">
        <v>69280</v>
      </c>
      <c r="BE172" s="208">
        <v>0</v>
      </c>
      <c r="BF172" s="208">
        <v>-37360</v>
      </c>
      <c r="BG172" s="208">
        <v>-55105</v>
      </c>
      <c r="BH172" s="208">
        <v>-934</v>
      </c>
      <c r="BI172" s="208">
        <v>-93399</v>
      </c>
      <c r="BJ172" s="208">
        <v>0</v>
      </c>
      <c r="BK172" s="208">
        <v>-77521</v>
      </c>
      <c r="BL172" s="208">
        <v>-114343</v>
      </c>
      <c r="BM172" s="208">
        <v>-1938</v>
      </c>
      <c r="BN172" s="208">
        <v>-193802</v>
      </c>
      <c r="BO172" s="208">
        <v>0</v>
      </c>
      <c r="BP172" s="208">
        <v>-207200</v>
      </c>
      <c r="BQ172" s="208">
        <v>-305620</v>
      </c>
      <c r="BR172" s="208">
        <v>-5180</v>
      </c>
      <c r="BS172" s="208">
        <v>-518000</v>
      </c>
      <c r="BT172" s="208">
        <v>0</v>
      </c>
      <c r="BU172" s="208">
        <v>0</v>
      </c>
      <c r="BV172" s="208">
        <v>0</v>
      </c>
      <c r="BW172" s="208">
        <v>0</v>
      </c>
      <c r="BX172" s="208">
        <v>0</v>
      </c>
      <c r="BY172" s="208">
        <v>0</v>
      </c>
      <c r="BZ172" s="208">
        <v>-207200</v>
      </c>
      <c r="CA172" s="208">
        <v>-305620</v>
      </c>
      <c r="CB172" s="208">
        <v>-5180</v>
      </c>
      <c r="CC172" s="208">
        <v>-518000</v>
      </c>
      <c r="CD172" s="208">
        <v>0</v>
      </c>
      <c r="CE172" s="208">
        <v>4768</v>
      </c>
      <c r="CF172" s="208">
        <v>7033</v>
      </c>
      <c r="CG172" s="208">
        <v>119</v>
      </c>
      <c r="CH172" s="208">
        <v>11920</v>
      </c>
      <c r="CI172" s="208">
        <v>0</v>
      </c>
      <c r="CJ172" s="208">
        <v>4800</v>
      </c>
      <c r="CK172" s="208">
        <v>7080</v>
      </c>
      <c r="CL172" s="208">
        <v>120</v>
      </c>
      <c r="CM172" s="208">
        <v>12000</v>
      </c>
      <c r="CN172" s="208">
        <v>0</v>
      </c>
      <c r="CO172" s="208">
        <v>-380153</v>
      </c>
      <c r="CP172" s="208">
        <v>-560726</v>
      </c>
      <c r="CQ172" s="208">
        <v>-9504</v>
      </c>
      <c r="CR172" s="208">
        <v>-950383</v>
      </c>
      <c r="CS172" s="208">
        <v>-1</v>
      </c>
      <c r="CT172" s="208">
        <v>23262</v>
      </c>
      <c r="CU172" s="208">
        <v>34311</v>
      </c>
      <c r="CV172" s="208">
        <v>582</v>
      </c>
      <c r="CW172" s="208">
        <v>58154</v>
      </c>
      <c r="CX172" s="208">
        <v>-1</v>
      </c>
      <c r="CY172" s="208">
        <v>-554523</v>
      </c>
      <c r="CZ172" s="208">
        <v>-817922</v>
      </c>
      <c r="DA172" s="208">
        <v>-13863</v>
      </c>
      <c r="DB172" s="208">
        <v>-1386309</v>
      </c>
      <c r="DC172" s="208">
        <v>0</v>
      </c>
      <c r="DD172" s="208">
        <v>-375385</v>
      </c>
      <c r="DE172" s="208">
        <v>-553693</v>
      </c>
      <c r="DF172" s="208">
        <v>-9385</v>
      </c>
      <c r="DG172" s="208">
        <v>-938463</v>
      </c>
      <c r="DH172" s="208">
        <v>-1</v>
      </c>
      <c r="DI172" s="208">
        <v>-179138</v>
      </c>
      <c r="DJ172" s="208">
        <v>-264229</v>
      </c>
      <c r="DK172" s="208">
        <v>-4478</v>
      </c>
      <c r="DL172" s="208">
        <v>-447846</v>
      </c>
      <c r="DM172" s="208">
        <v>-385946</v>
      </c>
      <c r="DN172" s="208">
        <v>-308756</v>
      </c>
      <c r="DO172" s="208">
        <v>-69471</v>
      </c>
      <c r="DP172" s="208">
        <v>-7719</v>
      </c>
      <c r="DQ172" s="208">
        <v>-771892</v>
      </c>
      <c r="DR172" s="208">
        <v>-31579</v>
      </c>
      <c r="DS172" s="208">
        <v>-25264</v>
      </c>
      <c r="DT172" s="208">
        <v>-5684</v>
      </c>
      <c r="DU172" s="208">
        <v>-632</v>
      </c>
      <c r="DV172" s="208">
        <v>-63159</v>
      </c>
      <c r="DW172" s="208">
        <v>-354367</v>
      </c>
      <c r="DX172" s="208">
        <v>-283492</v>
      </c>
      <c r="DY172" s="208">
        <v>-63787</v>
      </c>
      <c r="DZ172" s="208">
        <v>-7087</v>
      </c>
      <c r="EA172" s="208">
        <v>-708733</v>
      </c>
      <c r="EB172" s="208">
        <v>0</v>
      </c>
      <c r="EC172" s="208">
        <v>6108055</v>
      </c>
      <c r="ED172" s="208">
        <v>9009380</v>
      </c>
      <c r="EE172" s="208">
        <v>152701</v>
      </c>
      <c r="EF172" s="208">
        <v>15270136</v>
      </c>
      <c r="EG172" s="208">
        <v>0</v>
      </c>
      <c r="EH172" s="208">
        <v>5683858</v>
      </c>
      <c r="EI172" s="208">
        <v>8383691</v>
      </c>
      <c r="EJ172" s="208">
        <v>142096</v>
      </c>
      <c r="EK172" s="208">
        <v>14209645</v>
      </c>
      <c r="EL172" s="208">
        <v>0</v>
      </c>
      <c r="EM172" s="208">
        <v>-424197</v>
      </c>
      <c r="EN172" s="208">
        <v>-625689</v>
      </c>
      <c r="EO172" s="208">
        <v>-10605</v>
      </c>
      <c r="EP172" s="208">
        <v>-1060491</v>
      </c>
      <c r="EQ172" s="208">
        <v>-354367</v>
      </c>
      <c r="ER172" s="208">
        <v>-707689</v>
      </c>
      <c r="ES172" s="208">
        <v>-689476</v>
      </c>
      <c r="ET172" s="208">
        <v>-17692</v>
      </c>
      <c r="EU172" s="208">
        <v>-1769224</v>
      </c>
      <c r="EV172" s="666">
        <v>0</v>
      </c>
      <c r="EW172" s="666">
        <v>0.4</v>
      </c>
      <c r="EX172" s="666">
        <v>0.59</v>
      </c>
      <c r="EY172" s="666">
        <v>0.01</v>
      </c>
      <c r="EZ172" s="666">
        <v>1</v>
      </c>
      <c r="FA172" s="187" t="s">
        <v>1054</v>
      </c>
      <c r="FC172" s="187">
        <v>0</v>
      </c>
    </row>
    <row r="173" spans="2:159" s="187" customFormat="1" x14ac:dyDescent="0.2">
      <c r="B173" s="429" t="s">
        <v>423</v>
      </c>
      <c r="C173" s="429" t="s">
        <v>422</v>
      </c>
      <c r="D173" s="208">
        <v>0</v>
      </c>
      <c r="E173" s="208">
        <v>17359418</v>
      </c>
      <c r="F173" s="208">
        <v>4339855</v>
      </c>
      <c r="G173" s="208">
        <v>0</v>
      </c>
      <c r="H173" s="208">
        <v>21699273</v>
      </c>
      <c r="I173" s="208">
        <v>0</v>
      </c>
      <c r="J173" s="208">
        <v>0</v>
      </c>
      <c r="K173" s="208">
        <v>0</v>
      </c>
      <c r="L173" s="208">
        <v>127133</v>
      </c>
      <c r="M173" s="208">
        <v>127133</v>
      </c>
      <c r="N173" s="208">
        <v>0</v>
      </c>
      <c r="O173" s="208">
        <v>0</v>
      </c>
      <c r="P173" s="208">
        <v>145050</v>
      </c>
      <c r="Q173" s="208">
        <v>182854</v>
      </c>
      <c r="R173" s="208">
        <v>327904</v>
      </c>
      <c r="S173" s="208">
        <v>0</v>
      </c>
      <c r="T173" s="208">
        <v>0</v>
      </c>
      <c r="U173" s="208">
        <v>0</v>
      </c>
      <c r="V173" s="208">
        <v>0</v>
      </c>
      <c r="W173" s="208">
        <v>0</v>
      </c>
      <c r="X173" s="208">
        <v>0</v>
      </c>
      <c r="Y173" s="208">
        <v>0</v>
      </c>
      <c r="Z173" s="208">
        <v>0</v>
      </c>
      <c r="AA173" s="208">
        <v>0</v>
      </c>
      <c r="AB173" s="208">
        <v>0</v>
      </c>
      <c r="AC173" s="208">
        <v>0</v>
      </c>
      <c r="AD173" s="208">
        <v>0</v>
      </c>
      <c r="AE173" s="208">
        <v>0</v>
      </c>
      <c r="AF173" s="208">
        <v>0</v>
      </c>
      <c r="AG173" s="208">
        <v>2593874</v>
      </c>
      <c r="AH173" s="208">
        <v>651828</v>
      </c>
      <c r="AI173" s="208">
        <v>0</v>
      </c>
      <c r="AJ173" s="208">
        <v>3245702</v>
      </c>
      <c r="AK173" s="208">
        <v>0</v>
      </c>
      <c r="AL173" s="208">
        <v>288921</v>
      </c>
      <c r="AM173" s="208">
        <v>72230</v>
      </c>
      <c r="AN173" s="208">
        <v>0</v>
      </c>
      <c r="AO173" s="208">
        <v>361151</v>
      </c>
      <c r="AP173" s="208">
        <v>0</v>
      </c>
      <c r="AQ173" s="208">
        <v>-178280</v>
      </c>
      <c r="AR173" s="208">
        <v>-44570</v>
      </c>
      <c r="AS173" s="208">
        <v>0</v>
      </c>
      <c r="AT173" s="208">
        <v>-222850</v>
      </c>
      <c r="AU173" s="208">
        <v>0</v>
      </c>
      <c r="AV173" s="208">
        <v>-47032</v>
      </c>
      <c r="AW173" s="208">
        <v>-11758</v>
      </c>
      <c r="AX173" s="208">
        <v>0</v>
      </c>
      <c r="AY173" s="208">
        <v>-58790</v>
      </c>
      <c r="AZ173" s="208">
        <v>0</v>
      </c>
      <c r="BA173" s="208">
        <v>47032</v>
      </c>
      <c r="BB173" s="208">
        <v>11758</v>
      </c>
      <c r="BC173" s="208">
        <v>0</v>
      </c>
      <c r="BD173" s="208">
        <v>58790</v>
      </c>
      <c r="BE173" s="208">
        <v>0</v>
      </c>
      <c r="BF173" s="208">
        <v>-54806</v>
      </c>
      <c r="BG173" s="208">
        <v>-13702</v>
      </c>
      <c r="BH173" s="208">
        <v>0</v>
      </c>
      <c r="BI173" s="208">
        <v>-68508</v>
      </c>
      <c r="BJ173" s="208">
        <v>0</v>
      </c>
      <c r="BK173" s="208">
        <v>-54806</v>
      </c>
      <c r="BL173" s="208">
        <v>-13702</v>
      </c>
      <c r="BM173" s="208">
        <v>0</v>
      </c>
      <c r="BN173" s="208">
        <v>-68508</v>
      </c>
      <c r="BO173" s="208">
        <v>0</v>
      </c>
      <c r="BP173" s="208">
        <v>-1158525</v>
      </c>
      <c r="BQ173" s="208">
        <v>-289631</v>
      </c>
      <c r="BR173" s="208">
        <v>0</v>
      </c>
      <c r="BS173" s="208">
        <v>-1448156</v>
      </c>
      <c r="BT173" s="208">
        <v>0</v>
      </c>
      <c r="BU173" s="208">
        <v>-589090</v>
      </c>
      <c r="BV173" s="208">
        <v>-147272</v>
      </c>
      <c r="BW173" s="208">
        <v>0</v>
      </c>
      <c r="BX173" s="208">
        <v>-736362</v>
      </c>
      <c r="BY173" s="208">
        <v>0</v>
      </c>
      <c r="BZ173" s="208">
        <v>-569435</v>
      </c>
      <c r="CA173" s="208">
        <v>-142359</v>
      </c>
      <c r="CB173" s="208">
        <v>0</v>
      </c>
      <c r="CC173" s="208">
        <v>-711794</v>
      </c>
      <c r="CD173" s="208">
        <v>0</v>
      </c>
      <c r="CE173" s="208">
        <v>544458</v>
      </c>
      <c r="CF173" s="208">
        <v>136115</v>
      </c>
      <c r="CG173" s="208">
        <v>0</v>
      </c>
      <c r="CH173" s="208">
        <v>680573</v>
      </c>
      <c r="CI173" s="208">
        <v>0</v>
      </c>
      <c r="CJ173" s="208">
        <v>0</v>
      </c>
      <c r="CK173" s="208">
        <v>0</v>
      </c>
      <c r="CL173" s="208">
        <v>0</v>
      </c>
      <c r="CM173" s="208">
        <v>0</v>
      </c>
      <c r="CN173" s="208">
        <v>0</v>
      </c>
      <c r="CO173" s="208">
        <v>-348327</v>
      </c>
      <c r="CP173" s="208">
        <v>-87082</v>
      </c>
      <c r="CQ173" s="208">
        <v>0</v>
      </c>
      <c r="CR173" s="208">
        <v>-435409</v>
      </c>
      <c r="CS173" s="208">
        <v>0</v>
      </c>
      <c r="CT173" s="208">
        <v>-682111</v>
      </c>
      <c r="CU173" s="208">
        <v>-170528</v>
      </c>
      <c r="CV173" s="208">
        <v>0</v>
      </c>
      <c r="CW173" s="208">
        <v>-852639</v>
      </c>
      <c r="CX173" s="208">
        <v>0</v>
      </c>
      <c r="CY173" s="208">
        <v>-1644505</v>
      </c>
      <c r="CZ173" s="208">
        <v>-411126</v>
      </c>
      <c r="DA173" s="208">
        <v>0</v>
      </c>
      <c r="DB173" s="208">
        <v>-2055631</v>
      </c>
      <c r="DC173" s="208">
        <v>0</v>
      </c>
      <c r="DD173" s="208">
        <v>-392959</v>
      </c>
      <c r="DE173" s="208">
        <v>-98239</v>
      </c>
      <c r="DF173" s="208">
        <v>0</v>
      </c>
      <c r="DG173" s="208">
        <v>-491198</v>
      </c>
      <c r="DH173" s="208">
        <v>0</v>
      </c>
      <c r="DI173" s="208">
        <v>-1251546</v>
      </c>
      <c r="DJ173" s="208">
        <v>-312887</v>
      </c>
      <c r="DK173" s="208">
        <v>0</v>
      </c>
      <c r="DL173" s="208">
        <v>-1564433</v>
      </c>
      <c r="DM173" s="208">
        <v>-1390035</v>
      </c>
      <c r="DN173" s="208">
        <v>-1112027</v>
      </c>
      <c r="DO173" s="208">
        <v>-278006</v>
      </c>
      <c r="DP173" s="208">
        <v>0</v>
      </c>
      <c r="DQ173" s="208">
        <v>-2780068</v>
      </c>
      <c r="DR173" s="208">
        <v>-1196172</v>
      </c>
      <c r="DS173" s="208">
        <v>-956938</v>
      </c>
      <c r="DT173" s="208">
        <v>-239235</v>
      </c>
      <c r="DU173" s="208">
        <v>0</v>
      </c>
      <c r="DV173" s="208">
        <v>-2392345</v>
      </c>
      <c r="DW173" s="208">
        <v>-193863</v>
      </c>
      <c r="DX173" s="208">
        <v>-155089</v>
      </c>
      <c r="DY173" s="208">
        <v>-38771</v>
      </c>
      <c r="DZ173" s="208">
        <v>0</v>
      </c>
      <c r="EA173" s="208">
        <v>-387723</v>
      </c>
      <c r="EB173" s="208">
        <v>0</v>
      </c>
      <c r="EC173" s="208">
        <v>17998160</v>
      </c>
      <c r="ED173" s="208">
        <v>4499540</v>
      </c>
      <c r="EE173" s="208">
        <v>0</v>
      </c>
      <c r="EF173" s="208">
        <v>22497700</v>
      </c>
      <c r="EG173" s="208">
        <v>0</v>
      </c>
      <c r="EH173" s="208">
        <v>17359418</v>
      </c>
      <c r="EI173" s="208">
        <v>4339855</v>
      </c>
      <c r="EJ173" s="208">
        <v>0</v>
      </c>
      <c r="EK173" s="208">
        <v>21699273</v>
      </c>
      <c r="EL173" s="208">
        <v>0</v>
      </c>
      <c r="EM173" s="208">
        <v>-638742</v>
      </c>
      <c r="EN173" s="208">
        <v>-159685</v>
      </c>
      <c r="EO173" s="208">
        <v>0</v>
      </c>
      <c r="EP173" s="208">
        <v>-798427</v>
      </c>
      <c r="EQ173" s="208">
        <v>-193863</v>
      </c>
      <c r="ER173" s="208">
        <v>-793831</v>
      </c>
      <c r="ES173" s="208">
        <v>-198456</v>
      </c>
      <c r="ET173" s="208">
        <v>0</v>
      </c>
      <c r="EU173" s="208">
        <v>-1186150</v>
      </c>
      <c r="EV173" s="666">
        <v>0</v>
      </c>
      <c r="EW173" s="666">
        <v>0.8</v>
      </c>
      <c r="EX173" s="666">
        <v>0.2</v>
      </c>
      <c r="EY173" s="666">
        <v>0</v>
      </c>
      <c r="EZ173" s="666">
        <v>1</v>
      </c>
      <c r="FA173" s="187" t="s">
        <v>1054</v>
      </c>
      <c r="FC173" s="187">
        <v>0</v>
      </c>
    </row>
    <row r="174" spans="2:159" s="187" customFormat="1" x14ac:dyDescent="0.2">
      <c r="B174" s="429" t="s">
        <v>425</v>
      </c>
      <c r="C174" s="429" t="s">
        <v>424</v>
      </c>
      <c r="D174" s="208">
        <v>22323821</v>
      </c>
      <c r="E174" s="208">
        <v>17859056</v>
      </c>
      <c r="F174" s="208">
        <v>4464764</v>
      </c>
      <c r="G174" s="208">
        <v>0</v>
      </c>
      <c r="H174" s="208">
        <v>44647641</v>
      </c>
      <c r="I174" s="208">
        <v>0</v>
      </c>
      <c r="J174" s="208">
        <v>0</v>
      </c>
      <c r="K174" s="208">
        <v>22323821</v>
      </c>
      <c r="L174" s="208">
        <v>172762</v>
      </c>
      <c r="M174" s="208">
        <v>172762</v>
      </c>
      <c r="N174" s="208">
        <v>0</v>
      </c>
      <c r="O174" s="208">
        <v>0</v>
      </c>
      <c r="P174" s="208">
        <v>0</v>
      </c>
      <c r="Q174" s="208">
        <v>0</v>
      </c>
      <c r="R174" s="208">
        <v>0</v>
      </c>
      <c r="S174" s="208">
        <v>0</v>
      </c>
      <c r="T174" s="208">
        <v>0</v>
      </c>
      <c r="U174" s="208">
        <v>0</v>
      </c>
      <c r="V174" s="208">
        <v>0</v>
      </c>
      <c r="W174" s="208">
        <v>0</v>
      </c>
      <c r="X174" s="208">
        <v>0</v>
      </c>
      <c r="Y174" s="208">
        <v>0</v>
      </c>
      <c r="Z174" s="208">
        <v>0</v>
      </c>
      <c r="AA174" s="208">
        <v>0</v>
      </c>
      <c r="AB174" s="208">
        <v>0</v>
      </c>
      <c r="AC174" s="208">
        <v>0</v>
      </c>
      <c r="AD174" s="208">
        <v>0</v>
      </c>
      <c r="AE174" s="208">
        <v>0</v>
      </c>
      <c r="AF174" s="208">
        <v>0</v>
      </c>
      <c r="AG174" s="208">
        <v>1996143</v>
      </c>
      <c r="AH174" s="208">
        <v>499036</v>
      </c>
      <c r="AI174" s="208">
        <v>0</v>
      </c>
      <c r="AJ174" s="208">
        <v>2495179</v>
      </c>
      <c r="AK174" s="208">
        <v>1039328</v>
      </c>
      <c r="AL174" s="208">
        <v>831462</v>
      </c>
      <c r="AM174" s="208">
        <v>207866</v>
      </c>
      <c r="AN174" s="208">
        <v>0</v>
      </c>
      <c r="AO174" s="208">
        <v>2078656</v>
      </c>
      <c r="AP174" s="208">
        <v>-714819</v>
      </c>
      <c r="AQ174" s="208">
        <v>-571855</v>
      </c>
      <c r="AR174" s="208">
        <v>-142964</v>
      </c>
      <c r="AS174" s="208">
        <v>0</v>
      </c>
      <c r="AT174" s="208">
        <v>-1429638</v>
      </c>
      <c r="AU174" s="208">
        <v>-604860</v>
      </c>
      <c r="AV174" s="208">
        <v>-483888</v>
      </c>
      <c r="AW174" s="208">
        <v>-120972</v>
      </c>
      <c r="AX174" s="208">
        <v>0</v>
      </c>
      <c r="AY174" s="208">
        <v>-1209720</v>
      </c>
      <c r="AZ174" s="208">
        <v>27829</v>
      </c>
      <c r="BA174" s="208">
        <v>22264</v>
      </c>
      <c r="BB174" s="208">
        <v>5566</v>
      </c>
      <c r="BC174" s="208">
        <v>0</v>
      </c>
      <c r="BD174" s="208">
        <v>55659</v>
      </c>
      <c r="BE174" s="208">
        <v>-152873</v>
      </c>
      <c r="BF174" s="208">
        <v>-122298</v>
      </c>
      <c r="BG174" s="208">
        <v>-30575</v>
      </c>
      <c r="BH174" s="208">
        <v>0</v>
      </c>
      <c r="BI174" s="208">
        <v>-305746</v>
      </c>
      <c r="BJ174" s="208">
        <v>-729904</v>
      </c>
      <c r="BK174" s="208">
        <v>-583922</v>
      </c>
      <c r="BL174" s="208">
        <v>-145981</v>
      </c>
      <c r="BM174" s="208">
        <v>0</v>
      </c>
      <c r="BN174" s="208">
        <v>-1459807</v>
      </c>
      <c r="BO174" s="208">
        <v>-1881377</v>
      </c>
      <c r="BP174" s="208">
        <v>-1505101</v>
      </c>
      <c r="BQ174" s="208">
        <v>-376275</v>
      </c>
      <c r="BR174" s="208">
        <v>0</v>
      </c>
      <c r="BS174" s="208">
        <v>-3762753</v>
      </c>
      <c r="BT174" s="208">
        <v>-880142</v>
      </c>
      <c r="BU174" s="208">
        <v>-704114</v>
      </c>
      <c r="BV174" s="208">
        <v>-176029</v>
      </c>
      <c r="BW174" s="208">
        <v>0</v>
      </c>
      <c r="BX174" s="208">
        <v>-1760285</v>
      </c>
      <c r="BY174" s="208">
        <v>-1001234</v>
      </c>
      <c r="BZ174" s="208">
        <v>-800987</v>
      </c>
      <c r="CA174" s="208">
        <v>-200247</v>
      </c>
      <c r="CB174" s="208">
        <v>0</v>
      </c>
      <c r="CC174" s="208">
        <v>-2002468</v>
      </c>
      <c r="CD174" s="208">
        <v>69519</v>
      </c>
      <c r="CE174" s="208">
        <v>55616</v>
      </c>
      <c r="CF174" s="208">
        <v>13904</v>
      </c>
      <c r="CG174" s="208">
        <v>0</v>
      </c>
      <c r="CH174" s="208">
        <v>139039</v>
      </c>
      <c r="CI174" s="208">
        <v>155302</v>
      </c>
      <c r="CJ174" s="208">
        <v>124242</v>
      </c>
      <c r="CK174" s="208">
        <v>31060</v>
      </c>
      <c r="CL174" s="208">
        <v>0</v>
      </c>
      <c r="CM174" s="208">
        <v>310604</v>
      </c>
      <c r="CN174" s="208">
        <v>-40787</v>
      </c>
      <c r="CO174" s="208">
        <v>-32630</v>
      </c>
      <c r="CP174" s="208">
        <v>-8157</v>
      </c>
      <c r="CQ174" s="208">
        <v>0</v>
      </c>
      <c r="CR174" s="208">
        <v>-81574</v>
      </c>
      <c r="CS174" s="208">
        <v>-1073161</v>
      </c>
      <c r="CT174" s="208">
        <v>-858528</v>
      </c>
      <c r="CU174" s="208">
        <v>-214632</v>
      </c>
      <c r="CV174" s="208">
        <v>0</v>
      </c>
      <c r="CW174" s="208">
        <v>-2146321</v>
      </c>
      <c r="CX174" s="208">
        <v>-2770504</v>
      </c>
      <c r="CY174" s="208">
        <v>-2216401</v>
      </c>
      <c r="CZ174" s="208">
        <v>-554100</v>
      </c>
      <c r="DA174" s="208">
        <v>0</v>
      </c>
      <c r="DB174" s="208">
        <v>-5541005</v>
      </c>
      <c r="DC174" s="208">
        <v>-851410</v>
      </c>
      <c r="DD174" s="208">
        <v>-681128</v>
      </c>
      <c r="DE174" s="208">
        <v>-170282</v>
      </c>
      <c r="DF174" s="208">
        <v>0</v>
      </c>
      <c r="DG174" s="208">
        <v>-1702820</v>
      </c>
      <c r="DH174" s="208">
        <v>-1919093</v>
      </c>
      <c r="DI174" s="208">
        <v>-1535273</v>
      </c>
      <c r="DJ174" s="208">
        <v>-383819</v>
      </c>
      <c r="DK174" s="208">
        <v>0</v>
      </c>
      <c r="DL174" s="208">
        <v>-3838185</v>
      </c>
      <c r="DM174" s="208">
        <v>664562</v>
      </c>
      <c r="DN174" s="208">
        <v>531648</v>
      </c>
      <c r="DO174" s="208">
        <v>132913</v>
      </c>
      <c r="DP174" s="208">
        <v>0</v>
      </c>
      <c r="DQ174" s="208">
        <v>1329123</v>
      </c>
      <c r="DR174" s="208">
        <v>868547</v>
      </c>
      <c r="DS174" s="208">
        <v>694838</v>
      </c>
      <c r="DT174" s="208">
        <v>173710</v>
      </c>
      <c r="DU174" s="208">
        <v>0</v>
      </c>
      <c r="DV174" s="208">
        <v>1737095</v>
      </c>
      <c r="DW174" s="208">
        <v>-203985</v>
      </c>
      <c r="DX174" s="208">
        <v>-163190</v>
      </c>
      <c r="DY174" s="208">
        <v>-40797</v>
      </c>
      <c r="DZ174" s="208">
        <v>0</v>
      </c>
      <c r="EA174" s="208">
        <v>-407972</v>
      </c>
      <c r="EB174" s="208">
        <v>22656317</v>
      </c>
      <c r="EC174" s="208">
        <v>18125054</v>
      </c>
      <c r="ED174" s="208">
        <v>4531263</v>
      </c>
      <c r="EE174" s="208">
        <v>0</v>
      </c>
      <c r="EF174" s="208">
        <v>45312634</v>
      </c>
      <c r="EG174" s="208">
        <v>22323821</v>
      </c>
      <c r="EH174" s="208">
        <v>17859056</v>
      </c>
      <c r="EI174" s="208">
        <v>4464764</v>
      </c>
      <c r="EJ174" s="208">
        <v>0</v>
      </c>
      <c r="EK174" s="208">
        <v>44647641</v>
      </c>
      <c r="EL174" s="208">
        <v>-332496</v>
      </c>
      <c r="EM174" s="208">
        <v>-265998</v>
      </c>
      <c r="EN174" s="208">
        <v>-66499</v>
      </c>
      <c r="EO174" s="208">
        <v>0</v>
      </c>
      <c r="EP174" s="208">
        <v>-664993</v>
      </c>
      <c r="EQ174" s="208">
        <v>-536481</v>
      </c>
      <c r="ER174" s="208">
        <v>-429188</v>
      </c>
      <c r="ES174" s="208">
        <v>-107296</v>
      </c>
      <c r="ET174" s="208">
        <v>0</v>
      </c>
      <c r="EU174" s="208">
        <v>-1072965</v>
      </c>
      <c r="EV174" s="666">
        <v>0.5</v>
      </c>
      <c r="EW174" s="666">
        <v>0.4</v>
      </c>
      <c r="EX174" s="666">
        <v>0.1</v>
      </c>
      <c r="EY174" s="666">
        <v>0</v>
      </c>
      <c r="EZ174" s="666">
        <v>1</v>
      </c>
      <c r="FA174" s="187" t="s">
        <v>1054</v>
      </c>
      <c r="FC174" s="187">
        <v>0</v>
      </c>
    </row>
    <row r="175" spans="2:159" s="187" customFormat="1" x14ac:dyDescent="0.2">
      <c r="B175" s="429" t="s">
        <v>427</v>
      </c>
      <c r="C175" s="429" t="s">
        <v>426</v>
      </c>
      <c r="D175" s="208">
        <v>18038730</v>
      </c>
      <c r="E175" s="208">
        <v>17677955</v>
      </c>
      <c r="F175" s="208">
        <v>0</v>
      </c>
      <c r="G175" s="208">
        <v>360775</v>
      </c>
      <c r="H175" s="208">
        <v>36077460</v>
      </c>
      <c r="I175" s="208">
        <v>126822</v>
      </c>
      <c r="J175" s="208">
        <v>126822</v>
      </c>
      <c r="K175" s="208">
        <v>17911908</v>
      </c>
      <c r="L175" s="208">
        <v>172723</v>
      </c>
      <c r="M175" s="208">
        <v>172723</v>
      </c>
      <c r="N175" s="208">
        <v>12541</v>
      </c>
      <c r="O175" s="208">
        <v>12541</v>
      </c>
      <c r="P175" s="208">
        <v>0</v>
      </c>
      <c r="Q175" s="208">
        <v>0</v>
      </c>
      <c r="R175" s="208">
        <v>0</v>
      </c>
      <c r="S175" s="208">
        <v>0</v>
      </c>
      <c r="T175" s="208">
        <v>0</v>
      </c>
      <c r="U175" s="208">
        <v>0</v>
      </c>
      <c r="V175" s="208">
        <v>0</v>
      </c>
      <c r="W175" s="208">
        <v>126822.23125</v>
      </c>
      <c r="X175" s="208">
        <v>0</v>
      </c>
      <c r="Y175" s="208">
        <v>0</v>
      </c>
      <c r="Z175" s="208">
        <v>126822.23125</v>
      </c>
      <c r="AA175" s="208">
        <v>0</v>
      </c>
      <c r="AB175" s="208">
        <v>0</v>
      </c>
      <c r="AC175" s="208">
        <v>0</v>
      </c>
      <c r="AD175" s="208">
        <v>0</v>
      </c>
      <c r="AE175" s="208">
        <v>0</v>
      </c>
      <c r="AF175" s="208">
        <v>0</v>
      </c>
      <c r="AG175" s="208">
        <v>1990736</v>
      </c>
      <c r="AH175" s="208">
        <v>0</v>
      </c>
      <c r="AI175" s="208">
        <v>36381</v>
      </c>
      <c r="AJ175" s="208">
        <v>2027117</v>
      </c>
      <c r="AK175" s="208">
        <v>4840488</v>
      </c>
      <c r="AL175" s="208">
        <v>4743679</v>
      </c>
      <c r="AM175" s="208">
        <v>0</v>
      </c>
      <c r="AN175" s="208">
        <v>96810</v>
      </c>
      <c r="AO175" s="208">
        <v>9680977</v>
      </c>
      <c r="AP175" s="208">
        <v>-1133519</v>
      </c>
      <c r="AQ175" s="208">
        <v>-1110849</v>
      </c>
      <c r="AR175" s="208">
        <v>0</v>
      </c>
      <c r="AS175" s="208">
        <v>-22670</v>
      </c>
      <c r="AT175" s="208">
        <v>-2267038</v>
      </c>
      <c r="AU175" s="208">
        <v>-2697699</v>
      </c>
      <c r="AV175" s="208">
        <v>-2643745</v>
      </c>
      <c r="AW175" s="208">
        <v>0</v>
      </c>
      <c r="AX175" s="208">
        <v>-53954</v>
      </c>
      <c r="AY175" s="208">
        <v>-5395398</v>
      </c>
      <c r="AZ175" s="208">
        <v>8310</v>
      </c>
      <c r="BA175" s="208">
        <v>8144</v>
      </c>
      <c r="BB175" s="208">
        <v>0</v>
      </c>
      <c r="BC175" s="208">
        <v>166</v>
      </c>
      <c r="BD175" s="208">
        <v>16620</v>
      </c>
      <c r="BE175" s="208">
        <v>-187463</v>
      </c>
      <c r="BF175" s="208">
        <v>-183714</v>
      </c>
      <c r="BG175" s="208">
        <v>0</v>
      </c>
      <c r="BH175" s="208">
        <v>-3749</v>
      </c>
      <c r="BI175" s="208">
        <v>-374926</v>
      </c>
      <c r="BJ175" s="208">
        <v>-2876852</v>
      </c>
      <c r="BK175" s="208">
        <v>-2819315</v>
      </c>
      <c r="BL175" s="208">
        <v>0</v>
      </c>
      <c r="BM175" s="208">
        <v>-57537</v>
      </c>
      <c r="BN175" s="208">
        <v>-5753704</v>
      </c>
      <c r="BO175" s="208">
        <v>-2081927</v>
      </c>
      <c r="BP175" s="208">
        <v>-2040289</v>
      </c>
      <c r="BQ175" s="208">
        <v>0</v>
      </c>
      <c r="BR175" s="208">
        <v>-41639</v>
      </c>
      <c r="BS175" s="208">
        <v>-4163855</v>
      </c>
      <c r="BT175" s="208">
        <v>-1697344</v>
      </c>
      <c r="BU175" s="208">
        <v>-1663398</v>
      </c>
      <c r="BV175" s="208">
        <v>0</v>
      </c>
      <c r="BW175" s="208">
        <v>-33947</v>
      </c>
      <c r="BX175" s="208">
        <v>-3394689</v>
      </c>
      <c r="BY175" s="208">
        <v>-384583</v>
      </c>
      <c r="BZ175" s="208">
        <v>-376891</v>
      </c>
      <c r="CA175" s="208">
        <v>0</v>
      </c>
      <c r="CB175" s="208">
        <v>-7692</v>
      </c>
      <c r="CC175" s="208">
        <v>-769166</v>
      </c>
      <c r="CD175" s="208">
        <v>151250</v>
      </c>
      <c r="CE175" s="208">
        <v>148225</v>
      </c>
      <c r="CF175" s="208">
        <v>0</v>
      </c>
      <c r="CG175" s="208">
        <v>3025</v>
      </c>
      <c r="CH175" s="208">
        <v>302500</v>
      </c>
      <c r="CI175" s="208">
        <v>179100</v>
      </c>
      <c r="CJ175" s="208">
        <v>175518</v>
      </c>
      <c r="CK175" s="208">
        <v>0</v>
      </c>
      <c r="CL175" s="208">
        <v>3582</v>
      </c>
      <c r="CM175" s="208">
        <v>358200</v>
      </c>
      <c r="CN175" s="208">
        <v>-112581</v>
      </c>
      <c r="CO175" s="208">
        <v>-110330</v>
      </c>
      <c r="CP175" s="208">
        <v>0</v>
      </c>
      <c r="CQ175" s="208">
        <v>-2252</v>
      </c>
      <c r="CR175" s="208">
        <v>-225163</v>
      </c>
      <c r="CS175" s="208">
        <v>-776117</v>
      </c>
      <c r="CT175" s="208">
        <v>-760595</v>
      </c>
      <c r="CU175" s="208">
        <v>0</v>
      </c>
      <c r="CV175" s="208">
        <v>-15522</v>
      </c>
      <c r="CW175" s="208">
        <v>-1552234</v>
      </c>
      <c r="CX175" s="208">
        <v>-2640275</v>
      </c>
      <c r="CY175" s="208">
        <v>-2587471</v>
      </c>
      <c r="CZ175" s="208">
        <v>0</v>
      </c>
      <c r="DA175" s="208">
        <v>-52806</v>
      </c>
      <c r="DB175" s="208">
        <v>-5280552</v>
      </c>
      <c r="DC175" s="208">
        <v>-1658675</v>
      </c>
      <c r="DD175" s="208">
        <v>-1625503</v>
      </c>
      <c r="DE175" s="208">
        <v>0</v>
      </c>
      <c r="DF175" s="208">
        <v>-33174</v>
      </c>
      <c r="DG175" s="208">
        <v>-3317352</v>
      </c>
      <c r="DH175" s="208">
        <v>-981600</v>
      </c>
      <c r="DI175" s="208">
        <v>-961968</v>
      </c>
      <c r="DJ175" s="208">
        <v>0</v>
      </c>
      <c r="DK175" s="208">
        <v>-19632</v>
      </c>
      <c r="DL175" s="208">
        <v>-1963200</v>
      </c>
      <c r="DM175" s="208">
        <v>-1467254</v>
      </c>
      <c r="DN175" s="208">
        <v>-1437907</v>
      </c>
      <c r="DO175" s="208">
        <v>0</v>
      </c>
      <c r="DP175" s="208">
        <v>-29345</v>
      </c>
      <c r="DQ175" s="208">
        <v>-2934506</v>
      </c>
      <c r="DR175" s="208">
        <v>-1280372</v>
      </c>
      <c r="DS175" s="208">
        <v>-1254765</v>
      </c>
      <c r="DT175" s="208">
        <v>0</v>
      </c>
      <c r="DU175" s="208">
        <v>-25607</v>
      </c>
      <c r="DV175" s="208">
        <v>-2560744</v>
      </c>
      <c r="DW175" s="208">
        <v>-186882</v>
      </c>
      <c r="DX175" s="208">
        <v>-183142</v>
      </c>
      <c r="DY175" s="208">
        <v>0</v>
      </c>
      <c r="DZ175" s="208">
        <v>-3738</v>
      </c>
      <c r="EA175" s="208">
        <v>-373762</v>
      </c>
      <c r="EB175" s="208">
        <v>17672431</v>
      </c>
      <c r="EC175" s="208">
        <v>17318983</v>
      </c>
      <c r="ED175" s="208">
        <v>0</v>
      </c>
      <c r="EE175" s="208">
        <v>353449</v>
      </c>
      <c r="EF175" s="208">
        <v>35344863</v>
      </c>
      <c r="EG175" s="208">
        <v>18038730</v>
      </c>
      <c r="EH175" s="208">
        <v>17677955</v>
      </c>
      <c r="EI175" s="208">
        <v>0</v>
      </c>
      <c r="EJ175" s="208">
        <v>360775</v>
      </c>
      <c r="EK175" s="208">
        <v>36077460</v>
      </c>
      <c r="EL175" s="208">
        <v>366299</v>
      </c>
      <c r="EM175" s="208">
        <v>358972</v>
      </c>
      <c r="EN175" s="208">
        <v>0</v>
      </c>
      <c r="EO175" s="208">
        <v>7326</v>
      </c>
      <c r="EP175" s="208">
        <v>732597</v>
      </c>
      <c r="EQ175" s="208">
        <v>179417</v>
      </c>
      <c r="ER175" s="208">
        <v>175830</v>
      </c>
      <c r="ES175" s="208">
        <v>0</v>
      </c>
      <c r="ET175" s="208">
        <v>3588</v>
      </c>
      <c r="EU175" s="208">
        <v>358835</v>
      </c>
      <c r="EV175" s="666">
        <v>0.5</v>
      </c>
      <c r="EW175" s="666">
        <v>0.49</v>
      </c>
      <c r="EX175" s="666">
        <v>0</v>
      </c>
      <c r="EY175" s="666">
        <v>0.01</v>
      </c>
      <c r="EZ175" s="666">
        <v>1</v>
      </c>
      <c r="FA175" s="187" t="s">
        <v>742</v>
      </c>
      <c r="FC175" s="187">
        <v>0</v>
      </c>
    </row>
    <row r="176" spans="2:159" s="187" customFormat="1" x14ac:dyDescent="0.2">
      <c r="B176" s="429" t="s">
        <v>429</v>
      </c>
      <c r="C176" s="429" t="s">
        <v>428</v>
      </c>
      <c r="D176" s="208">
        <v>80744081</v>
      </c>
      <c r="E176" s="208">
        <v>79129200</v>
      </c>
      <c r="F176" s="208">
        <v>0</v>
      </c>
      <c r="G176" s="208">
        <v>1614882</v>
      </c>
      <c r="H176" s="208">
        <v>161488163</v>
      </c>
      <c r="I176" s="208">
        <v>0</v>
      </c>
      <c r="J176" s="208">
        <v>0</v>
      </c>
      <c r="K176" s="208">
        <v>80744081</v>
      </c>
      <c r="L176" s="208">
        <v>388850</v>
      </c>
      <c r="M176" s="208">
        <v>388850</v>
      </c>
      <c r="N176" s="208">
        <v>0</v>
      </c>
      <c r="O176" s="208">
        <v>0</v>
      </c>
      <c r="P176" s="208">
        <v>249491</v>
      </c>
      <c r="Q176" s="208">
        <v>0</v>
      </c>
      <c r="R176" s="208">
        <v>249491</v>
      </c>
      <c r="S176" s="208">
        <v>0</v>
      </c>
      <c r="T176" s="208">
        <v>0</v>
      </c>
      <c r="U176" s="208">
        <v>0</v>
      </c>
      <c r="V176" s="208">
        <v>0</v>
      </c>
      <c r="W176" s="208">
        <v>0</v>
      </c>
      <c r="X176" s="208">
        <v>0</v>
      </c>
      <c r="Y176" s="208">
        <v>0</v>
      </c>
      <c r="Z176" s="208">
        <v>0</v>
      </c>
      <c r="AA176" s="208">
        <v>0</v>
      </c>
      <c r="AB176" s="208">
        <v>0</v>
      </c>
      <c r="AC176" s="208">
        <v>0</v>
      </c>
      <c r="AD176" s="208">
        <v>0</v>
      </c>
      <c r="AE176" s="208">
        <v>0</v>
      </c>
      <c r="AF176" s="208">
        <v>0</v>
      </c>
      <c r="AG176" s="208">
        <v>4777743</v>
      </c>
      <c r="AH176" s="208">
        <v>0</v>
      </c>
      <c r="AI176" s="208">
        <v>97388</v>
      </c>
      <c r="AJ176" s="208">
        <v>4875131</v>
      </c>
      <c r="AK176" s="208">
        <v>1803367</v>
      </c>
      <c r="AL176" s="208">
        <v>1767299</v>
      </c>
      <c r="AM176" s="208">
        <v>0</v>
      </c>
      <c r="AN176" s="208">
        <v>36067</v>
      </c>
      <c r="AO176" s="208">
        <v>3606733</v>
      </c>
      <c r="AP176" s="208">
        <v>-2109783</v>
      </c>
      <c r="AQ176" s="208">
        <v>-2067587</v>
      </c>
      <c r="AR176" s="208">
        <v>0</v>
      </c>
      <c r="AS176" s="208">
        <v>-42196</v>
      </c>
      <c r="AT176" s="208">
        <v>-4219566</v>
      </c>
      <c r="AU176" s="208">
        <v>-1500000</v>
      </c>
      <c r="AV176" s="208">
        <v>-1470000</v>
      </c>
      <c r="AW176" s="208">
        <v>0</v>
      </c>
      <c r="AX176" s="208">
        <v>-30000</v>
      </c>
      <c r="AY176" s="208">
        <v>-3000000</v>
      </c>
      <c r="AZ176" s="208">
        <v>455176</v>
      </c>
      <c r="BA176" s="208">
        <v>446073</v>
      </c>
      <c r="BB176" s="208">
        <v>0</v>
      </c>
      <c r="BC176" s="208">
        <v>9104</v>
      </c>
      <c r="BD176" s="208">
        <v>910353</v>
      </c>
      <c r="BE176" s="208">
        <v>44824</v>
      </c>
      <c r="BF176" s="208">
        <v>43927</v>
      </c>
      <c r="BG176" s="208">
        <v>0</v>
      </c>
      <c r="BH176" s="208">
        <v>896</v>
      </c>
      <c r="BI176" s="208">
        <v>89647</v>
      </c>
      <c r="BJ176" s="208">
        <v>-1000000</v>
      </c>
      <c r="BK176" s="208">
        <v>-980000</v>
      </c>
      <c r="BL176" s="208">
        <v>0</v>
      </c>
      <c r="BM176" s="208">
        <v>-20000</v>
      </c>
      <c r="BN176" s="208">
        <v>-2000000</v>
      </c>
      <c r="BO176" s="208">
        <v>-26748222</v>
      </c>
      <c r="BP176" s="208">
        <v>-26213257</v>
      </c>
      <c r="BQ176" s="208">
        <v>0</v>
      </c>
      <c r="BR176" s="208">
        <v>-534964</v>
      </c>
      <c r="BS176" s="208">
        <v>-53496443</v>
      </c>
      <c r="BT176" s="208">
        <v>-7664955</v>
      </c>
      <c r="BU176" s="208">
        <v>-7511655</v>
      </c>
      <c r="BV176" s="208">
        <v>0</v>
      </c>
      <c r="BW176" s="208">
        <v>-153299</v>
      </c>
      <c r="BX176" s="208">
        <v>-15329909</v>
      </c>
      <c r="BY176" s="208">
        <v>-19083267</v>
      </c>
      <c r="BZ176" s="208">
        <v>-18701602</v>
      </c>
      <c r="CA176" s="208">
        <v>0</v>
      </c>
      <c r="CB176" s="208">
        <v>-381665</v>
      </c>
      <c r="CC176" s="208">
        <v>-38166534</v>
      </c>
      <c r="CD176" s="208">
        <v>2323909</v>
      </c>
      <c r="CE176" s="208">
        <v>2277430</v>
      </c>
      <c r="CF176" s="208">
        <v>0</v>
      </c>
      <c r="CG176" s="208">
        <v>46478</v>
      </c>
      <c r="CH176" s="208">
        <v>4647817</v>
      </c>
      <c r="CI176" s="208">
        <v>1407255</v>
      </c>
      <c r="CJ176" s="208">
        <v>1379110</v>
      </c>
      <c r="CK176" s="208">
        <v>0</v>
      </c>
      <c r="CL176" s="208">
        <v>28145</v>
      </c>
      <c r="CM176" s="208">
        <v>2814510</v>
      </c>
      <c r="CN176" s="208">
        <v>0</v>
      </c>
      <c r="CO176" s="208">
        <v>0</v>
      </c>
      <c r="CP176" s="208">
        <v>0</v>
      </c>
      <c r="CQ176" s="208">
        <v>0</v>
      </c>
      <c r="CR176" s="208">
        <v>0</v>
      </c>
      <c r="CS176" s="208">
        <v>-8532942</v>
      </c>
      <c r="CT176" s="208">
        <v>-8362283</v>
      </c>
      <c r="CU176" s="208">
        <v>0</v>
      </c>
      <c r="CV176" s="208">
        <v>-170659</v>
      </c>
      <c r="CW176" s="208">
        <v>-17065884</v>
      </c>
      <c r="CX176" s="208">
        <v>-31550000</v>
      </c>
      <c r="CY176" s="208">
        <v>-30919000</v>
      </c>
      <c r="CZ176" s="208">
        <v>0</v>
      </c>
      <c r="DA176" s="208">
        <v>-631000</v>
      </c>
      <c r="DB176" s="208">
        <v>-63100000</v>
      </c>
      <c r="DC176" s="208">
        <v>-5341046</v>
      </c>
      <c r="DD176" s="208">
        <v>-5234225</v>
      </c>
      <c r="DE176" s="208">
        <v>0</v>
      </c>
      <c r="DF176" s="208">
        <v>-106821</v>
      </c>
      <c r="DG176" s="208">
        <v>-10682092</v>
      </c>
      <c r="DH176" s="208">
        <v>-26208954</v>
      </c>
      <c r="DI176" s="208">
        <v>-25684775</v>
      </c>
      <c r="DJ176" s="208">
        <v>0</v>
      </c>
      <c r="DK176" s="208">
        <v>-524179</v>
      </c>
      <c r="DL176" s="208">
        <v>-52417908</v>
      </c>
      <c r="DM176" s="208">
        <v>-1878881</v>
      </c>
      <c r="DN176" s="208">
        <v>-1841304</v>
      </c>
      <c r="DO176" s="208">
        <v>0</v>
      </c>
      <c r="DP176" s="208">
        <v>-37578</v>
      </c>
      <c r="DQ176" s="208">
        <v>-3757763</v>
      </c>
      <c r="DR176" s="208">
        <v>-134000</v>
      </c>
      <c r="DS176" s="208">
        <v>-131320</v>
      </c>
      <c r="DT176" s="208">
        <v>0</v>
      </c>
      <c r="DU176" s="208">
        <v>-2680</v>
      </c>
      <c r="DV176" s="208">
        <v>-268000</v>
      </c>
      <c r="DW176" s="208">
        <v>-1744881</v>
      </c>
      <c r="DX176" s="208">
        <v>-1709984</v>
      </c>
      <c r="DY176" s="208">
        <v>0</v>
      </c>
      <c r="DZ176" s="208">
        <v>-34898</v>
      </c>
      <c r="EA176" s="208">
        <v>-3489763</v>
      </c>
      <c r="EB176" s="208">
        <v>76638165</v>
      </c>
      <c r="EC176" s="208">
        <v>75105401</v>
      </c>
      <c r="ED176" s="208">
        <v>0</v>
      </c>
      <c r="EE176" s="208">
        <v>1532763</v>
      </c>
      <c r="EF176" s="208">
        <v>153276329</v>
      </c>
      <c r="EG176" s="208">
        <v>80744081</v>
      </c>
      <c r="EH176" s="208">
        <v>79129200</v>
      </c>
      <c r="EI176" s="208">
        <v>0</v>
      </c>
      <c r="EJ176" s="208">
        <v>1614882</v>
      </c>
      <c r="EK176" s="208">
        <v>161488163</v>
      </c>
      <c r="EL176" s="208">
        <v>4105916</v>
      </c>
      <c r="EM176" s="208">
        <v>4023799</v>
      </c>
      <c r="EN176" s="208">
        <v>0</v>
      </c>
      <c r="EO176" s="208">
        <v>82119</v>
      </c>
      <c r="EP176" s="208">
        <v>8211834</v>
      </c>
      <c r="EQ176" s="208">
        <v>2361035</v>
      </c>
      <c r="ER176" s="208">
        <v>2313815</v>
      </c>
      <c r="ES176" s="208">
        <v>0</v>
      </c>
      <c r="ET176" s="208">
        <v>47221</v>
      </c>
      <c r="EU176" s="208">
        <v>4722071</v>
      </c>
      <c r="EV176" s="666">
        <v>0.5</v>
      </c>
      <c r="EW176" s="666">
        <v>0.49</v>
      </c>
      <c r="EX176" s="666">
        <v>0</v>
      </c>
      <c r="EY176" s="666">
        <v>0.01</v>
      </c>
      <c r="EZ176" s="666">
        <v>1</v>
      </c>
      <c r="FA176" s="187" t="s">
        <v>742</v>
      </c>
      <c r="FC176" s="187">
        <v>0</v>
      </c>
    </row>
    <row r="177" spans="1:159" s="187" customFormat="1" x14ac:dyDescent="0.2">
      <c r="A177" s="188"/>
      <c r="B177" s="429" t="s">
        <v>431</v>
      </c>
      <c r="C177" s="429" t="s">
        <v>430</v>
      </c>
      <c r="D177" s="208">
        <v>0</v>
      </c>
      <c r="E177" s="208">
        <v>13726287</v>
      </c>
      <c r="F177" s="208">
        <v>32028004</v>
      </c>
      <c r="G177" s="208">
        <v>0</v>
      </c>
      <c r="H177" s="208">
        <v>45754291</v>
      </c>
      <c r="I177" s="208">
        <v>0</v>
      </c>
      <c r="J177" s="208">
        <v>0</v>
      </c>
      <c r="K177" s="208">
        <v>0</v>
      </c>
      <c r="L177" s="208">
        <v>153825</v>
      </c>
      <c r="M177" s="208">
        <v>153825</v>
      </c>
      <c r="N177" s="208">
        <v>0</v>
      </c>
      <c r="O177" s="208">
        <v>0</v>
      </c>
      <c r="P177" s="208">
        <v>0</v>
      </c>
      <c r="Q177" s="208">
        <v>0</v>
      </c>
      <c r="R177" s="208">
        <v>0</v>
      </c>
      <c r="S177" s="208">
        <v>0</v>
      </c>
      <c r="T177" s="208">
        <v>0</v>
      </c>
      <c r="U177" s="208">
        <v>0</v>
      </c>
      <c r="V177" s="208">
        <v>0</v>
      </c>
      <c r="W177" s="208">
        <v>0</v>
      </c>
      <c r="X177" s="208">
        <v>0</v>
      </c>
      <c r="Y177" s="208">
        <v>0</v>
      </c>
      <c r="Z177" s="208">
        <v>0</v>
      </c>
      <c r="AA177" s="208">
        <v>0</v>
      </c>
      <c r="AB177" s="208">
        <v>0</v>
      </c>
      <c r="AC177" s="208">
        <v>0</v>
      </c>
      <c r="AD177" s="208">
        <v>0</v>
      </c>
      <c r="AE177" s="208">
        <v>0</v>
      </c>
      <c r="AF177" s="208">
        <v>0</v>
      </c>
      <c r="AG177" s="208">
        <v>1144347</v>
      </c>
      <c r="AH177" s="208">
        <v>2670144</v>
      </c>
      <c r="AI177" s="208">
        <v>0</v>
      </c>
      <c r="AJ177" s="208">
        <v>3814491</v>
      </c>
      <c r="AK177" s="208">
        <v>0</v>
      </c>
      <c r="AL177" s="208">
        <v>612094</v>
      </c>
      <c r="AM177" s="208">
        <v>1428218</v>
      </c>
      <c r="AN177" s="208">
        <v>0</v>
      </c>
      <c r="AO177" s="208">
        <v>2040312</v>
      </c>
      <c r="AP177" s="208">
        <v>0</v>
      </c>
      <c r="AQ177" s="208">
        <v>-461620</v>
      </c>
      <c r="AR177" s="208">
        <v>-1077112</v>
      </c>
      <c r="AS177" s="208">
        <v>0</v>
      </c>
      <c r="AT177" s="208">
        <v>-1538732</v>
      </c>
      <c r="AU177" s="208">
        <v>0</v>
      </c>
      <c r="AV177" s="208">
        <v>-201151</v>
      </c>
      <c r="AW177" s="208">
        <v>-469353</v>
      </c>
      <c r="AX177" s="208">
        <v>0</v>
      </c>
      <c r="AY177" s="208">
        <v>-670504</v>
      </c>
      <c r="AZ177" s="208">
        <v>0</v>
      </c>
      <c r="BA177" s="208">
        <v>26747</v>
      </c>
      <c r="BB177" s="208">
        <v>62410</v>
      </c>
      <c r="BC177" s="208">
        <v>0</v>
      </c>
      <c r="BD177" s="208">
        <v>89157</v>
      </c>
      <c r="BE177" s="208">
        <v>0</v>
      </c>
      <c r="BF177" s="208">
        <v>-59254</v>
      </c>
      <c r="BG177" s="208">
        <v>-138259</v>
      </c>
      <c r="BH177" s="208">
        <v>0</v>
      </c>
      <c r="BI177" s="208">
        <v>-197513</v>
      </c>
      <c r="BJ177" s="208">
        <v>0</v>
      </c>
      <c r="BK177" s="208">
        <v>-233658</v>
      </c>
      <c r="BL177" s="208">
        <v>-545202</v>
      </c>
      <c r="BM177" s="208">
        <v>0</v>
      </c>
      <c r="BN177" s="208">
        <v>-778860</v>
      </c>
      <c r="BO177" s="208">
        <v>0</v>
      </c>
      <c r="BP177" s="208">
        <v>-1740000</v>
      </c>
      <c r="BQ177" s="208">
        <v>-4060000</v>
      </c>
      <c r="BR177" s="208">
        <v>0</v>
      </c>
      <c r="BS177" s="208">
        <v>-5800000</v>
      </c>
      <c r="BT177" s="208">
        <v>0</v>
      </c>
      <c r="BU177" s="208">
        <v>-1737000</v>
      </c>
      <c r="BV177" s="208">
        <v>-4053000</v>
      </c>
      <c r="BW177" s="208">
        <v>0</v>
      </c>
      <c r="BX177" s="208">
        <v>-5790000</v>
      </c>
      <c r="BY177" s="208">
        <v>0</v>
      </c>
      <c r="BZ177" s="208">
        <v>-3000</v>
      </c>
      <c r="CA177" s="208">
        <v>-7000</v>
      </c>
      <c r="CB177" s="208">
        <v>0</v>
      </c>
      <c r="CC177" s="208">
        <v>-10000</v>
      </c>
      <c r="CD177" s="208">
        <v>-1</v>
      </c>
      <c r="CE177" s="208">
        <v>440729</v>
      </c>
      <c r="CF177" s="208">
        <v>1028367</v>
      </c>
      <c r="CG177" s="208">
        <v>0</v>
      </c>
      <c r="CH177" s="208">
        <v>1469095</v>
      </c>
      <c r="CI177" s="208">
        <v>0</v>
      </c>
      <c r="CJ177" s="208">
        <v>1968</v>
      </c>
      <c r="CK177" s="208">
        <v>4593</v>
      </c>
      <c r="CL177" s="208">
        <v>0</v>
      </c>
      <c r="CM177" s="208">
        <v>6561</v>
      </c>
      <c r="CN177" s="208">
        <v>0</v>
      </c>
      <c r="CO177" s="208">
        <v>947296</v>
      </c>
      <c r="CP177" s="208">
        <v>2210356</v>
      </c>
      <c r="CQ177" s="208">
        <v>0</v>
      </c>
      <c r="CR177" s="208">
        <v>3157652</v>
      </c>
      <c r="CS177" s="208">
        <v>0</v>
      </c>
      <c r="CT177" s="208">
        <v>-149</v>
      </c>
      <c r="CU177" s="208">
        <v>-349</v>
      </c>
      <c r="CV177" s="208">
        <v>0</v>
      </c>
      <c r="CW177" s="208">
        <v>-498</v>
      </c>
      <c r="CX177" s="208">
        <v>-1</v>
      </c>
      <c r="CY177" s="208">
        <v>-350156</v>
      </c>
      <c r="CZ177" s="208">
        <v>-817033</v>
      </c>
      <c r="DA177" s="208">
        <v>0</v>
      </c>
      <c r="DB177" s="208">
        <v>-1167190</v>
      </c>
      <c r="DC177" s="208">
        <v>-1</v>
      </c>
      <c r="DD177" s="208">
        <v>-348975</v>
      </c>
      <c r="DE177" s="208">
        <v>-814277</v>
      </c>
      <c r="DF177" s="208">
        <v>0</v>
      </c>
      <c r="DG177" s="208">
        <v>-1163253</v>
      </c>
      <c r="DH177" s="208">
        <v>0</v>
      </c>
      <c r="DI177" s="208">
        <v>-1181</v>
      </c>
      <c r="DJ177" s="208">
        <v>-2756</v>
      </c>
      <c r="DK177" s="208">
        <v>0</v>
      </c>
      <c r="DL177" s="208">
        <v>-3937</v>
      </c>
      <c r="DM177" s="208">
        <v>-3250472</v>
      </c>
      <c r="DN177" s="208">
        <v>-2600380</v>
      </c>
      <c r="DO177" s="208">
        <v>-650096</v>
      </c>
      <c r="DP177" s="208">
        <v>0</v>
      </c>
      <c r="DQ177" s="208">
        <v>-6500948</v>
      </c>
      <c r="DR177" s="208">
        <v>-1781163</v>
      </c>
      <c r="DS177" s="208">
        <v>-1424930</v>
      </c>
      <c r="DT177" s="208">
        <v>-356233</v>
      </c>
      <c r="DU177" s="208">
        <v>0</v>
      </c>
      <c r="DV177" s="208">
        <v>-3562326</v>
      </c>
      <c r="DW177" s="208">
        <v>-1469309</v>
      </c>
      <c r="DX177" s="208">
        <v>-1175450</v>
      </c>
      <c r="DY177" s="208">
        <v>-293863</v>
      </c>
      <c r="DZ177" s="208">
        <v>0</v>
      </c>
      <c r="EA177" s="208">
        <v>-2938622</v>
      </c>
      <c r="EB177" s="208">
        <v>0</v>
      </c>
      <c r="EC177" s="208">
        <v>13256869</v>
      </c>
      <c r="ED177" s="208">
        <v>30932694</v>
      </c>
      <c r="EE177" s="208">
        <v>0</v>
      </c>
      <c r="EF177" s="208">
        <v>44189563</v>
      </c>
      <c r="EG177" s="208">
        <v>0</v>
      </c>
      <c r="EH177" s="208">
        <v>13726287</v>
      </c>
      <c r="EI177" s="208">
        <v>32028004</v>
      </c>
      <c r="EJ177" s="208">
        <v>0</v>
      </c>
      <c r="EK177" s="208">
        <v>45754291</v>
      </c>
      <c r="EL177" s="208">
        <v>0</v>
      </c>
      <c r="EM177" s="208">
        <v>469418</v>
      </c>
      <c r="EN177" s="208">
        <v>1095310</v>
      </c>
      <c r="EO177" s="208">
        <v>0</v>
      </c>
      <c r="EP177" s="208">
        <v>1564728</v>
      </c>
      <c r="EQ177" s="208">
        <v>-1469309</v>
      </c>
      <c r="ER177" s="208">
        <v>-706032</v>
      </c>
      <c r="ES177" s="208">
        <v>801447</v>
      </c>
      <c r="ET177" s="208">
        <v>0</v>
      </c>
      <c r="EU177" s="208">
        <v>-1373894</v>
      </c>
      <c r="EV177" s="666">
        <v>0</v>
      </c>
      <c r="EW177" s="666">
        <v>0.3</v>
      </c>
      <c r="EX177" s="666">
        <v>0.7</v>
      </c>
      <c r="EY177" s="666">
        <v>0</v>
      </c>
      <c r="EZ177" s="666">
        <v>1</v>
      </c>
      <c r="FA177" s="187" t="s">
        <v>1054</v>
      </c>
      <c r="FC177" s="187">
        <v>0</v>
      </c>
    </row>
    <row r="178" spans="1:159" s="187" customFormat="1" x14ac:dyDescent="0.2">
      <c r="B178" s="429" t="s">
        <v>433</v>
      </c>
      <c r="C178" s="429" t="s">
        <v>432</v>
      </c>
      <c r="D178" s="208">
        <v>32992461</v>
      </c>
      <c r="E178" s="208">
        <v>26393969</v>
      </c>
      <c r="F178" s="208">
        <v>5938643</v>
      </c>
      <c r="G178" s="208">
        <v>659849</v>
      </c>
      <c r="H178" s="208">
        <v>65984922</v>
      </c>
      <c r="I178" s="208">
        <v>0</v>
      </c>
      <c r="J178" s="208">
        <v>0</v>
      </c>
      <c r="K178" s="208">
        <v>32992461</v>
      </c>
      <c r="L178" s="208">
        <v>277478</v>
      </c>
      <c r="M178" s="208">
        <v>277478</v>
      </c>
      <c r="N178" s="208">
        <v>0</v>
      </c>
      <c r="O178" s="208">
        <v>0</v>
      </c>
      <c r="P178" s="208">
        <v>9851</v>
      </c>
      <c r="Q178" s="208">
        <v>0</v>
      </c>
      <c r="R178" s="208">
        <v>9851</v>
      </c>
      <c r="S178" s="208">
        <v>0</v>
      </c>
      <c r="T178" s="208">
        <v>0</v>
      </c>
      <c r="U178" s="208">
        <v>0</v>
      </c>
      <c r="V178" s="208">
        <v>0</v>
      </c>
      <c r="W178" s="208">
        <v>0</v>
      </c>
      <c r="X178" s="208">
        <v>0</v>
      </c>
      <c r="Y178" s="208">
        <v>0</v>
      </c>
      <c r="Z178" s="208">
        <v>0</v>
      </c>
      <c r="AA178" s="208">
        <v>0</v>
      </c>
      <c r="AB178" s="208">
        <v>0</v>
      </c>
      <c r="AC178" s="208">
        <v>0</v>
      </c>
      <c r="AD178" s="208">
        <v>0</v>
      </c>
      <c r="AE178" s="208">
        <v>0</v>
      </c>
      <c r="AF178" s="208">
        <v>0</v>
      </c>
      <c r="AG178" s="208">
        <v>3106480</v>
      </c>
      <c r="AH178" s="208">
        <v>698907</v>
      </c>
      <c r="AI178" s="208">
        <v>77657</v>
      </c>
      <c r="AJ178" s="208">
        <v>3883044</v>
      </c>
      <c r="AK178" s="208">
        <v>379880</v>
      </c>
      <c r="AL178" s="208">
        <v>303905</v>
      </c>
      <c r="AM178" s="208">
        <v>68379</v>
      </c>
      <c r="AN178" s="208">
        <v>7598</v>
      </c>
      <c r="AO178" s="208">
        <v>759762</v>
      </c>
      <c r="AP178" s="208">
        <v>-466419</v>
      </c>
      <c r="AQ178" s="208">
        <v>-373136</v>
      </c>
      <c r="AR178" s="208">
        <v>-83956</v>
      </c>
      <c r="AS178" s="208">
        <v>-9328</v>
      </c>
      <c r="AT178" s="208">
        <v>-932839</v>
      </c>
      <c r="AU178" s="208">
        <v>-164304</v>
      </c>
      <c r="AV178" s="208">
        <v>-131444</v>
      </c>
      <c r="AW178" s="208">
        <v>-29575</v>
      </c>
      <c r="AX178" s="208">
        <v>-3286</v>
      </c>
      <c r="AY178" s="208">
        <v>-328609</v>
      </c>
      <c r="AZ178" s="208">
        <v>91809</v>
      </c>
      <c r="BA178" s="208">
        <v>73447</v>
      </c>
      <c r="BB178" s="208">
        <v>16526</v>
      </c>
      <c r="BC178" s="208">
        <v>1836</v>
      </c>
      <c r="BD178" s="208">
        <v>183618</v>
      </c>
      <c r="BE178" s="208">
        <v>-50054</v>
      </c>
      <c r="BF178" s="208">
        <v>-40043</v>
      </c>
      <c r="BG178" s="208">
        <v>-9010</v>
      </c>
      <c r="BH178" s="208">
        <v>-1001</v>
      </c>
      <c r="BI178" s="208">
        <v>-100108</v>
      </c>
      <c r="BJ178" s="208">
        <v>-122549</v>
      </c>
      <c r="BK178" s="208">
        <v>-98040</v>
      </c>
      <c r="BL178" s="208">
        <v>-22059</v>
      </c>
      <c r="BM178" s="208">
        <v>-2451</v>
      </c>
      <c r="BN178" s="208">
        <v>-245099</v>
      </c>
      <c r="BO178" s="208">
        <v>-4207500</v>
      </c>
      <c r="BP178" s="208">
        <v>-3366000</v>
      </c>
      <c r="BQ178" s="208">
        <v>-757350</v>
      </c>
      <c r="BR178" s="208">
        <v>-84150</v>
      </c>
      <c r="BS178" s="208">
        <v>-8415000</v>
      </c>
      <c r="BT178" s="208">
        <v>-2657500</v>
      </c>
      <c r="BU178" s="208">
        <v>-2126000</v>
      </c>
      <c r="BV178" s="208">
        <v>-478350</v>
      </c>
      <c r="BW178" s="208">
        <v>-53150</v>
      </c>
      <c r="BX178" s="208">
        <v>-5315000</v>
      </c>
      <c r="BY178" s="208">
        <v>-1550000</v>
      </c>
      <c r="BZ178" s="208">
        <v>-1240000</v>
      </c>
      <c r="CA178" s="208">
        <v>-279000</v>
      </c>
      <c r="CB178" s="208">
        <v>-31000</v>
      </c>
      <c r="CC178" s="208">
        <v>-3100000</v>
      </c>
      <c r="CD178" s="208">
        <v>845600</v>
      </c>
      <c r="CE178" s="208">
        <v>676480</v>
      </c>
      <c r="CF178" s="208">
        <v>152208</v>
      </c>
      <c r="CG178" s="208">
        <v>16912</v>
      </c>
      <c r="CH178" s="208">
        <v>1691200</v>
      </c>
      <c r="CI178" s="208">
        <v>69863</v>
      </c>
      <c r="CJ178" s="208">
        <v>55890</v>
      </c>
      <c r="CK178" s="208">
        <v>12575</v>
      </c>
      <c r="CL178" s="208">
        <v>1397</v>
      </c>
      <c r="CM178" s="208">
        <v>139725</v>
      </c>
      <c r="CN178" s="208">
        <v>-327600</v>
      </c>
      <c r="CO178" s="208">
        <v>-262080</v>
      </c>
      <c r="CP178" s="208">
        <v>-58968</v>
      </c>
      <c r="CQ178" s="208">
        <v>-6552</v>
      </c>
      <c r="CR178" s="208">
        <v>-655200</v>
      </c>
      <c r="CS178" s="208">
        <v>-1367363</v>
      </c>
      <c r="CT178" s="208">
        <v>-1093890</v>
      </c>
      <c r="CU178" s="208">
        <v>-246125</v>
      </c>
      <c r="CV178" s="208">
        <v>-27347</v>
      </c>
      <c r="CW178" s="208">
        <v>-2734725</v>
      </c>
      <c r="CX178" s="208">
        <v>-4987000</v>
      </c>
      <c r="CY178" s="208">
        <v>-3989600</v>
      </c>
      <c r="CZ178" s="208">
        <v>-897660</v>
      </c>
      <c r="DA178" s="208">
        <v>-99740</v>
      </c>
      <c r="DB178" s="208">
        <v>-9974000</v>
      </c>
      <c r="DC178" s="208">
        <v>-2139500</v>
      </c>
      <c r="DD178" s="208">
        <v>-1711600</v>
      </c>
      <c r="DE178" s="208">
        <v>-385110</v>
      </c>
      <c r="DF178" s="208">
        <v>-42790</v>
      </c>
      <c r="DG178" s="208">
        <v>-4279000</v>
      </c>
      <c r="DH178" s="208">
        <v>-2847500</v>
      </c>
      <c r="DI178" s="208">
        <v>-2278000</v>
      </c>
      <c r="DJ178" s="208">
        <v>-512550</v>
      </c>
      <c r="DK178" s="208">
        <v>-56950</v>
      </c>
      <c r="DL178" s="208">
        <v>-5695000</v>
      </c>
      <c r="DM178" s="208">
        <v>898758</v>
      </c>
      <c r="DN178" s="208">
        <v>719007</v>
      </c>
      <c r="DO178" s="208">
        <v>161777</v>
      </c>
      <c r="DP178" s="208">
        <v>17975</v>
      </c>
      <c r="DQ178" s="208">
        <v>1797517</v>
      </c>
      <c r="DR178" s="208">
        <v>835521</v>
      </c>
      <c r="DS178" s="208">
        <v>668417</v>
      </c>
      <c r="DT178" s="208">
        <v>150394</v>
      </c>
      <c r="DU178" s="208">
        <v>16710</v>
      </c>
      <c r="DV178" s="208">
        <v>1671042</v>
      </c>
      <c r="DW178" s="208">
        <v>63237</v>
      </c>
      <c r="DX178" s="208">
        <v>50590</v>
      </c>
      <c r="DY178" s="208">
        <v>11383</v>
      </c>
      <c r="DZ178" s="208">
        <v>1265</v>
      </c>
      <c r="EA178" s="208">
        <v>126475</v>
      </c>
      <c r="EB178" s="208">
        <v>32862010</v>
      </c>
      <c r="EC178" s="208">
        <v>26289608</v>
      </c>
      <c r="ED178" s="208">
        <v>5915162</v>
      </c>
      <c r="EE178" s="208">
        <v>657240</v>
      </c>
      <c r="EF178" s="208">
        <v>65724020</v>
      </c>
      <c r="EG178" s="208">
        <v>32992461</v>
      </c>
      <c r="EH178" s="208">
        <v>26393969</v>
      </c>
      <c r="EI178" s="208">
        <v>5938643</v>
      </c>
      <c r="EJ178" s="208">
        <v>659849</v>
      </c>
      <c r="EK178" s="208">
        <v>65984922</v>
      </c>
      <c r="EL178" s="208">
        <v>130451</v>
      </c>
      <c r="EM178" s="208">
        <v>104361</v>
      </c>
      <c r="EN178" s="208">
        <v>23481</v>
      </c>
      <c r="EO178" s="208">
        <v>2609</v>
      </c>
      <c r="EP178" s="208">
        <v>260902</v>
      </c>
      <c r="EQ178" s="208">
        <v>193688</v>
      </c>
      <c r="ER178" s="208">
        <v>154951</v>
      </c>
      <c r="ES178" s="208">
        <v>34864</v>
      </c>
      <c r="ET178" s="208">
        <v>3874</v>
      </c>
      <c r="EU178" s="208">
        <v>387377</v>
      </c>
      <c r="EV178" s="666">
        <v>0.5</v>
      </c>
      <c r="EW178" s="666">
        <v>0.4</v>
      </c>
      <c r="EX178" s="666">
        <v>0.09</v>
      </c>
      <c r="EY178" s="666">
        <v>0.01</v>
      </c>
      <c r="EZ178" s="666">
        <v>1</v>
      </c>
      <c r="FA178" s="187" t="s">
        <v>1054</v>
      </c>
      <c r="FC178" s="187">
        <v>0</v>
      </c>
    </row>
    <row r="179" spans="1:159" s="187" customFormat="1" x14ac:dyDescent="0.2">
      <c r="B179" s="429" t="s">
        <v>435</v>
      </c>
      <c r="C179" s="429" t="s">
        <v>434</v>
      </c>
      <c r="D179" s="208">
        <v>20761521</v>
      </c>
      <c r="E179" s="208">
        <v>16609216</v>
      </c>
      <c r="F179" s="208">
        <v>3737074</v>
      </c>
      <c r="G179" s="208">
        <v>415230</v>
      </c>
      <c r="H179" s="208">
        <v>41523041</v>
      </c>
      <c r="I179" s="208">
        <v>0</v>
      </c>
      <c r="J179" s="208">
        <v>0</v>
      </c>
      <c r="K179" s="208">
        <v>20761521</v>
      </c>
      <c r="L179" s="208">
        <v>162915</v>
      </c>
      <c r="M179" s="208">
        <v>162915</v>
      </c>
      <c r="N179" s="208">
        <v>0</v>
      </c>
      <c r="O179" s="208">
        <v>0</v>
      </c>
      <c r="P179" s="208">
        <v>454773</v>
      </c>
      <c r="Q179" s="208">
        <v>63898</v>
      </c>
      <c r="R179" s="208">
        <v>518671</v>
      </c>
      <c r="S179" s="208">
        <v>0</v>
      </c>
      <c r="T179" s="208">
        <v>0</v>
      </c>
      <c r="U179" s="208">
        <v>0</v>
      </c>
      <c r="V179" s="208">
        <v>0</v>
      </c>
      <c r="W179" s="208">
        <v>0</v>
      </c>
      <c r="X179" s="208">
        <v>0</v>
      </c>
      <c r="Y179" s="208">
        <v>0</v>
      </c>
      <c r="Z179" s="208">
        <v>0</v>
      </c>
      <c r="AA179" s="208">
        <v>0</v>
      </c>
      <c r="AB179" s="208">
        <v>0</v>
      </c>
      <c r="AC179" s="208">
        <v>0</v>
      </c>
      <c r="AD179" s="208">
        <v>0</v>
      </c>
      <c r="AE179" s="208">
        <v>0</v>
      </c>
      <c r="AF179" s="208">
        <v>0</v>
      </c>
      <c r="AG179" s="208">
        <v>1789090</v>
      </c>
      <c r="AH179" s="208">
        <v>401665</v>
      </c>
      <c r="AI179" s="208">
        <v>44466</v>
      </c>
      <c r="AJ179" s="208">
        <v>2235221</v>
      </c>
      <c r="AK179" s="208">
        <v>559448</v>
      </c>
      <c r="AL179" s="208">
        <v>447558</v>
      </c>
      <c r="AM179" s="208">
        <v>100701</v>
      </c>
      <c r="AN179" s="208">
        <v>11189</v>
      </c>
      <c r="AO179" s="208">
        <v>1118896</v>
      </c>
      <c r="AP179" s="208">
        <v>-233098</v>
      </c>
      <c r="AQ179" s="208">
        <v>-186478</v>
      </c>
      <c r="AR179" s="208">
        <v>-41958</v>
      </c>
      <c r="AS179" s="208">
        <v>-4662</v>
      </c>
      <c r="AT179" s="208">
        <v>-466196</v>
      </c>
      <c r="AU179" s="208">
        <v>-184487</v>
      </c>
      <c r="AV179" s="208">
        <v>-147590</v>
      </c>
      <c r="AW179" s="208">
        <v>-33208</v>
      </c>
      <c r="AX179" s="208">
        <v>-3690</v>
      </c>
      <c r="AY179" s="208">
        <v>-368975</v>
      </c>
      <c r="AZ179" s="208">
        <v>60673</v>
      </c>
      <c r="BA179" s="208">
        <v>48538</v>
      </c>
      <c r="BB179" s="208">
        <v>10921</v>
      </c>
      <c r="BC179" s="208">
        <v>1213</v>
      </c>
      <c r="BD179" s="208">
        <v>121345</v>
      </c>
      <c r="BE179" s="208">
        <v>-93088</v>
      </c>
      <c r="BF179" s="208">
        <v>-74470</v>
      </c>
      <c r="BG179" s="208">
        <v>-16756</v>
      </c>
      <c r="BH179" s="208">
        <v>-1862</v>
      </c>
      <c r="BI179" s="208">
        <v>-186176</v>
      </c>
      <c r="BJ179" s="208">
        <v>-216902</v>
      </c>
      <c r="BK179" s="208">
        <v>-173522</v>
      </c>
      <c r="BL179" s="208">
        <v>-39043</v>
      </c>
      <c r="BM179" s="208">
        <v>-4339</v>
      </c>
      <c r="BN179" s="208">
        <v>-433806</v>
      </c>
      <c r="BO179" s="208">
        <v>-3564491</v>
      </c>
      <c r="BP179" s="208">
        <v>-2851592</v>
      </c>
      <c r="BQ179" s="208">
        <v>-641608</v>
      </c>
      <c r="BR179" s="208">
        <v>-71290</v>
      </c>
      <c r="BS179" s="208">
        <v>-7128981</v>
      </c>
      <c r="BT179" s="208">
        <v>-2341207</v>
      </c>
      <c r="BU179" s="208">
        <v>-1872965</v>
      </c>
      <c r="BV179" s="208">
        <v>-421417</v>
      </c>
      <c r="BW179" s="208">
        <v>-46824</v>
      </c>
      <c r="BX179" s="208">
        <v>-4682413</v>
      </c>
      <c r="BY179" s="208">
        <v>-1223284</v>
      </c>
      <c r="BZ179" s="208">
        <v>-978627</v>
      </c>
      <c r="CA179" s="208">
        <v>-220191</v>
      </c>
      <c r="CB179" s="208">
        <v>-24466</v>
      </c>
      <c r="CC179" s="208">
        <v>-2446568</v>
      </c>
      <c r="CD179" s="208">
        <v>332461</v>
      </c>
      <c r="CE179" s="208">
        <v>265968</v>
      </c>
      <c r="CF179" s="208">
        <v>59843</v>
      </c>
      <c r="CG179" s="208">
        <v>6649</v>
      </c>
      <c r="CH179" s="208">
        <v>664921</v>
      </c>
      <c r="CI179" s="208">
        <v>97347</v>
      </c>
      <c r="CJ179" s="208">
        <v>77878</v>
      </c>
      <c r="CK179" s="208">
        <v>17523</v>
      </c>
      <c r="CL179" s="208">
        <v>1947</v>
      </c>
      <c r="CM179" s="208">
        <v>194695</v>
      </c>
      <c r="CN179" s="208">
        <v>73554</v>
      </c>
      <c r="CO179" s="208">
        <v>58844</v>
      </c>
      <c r="CP179" s="208">
        <v>13240</v>
      </c>
      <c r="CQ179" s="208">
        <v>1471</v>
      </c>
      <c r="CR179" s="208">
        <v>147109</v>
      </c>
      <c r="CS179" s="208">
        <v>-1195151</v>
      </c>
      <c r="CT179" s="208">
        <v>-956120</v>
      </c>
      <c r="CU179" s="208">
        <v>-215127</v>
      </c>
      <c r="CV179" s="208">
        <v>-23903</v>
      </c>
      <c r="CW179" s="208">
        <v>-2390301</v>
      </c>
      <c r="CX179" s="208">
        <v>-4256280</v>
      </c>
      <c r="CY179" s="208">
        <v>-3405022</v>
      </c>
      <c r="CZ179" s="208">
        <v>-766129</v>
      </c>
      <c r="DA179" s="208">
        <v>-85126</v>
      </c>
      <c r="DB179" s="208">
        <v>-8512557</v>
      </c>
      <c r="DC179" s="208">
        <v>-1935192</v>
      </c>
      <c r="DD179" s="208">
        <v>-1548153</v>
      </c>
      <c r="DE179" s="208">
        <v>-348334</v>
      </c>
      <c r="DF179" s="208">
        <v>-38704</v>
      </c>
      <c r="DG179" s="208">
        <v>-3870383</v>
      </c>
      <c r="DH179" s="208">
        <v>-2321088</v>
      </c>
      <c r="DI179" s="208">
        <v>-1856869</v>
      </c>
      <c r="DJ179" s="208">
        <v>-417795</v>
      </c>
      <c r="DK179" s="208">
        <v>-46422</v>
      </c>
      <c r="DL179" s="208">
        <v>-4642174</v>
      </c>
      <c r="DM179" s="208">
        <v>-377857</v>
      </c>
      <c r="DN179" s="208">
        <v>-302284</v>
      </c>
      <c r="DO179" s="208">
        <v>-68015</v>
      </c>
      <c r="DP179" s="208">
        <v>-7556</v>
      </c>
      <c r="DQ179" s="208">
        <v>-755712</v>
      </c>
      <c r="DR179" s="208">
        <v>42259</v>
      </c>
      <c r="DS179" s="208">
        <v>33806</v>
      </c>
      <c r="DT179" s="208">
        <v>7606</v>
      </c>
      <c r="DU179" s="208">
        <v>845</v>
      </c>
      <c r="DV179" s="208">
        <v>84516</v>
      </c>
      <c r="DW179" s="208">
        <v>-420116</v>
      </c>
      <c r="DX179" s="208">
        <v>-336090</v>
      </c>
      <c r="DY179" s="208">
        <v>-75621</v>
      </c>
      <c r="DZ179" s="208">
        <v>-8401</v>
      </c>
      <c r="EA179" s="208">
        <v>-840228</v>
      </c>
      <c r="EB179" s="208">
        <v>19515617</v>
      </c>
      <c r="EC179" s="208">
        <v>15612494</v>
      </c>
      <c r="ED179" s="208">
        <v>3512811</v>
      </c>
      <c r="EE179" s="208">
        <v>390312</v>
      </c>
      <c r="EF179" s="208">
        <v>39031234</v>
      </c>
      <c r="EG179" s="208">
        <v>20761521</v>
      </c>
      <c r="EH179" s="208">
        <v>16609216</v>
      </c>
      <c r="EI179" s="208">
        <v>3737074</v>
      </c>
      <c r="EJ179" s="208">
        <v>415230</v>
      </c>
      <c r="EK179" s="208">
        <v>41523041</v>
      </c>
      <c r="EL179" s="208">
        <v>1245904</v>
      </c>
      <c r="EM179" s="208">
        <v>996722</v>
      </c>
      <c r="EN179" s="208">
        <v>224263</v>
      </c>
      <c r="EO179" s="208">
        <v>24918</v>
      </c>
      <c r="EP179" s="208">
        <v>2491807</v>
      </c>
      <c r="EQ179" s="208">
        <v>825788</v>
      </c>
      <c r="ER179" s="208">
        <v>660632</v>
      </c>
      <c r="ES179" s="208">
        <v>148642</v>
      </c>
      <c r="ET179" s="208">
        <v>16517</v>
      </c>
      <c r="EU179" s="208">
        <v>1651579</v>
      </c>
      <c r="EV179" s="666">
        <v>0.5</v>
      </c>
      <c r="EW179" s="666">
        <v>0.4</v>
      </c>
      <c r="EX179" s="666">
        <v>0.09</v>
      </c>
      <c r="EY179" s="666">
        <v>0.01</v>
      </c>
      <c r="EZ179" s="666">
        <v>1</v>
      </c>
      <c r="FA179" s="187" t="s">
        <v>1054</v>
      </c>
      <c r="FC179" s="187">
        <v>0</v>
      </c>
    </row>
    <row r="180" spans="1:159" s="187" customFormat="1" x14ac:dyDescent="0.2">
      <c r="B180" s="429" t="s">
        <v>437</v>
      </c>
      <c r="C180" s="429" t="s">
        <v>970</v>
      </c>
      <c r="D180" s="208">
        <v>66696132</v>
      </c>
      <c r="E180" s="208">
        <v>65362209</v>
      </c>
      <c r="F180" s="208">
        <v>0</v>
      </c>
      <c r="G180" s="208">
        <v>1333923</v>
      </c>
      <c r="H180" s="208">
        <v>133392264</v>
      </c>
      <c r="I180" s="208">
        <v>0</v>
      </c>
      <c r="J180" s="208">
        <v>0</v>
      </c>
      <c r="K180" s="208">
        <v>66696132</v>
      </c>
      <c r="L180" s="208">
        <v>457614</v>
      </c>
      <c r="M180" s="208">
        <v>457614</v>
      </c>
      <c r="N180" s="208">
        <v>2112846</v>
      </c>
      <c r="O180" s="208">
        <v>2112846</v>
      </c>
      <c r="P180" s="208">
        <v>0</v>
      </c>
      <c r="Q180" s="208">
        <v>0</v>
      </c>
      <c r="R180" s="208">
        <v>0</v>
      </c>
      <c r="S180" s="208">
        <v>0</v>
      </c>
      <c r="T180" s="208">
        <v>0</v>
      </c>
      <c r="U180" s="208">
        <v>0</v>
      </c>
      <c r="V180" s="208">
        <v>0</v>
      </c>
      <c r="W180" s="208">
        <v>0</v>
      </c>
      <c r="X180" s="208">
        <v>0</v>
      </c>
      <c r="Y180" s="208">
        <v>0</v>
      </c>
      <c r="Z180" s="208">
        <v>0</v>
      </c>
      <c r="AA180" s="208">
        <v>0</v>
      </c>
      <c r="AB180" s="208">
        <v>0</v>
      </c>
      <c r="AC180" s="208">
        <v>0</v>
      </c>
      <c r="AD180" s="208">
        <v>0</v>
      </c>
      <c r="AE180" s="208">
        <v>0</v>
      </c>
      <c r="AF180" s="208">
        <v>0</v>
      </c>
      <c r="AG180" s="208">
        <v>5207276</v>
      </c>
      <c r="AH180" s="208">
        <v>0</v>
      </c>
      <c r="AI180" s="208">
        <v>103878</v>
      </c>
      <c r="AJ180" s="208">
        <v>5311154</v>
      </c>
      <c r="AK180" s="208">
        <v>3621991</v>
      </c>
      <c r="AL180" s="208">
        <v>3549552</v>
      </c>
      <c r="AM180" s="208">
        <v>0</v>
      </c>
      <c r="AN180" s="208">
        <v>72440</v>
      </c>
      <c r="AO180" s="208">
        <v>7243983</v>
      </c>
      <c r="AP180" s="208">
        <v>-2938826</v>
      </c>
      <c r="AQ180" s="208">
        <v>-2880049</v>
      </c>
      <c r="AR180" s="208">
        <v>0</v>
      </c>
      <c r="AS180" s="208">
        <v>-58777</v>
      </c>
      <c r="AT180" s="208">
        <v>-5877652</v>
      </c>
      <c r="AU180" s="208">
        <v>-2270300</v>
      </c>
      <c r="AV180" s="208">
        <v>-2224894</v>
      </c>
      <c r="AW180" s="208">
        <v>0</v>
      </c>
      <c r="AX180" s="208">
        <v>-45406</v>
      </c>
      <c r="AY180" s="208">
        <v>-4540600</v>
      </c>
      <c r="AZ180" s="208">
        <v>1110072</v>
      </c>
      <c r="BA180" s="208">
        <v>1087870</v>
      </c>
      <c r="BB180" s="208">
        <v>0</v>
      </c>
      <c r="BC180" s="208">
        <v>22201</v>
      </c>
      <c r="BD180" s="208">
        <v>2220143</v>
      </c>
      <c r="BE180" s="208">
        <v>-912176</v>
      </c>
      <c r="BF180" s="208">
        <v>-893933</v>
      </c>
      <c r="BG180" s="208">
        <v>0</v>
      </c>
      <c r="BH180" s="208">
        <v>-18244</v>
      </c>
      <c r="BI180" s="208">
        <v>-1824353</v>
      </c>
      <c r="BJ180" s="208">
        <v>-2072404</v>
      </c>
      <c r="BK180" s="208">
        <v>-2030957</v>
      </c>
      <c r="BL180" s="208">
        <v>0</v>
      </c>
      <c r="BM180" s="208">
        <v>-41449</v>
      </c>
      <c r="BN180" s="208">
        <v>-4144810</v>
      </c>
      <c r="BO180" s="208">
        <v>-8864098</v>
      </c>
      <c r="BP180" s="208">
        <v>-8686817</v>
      </c>
      <c r="BQ180" s="208">
        <v>0</v>
      </c>
      <c r="BR180" s="208">
        <v>-177282</v>
      </c>
      <c r="BS180" s="208">
        <v>-17728197</v>
      </c>
      <c r="BT180" s="208">
        <v>0</v>
      </c>
      <c r="BU180" s="208">
        <v>0</v>
      </c>
      <c r="BV180" s="208">
        <v>0</v>
      </c>
      <c r="BW180" s="208">
        <v>0</v>
      </c>
      <c r="BX180" s="208">
        <v>0</v>
      </c>
      <c r="BY180" s="208">
        <v>-8864098</v>
      </c>
      <c r="BZ180" s="208">
        <v>-8686817</v>
      </c>
      <c r="CA180" s="208">
        <v>0</v>
      </c>
      <c r="CB180" s="208">
        <v>-177282</v>
      </c>
      <c r="CC180" s="208">
        <v>-17728197</v>
      </c>
      <c r="CD180" s="208">
        <v>2743174</v>
      </c>
      <c r="CE180" s="208">
        <v>2688310</v>
      </c>
      <c r="CF180" s="208">
        <v>0</v>
      </c>
      <c r="CG180" s="208">
        <v>54863</v>
      </c>
      <c r="CH180" s="208">
        <v>5486347</v>
      </c>
      <c r="CI180" s="208">
        <v>0</v>
      </c>
      <c r="CJ180" s="208">
        <v>0</v>
      </c>
      <c r="CK180" s="208">
        <v>0</v>
      </c>
      <c r="CL180" s="208">
        <v>0</v>
      </c>
      <c r="CM180" s="208">
        <v>0</v>
      </c>
      <c r="CN180" s="208">
        <v>807877</v>
      </c>
      <c r="CO180" s="208">
        <v>791720</v>
      </c>
      <c r="CP180" s="208">
        <v>0</v>
      </c>
      <c r="CQ180" s="208">
        <v>16158</v>
      </c>
      <c r="CR180" s="208">
        <v>1615755</v>
      </c>
      <c r="CS180" s="208">
        <v>-7465014</v>
      </c>
      <c r="CT180" s="208">
        <v>-7315714</v>
      </c>
      <c r="CU180" s="208">
        <v>0</v>
      </c>
      <c r="CV180" s="208">
        <v>-149300</v>
      </c>
      <c r="CW180" s="208">
        <v>-14930028</v>
      </c>
      <c r="CX180" s="208">
        <v>-12778061</v>
      </c>
      <c r="CY180" s="208">
        <v>-12522501</v>
      </c>
      <c r="CZ180" s="208">
        <v>0</v>
      </c>
      <c r="DA180" s="208">
        <v>-255561</v>
      </c>
      <c r="DB180" s="208">
        <v>-25556123</v>
      </c>
      <c r="DC180" s="208">
        <v>3551051</v>
      </c>
      <c r="DD180" s="208">
        <v>3480030</v>
      </c>
      <c r="DE180" s="208">
        <v>0</v>
      </c>
      <c r="DF180" s="208">
        <v>71021</v>
      </c>
      <c r="DG180" s="208">
        <v>7102102</v>
      </c>
      <c r="DH180" s="208">
        <v>-16329112</v>
      </c>
      <c r="DI180" s="208">
        <v>-16002531</v>
      </c>
      <c r="DJ180" s="208">
        <v>0</v>
      </c>
      <c r="DK180" s="208">
        <v>-326582</v>
      </c>
      <c r="DL180" s="208">
        <v>-32658225</v>
      </c>
      <c r="DM180" s="208">
        <v>-2105038</v>
      </c>
      <c r="DN180" s="208">
        <v>-2062937</v>
      </c>
      <c r="DO180" s="208">
        <v>0</v>
      </c>
      <c r="DP180" s="208">
        <v>-42101</v>
      </c>
      <c r="DQ180" s="208">
        <v>-4210076</v>
      </c>
      <c r="DR180" s="208">
        <v>-2218156</v>
      </c>
      <c r="DS180" s="208">
        <v>-2173792</v>
      </c>
      <c r="DT180" s="208">
        <v>0</v>
      </c>
      <c r="DU180" s="208">
        <v>-44363</v>
      </c>
      <c r="DV180" s="208">
        <v>-4436311</v>
      </c>
      <c r="DW180" s="208">
        <v>113118</v>
      </c>
      <c r="DX180" s="208">
        <v>110855</v>
      </c>
      <c r="DY180" s="208">
        <v>0</v>
      </c>
      <c r="DZ180" s="208">
        <v>2262</v>
      </c>
      <c r="EA180" s="208">
        <v>226235</v>
      </c>
      <c r="EB180" s="208">
        <v>69401478</v>
      </c>
      <c r="EC180" s="208">
        <v>68013449</v>
      </c>
      <c r="ED180" s="208">
        <v>0</v>
      </c>
      <c r="EE180" s="208">
        <v>1388030</v>
      </c>
      <c r="EF180" s="208">
        <v>138802957</v>
      </c>
      <c r="EG180" s="208">
        <v>66696132</v>
      </c>
      <c r="EH180" s="208">
        <v>65362209</v>
      </c>
      <c r="EI180" s="208">
        <v>0</v>
      </c>
      <c r="EJ180" s="208">
        <v>1333923</v>
      </c>
      <c r="EK180" s="208">
        <v>133392264</v>
      </c>
      <c r="EL180" s="208">
        <v>-2705346</v>
      </c>
      <c r="EM180" s="208">
        <v>-2651240</v>
      </c>
      <c r="EN180" s="208">
        <v>0</v>
      </c>
      <c r="EO180" s="208">
        <v>-54107</v>
      </c>
      <c r="EP180" s="208">
        <v>-5410693</v>
      </c>
      <c r="EQ180" s="208">
        <v>-2592228</v>
      </c>
      <c r="ER180" s="208">
        <v>-2540385</v>
      </c>
      <c r="ES180" s="208">
        <v>0</v>
      </c>
      <c r="ET180" s="208">
        <v>-51845</v>
      </c>
      <c r="EU180" s="208">
        <v>-5184458</v>
      </c>
      <c r="EV180" s="666">
        <v>0.5</v>
      </c>
      <c r="EW180" s="666">
        <v>0.49</v>
      </c>
      <c r="EX180" s="666">
        <v>0</v>
      </c>
      <c r="EY180" s="666">
        <v>0.01</v>
      </c>
      <c r="EZ180" s="666">
        <v>1</v>
      </c>
      <c r="FA180" s="187" t="s">
        <v>1056</v>
      </c>
      <c r="FC180" s="187">
        <v>0</v>
      </c>
    </row>
    <row r="181" spans="1:159" s="187" customFormat="1" x14ac:dyDescent="0.2">
      <c r="B181" s="429" t="s">
        <v>439</v>
      </c>
      <c r="C181" s="429" t="s">
        <v>438</v>
      </c>
      <c r="D181" s="208">
        <v>16485458</v>
      </c>
      <c r="E181" s="208">
        <v>13188367</v>
      </c>
      <c r="F181" s="208">
        <v>2967383</v>
      </c>
      <c r="G181" s="208">
        <v>329709</v>
      </c>
      <c r="H181" s="208">
        <v>32970917</v>
      </c>
      <c r="I181" s="208">
        <v>0</v>
      </c>
      <c r="J181" s="208">
        <v>0</v>
      </c>
      <c r="K181" s="208">
        <v>16485458</v>
      </c>
      <c r="L181" s="208">
        <v>139635</v>
      </c>
      <c r="M181" s="208">
        <v>139635</v>
      </c>
      <c r="N181" s="208">
        <v>0</v>
      </c>
      <c r="O181" s="208">
        <v>0</v>
      </c>
      <c r="P181" s="208">
        <v>0</v>
      </c>
      <c r="Q181" s="208">
        <v>0</v>
      </c>
      <c r="R181" s="208">
        <v>0</v>
      </c>
      <c r="S181" s="208">
        <v>0</v>
      </c>
      <c r="T181" s="208">
        <v>0</v>
      </c>
      <c r="U181" s="208">
        <v>0</v>
      </c>
      <c r="V181" s="208">
        <v>0</v>
      </c>
      <c r="W181" s="208">
        <v>0</v>
      </c>
      <c r="X181" s="208">
        <v>0</v>
      </c>
      <c r="Y181" s="208">
        <v>0</v>
      </c>
      <c r="Z181" s="208">
        <v>0</v>
      </c>
      <c r="AA181" s="208">
        <v>0</v>
      </c>
      <c r="AB181" s="208">
        <v>0</v>
      </c>
      <c r="AC181" s="208">
        <v>0</v>
      </c>
      <c r="AD181" s="208">
        <v>0</v>
      </c>
      <c r="AE181" s="208">
        <v>0</v>
      </c>
      <c r="AF181" s="208">
        <v>0</v>
      </c>
      <c r="AG181" s="208">
        <v>1494121</v>
      </c>
      <c r="AH181" s="208">
        <v>336178</v>
      </c>
      <c r="AI181" s="208">
        <v>37354</v>
      </c>
      <c r="AJ181" s="208">
        <v>1867653</v>
      </c>
      <c r="AK181" s="208">
        <v>687246</v>
      </c>
      <c r="AL181" s="208">
        <v>549796</v>
      </c>
      <c r="AM181" s="208">
        <v>123704</v>
      </c>
      <c r="AN181" s="208">
        <v>13745</v>
      </c>
      <c r="AO181" s="208">
        <v>1374491</v>
      </c>
      <c r="AP181" s="208">
        <v>-374762</v>
      </c>
      <c r="AQ181" s="208">
        <v>-299810</v>
      </c>
      <c r="AR181" s="208">
        <v>-67457</v>
      </c>
      <c r="AS181" s="208">
        <v>-7495</v>
      </c>
      <c r="AT181" s="208">
        <v>-749524</v>
      </c>
      <c r="AU181" s="208">
        <v>-297722</v>
      </c>
      <c r="AV181" s="208">
        <v>-238177</v>
      </c>
      <c r="AW181" s="208">
        <v>-53590</v>
      </c>
      <c r="AX181" s="208">
        <v>-5954</v>
      </c>
      <c r="AY181" s="208">
        <v>-595443</v>
      </c>
      <c r="AZ181" s="208">
        <v>185309</v>
      </c>
      <c r="BA181" s="208">
        <v>148246</v>
      </c>
      <c r="BB181" s="208">
        <v>33355</v>
      </c>
      <c r="BC181" s="208">
        <v>3706</v>
      </c>
      <c r="BD181" s="208">
        <v>370616</v>
      </c>
      <c r="BE181" s="208">
        <v>-69789</v>
      </c>
      <c r="BF181" s="208">
        <v>-55832</v>
      </c>
      <c r="BG181" s="208">
        <v>-12562</v>
      </c>
      <c r="BH181" s="208">
        <v>-1396</v>
      </c>
      <c r="BI181" s="208">
        <v>-139579</v>
      </c>
      <c r="BJ181" s="208">
        <v>-182202</v>
      </c>
      <c r="BK181" s="208">
        <v>-145763</v>
      </c>
      <c r="BL181" s="208">
        <v>-32797</v>
      </c>
      <c r="BM181" s="208">
        <v>-3644</v>
      </c>
      <c r="BN181" s="208">
        <v>-364406</v>
      </c>
      <c r="BO181" s="208">
        <v>-2347539</v>
      </c>
      <c r="BP181" s="208">
        <v>-1878032</v>
      </c>
      <c r="BQ181" s="208">
        <v>-422557</v>
      </c>
      <c r="BR181" s="208">
        <v>-46951</v>
      </c>
      <c r="BS181" s="208">
        <v>-4695079</v>
      </c>
      <c r="BT181" s="208">
        <v>-1593886</v>
      </c>
      <c r="BU181" s="208">
        <v>-1275109</v>
      </c>
      <c r="BV181" s="208">
        <v>-286899</v>
      </c>
      <c r="BW181" s="208">
        <v>-31878</v>
      </c>
      <c r="BX181" s="208">
        <v>-3187772</v>
      </c>
      <c r="BY181" s="208">
        <v>-753653</v>
      </c>
      <c r="BZ181" s="208">
        <v>-602923</v>
      </c>
      <c r="CA181" s="208">
        <v>-135658</v>
      </c>
      <c r="CB181" s="208">
        <v>-15073</v>
      </c>
      <c r="CC181" s="208">
        <v>-1507307</v>
      </c>
      <c r="CD181" s="208">
        <v>660834</v>
      </c>
      <c r="CE181" s="208">
        <v>528668</v>
      </c>
      <c r="CF181" s="208">
        <v>118950</v>
      </c>
      <c r="CG181" s="208">
        <v>13217</v>
      </c>
      <c r="CH181" s="208">
        <v>1321669</v>
      </c>
      <c r="CI181" s="208">
        <v>0</v>
      </c>
      <c r="CJ181" s="208">
        <v>0</v>
      </c>
      <c r="CK181" s="208">
        <v>0</v>
      </c>
      <c r="CL181" s="208">
        <v>0</v>
      </c>
      <c r="CM181" s="208">
        <v>0</v>
      </c>
      <c r="CN181" s="208">
        <v>-658108</v>
      </c>
      <c r="CO181" s="208">
        <v>-526487</v>
      </c>
      <c r="CP181" s="208">
        <v>-118460</v>
      </c>
      <c r="CQ181" s="208">
        <v>-13162</v>
      </c>
      <c r="CR181" s="208">
        <v>-1316217</v>
      </c>
      <c r="CS181" s="208">
        <v>-228952</v>
      </c>
      <c r="CT181" s="208">
        <v>-183162</v>
      </c>
      <c r="CU181" s="208">
        <v>-41211</v>
      </c>
      <c r="CV181" s="208">
        <v>-4579</v>
      </c>
      <c r="CW181" s="208">
        <v>-457904</v>
      </c>
      <c r="CX181" s="208">
        <v>-2573765</v>
      </c>
      <c r="CY181" s="208">
        <v>-2059013</v>
      </c>
      <c r="CZ181" s="208">
        <v>-463278</v>
      </c>
      <c r="DA181" s="208">
        <v>-51475</v>
      </c>
      <c r="DB181" s="208">
        <v>-5147531</v>
      </c>
      <c r="DC181" s="208">
        <v>-1591160</v>
      </c>
      <c r="DD181" s="208">
        <v>-1272928</v>
      </c>
      <c r="DE181" s="208">
        <v>-286409</v>
      </c>
      <c r="DF181" s="208">
        <v>-31823</v>
      </c>
      <c r="DG181" s="208">
        <v>-3182320</v>
      </c>
      <c r="DH181" s="208">
        <v>-982605</v>
      </c>
      <c r="DI181" s="208">
        <v>-786085</v>
      </c>
      <c r="DJ181" s="208">
        <v>-176869</v>
      </c>
      <c r="DK181" s="208">
        <v>-19652</v>
      </c>
      <c r="DL181" s="208">
        <v>-1965211</v>
      </c>
      <c r="DM181" s="208">
        <v>-991566</v>
      </c>
      <c r="DN181" s="208">
        <v>-793250</v>
      </c>
      <c r="DO181" s="208">
        <v>-178481</v>
      </c>
      <c r="DP181" s="208">
        <v>-19831</v>
      </c>
      <c r="DQ181" s="208">
        <v>-1983128</v>
      </c>
      <c r="DR181" s="208">
        <v>-31343</v>
      </c>
      <c r="DS181" s="208">
        <v>-25075</v>
      </c>
      <c r="DT181" s="208">
        <v>-5642</v>
      </c>
      <c r="DU181" s="208">
        <v>-627</v>
      </c>
      <c r="DV181" s="208">
        <v>-62687</v>
      </c>
      <c r="DW181" s="208">
        <v>-960223</v>
      </c>
      <c r="DX181" s="208">
        <v>-768175</v>
      </c>
      <c r="DY181" s="208">
        <v>-172839</v>
      </c>
      <c r="DZ181" s="208">
        <v>-19204</v>
      </c>
      <c r="EA181" s="208">
        <v>-1920441</v>
      </c>
      <c r="EB181" s="208">
        <v>15616572</v>
      </c>
      <c r="EC181" s="208">
        <v>12493258</v>
      </c>
      <c r="ED181" s="208">
        <v>2810983</v>
      </c>
      <c r="EE181" s="208">
        <v>312331</v>
      </c>
      <c r="EF181" s="208">
        <v>31233144</v>
      </c>
      <c r="EG181" s="208">
        <v>16485458</v>
      </c>
      <c r="EH181" s="208">
        <v>13188367</v>
      </c>
      <c r="EI181" s="208">
        <v>2967383</v>
      </c>
      <c r="EJ181" s="208">
        <v>329709</v>
      </c>
      <c r="EK181" s="208">
        <v>32970917</v>
      </c>
      <c r="EL181" s="208">
        <v>868886</v>
      </c>
      <c r="EM181" s="208">
        <v>695109</v>
      </c>
      <c r="EN181" s="208">
        <v>156400</v>
      </c>
      <c r="EO181" s="208">
        <v>17378</v>
      </c>
      <c r="EP181" s="208">
        <v>1737773</v>
      </c>
      <c r="EQ181" s="208">
        <v>-91337</v>
      </c>
      <c r="ER181" s="208">
        <v>-73066</v>
      </c>
      <c r="ES181" s="208">
        <v>-16439</v>
      </c>
      <c r="ET181" s="208">
        <v>-1826</v>
      </c>
      <c r="EU181" s="208">
        <v>-182668</v>
      </c>
      <c r="EV181" s="666">
        <v>0.5</v>
      </c>
      <c r="EW181" s="666">
        <v>0.4</v>
      </c>
      <c r="EX181" s="666">
        <v>0.09</v>
      </c>
      <c r="EY181" s="666">
        <v>0.01</v>
      </c>
      <c r="EZ181" s="666">
        <v>1</v>
      </c>
      <c r="FA181" s="187" t="s">
        <v>1054</v>
      </c>
      <c r="FC181" s="187">
        <v>0</v>
      </c>
    </row>
    <row r="182" spans="1:159" s="187" customFormat="1" x14ac:dyDescent="0.2">
      <c r="B182" s="429" t="s">
        <v>441</v>
      </c>
      <c r="C182" s="429" t="s">
        <v>440</v>
      </c>
      <c r="D182" s="208">
        <v>0</v>
      </c>
      <c r="E182" s="208">
        <v>88391603</v>
      </c>
      <c r="F182" s="208">
        <v>49720277</v>
      </c>
      <c r="G182" s="208">
        <v>0</v>
      </c>
      <c r="H182" s="208">
        <v>138111880</v>
      </c>
      <c r="I182" s="208">
        <v>0</v>
      </c>
      <c r="J182" s="208">
        <v>0</v>
      </c>
      <c r="K182" s="208">
        <v>0</v>
      </c>
      <c r="L182" s="208">
        <v>381361</v>
      </c>
      <c r="M182" s="208">
        <v>381361</v>
      </c>
      <c r="N182" s="208">
        <v>1633661</v>
      </c>
      <c r="O182" s="208">
        <v>1633661</v>
      </c>
      <c r="P182" s="208">
        <v>0</v>
      </c>
      <c r="Q182" s="208">
        <v>0</v>
      </c>
      <c r="R182" s="208">
        <v>0</v>
      </c>
      <c r="S182" s="208">
        <v>0</v>
      </c>
      <c r="T182" s="208">
        <v>0</v>
      </c>
      <c r="U182" s="208">
        <v>0</v>
      </c>
      <c r="V182" s="208">
        <v>0</v>
      </c>
      <c r="W182" s="208">
        <v>0</v>
      </c>
      <c r="X182" s="208">
        <v>0</v>
      </c>
      <c r="Y182" s="208">
        <v>0</v>
      </c>
      <c r="Z182" s="208">
        <v>0</v>
      </c>
      <c r="AA182" s="208">
        <v>0</v>
      </c>
      <c r="AB182" s="208">
        <v>0</v>
      </c>
      <c r="AC182" s="208">
        <v>0</v>
      </c>
      <c r="AD182" s="208">
        <v>0</v>
      </c>
      <c r="AE182" s="208">
        <v>0</v>
      </c>
      <c r="AF182" s="208">
        <v>0</v>
      </c>
      <c r="AG182" s="208">
        <v>7659668</v>
      </c>
      <c r="AH182" s="208">
        <v>3980715</v>
      </c>
      <c r="AI182" s="208">
        <v>0</v>
      </c>
      <c r="AJ182" s="208">
        <v>11640383</v>
      </c>
      <c r="AK182" s="208">
        <v>0</v>
      </c>
      <c r="AL182" s="208">
        <v>2727642</v>
      </c>
      <c r="AM182" s="208">
        <v>1534298</v>
      </c>
      <c r="AN182" s="208">
        <v>0</v>
      </c>
      <c r="AO182" s="208">
        <v>4261940</v>
      </c>
      <c r="AP182" s="208">
        <v>0</v>
      </c>
      <c r="AQ182" s="208">
        <v>-2844525</v>
      </c>
      <c r="AR182" s="208">
        <v>-1600046</v>
      </c>
      <c r="AS182" s="208">
        <v>0</v>
      </c>
      <c r="AT182" s="208">
        <v>-4444571</v>
      </c>
      <c r="AU182" s="208">
        <v>-0.55999999959021807</v>
      </c>
      <c r="AV182" s="208">
        <v>-1566706</v>
      </c>
      <c r="AW182" s="208">
        <v>-881272</v>
      </c>
      <c r="AX182" s="208">
        <v>0</v>
      </c>
      <c r="AY182" s="208">
        <v>-2447978.5599999996</v>
      </c>
      <c r="AZ182" s="208">
        <v>0</v>
      </c>
      <c r="BA182" s="208">
        <v>513783</v>
      </c>
      <c r="BB182" s="208">
        <v>289003</v>
      </c>
      <c r="BC182" s="208">
        <v>0</v>
      </c>
      <c r="BD182" s="208">
        <v>802786</v>
      </c>
      <c r="BE182" s="208">
        <v>0</v>
      </c>
      <c r="BF182" s="208">
        <v>-881608</v>
      </c>
      <c r="BG182" s="208">
        <v>-495904</v>
      </c>
      <c r="BH182" s="208">
        <v>0</v>
      </c>
      <c r="BI182" s="208">
        <v>-1377512</v>
      </c>
      <c r="BJ182" s="208">
        <v>-0.55999999959021807</v>
      </c>
      <c r="BK182" s="208">
        <v>-1934531</v>
      </c>
      <c r="BL182" s="208">
        <v>-1088173</v>
      </c>
      <c r="BM182" s="208">
        <v>0</v>
      </c>
      <c r="BN182" s="208">
        <v>-3022704.5599999996</v>
      </c>
      <c r="BO182" s="208">
        <v>0</v>
      </c>
      <c r="BP182" s="208">
        <v>-9287082</v>
      </c>
      <c r="BQ182" s="208">
        <v>-5223984</v>
      </c>
      <c r="BR182" s="208">
        <v>0</v>
      </c>
      <c r="BS182" s="208">
        <v>-14511066</v>
      </c>
      <c r="BT182" s="208">
        <v>0</v>
      </c>
      <c r="BU182" s="208">
        <v>0</v>
      </c>
      <c r="BV182" s="208">
        <v>0</v>
      </c>
      <c r="BW182" s="208">
        <v>0</v>
      </c>
      <c r="BX182" s="208">
        <v>0</v>
      </c>
      <c r="BY182" s="208">
        <v>0</v>
      </c>
      <c r="BZ182" s="208">
        <v>-9287082</v>
      </c>
      <c r="CA182" s="208">
        <v>-5223984</v>
      </c>
      <c r="CB182" s="208">
        <v>0</v>
      </c>
      <c r="CC182" s="208">
        <v>-14511066</v>
      </c>
      <c r="CD182" s="208">
        <v>0</v>
      </c>
      <c r="CE182" s="208">
        <v>516844</v>
      </c>
      <c r="CF182" s="208">
        <v>290725</v>
      </c>
      <c r="CG182" s="208">
        <v>0</v>
      </c>
      <c r="CH182" s="208">
        <v>807569</v>
      </c>
      <c r="CI182" s="208">
        <v>0</v>
      </c>
      <c r="CJ182" s="208">
        <v>0</v>
      </c>
      <c r="CK182" s="208">
        <v>0</v>
      </c>
      <c r="CL182" s="208">
        <v>0</v>
      </c>
      <c r="CM182" s="208">
        <v>0</v>
      </c>
      <c r="CN182" s="208">
        <v>0</v>
      </c>
      <c r="CO182" s="208">
        <v>1112584</v>
      </c>
      <c r="CP182" s="208">
        <v>625828</v>
      </c>
      <c r="CQ182" s="208">
        <v>0</v>
      </c>
      <c r="CR182" s="208">
        <v>1738412</v>
      </c>
      <c r="CS182" s="208">
        <v>0</v>
      </c>
      <c r="CT182" s="208">
        <v>-9284566</v>
      </c>
      <c r="CU182" s="208">
        <v>-5222569</v>
      </c>
      <c r="CV182" s="208">
        <v>0</v>
      </c>
      <c r="CW182" s="208">
        <v>-14507135</v>
      </c>
      <c r="CX182" s="208">
        <v>0</v>
      </c>
      <c r="CY182" s="208">
        <v>-16942220</v>
      </c>
      <c r="CZ182" s="208">
        <v>-9530000</v>
      </c>
      <c r="DA182" s="208">
        <v>0</v>
      </c>
      <c r="DB182" s="208">
        <v>-26472220</v>
      </c>
      <c r="DC182" s="208">
        <v>0</v>
      </c>
      <c r="DD182" s="208">
        <v>1629428</v>
      </c>
      <c r="DE182" s="208">
        <v>916553</v>
      </c>
      <c r="DF182" s="208">
        <v>0</v>
      </c>
      <c r="DG182" s="208">
        <v>2545981</v>
      </c>
      <c r="DH182" s="208">
        <v>0</v>
      </c>
      <c r="DI182" s="208">
        <v>-18571648</v>
      </c>
      <c r="DJ182" s="208">
        <v>-10446553</v>
      </c>
      <c r="DK182" s="208">
        <v>0</v>
      </c>
      <c r="DL182" s="208">
        <v>-29018201</v>
      </c>
      <c r="DM182" s="208">
        <v>1356776</v>
      </c>
      <c r="DN182" s="208">
        <v>755022</v>
      </c>
      <c r="DO182" s="208">
        <v>404939</v>
      </c>
      <c r="DP182" s="208">
        <v>0</v>
      </c>
      <c r="DQ182" s="208">
        <v>2516737</v>
      </c>
      <c r="DR182" s="208">
        <v>-945128</v>
      </c>
      <c r="DS182" s="208">
        <v>-1508626</v>
      </c>
      <c r="DT182" s="208">
        <v>-2575001</v>
      </c>
      <c r="DU182" s="208">
        <v>0</v>
      </c>
      <c r="DV182" s="208">
        <v>-5028755</v>
      </c>
      <c r="DW182" s="208">
        <v>2301904</v>
      </c>
      <c r="DX182" s="208">
        <v>2263648</v>
      </c>
      <c r="DY182" s="208">
        <v>2979940</v>
      </c>
      <c r="DZ182" s="208">
        <v>0</v>
      </c>
      <c r="EA182" s="208">
        <v>7545492</v>
      </c>
      <c r="EB182" s="208">
        <v>0</v>
      </c>
      <c r="EC182" s="208">
        <v>95502655</v>
      </c>
      <c r="ED182" s="208">
        <v>53720244</v>
      </c>
      <c r="EE182" s="208">
        <v>0</v>
      </c>
      <c r="EF182" s="208">
        <v>149222899</v>
      </c>
      <c r="EG182" s="208">
        <v>0</v>
      </c>
      <c r="EH182" s="208">
        <v>88391603</v>
      </c>
      <c r="EI182" s="208">
        <v>49720277</v>
      </c>
      <c r="EJ182" s="208">
        <v>0</v>
      </c>
      <c r="EK182" s="208">
        <v>138111880</v>
      </c>
      <c r="EL182" s="208">
        <v>0</v>
      </c>
      <c r="EM182" s="208">
        <v>-7111052</v>
      </c>
      <c r="EN182" s="208">
        <v>-3999967</v>
      </c>
      <c r="EO182" s="208">
        <v>0</v>
      </c>
      <c r="EP182" s="208">
        <v>-11111019</v>
      </c>
      <c r="EQ182" s="208">
        <v>2301904</v>
      </c>
      <c r="ER182" s="208">
        <v>-4847404</v>
      </c>
      <c r="ES182" s="208">
        <v>-1020027</v>
      </c>
      <c r="ET182" s="208">
        <v>0</v>
      </c>
      <c r="EU182" s="208">
        <v>-3565527</v>
      </c>
      <c r="EV182" s="666">
        <v>0</v>
      </c>
      <c r="EW182" s="666">
        <v>0.64</v>
      </c>
      <c r="EX182" s="666">
        <v>0.36</v>
      </c>
      <c r="EY182" s="666">
        <v>0</v>
      </c>
      <c r="EZ182" s="666">
        <v>1</v>
      </c>
      <c r="FA182" s="187" t="s">
        <v>1055</v>
      </c>
      <c r="FC182" s="187">
        <v>0</v>
      </c>
    </row>
    <row r="183" spans="1:159" s="187" customFormat="1" x14ac:dyDescent="0.2">
      <c r="B183" s="429" t="s">
        <v>443</v>
      </c>
      <c r="C183" s="429" t="s">
        <v>442</v>
      </c>
      <c r="D183" s="208">
        <v>0</v>
      </c>
      <c r="E183" s="208">
        <v>12349077</v>
      </c>
      <c r="F183" s="208">
        <v>18214888</v>
      </c>
      <c r="G183" s="208">
        <v>308727</v>
      </c>
      <c r="H183" s="208">
        <v>30872692</v>
      </c>
      <c r="I183" s="208">
        <v>0</v>
      </c>
      <c r="J183" s="208">
        <v>0</v>
      </c>
      <c r="K183" s="208">
        <v>0</v>
      </c>
      <c r="L183" s="208">
        <v>202853</v>
      </c>
      <c r="M183" s="208">
        <v>202853</v>
      </c>
      <c r="N183" s="208">
        <v>0</v>
      </c>
      <c r="O183" s="208">
        <v>0</v>
      </c>
      <c r="P183" s="208">
        <v>344640</v>
      </c>
      <c r="Q183" s="208">
        <v>0</v>
      </c>
      <c r="R183" s="208">
        <v>344640</v>
      </c>
      <c r="S183" s="208">
        <v>0</v>
      </c>
      <c r="T183" s="208">
        <v>0</v>
      </c>
      <c r="U183" s="208">
        <v>0</v>
      </c>
      <c r="V183" s="208">
        <v>0</v>
      </c>
      <c r="W183" s="208">
        <v>0</v>
      </c>
      <c r="X183" s="208">
        <v>0</v>
      </c>
      <c r="Y183" s="208">
        <v>0</v>
      </c>
      <c r="Z183" s="208">
        <v>0</v>
      </c>
      <c r="AA183" s="208">
        <v>0</v>
      </c>
      <c r="AB183" s="208">
        <v>0</v>
      </c>
      <c r="AC183" s="208">
        <v>0</v>
      </c>
      <c r="AD183" s="208">
        <v>0</v>
      </c>
      <c r="AE183" s="208">
        <v>0</v>
      </c>
      <c r="AF183" s="208">
        <v>0</v>
      </c>
      <c r="AG183" s="208">
        <v>2510285</v>
      </c>
      <c r="AH183" s="208">
        <v>3691018</v>
      </c>
      <c r="AI183" s="208">
        <v>62560</v>
      </c>
      <c r="AJ183" s="208">
        <v>6263863</v>
      </c>
      <c r="AK183" s="208">
        <v>-1</v>
      </c>
      <c r="AL183" s="208">
        <v>502026</v>
      </c>
      <c r="AM183" s="208">
        <v>740488</v>
      </c>
      <c r="AN183" s="208">
        <v>12551</v>
      </c>
      <c r="AO183" s="208">
        <v>1255064</v>
      </c>
      <c r="AP183" s="208">
        <v>0</v>
      </c>
      <c r="AQ183" s="208">
        <v>-257536</v>
      </c>
      <c r="AR183" s="208">
        <v>-379865</v>
      </c>
      <c r="AS183" s="208">
        <v>-6438</v>
      </c>
      <c r="AT183" s="208">
        <v>-643839</v>
      </c>
      <c r="AU183" s="208">
        <v>0</v>
      </c>
      <c r="AV183" s="208">
        <v>-291482</v>
      </c>
      <c r="AW183" s="208">
        <v>-429936</v>
      </c>
      <c r="AX183" s="208">
        <v>-7287</v>
      </c>
      <c r="AY183" s="208">
        <v>-728705</v>
      </c>
      <c r="AZ183" s="208">
        <v>0</v>
      </c>
      <c r="BA183" s="208">
        <v>165158</v>
      </c>
      <c r="BB183" s="208">
        <v>243608</v>
      </c>
      <c r="BC183" s="208">
        <v>4129</v>
      </c>
      <c r="BD183" s="208">
        <v>412895</v>
      </c>
      <c r="BE183" s="208">
        <v>-1</v>
      </c>
      <c r="BF183" s="208">
        <v>-136404</v>
      </c>
      <c r="BG183" s="208">
        <v>-201196</v>
      </c>
      <c r="BH183" s="208">
        <v>-3410</v>
      </c>
      <c r="BI183" s="208">
        <v>-341011</v>
      </c>
      <c r="BJ183" s="208">
        <v>-1</v>
      </c>
      <c r="BK183" s="208">
        <v>-262728</v>
      </c>
      <c r="BL183" s="208">
        <v>-387524</v>
      </c>
      <c r="BM183" s="208">
        <v>-6568</v>
      </c>
      <c r="BN183" s="208">
        <v>-656821</v>
      </c>
      <c r="BO183" s="208">
        <v>0</v>
      </c>
      <c r="BP183" s="208">
        <v>-460435</v>
      </c>
      <c r="BQ183" s="208">
        <v>-679142</v>
      </c>
      <c r="BR183" s="208">
        <v>-11511</v>
      </c>
      <c r="BS183" s="208">
        <v>-1151088</v>
      </c>
      <c r="BT183" s="208">
        <v>0</v>
      </c>
      <c r="BU183" s="208">
        <v>-208330</v>
      </c>
      <c r="BV183" s="208">
        <v>-307287</v>
      </c>
      <c r="BW183" s="208">
        <v>-5208</v>
      </c>
      <c r="BX183" s="208">
        <v>-520825</v>
      </c>
      <c r="BY183" s="208">
        <v>0</v>
      </c>
      <c r="BZ183" s="208">
        <v>-252105</v>
      </c>
      <c r="CA183" s="208">
        <v>-371855</v>
      </c>
      <c r="CB183" s="208">
        <v>-6303</v>
      </c>
      <c r="CC183" s="208">
        <v>-630263</v>
      </c>
      <c r="CD183" s="208">
        <v>0</v>
      </c>
      <c r="CE183" s="208">
        <v>63424</v>
      </c>
      <c r="CF183" s="208">
        <v>93550</v>
      </c>
      <c r="CG183" s="208">
        <v>1586</v>
      </c>
      <c r="CH183" s="208">
        <v>158560</v>
      </c>
      <c r="CI183" s="208">
        <v>0</v>
      </c>
      <c r="CJ183" s="208">
        <v>35892</v>
      </c>
      <c r="CK183" s="208">
        <v>52940</v>
      </c>
      <c r="CL183" s="208">
        <v>897</v>
      </c>
      <c r="CM183" s="208">
        <v>89729</v>
      </c>
      <c r="CN183" s="208">
        <v>0</v>
      </c>
      <c r="CO183" s="208">
        <v>-163424</v>
      </c>
      <c r="CP183" s="208">
        <v>-241050</v>
      </c>
      <c r="CQ183" s="208">
        <v>-4086</v>
      </c>
      <c r="CR183" s="208">
        <v>-408560</v>
      </c>
      <c r="CS183" s="208">
        <v>0</v>
      </c>
      <c r="CT183" s="208">
        <v>-75883</v>
      </c>
      <c r="CU183" s="208">
        <v>-111927</v>
      </c>
      <c r="CV183" s="208">
        <v>-1897</v>
      </c>
      <c r="CW183" s="208">
        <v>-189707</v>
      </c>
      <c r="CX183" s="208">
        <v>0</v>
      </c>
      <c r="CY183" s="208">
        <v>-600426</v>
      </c>
      <c r="CZ183" s="208">
        <v>-885629</v>
      </c>
      <c r="DA183" s="208">
        <v>-15011</v>
      </c>
      <c r="DB183" s="208">
        <v>-1501066</v>
      </c>
      <c r="DC183" s="208">
        <v>0</v>
      </c>
      <c r="DD183" s="208">
        <v>-308330</v>
      </c>
      <c r="DE183" s="208">
        <v>-454787</v>
      </c>
      <c r="DF183" s="208">
        <v>-7708</v>
      </c>
      <c r="DG183" s="208">
        <v>-770825</v>
      </c>
      <c r="DH183" s="208">
        <v>0</v>
      </c>
      <c r="DI183" s="208">
        <v>-292096</v>
      </c>
      <c r="DJ183" s="208">
        <v>-430842</v>
      </c>
      <c r="DK183" s="208">
        <v>-7303</v>
      </c>
      <c r="DL183" s="208">
        <v>-730241</v>
      </c>
      <c r="DM183" s="208">
        <v>-743052</v>
      </c>
      <c r="DN183" s="208">
        <v>-594440</v>
      </c>
      <c r="DO183" s="208">
        <v>-133748</v>
      </c>
      <c r="DP183" s="208">
        <v>-14860</v>
      </c>
      <c r="DQ183" s="208">
        <v>-1486100</v>
      </c>
      <c r="DR183" s="208">
        <v>-528631</v>
      </c>
      <c r="DS183" s="208">
        <v>-422905</v>
      </c>
      <c r="DT183" s="208">
        <v>-95154</v>
      </c>
      <c r="DU183" s="208">
        <v>-10573</v>
      </c>
      <c r="DV183" s="208">
        <v>-1057263</v>
      </c>
      <c r="DW183" s="208">
        <v>-214421</v>
      </c>
      <c r="DX183" s="208">
        <v>-171535</v>
      </c>
      <c r="DY183" s="208">
        <v>-38594</v>
      </c>
      <c r="DZ183" s="208">
        <v>-4287</v>
      </c>
      <c r="EA183" s="208">
        <v>-428837</v>
      </c>
      <c r="EB183" s="208">
        <v>0</v>
      </c>
      <c r="EC183" s="208">
        <v>12530864</v>
      </c>
      <c r="ED183" s="208">
        <v>18483025</v>
      </c>
      <c r="EE183" s="208">
        <v>313272</v>
      </c>
      <c r="EF183" s="208">
        <v>31327161</v>
      </c>
      <c r="EG183" s="208">
        <v>0</v>
      </c>
      <c r="EH183" s="208">
        <v>12349077</v>
      </c>
      <c r="EI183" s="208">
        <v>18214888</v>
      </c>
      <c r="EJ183" s="208">
        <v>308727</v>
      </c>
      <c r="EK183" s="208">
        <v>30872692</v>
      </c>
      <c r="EL183" s="208">
        <v>0</v>
      </c>
      <c r="EM183" s="208">
        <v>-181787</v>
      </c>
      <c r="EN183" s="208">
        <v>-268137</v>
      </c>
      <c r="EO183" s="208">
        <v>-4545</v>
      </c>
      <c r="EP183" s="208">
        <v>-454469</v>
      </c>
      <c r="EQ183" s="208">
        <v>-214421</v>
      </c>
      <c r="ER183" s="208">
        <v>-353322</v>
      </c>
      <c r="ES183" s="208">
        <v>-306731</v>
      </c>
      <c r="ET183" s="208">
        <v>-8832</v>
      </c>
      <c r="EU183" s="208">
        <v>-883306</v>
      </c>
      <c r="EV183" s="666">
        <v>0</v>
      </c>
      <c r="EW183" s="666">
        <v>0.4</v>
      </c>
      <c r="EX183" s="666">
        <v>0.59</v>
      </c>
      <c r="EY183" s="666">
        <v>0.01</v>
      </c>
      <c r="EZ183" s="666">
        <v>1</v>
      </c>
      <c r="FA183" s="187" t="s">
        <v>1054</v>
      </c>
      <c r="FC183" s="187">
        <v>0</v>
      </c>
    </row>
    <row r="184" spans="1:159" s="187" customFormat="1" x14ac:dyDescent="0.2">
      <c r="B184" s="429" t="s">
        <v>445</v>
      </c>
      <c r="C184" s="429" t="s">
        <v>444</v>
      </c>
      <c r="D184" s="208">
        <v>6061719</v>
      </c>
      <c r="E184" s="208">
        <v>4849375</v>
      </c>
      <c r="F184" s="208">
        <v>1091109</v>
      </c>
      <c r="G184" s="208">
        <v>121234</v>
      </c>
      <c r="H184" s="208">
        <v>12123437</v>
      </c>
      <c r="I184" s="208">
        <v>0</v>
      </c>
      <c r="J184" s="208">
        <v>0</v>
      </c>
      <c r="K184" s="208">
        <v>6061719</v>
      </c>
      <c r="L184" s="208">
        <v>90679</v>
      </c>
      <c r="M184" s="208">
        <v>90679</v>
      </c>
      <c r="N184" s="208">
        <v>0</v>
      </c>
      <c r="O184" s="208">
        <v>0</v>
      </c>
      <c r="P184" s="208">
        <v>132321</v>
      </c>
      <c r="Q184" s="208">
        <v>0</v>
      </c>
      <c r="R184" s="208">
        <v>132321</v>
      </c>
      <c r="S184" s="208">
        <v>0</v>
      </c>
      <c r="T184" s="208">
        <v>0</v>
      </c>
      <c r="U184" s="208">
        <v>0</v>
      </c>
      <c r="V184" s="208">
        <v>0</v>
      </c>
      <c r="W184" s="208">
        <v>0</v>
      </c>
      <c r="X184" s="208">
        <v>0</v>
      </c>
      <c r="Y184" s="208">
        <v>0</v>
      </c>
      <c r="Z184" s="208">
        <v>0</v>
      </c>
      <c r="AA184" s="208">
        <v>0</v>
      </c>
      <c r="AB184" s="208">
        <v>0</v>
      </c>
      <c r="AC184" s="208">
        <v>0</v>
      </c>
      <c r="AD184" s="208">
        <v>0</v>
      </c>
      <c r="AE184" s="208">
        <v>0</v>
      </c>
      <c r="AF184" s="208">
        <v>0</v>
      </c>
      <c r="AG184" s="208">
        <v>1110458</v>
      </c>
      <c r="AH184" s="208">
        <v>249170</v>
      </c>
      <c r="AI184" s="208">
        <v>27685</v>
      </c>
      <c r="AJ184" s="208">
        <v>1387313</v>
      </c>
      <c r="AK184" s="208">
        <v>224978</v>
      </c>
      <c r="AL184" s="208">
        <v>179983</v>
      </c>
      <c r="AM184" s="208">
        <v>40496</v>
      </c>
      <c r="AN184" s="208">
        <v>4500</v>
      </c>
      <c r="AO184" s="208">
        <v>449957</v>
      </c>
      <c r="AP184" s="208">
        <v>-54351</v>
      </c>
      <c r="AQ184" s="208">
        <v>-43481</v>
      </c>
      <c r="AR184" s="208">
        <v>-9783</v>
      </c>
      <c r="AS184" s="208">
        <v>-1087</v>
      </c>
      <c r="AT184" s="208">
        <v>-108702</v>
      </c>
      <c r="AU184" s="208">
        <v>-179000</v>
      </c>
      <c r="AV184" s="208">
        <v>-143200</v>
      </c>
      <c r="AW184" s="208">
        <v>-32220</v>
      </c>
      <c r="AX184" s="208">
        <v>-3580</v>
      </c>
      <c r="AY184" s="208">
        <v>-358000</v>
      </c>
      <c r="AZ184" s="208">
        <v>20448</v>
      </c>
      <c r="BA184" s="208">
        <v>16358</v>
      </c>
      <c r="BB184" s="208">
        <v>3681</v>
      </c>
      <c r="BC184" s="208">
        <v>409</v>
      </c>
      <c r="BD184" s="208">
        <v>40896</v>
      </c>
      <c r="BE184" s="208">
        <v>-21448</v>
      </c>
      <c r="BF184" s="208">
        <v>-17158</v>
      </c>
      <c r="BG184" s="208">
        <v>-3861</v>
      </c>
      <c r="BH184" s="208">
        <v>-429</v>
      </c>
      <c r="BI184" s="208">
        <v>-42896</v>
      </c>
      <c r="BJ184" s="208">
        <v>-180000</v>
      </c>
      <c r="BK184" s="208">
        <v>-144000</v>
      </c>
      <c r="BL184" s="208">
        <v>-32400</v>
      </c>
      <c r="BM184" s="208">
        <v>-3600</v>
      </c>
      <c r="BN184" s="208">
        <v>-360000</v>
      </c>
      <c r="BO184" s="208">
        <v>-1421816</v>
      </c>
      <c r="BP184" s="208">
        <v>-1137452</v>
      </c>
      <c r="BQ184" s="208">
        <v>-255927</v>
      </c>
      <c r="BR184" s="208">
        <v>-28436</v>
      </c>
      <c r="BS184" s="208">
        <v>-2843631</v>
      </c>
      <c r="BT184" s="208">
        <v>-1082624</v>
      </c>
      <c r="BU184" s="208">
        <v>-866098</v>
      </c>
      <c r="BV184" s="208">
        <v>-194872</v>
      </c>
      <c r="BW184" s="208">
        <v>-21652</v>
      </c>
      <c r="BX184" s="208">
        <v>-2165246</v>
      </c>
      <c r="BY184" s="208">
        <v>-339192</v>
      </c>
      <c r="BZ184" s="208">
        <v>-271354</v>
      </c>
      <c r="CA184" s="208">
        <v>-61055</v>
      </c>
      <c r="CB184" s="208">
        <v>-6784</v>
      </c>
      <c r="CC184" s="208">
        <v>-678385</v>
      </c>
      <c r="CD184" s="208">
        <v>127027</v>
      </c>
      <c r="CE184" s="208">
        <v>101622</v>
      </c>
      <c r="CF184" s="208">
        <v>22865</v>
      </c>
      <c r="CG184" s="208">
        <v>2541</v>
      </c>
      <c r="CH184" s="208">
        <v>254055</v>
      </c>
      <c r="CI184" s="208">
        <v>0</v>
      </c>
      <c r="CJ184" s="208">
        <v>0</v>
      </c>
      <c r="CK184" s="208">
        <v>0</v>
      </c>
      <c r="CL184" s="208">
        <v>0</v>
      </c>
      <c r="CM184" s="208">
        <v>0</v>
      </c>
      <c r="CN184" s="208">
        <v>-725000</v>
      </c>
      <c r="CO184" s="208">
        <v>-580000</v>
      </c>
      <c r="CP184" s="208">
        <v>-130500</v>
      </c>
      <c r="CQ184" s="208">
        <v>-14500</v>
      </c>
      <c r="CR184" s="208">
        <v>-1450000</v>
      </c>
      <c r="CS184" s="208">
        <v>-376290</v>
      </c>
      <c r="CT184" s="208">
        <v>-301032</v>
      </c>
      <c r="CU184" s="208">
        <v>-67732</v>
      </c>
      <c r="CV184" s="208">
        <v>-7526</v>
      </c>
      <c r="CW184" s="208">
        <v>-752580</v>
      </c>
      <c r="CX184" s="208">
        <v>-2396079</v>
      </c>
      <c r="CY184" s="208">
        <v>-1916862</v>
      </c>
      <c r="CZ184" s="208">
        <v>-431294</v>
      </c>
      <c r="DA184" s="208">
        <v>-47921</v>
      </c>
      <c r="DB184" s="208">
        <v>-4792156</v>
      </c>
      <c r="DC184" s="208">
        <v>-1680597</v>
      </c>
      <c r="DD184" s="208">
        <v>-1344476</v>
      </c>
      <c r="DE184" s="208">
        <v>-302507</v>
      </c>
      <c r="DF184" s="208">
        <v>-33611</v>
      </c>
      <c r="DG184" s="208">
        <v>-3361191</v>
      </c>
      <c r="DH184" s="208">
        <v>-715482</v>
      </c>
      <c r="DI184" s="208">
        <v>-572386</v>
      </c>
      <c r="DJ184" s="208">
        <v>-128787</v>
      </c>
      <c r="DK184" s="208">
        <v>-14310</v>
      </c>
      <c r="DL184" s="208">
        <v>-1430965</v>
      </c>
      <c r="DM184" s="208">
        <v>-608389</v>
      </c>
      <c r="DN184" s="208">
        <v>-486712</v>
      </c>
      <c r="DO184" s="208">
        <v>-109512</v>
      </c>
      <c r="DP184" s="208">
        <v>-12167</v>
      </c>
      <c r="DQ184" s="208">
        <v>-1216780</v>
      </c>
      <c r="DR184" s="208">
        <v>-441249</v>
      </c>
      <c r="DS184" s="208">
        <v>-353000</v>
      </c>
      <c r="DT184" s="208">
        <v>-79425</v>
      </c>
      <c r="DU184" s="208">
        <v>-8825</v>
      </c>
      <c r="DV184" s="208">
        <v>-882499</v>
      </c>
      <c r="DW184" s="208">
        <v>-167140</v>
      </c>
      <c r="DX184" s="208">
        <v>-133712</v>
      </c>
      <c r="DY184" s="208">
        <v>-30087</v>
      </c>
      <c r="DZ184" s="208">
        <v>-3342</v>
      </c>
      <c r="EA184" s="208">
        <v>-334281</v>
      </c>
      <c r="EB184" s="208">
        <v>5933831</v>
      </c>
      <c r="EC184" s="208">
        <v>4747064</v>
      </c>
      <c r="ED184" s="208">
        <v>1068089</v>
      </c>
      <c r="EE184" s="208">
        <v>118677</v>
      </c>
      <c r="EF184" s="208">
        <v>11867661</v>
      </c>
      <c r="EG184" s="208">
        <v>6061719</v>
      </c>
      <c r="EH184" s="208">
        <v>4849375</v>
      </c>
      <c r="EI184" s="208">
        <v>1091109</v>
      </c>
      <c r="EJ184" s="208">
        <v>121234</v>
      </c>
      <c r="EK184" s="208">
        <v>12123437</v>
      </c>
      <c r="EL184" s="208">
        <v>127888</v>
      </c>
      <c r="EM184" s="208">
        <v>102311</v>
      </c>
      <c r="EN184" s="208">
        <v>23020</v>
      </c>
      <c r="EO184" s="208">
        <v>2557</v>
      </c>
      <c r="EP184" s="208">
        <v>255776</v>
      </c>
      <c r="EQ184" s="208">
        <v>-39252</v>
      </c>
      <c r="ER184" s="208">
        <v>-31401</v>
      </c>
      <c r="ES184" s="208">
        <v>-7067</v>
      </c>
      <c r="ET184" s="208">
        <v>-785</v>
      </c>
      <c r="EU184" s="208">
        <v>-78505</v>
      </c>
      <c r="EV184" s="666">
        <v>0.5</v>
      </c>
      <c r="EW184" s="666">
        <v>0.4</v>
      </c>
      <c r="EX184" s="666">
        <v>0.09</v>
      </c>
      <c r="EY184" s="666">
        <v>0.01</v>
      </c>
      <c r="EZ184" s="666">
        <v>1</v>
      </c>
      <c r="FA184" s="187" t="s">
        <v>1054</v>
      </c>
      <c r="FC184" s="187">
        <v>0</v>
      </c>
    </row>
    <row r="185" spans="1:159" s="187" customFormat="1" x14ac:dyDescent="0.2">
      <c r="B185" s="429" t="s">
        <v>447</v>
      </c>
      <c r="C185" s="429" t="s">
        <v>446</v>
      </c>
      <c r="D185" s="208">
        <v>0</v>
      </c>
      <c r="E185" s="208">
        <v>8494166</v>
      </c>
      <c r="F185" s="208">
        <v>8324283</v>
      </c>
      <c r="G185" s="208">
        <v>169883</v>
      </c>
      <c r="H185" s="208">
        <v>16988332</v>
      </c>
      <c r="I185" s="208">
        <v>0</v>
      </c>
      <c r="J185" s="208">
        <v>0</v>
      </c>
      <c r="K185" s="208">
        <v>0</v>
      </c>
      <c r="L185" s="208">
        <v>100276</v>
      </c>
      <c r="M185" s="208">
        <v>100276</v>
      </c>
      <c r="N185" s="208">
        <v>0</v>
      </c>
      <c r="O185" s="208">
        <v>0</v>
      </c>
      <c r="P185" s="208">
        <v>0</v>
      </c>
      <c r="Q185" s="208">
        <v>0</v>
      </c>
      <c r="R185" s="208">
        <v>0</v>
      </c>
      <c r="S185" s="208">
        <v>0</v>
      </c>
      <c r="T185" s="208">
        <v>0</v>
      </c>
      <c r="U185" s="208">
        <v>0</v>
      </c>
      <c r="V185" s="208">
        <v>0</v>
      </c>
      <c r="W185" s="208">
        <v>0</v>
      </c>
      <c r="X185" s="208">
        <v>0</v>
      </c>
      <c r="Y185" s="208">
        <v>0</v>
      </c>
      <c r="Z185" s="208">
        <v>0</v>
      </c>
      <c r="AA185" s="208">
        <v>0</v>
      </c>
      <c r="AB185" s="208">
        <v>0</v>
      </c>
      <c r="AC185" s="208">
        <v>0</v>
      </c>
      <c r="AD185" s="208">
        <v>0</v>
      </c>
      <c r="AE185" s="208">
        <v>0</v>
      </c>
      <c r="AF185" s="208">
        <v>0</v>
      </c>
      <c r="AG185" s="208">
        <v>1360644</v>
      </c>
      <c r="AH185" s="208">
        <v>1333429</v>
      </c>
      <c r="AI185" s="208">
        <v>27213</v>
      </c>
      <c r="AJ185" s="208">
        <v>2721286</v>
      </c>
      <c r="AK185" s="208">
        <v>0</v>
      </c>
      <c r="AL185" s="208">
        <v>298570</v>
      </c>
      <c r="AM185" s="208">
        <v>292598</v>
      </c>
      <c r="AN185" s="208">
        <v>5971</v>
      </c>
      <c r="AO185" s="208">
        <v>597139</v>
      </c>
      <c r="AP185" s="208">
        <v>1</v>
      </c>
      <c r="AQ185" s="208">
        <v>-53133</v>
      </c>
      <c r="AR185" s="208">
        <v>-52070</v>
      </c>
      <c r="AS185" s="208">
        <v>-1063</v>
      </c>
      <c r="AT185" s="208">
        <v>-106265</v>
      </c>
      <c r="AU185" s="208">
        <v>0</v>
      </c>
      <c r="AV185" s="208">
        <v>-132651</v>
      </c>
      <c r="AW185" s="208">
        <v>-129998</v>
      </c>
      <c r="AX185" s="208">
        <v>-2653</v>
      </c>
      <c r="AY185" s="208">
        <v>-265302</v>
      </c>
      <c r="AZ185" s="208">
        <v>0</v>
      </c>
      <c r="BA185" s="208">
        <v>75554</v>
      </c>
      <c r="BB185" s="208">
        <v>74043</v>
      </c>
      <c r="BC185" s="208">
        <v>1511</v>
      </c>
      <c r="BD185" s="208">
        <v>151108</v>
      </c>
      <c r="BE185" s="208">
        <v>0</v>
      </c>
      <c r="BF185" s="208">
        <v>11992</v>
      </c>
      <c r="BG185" s="208">
        <v>11752</v>
      </c>
      <c r="BH185" s="208">
        <v>240</v>
      </c>
      <c r="BI185" s="208">
        <v>23984</v>
      </c>
      <c r="BJ185" s="208">
        <v>0</v>
      </c>
      <c r="BK185" s="208">
        <v>-45105</v>
      </c>
      <c r="BL185" s="208">
        <v>-44203</v>
      </c>
      <c r="BM185" s="208">
        <v>-902</v>
      </c>
      <c r="BN185" s="208">
        <v>-90210</v>
      </c>
      <c r="BO185" s="208">
        <v>0.79999999981373549</v>
      </c>
      <c r="BP185" s="208">
        <v>-1990589</v>
      </c>
      <c r="BQ185" s="208">
        <v>-1950777</v>
      </c>
      <c r="BR185" s="208">
        <v>-39812</v>
      </c>
      <c r="BS185" s="208">
        <v>-3981177.2</v>
      </c>
      <c r="BT185" s="208">
        <v>1</v>
      </c>
      <c r="BU185" s="208">
        <v>-644594</v>
      </c>
      <c r="BV185" s="208">
        <v>-631702</v>
      </c>
      <c r="BW185" s="208">
        <v>-12892</v>
      </c>
      <c r="BX185" s="208">
        <v>-1289187</v>
      </c>
      <c r="BY185" s="208">
        <v>-0.20000000018626451</v>
      </c>
      <c r="BZ185" s="208">
        <v>-1345995</v>
      </c>
      <c r="CA185" s="208">
        <v>-1319075</v>
      </c>
      <c r="CB185" s="208">
        <v>-26920</v>
      </c>
      <c r="CC185" s="208">
        <v>-2691990.2</v>
      </c>
      <c r="CD185" s="208">
        <v>0</v>
      </c>
      <c r="CE185" s="208">
        <v>271752</v>
      </c>
      <c r="CF185" s="208">
        <v>266316</v>
      </c>
      <c r="CG185" s="208">
        <v>5435</v>
      </c>
      <c r="CH185" s="208">
        <v>543503</v>
      </c>
      <c r="CI185" s="208">
        <v>0</v>
      </c>
      <c r="CJ185" s="208">
        <v>535869</v>
      </c>
      <c r="CK185" s="208">
        <v>525151</v>
      </c>
      <c r="CL185" s="208">
        <v>10717</v>
      </c>
      <c r="CM185" s="208">
        <v>1071737</v>
      </c>
      <c r="CN185" s="208">
        <v>0</v>
      </c>
      <c r="CO185" s="208">
        <v>-253984</v>
      </c>
      <c r="CP185" s="208">
        <v>-248904</v>
      </c>
      <c r="CQ185" s="208">
        <v>-5080</v>
      </c>
      <c r="CR185" s="208">
        <v>-507968</v>
      </c>
      <c r="CS185" s="208">
        <v>0</v>
      </c>
      <c r="CT185" s="208">
        <v>-405558</v>
      </c>
      <c r="CU185" s="208">
        <v>-397447</v>
      </c>
      <c r="CV185" s="208">
        <v>-8111</v>
      </c>
      <c r="CW185" s="208">
        <v>-811116</v>
      </c>
      <c r="CX185" s="208">
        <v>0.79999999981373549</v>
      </c>
      <c r="CY185" s="208">
        <v>-1842510</v>
      </c>
      <c r="CZ185" s="208">
        <v>-1805661</v>
      </c>
      <c r="DA185" s="208">
        <v>-36851</v>
      </c>
      <c r="DB185" s="208">
        <v>-3685021.2</v>
      </c>
      <c r="DC185" s="208">
        <v>1</v>
      </c>
      <c r="DD185" s="208">
        <v>-626826</v>
      </c>
      <c r="DE185" s="208">
        <v>-614290</v>
      </c>
      <c r="DF185" s="208">
        <v>-12537</v>
      </c>
      <c r="DG185" s="208">
        <v>-1253652</v>
      </c>
      <c r="DH185" s="208">
        <v>-0.20000000018626451</v>
      </c>
      <c r="DI185" s="208">
        <v>-1215684</v>
      </c>
      <c r="DJ185" s="208">
        <v>-1191371</v>
      </c>
      <c r="DK185" s="208">
        <v>-24314</v>
      </c>
      <c r="DL185" s="208">
        <v>-2431369.2000000002</v>
      </c>
      <c r="DM185" s="208">
        <v>-992306</v>
      </c>
      <c r="DN185" s="208">
        <v>-793845</v>
      </c>
      <c r="DO185" s="208">
        <v>-178616</v>
      </c>
      <c r="DP185" s="208">
        <v>-19846</v>
      </c>
      <c r="DQ185" s="208">
        <v>-1984613</v>
      </c>
      <c r="DR185" s="208">
        <v>-608496</v>
      </c>
      <c r="DS185" s="208">
        <v>-486797</v>
      </c>
      <c r="DT185" s="208">
        <v>-109529</v>
      </c>
      <c r="DU185" s="208">
        <v>-12170</v>
      </c>
      <c r="DV185" s="208">
        <v>-1216992</v>
      </c>
      <c r="DW185" s="208">
        <v>-383810</v>
      </c>
      <c r="DX185" s="208">
        <v>-307048</v>
      </c>
      <c r="DY185" s="208">
        <v>-69087</v>
      </c>
      <c r="DZ185" s="208">
        <v>-7676</v>
      </c>
      <c r="EA185" s="208">
        <v>-767621</v>
      </c>
      <c r="EB185" s="208">
        <v>0</v>
      </c>
      <c r="EC185" s="208">
        <v>8654314</v>
      </c>
      <c r="ED185" s="208">
        <v>8481228</v>
      </c>
      <c r="EE185" s="208">
        <v>173086</v>
      </c>
      <c r="EF185" s="208">
        <v>17308628</v>
      </c>
      <c r="EG185" s="208">
        <v>0</v>
      </c>
      <c r="EH185" s="208">
        <v>8494166</v>
      </c>
      <c r="EI185" s="208">
        <v>8324283</v>
      </c>
      <c r="EJ185" s="208">
        <v>169883</v>
      </c>
      <c r="EK185" s="208">
        <v>16988332</v>
      </c>
      <c r="EL185" s="208">
        <v>0</v>
      </c>
      <c r="EM185" s="208">
        <v>-160148</v>
      </c>
      <c r="EN185" s="208">
        <v>-156945</v>
      </c>
      <c r="EO185" s="208">
        <v>-3203</v>
      </c>
      <c r="EP185" s="208">
        <v>-320296</v>
      </c>
      <c r="EQ185" s="208">
        <v>-383810</v>
      </c>
      <c r="ER185" s="208">
        <v>-467196</v>
      </c>
      <c r="ES185" s="208">
        <v>-226032</v>
      </c>
      <c r="ET185" s="208">
        <v>-10879</v>
      </c>
      <c r="EU185" s="208">
        <v>-1087917</v>
      </c>
      <c r="EV185" s="666">
        <v>0</v>
      </c>
      <c r="EW185" s="666">
        <v>0.5</v>
      </c>
      <c r="EX185" s="666">
        <v>0.49</v>
      </c>
      <c r="EY185" s="666">
        <v>0.01</v>
      </c>
      <c r="EZ185" s="666">
        <v>1</v>
      </c>
      <c r="FA185" s="187" t="s">
        <v>1054</v>
      </c>
      <c r="FC185" s="187">
        <v>0</v>
      </c>
    </row>
    <row r="186" spans="1:159" s="187" customFormat="1" x14ac:dyDescent="0.2">
      <c r="B186" s="429" t="s">
        <v>449</v>
      </c>
      <c r="C186" s="429" t="s">
        <v>448</v>
      </c>
      <c r="D186" s="208">
        <v>28577401</v>
      </c>
      <c r="E186" s="208">
        <v>28005853</v>
      </c>
      <c r="F186" s="208">
        <v>0</v>
      </c>
      <c r="G186" s="208">
        <v>571548</v>
      </c>
      <c r="H186" s="208">
        <v>57154802</v>
      </c>
      <c r="I186" s="208">
        <v>128131</v>
      </c>
      <c r="J186" s="208">
        <v>128131</v>
      </c>
      <c r="K186" s="208">
        <v>28449270</v>
      </c>
      <c r="L186" s="208">
        <v>222536</v>
      </c>
      <c r="M186" s="208">
        <v>222536</v>
      </c>
      <c r="N186" s="208">
        <v>0</v>
      </c>
      <c r="O186" s="208">
        <v>0</v>
      </c>
      <c r="P186" s="208">
        <v>134891</v>
      </c>
      <c r="Q186" s="208">
        <v>0</v>
      </c>
      <c r="R186" s="208">
        <v>134891</v>
      </c>
      <c r="S186" s="208">
        <v>0</v>
      </c>
      <c r="T186" s="208">
        <v>0</v>
      </c>
      <c r="U186" s="208">
        <v>0</v>
      </c>
      <c r="V186" s="208">
        <v>0</v>
      </c>
      <c r="W186" s="208">
        <v>128130.54166666667</v>
      </c>
      <c r="X186" s="208">
        <v>0</v>
      </c>
      <c r="Y186" s="208">
        <v>0</v>
      </c>
      <c r="Z186" s="208">
        <v>128130.54166666667</v>
      </c>
      <c r="AA186" s="208">
        <v>0</v>
      </c>
      <c r="AB186" s="208">
        <v>0</v>
      </c>
      <c r="AC186" s="208">
        <v>0</v>
      </c>
      <c r="AD186" s="208">
        <v>0</v>
      </c>
      <c r="AE186" s="208">
        <v>0</v>
      </c>
      <c r="AF186" s="208">
        <v>0</v>
      </c>
      <c r="AG186" s="208">
        <v>2506178</v>
      </c>
      <c r="AH186" s="208">
        <v>0</v>
      </c>
      <c r="AI186" s="208">
        <v>51082</v>
      </c>
      <c r="AJ186" s="208">
        <v>2557260</v>
      </c>
      <c r="AK186" s="208">
        <v>2986721</v>
      </c>
      <c r="AL186" s="208">
        <v>2926986</v>
      </c>
      <c r="AM186" s="208">
        <v>0</v>
      </c>
      <c r="AN186" s="208">
        <v>59734</v>
      </c>
      <c r="AO186" s="208">
        <v>5973441</v>
      </c>
      <c r="AP186" s="208">
        <v>-1523999</v>
      </c>
      <c r="AQ186" s="208">
        <v>-1493520</v>
      </c>
      <c r="AR186" s="208">
        <v>0</v>
      </c>
      <c r="AS186" s="208">
        <v>-30480</v>
      </c>
      <c r="AT186" s="208">
        <v>-3047999</v>
      </c>
      <c r="AU186" s="208">
        <v>-1301466</v>
      </c>
      <c r="AV186" s="208">
        <v>-1275437</v>
      </c>
      <c r="AW186" s="208">
        <v>0</v>
      </c>
      <c r="AX186" s="208">
        <v>-26029</v>
      </c>
      <c r="AY186" s="208">
        <v>-2602932</v>
      </c>
      <c r="AZ186" s="208">
        <v>370971</v>
      </c>
      <c r="BA186" s="208">
        <v>363551</v>
      </c>
      <c r="BB186" s="208">
        <v>0</v>
      </c>
      <c r="BC186" s="208">
        <v>7419</v>
      </c>
      <c r="BD186" s="208">
        <v>741941</v>
      </c>
      <c r="BE186" s="208">
        <v>-377994</v>
      </c>
      <c r="BF186" s="208">
        <v>-370435</v>
      </c>
      <c r="BG186" s="208">
        <v>0</v>
      </c>
      <c r="BH186" s="208">
        <v>-7560</v>
      </c>
      <c r="BI186" s="208">
        <v>-755989</v>
      </c>
      <c r="BJ186" s="208">
        <v>-1308489</v>
      </c>
      <c r="BK186" s="208">
        <v>-1282321</v>
      </c>
      <c r="BL186" s="208">
        <v>0</v>
      </c>
      <c r="BM186" s="208">
        <v>-26170</v>
      </c>
      <c r="BN186" s="208">
        <v>-2616980</v>
      </c>
      <c r="BO186" s="208">
        <v>-5679321</v>
      </c>
      <c r="BP186" s="208">
        <v>-5565735</v>
      </c>
      <c r="BQ186" s="208">
        <v>0</v>
      </c>
      <c r="BR186" s="208">
        <v>-113586</v>
      </c>
      <c r="BS186" s="208">
        <v>-11358642</v>
      </c>
      <c r="BT186" s="208">
        <v>-3833840</v>
      </c>
      <c r="BU186" s="208">
        <v>-3757164</v>
      </c>
      <c r="BV186" s="208">
        <v>0</v>
      </c>
      <c r="BW186" s="208">
        <v>-76677</v>
      </c>
      <c r="BX186" s="208">
        <v>-7667681</v>
      </c>
      <c r="BY186" s="208">
        <v>-1845480</v>
      </c>
      <c r="BZ186" s="208">
        <v>-1808571</v>
      </c>
      <c r="CA186" s="208">
        <v>0</v>
      </c>
      <c r="CB186" s="208">
        <v>-36910</v>
      </c>
      <c r="CC186" s="208">
        <v>-3690961</v>
      </c>
      <c r="CD186" s="208">
        <v>1620163</v>
      </c>
      <c r="CE186" s="208">
        <v>1587760</v>
      </c>
      <c r="CF186" s="208">
        <v>0</v>
      </c>
      <c r="CG186" s="208">
        <v>32403</v>
      </c>
      <c r="CH186" s="208">
        <v>3240326</v>
      </c>
      <c r="CI186" s="208">
        <v>0</v>
      </c>
      <c r="CJ186" s="208">
        <v>0</v>
      </c>
      <c r="CK186" s="208">
        <v>0</v>
      </c>
      <c r="CL186" s="208">
        <v>0</v>
      </c>
      <c r="CM186" s="208">
        <v>0</v>
      </c>
      <c r="CN186" s="208">
        <v>-461225</v>
      </c>
      <c r="CO186" s="208">
        <v>-452001</v>
      </c>
      <c r="CP186" s="208">
        <v>0</v>
      </c>
      <c r="CQ186" s="208">
        <v>-9225</v>
      </c>
      <c r="CR186" s="208">
        <v>-922451</v>
      </c>
      <c r="CS186" s="208">
        <v>-1433653</v>
      </c>
      <c r="CT186" s="208">
        <v>-1404980</v>
      </c>
      <c r="CU186" s="208">
        <v>0</v>
      </c>
      <c r="CV186" s="208">
        <v>-28673</v>
      </c>
      <c r="CW186" s="208">
        <v>-2867306</v>
      </c>
      <c r="CX186" s="208">
        <v>-5954036</v>
      </c>
      <c r="CY186" s="208">
        <v>-5834956</v>
      </c>
      <c r="CZ186" s="208">
        <v>0</v>
      </c>
      <c r="DA186" s="208">
        <v>-119081</v>
      </c>
      <c r="DB186" s="208">
        <v>-11908073</v>
      </c>
      <c r="DC186" s="208">
        <v>-2674902</v>
      </c>
      <c r="DD186" s="208">
        <v>-2621405</v>
      </c>
      <c r="DE186" s="208">
        <v>0</v>
      </c>
      <c r="DF186" s="208">
        <v>-53499</v>
      </c>
      <c r="DG186" s="208">
        <v>-5349806</v>
      </c>
      <c r="DH186" s="208">
        <v>-3279133</v>
      </c>
      <c r="DI186" s="208">
        <v>-3213551</v>
      </c>
      <c r="DJ186" s="208">
        <v>0</v>
      </c>
      <c r="DK186" s="208">
        <v>-65583</v>
      </c>
      <c r="DL186" s="208">
        <v>-6558267</v>
      </c>
      <c r="DM186" s="208">
        <v>2087695</v>
      </c>
      <c r="DN186" s="208">
        <v>2045941</v>
      </c>
      <c r="DO186" s="208">
        <v>0</v>
      </c>
      <c r="DP186" s="208">
        <v>41754</v>
      </c>
      <c r="DQ186" s="208">
        <v>4175389</v>
      </c>
      <c r="DR186" s="208">
        <v>2370059</v>
      </c>
      <c r="DS186" s="208">
        <v>2322657</v>
      </c>
      <c r="DT186" s="208">
        <v>0</v>
      </c>
      <c r="DU186" s="208">
        <v>47401</v>
      </c>
      <c r="DV186" s="208">
        <v>4740117</v>
      </c>
      <c r="DW186" s="208">
        <v>-282364</v>
      </c>
      <c r="DX186" s="208">
        <v>-276716</v>
      </c>
      <c r="DY186" s="208">
        <v>0</v>
      </c>
      <c r="DZ186" s="208">
        <v>-5647</v>
      </c>
      <c r="EA186" s="208">
        <v>-564728</v>
      </c>
      <c r="EB186" s="208">
        <v>29063287</v>
      </c>
      <c r="EC186" s="208">
        <v>28482021</v>
      </c>
      <c r="ED186" s="208">
        <v>0</v>
      </c>
      <c r="EE186" s="208">
        <v>581266</v>
      </c>
      <c r="EF186" s="208">
        <v>58126574</v>
      </c>
      <c r="EG186" s="208">
        <v>28577401</v>
      </c>
      <c r="EH186" s="208">
        <v>28005853</v>
      </c>
      <c r="EI186" s="208">
        <v>0</v>
      </c>
      <c r="EJ186" s="208">
        <v>571548</v>
      </c>
      <c r="EK186" s="208">
        <v>57154802</v>
      </c>
      <c r="EL186" s="208">
        <v>-485886</v>
      </c>
      <c r="EM186" s="208">
        <v>-476168</v>
      </c>
      <c r="EN186" s="208">
        <v>0</v>
      </c>
      <c r="EO186" s="208">
        <v>-9718</v>
      </c>
      <c r="EP186" s="208">
        <v>-971772</v>
      </c>
      <c r="EQ186" s="208">
        <v>-768250</v>
      </c>
      <c r="ER186" s="208">
        <v>-752884</v>
      </c>
      <c r="ES186" s="208">
        <v>0</v>
      </c>
      <c r="ET186" s="208">
        <v>-15365</v>
      </c>
      <c r="EU186" s="208">
        <v>-1536500</v>
      </c>
      <c r="EV186" s="666">
        <v>0.5</v>
      </c>
      <c r="EW186" s="666">
        <v>0.49</v>
      </c>
      <c r="EX186" s="666">
        <v>0</v>
      </c>
      <c r="EY186" s="666">
        <v>0.01</v>
      </c>
      <c r="EZ186" s="666">
        <v>1</v>
      </c>
      <c r="FA186" s="187" t="s">
        <v>742</v>
      </c>
      <c r="FC186" s="187">
        <v>0</v>
      </c>
    </row>
    <row r="187" spans="1:159" s="187" customFormat="1" x14ac:dyDescent="0.2">
      <c r="A187" s="188"/>
      <c r="B187" s="429" t="s">
        <v>451</v>
      </c>
      <c r="C187" s="429" t="s">
        <v>450</v>
      </c>
      <c r="D187" s="208">
        <v>18322572</v>
      </c>
      <c r="E187" s="208">
        <v>14658058</v>
      </c>
      <c r="F187" s="208">
        <v>3664515</v>
      </c>
      <c r="G187" s="208">
        <v>0</v>
      </c>
      <c r="H187" s="208">
        <v>36645145</v>
      </c>
      <c r="I187" s="208">
        <v>0</v>
      </c>
      <c r="J187" s="208">
        <v>0</v>
      </c>
      <c r="K187" s="208">
        <v>18322572</v>
      </c>
      <c r="L187" s="208">
        <v>180476</v>
      </c>
      <c r="M187" s="208">
        <v>180476</v>
      </c>
      <c r="N187" s="208">
        <v>0</v>
      </c>
      <c r="O187" s="208">
        <v>0</v>
      </c>
      <c r="P187" s="208">
        <v>42349</v>
      </c>
      <c r="Q187" s="208">
        <v>0</v>
      </c>
      <c r="R187" s="208">
        <v>42349</v>
      </c>
      <c r="S187" s="208">
        <v>0</v>
      </c>
      <c r="T187" s="208">
        <v>0</v>
      </c>
      <c r="U187" s="208">
        <v>0</v>
      </c>
      <c r="V187" s="208">
        <v>0</v>
      </c>
      <c r="W187" s="208">
        <v>0</v>
      </c>
      <c r="X187" s="208">
        <v>0</v>
      </c>
      <c r="Y187" s="208">
        <v>0</v>
      </c>
      <c r="Z187" s="208">
        <v>0</v>
      </c>
      <c r="AA187" s="208">
        <v>0</v>
      </c>
      <c r="AB187" s="208">
        <v>0</v>
      </c>
      <c r="AC187" s="208">
        <v>0</v>
      </c>
      <c r="AD187" s="208">
        <v>0</v>
      </c>
      <c r="AE187" s="208">
        <v>0</v>
      </c>
      <c r="AF187" s="208">
        <v>0</v>
      </c>
      <c r="AG187" s="208">
        <v>1961981</v>
      </c>
      <c r="AH187" s="208">
        <v>490253</v>
      </c>
      <c r="AI187" s="208">
        <v>0</v>
      </c>
      <c r="AJ187" s="208">
        <v>2452234</v>
      </c>
      <c r="AK187" s="208">
        <v>805278</v>
      </c>
      <c r="AL187" s="208">
        <v>644223</v>
      </c>
      <c r="AM187" s="208">
        <v>161056</v>
      </c>
      <c r="AN187" s="208">
        <v>0</v>
      </c>
      <c r="AO187" s="208">
        <v>1610557</v>
      </c>
      <c r="AP187" s="208">
        <v>-323564</v>
      </c>
      <c r="AQ187" s="208">
        <v>-258851</v>
      </c>
      <c r="AR187" s="208">
        <v>-64713</v>
      </c>
      <c r="AS187" s="208">
        <v>0</v>
      </c>
      <c r="AT187" s="208">
        <v>-647128</v>
      </c>
      <c r="AU187" s="208">
        <v>-316903</v>
      </c>
      <c r="AV187" s="208">
        <v>-253522</v>
      </c>
      <c r="AW187" s="208">
        <v>-63381</v>
      </c>
      <c r="AX187" s="208">
        <v>0</v>
      </c>
      <c r="AY187" s="208">
        <v>-633806</v>
      </c>
      <c r="AZ187" s="208">
        <v>115628</v>
      </c>
      <c r="BA187" s="208">
        <v>92502</v>
      </c>
      <c r="BB187" s="208">
        <v>23126</v>
      </c>
      <c r="BC187" s="208">
        <v>0</v>
      </c>
      <c r="BD187" s="208">
        <v>231256</v>
      </c>
      <c r="BE187" s="208">
        <v>-100279</v>
      </c>
      <c r="BF187" s="208">
        <v>-80223</v>
      </c>
      <c r="BG187" s="208">
        <v>-20056</v>
      </c>
      <c r="BH187" s="208">
        <v>0</v>
      </c>
      <c r="BI187" s="208">
        <v>-200558</v>
      </c>
      <c r="BJ187" s="208">
        <v>-301554</v>
      </c>
      <c r="BK187" s="208">
        <v>-241243</v>
      </c>
      <c r="BL187" s="208">
        <v>-60311</v>
      </c>
      <c r="BM187" s="208">
        <v>0</v>
      </c>
      <c r="BN187" s="208">
        <v>-603108</v>
      </c>
      <c r="BO187" s="208">
        <v>-1407648</v>
      </c>
      <c r="BP187" s="208">
        <v>-1126119</v>
      </c>
      <c r="BQ187" s="208">
        <v>-281530</v>
      </c>
      <c r="BR187" s="208">
        <v>0</v>
      </c>
      <c r="BS187" s="208">
        <v>-2815297</v>
      </c>
      <c r="BT187" s="208">
        <v>-1055517</v>
      </c>
      <c r="BU187" s="208">
        <v>-844414</v>
      </c>
      <c r="BV187" s="208">
        <v>-211103</v>
      </c>
      <c r="BW187" s="208">
        <v>0</v>
      </c>
      <c r="BX187" s="208">
        <v>-2111034</v>
      </c>
      <c r="BY187" s="208">
        <v>-352132</v>
      </c>
      <c r="BZ187" s="208">
        <v>-281705</v>
      </c>
      <c r="CA187" s="208">
        <v>-70426</v>
      </c>
      <c r="CB187" s="208">
        <v>0</v>
      </c>
      <c r="CC187" s="208">
        <v>-704263</v>
      </c>
      <c r="CD187" s="208">
        <v>577727</v>
      </c>
      <c r="CE187" s="208">
        <v>462182</v>
      </c>
      <c r="CF187" s="208">
        <v>115546</v>
      </c>
      <c r="CG187" s="208">
        <v>0</v>
      </c>
      <c r="CH187" s="208">
        <v>1155455</v>
      </c>
      <c r="CI187" s="208">
        <v>0</v>
      </c>
      <c r="CJ187" s="208">
        <v>0</v>
      </c>
      <c r="CK187" s="208">
        <v>0</v>
      </c>
      <c r="CL187" s="208">
        <v>0</v>
      </c>
      <c r="CM187" s="208">
        <v>0</v>
      </c>
      <c r="CN187" s="208">
        <v>-569998</v>
      </c>
      <c r="CO187" s="208">
        <v>-455999</v>
      </c>
      <c r="CP187" s="208">
        <v>-114000</v>
      </c>
      <c r="CQ187" s="208">
        <v>0</v>
      </c>
      <c r="CR187" s="208">
        <v>-1139997</v>
      </c>
      <c r="CS187" s="208">
        <v>-475378</v>
      </c>
      <c r="CT187" s="208">
        <v>-380302</v>
      </c>
      <c r="CU187" s="208">
        <v>-95076</v>
      </c>
      <c r="CV187" s="208">
        <v>0</v>
      </c>
      <c r="CW187" s="208">
        <v>-950756</v>
      </c>
      <c r="CX187" s="208">
        <v>-1875297</v>
      </c>
      <c r="CY187" s="208">
        <v>-1500238</v>
      </c>
      <c r="CZ187" s="208">
        <v>-375060</v>
      </c>
      <c r="DA187" s="208">
        <v>0</v>
      </c>
      <c r="DB187" s="208">
        <v>-3750595</v>
      </c>
      <c r="DC187" s="208">
        <v>-1047788</v>
      </c>
      <c r="DD187" s="208">
        <v>-838231</v>
      </c>
      <c r="DE187" s="208">
        <v>-209557</v>
      </c>
      <c r="DF187" s="208">
        <v>0</v>
      </c>
      <c r="DG187" s="208">
        <v>-2095576</v>
      </c>
      <c r="DH187" s="208">
        <v>-827510</v>
      </c>
      <c r="DI187" s="208">
        <v>-662007</v>
      </c>
      <c r="DJ187" s="208">
        <v>-165502</v>
      </c>
      <c r="DK187" s="208">
        <v>0</v>
      </c>
      <c r="DL187" s="208">
        <v>-1655019</v>
      </c>
      <c r="DM187" s="208">
        <v>-780429</v>
      </c>
      <c r="DN187" s="208">
        <v>-624344</v>
      </c>
      <c r="DO187" s="208">
        <v>-156088</v>
      </c>
      <c r="DP187" s="208">
        <v>0</v>
      </c>
      <c r="DQ187" s="208">
        <v>-1560855</v>
      </c>
      <c r="DR187" s="208">
        <v>-820667</v>
      </c>
      <c r="DS187" s="208">
        <v>-656534</v>
      </c>
      <c r="DT187" s="208">
        <v>-164134</v>
      </c>
      <c r="DU187" s="208">
        <v>0</v>
      </c>
      <c r="DV187" s="208">
        <v>-1641335</v>
      </c>
      <c r="DW187" s="208">
        <v>40238</v>
      </c>
      <c r="DX187" s="208">
        <v>32190</v>
      </c>
      <c r="DY187" s="208">
        <v>8046</v>
      </c>
      <c r="DZ187" s="208">
        <v>0</v>
      </c>
      <c r="EA187" s="208">
        <v>80480</v>
      </c>
      <c r="EB187" s="208">
        <v>19117477</v>
      </c>
      <c r="EC187" s="208">
        <v>15293982</v>
      </c>
      <c r="ED187" s="208">
        <v>3823495</v>
      </c>
      <c r="EE187" s="208">
        <v>0</v>
      </c>
      <c r="EF187" s="208">
        <v>38234954</v>
      </c>
      <c r="EG187" s="208">
        <v>18322572</v>
      </c>
      <c r="EH187" s="208">
        <v>14658058</v>
      </c>
      <c r="EI187" s="208">
        <v>3664515</v>
      </c>
      <c r="EJ187" s="208">
        <v>0</v>
      </c>
      <c r="EK187" s="208">
        <v>36645145</v>
      </c>
      <c r="EL187" s="208">
        <v>-794905</v>
      </c>
      <c r="EM187" s="208">
        <v>-635924</v>
      </c>
      <c r="EN187" s="208">
        <v>-158980</v>
      </c>
      <c r="EO187" s="208">
        <v>0</v>
      </c>
      <c r="EP187" s="208">
        <v>-1589809</v>
      </c>
      <c r="EQ187" s="208">
        <v>-754667</v>
      </c>
      <c r="ER187" s="208">
        <v>-603734</v>
      </c>
      <c r="ES187" s="208">
        <v>-150934</v>
      </c>
      <c r="ET187" s="208">
        <v>0</v>
      </c>
      <c r="EU187" s="208">
        <v>-1509329</v>
      </c>
      <c r="EV187" s="666">
        <v>0.5</v>
      </c>
      <c r="EW187" s="666">
        <v>0.4</v>
      </c>
      <c r="EX187" s="666">
        <v>0.1</v>
      </c>
      <c r="EY187" s="666">
        <v>0</v>
      </c>
      <c r="EZ187" s="666">
        <v>1</v>
      </c>
      <c r="FA187" s="187" t="s">
        <v>1054</v>
      </c>
      <c r="FC187" s="187">
        <v>0</v>
      </c>
    </row>
    <row r="188" spans="1:159" s="187" customFormat="1" x14ac:dyDescent="0.2">
      <c r="B188" s="429" t="s">
        <v>453</v>
      </c>
      <c r="C188" s="429" t="s">
        <v>452</v>
      </c>
      <c r="D188" s="208">
        <v>0</v>
      </c>
      <c r="E188" s="208">
        <v>17758562</v>
      </c>
      <c r="F188" s="208">
        <v>11839041</v>
      </c>
      <c r="G188" s="208">
        <v>0</v>
      </c>
      <c r="H188" s="208">
        <v>29597603</v>
      </c>
      <c r="I188" s="208">
        <v>0</v>
      </c>
      <c r="J188" s="208">
        <v>0</v>
      </c>
      <c r="K188" s="208">
        <v>0</v>
      </c>
      <c r="L188" s="208">
        <v>125208</v>
      </c>
      <c r="M188" s="208">
        <v>125208</v>
      </c>
      <c r="N188" s="208">
        <v>0</v>
      </c>
      <c r="O188" s="208">
        <v>0</v>
      </c>
      <c r="P188" s="208">
        <v>1525038</v>
      </c>
      <c r="Q188" s="208">
        <v>129043</v>
      </c>
      <c r="R188" s="208">
        <v>1654081</v>
      </c>
      <c r="S188" s="208">
        <v>0</v>
      </c>
      <c r="T188" s="208">
        <v>0</v>
      </c>
      <c r="U188" s="208">
        <v>0</v>
      </c>
      <c r="V188" s="208">
        <v>0</v>
      </c>
      <c r="W188" s="208">
        <v>0</v>
      </c>
      <c r="X188" s="208">
        <v>0</v>
      </c>
      <c r="Y188" s="208">
        <v>0</v>
      </c>
      <c r="Z188" s="208">
        <v>0</v>
      </c>
      <c r="AA188" s="208">
        <v>0</v>
      </c>
      <c r="AB188" s="208">
        <v>0</v>
      </c>
      <c r="AC188" s="208">
        <v>0</v>
      </c>
      <c r="AD188" s="208">
        <v>0</v>
      </c>
      <c r="AE188" s="208">
        <v>0</v>
      </c>
      <c r="AF188" s="208">
        <v>0</v>
      </c>
      <c r="AG188" s="208">
        <v>2176056</v>
      </c>
      <c r="AH188" s="208">
        <v>1430364</v>
      </c>
      <c r="AI188" s="208">
        <v>0</v>
      </c>
      <c r="AJ188" s="208">
        <v>3606420</v>
      </c>
      <c r="AK188" s="208">
        <v>0</v>
      </c>
      <c r="AL188" s="208">
        <v>298232</v>
      </c>
      <c r="AM188" s="208">
        <v>198821</v>
      </c>
      <c r="AN188" s="208">
        <v>0</v>
      </c>
      <c r="AO188" s="208">
        <v>497053</v>
      </c>
      <c r="AP188" s="208">
        <v>0</v>
      </c>
      <c r="AQ188" s="208">
        <v>-436844</v>
      </c>
      <c r="AR188" s="208">
        <v>-291230</v>
      </c>
      <c r="AS188" s="208">
        <v>0</v>
      </c>
      <c r="AT188" s="208">
        <v>-728074</v>
      </c>
      <c r="AU188" s="208">
        <v>0</v>
      </c>
      <c r="AV188" s="208">
        <v>-80157</v>
      </c>
      <c r="AW188" s="208">
        <v>-53438</v>
      </c>
      <c r="AX188" s="208">
        <v>0</v>
      </c>
      <c r="AY188" s="208">
        <v>-133595</v>
      </c>
      <c r="AZ188" s="208">
        <v>0</v>
      </c>
      <c r="BA188" s="208">
        <v>47704</v>
      </c>
      <c r="BB188" s="208">
        <v>31802</v>
      </c>
      <c r="BC188" s="208">
        <v>0</v>
      </c>
      <c r="BD188" s="208">
        <v>79506</v>
      </c>
      <c r="BE188" s="208">
        <v>0</v>
      </c>
      <c r="BF188" s="208">
        <v>-57224</v>
      </c>
      <c r="BG188" s="208">
        <v>-38150</v>
      </c>
      <c r="BH188" s="208">
        <v>0</v>
      </c>
      <c r="BI188" s="208">
        <v>-95374</v>
      </c>
      <c r="BJ188" s="208">
        <v>0</v>
      </c>
      <c r="BK188" s="208">
        <v>-89677</v>
      </c>
      <c r="BL188" s="208">
        <v>-59786</v>
      </c>
      <c r="BM188" s="208">
        <v>0</v>
      </c>
      <c r="BN188" s="208">
        <v>-149463</v>
      </c>
      <c r="BO188" s="208">
        <v>0</v>
      </c>
      <c r="BP188" s="208">
        <v>-2816097</v>
      </c>
      <c r="BQ188" s="208">
        <v>-1877398</v>
      </c>
      <c r="BR188" s="208">
        <v>0</v>
      </c>
      <c r="BS188" s="208">
        <v>-4693495</v>
      </c>
      <c r="BT188" s="208">
        <v>0</v>
      </c>
      <c r="BU188" s="208">
        <v>-2089708</v>
      </c>
      <c r="BV188" s="208">
        <v>-1393139</v>
      </c>
      <c r="BW188" s="208">
        <v>0</v>
      </c>
      <c r="BX188" s="208">
        <v>-3482847</v>
      </c>
      <c r="BY188" s="208">
        <v>0</v>
      </c>
      <c r="BZ188" s="208">
        <v>-726389</v>
      </c>
      <c r="CA188" s="208">
        <v>-484259</v>
      </c>
      <c r="CB188" s="208">
        <v>0</v>
      </c>
      <c r="CC188" s="208">
        <v>-1210648</v>
      </c>
      <c r="CD188" s="208">
        <v>0</v>
      </c>
      <c r="CE188" s="208">
        <v>882745</v>
      </c>
      <c r="CF188" s="208">
        <v>588496</v>
      </c>
      <c r="CG188" s="208">
        <v>0</v>
      </c>
      <c r="CH188" s="208">
        <v>1471241</v>
      </c>
      <c r="CI188" s="208">
        <v>0</v>
      </c>
      <c r="CJ188" s="208">
        <v>0</v>
      </c>
      <c r="CK188" s="208">
        <v>0</v>
      </c>
      <c r="CL188" s="208">
        <v>0</v>
      </c>
      <c r="CM188" s="208">
        <v>0</v>
      </c>
      <c r="CN188" s="208">
        <v>0</v>
      </c>
      <c r="CO188" s="208">
        <v>919514</v>
      </c>
      <c r="CP188" s="208">
        <v>613009</v>
      </c>
      <c r="CQ188" s="208">
        <v>0</v>
      </c>
      <c r="CR188" s="208">
        <v>1532523</v>
      </c>
      <c r="CS188" s="208">
        <v>0</v>
      </c>
      <c r="CT188" s="208">
        <v>608497</v>
      </c>
      <c r="CU188" s="208">
        <v>405664</v>
      </c>
      <c r="CV188" s="208">
        <v>0</v>
      </c>
      <c r="CW188" s="208">
        <v>1014161</v>
      </c>
      <c r="CX188" s="208">
        <v>0</v>
      </c>
      <c r="CY188" s="208">
        <v>-405341</v>
      </c>
      <c r="CZ188" s="208">
        <v>-270229</v>
      </c>
      <c r="DA188" s="208">
        <v>0</v>
      </c>
      <c r="DB188" s="208">
        <v>-675570</v>
      </c>
      <c r="DC188" s="208">
        <v>0</v>
      </c>
      <c r="DD188" s="208">
        <v>-287449</v>
      </c>
      <c r="DE188" s="208">
        <v>-191634</v>
      </c>
      <c r="DF188" s="208">
        <v>0</v>
      </c>
      <c r="DG188" s="208">
        <v>-479083</v>
      </c>
      <c r="DH188" s="208">
        <v>0</v>
      </c>
      <c r="DI188" s="208">
        <v>-117892</v>
      </c>
      <c r="DJ188" s="208">
        <v>-78595</v>
      </c>
      <c r="DK188" s="208">
        <v>0</v>
      </c>
      <c r="DL188" s="208">
        <v>-196487</v>
      </c>
      <c r="DM188" s="208">
        <v>-321764</v>
      </c>
      <c r="DN188" s="208">
        <v>-257412</v>
      </c>
      <c r="DO188" s="208">
        <v>-64353</v>
      </c>
      <c r="DP188" s="208">
        <v>0</v>
      </c>
      <c r="DQ188" s="208">
        <v>-643529</v>
      </c>
      <c r="DR188" s="208">
        <v>217698</v>
      </c>
      <c r="DS188" s="208">
        <v>174158</v>
      </c>
      <c r="DT188" s="208">
        <v>43540</v>
      </c>
      <c r="DU188" s="208">
        <v>0</v>
      </c>
      <c r="DV188" s="208">
        <v>435396</v>
      </c>
      <c r="DW188" s="208">
        <v>-539462</v>
      </c>
      <c r="DX188" s="208">
        <v>-431570</v>
      </c>
      <c r="DY188" s="208">
        <v>-107893</v>
      </c>
      <c r="DZ188" s="208">
        <v>0</v>
      </c>
      <c r="EA188" s="208">
        <v>-1078925</v>
      </c>
      <c r="EB188" s="208">
        <v>0</v>
      </c>
      <c r="EC188" s="208">
        <v>15317512</v>
      </c>
      <c r="ED188" s="208">
        <v>10211675</v>
      </c>
      <c r="EE188" s="208">
        <v>0</v>
      </c>
      <c r="EF188" s="208">
        <v>25529187</v>
      </c>
      <c r="EG188" s="208">
        <v>0</v>
      </c>
      <c r="EH188" s="208">
        <v>17758562</v>
      </c>
      <c r="EI188" s="208">
        <v>11839041</v>
      </c>
      <c r="EJ188" s="208">
        <v>0</v>
      </c>
      <c r="EK188" s="208">
        <v>29597603</v>
      </c>
      <c r="EL188" s="208">
        <v>0</v>
      </c>
      <c r="EM188" s="208">
        <v>2441050</v>
      </c>
      <c r="EN188" s="208">
        <v>1627366</v>
      </c>
      <c r="EO188" s="208">
        <v>0</v>
      </c>
      <c r="EP188" s="208">
        <v>4068416</v>
      </c>
      <c r="EQ188" s="208">
        <v>-539462</v>
      </c>
      <c r="ER188" s="208">
        <v>2009480</v>
      </c>
      <c r="ES188" s="208">
        <v>1519473</v>
      </c>
      <c r="ET188" s="208">
        <v>0</v>
      </c>
      <c r="EU188" s="208">
        <v>2989491</v>
      </c>
      <c r="EV188" s="666">
        <v>0</v>
      </c>
      <c r="EW188" s="666">
        <v>0.6</v>
      </c>
      <c r="EX188" s="666">
        <v>0.4</v>
      </c>
      <c r="EY188" s="666">
        <v>0</v>
      </c>
      <c r="EZ188" s="666">
        <v>1</v>
      </c>
      <c r="FA188" s="187" t="s">
        <v>1054</v>
      </c>
      <c r="FC188" s="187">
        <v>0</v>
      </c>
    </row>
    <row r="189" spans="1:159" s="187" customFormat="1" x14ac:dyDescent="0.2">
      <c r="B189" s="429" t="s">
        <v>455</v>
      </c>
      <c r="C189" s="429" t="s">
        <v>454</v>
      </c>
      <c r="D189" s="208">
        <v>0</v>
      </c>
      <c r="E189" s="208">
        <v>81082545</v>
      </c>
      <c r="F189" s="208">
        <v>0</v>
      </c>
      <c r="G189" s="208">
        <v>819016</v>
      </c>
      <c r="H189" s="208">
        <v>81901561</v>
      </c>
      <c r="I189" s="208">
        <v>0</v>
      </c>
      <c r="J189" s="208">
        <v>0</v>
      </c>
      <c r="K189" s="208">
        <v>0</v>
      </c>
      <c r="L189" s="208">
        <v>236771</v>
      </c>
      <c r="M189" s="208">
        <v>236771</v>
      </c>
      <c r="N189" s="208">
        <v>1038007</v>
      </c>
      <c r="O189" s="208">
        <v>1038007</v>
      </c>
      <c r="P189" s="208">
        <v>2805911</v>
      </c>
      <c r="Q189" s="208">
        <v>0</v>
      </c>
      <c r="R189" s="208">
        <v>2805911</v>
      </c>
      <c r="S189" s="208">
        <v>0</v>
      </c>
      <c r="T189" s="208">
        <v>0</v>
      </c>
      <c r="U189" s="208">
        <v>0</v>
      </c>
      <c r="V189" s="208">
        <v>0</v>
      </c>
      <c r="W189" s="208">
        <v>0</v>
      </c>
      <c r="X189" s="208">
        <v>0</v>
      </c>
      <c r="Y189" s="208">
        <v>0</v>
      </c>
      <c r="Z189" s="208">
        <v>0</v>
      </c>
      <c r="AA189" s="208">
        <v>0</v>
      </c>
      <c r="AB189" s="208">
        <v>0</v>
      </c>
      <c r="AC189" s="208">
        <v>0</v>
      </c>
      <c r="AD189" s="208">
        <v>0</v>
      </c>
      <c r="AE189" s="208">
        <v>0</v>
      </c>
      <c r="AF189" s="208">
        <v>0</v>
      </c>
      <c r="AG189" s="208">
        <v>6280602</v>
      </c>
      <c r="AH189" s="208">
        <v>0</v>
      </c>
      <c r="AI189" s="208">
        <v>61091</v>
      </c>
      <c r="AJ189" s="208">
        <v>6341693</v>
      </c>
      <c r="AK189" s="208">
        <v>0</v>
      </c>
      <c r="AL189" s="208">
        <v>3718702</v>
      </c>
      <c r="AM189" s="208">
        <v>0</v>
      </c>
      <c r="AN189" s="208">
        <v>37563</v>
      </c>
      <c r="AO189" s="208">
        <v>3756265</v>
      </c>
      <c r="AP189" s="208">
        <v>0</v>
      </c>
      <c r="AQ189" s="208">
        <v>-143839</v>
      </c>
      <c r="AR189" s="208">
        <v>0</v>
      </c>
      <c r="AS189" s="208">
        <v>-1453</v>
      </c>
      <c r="AT189" s="208">
        <v>-145292</v>
      </c>
      <c r="AU189" s="208">
        <v>0</v>
      </c>
      <c r="AV189" s="208">
        <v>-1102860</v>
      </c>
      <c r="AW189" s="208">
        <v>0</v>
      </c>
      <c r="AX189" s="208">
        <v>-11140</v>
      </c>
      <c r="AY189" s="208">
        <v>-1114000</v>
      </c>
      <c r="AZ189" s="208">
        <v>0</v>
      </c>
      <c r="BA189" s="208">
        <v>437464</v>
      </c>
      <c r="BB189" s="208">
        <v>0</v>
      </c>
      <c r="BC189" s="208">
        <v>4419</v>
      </c>
      <c r="BD189" s="208">
        <v>441883</v>
      </c>
      <c r="BE189" s="208">
        <v>0</v>
      </c>
      <c r="BF189" s="208">
        <v>-454294</v>
      </c>
      <c r="BG189" s="208">
        <v>0</v>
      </c>
      <c r="BH189" s="208">
        <v>-4589</v>
      </c>
      <c r="BI189" s="208">
        <v>-458883</v>
      </c>
      <c r="BJ189" s="208">
        <v>0</v>
      </c>
      <c r="BK189" s="208">
        <v>-1119690</v>
      </c>
      <c r="BL189" s="208">
        <v>0</v>
      </c>
      <c r="BM189" s="208">
        <v>-11310</v>
      </c>
      <c r="BN189" s="208">
        <v>-1131000</v>
      </c>
      <c r="BO189" s="208">
        <v>0</v>
      </c>
      <c r="BP189" s="208">
        <v>-18362520</v>
      </c>
      <c r="BQ189" s="208">
        <v>0</v>
      </c>
      <c r="BR189" s="208">
        <v>-185480</v>
      </c>
      <c r="BS189" s="208">
        <v>-18548000</v>
      </c>
      <c r="BT189" s="208">
        <v>0</v>
      </c>
      <c r="BU189" s="208">
        <v>0</v>
      </c>
      <c r="BV189" s="208">
        <v>0</v>
      </c>
      <c r="BW189" s="208">
        <v>0</v>
      </c>
      <c r="BX189" s="208">
        <v>0</v>
      </c>
      <c r="BY189" s="208">
        <v>0</v>
      </c>
      <c r="BZ189" s="208">
        <v>-18362520</v>
      </c>
      <c r="CA189" s="208">
        <v>0</v>
      </c>
      <c r="CB189" s="208">
        <v>-185480</v>
      </c>
      <c r="CC189" s="208">
        <v>-18548000</v>
      </c>
      <c r="CD189" s="208">
        <v>0</v>
      </c>
      <c r="CE189" s="208">
        <v>4066923</v>
      </c>
      <c r="CF189" s="208">
        <v>0</v>
      </c>
      <c r="CG189" s="208">
        <v>41080</v>
      </c>
      <c r="CH189" s="208">
        <v>4108003</v>
      </c>
      <c r="CI189" s="208">
        <v>0</v>
      </c>
      <c r="CJ189" s="208">
        <v>0</v>
      </c>
      <c r="CK189" s="208">
        <v>0</v>
      </c>
      <c r="CL189" s="208">
        <v>0</v>
      </c>
      <c r="CM189" s="208">
        <v>0</v>
      </c>
      <c r="CN189" s="208">
        <v>0</v>
      </c>
      <c r="CO189" s="208">
        <v>-13475883</v>
      </c>
      <c r="CP189" s="208">
        <v>0</v>
      </c>
      <c r="CQ189" s="208">
        <v>-136120</v>
      </c>
      <c r="CR189" s="208">
        <v>-13612003</v>
      </c>
      <c r="CS189" s="208">
        <v>0</v>
      </c>
      <c r="CT189" s="208">
        <v>13806540</v>
      </c>
      <c r="CU189" s="208">
        <v>0</v>
      </c>
      <c r="CV189" s="208">
        <v>139460</v>
      </c>
      <c r="CW189" s="208">
        <v>13946000</v>
      </c>
      <c r="CX189" s="208">
        <v>0</v>
      </c>
      <c r="CY189" s="208">
        <v>-13964940</v>
      </c>
      <c r="CZ189" s="208">
        <v>0</v>
      </c>
      <c r="DA189" s="208">
        <v>-141060</v>
      </c>
      <c r="DB189" s="208">
        <v>-14106000</v>
      </c>
      <c r="DC189" s="208">
        <v>0</v>
      </c>
      <c r="DD189" s="208">
        <v>-9408960</v>
      </c>
      <c r="DE189" s="208">
        <v>0</v>
      </c>
      <c r="DF189" s="208">
        <v>-95040</v>
      </c>
      <c r="DG189" s="208">
        <v>-9504000</v>
      </c>
      <c r="DH189" s="208">
        <v>0</v>
      </c>
      <c r="DI189" s="208">
        <v>-4555980</v>
      </c>
      <c r="DJ189" s="208">
        <v>0</v>
      </c>
      <c r="DK189" s="208">
        <v>-46020</v>
      </c>
      <c r="DL189" s="208">
        <v>-4602000</v>
      </c>
      <c r="DM189" s="208">
        <v>-13103742.5</v>
      </c>
      <c r="DN189" s="208">
        <v>-12841666.550000001</v>
      </c>
      <c r="DO189" s="208">
        <v>0</v>
      </c>
      <c r="DP189" s="208">
        <v>-262073.95</v>
      </c>
      <c r="DQ189" s="208">
        <v>-26207483</v>
      </c>
      <c r="DR189" s="208">
        <v>-12694752</v>
      </c>
      <c r="DS189" s="208">
        <v>-12440857</v>
      </c>
      <c r="DT189" s="208">
        <v>0</v>
      </c>
      <c r="DU189" s="208">
        <v>-253895</v>
      </c>
      <c r="DV189" s="208">
        <v>-25389504</v>
      </c>
      <c r="DW189" s="208">
        <v>-408990.5</v>
      </c>
      <c r="DX189" s="208">
        <v>-400809.55000000075</v>
      </c>
      <c r="DY189" s="208">
        <v>0</v>
      </c>
      <c r="DZ189" s="208">
        <v>-8178.9500000000116</v>
      </c>
      <c r="EA189" s="208">
        <v>-817979</v>
      </c>
      <c r="EB189" s="208">
        <v>0</v>
      </c>
      <c r="EC189" s="208">
        <v>75241243</v>
      </c>
      <c r="ED189" s="208">
        <v>0</v>
      </c>
      <c r="EE189" s="208">
        <v>760013</v>
      </c>
      <c r="EF189" s="208">
        <v>76001256</v>
      </c>
      <c r="EG189" s="208">
        <v>0</v>
      </c>
      <c r="EH189" s="208">
        <v>81082545</v>
      </c>
      <c r="EI189" s="208">
        <v>0</v>
      </c>
      <c r="EJ189" s="208">
        <v>819016</v>
      </c>
      <c r="EK189" s="208">
        <v>81901561</v>
      </c>
      <c r="EL189" s="208">
        <v>0</v>
      </c>
      <c r="EM189" s="208">
        <v>5841302</v>
      </c>
      <c r="EN189" s="208">
        <v>0</v>
      </c>
      <c r="EO189" s="208">
        <v>59003</v>
      </c>
      <c r="EP189" s="208">
        <v>5900305</v>
      </c>
      <c r="EQ189" s="208">
        <v>-408990.5</v>
      </c>
      <c r="ER189" s="208">
        <v>5440492.4499999993</v>
      </c>
      <c r="ES189" s="208">
        <v>0</v>
      </c>
      <c r="ET189" s="208">
        <v>50824.049999999988</v>
      </c>
      <c r="EU189" s="208">
        <v>5082326</v>
      </c>
      <c r="EV189" s="666">
        <v>0</v>
      </c>
      <c r="EW189" s="666">
        <v>0.99</v>
      </c>
      <c r="EX189" s="666">
        <v>0</v>
      </c>
      <c r="EY189" s="666">
        <v>0.01</v>
      </c>
      <c r="EZ189" s="666">
        <v>1</v>
      </c>
      <c r="FA189" s="187" t="s">
        <v>742</v>
      </c>
      <c r="FC189" s="187">
        <v>0</v>
      </c>
    </row>
    <row r="190" spans="1:159" s="187" customFormat="1" x14ac:dyDescent="0.2">
      <c r="B190" s="429" t="s">
        <v>457</v>
      </c>
      <c r="C190" s="429" t="s">
        <v>456</v>
      </c>
      <c r="D190" s="208">
        <v>13265509</v>
      </c>
      <c r="E190" s="208">
        <v>10612407</v>
      </c>
      <c r="F190" s="208">
        <v>2653102</v>
      </c>
      <c r="G190" s="208">
        <v>0</v>
      </c>
      <c r="H190" s="208">
        <v>26531018</v>
      </c>
      <c r="I190" s="208">
        <v>202138</v>
      </c>
      <c r="J190" s="208">
        <v>202138</v>
      </c>
      <c r="K190" s="208">
        <v>13063371</v>
      </c>
      <c r="L190" s="208">
        <v>248290</v>
      </c>
      <c r="M190" s="208">
        <v>248290</v>
      </c>
      <c r="N190" s="208">
        <v>61392</v>
      </c>
      <c r="O190" s="208">
        <v>61392</v>
      </c>
      <c r="P190" s="208">
        <v>623732</v>
      </c>
      <c r="Q190" s="208">
        <v>0</v>
      </c>
      <c r="R190" s="208">
        <v>623732</v>
      </c>
      <c r="S190" s="208">
        <v>0</v>
      </c>
      <c r="T190" s="208">
        <v>0</v>
      </c>
      <c r="U190" s="208">
        <v>0</v>
      </c>
      <c r="V190" s="208">
        <v>0</v>
      </c>
      <c r="W190" s="208">
        <v>202137.53958333333</v>
      </c>
      <c r="X190" s="208">
        <v>0</v>
      </c>
      <c r="Y190" s="208">
        <v>0</v>
      </c>
      <c r="Z190" s="208">
        <v>202137.53958333333</v>
      </c>
      <c r="AA190" s="208">
        <v>0</v>
      </c>
      <c r="AB190" s="208">
        <v>0</v>
      </c>
      <c r="AC190" s="208">
        <v>0</v>
      </c>
      <c r="AD190" s="208">
        <v>0</v>
      </c>
      <c r="AE190" s="208">
        <v>0</v>
      </c>
      <c r="AF190" s="208">
        <v>0</v>
      </c>
      <c r="AG190" s="208">
        <v>2389698</v>
      </c>
      <c r="AH190" s="208">
        <v>583712</v>
      </c>
      <c r="AI190" s="208">
        <v>0</v>
      </c>
      <c r="AJ190" s="208">
        <v>2973410</v>
      </c>
      <c r="AK190" s="208">
        <v>37893</v>
      </c>
      <c r="AL190" s="208">
        <v>30314</v>
      </c>
      <c r="AM190" s="208">
        <v>7579</v>
      </c>
      <c r="AN190" s="208">
        <v>0</v>
      </c>
      <c r="AO190" s="208">
        <v>75786</v>
      </c>
      <c r="AP190" s="208">
        <v>-313815</v>
      </c>
      <c r="AQ190" s="208">
        <v>-251052</v>
      </c>
      <c r="AR190" s="208">
        <v>-62763</v>
      </c>
      <c r="AS190" s="208">
        <v>0</v>
      </c>
      <c r="AT190" s="208">
        <v>-627630</v>
      </c>
      <c r="AU190" s="208">
        <v>-114398</v>
      </c>
      <c r="AV190" s="208">
        <v>-91519</v>
      </c>
      <c r="AW190" s="208">
        <v>-22880</v>
      </c>
      <c r="AX190" s="208">
        <v>0</v>
      </c>
      <c r="AY190" s="208">
        <v>-228797</v>
      </c>
      <c r="AZ190" s="208">
        <v>67444</v>
      </c>
      <c r="BA190" s="208">
        <v>53956</v>
      </c>
      <c r="BB190" s="208">
        <v>13489</v>
      </c>
      <c r="BC190" s="208">
        <v>0</v>
      </c>
      <c r="BD190" s="208">
        <v>134889</v>
      </c>
      <c r="BE190" s="208">
        <v>-50608</v>
      </c>
      <c r="BF190" s="208">
        <v>-40486</v>
      </c>
      <c r="BG190" s="208">
        <v>-10122</v>
      </c>
      <c r="BH190" s="208">
        <v>0</v>
      </c>
      <c r="BI190" s="208">
        <v>-101216</v>
      </c>
      <c r="BJ190" s="208">
        <v>-97562</v>
      </c>
      <c r="BK190" s="208">
        <v>-78049</v>
      </c>
      <c r="BL190" s="208">
        <v>-19513</v>
      </c>
      <c r="BM190" s="208">
        <v>0</v>
      </c>
      <c r="BN190" s="208">
        <v>-195124</v>
      </c>
      <c r="BO190" s="208">
        <v>-1371208</v>
      </c>
      <c r="BP190" s="208">
        <v>-1096966</v>
      </c>
      <c r="BQ190" s="208">
        <v>-274242</v>
      </c>
      <c r="BR190" s="208">
        <v>0</v>
      </c>
      <c r="BS190" s="208">
        <v>-2742416</v>
      </c>
      <c r="BT190" s="208">
        <v>0</v>
      </c>
      <c r="BU190" s="208">
        <v>0</v>
      </c>
      <c r="BV190" s="208">
        <v>0</v>
      </c>
      <c r="BW190" s="208">
        <v>0</v>
      </c>
      <c r="BX190" s="208">
        <v>0</v>
      </c>
      <c r="BY190" s="208">
        <v>-1371208</v>
      </c>
      <c r="BZ190" s="208">
        <v>-1096966</v>
      </c>
      <c r="CA190" s="208">
        <v>-274242</v>
      </c>
      <c r="CB190" s="208">
        <v>0</v>
      </c>
      <c r="CC190" s="208">
        <v>-2742416</v>
      </c>
      <c r="CD190" s="208">
        <v>170477</v>
      </c>
      <c r="CE190" s="208">
        <v>136381</v>
      </c>
      <c r="CF190" s="208">
        <v>34095</v>
      </c>
      <c r="CG190" s="208">
        <v>0</v>
      </c>
      <c r="CH190" s="208">
        <v>340953</v>
      </c>
      <c r="CI190" s="208">
        <v>78862</v>
      </c>
      <c r="CJ190" s="208">
        <v>63089</v>
      </c>
      <c r="CK190" s="208">
        <v>15772</v>
      </c>
      <c r="CL190" s="208">
        <v>0</v>
      </c>
      <c r="CM190" s="208">
        <v>157723</v>
      </c>
      <c r="CN190" s="208">
        <v>0</v>
      </c>
      <c r="CO190" s="208">
        <v>0</v>
      </c>
      <c r="CP190" s="208">
        <v>0</v>
      </c>
      <c r="CQ190" s="208">
        <v>0</v>
      </c>
      <c r="CR190" s="208">
        <v>0</v>
      </c>
      <c r="CS190" s="208">
        <v>-1016252</v>
      </c>
      <c r="CT190" s="208">
        <v>-813002</v>
      </c>
      <c r="CU190" s="208">
        <v>-203250</v>
      </c>
      <c r="CV190" s="208">
        <v>0</v>
      </c>
      <c r="CW190" s="208">
        <v>-2032504</v>
      </c>
      <c r="CX190" s="208">
        <v>-2138121</v>
      </c>
      <c r="CY190" s="208">
        <v>-1710498</v>
      </c>
      <c r="CZ190" s="208">
        <v>-427625</v>
      </c>
      <c r="DA190" s="208">
        <v>0</v>
      </c>
      <c r="DB190" s="208">
        <v>-4276244</v>
      </c>
      <c r="DC190" s="208">
        <v>170477</v>
      </c>
      <c r="DD190" s="208">
        <v>136381</v>
      </c>
      <c r="DE190" s="208">
        <v>34095</v>
      </c>
      <c r="DF190" s="208">
        <v>0</v>
      </c>
      <c r="DG190" s="208">
        <v>340953</v>
      </c>
      <c r="DH190" s="208">
        <v>-2308598</v>
      </c>
      <c r="DI190" s="208">
        <v>-1846879</v>
      </c>
      <c r="DJ190" s="208">
        <v>-461720</v>
      </c>
      <c r="DK190" s="208">
        <v>0</v>
      </c>
      <c r="DL190" s="208">
        <v>-4617197</v>
      </c>
      <c r="DM190" s="208">
        <v>-489110</v>
      </c>
      <c r="DN190" s="208">
        <v>-391287</v>
      </c>
      <c r="DO190" s="208">
        <v>-97822</v>
      </c>
      <c r="DP190" s="208">
        <v>0</v>
      </c>
      <c r="DQ190" s="208">
        <v>-978219</v>
      </c>
      <c r="DR190" s="208">
        <v>-225043</v>
      </c>
      <c r="DS190" s="208">
        <v>-180034</v>
      </c>
      <c r="DT190" s="208">
        <v>-45009</v>
      </c>
      <c r="DU190" s="208">
        <v>0</v>
      </c>
      <c r="DV190" s="208">
        <v>-450086</v>
      </c>
      <c r="DW190" s="208">
        <v>-264067</v>
      </c>
      <c r="DX190" s="208">
        <v>-211253</v>
      </c>
      <c r="DY190" s="208">
        <v>-52813</v>
      </c>
      <c r="DZ190" s="208">
        <v>0</v>
      </c>
      <c r="EA190" s="208">
        <v>-528133</v>
      </c>
      <c r="EB190" s="208">
        <v>12518046</v>
      </c>
      <c r="EC190" s="208">
        <v>10014437</v>
      </c>
      <c r="ED190" s="208">
        <v>2503609</v>
      </c>
      <c r="EE190" s="208">
        <v>0</v>
      </c>
      <c r="EF190" s="208">
        <v>25036092</v>
      </c>
      <c r="EG190" s="208">
        <v>13265509</v>
      </c>
      <c r="EH190" s="208">
        <v>10612407</v>
      </c>
      <c r="EI190" s="208">
        <v>2653102</v>
      </c>
      <c r="EJ190" s="208">
        <v>0</v>
      </c>
      <c r="EK190" s="208">
        <v>26531018</v>
      </c>
      <c r="EL190" s="208">
        <v>747463</v>
      </c>
      <c r="EM190" s="208">
        <v>597970</v>
      </c>
      <c r="EN190" s="208">
        <v>149493</v>
      </c>
      <c r="EO190" s="208">
        <v>0</v>
      </c>
      <c r="EP190" s="208">
        <v>1494926</v>
      </c>
      <c r="EQ190" s="208">
        <v>483396</v>
      </c>
      <c r="ER190" s="208">
        <v>386717</v>
      </c>
      <c r="ES190" s="208">
        <v>96680</v>
      </c>
      <c r="ET190" s="208">
        <v>0</v>
      </c>
      <c r="EU190" s="208">
        <v>966793</v>
      </c>
      <c r="EV190" s="666">
        <v>0.5</v>
      </c>
      <c r="EW190" s="666">
        <v>0.4</v>
      </c>
      <c r="EX190" s="666">
        <v>0.1</v>
      </c>
      <c r="EY190" s="666">
        <v>0</v>
      </c>
      <c r="EZ190" s="666">
        <v>1</v>
      </c>
      <c r="FA190" s="187" t="s">
        <v>1054</v>
      </c>
      <c r="FC190" s="187">
        <v>0</v>
      </c>
    </row>
    <row r="191" spans="1:159" s="187" customFormat="1" x14ac:dyDescent="0.2">
      <c r="B191" s="429" t="s">
        <v>459</v>
      </c>
      <c r="C191" s="429" t="s">
        <v>458</v>
      </c>
      <c r="D191" s="208">
        <v>28951607</v>
      </c>
      <c r="E191" s="208">
        <v>28372575</v>
      </c>
      <c r="F191" s="208">
        <v>0</v>
      </c>
      <c r="G191" s="208">
        <v>579032</v>
      </c>
      <c r="H191" s="208">
        <v>57903214</v>
      </c>
      <c r="I191" s="208">
        <v>382238</v>
      </c>
      <c r="J191" s="208">
        <v>382238</v>
      </c>
      <c r="K191" s="208">
        <v>28569369</v>
      </c>
      <c r="L191" s="208">
        <v>261652</v>
      </c>
      <c r="M191" s="208">
        <v>261652</v>
      </c>
      <c r="N191" s="208">
        <v>525181</v>
      </c>
      <c r="O191" s="208">
        <v>525181</v>
      </c>
      <c r="P191" s="208">
        <v>103713</v>
      </c>
      <c r="Q191" s="208">
        <v>0</v>
      </c>
      <c r="R191" s="208">
        <v>103713</v>
      </c>
      <c r="S191" s="208">
        <v>0</v>
      </c>
      <c r="T191" s="208">
        <v>0</v>
      </c>
      <c r="U191" s="208">
        <v>0</v>
      </c>
      <c r="V191" s="208">
        <v>0</v>
      </c>
      <c r="W191" s="208">
        <v>0</v>
      </c>
      <c r="X191" s="208">
        <v>0</v>
      </c>
      <c r="Y191" s="208">
        <v>0</v>
      </c>
      <c r="Z191" s="208">
        <v>0</v>
      </c>
      <c r="AA191" s="208">
        <v>0</v>
      </c>
      <c r="AB191" s="208">
        <v>0</v>
      </c>
      <c r="AC191" s="208">
        <v>0</v>
      </c>
      <c r="AD191" s="208">
        <v>0</v>
      </c>
      <c r="AE191" s="208">
        <v>382238</v>
      </c>
      <c r="AF191" s="208">
        <v>382238</v>
      </c>
      <c r="AG191" s="208">
        <v>3406467</v>
      </c>
      <c r="AH191" s="208">
        <v>0</v>
      </c>
      <c r="AI191" s="208">
        <v>67699</v>
      </c>
      <c r="AJ191" s="208">
        <v>3474166</v>
      </c>
      <c r="AK191" s="208">
        <v>1759909</v>
      </c>
      <c r="AL191" s="208">
        <v>1724711</v>
      </c>
      <c r="AM191" s="208">
        <v>0</v>
      </c>
      <c r="AN191" s="208">
        <v>35198</v>
      </c>
      <c r="AO191" s="208">
        <v>3519818</v>
      </c>
      <c r="AP191" s="208">
        <v>-885454</v>
      </c>
      <c r="AQ191" s="208">
        <v>-867745</v>
      </c>
      <c r="AR191" s="208">
        <v>0</v>
      </c>
      <c r="AS191" s="208">
        <v>-17709</v>
      </c>
      <c r="AT191" s="208">
        <v>-1770908</v>
      </c>
      <c r="AU191" s="208">
        <v>-899136.29999999981</v>
      </c>
      <c r="AV191" s="208">
        <v>-881154</v>
      </c>
      <c r="AW191" s="208">
        <v>0</v>
      </c>
      <c r="AX191" s="208">
        <v>-17983</v>
      </c>
      <c r="AY191" s="208">
        <v>-1798273.2999999998</v>
      </c>
      <c r="AZ191" s="208">
        <v>242375</v>
      </c>
      <c r="BA191" s="208">
        <v>237528</v>
      </c>
      <c r="BB191" s="208">
        <v>0</v>
      </c>
      <c r="BC191" s="208">
        <v>4848</v>
      </c>
      <c r="BD191" s="208">
        <v>484751</v>
      </c>
      <c r="BE191" s="208">
        <v>-235880</v>
      </c>
      <c r="BF191" s="208">
        <v>-231162</v>
      </c>
      <c r="BG191" s="208">
        <v>0</v>
      </c>
      <c r="BH191" s="208">
        <v>-4718</v>
      </c>
      <c r="BI191" s="208">
        <v>-471760</v>
      </c>
      <c r="BJ191" s="208">
        <v>-892641.29999999981</v>
      </c>
      <c r="BK191" s="208">
        <v>-874788</v>
      </c>
      <c r="BL191" s="208">
        <v>0</v>
      </c>
      <c r="BM191" s="208">
        <v>-17853</v>
      </c>
      <c r="BN191" s="208">
        <v>-1785282.2999999998</v>
      </c>
      <c r="BO191" s="208">
        <v>-2742287.4000000004</v>
      </c>
      <c r="BP191" s="208">
        <v>-2687442</v>
      </c>
      <c r="BQ191" s="208">
        <v>0</v>
      </c>
      <c r="BR191" s="208">
        <v>-54846</v>
      </c>
      <c r="BS191" s="208">
        <v>-5484575.4000000004</v>
      </c>
      <c r="BT191" s="208">
        <v>-1257495</v>
      </c>
      <c r="BU191" s="208">
        <v>-1232346</v>
      </c>
      <c r="BV191" s="208">
        <v>0</v>
      </c>
      <c r="BW191" s="208">
        <v>-25150</v>
      </c>
      <c r="BX191" s="208">
        <v>-2514991</v>
      </c>
      <c r="BY191" s="208">
        <v>-1484792.4000000004</v>
      </c>
      <c r="BZ191" s="208">
        <v>-1455096</v>
      </c>
      <c r="CA191" s="208">
        <v>0</v>
      </c>
      <c r="CB191" s="208">
        <v>-29696</v>
      </c>
      <c r="CC191" s="208">
        <v>-2969584.4000000004</v>
      </c>
      <c r="CD191" s="208">
        <v>442204</v>
      </c>
      <c r="CE191" s="208">
        <v>433360</v>
      </c>
      <c r="CF191" s="208">
        <v>0</v>
      </c>
      <c r="CG191" s="208">
        <v>8844</v>
      </c>
      <c r="CH191" s="208">
        <v>884408</v>
      </c>
      <c r="CI191" s="208">
        <v>0</v>
      </c>
      <c r="CJ191" s="208">
        <v>0</v>
      </c>
      <c r="CK191" s="208">
        <v>0</v>
      </c>
      <c r="CL191" s="208">
        <v>0</v>
      </c>
      <c r="CM191" s="208">
        <v>0</v>
      </c>
      <c r="CN191" s="208">
        <v>-589028</v>
      </c>
      <c r="CO191" s="208">
        <v>-577247</v>
      </c>
      <c r="CP191" s="208">
        <v>0</v>
      </c>
      <c r="CQ191" s="208">
        <v>-11781</v>
      </c>
      <c r="CR191" s="208">
        <v>-1178056</v>
      </c>
      <c r="CS191" s="208">
        <v>-1641789</v>
      </c>
      <c r="CT191" s="208">
        <v>-1608953</v>
      </c>
      <c r="CU191" s="208">
        <v>0</v>
      </c>
      <c r="CV191" s="208">
        <v>-32836</v>
      </c>
      <c r="CW191" s="208">
        <v>-3283578</v>
      </c>
      <c r="CX191" s="208">
        <v>-4530900.4000000004</v>
      </c>
      <c r="CY191" s="208">
        <v>-4440282</v>
      </c>
      <c r="CZ191" s="208">
        <v>0</v>
      </c>
      <c r="DA191" s="208">
        <v>-90619</v>
      </c>
      <c r="DB191" s="208">
        <v>-9061801.4000000004</v>
      </c>
      <c r="DC191" s="208">
        <v>-1404319</v>
      </c>
      <c r="DD191" s="208">
        <v>-1376233</v>
      </c>
      <c r="DE191" s="208">
        <v>0</v>
      </c>
      <c r="DF191" s="208">
        <v>-28087</v>
      </c>
      <c r="DG191" s="208">
        <v>-2808639</v>
      </c>
      <c r="DH191" s="208">
        <v>-3126581.4000000004</v>
      </c>
      <c r="DI191" s="208">
        <v>-3064049</v>
      </c>
      <c r="DJ191" s="208">
        <v>0</v>
      </c>
      <c r="DK191" s="208">
        <v>-62532</v>
      </c>
      <c r="DL191" s="208">
        <v>-6253162.4000000004</v>
      </c>
      <c r="DM191" s="208">
        <v>16839</v>
      </c>
      <c r="DN191" s="208">
        <v>16501.54</v>
      </c>
      <c r="DO191" s="208">
        <v>0</v>
      </c>
      <c r="DP191" s="208">
        <v>336.46000000000004</v>
      </c>
      <c r="DQ191" s="208">
        <v>33677</v>
      </c>
      <c r="DR191" s="208">
        <v>-131443</v>
      </c>
      <c r="DS191" s="208">
        <v>-128815</v>
      </c>
      <c r="DT191" s="208">
        <v>0</v>
      </c>
      <c r="DU191" s="208">
        <v>-2629</v>
      </c>
      <c r="DV191" s="208">
        <v>-262887</v>
      </c>
      <c r="DW191" s="208">
        <v>148282</v>
      </c>
      <c r="DX191" s="208">
        <v>145316.54</v>
      </c>
      <c r="DY191" s="208">
        <v>0</v>
      </c>
      <c r="DZ191" s="208">
        <v>2965.46</v>
      </c>
      <c r="EA191" s="208">
        <v>296564</v>
      </c>
      <c r="EB191" s="208">
        <v>29806462</v>
      </c>
      <c r="EC191" s="208">
        <v>29210333</v>
      </c>
      <c r="ED191" s="208">
        <v>0</v>
      </c>
      <c r="EE191" s="208">
        <v>596129</v>
      </c>
      <c r="EF191" s="208">
        <v>59612924</v>
      </c>
      <c r="EG191" s="208">
        <v>28951607</v>
      </c>
      <c r="EH191" s="208">
        <v>28372575</v>
      </c>
      <c r="EI191" s="208">
        <v>0</v>
      </c>
      <c r="EJ191" s="208">
        <v>579032</v>
      </c>
      <c r="EK191" s="208">
        <v>57903214</v>
      </c>
      <c r="EL191" s="208">
        <v>-854855</v>
      </c>
      <c r="EM191" s="208">
        <v>-837758</v>
      </c>
      <c r="EN191" s="208">
        <v>0</v>
      </c>
      <c r="EO191" s="208">
        <v>-17097</v>
      </c>
      <c r="EP191" s="208">
        <v>-1709710</v>
      </c>
      <c r="EQ191" s="208">
        <v>-706573</v>
      </c>
      <c r="ER191" s="208">
        <v>-692441.46</v>
      </c>
      <c r="ES191" s="208">
        <v>0</v>
      </c>
      <c r="ET191" s="208">
        <v>-14131.54</v>
      </c>
      <c r="EU191" s="208">
        <v>-1413146</v>
      </c>
      <c r="EV191" s="666">
        <v>0.5</v>
      </c>
      <c r="EW191" s="666">
        <v>0.49</v>
      </c>
      <c r="EX191" s="666">
        <v>0</v>
      </c>
      <c r="EY191" s="666">
        <v>0.01</v>
      </c>
      <c r="EZ191" s="666">
        <v>1</v>
      </c>
      <c r="FA191" s="187" t="s">
        <v>742</v>
      </c>
      <c r="FC191" s="187">
        <v>0</v>
      </c>
    </row>
    <row r="192" spans="1:159" s="187" customFormat="1" x14ac:dyDescent="0.2">
      <c r="B192" s="429" t="s">
        <v>461</v>
      </c>
      <c r="C192" s="429" t="s">
        <v>460</v>
      </c>
      <c r="D192" s="208">
        <v>27487638</v>
      </c>
      <c r="E192" s="208">
        <v>26937886</v>
      </c>
      <c r="F192" s="208">
        <v>0</v>
      </c>
      <c r="G192" s="208">
        <v>549753</v>
      </c>
      <c r="H192" s="208">
        <v>54975277</v>
      </c>
      <c r="I192" s="208">
        <v>34588</v>
      </c>
      <c r="J192" s="208">
        <v>34588</v>
      </c>
      <c r="K192" s="208">
        <v>27453050</v>
      </c>
      <c r="L192" s="208">
        <v>225430</v>
      </c>
      <c r="M192" s="208">
        <v>225430</v>
      </c>
      <c r="N192" s="208">
        <v>0</v>
      </c>
      <c r="O192" s="208">
        <v>0</v>
      </c>
      <c r="P192" s="208">
        <v>0</v>
      </c>
      <c r="Q192" s="208">
        <v>0</v>
      </c>
      <c r="R192" s="208">
        <v>0</v>
      </c>
      <c r="S192" s="208">
        <v>0</v>
      </c>
      <c r="T192" s="208">
        <v>0</v>
      </c>
      <c r="U192" s="208">
        <v>0</v>
      </c>
      <c r="V192" s="208">
        <v>0</v>
      </c>
      <c r="W192" s="208">
        <v>34587.881249999999</v>
      </c>
      <c r="X192" s="208">
        <v>0</v>
      </c>
      <c r="Y192" s="208">
        <v>0</v>
      </c>
      <c r="Z192" s="208">
        <v>34587.881249999999</v>
      </c>
      <c r="AA192" s="208">
        <v>0</v>
      </c>
      <c r="AB192" s="208">
        <v>0</v>
      </c>
      <c r="AC192" s="208">
        <v>0</v>
      </c>
      <c r="AD192" s="208">
        <v>0</v>
      </c>
      <c r="AE192" s="208">
        <v>0</v>
      </c>
      <c r="AF192" s="208">
        <v>0</v>
      </c>
      <c r="AG192" s="208">
        <v>3028950</v>
      </c>
      <c r="AH192" s="208">
        <v>0</v>
      </c>
      <c r="AI192" s="208">
        <v>61561</v>
      </c>
      <c r="AJ192" s="208">
        <v>3090511</v>
      </c>
      <c r="AK192" s="208">
        <v>2656815</v>
      </c>
      <c r="AL192" s="208">
        <v>2603679</v>
      </c>
      <c r="AM192" s="208">
        <v>0</v>
      </c>
      <c r="AN192" s="208">
        <v>53136</v>
      </c>
      <c r="AO192" s="208">
        <v>5313630</v>
      </c>
      <c r="AP192" s="208">
        <v>-900743</v>
      </c>
      <c r="AQ192" s="208">
        <v>-882728</v>
      </c>
      <c r="AR192" s="208">
        <v>0</v>
      </c>
      <c r="AS192" s="208">
        <v>-18015</v>
      </c>
      <c r="AT192" s="208">
        <v>-1801486</v>
      </c>
      <c r="AU192" s="208">
        <v>-1358255</v>
      </c>
      <c r="AV192" s="208">
        <v>-1331090</v>
      </c>
      <c r="AW192" s="208">
        <v>0</v>
      </c>
      <c r="AX192" s="208">
        <v>-27165</v>
      </c>
      <c r="AY192" s="208">
        <v>-2716510</v>
      </c>
      <c r="AZ192" s="208">
        <v>161146</v>
      </c>
      <c r="BA192" s="208">
        <v>157923</v>
      </c>
      <c r="BB192" s="208">
        <v>0</v>
      </c>
      <c r="BC192" s="208">
        <v>3223</v>
      </c>
      <c r="BD192" s="208">
        <v>322292</v>
      </c>
      <c r="BE192" s="208">
        <v>-60651</v>
      </c>
      <c r="BF192" s="208">
        <v>-59437</v>
      </c>
      <c r="BG192" s="208">
        <v>0</v>
      </c>
      <c r="BH192" s="208">
        <v>-1213</v>
      </c>
      <c r="BI192" s="208">
        <v>-121301</v>
      </c>
      <c r="BJ192" s="208">
        <v>-1257760</v>
      </c>
      <c r="BK192" s="208">
        <v>-1232604</v>
      </c>
      <c r="BL192" s="208">
        <v>0</v>
      </c>
      <c r="BM192" s="208">
        <v>-25155</v>
      </c>
      <c r="BN192" s="208">
        <v>-2515519</v>
      </c>
      <c r="BO192" s="208">
        <v>-1453189</v>
      </c>
      <c r="BP192" s="208">
        <v>-1424126</v>
      </c>
      <c r="BQ192" s="208">
        <v>0</v>
      </c>
      <c r="BR192" s="208">
        <v>-29064</v>
      </c>
      <c r="BS192" s="208">
        <v>-2906379</v>
      </c>
      <c r="BT192" s="208">
        <v>0</v>
      </c>
      <c r="BU192" s="208">
        <v>0</v>
      </c>
      <c r="BV192" s="208">
        <v>0</v>
      </c>
      <c r="BW192" s="208">
        <v>0</v>
      </c>
      <c r="BX192" s="208">
        <v>0</v>
      </c>
      <c r="BY192" s="208">
        <v>-1453189</v>
      </c>
      <c r="BZ192" s="208">
        <v>-1424126</v>
      </c>
      <c r="CA192" s="208">
        <v>0</v>
      </c>
      <c r="CB192" s="208">
        <v>-29064</v>
      </c>
      <c r="CC192" s="208">
        <v>-2906379</v>
      </c>
      <c r="CD192" s="208">
        <v>206922</v>
      </c>
      <c r="CE192" s="208">
        <v>202783</v>
      </c>
      <c r="CF192" s="208">
        <v>0</v>
      </c>
      <c r="CG192" s="208">
        <v>4138</v>
      </c>
      <c r="CH192" s="208">
        <v>413843</v>
      </c>
      <c r="CI192" s="208">
        <v>0</v>
      </c>
      <c r="CJ192" s="208">
        <v>0</v>
      </c>
      <c r="CK192" s="208">
        <v>0</v>
      </c>
      <c r="CL192" s="208">
        <v>0</v>
      </c>
      <c r="CM192" s="208">
        <v>0</v>
      </c>
      <c r="CN192" s="208">
        <v>0</v>
      </c>
      <c r="CO192" s="208">
        <v>0</v>
      </c>
      <c r="CP192" s="208">
        <v>0</v>
      </c>
      <c r="CQ192" s="208">
        <v>0</v>
      </c>
      <c r="CR192" s="208">
        <v>0</v>
      </c>
      <c r="CS192" s="208">
        <v>-743482</v>
      </c>
      <c r="CT192" s="208">
        <v>-728613</v>
      </c>
      <c r="CU192" s="208">
        <v>0</v>
      </c>
      <c r="CV192" s="208">
        <v>-14870</v>
      </c>
      <c r="CW192" s="208">
        <v>-1486965</v>
      </c>
      <c r="CX192" s="208">
        <v>-1989749</v>
      </c>
      <c r="CY192" s="208">
        <v>-1949956</v>
      </c>
      <c r="CZ192" s="208">
        <v>0</v>
      </c>
      <c r="DA192" s="208">
        <v>-39796</v>
      </c>
      <c r="DB192" s="208">
        <v>-3979501</v>
      </c>
      <c r="DC192" s="208">
        <v>206922</v>
      </c>
      <c r="DD192" s="208">
        <v>202783</v>
      </c>
      <c r="DE192" s="208">
        <v>0</v>
      </c>
      <c r="DF192" s="208">
        <v>4138</v>
      </c>
      <c r="DG192" s="208">
        <v>413843</v>
      </c>
      <c r="DH192" s="208">
        <v>-2196671</v>
      </c>
      <c r="DI192" s="208">
        <v>-2152739</v>
      </c>
      <c r="DJ192" s="208">
        <v>0</v>
      </c>
      <c r="DK192" s="208">
        <v>-43934</v>
      </c>
      <c r="DL192" s="208">
        <v>-4393344</v>
      </c>
      <c r="DM192" s="208">
        <v>36668</v>
      </c>
      <c r="DN192" s="208">
        <v>35935</v>
      </c>
      <c r="DO192" s="208">
        <v>0</v>
      </c>
      <c r="DP192" s="208">
        <v>733</v>
      </c>
      <c r="DQ192" s="208">
        <v>73336</v>
      </c>
      <c r="DR192" s="208">
        <v>-17002</v>
      </c>
      <c r="DS192" s="208">
        <v>-16661</v>
      </c>
      <c r="DT192" s="208">
        <v>0</v>
      </c>
      <c r="DU192" s="208">
        <v>-340</v>
      </c>
      <c r="DV192" s="208">
        <v>-34003</v>
      </c>
      <c r="DW192" s="208">
        <v>53670</v>
      </c>
      <c r="DX192" s="208">
        <v>52596</v>
      </c>
      <c r="DY192" s="208">
        <v>0</v>
      </c>
      <c r="DZ192" s="208">
        <v>1073</v>
      </c>
      <c r="EA192" s="208">
        <v>107339</v>
      </c>
      <c r="EB192" s="208">
        <v>28409636</v>
      </c>
      <c r="EC192" s="208">
        <v>27841444</v>
      </c>
      <c r="ED192" s="208">
        <v>0</v>
      </c>
      <c r="EE192" s="208">
        <v>568193</v>
      </c>
      <c r="EF192" s="208">
        <v>56819273</v>
      </c>
      <c r="EG192" s="208">
        <v>27487638</v>
      </c>
      <c r="EH192" s="208">
        <v>26937886</v>
      </c>
      <c r="EI192" s="208">
        <v>0</v>
      </c>
      <c r="EJ192" s="208">
        <v>549753</v>
      </c>
      <c r="EK192" s="208">
        <v>54975277</v>
      </c>
      <c r="EL192" s="208">
        <v>-921998</v>
      </c>
      <c r="EM192" s="208">
        <v>-903558</v>
      </c>
      <c r="EN192" s="208">
        <v>0</v>
      </c>
      <c r="EO192" s="208">
        <v>-18440</v>
      </c>
      <c r="EP192" s="208">
        <v>-1843996</v>
      </c>
      <c r="EQ192" s="208">
        <v>-868328</v>
      </c>
      <c r="ER192" s="208">
        <v>-850962</v>
      </c>
      <c r="ES192" s="208">
        <v>0</v>
      </c>
      <c r="ET192" s="208">
        <v>-17367</v>
      </c>
      <c r="EU192" s="208">
        <v>-1736657</v>
      </c>
      <c r="EV192" s="666">
        <v>0.5</v>
      </c>
      <c r="EW192" s="666">
        <v>0.49</v>
      </c>
      <c r="EX192" s="666">
        <v>0</v>
      </c>
      <c r="EY192" s="666">
        <v>0.01</v>
      </c>
      <c r="EZ192" s="666">
        <v>1</v>
      </c>
      <c r="FA192" s="187" t="s">
        <v>1056</v>
      </c>
      <c r="FC192" s="187">
        <v>0</v>
      </c>
    </row>
    <row r="193" spans="1:159" s="187" customFormat="1" x14ac:dyDescent="0.2">
      <c r="A193" s="188"/>
      <c r="B193" s="429" t="s">
        <v>463</v>
      </c>
      <c r="C193" s="429" t="s">
        <v>462</v>
      </c>
      <c r="D193" s="208">
        <v>26832693</v>
      </c>
      <c r="E193" s="208">
        <v>21466155</v>
      </c>
      <c r="F193" s="208">
        <v>5366539</v>
      </c>
      <c r="G193" s="208">
        <v>0</v>
      </c>
      <c r="H193" s="208">
        <v>53665387</v>
      </c>
      <c r="I193" s="208">
        <v>0</v>
      </c>
      <c r="J193" s="208">
        <v>0</v>
      </c>
      <c r="K193" s="208">
        <v>26832693</v>
      </c>
      <c r="L193" s="208">
        <v>108580</v>
      </c>
      <c r="M193" s="208">
        <v>108580</v>
      </c>
      <c r="N193" s="208">
        <v>0</v>
      </c>
      <c r="O193" s="208">
        <v>0</v>
      </c>
      <c r="P193" s="208">
        <v>0</v>
      </c>
      <c r="Q193" s="208">
        <v>0</v>
      </c>
      <c r="R193" s="208">
        <v>0</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1257107</v>
      </c>
      <c r="AH193" s="208">
        <v>314277</v>
      </c>
      <c r="AI193" s="208">
        <v>0</v>
      </c>
      <c r="AJ193" s="208">
        <v>1571384</v>
      </c>
      <c r="AK193" s="208">
        <v>0</v>
      </c>
      <c r="AL193" s="208">
        <v>0</v>
      </c>
      <c r="AM193" s="208">
        <v>0</v>
      </c>
      <c r="AN193" s="208">
        <v>0</v>
      </c>
      <c r="AO193" s="208">
        <v>0</v>
      </c>
      <c r="AP193" s="208">
        <v>0</v>
      </c>
      <c r="AQ193" s="208">
        <v>0</v>
      </c>
      <c r="AR193" s="208">
        <v>0</v>
      </c>
      <c r="AS193" s="208">
        <v>0</v>
      </c>
      <c r="AT193" s="208">
        <v>0</v>
      </c>
      <c r="AU193" s="208">
        <v>-23166.58</v>
      </c>
      <c r="AV193" s="208">
        <v>-18533</v>
      </c>
      <c r="AW193" s="208">
        <v>-4633</v>
      </c>
      <c r="AX193" s="208">
        <v>0</v>
      </c>
      <c r="AY193" s="208">
        <v>-46332.58</v>
      </c>
      <c r="AZ193" s="208">
        <v>14852</v>
      </c>
      <c r="BA193" s="208">
        <v>11882</v>
      </c>
      <c r="BB193" s="208">
        <v>2971</v>
      </c>
      <c r="BC193" s="208">
        <v>0</v>
      </c>
      <c r="BD193" s="208">
        <v>29705</v>
      </c>
      <c r="BE193" s="208">
        <v>-31901</v>
      </c>
      <c r="BF193" s="208">
        <v>-25520</v>
      </c>
      <c r="BG193" s="208">
        <v>-6380</v>
      </c>
      <c r="BH193" s="208">
        <v>0</v>
      </c>
      <c r="BI193" s="208">
        <v>-63801</v>
      </c>
      <c r="BJ193" s="208">
        <v>-40215.58</v>
      </c>
      <c r="BK193" s="208">
        <v>-32171</v>
      </c>
      <c r="BL193" s="208">
        <v>-8042</v>
      </c>
      <c r="BM193" s="208">
        <v>0</v>
      </c>
      <c r="BN193" s="208">
        <v>-80428.58</v>
      </c>
      <c r="BO193" s="208">
        <v>-3936628</v>
      </c>
      <c r="BP193" s="208">
        <v>-3149303</v>
      </c>
      <c r="BQ193" s="208">
        <v>-787326</v>
      </c>
      <c r="BR193" s="208">
        <v>0</v>
      </c>
      <c r="BS193" s="208">
        <v>-7873257</v>
      </c>
      <c r="BT193" s="208">
        <v>-2154128</v>
      </c>
      <c r="BU193" s="208">
        <v>-1723303</v>
      </c>
      <c r="BV193" s="208">
        <v>-430826</v>
      </c>
      <c r="BW193" s="208">
        <v>0</v>
      </c>
      <c r="BX193" s="208">
        <v>-4308257</v>
      </c>
      <c r="BY193" s="208">
        <v>-1782500</v>
      </c>
      <c r="BZ193" s="208">
        <v>-1426000</v>
      </c>
      <c r="CA193" s="208">
        <v>-356500</v>
      </c>
      <c r="CB193" s="208">
        <v>0</v>
      </c>
      <c r="CC193" s="208">
        <v>-3565000</v>
      </c>
      <c r="CD193" s="208">
        <v>1042632</v>
      </c>
      <c r="CE193" s="208">
        <v>834105</v>
      </c>
      <c r="CF193" s="208">
        <v>208526</v>
      </c>
      <c r="CG193" s="208">
        <v>0</v>
      </c>
      <c r="CH193" s="208">
        <v>2085263</v>
      </c>
      <c r="CI193" s="208">
        <v>276004</v>
      </c>
      <c r="CJ193" s="208">
        <v>220804</v>
      </c>
      <c r="CK193" s="208">
        <v>55201</v>
      </c>
      <c r="CL193" s="208">
        <v>0</v>
      </c>
      <c r="CM193" s="208">
        <v>552009</v>
      </c>
      <c r="CN193" s="208">
        <v>763394</v>
      </c>
      <c r="CO193" s="208">
        <v>610715</v>
      </c>
      <c r="CP193" s="208">
        <v>152679</v>
      </c>
      <c r="CQ193" s="208">
        <v>0</v>
      </c>
      <c r="CR193" s="208">
        <v>1526788</v>
      </c>
      <c r="CS193" s="208">
        <v>-922968</v>
      </c>
      <c r="CT193" s="208">
        <v>-738374</v>
      </c>
      <c r="CU193" s="208">
        <v>-184594</v>
      </c>
      <c r="CV193" s="208">
        <v>0</v>
      </c>
      <c r="CW193" s="208">
        <v>-1845936</v>
      </c>
      <c r="CX193" s="208">
        <v>-2777566</v>
      </c>
      <c r="CY193" s="208">
        <v>-2222053</v>
      </c>
      <c r="CZ193" s="208">
        <v>-555514</v>
      </c>
      <c r="DA193" s="208">
        <v>0</v>
      </c>
      <c r="DB193" s="208">
        <v>-5555133</v>
      </c>
      <c r="DC193" s="208">
        <v>-348102</v>
      </c>
      <c r="DD193" s="208">
        <v>-278483</v>
      </c>
      <c r="DE193" s="208">
        <v>-69621</v>
      </c>
      <c r="DF193" s="208">
        <v>0</v>
      </c>
      <c r="DG193" s="208">
        <v>-696206</v>
      </c>
      <c r="DH193" s="208">
        <v>-2429464</v>
      </c>
      <c r="DI193" s="208">
        <v>-1943570</v>
      </c>
      <c r="DJ193" s="208">
        <v>-485893</v>
      </c>
      <c r="DK193" s="208">
        <v>0</v>
      </c>
      <c r="DL193" s="208">
        <v>-4858927</v>
      </c>
      <c r="DM193" s="208">
        <v>2177914</v>
      </c>
      <c r="DN193" s="208">
        <v>1742329</v>
      </c>
      <c r="DO193" s="208">
        <v>435579</v>
      </c>
      <c r="DP193" s="208">
        <v>0</v>
      </c>
      <c r="DQ193" s="208">
        <v>4355822</v>
      </c>
      <c r="DR193" s="208">
        <v>1154827</v>
      </c>
      <c r="DS193" s="208">
        <v>923862</v>
      </c>
      <c r="DT193" s="208">
        <v>230965</v>
      </c>
      <c r="DU193" s="208">
        <v>0</v>
      </c>
      <c r="DV193" s="208">
        <v>2309654</v>
      </c>
      <c r="DW193" s="208">
        <v>1023087</v>
      </c>
      <c r="DX193" s="208">
        <v>818467</v>
      </c>
      <c r="DY193" s="208">
        <v>204614</v>
      </c>
      <c r="DZ193" s="208">
        <v>0</v>
      </c>
      <c r="EA193" s="208">
        <v>2046168</v>
      </c>
      <c r="EB193" s="208">
        <v>23081507</v>
      </c>
      <c r="EC193" s="208">
        <v>18465205</v>
      </c>
      <c r="ED193" s="208">
        <v>4616301</v>
      </c>
      <c r="EE193" s="208">
        <v>0</v>
      </c>
      <c r="EF193" s="208">
        <v>46163013</v>
      </c>
      <c r="EG193" s="208">
        <v>26832693</v>
      </c>
      <c r="EH193" s="208">
        <v>21466155</v>
      </c>
      <c r="EI193" s="208">
        <v>5366539</v>
      </c>
      <c r="EJ193" s="208">
        <v>0</v>
      </c>
      <c r="EK193" s="208">
        <v>53665387</v>
      </c>
      <c r="EL193" s="208">
        <v>3751186</v>
      </c>
      <c r="EM193" s="208">
        <v>3000950</v>
      </c>
      <c r="EN193" s="208">
        <v>750238</v>
      </c>
      <c r="EO193" s="208">
        <v>0</v>
      </c>
      <c r="EP193" s="208">
        <v>7502374</v>
      </c>
      <c r="EQ193" s="208">
        <v>4774273</v>
      </c>
      <c r="ER193" s="208">
        <v>3819417</v>
      </c>
      <c r="ES193" s="208">
        <v>954852</v>
      </c>
      <c r="ET193" s="208">
        <v>0</v>
      </c>
      <c r="EU193" s="208">
        <v>9548542</v>
      </c>
      <c r="EV193" s="666">
        <v>0.5</v>
      </c>
      <c r="EW193" s="666">
        <v>0.4</v>
      </c>
      <c r="EX193" s="666">
        <v>0.1</v>
      </c>
      <c r="EY193" s="666">
        <v>0</v>
      </c>
      <c r="EZ193" s="666">
        <v>1</v>
      </c>
      <c r="FA193" s="187" t="s">
        <v>1054</v>
      </c>
      <c r="FC193" s="187">
        <v>0</v>
      </c>
    </row>
    <row r="194" spans="1:159" s="187" customFormat="1" x14ac:dyDescent="0.2">
      <c r="B194" s="429" t="s">
        <v>465</v>
      </c>
      <c r="C194" s="429" t="s">
        <v>464</v>
      </c>
      <c r="D194" s="208">
        <v>30017853</v>
      </c>
      <c r="E194" s="208">
        <v>24014283</v>
      </c>
      <c r="F194" s="208">
        <v>5403214</v>
      </c>
      <c r="G194" s="208">
        <v>600357</v>
      </c>
      <c r="H194" s="208">
        <v>60035707</v>
      </c>
      <c r="I194" s="208">
        <v>0</v>
      </c>
      <c r="J194" s="208">
        <v>0</v>
      </c>
      <c r="K194" s="208">
        <v>30017853</v>
      </c>
      <c r="L194" s="208">
        <v>147548</v>
      </c>
      <c r="M194" s="208">
        <v>147548</v>
      </c>
      <c r="N194" s="208">
        <v>0</v>
      </c>
      <c r="O194" s="208">
        <v>0</v>
      </c>
      <c r="P194" s="208">
        <v>167172</v>
      </c>
      <c r="Q194" s="208">
        <v>0</v>
      </c>
      <c r="R194" s="208">
        <v>167172</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1614915</v>
      </c>
      <c r="AH194" s="208">
        <v>362494</v>
      </c>
      <c r="AI194" s="208">
        <v>40277</v>
      </c>
      <c r="AJ194" s="208">
        <v>2017686</v>
      </c>
      <c r="AK194" s="208">
        <v>210262</v>
      </c>
      <c r="AL194" s="208">
        <v>168209</v>
      </c>
      <c r="AM194" s="208">
        <v>37847</v>
      </c>
      <c r="AN194" s="208">
        <v>4205</v>
      </c>
      <c r="AO194" s="208">
        <v>420523</v>
      </c>
      <c r="AP194" s="208">
        <v>-564267</v>
      </c>
      <c r="AQ194" s="208">
        <v>-451414</v>
      </c>
      <c r="AR194" s="208">
        <v>-101568</v>
      </c>
      <c r="AS194" s="208">
        <v>-11285</v>
      </c>
      <c r="AT194" s="208">
        <v>-1128534</v>
      </c>
      <c r="AU194" s="208">
        <v>-136555.92000000004</v>
      </c>
      <c r="AV194" s="208">
        <v>-109244</v>
      </c>
      <c r="AW194" s="208">
        <v>-24580</v>
      </c>
      <c r="AX194" s="208">
        <v>-2731</v>
      </c>
      <c r="AY194" s="208">
        <v>-273110.92000000004</v>
      </c>
      <c r="AZ194" s="208">
        <v>184975</v>
      </c>
      <c r="BA194" s="208">
        <v>147980</v>
      </c>
      <c r="BB194" s="208">
        <v>33295</v>
      </c>
      <c r="BC194" s="208">
        <v>3699</v>
      </c>
      <c r="BD194" s="208">
        <v>369949</v>
      </c>
      <c r="BE194" s="208">
        <v>-222024</v>
      </c>
      <c r="BF194" s="208">
        <v>-177619</v>
      </c>
      <c r="BG194" s="208">
        <v>-39964</v>
      </c>
      <c r="BH194" s="208">
        <v>-4440</v>
      </c>
      <c r="BI194" s="208">
        <v>-444047</v>
      </c>
      <c r="BJ194" s="208">
        <v>-173604.92000000004</v>
      </c>
      <c r="BK194" s="208">
        <v>-138883</v>
      </c>
      <c r="BL194" s="208">
        <v>-31249</v>
      </c>
      <c r="BM194" s="208">
        <v>-3472</v>
      </c>
      <c r="BN194" s="208">
        <v>-347208.92000000004</v>
      </c>
      <c r="BO194" s="208">
        <v>-2457633</v>
      </c>
      <c r="BP194" s="208">
        <v>-1966106</v>
      </c>
      <c r="BQ194" s="208">
        <v>-442374</v>
      </c>
      <c r="BR194" s="208">
        <v>-49153</v>
      </c>
      <c r="BS194" s="208">
        <v>-4915266</v>
      </c>
      <c r="BT194" s="208">
        <v>-2188030</v>
      </c>
      <c r="BU194" s="208">
        <v>-1750425</v>
      </c>
      <c r="BV194" s="208">
        <v>-393846</v>
      </c>
      <c r="BW194" s="208">
        <v>-43761</v>
      </c>
      <c r="BX194" s="208">
        <v>-4376062</v>
      </c>
      <c r="BY194" s="208">
        <v>-269602</v>
      </c>
      <c r="BZ194" s="208">
        <v>-215682</v>
      </c>
      <c r="CA194" s="208">
        <v>-48528</v>
      </c>
      <c r="CB194" s="208">
        <v>-5392</v>
      </c>
      <c r="CC194" s="208">
        <v>-539204</v>
      </c>
      <c r="CD194" s="208">
        <v>339069</v>
      </c>
      <c r="CE194" s="208">
        <v>271255</v>
      </c>
      <c r="CF194" s="208">
        <v>61032</v>
      </c>
      <c r="CG194" s="208">
        <v>6781</v>
      </c>
      <c r="CH194" s="208">
        <v>678137</v>
      </c>
      <c r="CI194" s="208">
        <v>0</v>
      </c>
      <c r="CJ194" s="208">
        <v>0</v>
      </c>
      <c r="CK194" s="208">
        <v>0</v>
      </c>
      <c r="CL194" s="208">
        <v>0</v>
      </c>
      <c r="CM194" s="208">
        <v>0</v>
      </c>
      <c r="CN194" s="208">
        <v>-49009</v>
      </c>
      <c r="CO194" s="208">
        <v>-39206</v>
      </c>
      <c r="CP194" s="208">
        <v>-8821</v>
      </c>
      <c r="CQ194" s="208">
        <v>-980</v>
      </c>
      <c r="CR194" s="208">
        <v>-98016</v>
      </c>
      <c r="CS194" s="208">
        <v>-703961</v>
      </c>
      <c r="CT194" s="208">
        <v>-563169</v>
      </c>
      <c r="CU194" s="208">
        <v>-126713</v>
      </c>
      <c r="CV194" s="208">
        <v>-14079</v>
      </c>
      <c r="CW194" s="208">
        <v>-1407922</v>
      </c>
      <c r="CX194" s="208">
        <v>-2871534</v>
      </c>
      <c r="CY194" s="208">
        <v>-2297226</v>
      </c>
      <c r="CZ194" s="208">
        <v>-516876</v>
      </c>
      <c r="DA194" s="208">
        <v>-57431</v>
      </c>
      <c r="DB194" s="208">
        <v>-5743067</v>
      </c>
      <c r="DC194" s="208">
        <v>-1897970</v>
      </c>
      <c r="DD194" s="208">
        <v>-1518376</v>
      </c>
      <c r="DE194" s="208">
        <v>-341635</v>
      </c>
      <c r="DF194" s="208">
        <v>-37960</v>
      </c>
      <c r="DG194" s="208">
        <v>-3795941</v>
      </c>
      <c r="DH194" s="208">
        <v>-973563</v>
      </c>
      <c r="DI194" s="208">
        <v>-778851</v>
      </c>
      <c r="DJ194" s="208">
        <v>-175241</v>
      </c>
      <c r="DK194" s="208">
        <v>-19471</v>
      </c>
      <c r="DL194" s="208">
        <v>-1947126</v>
      </c>
      <c r="DM194" s="208">
        <v>-458628</v>
      </c>
      <c r="DN194" s="208">
        <v>-366901</v>
      </c>
      <c r="DO194" s="208">
        <v>-82553</v>
      </c>
      <c r="DP194" s="208">
        <v>-9172</v>
      </c>
      <c r="DQ194" s="208">
        <v>-917254</v>
      </c>
      <c r="DR194" s="208">
        <v>-489211</v>
      </c>
      <c r="DS194" s="208">
        <v>-391369</v>
      </c>
      <c r="DT194" s="208">
        <v>-88058</v>
      </c>
      <c r="DU194" s="208">
        <v>-9784</v>
      </c>
      <c r="DV194" s="208">
        <v>-978422</v>
      </c>
      <c r="DW194" s="208">
        <v>30583</v>
      </c>
      <c r="DX194" s="208">
        <v>24468</v>
      </c>
      <c r="DY194" s="208">
        <v>5505</v>
      </c>
      <c r="DZ194" s="208">
        <v>612</v>
      </c>
      <c r="EA194" s="208">
        <v>61168</v>
      </c>
      <c r="EB194" s="208">
        <v>30434407</v>
      </c>
      <c r="EC194" s="208">
        <v>24347525</v>
      </c>
      <c r="ED194" s="208">
        <v>5478193</v>
      </c>
      <c r="EE194" s="208">
        <v>608688</v>
      </c>
      <c r="EF194" s="208">
        <v>60868813</v>
      </c>
      <c r="EG194" s="208">
        <v>30017853</v>
      </c>
      <c r="EH194" s="208">
        <v>24014283</v>
      </c>
      <c r="EI194" s="208">
        <v>5403214</v>
      </c>
      <c r="EJ194" s="208">
        <v>600357</v>
      </c>
      <c r="EK194" s="208">
        <v>60035707</v>
      </c>
      <c r="EL194" s="208">
        <v>-416554</v>
      </c>
      <c r="EM194" s="208">
        <v>-333242</v>
      </c>
      <c r="EN194" s="208">
        <v>-74979</v>
      </c>
      <c r="EO194" s="208">
        <v>-8331</v>
      </c>
      <c r="EP194" s="208">
        <v>-833106</v>
      </c>
      <c r="EQ194" s="208">
        <v>-385971</v>
      </c>
      <c r="ER194" s="208">
        <v>-308774</v>
      </c>
      <c r="ES194" s="208">
        <v>-69474</v>
      </c>
      <c r="ET194" s="208">
        <v>-7719</v>
      </c>
      <c r="EU194" s="208">
        <v>-771938</v>
      </c>
      <c r="EV194" s="666">
        <v>0.5</v>
      </c>
      <c r="EW194" s="666">
        <v>0.4</v>
      </c>
      <c r="EX194" s="666">
        <v>0.09</v>
      </c>
      <c r="EY194" s="666">
        <v>0.01</v>
      </c>
      <c r="EZ194" s="666">
        <v>1</v>
      </c>
      <c r="FA194" s="187" t="s">
        <v>1054</v>
      </c>
      <c r="FC194" s="187">
        <v>0</v>
      </c>
    </row>
    <row r="195" spans="1:159" s="187" customFormat="1" x14ac:dyDescent="0.2">
      <c r="A195" s="188" t="s">
        <v>1817</v>
      </c>
      <c r="B195" s="429" t="s">
        <v>467</v>
      </c>
      <c r="C195" s="429" t="s">
        <v>466</v>
      </c>
      <c r="D195" s="208">
        <v>48938403</v>
      </c>
      <c r="E195" s="208">
        <v>39150722</v>
      </c>
      <c r="F195" s="208">
        <v>9787681</v>
      </c>
      <c r="G195" s="208">
        <v>0</v>
      </c>
      <c r="H195" s="208">
        <v>97876806</v>
      </c>
      <c r="I195" s="208">
        <v>609912</v>
      </c>
      <c r="J195" s="208">
        <v>609912</v>
      </c>
      <c r="K195" s="208">
        <v>48328491</v>
      </c>
      <c r="L195" s="208">
        <v>282580</v>
      </c>
      <c r="M195" s="208">
        <v>282580</v>
      </c>
      <c r="N195" s="208">
        <v>1344316</v>
      </c>
      <c r="O195" s="208">
        <v>1344316</v>
      </c>
      <c r="P195" s="208">
        <v>0</v>
      </c>
      <c r="Q195" s="208">
        <v>0</v>
      </c>
      <c r="R195" s="208">
        <v>0</v>
      </c>
      <c r="S195" s="208">
        <v>0</v>
      </c>
      <c r="T195" s="208">
        <v>0</v>
      </c>
      <c r="U195" s="208">
        <v>0</v>
      </c>
      <c r="V195" s="208">
        <v>0</v>
      </c>
      <c r="W195" s="208">
        <v>609912.01666666672</v>
      </c>
      <c r="X195" s="208">
        <v>0</v>
      </c>
      <c r="Y195" s="208">
        <v>0</v>
      </c>
      <c r="Z195" s="208">
        <v>609912.01666666672</v>
      </c>
      <c r="AA195" s="208">
        <v>0</v>
      </c>
      <c r="AB195" s="208">
        <v>0</v>
      </c>
      <c r="AC195" s="208">
        <v>0</v>
      </c>
      <c r="AD195" s="208">
        <v>0</v>
      </c>
      <c r="AE195" s="208">
        <v>0</v>
      </c>
      <c r="AF195" s="208">
        <v>0</v>
      </c>
      <c r="AG195" s="208">
        <v>2920596</v>
      </c>
      <c r="AH195" s="208">
        <v>693785</v>
      </c>
      <c r="AI195" s="208">
        <v>0</v>
      </c>
      <c r="AJ195" s="208">
        <v>3614381</v>
      </c>
      <c r="AK195" s="208">
        <v>1274782</v>
      </c>
      <c r="AL195" s="208">
        <v>1019825</v>
      </c>
      <c r="AM195" s="208">
        <v>254956</v>
      </c>
      <c r="AN195" s="208">
        <v>0</v>
      </c>
      <c r="AO195" s="208">
        <v>2549563</v>
      </c>
      <c r="AP195" s="208">
        <v>-1371307</v>
      </c>
      <c r="AQ195" s="208">
        <v>-1097046</v>
      </c>
      <c r="AR195" s="208">
        <v>-274261</v>
      </c>
      <c r="AS195" s="208">
        <v>0</v>
      </c>
      <c r="AT195" s="208">
        <v>-2742614</v>
      </c>
      <c r="AU195" s="208">
        <v>-824579.73</v>
      </c>
      <c r="AV195" s="208">
        <v>-659664</v>
      </c>
      <c r="AW195" s="208">
        <v>-164916</v>
      </c>
      <c r="AX195" s="208">
        <v>0</v>
      </c>
      <c r="AY195" s="208">
        <v>-1649159.73</v>
      </c>
      <c r="AZ195" s="208">
        <v>660792</v>
      </c>
      <c r="BA195" s="208">
        <v>528633</v>
      </c>
      <c r="BB195" s="208">
        <v>132158</v>
      </c>
      <c r="BC195" s="208">
        <v>0</v>
      </c>
      <c r="BD195" s="208">
        <v>1321583</v>
      </c>
      <c r="BE195" s="208">
        <v>-311727</v>
      </c>
      <c r="BF195" s="208">
        <v>-249382</v>
      </c>
      <c r="BG195" s="208">
        <v>-62346</v>
      </c>
      <c r="BH195" s="208">
        <v>0</v>
      </c>
      <c r="BI195" s="208">
        <v>-623455</v>
      </c>
      <c r="BJ195" s="208">
        <v>-475514.73</v>
      </c>
      <c r="BK195" s="208">
        <v>-380413</v>
      </c>
      <c r="BL195" s="208">
        <v>-95104</v>
      </c>
      <c r="BM195" s="208">
        <v>0</v>
      </c>
      <c r="BN195" s="208">
        <v>-951031.73</v>
      </c>
      <c r="BO195" s="208">
        <v>-7215702.4000000004</v>
      </c>
      <c r="BP195" s="208">
        <v>-5772562</v>
      </c>
      <c r="BQ195" s="208">
        <v>-1443141</v>
      </c>
      <c r="BR195" s="208">
        <v>0</v>
      </c>
      <c r="BS195" s="208">
        <v>-14431405.4</v>
      </c>
      <c r="BT195" s="208">
        <v>0</v>
      </c>
      <c r="BU195" s="208">
        <v>0</v>
      </c>
      <c r="BV195" s="208">
        <v>0</v>
      </c>
      <c r="BW195" s="208">
        <v>0</v>
      </c>
      <c r="BX195" s="208">
        <v>0</v>
      </c>
      <c r="BY195" s="208">
        <v>-7215702.4000000004</v>
      </c>
      <c r="BZ195" s="208">
        <v>-5772562</v>
      </c>
      <c r="CA195" s="208">
        <v>-1443141</v>
      </c>
      <c r="CB195" s="208">
        <v>0</v>
      </c>
      <c r="CC195" s="208">
        <v>-14431405.4</v>
      </c>
      <c r="CD195" s="208">
        <v>949204</v>
      </c>
      <c r="CE195" s="208">
        <v>759364</v>
      </c>
      <c r="CF195" s="208">
        <v>189841</v>
      </c>
      <c r="CG195" s="208">
        <v>0</v>
      </c>
      <c r="CH195" s="208">
        <v>1898409</v>
      </c>
      <c r="CI195" s="208">
        <v>0</v>
      </c>
      <c r="CJ195" s="208">
        <v>0</v>
      </c>
      <c r="CK195" s="208">
        <v>0</v>
      </c>
      <c r="CL195" s="208">
        <v>0</v>
      </c>
      <c r="CM195" s="208">
        <v>0</v>
      </c>
      <c r="CN195" s="208">
        <v>150197</v>
      </c>
      <c r="CO195" s="208">
        <v>120158</v>
      </c>
      <c r="CP195" s="208">
        <v>30039</v>
      </c>
      <c r="CQ195" s="208">
        <v>0</v>
      </c>
      <c r="CR195" s="208">
        <v>300394</v>
      </c>
      <c r="CS195" s="208">
        <v>-1292168</v>
      </c>
      <c r="CT195" s="208">
        <v>-1033735</v>
      </c>
      <c r="CU195" s="208">
        <v>-258434</v>
      </c>
      <c r="CV195" s="208">
        <v>0</v>
      </c>
      <c r="CW195" s="208">
        <v>-2584337</v>
      </c>
      <c r="CX195" s="208">
        <v>-7408469.4000000004</v>
      </c>
      <c r="CY195" s="208">
        <v>-5926775</v>
      </c>
      <c r="CZ195" s="208">
        <v>-1481695</v>
      </c>
      <c r="DA195" s="208">
        <v>0</v>
      </c>
      <c r="DB195" s="208">
        <v>-14816939.4</v>
      </c>
      <c r="DC195" s="208">
        <v>1099401</v>
      </c>
      <c r="DD195" s="208">
        <v>879522</v>
      </c>
      <c r="DE195" s="208">
        <v>219880</v>
      </c>
      <c r="DF195" s="208">
        <v>0</v>
      </c>
      <c r="DG195" s="208">
        <v>2198803</v>
      </c>
      <c r="DH195" s="208">
        <v>-8507870.4000000004</v>
      </c>
      <c r="DI195" s="208">
        <v>-6806297</v>
      </c>
      <c r="DJ195" s="208">
        <v>-1701575</v>
      </c>
      <c r="DK195" s="208">
        <v>0</v>
      </c>
      <c r="DL195" s="208">
        <v>-17015742.399999999</v>
      </c>
      <c r="DM195" s="208">
        <v>-284895</v>
      </c>
      <c r="DN195" s="208">
        <v>-227915</v>
      </c>
      <c r="DO195" s="208">
        <v>-56980</v>
      </c>
      <c r="DP195" s="208">
        <v>0</v>
      </c>
      <c r="DQ195" s="208">
        <v>-569790</v>
      </c>
      <c r="DR195" s="208">
        <v>-1106042</v>
      </c>
      <c r="DS195" s="208">
        <v>-884833</v>
      </c>
      <c r="DT195" s="208">
        <v>-221208</v>
      </c>
      <c r="DU195" s="208">
        <v>0</v>
      </c>
      <c r="DV195" s="208">
        <v>-2212083</v>
      </c>
      <c r="DW195" s="208">
        <v>821147</v>
      </c>
      <c r="DX195" s="208">
        <v>656918</v>
      </c>
      <c r="DY195" s="208">
        <v>164228</v>
      </c>
      <c r="DZ195" s="208">
        <v>0</v>
      </c>
      <c r="EA195" s="208">
        <v>1642293</v>
      </c>
      <c r="EB195" s="208">
        <v>48938720</v>
      </c>
      <c r="EC195" s="208">
        <v>39150976</v>
      </c>
      <c r="ED195" s="208">
        <v>9787744</v>
      </c>
      <c r="EE195" s="208">
        <v>0</v>
      </c>
      <c r="EF195" s="208">
        <v>97877440</v>
      </c>
      <c r="EG195" s="208">
        <v>48938403</v>
      </c>
      <c r="EH195" s="208">
        <v>39150722</v>
      </c>
      <c r="EI195" s="208">
        <v>9787681</v>
      </c>
      <c r="EJ195" s="208">
        <v>0</v>
      </c>
      <c r="EK195" s="208">
        <v>97876806</v>
      </c>
      <c r="EL195" s="208">
        <v>-317</v>
      </c>
      <c r="EM195" s="208">
        <v>-254</v>
      </c>
      <c r="EN195" s="208">
        <v>-63</v>
      </c>
      <c r="EO195" s="208">
        <v>0</v>
      </c>
      <c r="EP195" s="208">
        <v>-634</v>
      </c>
      <c r="EQ195" s="208">
        <v>820830</v>
      </c>
      <c r="ER195" s="208">
        <v>656664</v>
      </c>
      <c r="ES195" s="208">
        <v>164165</v>
      </c>
      <c r="ET195" s="208">
        <v>0</v>
      </c>
      <c r="EU195" s="208">
        <v>1641659</v>
      </c>
      <c r="EV195" s="666">
        <v>0.5</v>
      </c>
      <c r="EW195" s="666">
        <v>0.4</v>
      </c>
      <c r="EX195" s="666">
        <v>0.1</v>
      </c>
      <c r="EY195" s="666">
        <v>0</v>
      </c>
      <c r="EZ195" s="666">
        <v>1</v>
      </c>
      <c r="FA195" s="187" t="s">
        <v>1054</v>
      </c>
      <c r="FC195" s="187">
        <v>0</v>
      </c>
    </row>
    <row r="196" spans="1:159" s="187" customFormat="1" x14ac:dyDescent="0.2">
      <c r="B196" s="429" t="s">
        <v>469</v>
      </c>
      <c r="C196" s="429" t="s">
        <v>468</v>
      </c>
      <c r="D196" s="208">
        <v>38287874</v>
      </c>
      <c r="E196" s="208">
        <v>38287874</v>
      </c>
      <c r="F196" s="208">
        <v>0</v>
      </c>
      <c r="G196" s="208">
        <v>0</v>
      </c>
      <c r="H196" s="208">
        <v>76575748</v>
      </c>
      <c r="I196" s="208">
        <v>112701</v>
      </c>
      <c r="J196" s="208">
        <v>112701</v>
      </c>
      <c r="K196" s="208">
        <v>38175173</v>
      </c>
      <c r="L196" s="208">
        <v>477623</v>
      </c>
      <c r="M196" s="208">
        <v>477623</v>
      </c>
      <c r="N196" s="208">
        <v>257207</v>
      </c>
      <c r="O196" s="208">
        <v>257207</v>
      </c>
      <c r="P196" s="208">
        <v>2174386</v>
      </c>
      <c r="Q196" s="208">
        <v>0</v>
      </c>
      <c r="R196" s="208">
        <v>2174386</v>
      </c>
      <c r="S196" s="208">
        <v>0</v>
      </c>
      <c r="T196" s="208">
        <v>0</v>
      </c>
      <c r="U196" s="208">
        <v>0</v>
      </c>
      <c r="V196" s="208">
        <v>0</v>
      </c>
      <c r="W196" s="208">
        <v>112700.86666666667</v>
      </c>
      <c r="X196" s="208">
        <v>0</v>
      </c>
      <c r="Y196" s="208">
        <v>0</v>
      </c>
      <c r="Z196" s="208">
        <v>112700.86666666667</v>
      </c>
      <c r="AA196" s="208">
        <v>0</v>
      </c>
      <c r="AB196" s="208">
        <v>0</v>
      </c>
      <c r="AC196" s="208">
        <v>0</v>
      </c>
      <c r="AD196" s="208">
        <v>0</v>
      </c>
      <c r="AE196" s="208">
        <v>0</v>
      </c>
      <c r="AF196" s="208">
        <v>0</v>
      </c>
      <c r="AG196" s="208">
        <v>6005600</v>
      </c>
      <c r="AH196" s="208">
        <v>0</v>
      </c>
      <c r="AI196" s="208">
        <v>0</v>
      </c>
      <c r="AJ196" s="208">
        <v>6005600</v>
      </c>
      <c r="AK196" s="208">
        <v>1320121</v>
      </c>
      <c r="AL196" s="208">
        <v>1320122</v>
      </c>
      <c r="AM196" s="208">
        <v>0</v>
      </c>
      <c r="AN196" s="208">
        <v>0</v>
      </c>
      <c r="AO196" s="208">
        <v>2640243</v>
      </c>
      <c r="AP196" s="208">
        <v>-319893</v>
      </c>
      <c r="AQ196" s="208">
        <v>-319893</v>
      </c>
      <c r="AR196" s="208">
        <v>0</v>
      </c>
      <c r="AS196" s="208">
        <v>0</v>
      </c>
      <c r="AT196" s="208">
        <v>-639786</v>
      </c>
      <c r="AU196" s="208">
        <v>-522757.30000000005</v>
      </c>
      <c r="AV196" s="208">
        <v>-522758</v>
      </c>
      <c r="AW196" s="208">
        <v>0</v>
      </c>
      <c r="AX196" s="208">
        <v>0</v>
      </c>
      <c r="AY196" s="208">
        <v>-1045515.3</v>
      </c>
      <c r="AZ196" s="208">
        <v>375148</v>
      </c>
      <c r="BA196" s="208">
        <v>375149</v>
      </c>
      <c r="BB196" s="208">
        <v>0</v>
      </c>
      <c r="BC196" s="208">
        <v>0</v>
      </c>
      <c r="BD196" s="208">
        <v>750297</v>
      </c>
      <c r="BE196" s="208">
        <v>-630464</v>
      </c>
      <c r="BF196" s="208">
        <v>-630464</v>
      </c>
      <c r="BG196" s="208">
        <v>0</v>
      </c>
      <c r="BH196" s="208">
        <v>0</v>
      </c>
      <c r="BI196" s="208">
        <v>-1260928</v>
      </c>
      <c r="BJ196" s="208">
        <v>-778073.3</v>
      </c>
      <c r="BK196" s="208">
        <v>-778073</v>
      </c>
      <c r="BL196" s="208">
        <v>0</v>
      </c>
      <c r="BM196" s="208">
        <v>0</v>
      </c>
      <c r="BN196" s="208">
        <v>-1556146.3</v>
      </c>
      <c r="BO196" s="208">
        <v>-4860741</v>
      </c>
      <c r="BP196" s="208">
        <v>-4860741</v>
      </c>
      <c r="BQ196" s="208">
        <v>0</v>
      </c>
      <c r="BR196" s="208">
        <v>0</v>
      </c>
      <c r="BS196" s="208">
        <v>-9721482</v>
      </c>
      <c r="BT196" s="208">
        <v>0</v>
      </c>
      <c r="BU196" s="208">
        <v>0</v>
      </c>
      <c r="BV196" s="208">
        <v>0</v>
      </c>
      <c r="BW196" s="208">
        <v>0</v>
      </c>
      <c r="BX196" s="208">
        <v>0</v>
      </c>
      <c r="BY196" s="208">
        <v>-4860741</v>
      </c>
      <c r="BZ196" s="208">
        <v>-4860741</v>
      </c>
      <c r="CA196" s="208">
        <v>0</v>
      </c>
      <c r="CB196" s="208">
        <v>0</v>
      </c>
      <c r="CC196" s="208">
        <v>-9721482</v>
      </c>
      <c r="CD196" s="208">
        <v>2333261</v>
      </c>
      <c r="CE196" s="208">
        <v>2333261</v>
      </c>
      <c r="CF196" s="208">
        <v>0</v>
      </c>
      <c r="CG196" s="208">
        <v>0</v>
      </c>
      <c r="CH196" s="208">
        <v>4666522</v>
      </c>
      <c r="CI196" s="208">
        <v>0</v>
      </c>
      <c r="CJ196" s="208">
        <v>0</v>
      </c>
      <c r="CK196" s="208">
        <v>0</v>
      </c>
      <c r="CL196" s="208">
        <v>0</v>
      </c>
      <c r="CM196" s="208">
        <v>0</v>
      </c>
      <c r="CN196" s="208">
        <v>-708863</v>
      </c>
      <c r="CO196" s="208">
        <v>-708864</v>
      </c>
      <c r="CP196" s="208">
        <v>0</v>
      </c>
      <c r="CQ196" s="208">
        <v>0</v>
      </c>
      <c r="CR196" s="208">
        <v>-1417727</v>
      </c>
      <c r="CS196" s="208">
        <v>-1865999</v>
      </c>
      <c r="CT196" s="208">
        <v>-1866000</v>
      </c>
      <c r="CU196" s="208">
        <v>0</v>
      </c>
      <c r="CV196" s="208">
        <v>0</v>
      </c>
      <c r="CW196" s="208">
        <v>-3731999</v>
      </c>
      <c r="CX196" s="208">
        <v>-5102342</v>
      </c>
      <c r="CY196" s="208">
        <v>-5102344</v>
      </c>
      <c r="CZ196" s="208">
        <v>0</v>
      </c>
      <c r="DA196" s="208">
        <v>0</v>
      </c>
      <c r="DB196" s="208">
        <v>-10204686</v>
      </c>
      <c r="DC196" s="208">
        <v>1624398</v>
      </c>
      <c r="DD196" s="208">
        <v>1624397</v>
      </c>
      <c r="DE196" s="208">
        <v>0</v>
      </c>
      <c r="DF196" s="208">
        <v>0</v>
      </c>
      <c r="DG196" s="208">
        <v>3248795</v>
      </c>
      <c r="DH196" s="208">
        <v>-6726740</v>
      </c>
      <c r="DI196" s="208">
        <v>-6726741</v>
      </c>
      <c r="DJ196" s="208">
        <v>0</v>
      </c>
      <c r="DK196" s="208">
        <v>0</v>
      </c>
      <c r="DL196" s="208">
        <v>-13453481</v>
      </c>
      <c r="DM196" s="208">
        <v>-599447</v>
      </c>
      <c r="DN196" s="208">
        <v>-599447</v>
      </c>
      <c r="DO196" s="208">
        <v>0</v>
      </c>
      <c r="DP196" s="208">
        <v>0</v>
      </c>
      <c r="DQ196" s="208">
        <v>-1198894</v>
      </c>
      <c r="DR196" s="208">
        <v>1082062</v>
      </c>
      <c r="DS196" s="208">
        <v>1082062</v>
      </c>
      <c r="DT196" s="208">
        <v>0</v>
      </c>
      <c r="DU196" s="208">
        <v>0</v>
      </c>
      <c r="DV196" s="208">
        <v>2164124</v>
      </c>
      <c r="DW196" s="208">
        <v>-1681509</v>
      </c>
      <c r="DX196" s="208">
        <v>-1681509</v>
      </c>
      <c r="DY196" s="208">
        <v>0</v>
      </c>
      <c r="DZ196" s="208">
        <v>0</v>
      </c>
      <c r="EA196" s="208">
        <v>-3363018</v>
      </c>
      <c r="EB196" s="208">
        <v>38747017</v>
      </c>
      <c r="EC196" s="208">
        <v>38747017</v>
      </c>
      <c r="ED196" s="208">
        <v>0</v>
      </c>
      <c r="EE196" s="208">
        <v>0</v>
      </c>
      <c r="EF196" s="208">
        <v>77494034</v>
      </c>
      <c r="EG196" s="208">
        <v>38287874</v>
      </c>
      <c r="EH196" s="208">
        <v>38287874</v>
      </c>
      <c r="EI196" s="208">
        <v>0</v>
      </c>
      <c r="EJ196" s="208">
        <v>0</v>
      </c>
      <c r="EK196" s="208">
        <v>76575748</v>
      </c>
      <c r="EL196" s="208">
        <v>-459143</v>
      </c>
      <c r="EM196" s="208">
        <v>-459143</v>
      </c>
      <c r="EN196" s="208">
        <v>0</v>
      </c>
      <c r="EO196" s="208">
        <v>0</v>
      </c>
      <c r="EP196" s="208">
        <v>-918286</v>
      </c>
      <c r="EQ196" s="208">
        <v>-2140652</v>
      </c>
      <c r="ER196" s="208">
        <v>-2140652</v>
      </c>
      <c r="ES196" s="208">
        <v>0</v>
      </c>
      <c r="ET196" s="208">
        <v>0</v>
      </c>
      <c r="EU196" s="208">
        <v>-4281304</v>
      </c>
      <c r="EV196" s="666">
        <v>0.5</v>
      </c>
      <c r="EW196" s="666">
        <v>0.5</v>
      </c>
      <c r="EX196" s="666">
        <v>0</v>
      </c>
      <c r="EY196" s="666">
        <v>0</v>
      </c>
      <c r="EZ196" s="666">
        <v>1</v>
      </c>
      <c r="FA196" s="187" t="s">
        <v>742</v>
      </c>
      <c r="FC196" s="187">
        <v>0</v>
      </c>
    </row>
    <row r="197" spans="1:159" s="187" customFormat="1" x14ac:dyDescent="0.2">
      <c r="B197" s="429" t="s">
        <v>471</v>
      </c>
      <c r="C197" s="429" t="s">
        <v>470</v>
      </c>
      <c r="D197" s="208">
        <v>38663831</v>
      </c>
      <c r="E197" s="208">
        <v>30931065</v>
      </c>
      <c r="F197" s="208">
        <v>7732766</v>
      </c>
      <c r="G197" s="208">
        <v>0</v>
      </c>
      <c r="H197" s="208">
        <v>77327662</v>
      </c>
      <c r="I197" s="208">
        <v>0</v>
      </c>
      <c r="J197" s="208">
        <v>0</v>
      </c>
      <c r="K197" s="208">
        <v>38663831</v>
      </c>
      <c r="L197" s="208">
        <v>268079</v>
      </c>
      <c r="M197" s="208">
        <v>268079</v>
      </c>
      <c r="N197" s="208">
        <v>0</v>
      </c>
      <c r="O197" s="208">
        <v>0</v>
      </c>
      <c r="P197" s="208">
        <v>0</v>
      </c>
      <c r="Q197" s="208">
        <v>0</v>
      </c>
      <c r="R197" s="208">
        <v>0</v>
      </c>
      <c r="S197" s="208">
        <v>0</v>
      </c>
      <c r="T197" s="208">
        <v>0</v>
      </c>
      <c r="U197" s="208">
        <v>0</v>
      </c>
      <c r="V197" s="208">
        <v>0</v>
      </c>
      <c r="W197" s="208">
        <v>0</v>
      </c>
      <c r="X197" s="208">
        <v>0</v>
      </c>
      <c r="Y197" s="208">
        <v>0</v>
      </c>
      <c r="Z197" s="208">
        <v>0</v>
      </c>
      <c r="AA197" s="208">
        <v>0</v>
      </c>
      <c r="AB197" s="208">
        <v>0</v>
      </c>
      <c r="AC197" s="208">
        <v>0</v>
      </c>
      <c r="AD197" s="208">
        <v>0</v>
      </c>
      <c r="AE197" s="208">
        <v>0</v>
      </c>
      <c r="AF197" s="208">
        <v>0</v>
      </c>
      <c r="AG197" s="208">
        <v>2734822</v>
      </c>
      <c r="AH197" s="208">
        <v>683705</v>
      </c>
      <c r="AI197" s="208">
        <v>0</v>
      </c>
      <c r="AJ197" s="208">
        <v>3418527</v>
      </c>
      <c r="AK197" s="208">
        <v>1202875</v>
      </c>
      <c r="AL197" s="208">
        <v>962300</v>
      </c>
      <c r="AM197" s="208">
        <v>240575</v>
      </c>
      <c r="AN197" s="208">
        <v>0</v>
      </c>
      <c r="AO197" s="208">
        <v>2405750</v>
      </c>
      <c r="AP197" s="208">
        <v>-512756</v>
      </c>
      <c r="AQ197" s="208">
        <v>-410204</v>
      </c>
      <c r="AR197" s="208">
        <v>-102551</v>
      </c>
      <c r="AS197" s="208">
        <v>0</v>
      </c>
      <c r="AT197" s="208">
        <v>-1025511</v>
      </c>
      <c r="AU197" s="208">
        <v>-783149</v>
      </c>
      <c r="AV197" s="208">
        <v>-626519</v>
      </c>
      <c r="AW197" s="208">
        <v>-156630</v>
      </c>
      <c r="AX197" s="208">
        <v>0</v>
      </c>
      <c r="AY197" s="208">
        <v>-1566298</v>
      </c>
      <c r="AZ197" s="208">
        <v>628515</v>
      </c>
      <c r="BA197" s="208">
        <v>502812</v>
      </c>
      <c r="BB197" s="208">
        <v>125703</v>
      </c>
      <c r="BC197" s="208">
        <v>0</v>
      </c>
      <c r="BD197" s="208">
        <v>1257030</v>
      </c>
      <c r="BE197" s="208">
        <v>-566478</v>
      </c>
      <c r="BF197" s="208">
        <v>-453183</v>
      </c>
      <c r="BG197" s="208">
        <v>-113296</v>
      </c>
      <c r="BH197" s="208">
        <v>0</v>
      </c>
      <c r="BI197" s="208">
        <v>-1132957</v>
      </c>
      <c r="BJ197" s="208">
        <v>-721112</v>
      </c>
      <c r="BK197" s="208">
        <v>-576890</v>
      </c>
      <c r="BL197" s="208">
        <v>-144223</v>
      </c>
      <c r="BM197" s="208">
        <v>0</v>
      </c>
      <c r="BN197" s="208">
        <v>-1442225</v>
      </c>
      <c r="BO197" s="208">
        <v>-3151232</v>
      </c>
      <c r="BP197" s="208">
        <v>-2520986</v>
      </c>
      <c r="BQ197" s="208">
        <v>-630247</v>
      </c>
      <c r="BR197" s="208">
        <v>0</v>
      </c>
      <c r="BS197" s="208">
        <v>-6302465</v>
      </c>
      <c r="BT197" s="208">
        <v>-1302966</v>
      </c>
      <c r="BU197" s="208">
        <v>-1042372</v>
      </c>
      <c r="BV197" s="208">
        <v>-260593</v>
      </c>
      <c r="BW197" s="208">
        <v>0</v>
      </c>
      <c r="BX197" s="208">
        <v>-2605931</v>
      </c>
      <c r="BY197" s="208">
        <v>-1848267</v>
      </c>
      <c r="BZ197" s="208">
        <v>-1478614</v>
      </c>
      <c r="CA197" s="208">
        <v>-369653</v>
      </c>
      <c r="CB197" s="208">
        <v>0</v>
      </c>
      <c r="CC197" s="208">
        <v>-3696534</v>
      </c>
      <c r="CD197" s="208">
        <v>230787</v>
      </c>
      <c r="CE197" s="208">
        <v>184629</v>
      </c>
      <c r="CF197" s="208">
        <v>46157</v>
      </c>
      <c r="CG197" s="208">
        <v>0</v>
      </c>
      <c r="CH197" s="208">
        <v>461573</v>
      </c>
      <c r="CI197" s="208">
        <v>222432</v>
      </c>
      <c r="CJ197" s="208">
        <v>177946</v>
      </c>
      <c r="CK197" s="208">
        <v>44486</v>
      </c>
      <c r="CL197" s="208">
        <v>0</v>
      </c>
      <c r="CM197" s="208">
        <v>444864</v>
      </c>
      <c r="CN197" s="208">
        <v>-227547</v>
      </c>
      <c r="CO197" s="208">
        <v>-182038</v>
      </c>
      <c r="CP197" s="208">
        <v>-45510</v>
      </c>
      <c r="CQ197" s="208">
        <v>0</v>
      </c>
      <c r="CR197" s="208">
        <v>-455095</v>
      </c>
      <c r="CS197" s="208">
        <v>-471422</v>
      </c>
      <c r="CT197" s="208">
        <v>-377138</v>
      </c>
      <c r="CU197" s="208">
        <v>-94284</v>
      </c>
      <c r="CV197" s="208">
        <v>0</v>
      </c>
      <c r="CW197" s="208">
        <v>-942844</v>
      </c>
      <c r="CX197" s="208">
        <v>-3396982</v>
      </c>
      <c r="CY197" s="208">
        <v>-2717587</v>
      </c>
      <c r="CZ197" s="208">
        <v>-679398</v>
      </c>
      <c r="DA197" s="208">
        <v>0</v>
      </c>
      <c r="DB197" s="208">
        <v>-6793967</v>
      </c>
      <c r="DC197" s="208">
        <v>-1299726</v>
      </c>
      <c r="DD197" s="208">
        <v>-1039781</v>
      </c>
      <c r="DE197" s="208">
        <v>-259946</v>
      </c>
      <c r="DF197" s="208">
        <v>0</v>
      </c>
      <c r="DG197" s="208">
        <v>-2599453</v>
      </c>
      <c r="DH197" s="208">
        <v>-2097257</v>
      </c>
      <c r="DI197" s="208">
        <v>-1677806</v>
      </c>
      <c r="DJ197" s="208">
        <v>-419451</v>
      </c>
      <c r="DK197" s="208">
        <v>0</v>
      </c>
      <c r="DL197" s="208">
        <v>-4194514</v>
      </c>
      <c r="DM197" s="208">
        <v>-1272965</v>
      </c>
      <c r="DN197" s="208">
        <v>-1018373</v>
      </c>
      <c r="DO197" s="208">
        <v>-254594</v>
      </c>
      <c r="DP197" s="208">
        <v>0</v>
      </c>
      <c r="DQ197" s="208">
        <v>-2545932</v>
      </c>
      <c r="DR197" s="208">
        <v>-1247849</v>
      </c>
      <c r="DS197" s="208">
        <v>-998279</v>
      </c>
      <c r="DT197" s="208">
        <v>-249570</v>
      </c>
      <c r="DU197" s="208">
        <v>0</v>
      </c>
      <c r="DV197" s="208">
        <v>-2495698</v>
      </c>
      <c r="DW197" s="208">
        <v>-25116</v>
      </c>
      <c r="DX197" s="208">
        <v>-20094</v>
      </c>
      <c r="DY197" s="208">
        <v>-5024</v>
      </c>
      <c r="DZ197" s="208">
        <v>0</v>
      </c>
      <c r="EA197" s="208">
        <v>-50234</v>
      </c>
      <c r="EB197" s="208">
        <v>37680067</v>
      </c>
      <c r="EC197" s="208">
        <v>30144053</v>
      </c>
      <c r="ED197" s="208">
        <v>7536013</v>
      </c>
      <c r="EE197" s="208">
        <v>0</v>
      </c>
      <c r="EF197" s="208">
        <v>75360133</v>
      </c>
      <c r="EG197" s="208">
        <v>38663831</v>
      </c>
      <c r="EH197" s="208">
        <v>30931065</v>
      </c>
      <c r="EI197" s="208">
        <v>7732766</v>
      </c>
      <c r="EJ197" s="208">
        <v>0</v>
      </c>
      <c r="EK197" s="208">
        <v>77327662</v>
      </c>
      <c r="EL197" s="208">
        <v>983764</v>
      </c>
      <c r="EM197" s="208">
        <v>787012</v>
      </c>
      <c r="EN197" s="208">
        <v>196753</v>
      </c>
      <c r="EO197" s="208">
        <v>0</v>
      </c>
      <c r="EP197" s="208">
        <v>1967529</v>
      </c>
      <c r="EQ197" s="208">
        <v>958648</v>
      </c>
      <c r="ER197" s="208">
        <v>766918</v>
      </c>
      <c r="ES197" s="208">
        <v>191729</v>
      </c>
      <c r="ET197" s="208">
        <v>0</v>
      </c>
      <c r="EU197" s="208">
        <v>1917295</v>
      </c>
      <c r="EV197" s="666">
        <v>0.5</v>
      </c>
      <c r="EW197" s="666">
        <v>0.4</v>
      </c>
      <c r="EX197" s="666">
        <v>0.1</v>
      </c>
      <c r="EY197" s="666">
        <v>0</v>
      </c>
      <c r="EZ197" s="666">
        <v>1</v>
      </c>
      <c r="FA197" s="187" t="s">
        <v>1054</v>
      </c>
      <c r="FC197" s="187">
        <v>0</v>
      </c>
    </row>
    <row r="198" spans="1:159" s="187" customFormat="1" x14ac:dyDescent="0.2">
      <c r="B198" s="429" t="s">
        <v>473</v>
      </c>
      <c r="C198" s="429" t="s">
        <v>472</v>
      </c>
      <c r="D198" s="208">
        <v>72924238</v>
      </c>
      <c r="E198" s="208">
        <v>71465753</v>
      </c>
      <c r="F198" s="208">
        <v>0</v>
      </c>
      <c r="G198" s="208">
        <v>1458485</v>
      </c>
      <c r="H198" s="208">
        <v>145848476</v>
      </c>
      <c r="I198" s="208">
        <v>0</v>
      </c>
      <c r="J198" s="208">
        <v>0</v>
      </c>
      <c r="K198" s="208">
        <v>72924238</v>
      </c>
      <c r="L198" s="208">
        <v>493293</v>
      </c>
      <c r="M198" s="208">
        <v>493293</v>
      </c>
      <c r="N198" s="208">
        <v>0</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5267001</v>
      </c>
      <c r="AH198" s="208">
        <v>0</v>
      </c>
      <c r="AI198" s="208">
        <v>97663</v>
      </c>
      <c r="AJ198" s="208">
        <v>5364664</v>
      </c>
      <c r="AK198" s="208">
        <v>6463946</v>
      </c>
      <c r="AL198" s="208">
        <v>6334668</v>
      </c>
      <c r="AM198" s="208">
        <v>0</v>
      </c>
      <c r="AN198" s="208">
        <v>129279</v>
      </c>
      <c r="AO198" s="208">
        <v>12927893</v>
      </c>
      <c r="AP198" s="208">
        <v>-1678585</v>
      </c>
      <c r="AQ198" s="208">
        <v>-1645014</v>
      </c>
      <c r="AR198" s="208">
        <v>0</v>
      </c>
      <c r="AS198" s="208">
        <v>-33572</v>
      </c>
      <c r="AT198" s="208">
        <v>-3357171</v>
      </c>
      <c r="AU198" s="208">
        <v>-3382374</v>
      </c>
      <c r="AV198" s="208">
        <v>-3314728</v>
      </c>
      <c r="AW198" s="208">
        <v>0</v>
      </c>
      <c r="AX198" s="208">
        <v>-67648</v>
      </c>
      <c r="AY198" s="208">
        <v>-6764750</v>
      </c>
      <c r="AZ198" s="208">
        <v>244575</v>
      </c>
      <c r="BA198" s="208">
        <v>239684</v>
      </c>
      <c r="BB198" s="208">
        <v>0</v>
      </c>
      <c r="BC198" s="208">
        <v>4892</v>
      </c>
      <c r="BD198" s="208">
        <v>489151</v>
      </c>
      <c r="BE198" s="208">
        <v>-961801</v>
      </c>
      <c r="BF198" s="208">
        <v>-942564</v>
      </c>
      <c r="BG198" s="208">
        <v>0</v>
      </c>
      <c r="BH198" s="208">
        <v>-19236</v>
      </c>
      <c r="BI198" s="208">
        <v>-1923601</v>
      </c>
      <c r="BJ198" s="208">
        <v>-4099600</v>
      </c>
      <c r="BK198" s="208">
        <v>-4017608</v>
      </c>
      <c r="BL198" s="208">
        <v>0</v>
      </c>
      <c r="BM198" s="208">
        <v>-81992</v>
      </c>
      <c r="BN198" s="208">
        <v>-8199200</v>
      </c>
      <c r="BO198" s="208">
        <v>-6901797</v>
      </c>
      <c r="BP198" s="208">
        <v>-6763761</v>
      </c>
      <c r="BQ198" s="208">
        <v>0</v>
      </c>
      <c r="BR198" s="208">
        <v>-138036</v>
      </c>
      <c r="BS198" s="208">
        <v>-13803594</v>
      </c>
      <c r="BT198" s="208">
        <v>-3871574</v>
      </c>
      <c r="BU198" s="208">
        <v>-3794142</v>
      </c>
      <c r="BV198" s="208">
        <v>0</v>
      </c>
      <c r="BW198" s="208">
        <v>-77431</v>
      </c>
      <c r="BX198" s="208">
        <v>-7743147</v>
      </c>
      <c r="BY198" s="208">
        <v>-3030224</v>
      </c>
      <c r="BZ198" s="208">
        <v>-2969619</v>
      </c>
      <c r="CA198" s="208">
        <v>0</v>
      </c>
      <c r="CB198" s="208">
        <v>-60604</v>
      </c>
      <c r="CC198" s="208">
        <v>-6060447</v>
      </c>
      <c r="CD198" s="208">
        <v>397939</v>
      </c>
      <c r="CE198" s="208">
        <v>389981</v>
      </c>
      <c r="CF198" s="208">
        <v>0</v>
      </c>
      <c r="CG198" s="208">
        <v>7959</v>
      </c>
      <c r="CH198" s="208">
        <v>795879</v>
      </c>
      <c r="CI198" s="208">
        <v>596910</v>
      </c>
      <c r="CJ198" s="208">
        <v>584971</v>
      </c>
      <c r="CK198" s="208">
        <v>0</v>
      </c>
      <c r="CL198" s="208">
        <v>11938</v>
      </c>
      <c r="CM198" s="208">
        <v>1193819</v>
      </c>
      <c r="CN198" s="208">
        <v>1134115</v>
      </c>
      <c r="CO198" s="208">
        <v>1111432</v>
      </c>
      <c r="CP198" s="208">
        <v>0</v>
      </c>
      <c r="CQ198" s="208">
        <v>22682</v>
      </c>
      <c r="CR198" s="208">
        <v>2268229</v>
      </c>
      <c r="CS198" s="208">
        <v>201656</v>
      </c>
      <c r="CT198" s="208">
        <v>197622</v>
      </c>
      <c r="CU198" s="208">
        <v>0</v>
      </c>
      <c r="CV198" s="208">
        <v>4033</v>
      </c>
      <c r="CW198" s="208">
        <v>403311</v>
      </c>
      <c r="CX198" s="208">
        <v>-4571177</v>
      </c>
      <c r="CY198" s="208">
        <v>-4479755</v>
      </c>
      <c r="CZ198" s="208">
        <v>0</v>
      </c>
      <c r="DA198" s="208">
        <v>-91424</v>
      </c>
      <c r="DB198" s="208">
        <v>-9142356</v>
      </c>
      <c r="DC198" s="208">
        <v>-2339520</v>
      </c>
      <c r="DD198" s="208">
        <v>-2292729</v>
      </c>
      <c r="DE198" s="208">
        <v>0</v>
      </c>
      <c r="DF198" s="208">
        <v>-46790</v>
      </c>
      <c r="DG198" s="208">
        <v>-4679039</v>
      </c>
      <c r="DH198" s="208">
        <v>-2231658</v>
      </c>
      <c r="DI198" s="208">
        <v>-2187026</v>
      </c>
      <c r="DJ198" s="208">
        <v>0</v>
      </c>
      <c r="DK198" s="208">
        <v>-44633</v>
      </c>
      <c r="DL198" s="208">
        <v>-4463317</v>
      </c>
      <c r="DM198" s="208">
        <v>100012</v>
      </c>
      <c r="DN198" s="208">
        <v>98012</v>
      </c>
      <c r="DO198" s="208">
        <v>0</v>
      </c>
      <c r="DP198" s="208">
        <v>2000</v>
      </c>
      <c r="DQ198" s="208">
        <v>200024</v>
      </c>
      <c r="DR198" s="208">
        <v>1746247</v>
      </c>
      <c r="DS198" s="208">
        <v>1711323</v>
      </c>
      <c r="DT198" s="208">
        <v>0</v>
      </c>
      <c r="DU198" s="208">
        <v>34925</v>
      </c>
      <c r="DV198" s="208">
        <v>3492495</v>
      </c>
      <c r="DW198" s="208">
        <v>-1646235</v>
      </c>
      <c r="DX198" s="208">
        <v>-1613311</v>
      </c>
      <c r="DY198" s="208">
        <v>0</v>
      </c>
      <c r="DZ198" s="208">
        <v>-32925</v>
      </c>
      <c r="EA198" s="208">
        <v>-3292471</v>
      </c>
      <c r="EB198" s="208">
        <v>68327826</v>
      </c>
      <c r="EC198" s="208">
        <v>66961269</v>
      </c>
      <c r="ED198" s="208">
        <v>0</v>
      </c>
      <c r="EE198" s="208">
        <v>1366557</v>
      </c>
      <c r="EF198" s="208">
        <v>136655652</v>
      </c>
      <c r="EG198" s="208">
        <v>72924238</v>
      </c>
      <c r="EH198" s="208">
        <v>71465753</v>
      </c>
      <c r="EI198" s="208">
        <v>0</v>
      </c>
      <c r="EJ198" s="208">
        <v>1458485</v>
      </c>
      <c r="EK198" s="208">
        <v>145848476</v>
      </c>
      <c r="EL198" s="208">
        <v>4596412</v>
      </c>
      <c r="EM198" s="208">
        <v>4504484</v>
      </c>
      <c r="EN198" s="208">
        <v>0</v>
      </c>
      <c r="EO198" s="208">
        <v>91928</v>
      </c>
      <c r="EP198" s="208">
        <v>9192824</v>
      </c>
      <c r="EQ198" s="208">
        <v>2950177</v>
      </c>
      <c r="ER198" s="208">
        <v>2891173</v>
      </c>
      <c r="ES198" s="208">
        <v>0</v>
      </c>
      <c r="ET198" s="208">
        <v>59003</v>
      </c>
      <c r="EU198" s="208">
        <v>5900353</v>
      </c>
      <c r="EV198" s="666">
        <v>0.5</v>
      </c>
      <c r="EW198" s="666">
        <v>0.49</v>
      </c>
      <c r="EX198" s="666">
        <v>0</v>
      </c>
      <c r="EY198" s="666">
        <v>0.01</v>
      </c>
      <c r="EZ198" s="666">
        <v>1</v>
      </c>
      <c r="FA198" s="187" t="s">
        <v>742</v>
      </c>
      <c r="FC198" s="187">
        <v>0</v>
      </c>
    </row>
    <row r="199" spans="1:159" s="187" customFormat="1" x14ac:dyDescent="0.2">
      <c r="B199" s="429" t="s">
        <v>475</v>
      </c>
      <c r="C199" s="429" t="s">
        <v>474</v>
      </c>
      <c r="D199" s="208">
        <v>17687156</v>
      </c>
      <c r="E199" s="208">
        <v>14149724</v>
      </c>
      <c r="F199" s="208">
        <v>3537431</v>
      </c>
      <c r="G199" s="208">
        <v>0</v>
      </c>
      <c r="H199" s="208">
        <v>35374311</v>
      </c>
      <c r="I199" s="208">
        <v>0</v>
      </c>
      <c r="J199" s="208">
        <v>0</v>
      </c>
      <c r="K199" s="208">
        <v>17687156</v>
      </c>
      <c r="L199" s="208">
        <v>131034</v>
      </c>
      <c r="M199" s="208">
        <v>131034</v>
      </c>
      <c r="N199" s="208">
        <v>0</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1458664</v>
      </c>
      <c r="AH199" s="208">
        <v>364665</v>
      </c>
      <c r="AI199" s="208">
        <v>0</v>
      </c>
      <c r="AJ199" s="208">
        <v>1823329</v>
      </c>
      <c r="AK199" s="208">
        <v>584878</v>
      </c>
      <c r="AL199" s="208">
        <v>467902</v>
      </c>
      <c r="AM199" s="208">
        <v>116976</v>
      </c>
      <c r="AN199" s="208">
        <v>0</v>
      </c>
      <c r="AO199" s="208">
        <v>1169756</v>
      </c>
      <c r="AP199" s="208">
        <v>-145758</v>
      </c>
      <c r="AQ199" s="208">
        <v>-116606</v>
      </c>
      <c r="AR199" s="208">
        <v>-29152</v>
      </c>
      <c r="AS199" s="208">
        <v>0</v>
      </c>
      <c r="AT199" s="208">
        <v>-291516</v>
      </c>
      <c r="AU199" s="208">
        <v>-192850</v>
      </c>
      <c r="AV199" s="208">
        <v>-154280</v>
      </c>
      <c r="AW199" s="208">
        <v>-38570</v>
      </c>
      <c r="AX199" s="208">
        <v>0</v>
      </c>
      <c r="AY199" s="208">
        <v>-385700</v>
      </c>
      <c r="AZ199" s="208">
        <v>130605</v>
      </c>
      <c r="BA199" s="208">
        <v>104484</v>
      </c>
      <c r="BB199" s="208">
        <v>26121</v>
      </c>
      <c r="BC199" s="208">
        <v>0</v>
      </c>
      <c r="BD199" s="208">
        <v>261210</v>
      </c>
      <c r="BE199" s="208">
        <v>-96855</v>
      </c>
      <c r="BF199" s="208">
        <v>-77484</v>
      </c>
      <c r="BG199" s="208">
        <v>-19371</v>
      </c>
      <c r="BH199" s="208">
        <v>0</v>
      </c>
      <c r="BI199" s="208">
        <v>-193710</v>
      </c>
      <c r="BJ199" s="208">
        <v>-159100</v>
      </c>
      <c r="BK199" s="208">
        <v>-127280</v>
      </c>
      <c r="BL199" s="208">
        <v>-31820</v>
      </c>
      <c r="BM199" s="208">
        <v>0</v>
      </c>
      <c r="BN199" s="208">
        <v>-318200</v>
      </c>
      <c r="BO199" s="208">
        <v>-2028876.5</v>
      </c>
      <c r="BP199" s="208">
        <v>-1623101</v>
      </c>
      <c r="BQ199" s="208">
        <v>-405775</v>
      </c>
      <c r="BR199" s="208">
        <v>0</v>
      </c>
      <c r="BS199" s="208">
        <v>-4057752.5</v>
      </c>
      <c r="BT199" s="208">
        <v>-1078510</v>
      </c>
      <c r="BU199" s="208">
        <v>-862808</v>
      </c>
      <c r="BV199" s="208">
        <v>-215702</v>
      </c>
      <c r="BW199" s="208">
        <v>0</v>
      </c>
      <c r="BX199" s="208">
        <v>-2157020</v>
      </c>
      <c r="BY199" s="208">
        <v>-950366.5</v>
      </c>
      <c r="BZ199" s="208">
        <v>-760293</v>
      </c>
      <c r="CA199" s="208">
        <v>-190073</v>
      </c>
      <c r="CB199" s="208">
        <v>0</v>
      </c>
      <c r="CC199" s="208">
        <v>-1900732.5</v>
      </c>
      <c r="CD199" s="208">
        <v>180837</v>
      </c>
      <c r="CE199" s="208">
        <v>144669</v>
      </c>
      <c r="CF199" s="208">
        <v>36167</v>
      </c>
      <c r="CG199" s="208">
        <v>0</v>
      </c>
      <c r="CH199" s="208">
        <v>361673</v>
      </c>
      <c r="CI199" s="208">
        <v>125288</v>
      </c>
      <c r="CJ199" s="208">
        <v>100231</v>
      </c>
      <c r="CK199" s="208">
        <v>25058</v>
      </c>
      <c r="CL199" s="208">
        <v>0</v>
      </c>
      <c r="CM199" s="208">
        <v>250577</v>
      </c>
      <c r="CN199" s="208">
        <v>142609</v>
      </c>
      <c r="CO199" s="208">
        <v>114088</v>
      </c>
      <c r="CP199" s="208">
        <v>28522</v>
      </c>
      <c r="CQ199" s="208">
        <v>0</v>
      </c>
      <c r="CR199" s="208">
        <v>285219</v>
      </c>
      <c r="CS199" s="208">
        <v>-352357</v>
      </c>
      <c r="CT199" s="208">
        <v>-281885</v>
      </c>
      <c r="CU199" s="208">
        <v>-70471</v>
      </c>
      <c r="CV199" s="208">
        <v>0</v>
      </c>
      <c r="CW199" s="208">
        <v>-704713</v>
      </c>
      <c r="CX199" s="208">
        <v>-1932499.5</v>
      </c>
      <c r="CY199" s="208">
        <v>-1545998</v>
      </c>
      <c r="CZ199" s="208">
        <v>-386499</v>
      </c>
      <c r="DA199" s="208">
        <v>0</v>
      </c>
      <c r="DB199" s="208">
        <v>-3864996.5</v>
      </c>
      <c r="DC199" s="208">
        <v>-755064</v>
      </c>
      <c r="DD199" s="208">
        <v>-604051</v>
      </c>
      <c r="DE199" s="208">
        <v>-151013</v>
      </c>
      <c r="DF199" s="208">
        <v>0</v>
      </c>
      <c r="DG199" s="208">
        <v>-1510128</v>
      </c>
      <c r="DH199" s="208">
        <v>-1177435.5</v>
      </c>
      <c r="DI199" s="208">
        <v>-941947</v>
      </c>
      <c r="DJ199" s="208">
        <v>-235486</v>
      </c>
      <c r="DK199" s="208">
        <v>0</v>
      </c>
      <c r="DL199" s="208">
        <v>-2354868.5</v>
      </c>
      <c r="DM199" s="208">
        <v>42308</v>
      </c>
      <c r="DN199" s="208">
        <v>33848</v>
      </c>
      <c r="DO199" s="208">
        <v>8461</v>
      </c>
      <c r="DP199" s="208">
        <v>0</v>
      </c>
      <c r="DQ199" s="208">
        <v>84617</v>
      </c>
      <c r="DR199" s="208">
        <v>-79998</v>
      </c>
      <c r="DS199" s="208">
        <v>-63998</v>
      </c>
      <c r="DT199" s="208">
        <v>-16000</v>
      </c>
      <c r="DU199" s="208">
        <v>0</v>
      </c>
      <c r="DV199" s="208">
        <v>-159996</v>
      </c>
      <c r="DW199" s="208">
        <v>122306</v>
      </c>
      <c r="DX199" s="208">
        <v>97846</v>
      </c>
      <c r="DY199" s="208">
        <v>24461</v>
      </c>
      <c r="DZ199" s="208">
        <v>0</v>
      </c>
      <c r="EA199" s="208">
        <v>244613</v>
      </c>
      <c r="EB199" s="208">
        <v>17147539</v>
      </c>
      <c r="EC199" s="208">
        <v>13718032</v>
      </c>
      <c r="ED199" s="208">
        <v>3429508</v>
      </c>
      <c r="EE199" s="208">
        <v>0</v>
      </c>
      <c r="EF199" s="208">
        <v>34295079</v>
      </c>
      <c r="EG199" s="208">
        <v>17687156</v>
      </c>
      <c r="EH199" s="208">
        <v>14149724</v>
      </c>
      <c r="EI199" s="208">
        <v>3537431</v>
      </c>
      <c r="EJ199" s="208">
        <v>0</v>
      </c>
      <c r="EK199" s="208">
        <v>35374311</v>
      </c>
      <c r="EL199" s="208">
        <v>539617</v>
      </c>
      <c r="EM199" s="208">
        <v>431692</v>
      </c>
      <c r="EN199" s="208">
        <v>107923</v>
      </c>
      <c r="EO199" s="208">
        <v>0</v>
      </c>
      <c r="EP199" s="208">
        <v>1079232</v>
      </c>
      <c r="EQ199" s="208">
        <v>661923</v>
      </c>
      <c r="ER199" s="208">
        <v>529538</v>
      </c>
      <c r="ES199" s="208">
        <v>132384</v>
      </c>
      <c r="ET199" s="208">
        <v>0</v>
      </c>
      <c r="EU199" s="208">
        <v>1323845</v>
      </c>
      <c r="EV199" s="666">
        <v>0.5</v>
      </c>
      <c r="EW199" s="666">
        <v>0.4</v>
      </c>
      <c r="EX199" s="666">
        <v>0.1</v>
      </c>
      <c r="EY199" s="666">
        <v>0</v>
      </c>
      <c r="EZ199" s="666">
        <v>1</v>
      </c>
      <c r="FA199" s="187" t="s">
        <v>1054</v>
      </c>
      <c r="FC199" s="187">
        <v>0</v>
      </c>
    </row>
    <row r="200" spans="1:159" s="187" customFormat="1" x14ac:dyDescent="0.2">
      <c r="B200" s="429" t="s">
        <v>477</v>
      </c>
      <c r="C200" s="429" t="s">
        <v>476</v>
      </c>
      <c r="D200" s="208">
        <v>5902893</v>
      </c>
      <c r="E200" s="208">
        <v>4722315</v>
      </c>
      <c r="F200" s="208">
        <v>1062521</v>
      </c>
      <c r="G200" s="208">
        <v>118058</v>
      </c>
      <c r="H200" s="208">
        <v>11805787</v>
      </c>
      <c r="I200" s="208">
        <v>0</v>
      </c>
      <c r="J200" s="208">
        <v>0</v>
      </c>
      <c r="K200" s="208">
        <v>5902893</v>
      </c>
      <c r="L200" s="208">
        <v>54961</v>
      </c>
      <c r="M200" s="208">
        <v>54961</v>
      </c>
      <c r="N200" s="208">
        <v>0</v>
      </c>
      <c r="O200" s="208">
        <v>0</v>
      </c>
      <c r="P200" s="208">
        <v>6360</v>
      </c>
      <c r="Q200" s="208">
        <v>0</v>
      </c>
      <c r="R200" s="208">
        <v>6360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706678</v>
      </c>
      <c r="AH200" s="208">
        <v>158969</v>
      </c>
      <c r="AI200" s="208">
        <v>17662</v>
      </c>
      <c r="AJ200" s="208">
        <v>883309</v>
      </c>
      <c r="AK200" s="208">
        <v>350062</v>
      </c>
      <c r="AL200" s="208">
        <v>280050</v>
      </c>
      <c r="AM200" s="208">
        <v>63011</v>
      </c>
      <c r="AN200" s="208">
        <v>7001</v>
      </c>
      <c r="AO200" s="208">
        <v>700124</v>
      </c>
      <c r="AP200" s="208">
        <v>-319938</v>
      </c>
      <c r="AQ200" s="208">
        <v>-255950</v>
      </c>
      <c r="AR200" s="208">
        <v>-57589</v>
      </c>
      <c r="AS200" s="208">
        <v>-6399</v>
      </c>
      <c r="AT200" s="208">
        <v>-639876</v>
      </c>
      <c r="AU200" s="208">
        <v>-150461.20000000001</v>
      </c>
      <c r="AV200" s="208">
        <v>-120368</v>
      </c>
      <c r="AW200" s="208">
        <v>-27083</v>
      </c>
      <c r="AX200" s="208">
        <v>-3009</v>
      </c>
      <c r="AY200" s="208">
        <v>-300921.2</v>
      </c>
      <c r="AZ200" s="208">
        <v>48876</v>
      </c>
      <c r="BA200" s="208">
        <v>39102</v>
      </c>
      <c r="BB200" s="208">
        <v>8798</v>
      </c>
      <c r="BC200" s="208">
        <v>978</v>
      </c>
      <c r="BD200" s="208">
        <v>97754</v>
      </c>
      <c r="BE200" s="208">
        <v>-18276</v>
      </c>
      <c r="BF200" s="208">
        <v>-14621</v>
      </c>
      <c r="BG200" s="208">
        <v>-3290</v>
      </c>
      <c r="BH200" s="208">
        <v>-366</v>
      </c>
      <c r="BI200" s="208">
        <v>-36553</v>
      </c>
      <c r="BJ200" s="208">
        <v>-119861.20000000001</v>
      </c>
      <c r="BK200" s="208">
        <v>-95887</v>
      </c>
      <c r="BL200" s="208">
        <v>-21575</v>
      </c>
      <c r="BM200" s="208">
        <v>-2397</v>
      </c>
      <c r="BN200" s="208">
        <v>-239720.2</v>
      </c>
      <c r="BO200" s="208">
        <v>-775655</v>
      </c>
      <c r="BP200" s="208">
        <v>-620524</v>
      </c>
      <c r="BQ200" s="208">
        <v>-139618</v>
      </c>
      <c r="BR200" s="208">
        <v>-15513</v>
      </c>
      <c r="BS200" s="208">
        <v>-1551310</v>
      </c>
      <c r="BT200" s="208">
        <v>-539414</v>
      </c>
      <c r="BU200" s="208">
        <v>-431532</v>
      </c>
      <c r="BV200" s="208">
        <v>-97095</v>
      </c>
      <c r="BW200" s="208">
        <v>-10788</v>
      </c>
      <c r="BX200" s="208">
        <v>-1078829</v>
      </c>
      <c r="BY200" s="208">
        <v>-236241</v>
      </c>
      <c r="BZ200" s="208">
        <v>-188992</v>
      </c>
      <c r="CA200" s="208">
        <v>-42523</v>
      </c>
      <c r="CB200" s="208">
        <v>-4725</v>
      </c>
      <c r="CC200" s="208">
        <v>-472481</v>
      </c>
      <c r="CD200" s="208">
        <v>39750</v>
      </c>
      <c r="CE200" s="208">
        <v>31800</v>
      </c>
      <c r="CF200" s="208">
        <v>7155</v>
      </c>
      <c r="CG200" s="208">
        <v>795</v>
      </c>
      <c r="CH200" s="208">
        <v>79500</v>
      </c>
      <c r="CI200" s="208">
        <v>0</v>
      </c>
      <c r="CJ200" s="208">
        <v>0</v>
      </c>
      <c r="CK200" s="208">
        <v>0</v>
      </c>
      <c r="CL200" s="208">
        <v>0</v>
      </c>
      <c r="CM200" s="208">
        <v>0</v>
      </c>
      <c r="CN200" s="208">
        <v>-101801</v>
      </c>
      <c r="CO200" s="208">
        <v>-81440</v>
      </c>
      <c r="CP200" s="208">
        <v>-18324</v>
      </c>
      <c r="CQ200" s="208">
        <v>-2036</v>
      </c>
      <c r="CR200" s="208">
        <v>-203601</v>
      </c>
      <c r="CS200" s="208">
        <v>-181514</v>
      </c>
      <c r="CT200" s="208">
        <v>-145211</v>
      </c>
      <c r="CU200" s="208">
        <v>-32672</v>
      </c>
      <c r="CV200" s="208">
        <v>-3630</v>
      </c>
      <c r="CW200" s="208">
        <v>-363027</v>
      </c>
      <c r="CX200" s="208">
        <v>-1019220</v>
      </c>
      <c r="CY200" s="208">
        <v>-815375</v>
      </c>
      <c r="CZ200" s="208">
        <v>-183459</v>
      </c>
      <c r="DA200" s="208">
        <v>-20384</v>
      </c>
      <c r="DB200" s="208">
        <v>-2038438</v>
      </c>
      <c r="DC200" s="208">
        <v>-601465</v>
      </c>
      <c r="DD200" s="208">
        <v>-481172</v>
      </c>
      <c r="DE200" s="208">
        <v>-108264</v>
      </c>
      <c r="DF200" s="208">
        <v>-12029</v>
      </c>
      <c r="DG200" s="208">
        <v>-1202930</v>
      </c>
      <c r="DH200" s="208">
        <v>-417755</v>
      </c>
      <c r="DI200" s="208">
        <v>-334203</v>
      </c>
      <c r="DJ200" s="208">
        <v>-75195</v>
      </c>
      <c r="DK200" s="208">
        <v>-8355</v>
      </c>
      <c r="DL200" s="208">
        <v>-835508</v>
      </c>
      <c r="DM200" s="208">
        <v>-240794</v>
      </c>
      <c r="DN200" s="208">
        <v>-192635</v>
      </c>
      <c r="DO200" s="208">
        <v>-43343</v>
      </c>
      <c r="DP200" s="208">
        <v>-4816</v>
      </c>
      <c r="DQ200" s="208">
        <v>-481588</v>
      </c>
      <c r="DR200" s="208">
        <v>-173838</v>
      </c>
      <c r="DS200" s="208">
        <v>-139071</v>
      </c>
      <c r="DT200" s="208">
        <v>-31291</v>
      </c>
      <c r="DU200" s="208">
        <v>-3477</v>
      </c>
      <c r="DV200" s="208">
        <v>-347677</v>
      </c>
      <c r="DW200" s="208">
        <v>-66956</v>
      </c>
      <c r="DX200" s="208">
        <v>-53564</v>
      </c>
      <c r="DY200" s="208">
        <v>-12052</v>
      </c>
      <c r="DZ200" s="208">
        <v>-1339</v>
      </c>
      <c r="EA200" s="208">
        <v>-133911</v>
      </c>
      <c r="EB200" s="208">
        <v>6109276</v>
      </c>
      <c r="EC200" s="208">
        <v>4887421</v>
      </c>
      <c r="ED200" s="208">
        <v>1099670</v>
      </c>
      <c r="EE200" s="208">
        <v>122186</v>
      </c>
      <c r="EF200" s="208">
        <v>12218553</v>
      </c>
      <c r="EG200" s="208">
        <v>5902893</v>
      </c>
      <c r="EH200" s="208">
        <v>4722315</v>
      </c>
      <c r="EI200" s="208">
        <v>1062521</v>
      </c>
      <c r="EJ200" s="208">
        <v>118058</v>
      </c>
      <c r="EK200" s="208">
        <v>11805787</v>
      </c>
      <c r="EL200" s="208">
        <v>-206383</v>
      </c>
      <c r="EM200" s="208">
        <v>-165106</v>
      </c>
      <c r="EN200" s="208">
        <v>-37149</v>
      </c>
      <c r="EO200" s="208">
        <v>-4128</v>
      </c>
      <c r="EP200" s="208">
        <v>-412766</v>
      </c>
      <c r="EQ200" s="208">
        <v>-273339</v>
      </c>
      <c r="ER200" s="208">
        <v>-218670</v>
      </c>
      <c r="ES200" s="208">
        <v>-49201</v>
      </c>
      <c r="ET200" s="208">
        <v>-5467</v>
      </c>
      <c r="EU200" s="208">
        <v>-546677</v>
      </c>
      <c r="EV200" s="666">
        <v>0.5</v>
      </c>
      <c r="EW200" s="666">
        <v>0.4</v>
      </c>
      <c r="EX200" s="666">
        <v>0.09</v>
      </c>
      <c r="EY200" s="666">
        <v>0.01</v>
      </c>
      <c r="EZ200" s="666">
        <v>1</v>
      </c>
      <c r="FA200" s="187" t="s">
        <v>1054</v>
      </c>
      <c r="FC200" s="187">
        <v>0</v>
      </c>
    </row>
    <row r="201" spans="1:159" s="187" customFormat="1" x14ac:dyDescent="0.2">
      <c r="B201" s="429" t="s">
        <v>479</v>
      </c>
      <c r="C201" s="429" t="s">
        <v>478</v>
      </c>
      <c r="D201" s="208">
        <v>0</v>
      </c>
      <c r="E201" s="208">
        <v>54244648</v>
      </c>
      <c r="F201" s="208">
        <v>0</v>
      </c>
      <c r="G201" s="208">
        <v>547926</v>
      </c>
      <c r="H201" s="208">
        <v>54792574</v>
      </c>
      <c r="I201" s="208">
        <v>0</v>
      </c>
      <c r="J201" s="208">
        <v>0</v>
      </c>
      <c r="K201" s="208">
        <v>0</v>
      </c>
      <c r="L201" s="208">
        <v>303420</v>
      </c>
      <c r="M201" s="208">
        <v>303420</v>
      </c>
      <c r="N201" s="208">
        <v>0</v>
      </c>
      <c r="O201" s="208">
        <v>0</v>
      </c>
      <c r="P201" s="208">
        <v>0</v>
      </c>
      <c r="Q201" s="208">
        <v>0</v>
      </c>
      <c r="R201" s="208">
        <v>0</v>
      </c>
      <c r="S201" s="208">
        <v>0</v>
      </c>
      <c r="T201" s="208">
        <v>0</v>
      </c>
      <c r="U201" s="208">
        <v>0</v>
      </c>
      <c r="V201" s="208">
        <v>0</v>
      </c>
      <c r="W201" s="208">
        <v>0</v>
      </c>
      <c r="X201" s="208">
        <v>0</v>
      </c>
      <c r="Y201" s="208">
        <v>0</v>
      </c>
      <c r="Z201" s="208">
        <v>0</v>
      </c>
      <c r="AA201" s="208">
        <v>0</v>
      </c>
      <c r="AB201" s="208">
        <v>0</v>
      </c>
      <c r="AC201" s="208">
        <v>0</v>
      </c>
      <c r="AD201" s="208">
        <v>0</v>
      </c>
      <c r="AE201" s="208">
        <v>0</v>
      </c>
      <c r="AF201" s="208">
        <v>0</v>
      </c>
      <c r="AG201" s="208">
        <v>8410543</v>
      </c>
      <c r="AH201" s="208">
        <v>0</v>
      </c>
      <c r="AI201" s="208">
        <v>84956</v>
      </c>
      <c r="AJ201" s="208">
        <v>8495499</v>
      </c>
      <c r="AK201" s="208">
        <v>0</v>
      </c>
      <c r="AL201" s="208">
        <v>6221195</v>
      </c>
      <c r="AM201" s="208">
        <v>0</v>
      </c>
      <c r="AN201" s="208">
        <v>62840</v>
      </c>
      <c r="AO201" s="208">
        <v>6284035</v>
      </c>
      <c r="AP201" s="208">
        <v>0</v>
      </c>
      <c r="AQ201" s="208">
        <v>-1541734</v>
      </c>
      <c r="AR201" s="208">
        <v>0</v>
      </c>
      <c r="AS201" s="208">
        <v>-15573</v>
      </c>
      <c r="AT201" s="208">
        <v>-1557307</v>
      </c>
      <c r="AU201" s="208">
        <v>0</v>
      </c>
      <c r="AV201" s="208">
        <v>-3913419</v>
      </c>
      <c r="AW201" s="208">
        <v>0</v>
      </c>
      <c r="AX201" s="208">
        <v>-39529</v>
      </c>
      <c r="AY201" s="208">
        <v>-3952948</v>
      </c>
      <c r="AZ201" s="208">
        <v>0</v>
      </c>
      <c r="BA201" s="208">
        <v>985582</v>
      </c>
      <c r="BB201" s="208">
        <v>0</v>
      </c>
      <c r="BC201" s="208">
        <v>9955</v>
      </c>
      <c r="BD201" s="208">
        <v>995537</v>
      </c>
      <c r="BE201" s="208">
        <v>0</v>
      </c>
      <c r="BF201" s="208">
        <v>-1147547</v>
      </c>
      <c r="BG201" s="208">
        <v>0</v>
      </c>
      <c r="BH201" s="208">
        <v>-11591</v>
      </c>
      <c r="BI201" s="208">
        <v>-1159138</v>
      </c>
      <c r="BJ201" s="208">
        <v>0</v>
      </c>
      <c r="BK201" s="208">
        <v>-4075384</v>
      </c>
      <c r="BL201" s="208">
        <v>0</v>
      </c>
      <c r="BM201" s="208">
        <v>-41165</v>
      </c>
      <c r="BN201" s="208">
        <v>-4116549</v>
      </c>
      <c r="BO201" s="208">
        <v>0</v>
      </c>
      <c r="BP201" s="208">
        <v>-6993998</v>
      </c>
      <c r="BQ201" s="208">
        <v>0</v>
      </c>
      <c r="BR201" s="208">
        <v>-70646</v>
      </c>
      <c r="BS201" s="208">
        <v>-7064644</v>
      </c>
      <c r="BT201" s="208">
        <v>0</v>
      </c>
      <c r="BU201" s="208">
        <v>-6102715</v>
      </c>
      <c r="BV201" s="208">
        <v>0</v>
      </c>
      <c r="BW201" s="208">
        <v>-61644</v>
      </c>
      <c r="BX201" s="208">
        <v>-6164359</v>
      </c>
      <c r="BY201" s="208">
        <v>0</v>
      </c>
      <c r="BZ201" s="208">
        <v>-891282</v>
      </c>
      <c r="CA201" s="208">
        <v>0</v>
      </c>
      <c r="CB201" s="208">
        <v>-9003</v>
      </c>
      <c r="CC201" s="208">
        <v>-900285</v>
      </c>
      <c r="CD201" s="208">
        <v>0</v>
      </c>
      <c r="CE201" s="208">
        <v>488763</v>
      </c>
      <c r="CF201" s="208">
        <v>0</v>
      </c>
      <c r="CG201" s="208">
        <v>4937</v>
      </c>
      <c r="CH201" s="208">
        <v>493700</v>
      </c>
      <c r="CI201" s="208">
        <v>0</v>
      </c>
      <c r="CJ201" s="208">
        <v>0</v>
      </c>
      <c r="CK201" s="208">
        <v>0</v>
      </c>
      <c r="CL201" s="208">
        <v>0</v>
      </c>
      <c r="CM201" s="208">
        <v>0</v>
      </c>
      <c r="CN201" s="208">
        <v>0</v>
      </c>
      <c r="CO201" s="208">
        <v>24163</v>
      </c>
      <c r="CP201" s="208">
        <v>0</v>
      </c>
      <c r="CQ201" s="208">
        <v>244</v>
      </c>
      <c r="CR201" s="208">
        <v>24407</v>
      </c>
      <c r="CS201" s="208">
        <v>0</v>
      </c>
      <c r="CT201" s="208">
        <v>-815093</v>
      </c>
      <c r="CU201" s="208">
        <v>0</v>
      </c>
      <c r="CV201" s="208">
        <v>-8233</v>
      </c>
      <c r="CW201" s="208">
        <v>-823326</v>
      </c>
      <c r="CX201" s="208">
        <v>0</v>
      </c>
      <c r="CY201" s="208">
        <v>-7296165</v>
      </c>
      <c r="CZ201" s="208">
        <v>0</v>
      </c>
      <c r="DA201" s="208">
        <v>-73698</v>
      </c>
      <c r="DB201" s="208">
        <v>-7369863</v>
      </c>
      <c r="DC201" s="208">
        <v>0</v>
      </c>
      <c r="DD201" s="208">
        <v>-5589789</v>
      </c>
      <c r="DE201" s="208">
        <v>0</v>
      </c>
      <c r="DF201" s="208">
        <v>-56463</v>
      </c>
      <c r="DG201" s="208">
        <v>-5646252</v>
      </c>
      <c r="DH201" s="208">
        <v>0</v>
      </c>
      <c r="DI201" s="208">
        <v>-1706375</v>
      </c>
      <c r="DJ201" s="208">
        <v>0</v>
      </c>
      <c r="DK201" s="208">
        <v>-17236</v>
      </c>
      <c r="DL201" s="208">
        <v>-1723611</v>
      </c>
      <c r="DM201" s="208">
        <v>-1323636</v>
      </c>
      <c r="DN201" s="208">
        <v>-4630</v>
      </c>
      <c r="DO201" s="208">
        <v>0</v>
      </c>
      <c r="DP201" s="208">
        <v>-13416</v>
      </c>
      <c r="DQ201" s="208">
        <v>-1341682</v>
      </c>
      <c r="DR201" s="208">
        <v>-1323635</v>
      </c>
      <c r="DS201" s="208">
        <v>-29887</v>
      </c>
      <c r="DT201" s="208">
        <v>0</v>
      </c>
      <c r="DU201" s="208">
        <v>-13672</v>
      </c>
      <c r="DV201" s="208">
        <v>-1367194</v>
      </c>
      <c r="DW201" s="208">
        <v>-1</v>
      </c>
      <c r="DX201" s="208">
        <v>25257</v>
      </c>
      <c r="DY201" s="208">
        <v>0</v>
      </c>
      <c r="DZ201" s="208">
        <v>256</v>
      </c>
      <c r="EA201" s="208">
        <v>25512</v>
      </c>
      <c r="EB201" s="208">
        <v>0</v>
      </c>
      <c r="EC201" s="208">
        <v>53018041</v>
      </c>
      <c r="ED201" s="208">
        <v>0</v>
      </c>
      <c r="EE201" s="208">
        <v>535536</v>
      </c>
      <c r="EF201" s="208">
        <v>53553577</v>
      </c>
      <c r="EG201" s="208">
        <v>0</v>
      </c>
      <c r="EH201" s="208">
        <v>54244648</v>
      </c>
      <c r="EI201" s="208">
        <v>0</v>
      </c>
      <c r="EJ201" s="208">
        <v>547926</v>
      </c>
      <c r="EK201" s="208">
        <v>54792574</v>
      </c>
      <c r="EL201" s="208">
        <v>0</v>
      </c>
      <c r="EM201" s="208">
        <v>1226607</v>
      </c>
      <c r="EN201" s="208">
        <v>0</v>
      </c>
      <c r="EO201" s="208">
        <v>12390</v>
      </c>
      <c r="EP201" s="208">
        <v>1238997</v>
      </c>
      <c r="EQ201" s="208">
        <v>-1</v>
      </c>
      <c r="ER201" s="208">
        <v>1251864</v>
      </c>
      <c r="ES201" s="208">
        <v>0</v>
      </c>
      <c r="ET201" s="208">
        <v>12646</v>
      </c>
      <c r="EU201" s="208">
        <v>1264509</v>
      </c>
      <c r="EV201" s="666">
        <v>0</v>
      </c>
      <c r="EW201" s="666">
        <v>0.99</v>
      </c>
      <c r="EX201" s="666">
        <v>0</v>
      </c>
      <c r="EY201" s="666">
        <v>0.01</v>
      </c>
      <c r="EZ201" s="666">
        <v>1</v>
      </c>
      <c r="FA201" s="187" t="s">
        <v>1056</v>
      </c>
      <c r="FC201" s="187">
        <v>0</v>
      </c>
    </row>
    <row r="202" spans="1:159" s="187" customFormat="1" x14ac:dyDescent="0.2">
      <c r="B202" s="429" t="s">
        <v>481</v>
      </c>
      <c r="C202" s="429" t="s">
        <v>480</v>
      </c>
      <c r="D202" s="208">
        <v>52673432</v>
      </c>
      <c r="E202" s="208">
        <v>42138745</v>
      </c>
      <c r="F202" s="208">
        <v>10534686</v>
      </c>
      <c r="G202" s="208">
        <v>0</v>
      </c>
      <c r="H202" s="208">
        <v>105346863</v>
      </c>
      <c r="I202" s="208">
        <v>0</v>
      </c>
      <c r="J202" s="208">
        <v>0</v>
      </c>
      <c r="K202" s="208">
        <v>52673432</v>
      </c>
      <c r="L202" s="208">
        <v>214298</v>
      </c>
      <c r="M202" s="208">
        <v>214298</v>
      </c>
      <c r="N202" s="208">
        <v>0</v>
      </c>
      <c r="O202" s="208">
        <v>0</v>
      </c>
      <c r="P202" s="208">
        <v>8315</v>
      </c>
      <c r="Q202" s="208">
        <v>0</v>
      </c>
      <c r="R202" s="208">
        <v>8315</v>
      </c>
      <c r="S202" s="208">
        <v>0</v>
      </c>
      <c r="T202" s="208">
        <v>0</v>
      </c>
      <c r="U202" s="208">
        <v>0</v>
      </c>
      <c r="V202" s="208">
        <v>0</v>
      </c>
      <c r="W202" s="208">
        <v>0</v>
      </c>
      <c r="X202" s="208">
        <v>0</v>
      </c>
      <c r="Y202" s="208">
        <v>0</v>
      </c>
      <c r="Z202" s="208">
        <v>0</v>
      </c>
      <c r="AA202" s="208">
        <v>0</v>
      </c>
      <c r="AB202" s="208">
        <v>0</v>
      </c>
      <c r="AC202" s="208">
        <v>0</v>
      </c>
      <c r="AD202" s="208">
        <v>0</v>
      </c>
      <c r="AE202" s="208">
        <v>0</v>
      </c>
      <c r="AF202" s="208">
        <v>0</v>
      </c>
      <c r="AG202" s="208">
        <v>1930886</v>
      </c>
      <c r="AH202" s="208">
        <v>482675</v>
      </c>
      <c r="AI202" s="208">
        <v>0</v>
      </c>
      <c r="AJ202" s="208">
        <v>2413561</v>
      </c>
      <c r="AK202" s="208">
        <v>1539340</v>
      </c>
      <c r="AL202" s="208">
        <v>1231472</v>
      </c>
      <c r="AM202" s="208">
        <v>307868</v>
      </c>
      <c r="AN202" s="208">
        <v>0</v>
      </c>
      <c r="AO202" s="208">
        <v>3078680</v>
      </c>
      <c r="AP202" s="208">
        <v>-1933746</v>
      </c>
      <c r="AQ202" s="208">
        <v>-1546997</v>
      </c>
      <c r="AR202" s="208">
        <v>-386749</v>
      </c>
      <c r="AS202" s="208">
        <v>0</v>
      </c>
      <c r="AT202" s="208">
        <v>-3867492</v>
      </c>
      <c r="AU202" s="208">
        <v>-802108</v>
      </c>
      <c r="AV202" s="208">
        <v>-641686</v>
      </c>
      <c r="AW202" s="208">
        <v>-160422</v>
      </c>
      <c r="AX202" s="208">
        <v>0</v>
      </c>
      <c r="AY202" s="208">
        <v>-1604216</v>
      </c>
      <c r="AZ202" s="208">
        <v>0</v>
      </c>
      <c r="BA202" s="208">
        <v>0</v>
      </c>
      <c r="BB202" s="208">
        <v>0</v>
      </c>
      <c r="BC202" s="208">
        <v>0</v>
      </c>
      <c r="BD202" s="208">
        <v>0</v>
      </c>
      <c r="BE202" s="208">
        <v>154167</v>
      </c>
      <c r="BF202" s="208">
        <v>123334</v>
      </c>
      <c r="BG202" s="208">
        <v>30833</v>
      </c>
      <c r="BH202" s="208">
        <v>0</v>
      </c>
      <c r="BI202" s="208">
        <v>308334</v>
      </c>
      <c r="BJ202" s="208">
        <v>-647941</v>
      </c>
      <c r="BK202" s="208">
        <v>-518352</v>
      </c>
      <c r="BL202" s="208">
        <v>-129589</v>
      </c>
      <c r="BM202" s="208">
        <v>0</v>
      </c>
      <c r="BN202" s="208">
        <v>-1295882</v>
      </c>
      <c r="BO202" s="208">
        <v>-5563540</v>
      </c>
      <c r="BP202" s="208">
        <v>-4450832</v>
      </c>
      <c r="BQ202" s="208">
        <v>-1112708</v>
      </c>
      <c r="BR202" s="208">
        <v>0</v>
      </c>
      <c r="BS202" s="208">
        <v>-11127080</v>
      </c>
      <c r="BT202" s="208">
        <v>-2421038</v>
      </c>
      <c r="BU202" s="208">
        <v>-1936830</v>
      </c>
      <c r="BV202" s="208">
        <v>-484208</v>
      </c>
      <c r="BW202" s="208">
        <v>0</v>
      </c>
      <c r="BX202" s="208">
        <v>-4842076</v>
      </c>
      <c r="BY202" s="208">
        <v>-3142502</v>
      </c>
      <c r="BZ202" s="208">
        <v>-2514002</v>
      </c>
      <c r="CA202" s="208">
        <v>-628500</v>
      </c>
      <c r="CB202" s="208">
        <v>0</v>
      </c>
      <c r="CC202" s="208">
        <v>-6285004</v>
      </c>
      <c r="CD202" s="208">
        <v>567013</v>
      </c>
      <c r="CE202" s="208">
        <v>453610</v>
      </c>
      <c r="CF202" s="208">
        <v>113403</v>
      </c>
      <c r="CG202" s="208">
        <v>0</v>
      </c>
      <c r="CH202" s="208">
        <v>1134026</v>
      </c>
      <c r="CI202" s="208">
        <v>92357</v>
      </c>
      <c r="CJ202" s="208">
        <v>73885</v>
      </c>
      <c r="CK202" s="208">
        <v>18471</v>
      </c>
      <c r="CL202" s="208">
        <v>0</v>
      </c>
      <c r="CM202" s="208">
        <v>184713</v>
      </c>
      <c r="CN202" s="208">
        <v>578994</v>
      </c>
      <c r="CO202" s="208">
        <v>463195</v>
      </c>
      <c r="CP202" s="208">
        <v>115799</v>
      </c>
      <c r="CQ202" s="208">
        <v>0</v>
      </c>
      <c r="CR202" s="208">
        <v>1157988</v>
      </c>
      <c r="CS202" s="208">
        <v>-1708420</v>
      </c>
      <c r="CT202" s="208">
        <v>-1366736</v>
      </c>
      <c r="CU202" s="208">
        <v>-341684</v>
      </c>
      <c r="CV202" s="208">
        <v>0</v>
      </c>
      <c r="CW202" s="208">
        <v>-3416840</v>
      </c>
      <c r="CX202" s="208">
        <v>-6033596</v>
      </c>
      <c r="CY202" s="208">
        <v>-4826878</v>
      </c>
      <c r="CZ202" s="208">
        <v>-1206719</v>
      </c>
      <c r="DA202" s="208">
        <v>0</v>
      </c>
      <c r="DB202" s="208">
        <v>-12067193</v>
      </c>
      <c r="DC202" s="208">
        <v>-1275031</v>
      </c>
      <c r="DD202" s="208">
        <v>-1020025</v>
      </c>
      <c r="DE202" s="208">
        <v>-255006</v>
      </c>
      <c r="DF202" s="208">
        <v>0</v>
      </c>
      <c r="DG202" s="208">
        <v>-2550062</v>
      </c>
      <c r="DH202" s="208">
        <v>-4758565</v>
      </c>
      <c r="DI202" s="208">
        <v>-3806853</v>
      </c>
      <c r="DJ202" s="208">
        <v>-951713</v>
      </c>
      <c r="DK202" s="208">
        <v>0</v>
      </c>
      <c r="DL202" s="208">
        <v>-9517131</v>
      </c>
      <c r="DM202" s="208">
        <v>626036</v>
      </c>
      <c r="DN202" s="208">
        <v>500831</v>
      </c>
      <c r="DO202" s="208">
        <v>125208</v>
      </c>
      <c r="DP202" s="208">
        <v>0</v>
      </c>
      <c r="DQ202" s="208">
        <v>1252075</v>
      </c>
      <c r="DR202" s="208">
        <v>323061</v>
      </c>
      <c r="DS202" s="208">
        <v>258448</v>
      </c>
      <c r="DT202" s="208">
        <v>64612</v>
      </c>
      <c r="DU202" s="208">
        <v>0</v>
      </c>
      <c r="DV202" s="208">
        <v>646121</v>
      </c>
      <c r="DW202" s="208">
        <v>302975</v>
      </c>
      <c r="DX202" s="208">
        <v>242383</v>
      </c>
      <c r="DY202" s="208">
        <v>60596</v>
      </c>
      <c r="DZ202" s="208">
        <v>0</v>
      </c>
      <c r="EA202" s="208">
        <v>605954</v>
      </c>
      <c r="EB202" s="208">
        <v>51759228</v>
      </c>
      <c r="EC202" s="208">
        <v>41407382</v>
      </c>
      <c r="ED202" s="208">
        <v>10351846</v>
      </c>
      <c r="EE202" s="208">
        <v>0</v>
      </c>
      <c r="EF202" s="208">
        <v>103518456</v>
      </c>
      <c r="EG202" s="208">
        <v>52673432</v>
      </c>
      <c r="EH202" s="208">
        <v>42138745</v>
      </c>
      <c r="EI202" s="208">
        <v>10534686</v>
      </c>
      <c r="EJ202" s="208">
        <v>0</v>
      </c>
      <c r="EK202" s="208">
        <v>105346863</v>
      </c>
      <c r="EL202" s="208">
        <v>914204</v>
      </c>
      <c r="EM202" s="208">
        <v>731363</v>
      </c>
      <c r="EN202" s="208">
        <v>182840</v>
      </c>
      <c r="EO202" s="208">
        <v>0</v>
      </c>
      <c r="EP202" s="208">
        <v>1828407</v>
      </c>
      <c r="EQ202" s="208">
        <v>1217179</v>
      </c>
      <c r="ER202" s="208">
        <v>973746</v>
      </c>
      <c r="ES202" s="208">
        <v>243436</v>
      </c>
      <c r="ET202" s="208">
        <v>0</v>
      </c>
      <c r="EU202" s="208">
        <v>2434361</v>
      </c>
      <c r="EV202" s="666">
        <v>0.5</v>
      </c>
      <c r="EW202" s="666">
        <v>0.4</v>
      </c>
      <c r="EX202" s="666">
        <v>0.1</v>
      </c>
      <c r="EY202" s="666">
        <v>0</v>
      </c>
      <c r="EZ202" s="666">
        <v>1</v>
      </c>
      <c r="FA202" s="187" t="s">
        <v>1054</v>
      </c>
      <c r="FC202" s="187">
        <v>0</v>
      </c>
    </row>
    <row r="203" spans="1:159" s="187" customFormat="1" x14ac:dyDescent="0.2">
      <c r="B203" s="429" t="s">
        <v>483</v>
      </c>
      <c r="C203" s="429" t="s">
        <v>482</v>
      </c>
      <c r="D203" s="208">
        <v>8705297</v>
      </c>
      <c r="E203" s="208">
        <v>6964238</v>
      </c>
      <c r="F203" s="208">
        <v>1566954</v>
      </c>
      <c r="G203" s="208">
        <v>174106</v>
      </c>
      <c r="H203" s="208">
        <v>17410595</v>
      </c>
      <c r="I203" s="208">
        <v>0</v>
      </c>
      <c r="J203" s="208">
        <v>0</v>
      </c>
      <c r="K203" s="208">
        <v>8705297</v>
      </c>
      <c r="L203" s="208">
        <v>132929</v>
      </c>
      <c r="M203" s="208">
        <v>132929</v>
      </c>
      <c r="N203" s="208">
        <v>0</v>
      </c>
      <c r="O203" s="208">
        <v>0</v>
      </c>
      <c r="P203" s="208">
        <v>0</v>
      </c>
      <c r="Q203" s="208">
        <v>0</v>
      </c>
      <c r="R203" s="208">
        <v>0</v>
      </c>
      <c r="S203" s="208">
        <v>0</v>
      </c>
      <c r="T203" s="208">
        <v>0</v>
      </c>
      <c r="U203" s="208">
        <v>0</v>
      </c>
      <c r="V203" s="208">
        <v>0</v>
      </c>
      <c r="W203" s="208">
        <v>0</v>
      </c>
      <c r="X203" s="208">
        <v>0</v>
      </c>
      <c r="Y203" s="208">
        <v>0</v>
      </c>
      <c r="Z203" s="208">
        <v>0</v>
      </c>
      <c r="AA203" s="208">
        <v>0</v>
      </c>
      <c r="AB203" s="208">
        <v>0</v>
      </c>
      <c r="AC203" s="208">
        <v>0</v>
      </c>
      <c r="AD203" s="208">
        <v>0</v>
      </c>
      <c r="AE203" s="208">
        <v>0</v>
      </c>
      <c r="AF203" s="208">
        <v>0</v>
      </c>
      <c r="AG203" s="208">
        <v>1181175</v>
      </c>
      <c r="AH203" s="208">
        <v>265764</v>
      </c>
      <c r="AI203" s="208">
        <v>29529</v>
      </c>
      <c r="AJ203" s="208">
        <v>1476468</v>
      </c>
      <c r="AK203" s="208">
        <v>234197</v>
      </c>
      <c r="AL203" s="208">
        <v>187357</v>
      </c>
      <c r="AM203" s="208">
        <v>42155</v>
      </c>
      <c r="AN203" s="208">
        <v>4684</v>
      </c>
      <c r="AO203" s="208">
        <v>468393</v>
      </c>
      <c r="AP203" s="208">
        <v>-66146</v>
      </c>
      <c r="AQ203" s="208">
        <v>-52916</v>
      </c>
      <c r="AR203" s="208">
        <v>-11906</v>
      </c>
      <c r="AS203" s="208">
        <v>-1323</v>
      </c>
      <c r="AT203" s="208">
        <v>-132291</v>
      </c>
      <c r="AU203" s="208">
        <v>-325000</v>
      </c>
      <c r="AV203" s="208">
        <v>-260000</v>
      </c>
      <c r="AW203" s="208">
        <v>-58500</v>
      </c>
      <c r="AX203" s="208">
        <v>-6500</v>
      </c>
      <c r="AY203" s="208">
        <v>-650000</v>
      </c>
      <c r="AZ203" s="208">
        <v>0</v>
      </c>
      <c r="BA203" s="208">
        <v>0</v>
      </c>
      <c r="BB203" s="208">
        <v>0</v>
      </c>
      <c r="BC203" s="208">
        <v>0</v>
      </c>
      <c r="BD203" s="208">
        <v>0</v>
      </c>
      <c r="BE203" s="208">
        <v>-55000</v>
      </c>
      <c r="BF203" s="208">
        <v>-44000</v>
      </c>
      <c r="BG203" s="208">
        <v>-9900</v>
      </c>
      <c r="BH203" s="208">
        <v>-1100</v>
      </c>
      <c r="BI203" s="208">
        <v>-110000</v>
      </c>
      <c r="BJ203" s="208">
        <v>-380000</v>
      </c>
      <c r="BK203" s="208">
        <v>-304000</v>
      </c>
      <c r="BL203" s="208">
        <v>-68400</v>
      </c>
      <c r="BM203" s="208">
        <v>-7600</v>
      </c>
      <c r="BN203" s="208">
        <v>-760000</v>
      </c>
      <c r="BO203" s="208">
        <v>-1564500</v>
      </c>
      <c r="BP203" s="208">
        <v>-1251600</v>
      </c>
      <c r="BQ203" s="208">
        <v>-281610</v>
      </c>
      <c r="BR203" s="208">
        <v>-31290</v>
      </c>
      <c r="BS203" s="208">
        <v>-3129000</v>
      </c>
      <c r="BT203" s="208">
        <v>0</v>
      </c>
      <c r="BU203" s="208">
        <v>0</v>
      </c>
      <c r="BV203" s="208">
        <v>0</v>
      </c>
      <c r="BW203" s="208">
        <v>0</v>
      </c>
      <c r="BX203" s="208">
        <v>0</v>
      </c>
      <c r="BY203" s="208">
        <v>-1564500</v>
      </c>
      <c r="BZ203" s="208">
        <v>-1251600</v>
      </c>
      <c r="CA203" s="208">
        <v>-281610</v>
      </c>
      <c r="CB203" s="208">
        <v>-31290</v>
      </c>
      <c r="CC203" s="208">
        <v>-3129000</v>
      </c>
      <c r="CD203" s="208">
        <v>179810</v>
      </c>
      <c r="CE203" s="208">
        <v>143848</v>
      </c>
      <c r="CF203" s="208">
        <v>32366</v>
      </c>
      <c r="CG203" s="208">
        <v>3596</v>
      </c>
      <c r="CH203" s="208">
        <v>359620</v>
      </c>
      <c r="CI203" s="208">
        <v>0</v>
      </c>
      <c r="CJ203" s="208">
        <v>0</v>
      </c>
      <c r="CK203" s="208">
        <v>0</v>
      </c>
      <c r="CL203" s="208">
        <v>0</v>
      </c>
      <c r="CM203" s="208">
        <v>0</v>
      </c>
      <c r="CN203" s="208">
        <v>-185265</v>
      </c>
      <c r="CO203" s="208">
        <v>-148212</v>
      </c>
      <c r="CP203" s="208">
        <v>-33348</v>
      </c>
      <c r="CQ203" s="208">
        <v>-3705</v>
      </c>
      <c r="CR203" s="208">
        <v>-370530</v>
      </c>
      <c r="CS203" s="208">
        <v>-563045</v>
      </c>
      <c r="CT203" s="208">
        <v>-450436</v>
      </c>
      <c r="CU203" s="208">
        <v>-101348</v>
      </c>
      <c r="CV203" s="208">
        <v>-11261</v>
      </c>
      <c r="CW203" s="208">
        <v>-1126090</v>
      </c>
      <c r="CX203" s="208">
        <v>-2133000</v>
      </c>
      <c r="CY203" s="208">
        <v>-1706400</v>
      </c>
      <c r="CZ203" s="208">
        <v>-383940</v>
      </c>
      <c r="DA203" s="208">
        <v>-42660</v>
      </c>
      <c r="DB203" s="208">
        <v>-4266000</v>
      </c>
      <c r="DC203" s="208">
        <v>-5455</v>
      </c>
      <c r="DD203" s="208">
        <v>-4364</v>
      </c>
      <c r="DE203" s="208">
        <v>-982</v>
      </c>
      <c r="DF203" s="208">
        <v>-109</v>
      </c>
      <c r="DG203" s="208">
        <v>-10910</v>
      </c>
      <c r="DH203" s="208">
        <v>-2127545</v>
      </c>
      <c r="DI203" s="208">
        <v>-1702036</v>
      </c>
      <c r="DJ203" s="208">
        <v>-382958</v>
      </c>
      <c r="DK203" s="208">
        <v>-42551</v>
      </c>
      <c r="DL203" s="208">
        <v>-4255090</v>
      </c>
      <c r="DM203" s="208">
        <v>944166</v>
      </c>
      <c r="DN203" s="208">
        <v>755336</v>
      </c>
      <c r="DO203" s="208">
        <v>169951</v>
      </c>
      <c r="DP203" s="208">
        <v>18883</v>
      </c>
      <c r="DQ203" s="208">
        <v>1888336</v>
      </c>
      <c r="DR203" s="208">
        <v>315888</v>
      </c>
      <c r="DS203" s="208">
        <v>252711</v>
      </c>
      <c r="DT203" s="208">
        <v>56860</v>
      </c>
      <c r="DU203" s="208">
        <v>6318</v>
      </c>
      <c r="DV203" s="208">
        <v>631777</v>
      </c>
      <c r="DW203" s="208">
        <v>628278</v>
      </c>
      <c r="DX203" s="208">
        <v>502625</v>
      </c>
      <c r="DY203" s="208">
        <v>113091</v>
      </c>
      <c r="DZ203" s="208">
        <v>12565</v>
      </c>
      <c r="EA203" s="208">
        <v>1256559</v>
      </c>
      <c r="EB203" s="208">
        <v>8830087</v>
      </c>
      <c r="EC203" s="208">
        <v>7064070</v>
      </c>
      <c r="ED203" s="208">
        <v>1589416</v>
      </c>
      <c r="EE203" s="208">
        <v>176602</v>
      </c>
      <c r="EF203" s="208">
        <v>17660175</v>
      </c>
      <c r="EG203" s="208">
        <v>8705297</v>
      </c>
      <c r="EH203" s="208">
        <v>6964238</v>
      </c>
      <c r="EI203" s="208">
        <v>1566954</v>
      </c>
      <c r="EJ203" s="208">
        <v>174106</v>
      </c>
      <c r="EK203" s="208">
        <v>17410595</v>
      </c>
      <c r="EL203" s="208">
        <v>-124790</v>
      </c>
      <c r="EM203" s="208">
        <v>-99832</v>
      </c>
      <c r="EN203" s="208">
        <v>-22462</v>
      </c>
      <c r="EO203" s="208">
        <v>-2496</v>
      </c>
      <c r="EP203" s="208">
        <v>-249580</v>
      </c>
      <c r="EQ203" s="208">
        <v>503488</v>
      </c>
      <c r="ER203" s="208">
        <v>402793</v>
      </c>
      <c r="ES203" s="208">
        <v>90629</v>
      </c>
      <c r="ET203" s="208">
        <v>10069</v>
      </c>
      <c r="EU203" s="208">
        <v>1006979</v>
      </c>
      <c r="EV203" s="666">
        <v>0.5</v>
      </c>
      <c r="EW203" s="666">
        <v>0.4</v>
      </c>
      <c r="EX203" s="666">
        <v>0.09</v>
      </c>
      <c r="EY203" s="666">
        <v>0.01</v>
      </c>
      <c r="EZ203" s="666">
        <v>1</v>
      </c>
      <c r="FA203" s="187" t="s">
        <v>1054</v>
      </c>
      <c r="FC203" s="187">
        <v>0</v>
      </c>
    </row>
    <row r="204" spans="1:159" s="187" customFormat="1" x14ac:dyDescent="0.2">
      <c r="B204" s="429" t="s">
        <v>485</v>
      </c>
      <c r="C204" s="429" t="s">
        <v>484</v>
      </c>
      <c r="D204" s="208">
        <v>46039175</v>
      </c>
      <c r="E204" s="208">
        <v>45118392</v>
      </c>
      <c r="F204" s="208">
        <v>0</v>
      </c>
      <c r="G204" s="208">
        <v>920784</v>
      </c>
      <c r="H204" s="208">
        <v>92078351</v>
      </c>
      <c r="I204" s="208">
        <v>0</v>
      </c>
      <c r="J204" s="208">
        <v>0</v>
      </c>
      <c r="K204" s="208">
        <v>46039175</v>
      </c>
      <c r="L204" s="208">
        <v>269595</v>
      </c>
      <c r="M204" s="208">
        <v>269595</v>
      </c>
      <c r="N204" s="208">
        <v>0</v>
      </c>
      <c r="O204" s="208">
        <v>0</v>
      </c>
      <c r="P204" s="208">
        <v>335745</v>
      </c>
      <c r="Q204" s="208">
        <v>0</v>
      </c>
      <c r="R204" s="208">
        <v>335745</v>
      </c>
      <c r="S204" s="208">
        <v>0</v>
      </c>
      <c r="T204" s="208">
        <v>0</v>
      </c>
      <c r="U204" s="208">
        <v>0</v>
      </c>
      <c r="V204" s="208">
        <v>0</v>
      </c>
      <c r="W204" s="208">
        <v>0</v>
      </c>
      <c r="X204" s="208">
        <v>0</v>
      </c>
      <c r="Y204" s="208">
        <v>0</v>
      </c>
      <c r="Z204" s="208">
        <v>0</v>
      </c>
      <c r="AA204" s="208">
        <v>0</v>
      </c>
      <c r="AB204" s="208">
        <v>0</v>
      </c>
      <c r="AC204" s="208">
        <v>0</v>
      </c>
      <c r="AD204" s="208">
        <v>0</v>
      </c>
      <c r="AE204" s="208">
        <v>0</v>
      </c>
      <c r="AF204" s="208">
        <v>0</v>
      </c>
      <c r="AG204" s="208">
        <v>3548991</v>
      </c>
      <c r="AH204" s="208">
        <v>0</v>
      </c>
      <c r="AI204" s="208">
        <v>72273</v>
      </c>
      <c r="AJ204" s="208">
        <v>3621264</v>
      </c>
      <c r="AK204" s="208">
        <v>4341557</v>
      </c>
      <c r="AL204" s="208">
        <v>4254726</v>
      </c>
      <c r="AM204" s="208">
        <v>0</v>
      </c>
      <c r="AN204" s="208">
        <v>86831</v>
      </c>
      <c r="AO204" s="208">
        <v>8683114</v>
      </c>
      <c r="AP204" s="208">
        <v>-1182909</v>
      </c>
      <c r="AQ204" s="208">
        <v>-1159250</v>
      </c>
      <c r="AR204" s="208">
        <v>0</v>
      </c>
      <c r="AS204" s="208">
        <v>-23658</v>
      </c>
      <c r="AT204" s="208">
        <v>-2365817</v>
      </c>
      <c r="AU204" s="208">
        <v>-2448008</v>
      </c>
      <c r="AV204" s="208">
        <v>-2399047</v>
      </c>
      <c r="AW204" s="208">
        <v>0</v>
      </c>
      <c r="AX204" s="208">
        <v>-48960</v>
      </c>
      <c r="AY204" s="208">
        <v>-4896015</v>
      </c>
      <c r="AZ204" s="208">
        <v>732957</v>
      </c>
      <c r="BA204" s="208">
        <v>718298</v>
      </c>
      <c r="BB204" s="208">
        <v>0</v>
      </c>
      <c r="BC204" s="208">
        <v>14659</v>
      </c>
      <c r="BD204" s="208">
        <v>1465914</v>
      </c>
      <c r="BE204" s="208">
        <v>-503788</v>
      </c>
      <c r="BF204" s="208">
        <v>-493712</v>
      </c>
      <c r="BG204" s="208">
        <v>0</v>
      </c>
      <c r="BH204" s="208">
        <v>-10076</v>
      </c>
      <c r="BI204" s="208">
        <v>-1007576</v>
      </c>
      <c r="BJ204" s="208">
        <v>-2218839</v>
      </c>
      <c r="BK204" s="208">
        <v>-2174461</v>
      </c>
      <c r="BL204" s="208">
        <v>0</v>
      </c>
      <c r="BM204" s="208">
        <v>-44377</v>
      </c>
      <c r="BN204" s="208">
        <v>-4437677</v>
      </c>
      <c r="BO204" s="208">
        <v>-5637639</v>
      </c>
      <c r="BP204" s="208">
        <v>-5524886</v>
      </c>
      <c r="BQ204" s="208">
        <v>0</v>
      </c>
      <c r="BR204" s="208">
        <v>-112753</v>
      </c>
      <c r="BS204" s="208">
        <v>-11275278</v>
      </c>
      <c r="BT204" s="208">
        <v>-3476139</v>
      </c>
      <c r="BU204" s="208">
        <v>-3406616</v>
      </c>
      <c r="BV204" s="208">
        <v>0</v>
      </c>
      <c r="BW204" s="208">
        <v>-69523</v>
      </c>
      <c r="BX204" s="208">
        <v>-6952278</v>
      </c>
      <c r="BY204" s="208">
        <v>-2161500</v>
      </c>
      <c r="BZ204" s="208">
        <v>-2118270</v>
      </c>
      <c r="CA204" s="208">
        <v>0</v>
      </c>
      <c r="CB204" s="208">
        <v>-43230</v>
      </c>
      <c r="CC204" s="208">
        <v>-4323000</v>
      </c>
      <c r="CD204" s="208">
        <v>306057</v>
      </c>
      <c r="CE204" s="208">
        <v>299936</v>
      </c>
      <c r="CF204" s="208">
        <v>0</v>
      </c>
      <c r="CG204" s="208">
        <v>6121</v>
      </c>
      <c r="CH204" s="208">
        <v>612114</v>
      </c>
      <c r="CI204" s="208">
        <v>0</v>
      </c>
      <c r="CJ204" s="208">
        <v>0</v>
      </c>
      <c r="CK204" s="208">
        <v>0</v>
      </c>
      <c r="CL204" s="208">
        <v>0</v>
      </c>
      <c r="CM204" s="208">
        <v>0</v>
      </c>
      <c r="CN204" s="208">
        <v>0</v>
      </c>
      <c r="CO204" s="208">
        <v>0</v>
      </c>
      <c r="CP204" s="208">
        <v>0</v>
      </c>
      <c r="CQ204" s="208">
        <v>0</v>
      </c>
      <c r="CR204" s="208">
        <v>0</v>
      </c>
      <c r="CS204" s="208">
        <v>-2245500</v>
      </c>
      <c r="CT204" s="208">
        <v>-2200590</v>
      </c>
      <c r="CU204" s="208">
        <v>0</v>
      </c>
      <c r="CV204" s="208">
        <v>-44910</v>
      </c>
      <c r="CW204" s="208">
        <v>-4491000</v>
      </c>
      <c r="CX204" s="208">
        <v>-7577082</v>
      </c>
      <c r="CY204" s="208">
        <v>-7425540</v>
      </c>
      <c r="CZ204" s="208">
        <v>0</v>
      </c>
      <c r="DA204" s="208">
        <v>-151542</v>
      </c>
      <c r="DB204" s="208">
        <v>-15154164</v>
      </c>
      <c r="DC204" s="208">
        <v>-3170082</v>
      </c>
      <c r="DD204" s="208">
        <v>-3106680</v>
      </c>
      <c r="DE204" s="208">
        <v>0</v>
      </c>
      <c r="DF204" s="208">
        <v>-63402</v>
      </c>
      <c r="DG204" s="208">
        <v>-6340164</v>
      </c>
      <c r="DH204" s="208">
        <v>-4407000</v>
      </c>
      <c r="DI204" s="208">
        <v>-4318860</v>
      </c>
      <c r="DJ204" s="208">
        <v>0</v>
      </c>
      <c r="DK204" s="208">
        <v>-88140</v>
      </c>
      <c r="DL204" s="208">
        <v>-8814000</v>
      </c>
      <c r="DM204" s="208">
        <v>486547</v>
      </c>
      <c r="DN204" s="208">
        <v>476817</v>
      </c>
      <c r="DO204" s="208">
        <v>0</v>
      </c>
      <c r="DP204" s="208">
        <v>9730</v>
      </c>
      <c r="DQ204" s="208">
        <v>973094</v>
      </c>
      <c r="DR204" s="208">
        <v>292378</v>
      </c>
      <c r="DS204" s="208">
        <v>286531</v>
      </c>
      <c r="DT204" s="208">
        <v>0</v>
      </c>
      <c r="DU204" s="208">
        <v>5848</v>
      </c>
      <c r="DV204" s="208">
        <v>584757</v>
      </c>
      <c r="DW204" s="208">
        <v>194169</v>
      </c>
      <c r="DX204" s="208">
        <v>190286</v>
      </c>
      <c r="DY204" s="208">
        <v>0</v>
      </c>
      <c r="DZ204" s="208">
        <v>3882</v>
      </c>
      <c r="EA204" s="208">
        <v>388337</v>
      </c>
      <c r="EB204" s="208">
        <v>46049935</v>
      </c>
      <c r="EC204" s="208">
        <v>45128937</v>
      </c>
      <c r="ED204" s="208">
        <v>0</v>
      </c>
      <c r="EE204" s="208">
        <v>920999</v>
      </c>
      <c r="EF204" s="208">
        <v>92099871</v>
      </c>
      <c r="EG204" s="208">
        <v>46039175</v>
      </c>
      <c r="EH204" s="208">
        <v>45118392</v>
      </c>
      <c r="EI204" s="208">
        <v>0</v>
      </c>
      <c r="EJ204" s="208">
        <v>920784</v>
      </c>
      <c r="EK204" s="208">
        <v>92078351</v>
      </c>
      <c r="EL204" s="208">
        <v>-10760</v>
      </c>
      <c r="EM204" s="208">
        <v>-10545</v>
      </c>
      <c r="EN204" s="208">
        <v>0</v>
      </c>
      <c r="EO204" s="208">
        <v>-215</v>
      </c>
      <c r="EP204" s="208">
        <v>-21520</v>
      </c>
      <c r="EQ204" s="208">
        <v>183409</v>
      </c>
      <c r="ER204" s="208">
        <v>179741</v>
      </c>
      <c r="ES204" s="208">
        <v>0</v>
      </c>
      <c r="ET204" s="208">
        <v>3667</v>
      </c>
      <c r="EU204" s="208">
        <v>366817</v>
      </c>
      <c r="EV204" s="666">
        <v>0.5</v>
      </c>
      <c r="EW204" s="666">
        <v>0.49</v>
      </c>
      <c r="EX204" s="666">
        <v>0</v>
      </c>
      <c r="EY204" s="666">
        <v>0.01</v>
      </c>
      <c r="EZ204" s="666">
        <v>1</v>
      </c>
      <c r="FA204" s="187" t="s">
        <v>742</v>
      </c>
      <c r="FC204" s="187">
        <v>0</v>
      </c>
    </row>
    <row r="205" spans="1:159" s="187" customFormat="1" x14ac:dyDescent="0.2">
      <c r="B205" s="429" t="s">
        <v>487</v>
      </c>
      <c r="C205" s="429" t="s">
        <v>486</v>
      </c>
      <c r="D205" s="208">
        <v>0</v>
      </c>
      <c r="E205" s="208">
        <v>85767595</v>
      </c>
      <c r="F205" s="208">
        <v>0</v>
      </c>
      <c r="G205" s="208">
        <v>866339</v>
      </c>
      <c r="H205" s="208">
        <v>86633934</v>
      </c>
      <c r="I205" s="208">
        <v>0</v>
      </c>
      <c r="J205" s="208">
        <v>0</v>
      </c>
      <c r="K205" s="208">
        <v>0</v>
      </c>
      <c r="L205" s="208">
        <v>317007</v>
      </c>
      <c r="M205" s="208">
        <v>317007</v>
      </c>
      <c r="N205" s="208">
        <v>0</v>
      </c>
      <c r="O205" s="208">
        <v>0</v>
      </c>
      <c r="P205" s="208">
        <v>227823</v>
      </c>
      <c r="Q205" s="208">
        <v>0</v>
      </c>
      <c r="R205" s="208">
        <v>227823</v>
      </c>
      <c r="S205" s="208">
        <v>0</v>
      </c>
      <c r="T205" s="208">
        <v>0</v>
      </c>
      <c r="U205" s="208">
        <v>0</v>
      </c>
      <c r="V205" s="208">
        <v>0</v>
      </c>
      <c r="W205" s="208">
        <v>0</v>
      </c>
      <c r="X205" s="208">
        <v>0</v>
      </c>
      <c r="Y205" s="208">
        <v>0</v>
      </c>
      <c r="Z205" s="208">
        <v>0</v>
      </c>
      <c r="AA205" s="208">
        <v>0</v>
      </c>
      <c r="AB205" s="208">
        <v>0</v>
      </c>
      <c r="AC205" s="208">
        <v>0</v>
      </c>
      <c r="AD205" s="208">
        <v>0</v>
      </c>
      <c r="AE205" s="208">
        <v>0</v>
      </c>
      <c r="AF205" s="208">
        <v>0</v>
      </c>
      <c r="AG205" s="208">
        <v>8240102</v>
      </c>
      <c r="AH205" s="208">
        <v>0</v>
      </c>
      <c r="AI205" s="208">
        <v>83108</v>
      </c>
      <c r="AJ205" s="208">
        <v>8323210</v>
      </c>
      <c r="AK205" s="208">
        <v>0</v>
      </c>
      <c r="AL205" s="208">
        <v>1324738</v>
      </c>
      <c r="AM205" s="208">
        <v>0</v>
      </c>
      <c r="AN205" s="208">
        <v>13381</v>
      </c>
      <c r="AO205" s="208">
        <v>1338119</v>
      </c>
      <c r="AP205" s="208">
        <v>0</v>
      </c>
      <c r="AQ205" s="208">
        <v>-1798288</v>
      </c>
      <c r="AR205" s="208">
        <v>0</v>
      </c>
      <c r="AS205" s="208">
        <v>-18165</v>
      </c>
      <c r="AT205" s="208">
        <v>-1816453</v>
      </c>
      <c r="AU205" s="208">
        <v>0.41000000003259629</v>
      </c>
      <c r="AV205" s="208">
        <v>-358774</v>
      </c>
      <c r="AW205" s="208">
        <v>0</v>
      </c>
      <c r="AX205" s="208">
        <v>-3624</v>
      </c>
      <c r="AY205" s="208">
        <v>-362397.58999999997</v>
      </c>
      <c r="AZ205" s="208">
        <v>0</v>
      </c>
      <c r="BA205" s="208">
        <v>291042</v>
      </c>
      <c r="BB205" s="208">
        <v>0</v>
      </c>
      <c r="BC205" s="208">
        <v>2940</v>
      </c>
      <c r="BD205" s="208">
        <v>293982</v>
      </c>
      <c r="BE205" s="208">
        <v>0</v>
      </c>
      <c r="BF205" s="208">
        <v>-290260</v>
      </c>
      <c r="BG205" s="208">
        <v>0</v>
      </c>
      <c r="BH205" s="208">
        <v>-2932</v>
      </c>
      <c r="BI205" s="208">
        <v>-293192</v>
      </c>
      <c r="BJ205" s="208">
        <v>0.41000000003259629</v>
      </c>
      <c r="BK205" s="208">
        <v>-357992</v>
      </c>
      <c r="BL205" s="208">
        <v>0</v>
      </c>
      <c r="BM205" s="208">
        <v>-3616</v>
      </c>
      <c r="BN205" s="208">
        <v>-361607.58999999997</v>
      </c>
      <c r="BO205" s="208">
        <v>0</v>
      </c>
      <c r="BP205" s="208">
        <v>-8044672</v>
      </c>
      <c r="BQ205" s="208">
        <v>0</v>
      </c>
      <c r="BR205" s="208">
        <v>-81259</v>
      </c>
      <c r="BS205" s="208">
        <v>-8125931</v>
      </c>
      <c r="BT205" s="208">
        <v>0</v>
      </c>
      <c r="BU205" s="208">
        <v>-7873477</v>
      </c>
      <c r="BV205" s="208">
        <v>0</v>
      </c>
      <c r="BW205" s="208">
        <v>-79530</v>
      </c>
      <c r="BX205" s="208">
        <v>-7953007</v>
      </c>
      <c r="BY205" s="208">
        <v>0</v>
      </c>
      <c r="BZ205" s="208">
        <v>-171195</v>
      </c>
      <c r="CA205" s="208">
        <v>0</v>
      </c>
      <c r="CB205" s="208">
        <v>-1729</v>
      </c>
      <c r="CC205" s="208">
        <v>-172924</v>
      </c>
      <c r="CD205" s="208">
        <v>0</v>
      </c>
      <c r="CE205" s="208">
        <v>4257842</v>
      </c>
      <c r="CF205" s="208">
        <v>0</v>
      </c>
      <c r="CG205" s="208">
        <v>43009</v>
      </c>
      <c r="CH205" s="208">
        <v>4300851</v>
      </c>
      <c r="CI205" s="208">
        <v>0</v>
      </c>
      <c r="CJ205" s="208">
        <v>125885</v>
      </c>
      <c r="CK205" s="208">
        <v>0</v>
      </c>
      <c r="CL205" s="208">
        <v>1272</v>
      </c>
      <c r="CM205" s="208">
        <v>127157</v>
      </c>
      <c r="CN205" s="208">
        <v>0</v>
      </c>
      <c r="CO205" s="208">
        <v>1514673</v>
      </c>
      <c r="CP205" s="208">
        <v>0</v>
      </c>
      <c r="CQ205" s="208">
        <v>15300</v>
      </c>
      <c r="CR205" s="208">
        <v>1529973</v>
      </c>
      <c r="CS205" s="208">
        <v>0</v>
      </c>
      <c r="CT205" s="208">
        <v>-383443</v>
      </c>
      <c r="CU205" s="208">
        <v>0</v>
      </c>
      <c r="CV205" s="208">
        <v>-3873</v>
      </c>
      <c r="CW205" s="208">
        <v>-387316</v>
      </c>
      <c r="CX205" s="208">
        <v>0</v>
      </c>
      <c r="CY205" s="208">
        <v>-2529715</v>
      </c>
      <c r="CZ205" s="208">
        <v>0</v>
      </c>
      <c r="DA205" s="208">
        <v>-25551</v>
      </c>
      <c r="DB205" s="208">
        <v>-2555266</v>
      </c>
      <c r="DC205" s="208">
        <v>0</v>
      </c>
      <c r="DD205" s="208">
        <v>-2100962</v>
      </c>
      <c r="DE205" s="208">
        <v>0</v>
      </c>
      <c r="DF205" s="208">
        <v>-21221</v>
      </c>
      <c r="DG205" s="208">
        <v>-2122183</v>
      </c>
      <c r="DH205" s="208">
        <v>0</v>
      </c>
      <c r="DI205" s="208">
        <v>-428753</v>
      </c>
      <c r="DJ205" s="208">
        <v>0</v>
      </c>
      <c r="DK205" s="208">
        <v>-4330</v>
      </c>
      <c r="DL205" s="208">
        <v>-433083</v>
      </c>
      <c r="DM205" s="208">
        <v>-7571673.5</v>
      </c>
      <c r="DN205" s="208">
        <v>-7420238.8700000001</v>
      </c>
      <c r="DO205" s="208">
        <v>0</v>
      </c>
      <c r="DP205" s="208">
        <v>-151433.63</v>
      </c>
      <c r="DQ205" s="208">
        <v>-15143346</v>
      </c>
      <c r="DR205" s="208">
        <v>-1496617</v>
      </c>
      <c r="DS205" s="208">
        <v>-1466685</v>
      </c>
      <c r="DT205" s="208">
        <v>0</v>
      </c>
      <c r="DU205" s="208">
        <v>-29932</v>
      </c>
      <c r="DV205" s="208">
        <v>-2993234</v>
      </c>
      <c r="DW205" s="208">
        <v>-6075056.5</v>
      </c>
      <c r="DX205" s="208">
        <v>-5953553.8700000001</v>
      </c>
      <c r="DY205" s="208">
        <v>0</v>
      </c>
      <c r="DZ205" s="208">
        <v>-121501.63</v>
      </c>
      <c r="EA205" s="208">
        <v>-12150112</v>
      </c>
      <c r="EB205" s="208">
        <v>0</v>
      </c>
      <c r="EC205" s="208">
        <v>87740662</v>
      </c>
      <c r="ED205" s="208">
        <v>0</v>
      </c>
      <c r="EE205" s="208">
        <v>886269</v>
      </c>
      <c r="EF205" s="208">
        <v>88626931</v>
      </c>
      <c r="EG205" s="208">
        <v>0</v>
      </c>
      <c r="EH205" s="208">
        <v>85767595</v>
      </c>
      <c r="EI205" s="208">
        <v>0</v>
      </c>
      <c r="EJ205" s="208">
        <v>866339</v>
      </c>
      <c r="EK205" s="208">
        <v>86633934</v>
      </c>
      <c r="EL205" s="208">
        <v>0</v>
      </c>
      <c r="EM205" s="208">
        <v>-1973067</v>
      </c>
      <c r="EN205" s="208">
        <v>0</v>
      </c>
      <c r="EO205" s="208">
        <v>-19930</v>
      </c>
      <c r="EP205" s="208">
        <v>-1992997</v>
      </c>
      <c r="EQ205" s="208">
        <v>-6075056.5</v>
      </c>
      <c r="ER205" s="208">
        <v>-7926620.8700000001</v>
      </c>
      <c r="ES205" s="208">
        <v>0</v>
      </c>
      <c r="ET205" s="208">
        <v>-141431.63</v>
      </c>
      <c r="EU205" s="208">
        <v>-14143109</v>
      </c>
      <c r="EV205" s="666">
        <v>0</v>
      </c>
      <c r="EW205" s="666">
        <v>0.99</v>
      </c>
      <c r="EX205" s="666">
        <v>0</v>
      </c>
      <c r="EY205" s="666">
        <v>0.01</v>
      </c>
      <c r="EZ205" s="666">
        <v>1</v>
      </c>
      <c r="FA205" s="187" t="s">
        <v>742</v>
      </c>
      <c r="FC205" s="187">
        <v>0</v>
      </c>
    </row>
    <row r="206" spans="1:159" s="187" customFormat="1" x14ac:dyDescent="0.2">
      <c r="B206" s="429" t="s">
        <v>489</v>
      </c>
      <c r="C206" s="429" t="s">
        <v>488</v>
      </c>
      <c r="D206" s="208">
        <v>27795088</v>
      </c>
      <c r="E206" s="208">
        <v>27239187</v>
      </c>
      <c r="F206" s="208">
        <v>0</v>
      </c>
      <c r="G206" s="208">
        <v>555902</v>
      </c>
      <c r="H206" s="208">
        <v>55590177</v>
      </c>
      <c r="I206" s="208">
        <v>0</v>
      </c>
      <c r="J206" s="208">
        <v>0</v>
      </c>
      <c r="K206" s="208">
        <v>27795088</v>
      </c>
      <c r="L206" s="208">
        <v>231774</v>
      </c>
      <c r="M206" s="208">
        <v>231774</v>
      </c>
      <c r="N206" s="208">
        <v>0</v>
      </c>
      <c r="O206" s="208">
        <v>0</v>
      </c>
      <c r="P206" s="208">
        <v>322</v>
      </c>
      <c r="Q206" s="208">
        <v>0</v>
      </c>
      <c r="R206" s="208">
        <v>322</v>
      </c>
      <c r="S206" s="208">
        <v>0</v>
      </c>
      <c r="T206" s="208">
        <v>0</v>
      </c>
      <c r="U206" s="208">
        <v>0</v>
      </c>
      <c r="V206" s="208">
        <v>0</v>
      </c>
      <c r="W206" s="208">
        <v>0</v>
      </c>
      <c r="X206" s="208">
        <v>0</v>
      </c>
      <c r="Y206" s="208">
        <v>0</v>
      </c>
      <c r="Z206" s="208">
        <v>0</v>
      </c>
      <c r="AA206" s="208">
        <v>0</v>
      </c>
      <c r="AB206" s="208">
        <v>0</v>
      </c>
      <c r="AC206" s="208">
        <v>0</v>
      </c>
      <c r="AD206" s="208">
        <v>0</v>
      </c>
      <c r="AE206" s="208">
        <v>0</v>
      </c>
      <c r="AF206" s="208">
        <v>0</v>
      </c>
      <c r="AG206" s="208">
        <v>2966681</v>
      </c>
      <c r="AH206" s="208">
        <v>0</v>
      </c>
      <c r="AI206" s="208">
        <v>60544</v>
      </c>
      <c r="AJ206" s="208">
        <v>3027225</v>
      </c>
      <c r="AK206" s="208">
        <v>727030</v>
      </c>
      <c r="AL206" s="208">
        <v>712490</v>
      </c>
      <c r="AM206" s="208">
        <v>0</v>
      </c>
      <c r="AN206" s="208">
        <v>14541</v>
      </c>
      <c r="AO206" s="208">
        <v>1454061</v>
      </c>
      <c r="AP206" s="208">
        <v>-636008</v>
      </c>
      <c r="AQ206" s="208">
        <v>-623287</v>
      </c>
      <c r="AR206" s="208">
        <v>0</v>
      </c>
      <c r="AS206" s="208">
        <v>-12720</v>
      </c>
      <c r="AT206" s="208">
        <v>-1272015</v>
      </c>
      <c r="AU206" s="208">
        <v>-245952</v>
      </c>
      <c r="AV206" s="208">
        <v>-241032</v>
      </c>
      <c r="AW206" s="208">
        <v>0</v>
      </c>
      <c r="AX206" s="208">
        <v>-4919</v>
      </c>
      <c r="AY206" s="208">
        <v>-491903</v>
      </c>
      <c r="AZ206" s="208">
        <v>131046</v>
      </c>
      <c r="BA206" s="208">
        <v>128425</v>
      </c>
      <c r="BB206" s="208">
        <v>0</v>
      </c>
      <c r="BC206" s="208">
        <v>2621</v>
      </c>
      <c r="BD206" s="208">
        <v>262092</v>
      </c>
      <c r="BE206" s="208">
        <v>-144147</v>
      </c>
      <c r="BF206" s="208">
        <v>-141264</v>
      </c>
      <c r="BG206" s="208">
        <v>0</v>
      </c>
      <c r="BH206" s="208">
        <v>-2883</v>
      </c>
      <c r="BI206" s="208">
        <v>-288294</v>
      </c>
      <c r="BJ206" s="208">
        <v>-259053</v>
      </c>
      <c r="BK206" s="208">
        <v>-253871</v>
      </c>
      <c r="BL206" s="208">
        <v>0</v>
      </c>
      <c r="BM206" s="208">
        <v>-5181</v>
      </c>
      <c r="BN206" s="208">
        <v>-518105</v>
      </c>
      <c r="BO206" s="208">
        <v>-2283111</v>
      </c>
      <c r="BP206" s="208">
        <v>-2237449</v>
      </c>
      <c r="BQ206" s="208">
        <v>0</v>
      </c>
      <c r="BR206" s="208">
        <v>-45662</v>
      </c>
      <c r="BS206" s="208">
        <v>-4566222</v>
      </c>
      <c r="BT206" s="208">
        <v>0</v>
      </c>
      <c r="BU206" s="208">
        <v>0</v>
      </c>
      <c r="BV206" s="208">
        <v>0</v>
      </c>
      <c r="BW206" s="208">
        <v>0</v>
      </c>
      <c r="BX206" s="208">
        <v>0</v>
      </c>
      <c r="BY206" s="208">
        <v>-2283111</v>
      </c>
      <c r="BZ206" s="208">
        <v>-2237449</v>
      </c>
      <c r="CA206" s="208">
        <v>0</v>
      </c>
      <c r="CB206" s="208">
        <v>-45662</v>
      </c>
      <c r="CC206" s="208">
        <v>-4566222</v>
      </c>
      <c r="CD206" s="208">
        <v>390914</v>
      </c>
      <c r="CE206" s="208">
        <v>383096</v>
      </c>
      <c r="CF206" s="208">
        <v>0</v>
      </c>
      <c r="CG206" s="208">
        <v>7818</v>
      </c>
      <c r="CH206" s="208">
        <v>781828</v>
      </c>
      <c r="CI206" s="208">
        <v>0</v>
      </c>
      <c r="CJ206" s="208">
        <v>0</v>
      </c>
      <c r="CK206" s="208">
        <v>0</v>
      </c>
      <c r="CL206" s="208">
        <v>0</v>
      </c>
      <c r="CM206" s="208">
        <v>0</v>
      </c>
      <c r="CN206" s="208">
        <v>-1631031</v>
      </c>
      <c r="CO206" s="208">
        <v>-1598410</v>
      </c>
      <c r="CP206" s="208">
        <v>0</v>
      </c>
      <c r="CQ206" s="208">
        <v>-32621</v>
      </c>
      <c r="CR206" s="208">
        <v>-3262062</v>
      </c>
      <c r="CS206" s="208">
        <v>-2159671</v>
      </c>
      <c r="CT206" s="208">
        <v>-2116477</v>
      </c>
      <c r="CU206" s="208">
        <v>0</v>
      </c>
      <c r="CV206" s="208">
        <v>-43193</v>
      </c>
      <c r="CW206" s="208">
        <v>-4319341</v>
      </c>
      <c r="CX206" s="208">
        <v>-5682899</v>
      </c>
      <c r="CY206" s="208">
        <v>-5569240</v>
      </c>
      <c r="CZ206" s="208">
        <v>0</v>
      </c>
      <c r="DA206" s="208">
        <v>-113658</v>
      </c>
      <c r="DB206" s="208">
        <v>-11365797</v>
      </c>
      <c r="DC206" s="208">
        <v>-1240117</v>
      </c>
      <c r="DD206" s="208">
        <v>-1215314</v>
      </c>
      <c r="DE206" s="208">
        <v>0</v>
      </c>
      <c r="DF206" s="208">
        <v>-24803</v>
      </c>
      <c r="DG206" s="208">
        <v>-2480234</v>
      </c>
      <c r="DH206" s="208">
        <v>-4442782</v>
      </c>
      <c r="DI206" s="208">
        <v>-4353926</v>
      </c>
      <c r="DJ206" s="208">
        <v>0</v>
      </c>
      <c r="DK206" s="208">
        <v>-88855</v>
      </c>
      <c r="DL206" s="208">
        <v>-8885563</v>
      </c>
      <c r="DM206" s="208">
        <v>1855436</v>
      </c>
      <c r="DN206" s="208">
        <v>1818328</v>
      </c>
      <c r="DO206" s="208">
        <v>0</v>
      </c>
      <c r="DP206" s="208">
        <v>37109</v>
      </c>
      <c r="DQ206" s="208">
        <v>3710873</v>
      </c>
      <c r="DR206" s="208">
        <v>0</v>
      </c>
      <c r="DS206" s="208">
        <v>0</v>
      </c>
      <c r="DT206" s="208">
        <v>0</v>
      </c>
      <c r="DU206" s="208">
        <v>0</v>
      </c>
      <c r="DV206" s="208">
        <v>0</v>
      </c>
      <c r="DW206" s="208">
        <v>1855436</v>
      </c>
      <c r="DX206" s="208">
        <v>1818328</v>
      </c>
      <c r="DY206" s="208">
        <v>0</v>
      </c>
      <c r="DZ206" s="208">
        <v>37109</v>
      </c>
      <c r="EA206" s="208">
        <v>3710873</v>
      </c>
      <c r="EB206" s="208">
        <v>27890196</v>
      </c>
      <c r="EC206" s="208">
        <v>27332393</v>
      </c>
      <c r="ED206" s="208">
        <v>0</v>
      </c>
      <c r="EE206" s="208">
        <v>557804</v>
      </c>
      <c r="EF206" s="208">
        <v>55780393</v>
      </c>
      <c r="EG206" s="208">
        <v>27795088</v>
      </c>
      <c r="EH206" s="208">
        <v>27239187</v>
      </c>
      <c r="EI206" s="208">
        <v>0</v>
      </c>
      <c r="EJ206" s="208">
        <v>555902</v>
      </c>
      <c r="EK206" s="208">
        <v>55590177</v>
      </c>
      <c r="EL206" s="208">
        <v>-95108</v>
      </c>
      <c r="EM206" s="208">
        <v>-93206</v>
      </c>
      <c r="EN206" s="208">
        <v>0</v>
      </c>
      <c r="EO206" s="208">
        <v>-1902</v>
      </c>
      <c r="EP206" s="208">
        <v>-190216</v>
      </c>
      <c r="EQ206" s="208">
        <v>1760328</v>
      </c>
      <c r="ER206" s="208">
        <v>1725122</v>
      </c>
      <c r="ES206" s="208">
        <v>0</v>
      </c>
      <c r="ET206" s="208">
        <v>35207</v>
      </c>
      <c r="EU206" s="208">
        <v>3520657</v>
      </c>
      <c r="EV206" s="666">
        <v>0.5</v>
      </c>
      <c r="EW206" s="666">
        <v>0.49</v>
      </c>
      <c r="EX206" s="666">
        <v>0</v>
      </c>
      <c r="EY206" s="666">
        <v>0.01</v>
      </c>
      <c r="EZ206" s="666">
        <v>1</v>
      </c>
      <c r="FA206" s="187" t="s">
        <v>742</v>
      </c>
      <c r="FC206" s="187">
        <v>0</v>
      </c>
    </row>
    <row r="207" spans="1:159" s="187" customFormat="1" x14ac:dyDescent="0.2">
      <c r="B207" s="429" t="s">
        <v>491</v>
      </c>
      <c r="C207" s="429" t="s">
        <v>490</v>
      </c>
      <c r="D207" s="208">
        <v>0</v>
      </c>
      <c r="E207" s="208">
        <v>88848579</v>
      </c>
      <c r="F207" s="208">
        <v>0</v>
      </c>
      <c r="G207" s="208">
        <v>897460</v>
      </c>
      <c r="H207" s="208">
        <v>89746039</v>
      </c>
      <c r="I207" s="208">
        <v>0</v>
      </c>
      <c r="J207" s="208">
        <v>0</v>
      </c>
      <c r="K207" s="208">
        <v>0</v>
      </c>
      <c r="L207" s="208">
        <v>272843</v>
      </c>
      <c r="M207" s="208">
        <v>272843</v>
      </c>
      <c r="N207" s="208">
        <v>0</v>
      </c>
      <c r="O207" s="208">
        <v>0</v>
      </c>
      <c r="P207" s="208">
        <v>0</v>
      </c>
      <c r="Q207" s="208">
        <v>0</v>
      </c>
      <c r="R207" s="208">
        <v>0</v>
      </c>
      <c r="S207" s="208">
        <v>0</v>
      </c>
      <c r="T207" s="208">
        <v>0</v>
      </c>
      <c r="U207" s="208">
        <v>0</v>
      </c>
      <c r="V207" s="208">
        <v>0</v>
      </c>
      <c r="W207" s="208">
        <v>0</v>
      </c>
      <c r="X207" s="208">
        <v>0</v>
      </c>
      <c r="Y207" s="208">
        <v>0</v>
      </c>
      <c r="Z207" s="208">
        <v>0</v>
      </c>
      <c r="AA207" s="208">
        <v>0</v>
      </c>
      <c r="AB207" s="208">
        <v>0</v>
      </c>
      <c r="AC207" s="208">
        <v>0</v>
      </c>
      <c r="AD207" s="208">
        <v>0</v>
      </c>
      <c r="AE207" s="208">
        <v>0</v>
      </c>
      <c r="AF207" s="208">
        <v>0</v>
      </c>
      <c r="AG207" s="208">
        <v>6933762</v>
      </c>
      <c r="AH207" s="208">
        <v>0</v>
      </c>
      <c r="AI207" s="208">
        <v>70038</v>
      </c>
      <c r="AJ207" s="208">
        <v>7003800</v>
      </c>
      <c r="AK207" s="208">
        <v>0</v>
      </c>
      <c r="AL207" s="208">
        <v>5008685</v>
      </c>
      <c r="AM207" s="208">
        <v>0</v>
      </c>
      <c r="AN207" s="208">
        <v>50593</v>
      </c>
      <c r="AO207" s="208">
        <v>5059278</v>
      </c>
      <c r="AP207" s="208">
        <v>0</v>
      </c>
      <c r="AQ207" s="208">
        <v>-2348328</v>
      </c>
      <c r="AR207" s="208">
        <v>0</v>
      </c>
      <c r="AS207" s="208">
        <v>-23720</v>
      </c>
      <c r="AT207" s="208">
        <v>-2372048</v>
      </c>
      <c r="AU207" s="208">
        <v>0</v>
      </c>
      <c r="AV207" s="208">
        <v>-3364890</v>
      </c>
      <c r="AW207" s="208">
        <v>0</v>
      </c>
      <c r="AX207" s="208">
        <v>-33989</v>
      </c>
      <c r="AY207" s="208">
        <v>-3398879</v>
      </c>
      <c r="AZ207" s="208">
        <v>0</v>
      </c>
      <c r="BA207" s="208">
        <v>567190</v>
      </c>
      <c r="BB207" s="208">
        <v>0</v>
      </c>
      <c r="BC207" s="208">
        <v>5729</v>
      </c>
      <c r="BD207" s="208">
        <v>572919</v>
      </c>
      <c r="BE207" s="208">
        <v>0</v>
      </c>
      <c r="BF207" s="208">
        <v>-371706</v>
      </c>
      <c r="BG207" s="208">
        <v>0</v>
      </c>
      <c r="BH207" s="208">
        <v>-3755</v>
      </c>
      <c r="BI207" s="208">
        <v>-375461</v>
      </c>
      <c r="BJ207" s="208">
        <v>0</v>
      </c>
      <c r="BK207" s="208">
        <v>-3169406</v>
      </c>
      <c r="BL207" s="208">
        <v>0</v>
      </c>
      <c r="BM207" s="208">
        <v>-32015</v>
      </c>
      <c r="BN207" s="208">
        <v>-3201421</v>
      </c>
      <c r="BO207" s="208">
        <v>0</v>
      </c>
      <c r="BP207" s="208">
        <v>-15043643</v>
      </c>
      <c r="BQ207" s="208">
        <v>0</v>
      </c>
      <c r="BR207" s="208">
        <v>-151956</v>
      </c>
      <c r="BS207" s="208">
        <v>-15195599</v>
      </c>
      <c r="BT207" s="208">
        <v>0</v>
      </c>
      <c r="BU207" s="208">
        <v>-10904028</v>
      </c>
      <c r="BV207" s="208">
        <v>0</v>
      </c>
      <c r="BW207" s="208">
        <v>-110142</v>
      </c>
      <c r="BX207" s="208">
        <v>-11014170</v>
      </c>
      <c r="BY207" s="208">
        <v>0</v>
      </c>
      <c r="BZ207" s="208">
        <v>-4139615</v>
      </c>
      <c r="CA207" s="208">
        <v>0</v>
      </c>
      <c r="CB207" s="208">
        <v>-41814</v>
      </c>
      <c r="CC207" s="208">
        <v>-4181429</v>
      </c>
      <c r="CD207" s="208">
        <v>0</v>
      </c>
      <c r="CE207" s="208">
        <v>939750</v>
      </c>
      <c r="CF207" s="208">
        <v>0</v>
      </c>
      <c r="CG207" s="208">
        <v>9492</v>
      </c>
      <c r="CH207" s="208">
        <v>949242</v>
      </c>
      <c r="CI207" s="208">
        <v>0</v>
      </c>
      <c r="CJ207" s="208">
        <v>214022</v>
      </c>
      <c r="CK207" s="208">
        <v>0</v>
      </c>
      <c r="CL207" s="208">
        <v>2162</v>
      </c>
      <c r="CM207" s="208">
        <v>216184</v>
      </c>
      <c r="CN207" s="208">
        <v>0</v>
      </c>
      <c r="CO207" s="208">
        <v>4748089</v>
      </c>
      <c r="CP207" s="208">
        <v>0</v>
      </c>
      <c r="CQ207" s="208">
        <v>47960</v>
      </c>
      <c r="CR207" s="208">
        <v>4796049</v>
      </c>
      <c r="CS207" s="208">
        <v>0</v>
      </c>
      <c r="CT207" s="208">
        <v>-4104656</v>
      </c>
      <c r="CU207" s="208">
        <v>0</v>
      </c>
      <c r="CV207" s="208">
        <v>-41461</v>
      </c>
      <c r="CW207" s="208">
        <v>-4146117</v>
      </c>
      <c r="CX207" s="208">
        <v>0</v>
      </c>
      <c r="CY207" s="208">
        <v>-13246438</v>
      </c>
      <c r="CZ207" s="208">
        <v>0</v>
      </c>
      <c r="DA207" s="208">
        <v>-133803</v>
      </c>
      <c r="DB207" s="208">
        <v>-13380241</v>
      </c>
      <c r="DC207" s="208">
        <v>0</v>
      </c>
      <c r="DD207" s="208">
        <v>-5216189</v>
      </c>
      <c r="DE207" s="208">
        <v>0</v>
      </c>
      <c r="DF207" s="208">
        <v>-52690</v>
      </c>
      <c r="DG207" s="208">
        <v>-5268879</v>
      </c>
      <c r="DH207" s="208">
        <v>0</v>
      </c>
      <c r="DI207" s="208">
        <v>-8030249</v>
      </c>
      <c r="DJ207" s="208">
        <v>0</v>
      </c>
      <c r="DK207" s="208">
        <v>-81113</v>
      </c>
      <c r="DL207" s="208">
        <v>-8111362</v>
      </c>
      <c r="DM207" s="208">
        <v>-74400</v>
      </c>
      <c r="DN207" s="208">
        <v>-72913</v>
      </c>
      <c r="DO207" s="208">
        <v>0</v>
      </c>
      <c r="DP207" s="208">
        <v>-1489</v>
      </c>
      <c r="DQ207" s="208">
        <v>-148802</v>
      </c>
      <c r="DR207" s="208">
        <v>557330</v>
      </c>
      <c r="DS207" s="208">
        <v>546184</v>
      </c>
      <c r="DT207" s="208">
        <v>0</v>
      </c>
      <c r="DU207" s="208">
        <v>11147</v>
      </c>
      <c r="DV207" s="208">
        <v>1114661</v>
      </c>
      <c r="DW207" s="208">
        <v>-631730</v>
      </c>
      <c r="DX207" s="208">
        <v>-619097</v>
      </c>
      <c r="DY207" s="208">
        <v>0</v>
      </c>
      <c r="DZ207" s="208">
        <v>-12636</v>
      </c>
      <c r="EA207" s="208">
        <v>-1263463</v>
      </c>
      <c r="EB207" s="208">
        <v>0</v>
      </c>
      <c r="EC207" s="208">
        <v>85928190</v>
      </c>
      <c r="ED207" s="208">
        <v>0</v>
      </c>
      <c r="EE207" s="208">
        <v>867962</v>
      </c>
      <c r="EF207" s="208">
        <v>86796152</v>
      </c>
      <c r="EG207" s="208">
        <v>0</v>
      </c>
      <c r="EH207" s="208">
        <v>88848579</v>
      </c>
      <c r="EI207" s="208">
        <v>0</v>
      </c>
      <c r="EJ207" s="208">
        <v>897460</v>
      </c>
      <c r="EK207" s="208">
        <v>89746039</v>
      </c>
      <c r="EL207" s="208">
        <v>0</v>
      </c>
      <c r="EM207" s="208">
        <v>2920389</v>
      </c>
      <c r="EN207" s="208">
        <v>0</v>
      </c>
      <c r="EO207" s="208">
        <v>29498</v>
      </c>
      <c r="EP207" s="208">
        <v>2949887</v>
      </c>
      <c r="EQ207" s="208">
        <v>-631730</v>
      </c>
      <c r="ER207" s="208">
        <v>2301292</v>
      </c>
      <c r="ES207" s="208">
        <v>0</v>
      </c>
      <c r="ET207" s="208">
        <v>16862</v>
      </c>
      <c r="EU207" s="208">
        <v>1686424</v>
      </c>
      <c r="EV207" s="666">
        <v>0</v>
      </c>
      <c r="EW207" s="666">
        <v>0.99</v>
      </c>
      <c r="EX207" s="666">
        <v>0</v>
      </c>
      <c r="EY207" s="666">
        <v>0.01</v>
      </c>
      <c r="EZ207" s="666">
        <v>1</v>
      </c>
      <c r="FA207" s="187" t="s">
        <v>742</v>
      </c>
      <c r="FC207" s="187">
        <v>0</v>
      </c>
    </row>
    <row r="208" spans="1:159" s="187" customFormat="1" x14ac:dyDescent="0.2">
      <c r="B208" s="429" t="s">
        <v>493</v>
      </c>
      <c r="C208" s="429" t="s">
        <v>492</v>
      </c>
      <c r="D208" s="208">
        <v>26252498</v>
      </c>
      <c r="E208" s="208">
        <v>21001999</v>
      </c>
      <c r="F208" s="208">
        <v>4725450</v>
      </c>
      <c r="G208" s="208">
        <v>525050</v>
      </c>
      <c r="H208" s="208">
        <v>52504997</v>
      </c>
      <c r="I208" s="208">
        <v>0</v>
      </c>
      <c r="J208" s="208">
        <v>0</v>
      </c>
      <c r="K208" s="208">
        <v>26252498</v>
      </c>
      <c r="L208" s="208">
        <v>224746</v>
      </c>
      <c r="M208" s="208">
        <v>224746</v>
      </c>
      <c r="N208" s="208">
        <v>0</v>
      </c>
      <c r="O208" s="208">
        <v>0</v>
      </c>
      <c r="P208" s="208">
        <v>68061</v>
      </c>
      <c r="Q208" s="208">
        <v>0</v>
      </c>
      <c r="R208" s="208">
        <v>68061</v>
      </c>
      <c r="S208" s="208">
        <v>0</v>
      </c>
      <c r="T208" s="208">
        <v>0</v>
      </c>
      <c r="U208" s="208">
        <v>0</v>
      </c>
      <c r="V208" s="208">
        <v>0</v>
      </c>
      <c r="W208" s="208">
        <v>0</v>
      </c>
      <c r="X208" s="208">
        <v>0</v>
      </c>
      <c r="Y208" s="208">
        <v>0</v>
      </c>
      <c r="Z208" s="208">
        <v>0</v>
      </c>
      <c r="AA208" s="208">
        <v>0</v>
      </c>
      <c r="AB208" s="208">
        <v>0</v>
      </c>
      <c r="AC208" s="208">
        <v>0</v>
      </c>
      <c r="AD208" s="208">
        <v>0</v>
      </c>
      <c r="AE208" s="208">
        <v>0</v>
      </c>
      <c r="AF208" s="208">
        <v>0</v>
      </c>
      <c r="AG208" s="208">
        <v>2167023</v>
      </c>
      <c r="AH208" s="208">
        <v>487230</v>
      </c>
      <c r="AI208" s="208">
        <v>54135</v>
      </c>
      <c r="AJ208" s="208">
        <v>2708388</v>
      </c>
      <c r="AK208" s="208">
        <v>4035186</v>
      </c>
      <c r="AL208" s="208">
        <v>3228150</v>
      </c>
      <c r="AM208" s="208">
        <v>726334</v>
      </c>
      <c r="AN208" s="208">
        <v>80704</v>
      </c>
      <c r="AO208" s="208">
        <v>8070374</v>
      </c>
      <c r="AP208" s="208">
        <v>-550916</v>
      </c>
      <c r="AQ208" s="208">
        <v>-440733</v>
      </c>
      <c r="AR208" s="208">
        <v>-99165</v>
      </c>
      <c r="AS208" s="208">
        <v>-11018</v>
      </c>
      <c r="AT208" s="208">
        <v>-1101832</v>
      </c>
      <c r="AU208" s="208">
        <v>-2223304.7999999998</v>
      </c>
      <c r="AV208" s="208">
        <v>-1778644</v>
      </c>
      <c r="AW208" s="208">
        <v>-400195</v>
      </c>
      <c r="AX208" s="208">
        <v>-44466</v>
      </c>
      <c r="AY208" s="208">
        <v>-4446609.8</v>
      </c>
      <c r="AZ208" s="208">
        <v>48802</v>
      </c>
      <c r="BA208" s="208">
        <v>39041</v>
      </c>
      <c r="BB208" s="208">
        <v>8784</v>
      </c>
      <c r="BC208" s="208">
        <v>976</v>
      </c>
      <c r="BD208" s="208">
        <v>97603</v>
      </c>
      <c r="BE208" s="208">
        <v>-853842</v>
      </c>
      <c r="BF208" s="208">
        <v>-683074</v>
      </c>
      <c r="BG208" s="208">
        <v>-153692</v>
      </c>
      <c r="BH208" s="208">
        <v>-17077</v>
      </c>
      <c r="BI208" s="208">
        <v>-1707685</v>
      </c>
      <c r="BJ208" s="208">
        <v>-3028344.8</v>
      </c>
      <c r="BK208" s="208">
        <v>-2422677</v>
      </c>
      <c r="BL208" s="208">
        <v>-545103</v>
      </c>
      <c r="BM208" s="208">
        <v>-60567</v>
      </c>
      <c r="BN208" s="208">
        <v>-6056691.7999999998</v>
      </c>
      <c r="BO208" s="208">
        <v>-4718780.1999999993</v>
      </c>
      <c r="BP208" s="208">
        <v>-3775024</v>
      </c>
      <c r="BQ208" s="208">
        <v>-849381</v>
      </c>
      <c r="BR208" s="208">
        <v>-94376</v>
      </c>
      <c r="BS208" s="208">
        <v>-9437561.1999999993</v>
      </c>
      <c r="BT208" s="208">
        <v>-3306992</v>
      </c>
      <c r="BU208" s="208">
        <v>-2645593</v>
      </c>
      <c r="BV208" s="208">
        <v>-595258</v>
      </c>
      <c r="BW208" s="208">
        <v>-66140</v>
      </c>
      <c r="BX208" s="208">
        <v>-6613983</v>
      </c>
      <c r="BY208" s="208">
        <v>-1411789.1999999993</v>
      </c>
      <c r="BZ208" s="208">
        <v>-1129431</v>
      </c>
      <c r="CA208" s="208">
        <v>-254122</v>
      </c>
      <c r="CB208" s="208">
        <v>-28236</v>
      </c>
      <c r="CC208" s="208">
        <v>-2823578.1999999993</v>
      </c>
      <c r="CD208" s="208">
        <v>851144</v>
      </c>
      <c r="CE208" s="208">
        <v>680915</v>
      </c>
      <c r="CF208" s="208">
        <v>153206</v>
      </c>
      <c r="CG208" s="208">
        <v>17023</v>
      </c>
      <c r="CH208" s="208">
        <v>1702288</v>
      </c>
      <c r="CI208" s="208">
        <v>204114</v>
      </c>
      <c r="CJ208" s="208">
        <v>163292</v>
      </c>
      <c r="CK208" s="208">
        <v>36741</v>
      </c>
      <c r="CL208" s="208">
        <v>4082</v>
      </c>
      <c r="CM208" s="208">
        <v>408229</v>
      </c>
      <c r="CN208" s="208">
        <v>-1315182</v>
      </c>
      <c r="CO208" s="208">
        <v>-1052146</v>
      </c>
      <c r="CP208" s="208">
        <v>-236733</v>
      </c>
      <c r="CQ208" s="208">
        <v>-26304</v>
      </c>
      <c r="CR208" s="208">
        <v>-2630365</v>
      </c>
      <c r="CS208" s="208">
        <v>-1329247</v>
      </c>
      <c r="CT208" s="208">
        <v>-1063397</v>
      </c>
      <c r="CU208" s="208">
        <v>-239264</v>
      </c>
      <c r="CV208" s="208">
        <v>-26585</v>
      </c>
      <c r="CW208" s="208">
        <v>-2658493</v>
      </c>
      <c r="CX208" s="208">
        <v>-6307951.1999999993</v>
      </c>
      <c r="CY208" s="208">
        <v>-5046360</v>
      </c>
      <c r="CZ208" s="208">
        <v>-1135431</v>
      </c>
      <c r="DA208" s="208">
        <v>-126160</v>
      </c>
      <c r="DB208" s="208">
        <v>-12615902.199999999</v>
      </c>
      <c r="DC208" s="208">
        <v>-3771030</v>
      </c>
      <c r="DD208" s="208">
        <v>-3016824</v>
      </c>
      <c r="DE208" s="208">
        <v>-678785</v>
      </c>
      <c r="DF208" s="208">
        <v>-75421</v>
      </c>
      <c r="DG208" s="208">
        <v>-7542060</v>
      </c>
      <c r="DH208" s="208">
        <v>-2536922.1999999993</v>
      </c>
      <c r="DI208" s="208">
        <v>-2029536</v>
      </c>
      <c r="DJ208" s="208">
        <v>-456645</v>
      </c>
      <c r="DK208" s="208">
        <v>-50739</v>
      </c>
      <c r="DL208" s="208">
        <v>-5073842.1999999993</v>
      </c>
      <c r="DM208" s="208">
        <v>798547</v>
      </c>
      <c r="DN208" s="208">
        <v>638836</v>
      </c>
      <c r="DO208" s="208">
        <v>143738</v>
      </c>
      <c r="DP208" s="208">
        <v>15971</v>
      </c>
      <c r="DQ208" s="208">
        <v>1597092</v>
      </c>
      <c r="DR208" s="208">
        <v>1188303</v>
      </c>
      <c r="DS208" s="208">
        <v>950642</v>
      </c>
      <c r="DT208" s="208">
        <v>213895</v>
      </c>
      <c r="DU208" s="208">
        <v>23766</v>
      </c>
      <c r="DV208" s="208">
        <v>2376606</v>
      </c>
      <c r="DW208" s="208">
        <v>-389756</v>
      </c>
      <c r="DX208" s="208">
        <v>-311806</v>
      </c>
      <c r="DY208" s="208">
        <v>-70157</v>
      </c>
      <c r="DZ208" s="208">
        <v>-7795</v>
      </c>
      <c r="EA208" s="208">
        <v>-779514</v>
      </c>
      <c r="EB208" s="208">
        <v>26580269</v>
      </c>
      <c r="EC208" s="208">
        <v>21264216</v>
      </c>
      <c r="ED208" s="208">
        <v>4784449</v>
      </c>
      <c r="EE208" s="208">
        <v>531605</v>
      </c>
      <c r="EF208" s="208">
        <v>53160539</v>
      </c>
      <c r="EG208" s="208">
        <v>26252498</v>
      </c>
      <c r="EH208" s="208">
        <v>21001999</v>
      </c>
      <c r="EI208" s="208">
        <v>4725450</v>
      </c>
      <c r="EJ208" s="208">
        <v>525050</v>
      </c>
      <c r="EK208" s="208">
        <v>52504997</v>
      </c>
      <c r="EL208" s="208">
        <v>-327771</v>
      </c>
      <c r="EM208" s="208">
        <v>-262217</v>
      </c>
      <c r="EN208" s="208">
        <v>-58999</v>
      </c>
      <c r="EO208" s="208">
        <v>-6555</v>
      </c>
      <c r="EP208" s="208">
        <v>-655542</v>
      </c>
      <c r="EQ208" s="208">
        <v>-717527</v>
      </c>
      <c r="ER208" s="208">
        <v>-574023</v>
      </c>
      <c r="ES208" s="208">
        <v>-129156</v>
      </c>
      <c r="ET208" s="208">
        <v>-14350</v>
      </c>
      <c r="EU208" s="208">
        <v>-1435056</v>
      </c>
      <c r="EV208" s="666">
        <v>0.5</v>
      </c>
      <c r="EW208" s="666">
        <v>0.4</v>
      </c>
      <c r="EX208" s="666">
        <v>0.09</v>
      </c>
      <c r="EY208" s="666">
        <v>0.01</v>
      </c>
      <c r="EZ208" s="666">
        <v>1</v>
      </c>
      <c r="FA208" s="187" t="s">
        <v>1054</v>
      </c>
      <c r="FC208" s="187">
        <v>0</v>
      </c>
    </row>
    <row r="209" spans="1:159" s="187" customFormat="1" x14ac:dyDescent="0.2">
      <c r="B209" s="429" t="s">
        <v>495</v>
      </c>
      <c r="C209" s="429" t="s">
        <v>494</v>
      </c>
      <c r="D209" s="208">
        <v>7026508</v>
      </c>
      <c r="E209" s="208">
        <v>5621207</v>
      </c>
      <c r="F209" s="208">
        <v>1264772</v>
      </c>
      <c r="G209" s="208">
        <v>140530</v>
      </c>
      <c r="H209" s="208">
        <v>14053017</v>
      </c>
      <c r="I209" s="208">
        <v>47849</v>
      </c>
      <c r="J209" s="208">
        <v>47849</v>
      </c>
      <c r="K209" s="208">
        <v>6978659</v>
      </c>
      <c r="L209" s="208">
        <v>96486</v>
      </c>
      <c r="M209" s="208">
        <v>96486</v>
      </c>
      <c r="N209" s="208">
        <v>91439</v>
      </c>
      <c r="O209" s="208">
        <v>91439</v>
      </c>
      <c r="P209" s="208">
        <v>130891</v>
      </c>
      <c r="Q209" s="208">
        <v>0</v>
      </c>
      <c r="R209" s="208">
        <v>130891</v>
      </c>
      <c r="S209" s="208">
        <v>0</v>
      </c>
      <c r="T209" s="208">
        <v>0</v>
      </c>
      <c r="U209" s="208">
        <v>0</v>
      </c>
      <c r="V209" s="208">
        <v>0</v>
      </c>
      <c r="W209" s="208">
        <v>47848.972916666666</v>
      </c>
      <c r="X209" s="208">
        <v>0</v>
      </c>
      <c r="Y209" s="208">
        <v>0</v>
      </c>
      <c r="Z209" s="208">
        <v>47848.972916666666</v>
      </c>
      <c r="AA209" s="208">
        <v>0</v>
      </c>
      <c r="AB209" s="208">
        <v>0</v>
      </c>
      <c r="AC209" s="208">
        <v>0</v>
      </c>
      <c r="AD209" s="208">
        <v>0</v>
      </c>
      <c r="AE209" s="208">
        <v>0</v>
      </c>
      <c r="AF209" s="208">
        <v>0</v>
      </c>
      <c r="AG209" s="208">
        <v>1025422</v>
      </c>
      <c r="AH209" s="208">
        <v>228203</v>
      </c>
      <c r="AI209" s="208">
        <v>25356</v>
      </c>
      <c r="AJ209" s="208">
        <v>1278981</v>
      </c>
      <c r="AK209" s="208">
        <v>193508</v>
      </c>
      <c r="AL209" s="208">
        <v>154806</v>
      </c>
      <c r="AM209" s="208">
        <v>34831</v>
      </c>
      <c r="AN209" s="208">
        <v>3870</v>
      </c>
      <c r="AO209" s="208">
        <v>387015</v>
      </c>
      <c r="AP209" s="208">
        <v>-39174</v>
      </c>
      <c r="AQ209" s="208">
        <v>-31340</v>
      </c>
      <c r="AR209" s="208">
        <v>-7052</v>
      </c>
      <c r="AS209" s="208">
        <v>-784</v>
      </c>
      <c r="AT209" s="208">
        <v>-78350</v>
      </c>
      <c r="AU209" s="208">
        <v>-65602</v>
      </c>
      <c r="AV209" s="208">
        <v>-52482</v>
      </c>
      <c r="AW209" s="208">
        <v>-11808</v>
      </c>
      <c r="AX209" s="208">
        <v>-1312</v>
      </c>
      <c r="AY209" s="208">
        <v>-131204</v>
      </c>
      <c r="AZ209" s="208">
        <v>33568</v>
      </c>
      <c r="BA209" s="208">
        <v>26854</v>
      </c>
      <c r="BB209" s="208">
        <v>6042</v>
      </c>
      <c r="BC209" s="208">
        <v>671</v>
      </c>
      <c r="BD209" s="208">
        <v>67135</v>
      </c>
      <c r="BE209" s="208">
        <v>-48500</v>
      </c>
      <c r="BF209" s="208">
        <v>-38800</v>
      </c>
      <c r="BG209" s="208">
        <v>-8730</v>
      </c>
      <c r="BH209" s="208">
        <v>-970</v>
      </c>
      <c r="BI209" s="208">
        <v>-97000</v>
      </c>
      <c r="BJ209" s="208">
        <v>-80534</v>
      </c>
      <c r="BK209" s="208">
        <v>-64428</v>
      </c>
      <c r="BL209" s="208">
        <v>-14496</v>
      </c>
      <c r="BM209" s="208">
        <v>-1611</v>
      </c>
      <c r="BN209" s="208">
        <v>-161069</v>
      </c>
      <c r="BO209" s="208">
        <v>-683859</v>
      </c>
      <c r="BP209" s="208">
        <v>-547088</v>
      </c>
      <c r="BQ209" s="208">
        <v>-123095</v>
      </c>
      <c r="BR209" s="208">
        <v>-13677</v>
      </c>
      <c r="BS209" s="208">
        <v>-1367719</v>
      </c>
      <c r="BT209" s="208">
        <v>-683859</v>
      </c>
      <c r="BU209" s="208">
        <v>-547088</v>
      </c>
      <c r="BV209" s="208">
        <v>-123095</v>
      </c>
      <c r="BW209" s="208">
        <v>-13677</v>
      </c>
      <c r="BX209" s="208">
        <v>-1367719</v>
      </c>
      <c r="BY209" s="208">
        <v>0</v>
      </c>
      <c r="BZ209" s="208">
        <v>0</v>
      </c>
      <c r="CA209" s="208">
        <v>0</v>
      </c>
      <c r="CB209" s="208">
        <v>0</v>
      </c>
      <c r="CC209" s="208">
        <v>0</v>
      </c>
      <c r="CD209" s="208">
        <v>683859</v>
      </c>
      <c r="CE209" s="208">
        <v>547088</v>
      </c>
      <c r="CF209" s="208">
        <v>123095</v>
      </c>
      <c r="CG209" s="208">
        <v>13677</v>
      </c>
      <c r="CH209" s="208">
        <v>1367719</v>
      </c>
      <c r="CI209" s="208">
        <v>0</v>
      </c>
      <c r="CJ209" s="208">
        <v>0</v>
      </c>
      <c r="CK209" s="208">
        <v>0</v>
      </c>
      <c r="CL209" s="208">
        <v>0</v>
      </c>
      <c r="CM209" s="208">
        <v>0</v>
      </c>
      <c r="CN209" s="208">
        <v>-625000</v>
      </c>
      <c r="CO209" s="208">
        <v>-500000</v>
      </c>
      <c r="CP209" s="208">
        <v>-112500</v>
      </c>
      <c r="CQ209" s="208">
        <v>-12500</v>
      </c>
      <c r="CR209" s="208">
        <v>-1250000</v>
      </c>
      <c r="CS209" s="208">
        <v>-396039</v>
      </c>
      <c r="CT209" s="208">
        <v>-316832</v>
      </c>
      <c r="CU209" s="208">
        <v>-71287</v>
      </c>
      <c r="CV209" s="208">
        <v>-7921</v>
      </c>
      <c r="CW209" s="208">
        <v>-792079</v>
      </c>
      <c r="CX209" s="208">
        <v>-1021039</v>
      </c>
      <c r="CY209" s="208">
        <v>-816832</v>
      </c>
      <c r="CZ209" s="208">
        <v>-183787</v>
      </c>
      <c r="DA209" s="208">
        <v>-20421</v>
      </c>
      <c r="DB209" s="208">
        <v>-2042079</v>
      </c>
      <c r="DC209" s="208">
        <v>-625000</v>
      </c>
      <c r="DD209" s="208">
        <v>-500000</v>
      </c>
      <c r="DE209" s="208">
        <v>-112500</v>
      </c>
      <c r="DF209" s="208">
        <v>-12500</v>
      </c>
      <c r="DG209" s="208">
        <v>-1250000</v>
      </c>
      <c r="DH209" s="208">
        <v>-396039</v>
      </c>
      <c r="DI209" s="208">
        <v>-316832</v>
      </c>
      <c r="DJ209" s="208">
        <v>-71287</v>
      </c>
      <c r="DK209" s="208">
        <v>-7921</v>
      </c>
      <c r="DL209" s="208">
        <v>-792079</v>
      </c>
      <c r="DM209" s="208">
        <v>38383</v>
      </c>
      <c r="DN209" s="208">
        <v>30707.599999999627</v>
      </c>
      <c r="DO209" s="208">
        <v>6909.7600000000093</v>
      </c>
      <c r="DP209" s="208">
        <v>767.63999999999942</v>
      </c>
      <c r="DQ209" s="208">
        <v>76768</v>
      </c>
      <c r="DR209" s="208">
        <v>279668</v>
      </c>
      <c r="DS209" s="208">
        <v>223734</v>
      </c>
      <c r="DT209" s="208">
        <v>50340</v>
      </c>
      <c r="DU209" s="208">
        <v>5593</v>
      </c>
      <c r="DV209" s="208">
        <v>559335</v>
      </c>
      <c r="DW209" s="208">
        <v>-241285</v>
      </c>
      <c r="DX209" s="208">
        <v>-193026.40000000037</v>
      </c>
      <c r="DY209" s="208">
        <v>-43430.239999999991</v>
      </c>
      <c r="DZ209" s="208">
        <v>-4825.3600000000006</v>
      </c>
      <c r="EA209" s="208">
        <v>-482567</v>
      </c>
      <c r="EB209" s="208">
        <v>8014705</v>
      </c>
      <c r="EC209" s="208">
        <v>6411764</v>
      </c>
      <c r="ED209" s="208">
        <v>1442647</v>
      </c>
      <c r="EE209" s="208">
        <v>160294</v>
      </c>
      <c r="EF209" s="208">
        <v>16029410</v>
      </c>
      <c r="EG209" s="208">
        <v>7026508</v>
      </c>
      <c r="EH209" s="208">
        <v>5621207</v>
      </c>
      <c r="EI209" s="208">
        <v>1264772</v>
      </c>
      <c r="EJ209" s="208">
        <v>140530</v>
      </c>
      <c r="EK209" s="208">
        <v>14053017</v>
      </c>
      <c r="EL209" s="208">
        <v>-988197</v>
      </c>
      <c r="EM209" s="208">
        <v>-790557</v>
      </c>
      <c r="EN209" s="208">
        <v>-177875</v>
      </c>
      <c r="EO209" s="208">
        <v>-19764</v>
      </c>
      <c r="EP209" s="208">
        <v>-1976393</v>
      </c>
      <c r="EQ209" s="208">
        <v>-1229482</v>
      </c>
      <c r="ER209" s="208">
        <v>-983583.40000000037</v>
      </c>
      <c r="ES209" s="208">
        <v>-221305.24</v>
      </c>
      <c r="ET209" s="208">
        <v>-24589.360000000001</v>
      </c>
      <c r="EU209" s="208">
        <v>-2458960</v>
      </c>
      <c r="EV209" s="666">
        <v>0.5</v>
      </c>
      <c r="EW209" s="666">
        <v>0.4</v>
      </c>
      <c r="EX209" s="666">
        <v>0.09</v>
      </c>
      <c r="EY209" s="666">
        <v>0.01</v>
      </c>
      <c r="EZ209" s="666">
        <v>1</v>
      </c>
      <c r="FA209" s="187" t="s">
        <v>1054</v>
      </c>
      <c r="FC209" s="187">
        <v>0</v>
      </c>
    </row>
    <row r="210" spans="1:159" s="187" customFormat="1" x14ac:dyDescent="0.2">
      <c r="A210" s="188" t="s">
        <v>1817</v>
      </c>
      <c r="B210" s="429" t="s">
        <v>497</v>
      </c>
      <c r="C210" s="429" t="s">
        <v>496</v>
      </c>
      <c r="D210" s="208">
        <v>0</v>
      </c>
      <c r="E210" s="208">
        <v>139611376</v>
      </c>
      <c r="F210" s="208">
        <v>0</v>
      </c>
      <c r="G210" s="208">
        <v>1410216</v>
      </c>
      <c r="H210" s="208">
        <v>141021592</v>
      </c>
      <c r="I210" s="208">
        <v>0</v>
      </c>
      <c r="J210" s="208">
        <v>0</v>
      </c>
      <c r="K210" s="208">
        <v>0</v>
      </c>
      <c r="L210" s="208">
        <v>282159</v>
      </c>
      <c r="M210" s="208">
        <v>282159</v>
      </c>
      <c r="N210" s="208">
        <v>0</v>
      </c>
      <c r="O210" s="208">
        <v>0</v>
      </c>
      <c r="P210" s="208">
        <v>0</v>
      </c>
      <c r="Q210" s="208">
        <v>0</v>
      </c>
      <c r="R210" s="208">
        <v>0</v>
      </c>
      <c r="S210" s="208">
        <v>0</v>
      </c>
      <c r="T210" s="208">
        <v>0</v>
      </c>
      <c r="U210" s="208">
        <v>0</v>
      </c>
      <c r="V210" s="208">
        <v>0</v>
      </c>
      <c r="W210" s="208">
        <v>0</v>
      </c>
      <c r="X210" s="208">
        <v>0</v>
      </c>
      <c r="Y210" s="208">
        <v>0</v>
      </c>
      <c r="Z210" s="208">
        <v>0</v>
      </c>
      <c r="AA210" s="208">
        <v>0</v>
      </c>
      <c r="AB210" s="208">
        <v>0</v>
      </c>
      <c r="AC210" s="208">
        <v>0</v>
      </c>
      <c r="AD210" s="208">
        <v>0</v>
      </c>
      <c r="AE210" s="208">
        <v>0</v>
      </c>
      <c r="AF210" s="208">
        <v>0</v>
      </c>
      <c r="AG210" s="208">
        <v>6713773</v>
      </c>
      <c r="AH210" s="208">
        <v>0</v>
      </c>
      <c r="AI210" s="208">
        <v>67816</v>
      </c>
      <c r="AJ210" s="208">
        <v>6781589</v>
      </c>
      <c r="AK210" s="208">
        <v>0</v>
      </c>
      <c r="AL210" s="208">
        <v>6286916</v>
      </c>
      <c r="AM210" s="208">
        <v>0</v>
      </c>
      <c r="AN210" s="208">
        <v>63504</v>
      </c>
      <c r="AO210" s="208">
        <v>6350420</v>
      </c>
      <c r="AP210" s="208">
        <v>0</v>
      </c>
      <c r="AQ210" s="208">
        <v>-4285074</v>
      </c>
      <c r="AR210" s="208">
        <v>0</v>
      </c>
      <c r="AS210" s="208">
        <v>-43284</v>
      </c>
      <c r="AT210" s="208">
        <v>-4328358</v>
      </c>
      <c r="AU210" s="208">
        <v>-0.10000000009313226</v>
      </c>
      <c r="AV210" s="208">
        <v>-3641090</v>
      </c>
      <c r="AW210" s="208">
        <v>0</v>
      </c>
      <c r="AX210" s="208">
        <v>-36779</v>
      </c>
      <c r="AY210" s="208">
        <v>-3677869.1</v>
      </c>
      <c r="AZ210" s="208">
        <v>0</v>
      </c>
      <c r="BA210" s="208">
        <v>291625</v>
      </c>
      <c r="BB210" s="208">
        <v>0</v>
      </c>
      <c r="BC210" s="208">
        <v>2946</v>
      </c>
      <c r="BD210" s="208">
        <v>294571</v>
      </c>
      <c r="BE210" s="208">
        <v>0</v>
      </c>
      <c r="BF210" s="208">
        <v>214378</v>
      </c>
      <c r="BG210" s="208">
        <v>0</v>
      </c>
      <c r="BH210" s="208">
        <v>2165</v>
      </c>
      <c r="BI210" s="208">
        <v>216543</v>
      </c>
      <c r="BJ210" s="208">
        <v>-0.10000000009313226</v>
      </c>
      <c r="BK210" s="208">
        <v>-3135087</v>
      </c>
      <c r="BL210" s="208">
        <v>0</v>
      </c>
      <c r="BM210" s="208">
        <v>-31668</v>
      </c>
      <c r="BN210" s="208">
        <v>-3166755.1</v>
      </c>
      <c r="BO210" s="208">
        <v>-0.28999999910593033</v>
      </c>
      <c r="BP210" s="208">
        <v>-11830500</v>
      </c>
      <c r="BQ210" s="208">
        <v>0</v>
      </c>
      <c r="BR210" s="208">
        <v>-119500</v>
      </c>
      <c r="BS210" s="208">
        <v>-11950000.289999999</v>
      </c>
      <c r="BT210" s="208">
        <v>0</v>
      </c>
      <c r="BU210" s="208">
        <v>-6217507</v>
      </c>
      <c r="BV210" s="208">
        <v>0</v>
      </c>
      <c r="BW210" s="208">
        <v>-62803</v>
      </c>
      <c r="BX210" s="208">
        <v>-6280310</v>
      </c>
      <c r="BY210" s="208">
        <v>-0.28999999910593033</v>
      </c>
      <c r="BZ210" s="208">
        <v>-5612993</v>
      </c>
      <c r="CA210" s="208">
        <v>0</v>
      </c>
      <c r="CB210" s="208">
        <v>-56697</v>
      </c>
      <c r="CC210" s="208">
        <v>-5669690.2899999991</v>
      </c>
      <c r="CD210" s="208">
        <v>0</v>
      </c>
      <c r="CE210" s="208">
        <v>3206794</v>
      </c>
      <c r="CF210" s="208">
        <v>0</v>
      </c>
      <c r="CG210" s="208">
        <v>32392</v>
      </c>
      <c r="CH210" s="208">
        <v>3239186</v>
      </c>
      <c r="CI210" s="208">
        <v>0</v>
      </c>
      <c r="CJ210" s="208">
        <v>0</v>
      </c>
      <c r="CK210" s="208">
        <v>0</v>
      </c>
      <c r="CL210" s="208">
        <v>0</v>
      </c>
      <c r="CM210" s="208">
        <v>0</v>
      </c>
      <c r="CN210" s="208">
        <v>0</v>
      </c>
      <c r="CO210" s="208">
        <v>-579641</v>
      </c>
      <c r="CP210" s="208">
        <v>0</v>
      </c>
      <c r="CQ210" s="208">
        <v>-5855</v>
      </c>
      <c r="CR210" s="208">
        <v>-585496</v>
      </c>
      <c r="CS210" s="208">
        <v>0</v>
      </c>
      <c r="CT210" s="208">
        <v>2856694</v>
      </c>
      <c r="CU210" s="208">
        <v>0</v>
      </c>
      <c r="CV210" s="208">
        <v>28855</v>
      </c>
      <c r="CW210" s="208">
        <v>2885549</v>
      </c>
      <c r="CX210" s="208">
        <v>-0.28999999910593033</v>
      </c>
      <c r="CY210" s="208">
        <v>-6346653</v>
      </c>
      <c r="CZ210" s="208">
        <v>0</v>
      </c>
      <c r="DA210" s="208">
        <v>-64108</v>
      </c>
      <c r="DB210" s="208">
        <v>-6410761.2899999991</v>
      </c>
      <c r="DC210" s="208">
        <v>0</v>
      </c>
      <c r="DD210" s="208">
        <v>-3590354</v>
      </c>
      <c r="DE210" s="208">
        <v>0</v>
      </c>
      <c r="DF210" s="208">
        <v>-36266</v>
      </c>
      <c r="DG210" s="208">
        <v>-3626620</v>
      </c>
      <c r="DH210" s="208">
        <v>-0.28999999910593033</v>
      </c>
      <c r="DI210" s="208">
        <v>-2756299</v>
      </c>
      <c r="DJ210" s="208">
        <v>0</v>
      </c>
      <c r="DK210" s="208">
        <v>-27842</v>
      </c>
      <c r="DL210" s="208">
        <v>-2784141.2899999991</v>
      </c>
      <c r="DM210" s="208">
        <v>2899807</v>
      </c>
      <c r="DN210" s="208">
        <v>2841810</v>
      </c>
      <c r="DO210" s="208">
        <v>0</v>
      </c>
      <c r="DP210" s="208">
        <v>57996</v>
      </c>
      <c r="DQ210" s="208">
        <v>5799613</v>
      </c>
      <c r="DR210" s="208">
        <v>4680000</v>
      </c>
      <c r="DS210" s="208">
        <v>4586400</v>
      </c>
      <c r="DT210" s="208">
        <v>0</v>
      </c>
      <c r="DU210" s="208">
        <v>93600</v>
      </c>
      <c r="DV210" s="208">
        <v>9360000</v>
      </c>
      <c r="DW210" s="208">
        <v>-1780193</v>
      </c>
      <c r="DX210" s="208">
        <v>-1744590</v>
      </c>
      <c r="DY210" s="208">
        <v>0</v>
      </c>
      <c r="DZ210" s="208">
        <v>-35604</v>
      </c>
      <c r="EA210" s="208">
        <v>-3560387</v>
      </c>
      <c r="EB210" s="208">
        <v>0</v>
      </c>
      <c r="EC210" s="208">
        <v>128700000</v>
      </c>
      <c r="ED210" s="208">
        <v>0</v>
      </c>
      <c r="EE210" s="208">
        <v>1300000</v>
      </c>
      <c r="EF210" s="208">
        <v>130000000</v>
      </c>
      <c r="EG210" s="208">
        <v>0</v>
      </c>
      <c r="EH210" s="208">
        <v>139611376</v>
      </c>
      <c r="EI210" s="208">
        <v>0</v>
      </c>
      <c r="EJ210" s="208">
        <v>1410216</v>
      </c>
      <c r="EK210" s="208">
        <v>141021592</v>
      </c>
      <c r="EL210" s="208">
        <v>0</v>
      </c>
      <c r="EM210" s="208">
        <v>10911376</v>
      </c>
      <c r="EN210" s="208">
        <v>0</v>
      </c>
      <c r="EO210" s="208">
        <v>110216</v>
      </c>
      <c r="EP210" s="208">
        <v>11021592</v>
      </c>
      <c r="EQ210" s="208">
        <v>-1780193</v>
      </c>
      <c r="ER210" s="208">
        <v>9166786</v>
      </c>
      <c r="ES210" s="208">
        <v>0</v>
      </c>
      <c r="ET210" s="208">
        <v>74612</v>
      </c>
      <c r="EU210" s="208">
        <v>7461205</v>
      </c>
      <c r="EV210" s="666">
        <v>0</v>
      </c>
      <c r="EW210" s="666">
        <v>0.99</v>
      </c>
      <c r="EX210" s="666">
        <v>0</v>
      </c>
      <c r="EY210" s="666">
        <v>0.01</v>
      </c>
      <c r="EZ210" s="666">
        <v>1</v>
      </c>
      <c r="FA210" s="187" t="s">
        <v>742</v>
      </c>
      <c r="FC210" s="187">
        <v>0</v>
      </c>
    </row>
    <row r="211" spans="1:159" s="187" customFormat="1" x14ac:dyDescent="0.2">
      <c r="B211" s="429" t="s">
        <v>499</v>
      </c>
      <c r="C211" s="429" t="s">
        <v>498</v>
      </c>
      <c r="D211" s="208">
        <v>0</v>
      </c>
      <c r="E211" s="208">
        <v>36461185</v>
      </c>
      <c r="F211" s="208">
        <v>20509416</v>
      </c>
      <c r="G211" s="208">
        <v>0</v>
      </c>
      <c r="H211" s="208">
        <v>56970601</v>
      </c>
      <c r="I211" s="208">
        <v>0</v>
      </c>
      <c r="J211" s="208">
        <v>0</v>
      </c>
      <c r="K211" s="208">
        <v>0</v>
      </c>
      <c r="L211" s="208">
        <v>280817</v>
      </c>
      <c r="M211" s="208">
        <v>280817</v>
      </c>
      <c r="N211" s="208">
        <v>0</v>
      </c>
      <c r="O211" s="208">
        <v>0</v>
      </c>
      <c r="P211" s="208">
        <v>0</v>
      </c>
      <c r="Q211" s="208">
        <v>0</v>
      </c>
      <c r="R211" s="208">
        <v>0</v>
      </c>
      <c r="S211" s="208">
        <v>0</v>
      </c>
      <c r="T211" s="208">
        <v>0</v>
      </c>
      <c r="U211" s="208">
        <v>0</v>
      </c>
      <c r="V211" s="208">
        <v>0</v>
      </c>
      <c r="W211" s="208">
        <v>0</v>
      </c>
      <c r="X211" s="208">
        <v>0</v>
      </c>
      <c r="Y211" s="208">
        <v>0</v>
      </c>
      <c r="Z211" s="208">
        <v>0</v>
      </c>
      <c r="AA211" s="208">
        <v>0</v>
      </c>
      <c r="AB211" s="208">
        <v>0</v>
      </c>
      <c r="AC211" s="208">
        <v>0</v>
      </c>
      <c r="AD211" s="208">
        <v>0</v>
      </c>
      <c r="AE211" s="208">
        <v>0</v>
      </c>
      <c r="AF211" s="208">
        <v>0</v>
      </c>
      <c r="AG211" s="208">
        <v>4935290</v>
      </c>
      <c r="AH211" s="208">
        <v>2776099</v>
      </c>
      <c r="AI211" s="208">
        <v>0</v>
      </c>
      <c r="AJ211" s="208">
        <v>7711389</v>
      </c>
      <c r="AK211" s="208">
        <v>0</v>
      </c>
      <c r="AL211" s="208">
        <v>4952787</v>
      </c>
      <c r="AM211" s="208">
        <v>2785943</v>
      </c>
      <c r="AN211" s="208">
        <v>0</v>
      </c>
      <c r="AO211" s="208">
        <v>7738730</v>
      </c>
      <c r="AP211" s="208">
        <v>0</v>
      </c>
      <c r="AQ211" s="208">
        <v>-2047975</v>
      </c>
      <c r="AR211" s="208">
        <v>-1151986</v>
      </c>
      <c r="AS211" s="208">
        <v>0</v>
      </c>
      <c r="AT211" s="208">
        <v>-3199961</v>
      </c>
      <c r="AU211" s="208">
        <v>0</v>
      </c>
      <c r="AV211" s="208">
        <v>-4802273</v>
      </c>
      <c r="AW211" s="208">
        <v>-2701279</v>
      </c>
      <c r="AX211" s="208">
        <v>0</v>
      </c>
      <c r="AY211" s="208">
        <v>-7503552</v>
      </c>
      <c r="AZ211" s="208">
        <v>0</v>
      </c>
      <c r="BA211" s="208">
        <v>1007336</v>
      </c>
      <c r="BB211" s="208">
        <v>566626</v>
      </c>
      <c r="BC211" s="208">
        <v>0</v>
      </c>
      <c r="BD211" s="208">
        <v>1573962</v>
      </c>
      <c r="BE211" s="208">
        <v>0</v>
      </c>
      <c r="BF211" s="208">
        <v>195840</v>
      </c>
      <c r="BG211" s="208">
        <v>110160</v>
      </c>
      <c r="BH211" s="208">
        <v>0</v>
      </c>
      <c r="BI211" s="208">
        <v>306000</v>
      </c>
      <c r="BJ211" s="208">
        <v>0</v>
      </c>
      <c r="BK211" s="208">
        <v>-3599097</v>
      </c>
      <c r="BL211" s="208">
        <v>-2024493</v>
      </c>
      <c r="BM211" s="208">
        <v>0</v>
      </c>
      <c r="BN211" s="208">
        <v>-5623590</v>
      </c>
      <c r="BO211" s="208">
        <v>0</v>
      </c>
      <c r="BP211" s="208">
        <v>-4759040</v>
      </c>
      <c r="BQ211" s="208">
        <v>-2676960</v>
      </c>
      <c r="BR211" s="208">
        <v>0</v>
      </c>
      <c r="BS211" s="208">
        <v>-7436000</v>
      </c>
      <c r="BT211" s="208">
        <v>0</v>
      </c>
      <c r="BU211" s="208">
        <v>-2645760</v>
      </c>
      <c r="BV211" s="208">
        <v>-1488240</v>
      </c>
      <c r="BW211" s="208">
        <v>0</v>
      </c>
      <c r="BX211" s="208">
        <v>-4134000</v>
      </c>
      <c r="BY211" s="208">
        <v>0</v>
      </c>
      <c r="BZ211" s="208">
        <v>-2113280</v>
      </c>
      <c r="CA211" s="208">
        <v>-1188720</v>
      </c>
      <c r="CB211" s="208">
        <v>0</v>
      </c>
      <c r="CC211" s="208">
        <v>-3302000</v>
      </c>
      <c r="CD211" s="208">
        <v>0</v>
      </c>
      <c r="CE211" s="208">
        <v>2552130</v>
      </c>
      <c r="CF211" s="208">
        <v>1435573</v>
      </c>
      <c r="CG211" s="208">
        <v>0</v>
      </c>
      <c r="CH211" s="208">
        <v>3987703</v>
      </c>
      <c r="CI211" s="208">
        <v>0</v>
      </c>
      <c r="CJ211" s="208">
        <v>246852</v>
      </c>
      <c r="CK211" s="208">
        <v>138854</v>
      </c>
      <c r="CL211" s="208">
        <v>0</v>
      </c>
      <c r="CM211" s="208">
        <v>385706</v>
      </c>
      <c r="CN211" s="208">
        <v>0</v>
      </c>
      <c r="CO211" s="208">
        <v>-1458408</v>
      </c>
      <c r="CP211" s="208">
        <v>-820354</v>
      </c>
      <c r="CQ211" s="208">
        <v>0</v>
      </c>
      <c r="CR211" s="208">
        <v>-2278762</v>
      </c>
      <c r="CS211" s="208">
        <v>0</v>
      </c>
      <c r="CT211" s="208">
        <v>-1924323</v>
      </c>
      <c r="CU211" s="208">
        <v>-1082431</v>
      </c>
      <c r="CV211" s="208">
        <v>0</v>
      </c>
      <c r="CW211" s="208">
        <v>-3006754</v>
      </c>
      <c r="CX211" s="208">
        <v>0</v>
      </c>
      <c r="CY211" s="208">
        <v>-5342789</v>
      </c>
      <c r="CZ211" s="208">
        <v>-3005318</v>
      </c>
      <c r="DA211" s="208">
        <v>0</v>
      </c>
      <c r="DB211" s="208">
        <v>-8348107</v>
      </c>
      <c r="DC211" s="208">
        <v>0</v>
      </c>
      <c r="DD211" s="208">
        <v>-1552038</v>
      </c>
      <c r="DE211" s="208">
        <v>-873021</v>
      </c>
      <c r="DF211" s="208">
        <v>0</v>
      </c>
      <c r="DG211" s="208">
        <v>-2425059</v>
      </c>
      <c r="DH211" s="208">
        <v>0</v>
      </c>
      <c r="DI211" s="208">
        <v>-3790751</v>
      </c>
      <c r="DJ211" s="208">
        <v>-2132297</v>
      </c>
      <c r="DK211" s="208">
        <v>0</v>
      </c>
      <c r="DL211" s="208">
        <v>-5923048</v>
      </c>
      <c r="DM211" s="208">
        <v>-3124227</v>
      </c>
      <c r="DN211" s="208">
        <v>-2819550</v>
      </c>
      <c r="DO211" s="208">
        <v>-3454722</v>
      </c>
      <c r="DP211" s="208">
        <v>0</v>
      </c>
      <c r="DQ211" s="208">
        <v>-9398499</v>
      </c>
      <c r="DR211" s="208">
        <v>-395265</v>
      </c>
      <c r="DS211" s="208">
        <v>-354839</v>
      </c>
      <c r="DT211" s="208">
        <v>-432691</v>
      </c>
      <c r="DU211" s="208">
        <v>0</v>
      </c>
      <c r="DV211" s="208">
        <v>-1182795</v>
      </c>
      <c r="DW211" s="208">
        <v>-2728962</v>
      </c>
      <c r="DX211" s="208">
        <v>-2464711</v>
      </c>
      <c r="DY211" s="208">
        <v>-3022031</v>
      </c>
      <c r="DZ211" s="208">
        <v>0</v>
      </c>
      <c r="EA211" s="208">
        <v>-8215704</v>
      </c>
      <c r="EB211" s="208">
        <v>0</v>
      </c>
      <c r="EC211" s="208">
        <v>38174941</v>
      </c>
      <c r="ED211" s="208">
        <v>21473405</v>
      </c>
      <c r="EE211" s="208">
        <v>0</v>
      </c>
      <c r="EF211" s="208">
        <v>59648346</v>
      </c>
      <c r="EG211" s="208">
        <v>0</v>
      </c>
      <c r="EH211" s="208">
        <v>36461185</v>
      </c>
      <c r="EI211" s="208">
        <v>20509416</v>
      </c>
      <c r="EJ211" s="208">
        <v>0</v>
      </c>
      <c r="EK211" s="208">
        <v>56970601</v>
      </c>
      <c r="EL211" s="208">
        <v>0</v>
      </c>
      <c r="EM211" s="208">
        <v>-1713756</v>
      </c>
      <c r="EN211" s="208">
        <v>-963989</v>
      </c>
      <c r="EO211" s="208">
        <v>0</v>
      </c>
      <c r="EP211" s="208">
        <v>-2677745</v>
      </c>
      <c r="EQ211" s="208">
        <v>-2728962</v>
      </c>
      <c r="ER211" s="208">
        <v>-4178467</v>
      </c>
      <c r="ES211" s="208">
        <v>-3986020</v>
      </c>
      <c r="ET211" s="208">
        <v>0</v>
      </c>
      <c r="EU211" s="208">
        <v>-10893449</v>
      </c>
      <c r="EV211" s="666">
        <v>0</v>
      </c>
      <c r="EW211" s="666">
        <v>0.64</v>
      </c>
      <c r="EX211" s="666">
        <v>0.36</v>
      </c>
      <c r="EY211" s="666">
        <v>0</v>
      </c>
      <c r="EZ211" s="666">
        <v>1</v>
      </c>
      <c r="FA211" s="187" t="s">
        <v>1055</v>
      </c>
      <c r="FC211" s="187">
        <v>0</v>
      </c>
    </row>
    <row r="212" spans="1:159" s="187" customFormat="1" x14ac:dyDescent="0.2">
      <c r="B212" s="429" t="s">
        <v>501</v>
      </c>
      <c r="C212" s="429" t="s">
        <v>500</v>
      </c>
      <c r="D212" s="208">
        <v>17425924</v>
      </c>
      <c r="E212" s="208">
        <v>17077406</v>
      </c>
      <c r="F212" s="208">
        <v>0</v>
      </c>
      <c r="G212" s="208">
        <v>348518</v>
      </c>
      <c r="H212" s="208">
        <v>34851848</v>
      </c>
      <c r="I212" s="208">
        <v>3051201</v>
      </c>
      <c r="J212" s="208">
        <v>3051201</v>
      </c>
      <c r="K212" s="208">
        <v>14374723</v>
      </c>
      <c r="L212" s="208">
        <v>157376</v>
      </c>
      <c r="M212" s="208">
        <v>157376</v>
      </c>
      <c r="N212" s="208">
        <v>2010578</v>
      </c>
      <c r="O212" s="208">
        <v>2010578</v>
      </c>
      <c r="P212" s="208">
        <v>0</v>
      </c>
      <c r="Q212" s="208">
        <v>0</v>
      </c>
      <c r="R212" s="208">
        <v>0</v>
      </c>
      <c r="S212" s="208">
        <v>0</v>
      </c>
      <c r="T212" s="208">
        <v>0</v>
      </c>
      <c r="U212" s="208">
        <v>0</v>
      </c>
      <c r="V212" s="208">
        <v>0</v>
      </c>
      <c r="W212" s="208">
        <v>0</v>
      </c>
      <c r="X212" s="208">
        <v>0</v>
      </c>
      <c r="Y212" s="208">
        <v>0</v>
      </c>
      <c r="Z212" s="208">
        <v>0</v>
      </c>
      <c r="AA212" s="208">
        <v>2990176.98</v>
      </c>
      <c r="AB212" s="208">
        <v>0</v>
      </c>
      <c r="AC212" s="208">
        <v>61024.020000000004</v>
      </c>
      <c r="AD212" s="208">
        <v>3051201</v>
      </c>
      <c r="AE212" s="208">
        <v>0</v>
      </c>
      <c r="AF212" s="208">
        <v>0</v>
      </c>
      <c r="AG212" s="208">
        <v>1836874</v>
      </c>
      <c r="AH212" s="208">
        <v>0</v>
      </c>
      <c r="AI212" s="208">
        <v>36547</v>
      </c>
      <c r="AJ212" s="208">
        <v>1873421</v>
      </c>
      <c r="AK212" s="208">
        <v>6374652</v>
      </c>
      <c r="AL212" s="208">
        <v>6247158</v>
      </c>
      <c r="AM212" s="208">
        <v>0</v>
      </c>
      <c r="AN212" s="208">
        <v>127493</v>
      </c>
      <c r="AO212" s="208">
        <v>12749303</v>
      </c>
      <c r="AP212" s="208">
        <v>-266077</v>
      </c>
      <c r="AQ212" s="208">
        <v>-260755</v>
      </c>
      <c r="AR212" s="208">
        <v>0</v>
      </c>
      <c r="AS212" s="208">
        <v>-5322</v>
      </c>
      <c r="AT212" s="208">
        <v>-532154</v>
      </c>
      <c r="AU212" s="208">
        <v>-5913495</v>
      </c>
      <c r="AV212" s="208">
        <v>-5795226</v>
      </c>
      <c r="AW212" s="208">
        <v>0</v>
      </c>
      <c r="AX212" s="208">
        <v>-118270</v>
      </c>
      <c r="AY212" s="208">
        <v>-11826991</v>
      </c>
      <c r="AZ212" s="208">
        <v>66680</v>
      </c>
      <c r="BA212" s="208">
        <v>65347</v>
      </c>
      <c r="BB212" s="208">
        <v>0</v>
      </c>
      <c r="BC212" s="208">
        <v>1334</v>
      </c>
      <c r="BD212" s="208">
        <v>133361</v>
      </c>
      <c r="BE212" s="208">
        <v>143495</v>
      </c>
      <c r="BF212" s="208">
        <v>140625</v>
      </c>
      <c r="BG212" s="208">
        <v>0</v>
      </c>
      <c r="BH212" s="208">
        <v>2870</v>
      </c>
      <c r="BI212" s="208">
        <v>286990</v>
      </c>
      <c r="BJ212" s="208">
        <v>-5703320</v>
      </c>
      <c r="BK212" s="208">
        <v>-5589254</v>
      </c>
      <c r="BL212" s="208">
        <v>0</v>
      </c>
      <c r="BM212" s="208">
        <v>-114066</v>
      </c>
      <c r="BN212" s="208">
        <v>-11406640</v>
      </c>
      <c r="BO212" s="208">
        <v>-1701997.2999999998</v>
      </c>
      <c r="BP212" s="208">
        <v>-1667958</v>
      </c>
      <c r="BQ212" s="208">
        <v>0</v>
      </c>
      <c r="BR212" s="208">
        <v>-34040</v>
      </c>
      <c r="BS212" s="208">
        <v>-3403995.3</v>
      </c>
      <c r="BT212" s="208">
        <v>0</v>
      </c>
      <c r="BU212" s="208">
        <v>0</v>
      </c>
      <c r="BV212" s="208">
        <v>0</v>
      </c>
      <c r="BW212" s="208">
        <v>0</v>
      </c>
      <c r="BX212" s="208">
        <v>0</v>
      </c>
      <c r="BY212" s="208">
        <v>-1701997.2999999998</v>
      </c>
      <c r="BZ212" s="208">
        <v>-1667958</v>
      </c>
      <c r="CA212" s="208">
        <v>0</v>
      </c>
      <c r="CB212" s="208">
        <v>-34040</v>
      </c>
      <c r="CC212" s="208">
        <v>-3403995.3</v>
      </c>
      <c r="CD212" s="208">
        <v>110370</v>
      </c>
      <c r="CE212" s="208">
        <v>108163</v>
      </c>
      <c r="CF212" s="208">
        <v>0</v>
      </c>
      <c r="CG212" s="208">
        <v>2207</v>
      </c>
      <c r="CH212" s="208">
        <v>220740</v>
      </c>
      <c r="CI212" s="208">
        <v>0</v>
      </c>
      <c r="CJ212" s="208">
        <v>0</v>
      </c>
      <c r="CK212" s="208">
        <v>0</v>
      </c>
      <c r="CL212" s="208">
        <v>0</v>
      </c>
      <c r="CM212" s="208">
        <v>0</v>
      </c>
      <c r="CN212" s="208">
        <v>6369</v>
      </c>
      <c r="CO212" s="208">
        <v>6241</v>
      </c>
      <c r="CP212" s="208">
        <v>0</v>
      </c>
      <c r="CQ212" s="208">
        <v>127</v>
      </c>
      <c r="CR212" s="208">
        <v>12737</v>
      </c>
      <c r="CS212" s="208">
        <v>-410919</v>
      </c>
      <c r="CT212" s="208">
        <v>-402701</v>
      </c>
      <c r="CU212" s="208">
        <v>0</v>
      </c>
      <c r="CV212" s="208">
        <v>-8218</v>
      </c>
      <c r="CW212" s="208">
        <v>-821838</v>
      </c>
      <c r="CX212" s="208">
        <v>-1996177.2999999998</v>
      </c>
      <c r="CY212" s="208">
        <v>-1956255</v>
      </c>
      <c r="CZ212" s="208">
        <v>0</v>
      </c>
      <c r="DA212" s="208">
        <v>-39924</v>
      </c>
      <c r="DB212" s="208">
        <v>-3992356.3</v>
      </c>
      <c r="DC212" s="208">
        <v>116739</v>
      </c>
      <c r="DD212" s="208">
        <v>114404</v>
      </c>
      <c r="DE212" s="208">
        <v>0</v>
      </c>
      <c r="DF212" s="208">
        <v>2334</v>
      </c>
      <c r="DG212" s="208">
        <v>233477</v>
      </c>
      <c r="DH212" s="208">
        <v>-2112916.2999999998</v>
      </c>
      <c r="DI212" s="208">
        <v>-2070659</v>
      </c>
      <c r="DJ212" s="208">
        <v>0</v>
      </c>
      <c r="DK212" s="208">
        <v>-42258</v>
      </c>
      <c r="DL212" s="208">
        <v>-4225833.3</v>
      </c>
      <c r="DM212" s="208">
        <v>-2357621</v>
      </c>
      <c r="DN212" s="208">
        <v>-2310469</v>
      </c>
      <c r="DO212" s="208">
        <v>0</v>
      </c>
      <c r="DP212" s="208">
        <v>-47153</v>
      </c>
      <c r="DQ212" s="208">
        <v>-4715243</v>
      </c>
      <c r="DR212" s="208">
        <v>953149</v>
      </c>
      <c r="DS212" s="208">
        <v>934086</v>
      </c>
      <c r="DT212" s="208">
        <v>0</v>
      </c>
      <c r="DU212" s="208">
        <v>19063</v>
      </c>
      <c r="DV212" s="208">
        <v>1906298</v>
      </c>
      <c r="DW212" s="208">
        <v>-3310770</v>
      </c>
      <c r="DX212" s="208">
        <v>-3244555</v>
      </c>
      <c r="DY212" s="208">
        <v>0</v>
      </c>
      <c r="DZ212" s="208">
        <v>-66216</v>
      </c>
      <c r="EA212" s="208">
        <v>-6621541</v>
      </c>
      <c r="EB212" s="208">
        <v>18884342</v>
      </c>
      <c r="EC212" s="208">
        <v>18506655</v>
      </c>
      <c r="ED212" s="208">
        <v>0</v>
      </c>
      <c r="EE212" s="208">
        <v>377687</v>
      </c>
      <c r="EF212" s="208">
        <v>37768684</v>
      </c>
      <c r="EG212" s="208">
        <v>17425924</v>
      </c>
      <c r="EH212" s="208">
        <v>17077406</v>
      </c>
      <c r="EI212" s="208">
        <v>0</v>
      </c>
      <c r="EJ212" s="208">
        <v>348518</v>
      </c>
      <c r="EK212" s="208">
        <v>34851848</v>
      </c>
      <c r="EL212" s="208">
        <v>-1458418</v>
      </c>
      <c r="EM212" s="208">
        <v>-1429249</v>
      </c>
      <c r="EN212" s="208">
        <v>0</v>
      </c>
      <c r="EO212" s="208">
        <v>-29169</v>
      </c>
      <c r="EP212" s="208">
        <v>-2916836</v>
      </c>
      <c r="EQ212" s="208">
        <v>-4769188</v>
      </c>
      <c r="ER212" s="208">
        <v>-4673804</v>
      </c>
      <c r="ES212" s="208">
        <v>0</v>
      </c>
      <c r="ET212" s="208">
        <v>-95385</v>
      </c>
      <c r="EU212" s="208">
        <v>-9538377</v>
      </c>
      <c r="EV212" s="666">
        <v>0.5</v>
      </c>
      <c r="EW212" s="666">
        <v>0.49</v>
      </c>
      <c r="EX212" s="666">
        <v>0</v>
      </c>
      <c r="EY212" s="666">
        <v>0.01</v>
      </c>
      <c r="EZ212" s="666">
        <v>1</v>
      </c>
      <c r="FA212" s="187" t="s">
        <v>742</v>
      </c>
      <c r="FC212" s="187">
        <v>0</v>
      </c>
    </row>
    <row r="213" spans="1:159" s="187" customFormat="1" x14ac:dyDescent="0.2">
      <c r="B213" s="429" t="s">
        <v>503</v>
      </c>
      <c r="C213" s="429" t="s">
        <v>502</v>
      </c>
      <c r="D213" s="208">
        <v>16006628</v>
      </c>
      <c r="E213" s="208">
        <v>12805302</v>
      </c>
      <c r="F213" s="208">
        <v>2881193</v>
      </c>
      <c r="G213" s="208">
        <v>320133</v>
      </c>
      <c r="H213" s="208">
        <v>32013256</v>
      </c>
      <c r="I213" s="208">
        <v>0</v>
      </c>
      <c r="J213" s="208">
        <v>0</v>
      </c>
      <c r="K213" s="208">
        <v>16006628</v>
      </c>
      <c r="L213" s="208">
        <v>105992</v>
      </c>
      <c r="M213" s="208">
        <v>105992</v>
      </c>
      <c r="N213" s="208">
        <v>0</v>
      </c>
      <c r="O213" s="208">
        <v>0</v>
      </c>
      <c r="P213" s="208">
        <v>0</v>
      </c>
      <c r="Q213" s="208">
        <v>0</v>
      </c>
      <c r="R213" s="208">
        <v>0</v>
      </c>
      <c r="S213" s="208">
        <v>0</v>
      </c>
      <c r="T213" s="208">
        <v>0</v>
      </c>
      <c r="U213" s="208">
        <v>0</v>
      </c>
      <c r="V213" s="208">
        <v>0</v>
      </c>
      <c r="W213" s="208">
        <v>0</v>
      </c>
      <c r="X213" s="208">
        <v>0</v>
      </c>
      <c r="Y213" s="208">
        <v>0</v>
      </c>
      <c r="Z213" s="208">
        <v>0</v>
      </c>
      <c r="AA213" s="208">
        <v>0</v>
      </c>
      <c r="AB213" s="208">
        <v>0</v>
      </c>
      <c r="AC213" s="208">
        <v>0</v>
      </c>
      <c r="AD213" s="208">
        <v>0</v>
      </c>
      <c r="AE213" s="208">
        <v>0</v>
      </c>
      <c r="AF213" s="208">
        <v>0</v>
      </c>
      <c r="AG213" s="208">
        <v>1170778</v>
      </c>
      <c r="AH213" s="208">
        <v>263424</v>
      </c>
      <c r="AI213" s="208">
        <v>29269</v>
      </c>
      <c r="AJ213" s="208">
        <v>1463471</v>
      </c>
      <c r="AK213" s="208">
        <v>724748</v>
      </c>
      <c r="AL213" s="208">
        <v>579799</v>
      </c>
      <c r="AM213" s="208">
        <v>130455</v>
      </c>
      <c r="AN213" s="208">
        <v>14495</v>
      </c>
      <c r="AO213" s="208">
        <v>1449497</v>
      </c>
      <c r="AP213" s="208">
        <v>-301692</v>
      </c>
      <c r="AQ213" s="208">
        <v>-241354</v>
      </c>
      <c r="AR213" s="208">
        <v>-54305</v>
      </c>
      <c r="AS213" s="208">
        <v>-6034</v>
      </c>
      <c r="AT213" s="208">
        <v>-603385</v>
      </c>
      <c r="AU213" s="208">
        <v>-1165155</v>
      </c>
      <c r="AV213" s="208">
        <v>-932124</v>
      </c>
      <c r="AW213" s="208">
        <v>-209728</v>
      </c>
      <c r="AX213" s="208">
        <v>-23303</v>
      </c>
      <c r="AY213" s="208">
        <v>-2330310</v>
      </c>
      <c r="AZ213" s="208">
        <v>758818</v>
      </c>
      <c r="BA213" s="208">
        <v>607054</v>
      </c>
      <c r="BB213" s="208">
        <v>136587</v>
      </c>
      <c r="BC213" s="208">
        <v>15176</v>
      </c>
      <c r="BD213" s="208">
        <v>1517635</v>
      </c>
      <c r="BE213" s="208">
        <v>-50163</v>
      </c>
      <c r="BF213" s="208">
        <v>-40130</v>
      </c>
      <c r="BG213" s="208">
        <v>-9029</v>
      </c>
      <c r="BH213" s="208">
        <v>-1003</v>
      </c>
      <c r="BI213" s="208">
        <v>-100325</v>
      </c>
      <c r="BJ213" s="208">
        <v>-456500</v>
      </c>
      <c r="BK213" s="208">
        <v>-365200</v>
      </c>
      <c r="BL213" s="208">
        <v>-82170</v>
      </c>
      <c r="BM213" s="208">
        <v>-9130</v>
      </c>
      <c r="BN213" s="208">
        <v>-913000</v>
      </c>
      <c r="BO213" s="208">
        <v>-2587931</v>
      </c>
      <c r="BP213" s="208">
        <v>-2070346</v>
      </c>
      <c r="BQ213" s="208">
        <v>-465828</v>
      </c>
      <c r="BR213" s="208">
        <v>-51759</v>
      </c>
      <c r="BS213" s="208">
        <v>-5175864</v>
      </c>
      <c r="BT213" s="208">
        <v>-1772864</v>
      </c>
      <c r="BU213" s="208">
        <v>-1418292</v>
      </c>
      <c r="BV213" s="208">
        <v>-319116</v>
      </c>
      <c r="BW213" s="208">
        <v>-35457</v>
      </c>
      <c r="BX213" s="208">
        <v>-3545729</v>
      </c>
      <c r="BY213" s="208">
        <v>-815068</v>
      </c>
      <c r="BZ213" s="208">
        <v>-652054</v>
      </c>
      <c r="CA213" s="208">
        <v>-146712</v>
      </c>
      <c r="CB213" s="208">
        <v>-16301</v>
      </c>
      <c r="CC213" s="208">
        <v>-1630135</v>
      </c>
      <c r="CD213" s="208">
        <v>476533</v>
      </c>
      <c r="CE213" s="208">
        <v>381227</v>
      </c>
      <c r="CF213" s="208">
        <v>85776</v>
      </c>
      <c r="CG213" s="208">
        <v>9531</v>
      </c>
      <c r="CH213" s="208">
        <v>953067</v>
      </c>
      <c r="CI213" s="208">
        <v>0</v>
      </c>
      <c r="CJ213" s="208">
        <v>0</v>
      </c>
      <c r="CK213" s="208">
        <v>0</v>
      </c>
      <c r="CL213" s="208">
        <v>0</v>
      </c>
      <c r="CM213" s="208">
        <v>0</v>
      </c>
      <c r="CN213" s="208">
        <v>-300269</v>
      </c>
      <c r="CO213" s="208">
        <v>-240214</v>
      </c>
      <c r="CP213" s="208">
        <v>-54048</v>
      </c>
      <c r="CQ213" s="208">
        <v>-6005</v>
      </c>
      <c r="CR213" s="208">
        <v>-600536</v>
      </c>
      <c r="CS213" s="208">
        <v>-875758</v>
      </c>
      <c r="CT213" s="208">
        <v>-700606</v>
      </c>
      <c r="CU213" s="208">
        <v>-157636</v>
      </c>
      <c r="CV213" s="208">
        <v>-17515</v>
      </c>
      <c r="CW213" s="208">
        <v>-1751515</v>
      </c>
      <c r="CX213" s="208">
        <v>-3287425</v>
      </c>
      <c r="CY213" s="208">
        <v>-2629939</v>
      </c>
      <c r="CZ213" s="208">
        <v>-591736</v>
      </c>
      <c r="DA213" s="208">
        <v>-65748</v>
      </c>
      <c r="DB213" s="208">
        <v>-6574848</v>
      </c>
      <c r="DC213" s="208">
        <v>-1596600</v>
      </c>
      <c r="DD213" s="208">
        <v>-1277279</v>
      </c>
      <c r="DE213" s="208">
        <v>-287388</v>
      </c>
      <c r="DF213" s="208">
        <v>-31931</v>
      </c>
      <c r="DG213" s="208">
        <v>-3193198</v>
      </c>
      <c r="DH213" s="208">
        <v>-1690826</v>
      </c>
      <c r="DI213" s="208">
        <v>-1352660</v>
      </c>
      <c r="DJ213" s="208">
        <v>-304348</v>
      </c>
      <c r="DK213" s="208">
        <v>-33816</v>
      </c>
      <c r="DL213" s="208">
        <v>-3381650</v>
      </c>
      <c r="DM213" s="208">
        <v>344352.10000000009</v>
      </c>
      <c r="DN213" s="208">
        <v>275481</v>
      </c>
      <c r="DO213" s="208">
        <v>61983</v>
      </c>
      <c r="DP213" s="208">
        <v>6887</v>
      </c>
      <c r="DQ213" s="208">
        <v>688703.10000000009</v>
      </c>
      <c r="DR213" s="208">
        <v>2799404</v>
      </c>
      <c r="DS213" s="208">
        <v>2239523</v>
      </c>
      <c r="DT213" s="208">
        <v>503893</v>
      </c>
      <c r="DU213" s="208">
        <v>55988</v>
      </c>
      <c r="DV213" s="208">
        <v>5598808</v>
      </c>
      <c r="DW213" s="208">
        <v>-2455051.9</v>
      </c>
      <c r="DX213" s="208">
        <v>-1964042</v>
      </c>
      <c r="DY213" s="208">
        <v>-441910</v>
      </c>
      <c r="DZ213" s="208">
        <v>-49101</v>
      </c>
      <c r="EA213" s="208">
        <v>-4910104.9000000004</v>
      </c>
      <c r="EB213" s="208">
        <v>16790447</v>
      </c>
      <c r="EC213" s="208">
        <v>13432357</v>
      </c>
      <c r="ED213" s="208">
        <v>3022280</v>
      </c>
      <c r="EE213" s="208">
        <v>335809</v>
      </c>
      <c r="EF213" s="208">
        <v>33580893</v>
      </c>
      <c r="EG213" s="208">
        <v>16006628</v>
      </c>
      <c r="EH213" s="208">
        <v>12805302</v>
      </c>
      <c r="EI213" s="208">
        <v>2881193</v>
      </c>
      <c r="EJ213" s="208">
        <v>320133</v>
      </c>
      <c r="EK213" s="208">
        <v>32013256</v>
      </c>
      <c r="EL213" s="208">
        <v>-783819</v>
      </c>
      <c r="EM213" s="208">
        <v>-627055</v>
      </c>
      <c r="EN213" s="208">
        <v>-141087</v>
      </c>
      <c r="EO213" s="208">
        <v>-15676</v>
      </c>
      <c r="EP213" s="208">
        <v>-1567637</v>
      </c>
      <c r="EQ213" s="208">
        <v>-3238870.9</v>
      </c>
      <c r="ER213" s="208">
        <v>-2591097</v>
      </c>
      <c r="ES213" s="208">
        <v>-582997</v>
      </c>
      <c r="ET213" s="208">
        <v>-64777</v>
      </c>
      <c r="EU213" s="208">
        <v>-6477741.9000000004</v>
      </c>
      <c r="EV213" s="666">
        <v>0.5</v>
      </c>
      <c r="EW213" s="666">
        <v>0.4</v>
      </c>
      <c r="EX213" s="666">
        <v>0.09</v>
      </c>
      <c r="EY213" s="666">
        <v>0.01</v>
      </c>
      <c r="EZ213" s="666">
        <v>1</v>
      </c>
      <c r="FA213" s="187" t="s">
        <v>1054</v>
      </c>
      <c r="FC213" s="187">
        <v>0</v>
      </c>
    </row>
    <row r="214" spans="1:159" s="187" customFormat="1" x14ac:dyDescent="0.2">
      <c r="B214" s="429" t="s">
        <v>505</v>
      </c>
      <c r="C214" s="429" t="s">
        <v>504</v>
      </c>
      <c r="D214" s="208">
        <v>0</v>
      </c>
      <c r="E214" s="208">
        <v>16708091</v>
      </c>
      <c r="F214" s="208">
        <v>38985545</v>
      </c>
      <c r="G214" s="208">
        <v>0</v>
      </c>
      <c r="H214" s="208">
        <v>55693636</v>
      </c>
      <c r="I214" s="208">
        <v>0</v>
      </c>
      <c r="J214" s="208">
        <v>0</v>
      </c>
      <c r="K214" s="208">
        <v>0</v>
      </c>
      <c r="L214" s="208">
        <v>172438</v>
      </c>
      <c r="M214" s="208">
        <v>172438</v>
      </c>
      <c r="N214" s="208">
        <v>0</v>
      </c>
      <c r="O214" s="208">
        <v>0</v>
      </c>
      <c r="P214" s="208">
        <v>0</v>
      </c>
      <c r="Q214" s="208">
        <v>0</v>
      </c>
      <c r="R214" s="208">
        <v>0</v>
      </c>
      <c r="S214" s="208">
        <v>0</v>
      </c>
      <c r="T214" s="208">
        <v>0</v>
      </c>
      <c r="U214" s="208">
        <v>0</v>
      </c>
      <c r="V214" s="208">
        <v>0</v>
      </c>
      <c r="W214" s="208">
        <v>0</v>
      </c>
      <c r="X214" s="208">
        <v>0</v>
      </c>
      <c r="Y214" s="208">
        <v>0</v>
      </c>
      <c r="Z214" s="208">
        <v>0</v>
      </c>
      <c r="AA214" s="208">
        <v>0</v>
      </c>
      <c r="AB214" s="208">
        <v>0</v>
      </c>
      <c r="AC214" s="208">
        <v>0</v>
      </c>
      <c r="AD214" s="208">
        <v>0</v>
      </c>
      <c r="AE214" s="208">
        <v>0</v>
      </c>
      <c r="AF214" s="208">
        <v>0</v>
      </c>
      <c r="AG214" s="208">
        <v>1268405</v>
      </c>
      <c r="AH214" s="208">
        <v>2959610</v>
      </c>
      <c r="AI214" s="208">
        <v>0</v>
      </c>
      <c r="AJ214" s="208">
        <v>4228015</v>
      </c>
      <c r="AK214" s="208">
        <v>0</v>
      </c>
      <c r="AL214" s="208">
        <v>253750</v>
      </c>
      <c r="AM214" s="208">
        <v>592084</v>
      </c>
      <c r="AN214" s="208">
        <v>0</v>
      </c>
      <c r="AO214" s="208">
        <v>845834</v>
      </c>
      <c r="AP214" s="208">
        <v>0</v>
      </c>
      <c r="AQ214" s="208">
        <v>-584627</v>
      </c>
      <c r="AR214" s="208">
        <v>-1364130</v>
      </c>
      <c r="AS214" s="208">
        <v>0</v>
      </c>
      <c r="AT214" s="208">
        <v>-1948757</v>
      </c>
      <c r="AU214" s="208">
        <v>-0.10000000000582077</v>
      </c>
      <c r="AV214" s="208">
        <v>-58360</v>
      </c>
      <c r="AW214" s="208">
        <v>-136172</v>
      </c>
      <c r="AX214" s="208">
        <v>0</v>
      </c>
      <c r="AY214" s="208">
        <v>-194532.1</v>
      </c>
      <c r="AZ214" s="208">
        <v>0</v>
      </c>
      <c r="BA214" s="208">
        <v>32035</v>
      </c>
      <c r="BB214" s="208">
        <v>74748</v>
      </c>
      <c r="BC214" s="208">
        <v>0</v>
      </c>
      <c r="BD214" s="208">
        <v>106783</v>
      </c>
      <c r="BE214" s="208">
        <v>0</v>
      </c>
      <c r="BF214" s="208">
        <v>-35101</v>
      </c>
      <c r="BG214" s="208">
        <v>-81902</v>
      </c>
      <c r="BH214" s="208">
        <v>0</v>
      </c>
      <c r="BI214" s="208">
        <v>-117003</v>
      </c>
      <c r="BJ214" s="208">
        <v>-0.10000000000582077</v>
      </c>
      <c r="BK214" s="208">
        <v>-61426</v>
      </c>
      <c r="BL214" s="208">
        <v>-143326</v>
      </c>
      <c r="BM214" s="208">
        <v>0</v>
      </c>
      <c r="BN214" s="208">
        <v>-204752.1</v>
      </c>
      <c r="BO214" s="208">
        <v>0</v>
      </c>
      <c r="BP214" s="208">
        <v>-1473673</v>
      </c>
      <c r="BQ214" s="208">
        <v>-3438571</v>
      </c>
      <c r="BR214" s="208">
        <v>0</v>
      </c>
      <c r="BS214" s="208">
        <v>-4912244</v>
      </c>
      <c r="BT214" s="208">
        <v>0</v>
      </c>
      <c r="BU214" s="208">
        <v>-967174</v>
      </c>
      <c r="BV214" s="208">
        <v>-2256740</v>
      </c>
      <c r="BW214" s="208">
        <v>0</v>
      </c>
      <c r="BX214" s="208">
        <v>-3223914</v>
      </c>
      <c r="BY214" s="208">
        <v>0</v>
      </c>
      <c r="BZ214" s="208">
        <v>-506499</v>
      </c>
      <c r="CA214" s="208">
        <v>-1181831</v>
      </c>
      <c r="CB214" s="208">
        <v>0</v>
      </c>
      <c r="CC214" s="208">
        <v>-1688330</v>
      </c>
      <c r="CD214" s="208">
        <v>0</v>
      </c>
      <c r="CE214" s="208">
        <v>210101</v>
      </c>
      <c r="CF214" s="208">
        <v>490235</v>
      </c>
      <c r="CG214" s="208">
        <v>0</v>
      </c>
      <c r="CH214" s="208">
        <v>700336</v>
      </c>
      <c r="CI214" s="208">
        <v>-1</v>
      </c>
      <c r="CJ214" s="208">
        <v>473924</v>
      </c>
      <c r="CK214" s="208">
        <v>1105822</v>
      </c>
      <c r="CL214" s="208">
        <v>0</v>
      </c>
      <c r="CM214" s="208">
        <v>1579745</v>
      </c>
      <c r="CN214" s="208">
        <v>0</v>
      </c>
      <c r="CO214" s="208">
        <v>490266</v>
      </c>
      <c r="CP214" s="208">
        <v>1143955</v>
      </c>
      <c r="CQ214" s="208">
        <v>0</v>
      </c>
      <c r="CR214" s="208">
        <v>1634221</v>
      </c>
      <c r="CS214" s="208">
        <v>1</v>
      </c>
      <c r="CT214" s="208">
        <v>-417371</v>
      </c>
      <c r="CU214" s="208">
        <v>-973865</v>
      </c>
      <c r="CV214" s="208">
        <v>0</v>
      </c>
      <c r="CW214" s="208">
        <v>-1391235</v>
      </c>
      <c r="CX214" s="208">
        <v>0</v>
      </c>
      <c r="CY214" s="208">
        <v>-716753</v>
      </c>
      <c r="CZ214" s="208">
        <v>-1672424</v>
      </c>
      <c r="DA214" s="208">
        <v>0</v>
      </c>
      <c r="DB214" s="208">
        <v>-2389177</v>
      </c>
      <c r="DC214" s="208">
        <v>0</v>
      </c>
      <c r="DD214" s="208">
        <v>-266807</v>
      </c>
      <c r="DE214" s="208">
        <v>-622550</v>
      </c>
      <c r="DF214" s="208">
        <v>0</v>
      </c>
      <c r="DG214" s="208">
        <v>-889357</v>
      </c>
      <c r="DH214" s="208">
        <v>0</v>
      </c>
      <c r="DI214" s="208">
        <v>-449946</v>
      </c>
      <c r="DJ214" s="208">
        <v>-1049874</v>
      </c>
      <c r="DK214" s="208">
        <v>0</v>
      </c>
      <c r="DL214" s="208">
        <v>-1499820</v>
      </c>
      <c r="DM214" s="208">
        <v>-2369844</v>
      </c>
      <c r="DN214" s="208">
        <v>-1895874</v>
      </c>
      <c r="DO214" s="208">
        <v>-473969</v>
      </c>
      <c r="DP214" s="208">
        <v>0</v>
      </c>
      <c r="DQ214" s="208">
        <v>-4739687</v>
      </c>
      <c r="DR214" s="208">
        <v>-1895323</v>
      </c>
      <c r="DS214" s="208">
        <v>-1516258</v>
      </c>
      <c r="DT214" s="208">
        <v>-379065</v>
      </c>
      <c r="DU214" s="208">
        <v>0</v>
      </c>
      <c r="DV214" s="208">
        <v>-3790646</v>
      </c>
      <c r="DW214" s="208">
        <v>-474521</v>
      </c>
      <c r="DX214" s="208">
        <v>-379616</v>
      </c>
      <c r="DY214" s="208">
        <v>-94904</v>
      </c>
      <c r="DZ214" s="208">
        <v>0</v>
      </c>
      <c r="EA214" s="208">
        <v>-949041</v>
      </c>
      <c r="EB214" s="208">
        <v>0</v>
      </c>
      <c r="EC214" s="208">
        <v>16442493</v>
      </c>
      <c r="ED214" s="208">
        <v>38365818</v>
      </c>
      <c r="EE214" s="208">
        <v>0</v>
      </c>
      <c r="EF214" s="208">
        <v>54808311</v>
      </c>
      <c r="EG214" s="208">
        <v>0</v>
      </c>
      <c r="EH214" s="208">
        <v>16708091</v>
      </c>
      <c r="EI214" s="208">
        <v>38985545</v>
      </c>
      <c r="EJ214" s="208">
        <v>0</v>
      </c>
      <c r="EK214" s="208">
        <v>55693636</v>
      </c>
      <c r="EL214" s="208">
        <v>0</v>
      </c>
      <c r="EM214" s="208">
        <v>265598</v>
      </c>
      <c r="EN214" s="208">
        <v>619727</v>
      </c>
      <c r="EO214" s="208">
        <v>0</v>
      </c>
      <c r="EP214" s="208">
        <v>885325</v>
      </c>
      <c r="EQ214" s="208">
        <v>-474521</v>
      </c>
      <c r="ER214" s="208">
        <v>-114018</v>
      </c>
      <c r="ES214" s="208">
        <v>524823</v>
      </c>
      <c r="ET214" s="208">
        <v>0</v>
      </c>
      <c r="EU214" s="208">
        <v>-63716</v>
      </c>
      <c r="EV214" s="666">
        <v>0</v>
      </c>
      <c r="EW214" s="666">
        <v>0.3</v>
      </c>
      <c r="EX214" s="666">
        <v>0.7</v>
      </c>
      <c r="EY214" s="666">
        <v>0</v>
      </c>
      <c r="EZ214" s="666">
        <v>1</v>
      </c>
      <c r="FA214" s="187" t="s">
        <v>1054</v>
      </c>
      <c r="FC214" s="187">
        <v>0</v>
      </c>
    </row>
    <row r="215" spans="1:159" s="187" customFormat="1" x14ac:dyDescent="0.2">
      <c r="B215" s="429" t="s">
        <v>507</v>
      </c>
      <c r="C215" s="429" t="s">
        <v>506</v>
      </c>
      <c r="D215" s="208">
        <v>7520507</v>
      </c>
      <c r="E215" s="208">
        <v>6016405</v>
      </c>
      <c r="F215" s="208">
        <v>1353691</v>
      </c>
      <c r="G215" s="208">
        <v>150410</v>
      </c>
      <c r="H215" s="208">
        <v>15041013</v>
      </c>
      <c r="I215" s="208">
        <v>0</v>
      </c>
      <c r="J215" s="208">
        <v>0</v>
      </c>
      <c r="K215" s="208">
        <v>7520507</v>
      </c>
      <c r="L215" s="208">
        <v>88160</v>
      </c>
      <c r="M215" s="208">
        <v>88160</v>
      </c>
      <c r="N215" s="208">
        <v>195380</v>
      </c>
      <c r="O215" s="208">
        <v>195380</v>
      </c>
      <c r="P215" s="208">
        <v>92478</v>
      </c>
      <c r="Q215" s="208">
        <v>0</v>
      </c>
      <c r="R215" s="208">
        <v>92478</v>
      </c>
      <c r="S215" s="208">
        <v>0</v>
      </c>
      <c r="T215" s="208">
        <v>0</v>
      </c>
      <c r="U215" s="208">
        <v>0</v>
      </c>
      <c r="V215" s="208">
        <v>0</v>
      </c>
      <c r="W215" s="208">
        <v>0</v>
      </c>
      <c r="X215" s="208">
        <v>0</v>
      </c>
      <c r="Y215" s="208">
        <v>0</v>
      </c>
      <c r="Z215" s="208">
        <v>0</v>
      </c>
      <c r="AA215" s="208">
        <v>0</v>
      </c>
      <c r="AB215" s="208">
        <v>0</v>
      </c>
      <c r="AC215" s="208">
        <v>0</v>
      </c>
      <c r="AD215" s="208">
        <v>0</v>
      </c>
      <c r="AE215" s="208">
        <v>0</v>
      </c>
      <c r="AF215" s="208">
        <v>0</v>
      </c>
      <c r="AG215" s="208">
        <v>1062741</v>
      </c>
      <c r="AH215" s="208">
        <v>237634</v>
      </c>
      <c r="AI215" s="208">
        <v>26405</v>
      </c>
      <c r="AJ215" s="208">
        <v>1326780</v>
      </c>
      <c r="AK215" s="208">
        <v>314121</v>
      </c>
      <c r="AL215" s="208">
        <v>251296</v>
      </c>
      <c r="AM215" s="208">
        <v>56542</v>
      </c>
      <c r="AN215" s="208">
        <v>6282</v>
      </c>
      <c r="AO215" s="208">
        <v>628241</v>
      </c>
      <c r="AP215" s="208">
        <v>-101478</v>
      </c>
      <c r="AQ215" s="208">
        <v>-81182</v>
      </c>
      <c r="AR215" s="208">
        <v>-18266</v>
      </c>
      <c r="AS215" s="208">
        <v>-2030</v>
      </c>
      <c r="AT215" s="208">
        <v>-202956</v>
      </c>
      <c r="AU215" s="208">
        <v>-170000</v>
      </c>
      <c r="AV215" s="208">
        <v>-136000</v>
      </c>
      <c r="AW215" s="208">
        <v>-30600</v>
      </c>
      <c r="AX215" s="208">
        <v>-3400</v>
      </c>
      <c r="AY215" s="208">
        <v>-340000</v>
      </c>
      <c r="AZ215" s="208">
        <v>21103</v>
      </c>
      <c r="BA215" s="208">
        <v>16883</v>
      </c>
      <c r="BB215" s="208">
        <v>3799</v>
      </c>
      <c r="BC215" s="208">
        <v>422</v>
      </c>
      <c r="BD215" s="208">
        <v>42207</v>
      </c>
      <c r="BE215" s="208">
        <v>-46103</v>
      </c>
      <c r="BF215" s="208">
        <v>-36883</v>
      </c>
      <c r="BG215" s="208">
        <v>-8299</v>
      </c>
      <c r="BH215" s="208">
        <v>-922</v>
      </c>
      <c r="BI215" s="208">
        <v>-92207</v>
      </c>
      <c r="BJ215" s="208">
        <v>-195000</v>
      </c>
      <c r="BK215" s="208">
        <v>-156000</v>
      </c>
      <c r="BL215" s="208">
        <v>-35100</v>
      </c>
      <c r="BM215" s="208">
        <v>-3900</v>
      </c>
      <c r="BN215" s="208">
        <v>-390000</v>
      </c>
      <c r="BO215" s="208">
        <v>-485700</v>
      </c>
      <c r="BP215" s="208">
        <v>-388560</v>
      </c>
      <c r="BQ215" s="208">
        <v>-87426</v>
      </c>
      <c r="BR215" s="208">
        <v>-9714</v>
      </c>
      <c r="BS215" s="208">
        <v>-971400</v>
      </c>
      <c r="BT215" s="208">
        <v>-285700</v>
      </c>
      <c r="BU215" s="208">
        <v>-228560</v>
      </c>
      <c r="BV215" s="208">
        <v>-51426</v>
      </c>
      <c r="BW215" s="208">
        <v>-5714</v>
      </c>
      <c r="BX215" s="208">
        <v>-571400</v>
      </c>
      <c r="BY215" s="208">
        <v>-200000</v>
      </c>
      <c r="BZ215" s="208">
        <v>-160000</v>
      </c>
      <c r="CA215" s="208">
        <v>-36000</v>
      </c>
      <c r="CB215" s="208">
        <v>-4000</v>
      </c>
      <c r="CC215" s="208">
        <v>-400000</v>
      </c>
      <c r="CD215" s="208">
        <v>120801</v>
      </c>
      <c r="CE215" s="208">
        <v>96641</v>
      </c>
      <c r="CF215" s="208">
        <v>21744</v>
      </c>
      <c r="CG215" s="208">
        <v>2416</v>
      </c>
      <c r="CH215" s="208">
        <v>241602</v>
      </c>
      <c r="CI215" s="208">
        <v>3004</v>
      </c>
      <c r="CJ215" s="208">
        <v>2403</v>
      </c>
      <c r="CK215" s="208">
        <v>541</v>
      </c>
      <c r="CL215" s="208">
        <v>60</v>
      </c>
      <c r="CM215" s="208">
        <v>6008</v>
      </c>
      <c r="CN215" s="208">
        <v>49429</v>
      </c>
      <c r="CO215" s="208">
        <v>39543</v>
      </c>
      <c r="CP215" s="208">
        <v>8897</v>
      </c>
      <c r="CQ215" s="208">
        <v>989</v>
      </c>
      <c r="CR215" s="208">
        <v>98858</v>
      </c>
      <c r="CS215" s="208">
        <v>-200000</v>
      </c>
      <c r="CT215" s="208">
        <v>-160000</v>
      </c>
      <c r="CU215" s="208">
        <v>-36000</v>
      </c>
      <c r="CV215" s="208">
        <v>-4000</v>
      </c>
      <c r="CW215" s="208">
        <v>-400000</v>
      </c>
      <c r="CX215" s="208">
        <v>-512466</v>
      </c>
      <c r="CY215" s="208">
        <v>-409973</v>
      </c>
      <c r="CZ215" s="208">
        <v>-92244</v>
      </c>
      <c r="DA215" s="208">
        <v>-10249</v>
      </c>
      <c r="DB215" s="208">
        <v>-1024932</v>
      </c>
      <c r="DC215" s="208">
        <v>-115470</v>
      </c>
      <c r="DD215" s="208">
        <v>-92376</v>
      </c>
      <c r="DE215" s="208">
        <v>-20785</v>
      </c>
      <c r="DF215" s="208">
        <v>-2309</v>
      </c>
      <c r="DG215" s="208">
        <v>-230940</v>
      </c>
      <c r="DH215" s="208">
        <v>-396996</v>
      </c>
      <c r="DI215" s="208">
        <v>-317597</v>
      </c>
      <c r="DJ215" s="208">
        <v>-71459</v>
      </c>
      <c r="DK215" s="208">
        <v>-7940</v>
      </c>
      <c r="DL215" s="208">
        <v>-793992</v>
      </c>
      <c r="DM215" s="208">
        <v>47163</v>
      </c>
      <c r="DN215" s="208">
        <v>37729</v>
      </c>
      <c r="DO215" s="208">
        <v>8489</v>
      </c>
      <c r="DP215" s="208">
        <v>943</v>
      </c>
      <c r="DQ215" s="208">
        <v>94324</v>
      </c>
      <c r="DR215" s="208">
        <v>-31456</v>
      </c>
      <c r="DS215" s="208">
        <v>-25165</v>
      </c>
      <c r="DT215" s="208">
        <v>-5662</v>
      </c>
      <c r="DU215" s="208">
        <v>-629</v>
      </c>
      <c r="DV215" s="208">
        <v>-62912</v>
      </c>
      <c r="DW215" s="208">
        <v>78619</v>
      </c>
      <c r="DX215" s="208">
        <v>62894</v>
      </c>
      <c r="DY215" s="208">
        <v>14151</v>
      </c>
      <c r="DZ215" s="208">
        <v>1572</v>
      </c>
      <c r="EA215" s="208">
        <v>157236</v>
      </c>
      <c r="EB215" s="208">
        <v>7311176</v>
      </c>
      <c r="EC215" s="208">
        <v>5848942</v>
      </c>
      <c r="ED215" s="208">
        <v>1316012</v>
      </c>
      <c r="EE215" s="208">
        <v>146224</v>
      </c>
      <c r="EF215" s="208">
        <v>14622354</v>
      </c>
      <c r="EG215" s="208">
        <v>7520507</v>
      </c>
      <c r="EH215" s="208">
        <v>6016405</v>
      </c>
      <c r="EI215" s="208">
        <v>1353691</v>
      </c>
      <c r="EJ215" s="208">
        <v>150410</v>
      </c>
      <c r="EK215" s="208">
        <v>15041013</v>
      </c>
      <c r="EL215" s="208">
        <v>209331</v>
      </c>
      <c r="EM215" s="208">
        <v>167463</v>
      </c>
      <c r="EN215" s="208">
        <v>37679</v>
      </c>
      <c r="EO215" s="208">
        <v>4186</v>
      </c>
      <c r="EP215" s="208">
        <v>418659</v>
      </c>
      <c r="EQ215" s="208">
        <v>287950</v>
      </c>
      <c r="ER215" s="208">
        <v>230357</v>
      </c>
      <c r="ES215" s="208">
        <v>51830</v>
      </c>
      <c r="ET215" s="208">
        <v>5758</v>
      </c>
      <c r="EU215" s="208">
        <v>575895</v>
      </c>
      <c r="EV215" s="666">
        <v>0.5</v>
      </c>
      <c r="EW215" s="666">
        <v>0.4</v>
      </c>
      <c r="EX215" s="666">
        <v>0.09</v>
      </c>
      <c r="EY215" s="666">
        <v>0.01</v>
      </c>
      <c r="EZ215" s="666">
        <v>1</v>
      </c>
      <c r="FA215" s="187" t="s">
        <v>1054</v>
      </c>
      <c r="FC215" s="187">
        <v>0</v>
      </c>
    </row>
    <row r="216" spans="1:159" s="187" customFormat="1" x14ac:dyDescent="0.2">
      <c r="B216" s="429" t="s">
        <v>509</v>
      </c>
      <c r="C216" s="429" t="s">
        <v>508</v>
      </c>
      <c r="D216" s="208">
        <v>0</v>
      </c>
      <c r="E216" s="208">
        <v>58413207</v>
      </c>
      <c r="F216" s="208">
        <v>32857429</v>
      </c>
      <c r="G216" s="208">
        <v>0</v>
      </c>
      <c r="H216" s="208">
        <v>91270636</v>
      </c>
      <c r="I216" s="208">
        <v>0</v>
      </c>
      <c r="J216" s="208">
        <v>0</v>
      </c>
      <c r="K216" s="208">
        <v>0</v>
      </c>
      <c r="L216" s="208">
        <v>290125</v>
      </c>
      <c r="M216" s="208">
        <v>290125</v>
      </c>
      <c r="N216" s="208">
        <v>0</v>
      </c>
      <c r="O216" s="208">
        <v>0</v>
      </c>
      <c r="P216" s="208">
        <v>0</v>
      </c>
      <c r="Q216" s="208">
        <v>0</v>
      </c>
      <c r="R216" s="208">
        <v>0</v>
      </c>
      <c r="S216" s="208">
        <v>0</v>
      </c>
      <c r="T216" s="208">
        <v>0</v>
      </c>
      <c r="U216" s="208">
        <v>0</v>
      </c>
      <c r="V216" s="208">
        <v>0</v>
      </c>
      <c r="W216" s="208">
        <v>0</v>
      </c>
      <c r="X216" s="208">
        <v>0</v>
      </c>
      <c r="Y216" s="208">
        <v>0</v>
      </c>
      <c r="Z216" s="208">
        <v>0</v>
      </c>
      <c r="AA216" s="208">
        <v>0</v>
      </c>
      <c r="AB216" s="208">
        <v>0</v>
      </c>
      <c r="AC216" s="208">
        <v>0</v>
      </c>
      <c r="AD216" s="208">
        <v>0</v>
      </c>
      <c r="AE216" s="208">
        <v>0</v>
      </c>
      <c r="AF216" s="208">
        <v>0</v>
      </c>
      <c r="AG216" s="208">
        <v>4168665</v>
      </c>
      <c r="AH216" s="208">
        <v>2344874</v>
      </c>
      <c r="AI216" s="208">
        <v>0</v>
      </c>
      <c r="AJ216" s="208">
        <v>6513539</v>
      </c>
      <c r="AK216" s="208">
        <v>0</v>
      </c>
      <c r="AL216" s="208">
        <v>2987142</v>
      </c>
      <c r="AM216" s="208">
        <v>1680268</v>
      </c>
      <c r="AN216" s="208">
        <v>0</v>
      </c>
      <c r="AO216" s="208">
        <v>4667410</v>
      </c>
      <c r="AP216" s="208">
        <v>0</v>
      </c>
      <c r="AQ216" s="208">
        <v>-2040925</v>
      </c>
      <c r="AR216" s="208">
        <v>-1148021</v>
      </c>
      <c r="AS216" s="208">
        <v>0</v>
      </c>
      <c r="AT216" s="208">
        <v>-3188946</v>
      </c>
      <c r="AU216" s="208">
        <v>0</v>
      </c>
      <c r="AV216" s="208">
        <v>73704</v>
      </c>
      <c r="AW216" s="208">
        <v>41458</v>
      </c>
      <c r="AX216" s="208">
        <v>0</v>
      </c>
      <c r="AY216" s="208">
        <v>115162</v>
      </c>
      <c r="AZ216" s="208">
        <v>0</v>
      </c>
      <c r="BA216" s="208">
        <v>228997</v>
      </c>
      <c r="BB216" s="208">
        <v>128811</v>
      </c>
      <c r="BC216" s="208">
        <v>0</v>
      </c>
      <c r="BD216" s="208">
        <v>357808</v>
      </c>
      <c r="BE216" s="208">
        <v>0</v>
      </c>
      <c r="BF216" s="208">
        <v>-489736</v>
      </c>
      <c r="BG216" s="208">
        <v>-275477</v>
      </c>
      <c r="BH216" s="208">
        <v>0</v>
      </c>
      <c r="BI216" s="208">
        <v>-765213</v>
      </c>
      <c r="BJ216" s="208">
        <v>0</v>
      </c>
      <c r="BK216" s="208">
        <v>-187035</v>
      </c>
      <c r="BL216" s="208">
        <v>-105208</v>
      </c>
      <c r="BM216" s="208">
        <v>0</v>
      </c>
      <c r="BN216" s="208">
        <v>-292243</v>
      </c>
      <c r="BO216" s="208">
        <v>0</v>
      </c>
      <c r="BP216" s="208">
        <v>-3165445</v>
      </c>
      <c r="BQ216" s="208">
        <v>-1780563</v>
      </c>
      <c r="BR216" s="208">
        <v>0</v>
      </c>
      <c r="BS216" s="208">
        <v>-4946008</v>
      </c>
      <c r="BT216" s="208">
        <v>0</v>
      </c>
      <c r="BU216" s="208">
        <v>0</v>
      </c>
      <c r="BV216" s="208">
        <v>0</v>
      </c>
      <c r="BW216" s="208">
        <v>0</v>
      </c>
      <c r="BX216" s="208">
        <v>0</v>
      </c>
      <c r="BY216" s="208">
        <v>0</v>
      </c>
      <c r="BZ216" s="208">
        <v>-3165445</v>
      </c>
      <c r="CA216" s="208">
        <v>-1780563</v>
      </c>
      <c r="CB216" s="208">
        <v>0</v>
      </c>
      <c r="CC216" s="208">
        <v>-4946008</v>
      </c>
      <c r="CD216" s="208">
        <v>0</v>
      </c>
      <c r="CE216" s="208">
        <v>1312646</v>
      </c>
      <c r="CF216" s="208">
        <v>738364</v>
      </c>
      <c r="CG216" s="208">
        <v>0</v>
      </c>
      <c r="CH216" s="208">
        <v>2051010</v>
      </c>
      <c r="CI216" s="208">
        <v>0</v>
      </c>
      <c r="CJ216" s="208">
        <v>0</v>
      </c>
      <c r="CK216" s="208">
        <v>0</v>
      </c>
      <c r="CL216" s="208">
        <v>0</v>
      </c>
      <c r="CM216" s="208">
        <v>0</v>
      </c>
      <c r="CN216" s="208">
        <v>0</v>
      </c>
      <c r="CO216" s="208">
        <v>-81174</v>
      </c>
      <c r="CP216" s="208">
        <v>-45661</v>
      </c>
      <c r="CQ216" s="208">
        <v>0</v>
      </c>
      <c r="CR216" s="208">
        <v>-126835</v>
      </c>
      <c r="CS216" s="208">
        <v>0</v>
      </c>
      <c r="CT216" s="208">
        <v>0</v>
      </c>
      <c r="CU216" s="208">
        <v>0</v>
      </c>
      <c r="CV216" s="208">
        <v>0</v>
      </c>
      <c r="CW216" s="208">
        <v>0</v>
      </c>
      <c r="CX216" s="208">
        <v>0</v>
      </c>
      <c r="CY216" s="208">
        <v>-1933973</v>
      </c>
      <c r="CZ216" s="208">
        <v>-1087860</v>
      </c>
      <c r="DA216" s="208">
        <v>0</v>
      </c>
      <c r="DB216" s="208">
        <v>-3021833</v>
      </c>
      <c r="DC216" s="208">
        <v>0</v>
      </c>
      <c r="DD216" s="208">
        <v>1231472</v>
      </c>
      <c r="DE216" s="208">
        <v>692703</v>
      </c>
      <c r="DF216" s="208">
        <v>0</v>
      </c>
      <c r="DG216" s="208">
        <v>1924175</v>
      </c>
      <c r="DH216" s="208">
        <v>0</v>
      </c>
      <c r="DI216" s="208">
        <v>-3165445</v>
      </c>
      <c r="DJ216" s="208">
        <v>-1780563</v>
      </c>
      <c r="DK216" s="208">
        <v>0</v>
      </c>
      <c r="DL216" s="208">
        <v>-4946008</v>
      </c>
      <c r="DM216" s="208">
        <v>894863</v>
      </c>
      <c r="DN216" s="208">
        <v>1054936</v>
      </c>
      <c r="DO216" s="208">
        <v>1566655</v>
      </c>
      <c r="DP216" s="208">
        <v>0</v>
      </c>
      <c r="DQ216" s="208">
        <v>3516454</v>
      </c>
      <c r="DR216" s="208">
        <v>-1251460</v>
      </c>
      <c r="DS216" s="208">
        <v>-900000</v>
      </c>
      <c r="DT216" s="208">
        <v>-848540</v>
      </c>
      <c r="DU216" s="208">
        <v>0</v>
      </c>
      <c r="DV216" s="208">
        <v>-3000000</v>
      </c>
      <c r="DW216" s="208">
        <v>2146323</v>
      </c>
      <c r="DX216" s="208">
        <v>1954936</v>
      </c>
      <c r="DY216" s="208">
        <v>2415195</v>
      </c>
      <c r="DZ216" s="208">
        <v>0</v>
      </c>
      <c r="EA216" s="208">
        <v>6516454</v>
      </c>
      <c r="EB216" s="208">
        <v>0</v>
      </c>
      <c r="EC216" s="208">
        <v>57395732</v>
      </c>
      <c r="ED216" s="208">
        <v>32285100</v>
      </c>
      <c r="EE216" s="208">
        <v>0</v>
      </c>
      <c r="EF216" s="208">
        <v>89680832</v>
      </c>
      <c r="EG216" s="208">
        <v>0</v>
      </c>
      <c r="EH216" s="208">
        <v>58413207</v>
      </c>
      <c r="EI216" s="208">
        <v>32857429</v>
      </c>
      <c r="EJ216" s="208">
        <v>0</v>
      </c>
      <c r="EK216" s="208">
        <v>91270636</v>
      </c>
      <c r="EL216" s="208">
        <v>0</v>
      </c>
      <c r="EM216" s="208">
        <v>1017475</v>
      </c>
      <c r="EN216" s="208">
        <v>572329</v>
      </c>
      <c r="EO216" s="208">
        <v>0</v>
      </c>
      <c r="EP216" s="208">
        <v>1589804</v>
      </c>
      <c r="EQ216" s="208">
        <v>2146323</v>
      </c>
      <c r="ER216" s="208">
        <v>2972411</v>
      </c>
      <c r="ES216" s="208">
        <v>2987524</v>
      </c>
      <c r="ET216" s="208">
        <v>0</v>
      </c>
      <c r="EU216" s="208">
        <v>8106258</v>
      </c>
      <c r="EV216" s="666">
        <v>0</v>
      </c>
      <c r="EW216" s="666">
        <v>0.64</v>
      </c>
      <c r="EX216" s="666">
        <v>0.36</v>
      </c>
      <c r="EY216" s="666">
        <v>0</v>
      </c>
      <c r="EZ216" s="666">
        <v>1</v>
      </c>
      <c r="FA216" s="187" t="s">
        <v>1055</v>
      </c>
      <c r="FC216" s="187">
        <v>0</v>
      </c>
    </row>
    <row r="217" spans="1:159" s="187" customFormat="1" x14ac:dyDescent="0.2">
      <c r="B217" s="429" t="s">
        <v>511</v>
      </c>
      <c r="C217" s="429" t="s">
        <v>510</v>
      </c>
      <c r="D217" s="208">
        <v>5897197</v>
      </c>
      <c r="E217" s="208">
        <v>4717757</v>
      </c>
      <c r="F217" s="208">
        <v>1061495</v>
      </c>
      <c r="G217" s="208">
        <v>117944</v>
      </c>
      <c r="H217" s="208">
        <v>11794393</v>
      </c>
      <c r="I217" s="208">
        <v>0</v>
      </c>
      <c r="J217" s="208">
        <v>0</v>
      </c>
      <c r="K217" s="208">
        <v>5897197</v>
      </c>
      <c r="L217" s="208">
        <v>98083</v>
      </c>
      <c r="M217" s="208">
        <v>98083</v>
      </c>
      <c r="N217" s="208">
        <v>0</v>
      </c>
      <c r="O217" s="208">
        <v>0</v>
      </c>
      <c r="P217" s="208">
        <v>0</v>
      </c>
      <c r="Q217" s="208">
        <v>0</v>
      </c>
      <c r="R217" s="208">
        <v>0</v>
      </c>
      <c r="S217" s="208">
        <v>0</v>
      </c>
      <c r="T217" s="208">
        <v>0</v>
      </c>
      <c r="U217" s="208">
        <v>0</v>
      </c>
      <c r="V217" s="208">
        <v>0</v>
      </c>
      <c r="W217" s="208">
        <v>0</v>
      </c>
      <c r="X217" s="208">
        <v>0</v>
      </c>
      <c r="Y217" s="208">
        <v>0</v>
      </c>
      <c r="Z217" s="208">
        <v>0</v>
      </c>
      <c r="AA217" s="208">
        <v>0</v>
      </c>
      <c r="AB217" s="208">
        <v>0</v>
      </c>
      <c r="AC217" s="208">
        <v>0</v>
      </c>
      <c r="AD217" s="208">
        <v>0</v>
      </c>
      <c r="AE217" s="208">
        <v>0</v>
      </c>
      <c r="AF217" s="208">
        <v>0</v>
      </c>
      <c r="AG217" s="208">
        <v>1038159</v>
      </c>
      <c r="AH217" s="208">
        <v>233586</v>
      </c>
      <c r="AI217" s="208">
        <v>25955</v>
      </c>
      <c r="AJ217" s="208">
        <v>1297700</v>
      </c>
      <c r="AK217" s="208">
        <v>161132</v>
      </c>
      <c r="AL217" s="208">
        <v>128906</v>
      </c>
      <c r="AM217" s="208">
        <v>29004</v>
      </c>
      <c r="AN217" s="208">
        <v>3223</v>
      </c>
      <c r="AO217" s="208">
        <v>322265</v>
      </c>
      <c r="AP217" s="208">
        <v>-96459</v>
      </c>
      <c r="AQ217" s="208">
        <v>-77166</v>
      </c>
      <c r="AR217" s="208">
        <v>-17362</v>
      </c>
      <c r="AS217" s="208">
        <v>-1929</v>
      </c>
      <c r="AT217" s="208">
        <v>-192916</v>
      </c>
      <c r="AU217" s="208">
        <v>-108775</v>
      </c>
      <c r="AV217" s="208">
        <v>-87020</v>
      </c>
      <c r="AW217" s="208">
        <v>-19580</v>
      </c>
      <c r="AX217" s="208">
        <v>-2176</v>
      </c>
      <c r="AY217" s="208">
        <v>-217551</v>
      </c>
      <c r="AZ217" s="208">
        <v>63213</v>
      </c>
      <c r="BA217" s="208">
        <v>50570</v>
      </c>
      <c r="BB217" s="208">
        <v>11378</v>
      </c>
      <c r="BC217" s="208">
        <v>1264</v>
      </c>
      <c r="BD217" s="208">
        <v>126425</v>
      </c>
      <c r="BE217" s="208">
        <v>-42471</v>
      </c>
      <c r="BF217" s="208">
        <v>-33977</v>
      </c>
      <c r="BG217" s="208">
        <v>-7645</v>
      </c>
      <c r="BH217" s="208">
        <v>-849</v>
      </c>
      <c r="BI217" s="208">
        <v>-84942</v>
      </c>
      <c r="BJ217" s="208">
        <v>-88033</v>
      </c>
      <c r="BK217" s="208">
        <v>-70427</v>
      </c>
      <c r="BL217" s="208">
        <v>-15847</v>
      </c>
      <c r="BM217" s="208">
        <v>-1761</v>
      </c>
      <c r="BN217" s="208">
        <v>-176068</v>
      </c>
      <c r="BO217" s="208">
        <v>-901692</v>
      </c>
      <c r="BP217" s="208">
        <v>-721353</v>
      </c>
      <c r="BQ217" s="208">
        <v>-162304</v>
      </c>
      <c r="BR217" s="208">
        <v>-18034</v>
      </c>
      <c r="BS217" s="208">
        <v>-1803383</v>
      </c>
      <c r="BT217" s="208">
        <v>-651692</v>
      </c>
      <c r="BU217" s="208">
        <v>-521353</v>
      </c>
      <c r="BV217" s="208">
        <v>-117304</v>
      </c>
      <c r="BW217" s="208">
        <v>-13034</v>
      </c>
      <c r="BX217" s="208">
        <v>-1303383</v>
      </c>
      <c r="BY217" s="208">
        <v>-250000</v>
      </c>
      <c r="BZ217" s="208">
        <v>-200000</v>
      </c>
      <c r="CA217" s="208">
        <v>-45000</v>
      </c>
      <c r="CB217" s="208">
        <v>-5000</v>
      </c>
      <c r="CC217" s="208">
        <v>-500000</v>
      </c>
      <c r="CD217" s="208">
        <v>16397</v>
      </c>
      <c r="CE217" s="208">
        <v>13117</v>
      </c>
      <c r="CF217" s="208">
        <v>2951</v>
      </c>
      <c r="CG217" s="208">
        <v>328</v>
      </c>
      <c r="CH217" s="208">
        <v>32793</v>
      </c>
      <c r="CI217" s="208">
        <v>75014</v>
      </c>
      <c r="CJ217" s="208">
        <v>60011</v>
      </c>
      <c r="CK217" s="208">
        <v>13503</v>
      </c>
      <c r="CL217" s="208">
        <v>1500</v>
      </c>
      <c r="CM217" s="208">
        <v>150028</v>
      </c>
      <c r="CN217" s="208">
        <v>-679594</v>
      </c>
      <c r="CO217" s="208">
        <v>-543676</v>
      </c>
      <c r="CP217" s="208">
        <v>-122327</v>
      </c>
      <c r="CQ217" s="208">
        <v>-13592</v>
      </c>
      <c r="CR217" s="208">
        <v>-1359189</v>
      </c>
      <c r="CS217" s="208">
        <v>-252442</v>
      </c>
      <c r="CT217" s="208">
        <v>-201954</v>
      </c>
      <c r="CU217" s="208">
        <v>-45440</v>
      </c>
      <c r="CV217" s="208">
        <v>-5049</v>
      </c>
      <c r="CW217" s="208">
        <v>-504885</v>
      </c>
      <c r="CX217" s="208">
        <v>-1742317</v>
      </c>
      <c r="CY217" s="208">
        <v>-1393855</v>
      </c>
      <c r="CZ217" s="208">
        <v>-313617</v>
      </c>
      <c r="DA217" s="208">
        <v>-34847</v>
      </c>
      <c r="DB217" s="208">
        <v>-3484636</v>
      </c>
      <c r="DC217" s="208">
        <v>-1314889</v>
      </c>
      <c r="DD217" s="208">
        <v>-1051912</v>
      </c>
      <c r="DE217" s="208">
        <v>-236680</v>
      </c>
      <c r="DF217" s="208">
        <v>-26298</v>
      </c>
      <c r="DG217" s="208">
        <v>-2629779</v>
      </c>
      <c r="DH217" s="208">
        <v>-427428</v>
      </c>
      <c r="DI217" s="208">
        <v>-341943</v>
      </c>
      <c r="DJ217" s="208">
        <v>-76937</v>
      </c>
      <c r="DK217" s="208">
        <v>-8549</v>
      </c>
      <c r="DL217" s="208">
        <v>-854857</v>
      </c>
      <c r="DM217" s="208">
        <v>60815</v>
      </c>
      <c r="DN217" s="208">
        <v>48651</v>
      </c>
      <c r="DO217" s="208">
        <v>10947</v>
      </c>
      <c r="DP217" s="208">
        <v>1216</v>
      </c>
      <c r="DQ217" s="208">
        <v>121629</v>
      </c>
      <c r="DR217" s="208">
        <v>-587014</v>
      </c>
      <c r="DS217" s="208">
        <v>-469610</v>
      </c>
      <c r="DT217" s="208">
        <v>-105662</v>
      </c>
      <c r="DU217" s="208">
        <v>-11740</v>
      </c>
      <c r="DV217" s="208">
        <v>-1174026</v>
      </c>
      <c r="DW217" s="208">
        <v>647829</v>
      </c>
      <c r="DX217" s="208">
        <v>518261</v>
      </c>
      <c r="DY217" s="208">
        <v>116609</v>
      </c>
      <c r="DZ217" s="208">
        <v>12956</v>
      </c>
      <c r="EA217" s="208">
        <v>1295655</v>
      </c>
      <c r="EB217" s="208">
        <v>6843558</v>
      </c>
      <c r="EC217" s="208">
        <v>5474847</v>
      </c>
      <c r="ED217" s="208">
        <v>1231841</v>
      </c>
      <c r="EE217" s="208">
        <v>136871</v>
      </c>
      <c r="EF217" s="208">
        <v>13687117</v>
      </c>
      <c r="EG217" s="208">
        <v>5897197</v>
      </c>
      <c r="EH217" s="208">
        <v>4717757</v>
      </c>
      <c r="EI217" s="208">
        <v>1061495</v>
      </c>
      <c r="EJ217" s="208">
        <v>117944</v>
      </c>
      <c r="EK217" s="208">
        <v>11794393</v>
      </c>
      <c r="EL217" s="208">
        <v>-946361</v>
      </c>
      <c r="EM217" s="208">
        <v>-757090</v>
      </c>
      <c r="EN217" s="208">
        <v>-170346</v>
      </c>
      <c r="EO217" s="208">
        <v>-18927</v>
      </c>
      <c r="EP217" s="208">
        <v>-1892724</v>
      </c>
      <c r="EQ217" s="208">
        <v>-298532</v>
      </c>
      <c r="ER217" s="208">
        <v>-238829</v>
      </c>
      <c r="ES217" s="208">
        <v>-53737</v>
      </c>
      <c r="ET217" s="208">
        <v>-5971</v>
      </c>
      <c r="EU217" s="208">
        <v>-597069</v>
      </c>
      <c r="EV217" s="666">
        <v>0.5</v>
      </c>
      <c r="EW217" s="666">
        <v>0.4</v>
      </c>
      <c r="EX217" s="666">
        <v>0.09</v>
      </c>
      <c r="EY217" s="666">
        <v>0.01</v>
      </c>
      <c r="EZ217" s="666">
        <v>1</v>
      </c>
      <c r="FA217" s="187" t="s">
        <v>1054</v>
      </c>
      <c r="FC217" s="187">
        <v>0</v>
      </c>
    </row>
    <row r="218" spans="1:159" s="187" customFormat="1" x14ac:dyDescent="0.2">
      <c r="B218" s="429" t="s">
        <v>513</v>
      </c>
      <c r="C218" s="429" t="s">
        <v>512</v>
      </c>
      <c r="D218" s="208">
        <v>0</v>
      </c>
      <c r="E218" s="208">
        <v>59953738</v>
      </c>
      <c r="F218" s="208">
        <v>0</v>
      </c>
      <c r="G218" s="208">
        <v>605593</v>
      </c>
      <c r="H218" s="208">
        <v>60559331</v>
      </c>
      <c r="I218" s="208">
        <v>0</v>
      </c>
      <c r="J218" s="208">
        <v>0</v>
      </c>
      <c r="K218" s="208">
        <v>0</v>
      </c>
      <c r="L218" s="208">
        <v>278094</v>
      </c>
      <c r="M218" s="208">
        <v>278094</v>
      </c>
      <c r="N218" s="208">
        <v>0</v>
      </c>
      <c r="O218" s="208">
        <v>0</v>
      </c>
      <c r="P218" s="208">
        <v>532579</v>
      </c>
      <c r="Q218" s="208">
        <v>0</v>
      </c>
      <c r="R218" s="208">
        <v>532579</v>
      </c>
      <c r="S218" s="208">
        <v>0</v>
      </c>
      <c r="T218" s="208">
        <v>0</v>
      </c>
      <c r="U218" s="208">
        <v>0</v>
      </c>
      <c r="V218" s="208">
        <v>0</v>
      </c>
      <c r="W218" s="208">
        <v>0</v>
      </c>
      <c r="X218" s="208">
        <v>0</v>
      </c>
      <c r="Y218" s="208">
        <v>0</v>
      </c>
      <c r="Z218" s="208">
        <v>0</v>
      </c>
      <c r="AA218" s="208">
        <v>0</v>
      </c>
      <c r="AB218" s="208">
        <v>0</v>
      </c>
      <c r="AC218" s="208">
        <v>0</v>
      </c>
      <c r="AD218" s="208">
        <v>0</v>
      </c>
      <c r="AE218" s="208">
        <v>0</v>
      </c>
      <c r="AF218" s="208">
        <v>0</v>
      </c>
      <c r="AG218" s="208">
        <v>7565503</v>
      </c>
      <c r="AH218" s="208">
        <v>0</v>
      </c>
      <c r="AI218" s="208">
        <v>76296</v>
      </c>
      <c r="AJ218" s="208">
        <v>7641799</v>
      </c>
      <c r="AK218" s="208">
        <v>0</v>
      </c>
      <c r="AL218" s="208">
        <v>1183909</v>
      </c>
      <c r="AM218" s="208">
        <v>0</v>
      </c>
      <c r="AN218" s="208">
        <v>11959</v>
      </c>
      <c r="AO218" s="208">
        <v>1195868</v>
      </c>
      <c r="AP218" s="208">
        <v>0</v>
      </c>
      <c r="AQ218" s="208">
        <v>-1042689</v>
      </c>
      <c r="AR218" s="208">
        <v>0</v>
      </c>
      <c r="AS218" s="208">
        <v>-10532</v>
      </c>
      <c r="AT218" s="208">
        <v>-1053221</v>
      </c>
      <c r="AU218" s="208">
        <v>0</v>
      </c>
      <c r="AV218" s="208">
        <v>-566060</v>
      </c>
      <c r="AW218" s="208">
        <v>0</v>
      </c>
      <c r="AX218" s="208">
        <v>-5718</v>
      </c>
      <c r="AY218" s="208">
        <v>-571778</v>
      </c>
      <c r="AZ218" s="208">
        <v>0</v>
      </c>
      <c r="BA218" s="208">
        <v>566060</v>
      </c>
      <c r="BB218" s="208">
        <v>0</v>
      </c>
      <c r="BC218" s="208">
        <v>5718</v>
      </c>
      <c r="BD218" s="208">
        <v>571778</v>
      </c>
      <c r="BE218" s="208">
        <v>0</v>
      </c>
      <c r="BF218" s="208">
        <v>-486328</v>
      </c>
      <c r="BG218" s="208">
        <v>0</v>
      </c>
      <c r="BH218" s="208">
        <v>-4912</v>
      </c>
      <c r="BI218" s="208">
        <v>-491240</v>
      </c>
      <c r="BJ218" s="208">
        <v>0</v>
      </c>
      <c r="BK218" s="208">
        <v>-486328</v>
      </c>
      <c r="BL218" s="208">
        <v>0</v>
      </c>
      <c r="BM218" s="208">
        <v>-4912</v>
      </c>
      <c r="BN218" s="208">
        <v>-491240</v>
      </c>
      <c r="BO218" s="208">
        <v>0</v>
      </c>
      <c r="BP218" s="208">
        <v>-9349042</v>
      </c>
      <c r="BQ218" s="208">
        <v>0</v>
      </c>
      <c r="BR218" s="208">
        <v>-94435</v>
      </c>
      <c r="BS218" s="208">
        <v>-9443477</v>
      </c>
      <c r="BT218" s="208">
        <v>0</v>
      </c>
      <c r="BU218" s="208">
        <v>-5793558</v>
      </c>
      <c r="BV218" s="208">
        <v>0</v>
      </c>
      <c r="BW218" s="208">
        <v>-58521</v>
      </c>
      <c r="BX218" s="208">
        <v>-5852079</v>
      </c>
      <c r="BY218" s="208">
        <v>0</v>
      </c>
      <c r="BZ218" s="208">
        <v>-3555484</v>
      </c>
      <c r="CA218" s="208">
        <v>0</v>
      </c>
      <c r="CB218" s="208">
        <v>-35914</v>
      </c>
      <c r="CC218" s="208">
        <v>-3591398</v>
      </c>
      <c r="CD218" s="208">
        <v>0</v>
      </c>
      <c r="CE218" s="208">
        <v>1592735</v>
      </c>
      <c r="CF218" s="208">
        <v>0</v>
      </c>
      <c r="CG218" s="208">
        <v>16088</v>
      </c>
      <c r="CH218" s="208">
        <v>1608823</v>
      </c>
      <c r="CI218" s="208">
        <v>0</v>
      </c>
      <c r="CJ218" s="208">
        <v>541906</v>
      </c>
      <c r="CK218" s="208">
        <v>0</v>
      </c>
      <c r="CL218" s="208">
        <v>5474</v>
      </c>
      <c r="CM218" s="208">
        <v>547380</v>
      </c>
      <c r="CN218" s="208">
        <v>0</v>
      </c>
      <c r="CO218" s="208">
        <v>0</v>
      </c>
      <c r="CP218" s="208">
        <v>0</v>
      </c>
      <c r="CQ218" s="208">
        <v>0</v>
      </c>
      <c r="CR218" s="208">
        <v>0</v>
      </c>
      <c r="CS218" s="208">
        <v>0</v>
      </c>
      <c r="CT218" s="208">
        <v>-3604672</v>
      </c>
      <c r="CU218" s="208">
        <v>0</v>
      </c>
      <c r="CV218" s="208">
        <v>-36411</v>
      </c>
      <c r="CW218" s="208">
        <v>-3641083</v>
      </c>
      <c r="CX218" s="208">
        <v>0</v>
      </c>
      <c r="CY218" s="208">
        <v>-10819073</v>
      </c>
      <c r="CZ218" s="208">
        <v>0</v>
      </c>
      <c r="DA218" s="208">
        <v>-109284</v>
      </c>
      <c r="DB218" s="208">
        <v>-10928357</v>
      </c>
      <c r="DC218" s="208">
        <v>0</v>
      </c>
      <c r="DD218" s="208">
        <v>-4200823</v>
      </c>
      <c r="DE218" s="208">
        <v>0</v>
      </c>
      <c r="DF218" s="208">
        <v>-42433</v>
      </c>
      <c r="DG218" s="208">
        <v>-4243256</v>
      </c>
      <c r="DH218" s="208">
        <v>0</v>
      </c>
      <c r="DI218" s="208">
        <v>-6618250</v>
      </c>
      <c r="DJ218" s="208">
        <v>0</v>
      </c>
      <c r="DK218" s="208">
        <v>-66851</v>
      </c>
      <c r="DL218" s="208">
        <v>-6685101</v>
      </c>
      <c r="DM218" s="208">
        <v>-21908</v>
      </c>
      <c r="DN218" s="208">
        <v>2027803</v>
      </c>
      <c r="DO218" s="208">
        <v>0</v>
      </c>
      <c r="DP218" s="208">
        <v>20260</v>
      </c>
      <c r="DQ218" s="208">
        <v>2026155</v>
      </c>
      <c r="DR218" s="208">
        <v>-21909</v>
      </c>
      <c r="DS218" s="208">
        <v>473349</v>
      </c>
      <c r="DT218" s="208">
        <v>0</v>
      </c>
      <c r="DU218" s="208">
        <v>4560</v>
      </c>
      <c r="DV218" s="208">
        <v>456000</v>
      </c>
      <c r="DW218" s="208">
        <v>1</v>
      </c>
      <c r="DX218" s="208">
        <v>1554454</v>
      </c>
      <c r="DY218" s="208">
        <v>0</v>
      </c>
      <c r="DZ218" s="208">
        <v>15700</v>
      </c>
      <c r="EA218" s="208">
        <v>1570155</v>
      </c>
      <c r="EB218" s="208">
        <v>0</v>
      </c>
      <c r="EC218" s="208">
        <v>57504092</v>
      </c>
      <c r="ED218" s="208">
        <v>0</v>
      </c>
      <c r="EE218" s="208">
        <v>580849</v>
      </c>
      <c r="EF218" s="208">
        <v>58084941</v>
      </c>
      <c r="EG218" s="208">
        <v>0</v>
      </c>
      <c r="EH218" s="208">
        <v>59953738</v>
      </c>
      <c r="EI218" s="208">
        <v>0</v>
      </c>
      <c r="EJ218" s="208">
        <v>605593</v>
      </c>
      <c r="EK218" s="208">
        <v>60559331</v>
      </c>
      <c r="EL218" s="208">
        <v>0</v>
      </c>
      <c r="EM218" s="208">
        <v>2449646</v>
      </c>
      <c r="EN218" s="208">
        <v>0</v>
      </c>
      <c r="EO218" s="208">
        <v>24744</v>
      </c>
      <c r="EP218" s="208">
        <v>2474390</v>
      </c>
      <c r="EQ218" s="208">
        <v>1</v>
      </c>
      <c r="ER218" s="208">
        <v>4004100</v>
      </c>
      <c r="ES218" s="208">
        <v>0</v>
      </c>
      <c r="ET218" s="208">
        <v>40444</v>
      </c>
      <c r="EU218" s="208">
        <v>4044545</v>
      </c>
      <c r="EV218" s="666">
        <v>0</v>
      </c>
      <c r="EW218" s="666">
        <v>0.99</v>
      </c>
      <c r="EX218" s="666">
        <v>0</v>
      </c>
      <c r="EY218" s="666">
        <v>0.01</v>
      </c>
      <c r="EZ218" s="666">
        <v>1</v>
      </c>
      <c r="FA218" s="187" t="s">
        <v>1056</v>
      </c>
      <c r="FC218" s="187">
        <v>0</v>
      </c>
    </row>
    <row r="219" spans="1:159" s="187" customFormat="1" x14ac:dyDescent="0.2">
      <c r="B219" s="429" t="s">
        <v>515</v>
      </c>
      <c r="C219" s="429" t="s">
        <v>514</v>
      </c>
      <c r="D219" s="208">
        <v>7978336.1400000006</v>
      </c>
      <c r="E219" s="208">
        <v>6382669</v>
      </c>
      <c r="F219" s="208">
        <v>1436100</v>
      </c>
      <c r="G219" s="208">
        <v>159567</v>
      </c>
      <c r="H219" s="208">
        <v>15956672.140000001</v>
      </c>
      <c r="I219" s="208">
        <v>0</v>
      </c>
      <c r="J219" s="208">
        <v>0</v>
      </c>
      <c r="K219" s="208">
        <v>7978336.1400000006</v>
      </c>
      <c r="L219" s="208">
        <v>86347</v>
      </c>
      <c r="M219" s="208">
        <v>86347</v>
      </c>
      <c r="N219" s="208">
        <v>0</v>
      </c>
      <c r="O219" s="208">
        <v>0</v>
      </c>
      <c r="P219" s="208">
        <v>47421</v>
      </c>
      <c r="Q219" s="208">
        <v>0</v>
      </c>
      <c r="R219" s="208">
        <v>47421</v>
      </c>
      <c r="S219" s="208">
        <v>0</v>
      </c>
      <c r="T219" s="208">
        <v>0</v>
      </c>
      <c r="U219" s="208">
        <v>0</v>
      </c>
      <c r="V219" s="208">
        <v>0</v>
      </c>
      <c r="W219" s="208">
        <v>0</v>
      </c>
      <c r="X219" s="208">
        <v>0</v>
      </c>
      <c r="Y219" s="208">
        <v>0</v>
      </c>
      <c r="Z219" s="208">
        <v>0</v>
      </c>
      <c r="AA219" s="208">
        <v>0</v>
      </c>
      <c r="AB219" s="208">
        <v>0</v>
      </c>
      <c r="AC219" s="208">
        <v>0</v>
      </c>
      <c r="AD219" s="208">
        <v>0</v>
      </c>
      <c r="AE219" s="208">
        <v>0</v>
      </c>
      <c r="AF219" s="208">
        <v>0</v>
      </c>
      <c r="AG219" s="208">
        <v>1265553</v>
      </c>
      <c r="AH219" s="208">
        <v>284508</v>
      </c>
      <c r="AI219" s="208">
        <v>31614</v>
      </c>
      <c r="AJ219" s="208">
        <v>1581675</v>
      </c>
      <c r="AK219" s="208">
        <v>150276</v>
      </c>
      <c r="AL219" s="208">
        <v>120222</v>
      </c>
      <c r="AM219" s="208">
        <v>27050</v>
      </c>
      <c r="AN219" s="208">
        <v>3006</v>
      </c>
      <c r="AO219" s="208">
        <v>300554</v>
      </c>
      <c r="AP219" s="208">
        <v>-94106</v>
      </c>
      <c r="AQ219" s="208">
        <v>-75285</v>
      </c>
      <c r="AR219" s="208">
        <v>-16939</v>
      </c>
      <c r="AS219" s="208">
        <v>-1882</v>
      </c>
      <c r="AT219" s="208">
        <v>-188212</v>
      </c>
      <c r="AU219" s="208">
        <v>-176736</v>
      </c>
      <c r="AV219" s="208">
        <v>-141389</v>
      </c>
      <c r="AW219" s="208">
        <v>-31813</v>
      </c>
      <c r="AX219" s="208">
        <v>-3535</v>
      </c>
      <c r="AY219" s="208">
        <v>-353473</v>
      </c>
      <c r="AZ219" s="208">
        <v>4969</v>
      </c>
      <c r="BA219" s="208">
        <v>3975</v>
      </c>
      <c r="BB219" s="208">
        <v>894</v>
      </c>
      <c r="BC219" s="208">
        <v>99</v>
      </c>
      <c r="BD219" s="208">
        <v>9937</v>
      </c>
      <c r="BE219" s="208">
        <v>84769</v>
      </c>
      <c r="BF219" s="208">
        <v>67816</v>
      </c>
      <c r="BG219" s="208">
        <v>15259</v>
      </c>
      <c r="BH219" s="208">
        <v>1695</v>
      </c>
      <c r="BI219" s="208">
        <v>169539</v>
      </c>
      <c r="BJ219" s="208">
        <v>-86998</v>
      </c>
      <c r="BK219" s="208">
        <v>-69598</v>
      </c>
      <c r="BL219" s="208">
        <v>-15660</v>
      </c>
      <c r="BM219" s="208">
        <v>-1741</v>
      </c>
      <c r="BN219" s="208">
        <v>-173997</v>
      </c>
      <c r="BO219" s="208">
        <v>-333020</v>
      </c>
      <c r="BP219" s="208">
        <v>-266416</v>
      </c>
      <c r="BQ219" s="208">
        <v>-59944</v>
      </c>
      <c r="BR219" s="208">
        <v>-6660</v>
      </c>
      <c r="BS219" s="208">
        <v>-666040</v>
      </c>
      <c r="BT219" s="208">
        <v>-333020</v>
      </c>
      <c r="BU219" s="208">
        <v>-266416</v>
      </c>
      <c r="BV219" s="208">
        <v>-59944</v>
      </c>
      <c r="BW219" s="208">
        <v>-6660</v>
      </c>
      <c r="BX219" s="208">
        <v>-666040</v>
      </c>
      <c r="BY219" s="208">
        <v>0</v>
      </c>
      <c r="BZ219" s="208">
        <v>0</v>
      </c>
      <c r="CA219" s="208">
        <v>0</v>
      </c>
      <c r="CB219" s="208">
        <v>0</v>
      </c>
      <c r="CC219" s="208">
        <v>0</v>
      </c>
      <c r="CD219" s="208">
        <v>181689</v>
      </c>
      <c r="CE219" s="208">
        <v>145351</v>
      </c>
      <c r="CF219" s="208">
        <v>32704</v>
      </c>
      <c r="CG219" s="208">
        <v>3634</v>
      </c>
      <c r="CH219" s="208">
        <v>363378</v>
      </c>
      <c r="CI219" s="208">
        <v>0</v>
      </c>
      <c r="CJ219" s="208">
        <v>0</v>
      </c>
      <c r="CK219" s="208">
        <v>0</v>
      </c>
      <c r="CL219" s="208">
        <v>0</v>
      </c>
      <c r="CM219" s="208">
        <v>0</v>
      </c>
      <c r="CN219" s="208">
        <v>-32660.5</v>
      </c>
      <c r="CO219" s="208">
        <v>-26128</v>
      </c>
      <c r="CP219" s="208">
        <v>-5879</v>
      </c>
      <c r="CQ219" s="208">
        <v>-653</v>
      </c>
      <c r="CR219" s="208">
        <v>-65320.5</v>
      </c>
      <c r="CS219" s="208">
        <v>-127125.35999999999</v>
      </c>
      <c r="CT219" s="208">
        <v>-101700</v>
      </c>
      <c r="CU219" s="208">
        <v>-22882</v>
      </c>
      <c r="CV219" s="208">
        <v>-2542</v>
      </c>
      <c r="CW219" s="208">
        <v>-254249.36</v>
      </c>
      <c r="CX219" s="208">
        <v>-311116.86</v>
      </c>
      <c r="CY219" s="208">
        <v>-248893</v>
      </c>
      <c r="CZ219" s="208">
        <v>-56001</v>
      </c>
      <c r="DA219" s="208">
        <v>-6221</v>
      </c>
      <c r="DB219" s="208">
        <v>-622231.86</v>
      </c>
      <c r="DC219" s="208">
        <v>-183991.5</v>
      </c>
      <c r="DD219" s="208">
        <v>-147193</v>
      </c>
      <c r="DE219" s="208">
        <v>-33119</v>
      </c>
      <c r="DF219" s="208">
        <v>-3679</v>
      </c>
      <c r="DG219" s="208">
        <v>-367982.5</v>
      </c>
      <c r="DH219" s="208">
        <v>-127125.35999999999</v>
      </c>
      <c r="DI219" s="208">
        <v>-101700</v>
      </c>
      <c r="DJ219" s="208">
        <v>-22882</v>
      </c>
      <c r="DK219" s="208">
        <v>-2542</v>
      </c>
      <c r="DL219" s="208">
        <v>-254249.36</v>
      </c>
      <c r="DM219" s="208">
        <v>-1489524</v>
      </c>
      <c r="DN219" s="208">
        <v>-1191622</v>
      </c>
      <c r="DO219" s="208">
        <v>-268115</v>
      </c>
      <c r="DP219" s="208">
        <v>-29791</v>
      </c>
      <c r="DQ219" s="208">
        <v>-2979052</v>
      </c>
      <c r="DR219" s="208">
        <v>-1387308</v>
      </c>
      <c r="DS219" s="208">
        <v>-1109846</v>
      </c>
      <c r="DT219" s="208">
        <v>-249715</v>
      </c>
      <c r="DU219" s="208">
        <v>-27746</v>
      </c>
      <c r="DV219" s="208">
        <v>-2774615</v>
      </c>
      <c r="DW219" s="208">
        <v>-102216</v>
      </c>
      <c r="DX219" s="208">
        <v>-81776</v>
      </c>
      <c r="DY219" s="208">
        <v>-18400</v>
      </c>
      <c r="DZ219" s="208">
        <v>-2045</v>
      </c>
      <c r="EA219" s="208">
        <v>-204437</v>
      </c>
      <c r="EB219" s="208">
        <v>8473693</v>
      </c>
      <c r="EC219" s="208">
        <v>6778954</v>
      </c>
      <c r="ED219" s="208">
        <v>1525265</v>
      </c>
      <c r="EE219" s="208">
        <v>169474</v>
      </c>
      <c r="EF219" s="208">
        <v>16947386</v>
      </c>
      <c r="EG219" s="208">
        <v>7978336.1400000006</v>
      </c>
      <c r="EH219" s="208">
        <v>6382669</v>
      </c>
      <c r="EI219" s="208">
        <v>1436100</v>
      </c>
      <c r="EJ219" s="208">
        <v>159567</v>
      </c>
      <c r="EK219" s="208">
        <v>15956672.140000001</v>
      </c>
      <c r="EL219" s="208">
        <v>-495356.8599999994</v>
      </c>
      <c r="EM219" s="208">
        <v>-396285</v>
      </c>
      <c r="EN219" s="208">
        <v>-89165</v>
      </c>
      <c r="EO219" s="208">
        <v>-9907</v>
      </c>
      <c r="EP219" s="208">
        <v>-990713.8599999994</v>
      </c>
      <c r="EQ219" s="208">
        <v>-597572.8599999994</v>
      </c>
      <c r="ER219" s="208">
        <v>-478061</v>
      </c>
      <c r="ES219" s="208">
        <v>-107565</v>
      </c>
      <c r="ET219" s="208">
        <v>-11952</v>
      </c>
      <c r="EU219" s="208">
        <v>-1195150.8599999994</v>
      </c>
      <c r="EV219" s="666">
        <v>0.5</v>
      </c>
      <c r="EW219" s="666">
        <v>0.4</v>
      </c>
      <c r="EX219" s="666">
        <v>0.09</v>
      </c>
      <c r="EY219" s="666">
        <v>0.01</v>
      </c>
      <c r="EZ219" s="666">
        <v>1</v>
      </c>
      <c r="FA219" s="187" t="s">
        <v>1054</v>
      </c>
      <c r="FC219" s="187">
        <v>0</v>
      </c>
    </row>
    <row r="220" spans="1:159" s="187" customFormat="1" x14ac:dyDescent="0.2">
      <c r="A220" s="187" t="s">
        <v>1811</v>
      </c>
      <c r="B220" s="429" t="s">
        <v>517</v>
      </c>
      <c r="C220" s="429" t="s">
        <v>516</v>
      </c>
      <c r="D220" s="208">
        <v>6308223</v>
      </c>
      <c r="E220" s="208">
        <v>5046578</v>
      </c>
      <c r="F220" s="208">
        <v>1135480</v>
      </c>
      <c r="G220" s="208">
        <v>126164</v>
      </c>
      <c r="H220" s="208">
        <v>12616445</v>
      </c>
      <c r="I220" s="208">
        <v>0</v>
      </c>
      <c r="J220" s="208">
        <v>0</v>
      </c>
      <c r="K220" s="208">
        <v>6308223</v>
      </c>
      <c r="L220" s="208">
        <v>98149</v>
      </c>
      <c r="M220" s="208">
        <v>98149</v>
      </c>
      <c r="N220" s="208">
        <v>0</v>
      </c>
      <c r="O220" s="208">
        <v>0</v>
      </c>
      <c r="P220" s="208">
        <v>163328</v>
      </c>
      <c r="Q220" s="208">
        <v>0</v>
      </c>
      <c r="R220" s="208">
        <v>163328</v>
      </c>
      <c r="S220" s="208">
        <v>0</v>
      </c>
      <c r="T220" s="208">
        <v>0</v>
      </c>
      <c r="U220" s="208">
        <v>0</v>
      </c>
      <c r="V220" s="208">
        <v>0</v>
      </c>
      <c r="W220" s="208">
        <v>0</v>
      </c>
      <c r="X220" s="208">
        <v>0</v>
      </c>
      <c r="Y220" s="208">
        <v>0</v>
      </c>
      <c r="Z220" s="208">
        <v>0</v>
      </c>
      <c r="AA220" s="208">
        <v>0</v>
      </c>
      <c r="AB220" s="208">
        <v>0</v>
      </c>
      <c r="AC220" s="208">
        <v>0</v>
      </c>
      <c r="AD220" s="208">
        <v>0</v>
      </c>
      <c r="AE220" s="208">
        <v>0</v>
      </c>
      <c r="AF220" s="208">
        <v>0</v>
      </c>
      <c r="AG220" s="208">
        <v>1007078</v>
      </c>
      <c r="AH220" s="208">
        <v>225749</v>
      </c>
      <c r="AI220" s="208">
        <v>25082</v>
      </c>
      <c r="AJ220" s="208">
        <v>1257909</v>
      </c>
      <c r="AK220" s="208">
        <v>657161</v>
      </c>
      <c r="AL220" s="208">
        <v>525728</v>
      </c>
      <c r="AM220" s="208">
        <v>118289</v>
      </c>
      <c r="AN220" s="208">
        <v>13143</v>
      </c>
      <c r="AO220" s="208">
        <v>1314321</v>
      </c>
      <c r="AP220" s="208">
        <v>-139693</v>
      </c>
      <c r="AQ220" s="208">
        <v>-111755</v>
      </c>
      <c r="AR220" s="208">
        <v>-25145</v>
      </c>
      <c r="AS220" s="208">
        <v>-2794</v>
      </c>
      <c r="AT220" s="208">
        <v>-279387</v>
      </c>
      <c r="AU220" s="208">
        <v>-500786</v>
      </c>
      <c r="AV220" s="208">
        <v>-400629</v>
      </c>
      <c r="AW220" s="208">
        <v>-90141</v>
      </c>
      <c r="AX220" s="208">
        <v>-10016</v>
      </c>
      <c r="AY220" s="208">
        <v>-1001572</v>
      </c>
      <c r="AZ220" s="208">
        <v>56878</v>
      </c>
      <c r="BA220" s="208">
        <v>45502</v>
      </c>
      <c r="BB220" s="208">
        <v>10238</v>
      </c>
      <c r="BC220" s="208">
        <v>1138</v>
      </c>
      <c r="BD220" s="208">
        <v>113756</v>
      </c>
      <c r="BE220" s="208">
        <v>-113323</v>
      </c>
      <c r="BF220" s="208">
        <v>-90658</v>
      </c>
      <c r="BG220" s="208">
        <v>-20398</v>
      </c>
      <c r="BH220" s="208">
        <v>-2266</v>
      </c>
      <c r="BI220" s="208">
        <v>-226645</v>
      </c>
      <c r="BJ220" s="208">
        <v>-557231</v>
      </c>
      <c r="BK220" s="208">
        <v>-445785</v>
      </c>
      <c r="BL220" s="208">
        <v>-100301</v>
      </c>
      <c r="BM220" s="208">
        <v>-11144</v>
      </c>
      <c r="BN220" s="208">
        <v>-1114461</v>
      </c>
      <c r="BO220" s="208">
        <v>-1029233</v>
      </c>
      <c r="BP220" s="208">
        <v>-823387</v>
      </c>
      <c r="BQ220" s="208">
        <v>-185262</v>
      </c>
      <c r="BR220" s="208">
        <v>-20585</v>
      </c>
      <c r="BS220" s="208">
        <v>-2058467</v>
      </c>
      <c r="BT220" s="208">
        <v>0</v>
      </c>
      <c r="BU220" s="208">
        <v>0</v>
      </c>
      <c r="BV220" s="208">
        <v>0</v>
      </c>
      <c r="BW220" s="208">
        <v>0</v>
      </c>
      <c r="BX220" s="208">
        <v>0</v>
      </c>
      <c r="BY220" s="208">
        <v>-1029233</v>
      </c>
      <c r="BZ220" s="208">
        <v>-823387</v>
      </c>
      <c r="CA220" s="208">
        <v>-185262</v>
      </c>
      <c r="CB220" s="208">
        <v>-20585</v>
      </c>
      <c r="CC220" s="208">
        <v>-2058467</v>
      </c>
      <c r="CD220" s="208">
        <v>99810</v>
      </c>
      <c r="CE220" s="208">
        <v>79848</v>
      </c>
      <c r="CF220" s="208">
        <v>17966</v>
      </c>
      <c r="CG220" s="208">
        <v>1996</v>
      </c>
      <c r="CH220" s="208">
        <v>199620</v>
      </c>
      <c r="CI220" s="208">
        <v>0</v>
      </c>
      <c r="CJ220" s="208">
        <v>0</v>
      </c>
      <c r="CK220" s="208">
        <v>0</v>
      </c>
      <c r="CL220" s="208">
        <v>0</v>
      </c>
      <c r="CM220" s="208">
        <v>0</v>
      </c>
      <c r="CN220" s="208">
        <v>-722815</v>
      </c>
      <c r="CO220" s="208">
        <v>-578252</v>
      </c>
      <c r="CP220" s="208">
        <v>-130107</v>
      </c>
      <c r="CQ220" s="208">
        <v>-14456</v>
      </c>
      <c r="CR220" s="208">
        <v>-1445630</v>
      </c>
      <c r="CS220" s="208">
        <v>722815</v>
      </c>
      <c r="CT220" s="208">
        <v>578252</v>
      </c>
      <c r="CU220" s="208">
        <v>130107</v>
      </c>
      <c r="CV220" s="208">
        <v>14456</v>
      </c>
      <c r="CW220" s="208">
        <v>1445630</v>
      </c>
      <c r="CX220" s="208">
        <v>-929423</v>
      </c>
      <c r="CY220" s="208">
        <v>-743539</v>
      </c>
      <c r="CZ220" s="208">
        <v>-167296</v>
      </c>
      <c r="DA220" s="208">
        <v>-18589</v>
      </c>
      <c r="DB220" s="208">
        <v>-1858847</v>
      </c>
      <c r="DC220" s="208">
        <v>-623005</v>
      </c>
      <c r="DD220" s="208">
        <v>-498404</v>
      </c>
      <c r="DE220" s="208">
        <v>-112141</v>
      </c>
      <c r="DF220" s="208">
        <v>-12460</v>
      </c>
      <c r="DG220" s="208">
        <v>-1246010</v>
      </c>
      <c r="DH220" s="208">
        <v>-306418</v>
      </c>
      <c r="DI220" s="208">
        <v>-245135</v>
      </c>
      <c r="DJ220" s="208">
        <v>-55155</v>
      </c>
      <c r="DK220" s="208">
        <v>-6129</v>
      </c>
      <c r="DL220" s="208">
        <v>-612837</v>
      </c>
      <c r="DM220" s="208">
        <v>52559</v>
      </c>
      <c r="DN220" s="208">
        <v>42047</v>
      </c>
      <c r="DO220" s="208">
        <v>9461</v>
      </c>
      <c r="DP220" s="208">
        <v>1051</v>
      </c>
      <c r="DQ220" s="208">
        <v>105118</v>
      </c>
      <c r="DR220" s="208">
        <v>-458174</v>
      </c>
      <c r="DS220" s="208">
        <v>-366538</v>
      </c>
      <c r="DT220" s="208">
        <v>-82471</v>
      </c>
      <c r="DU220" s="208">
        <v>-9163</v>
      </c>
      <c r="DV220" s="208">
        <v>-916346</v>
      </c>
      <c r="DW220" s="208">
        <v>510733</v>
      </c>
      <c r="DX220" s="208">
        <v>408585</v>
      </c>
      <c r="DY220" s="208">
        <v>91932</v>
      </c>
      <c r="DZ220" s="208">
        <v>10214</v>
      </c>
      <c r="EA220" s="208">
        <v>1021464</v>
      </c>
      <c r="EB220" s="208">
        <v>5889425</v>
      </c>
      <c r="EC220" s="208">
        <v>4711540</v>
      </c>
      <c r="ED220" s="208">
        <v>1060096</v>
      </c>
      <c r="EE220" s="208">
        <v>117788</v>
      </c>
      <c r="EF220" s="208">
        <v>11778849</v>
      </c>
      <c r="EG220" s="208">
        <v>6308223</v>
      </c>
      <c r="EH220" s="208">
        <v>5046578</v>
      </c>
      <c r="EI220" s="208">
        <v>1135480</v>
      </c>
      <c r="EJ220" s="208">
        <v>126164</v>
      </c>
      <c r="EK220" s="208">
        <v>12616445</v>
      </c>
      <c r="EL220" s="208">
        <v>418798</v>
      </c>
      <c r="EM220" s="208">
        <v>335038</v>
      </c>
      <c r="EN220" s="208">
        <v>75384</v>
      </c>
      <c r="EO220" s="208">
        <v>8376</v>
      </c>
      <c r="EP220" s="208">
        <v>837596</v>
      </c>
      <c r="EQ220" s="208">
        <v>929531</v>
      </c>
      <c r="ER220" s="208">
        <v>743623</v>
      </c>
      <c r="ES220" s="208">
        <v>167316</v>
      </c>
      <c r="ET220" s="208">
        <v>18590</v>
      </c>
      <c r="EU220" s="208">
        <v>1859060</v>
      </c>
      <c r="EV220" s="666">
        <v>0.5</v>
      </c>
      <c r="EW220" s="666">
        <v>0.4</v>
      </c>
      <c r="EX220" s="666">
        <v>0.09</v>
      </c>
      <c r="EY220" s="666">
        <v>0.01</v>
      </c>
      <c r="EZ220" s="666">
        <v>1</v>
      </c>
      <c r="FA220" s="187" t="s">
        <v>1054</v>
      </c>
      <c r="FC220" s="187">
        <v>0</v>
      </c>
    </row>
    <row r="221" spans="1:159" s="187" customFormat="1" x14ac:dyDescent="0.2">
      <c r="B221" s="429" t="s">
        <v>519</v>
      </c>
      <c r="C221" s="429" t="s">
        <v>518</v>
      </c>
      <c r="D221" s="208">
        <v>9011320.2399999984</v>
      </c>
      <c r="E221" s="208">
        <v>7209055</v>
      </c>
      <c r="F221" s="208">
        <v>1622037</v>
      </c>
      <c r="G221" s="208">
        <v>180226</v>
      </c>
      <c r="H221" s="208">
        <v>18022638.239999998</v>
      </c>
      <c r="I221" s="208">
        <v>0</v>
      </c>
      <c r="J221" s="208">
        <v>0</v>
      </c>
      <c r="K221" s="208">
        <v>9011320.2399999984</v>
      </c>
      <c r="L221" s="208">
        <v>147126</v>
      </c>
      <c r="M221" s="208">
        <v>147126</v>
      </c>
      <c r="N221" s="208">
        <v>0</v>
      </c>
      <c r="O221" s="208">
        <v>0</v>
      </c>
      <c r="P221" s="208">
        <v>0</v>
      </c>
      <c r="Q221" s="208">
        <v>0</v>
      </c>
      <c r="R221" s="208">
        <v>0</v>
      </c>
      <c r="S221" s="208">
        <v>0</v>
      </c>
      <c r="T221" s="208">
        <v>0</v>
      </c>
      <c r="U221" s="208">
        <v>0</v>
      </c>
      <c r="V221" s="208">
        <v>0</v>
      </c>
      <c r="W221" s="208">
        <v>0</v>
      </c>
      <c r="X221" s="208">
        <v>0</v>
      </c>
      <c r="Y221" s="208">
        <v>0</v>
      </c>
      <c r="Z221" s="208">
        <v>0</v>
      </c>
      <c r="AA221" s="208">
        <v>0</v>
      </c>
      <c r="AB221" s="208">
        <v>0</v>
      </c>
      <c r="AC221" s="208">
        <v>0</v>
      </c>
      <c r="AD221" s="208">
        <v>0</v>
      </c>
      <c r="AE221" s="208">
        <v>0</v>
      </c>
      <c r="AF221" s="208">
        <v>0</v>
      </c>
      <c r="AG221" s="208">
        <v>1578848</v>
      </c>
      <c r="AH221" s="208">
        <v>355241</v>
      </c>
      <c r="AI221" s="208">
        <v>39473</v>
      </c>
      <c r="AJ221" s="208">
        <v>1973562</v>
      </c>
      <c r="AK221" s="208">
        <v>382161</v>
      </c>
      <c r="AL221" s="208">
        <v>305729</v>
      </c>
      <c r="AM221" s="208">
        <v>68789</v>
      </c>
      <c r="AN221" s="208">
        <v>7643</v>
      </c>
      <c r="AO221" s="208">
        <v>764322</v>
      </c>
      <c r="AP221" s="208">
        <v>-5233</v>
      </c>
      <c r="AQ221" s="208">
        <v>-4186</v>
      </c>
      <c r="AR221" s="208">
        <v>-942</v>
      </c>
      <c r="AS221" s="208">
        <v>-105</v>
      </c>
      <c r="AT221" s="208">
        <v>-10466</v>
      </c>
      <c r="AU221" s="208">
        <v>-290522.39</v>
      </c>
      <c r="AV221" s="208">
        <v>-232418</v>
      </c>
      <c r="AW221" s="208">
        <v>-52294</v>
      </c>
      <c r="AX221" s="208">
        <v>-5810</v>
      </c>
      <c r="AY221" s="208">
        <v>-581044.39</v>
      </c>
      <c r="AZ221" s="208">
        <v>38718.83</v>
      </c>
      <c r="BA221" s="208">
        <v>30975</v>
      </c>
      <c r="BB221" s="208">
        <v>6969</v>
      </c>
      <c r="BC221" s="208">
        <v>774</v>
      </c>
      <c r="BD221" s="208">
        <v>77436.83</v>
      </c>
      <c r="BE221" s="208">
        <v>-55383</v>
      </c>
      <c r="BF221" s="208">
        <v>-44307</v>
      </c>
      <c r="BG221" s="208">
        <v>-9969</v>
      </c>
      <c r="BH221" s="208">
        <v>-1108</v>
      </c>
      <c r="BI221" s="208">
        <v>-110767</v>
      </c>
      <c r="BJ221" s="208">
        <v>-307186.56</v>
      </c>
      <c r="BK221" s="208">
        <v>-245750</v>
      </c>
      <c r="BL221" s="208">
        <v>-55294</v>
      </c>
      <c r="BM221" s="208">
        <v>-6144</v>
      </c>
      <c r="BN221" s="208">
        <v>-614374.56000000006</v>
      </c>
      <c r="BO221" s="208">
        <v>-872934</v>
      </c>
      <c r="BP221" s="208">
        <v>-698348</v>
      </c>
      <c r="BQ221" s="208">
        <v>-157128</v>
      </c>
      <c r="BR221" s="208">
        <v>-17459</v>
      </c>
      <c r="BS221" s="208">
        <v>-1745869</v>
      </c>
      <c r="BT221" s="208">
        <v>-271181</v>
      </c>
      <c r="BU221" s="208">
        <v>-216946</v>
      </c>
      <c r="BV221" s="208">
        <v>-48813</v>
      </c>
      <c r="BW221" s="208">
        <v>-5424</v>
      </c>
      <c r="BX221" s="208">
        <v>-542364</v>
      </c>
      <c r="BY221" s="208">
        <v>-601753</v>
      </c>
      <c r="BZ221" s="208">
        <v>-481402</v>
      </c>
      <c r="CA221" s="208">
        <v>-108315</v>
      </c>
      <c r="CB221" s="208">
        <v>-12035</v>
      </c>
      <c r="CC221" s="208">
        <v>-1203505</v>
      </c>
      <c r="CD221" s="208">
        <v>34036</v>
      </c>
      <c r="CE221" s="208">
        <v>27229</v>
      </c>
      <c r="CF221" s="208">
        <v>6126</v>
      </c>
      <c r="CG221" s="208">
        <v>681</v>
      </c>
      <c r="CH221" s="208">
        <v>68072</v>
      </c>
      <c r="CI221" s="208">
        <v>189736</v>
      </c>
      <c r="CJ221" s="208">
        <v>151790</v>
      </c>
      <c r="CK221" s="208">
        <v>34153</v>
      </c>
      <c r="CL221" s="208">
        <v>3795</v>
      </c>
      <c r="CM221" s="208">
        <v>379474</v>
      </c>
      <c r="CN221" s="208">
        <v>-142125.76000000001</v>
      </c>
      <c r="CO221" s="208">
        <v>-113702</v>
      </c>
      <c r="CP221" s="208">
        <v>-25583</v>
      </c>
      <c r="CQ221" s="208">
        <v>-2843</v>
      </c>
      <c r="CR221" s="208">
        <v>-284253.76</v>
      </c>
      <c r="CS221" s="208">
        <v>-115819</v>
      </c>
      <c r="CT221" s="208">
        <v>-92656</v>
      </c>
      <c r="CU221" s="208">
        <v>-20848</v>
      </c>
      <c r="CV221" s="208">
        <v>-2316</v>
      </c>
      <c r="CW221" s="208">
        <v>-231639</v>
      </c>
      <c r="CX221" s="208">
        <v>-907106.76</v>
      </c>
      <c r="CY221" s="208">
        <v>-725687</v>
      </c>
      <c r="CZ221" s="208">
        <v>-163280</v>
      </c>
      <c r="DA221" s="208">
        <v>-18142</v>
      </c>
      <c r="DB221" s="208">
        <v>-1814215.76</v>
      </c>
      <c r="DC221" s="208">
        <v>-379270.76</v>
      </c>
      <c r="DD221" s="208">
        <v>-303419</v>
      </c>
      <c r="DE221" s="208">
        <v>-68270</v>
      </c>
      <c r="DF221" s="208">
        <v>-7586</v>
      </c>
      <c r="DG221" s="208">
        <v>-758545.76</v>
      </c>
      <c r="DH221" s="208">
        <v>-527836</v>
      </c>
      <c r="DI221" s="208">
        <v>-422268</v>
      </c>
      <c r="DJ221" s="208">
        <v>-95010</v>
      </c>
      <c r="DK221" s="208">
        <v>-10556</v>
      </c>
      <c r="DL221" s="208">
        <v>-1055670</v>
      </c>
      <c r="DM221" s="208">
        <v>-152668</v>
      </c>
      <c r="DN221" s="208">
        <v>-122133</v>
      </c>
      <c r="DO221" s="208">
        <v>-27480</v>
      </c>
      <c r="DP221" s="208">
        <v>-3053</v>
      </c>
      <c r="DQ221" s="208">
        <v>-305334</v>
      </c>
      <c r="DR221" s="208">
        <v>-84152</v>
      </c>
      <c r="DS221" s="208">
        <v>-67322</v>
      </c>
      <c r="DT221" s="208">
        <v>-15147</v>
      </c>
      <c r="DU221" s="208">
        <v>-1683</v>
      </c>
      <c r="DV221" s="208">
        <v>-168304</v>
      </c>
      <c r="DW221" s="208">
        <v>-68516</v>
      </c>
      <c r="DX221" s="208">
        <v>-54811</v>
      </c>
      <c r="DY221" s="208">
        <v>-12333</v>
      </c>
      <c r="DZ221" s="208">
        <v>-1370</v>
      </c>
      <c r="EA221" s="208">
        <v>-137030</v>
      </c>
      <c r="EB221" s="208">
        <v>8925625</v>
      </c>
      <c r="EC221" s="208">
        <v>7140500</v>
      </c>
      <c r="ED221" s="208">
        <v>1606612</v>
      </c>
      <c r="EE221" s="208">
        <v>178512</v>
      </c>
      <c r="EF221" s="208">
        <v>17851249</v>
      </c>
      <c r="EG221" s="208">
        <v>9011320.2399999984</v>
      </c>
      <c r="EH221" s="208">
        <v>7209055</v>
      </c>
      <c r="EI221" s="208">
        <v>1622037</v>
      </c>
      <c r="EJ221" s="208">
        <v>180226</v>
      </c>
      <c r="EK221" s="208">
        <v>18022638.239999998</v>
      </c>
      <c r="EL221" s="208">
        <v>85695.239999998361</v>
      </c>
      <c r="EM221" s="208">
        <v>68555</v>
      </c>
      <c r="EN221" s="208">
        <v>15425</v>
      </c>
      <c r="EO221" s="208">
        <v>1714</v>
      </c>
      <c r="EP221" s="208">
        <v>171389.23999999836</v>
      </c>
      <c r="EQ221" s="208">
        <v>17179.239999998361</v>
      </c>
      <c r="ER221" s="208">
        <v>13744</v>
      </c>
      <c r="ES221" s="208">
        <v>3092</v>
      </c>
      <c r="ET221" s="208">
        <v>344</v>
      </c>
      <c r="EU221" s="208">
        <v>34359.239999998361</v>
      </c>
      <c r="EV221" s="666">
        <v>0.5</v>
      </c>
      <c r="EW221" s="666">
        <v>0.4</v>
      </c>
      <c r="EX221" s="666">
        <v>0.09</v>
      </c>
      <c r="EY221" s="666">
        <v>0.01</v>
      </c>
      <c r="EZ221" s="666">
        <v>1</v>
      </c>
      <c r="FA221" s="187" t="s">
        <v>1054</v>
      </c>
      <c r="FC221" s="187">
        <v>0</v>
      </c>
    </row>
    <row r="222" spans="1:159" s="187" customFormat="1" x14ac:dyDescent="0.2">
      <c r="B222" s="429" t="s">
        <v>521</v>
      </c>
      <c r="C222" s="429" t="s">
        <v>520</v>
      </c>
      <c r="D222" s="208">
        <v>36034110</v>
      </c>
      <c r="E222" s="208">
        <v>35313428</v>
      </c>
      <c r="F222" s="208">
        <v>0</v>
      </c>
      <c r="G222" s="208">
        <v>720682</v>
      </c>
      <c r="H222" s="208">
        <v>72068220</v>
      </c>
      <c r="I222" s="208">
        <v>244749</v>
      </c>
      <c r="J222" s="208">
        <v>244749</v>
      </c>
      <c r="K222" s="208">
        <v>35789361</v>
      </c>
      <c r="L222" s="208">
        <v>299682</v>
      </c>
      <c r="M222" s="208">
        <v>299682</v>
      </c>
      <c r="N222" s="208">
        <v>448887</v>
      </c>
      <c r="O222" s="208">
        <v>448887</v>
      </c>
      <c r="P222" s="208">
        <v>91207</v>
      </c>
      <c r="Q222" s="208">
        <v>0</v>
      </c>
      <c r="R222" s="208">
        <v>91207</v>
      </c>
      <c r="S222" s="208">
        <v>0</v>
      </c>
      <c r="T222" s="208">
        <v>0</v>
      </c>
      <c r="U222" s="208">
        <v>0</v>
      </c>
      <c r="V222" s="208">
        <v>0</v>
      </c>
      <c r="W222" s="208">
        <v>244749.17916666667</v>
      </c>
      <c r="X222" s="208">
        <v>0</v>
      </c>
      <c r="Y222" s="208">
        <v>0</v>
      </c>
      <c r="Z222" s="208">
        <v>244749.17916666667</v>
      </c>
      <c r="AA222" s="208">
        <v>0</v>
      </c>
      <c r="AB222" s="208">
        <v>0</v>
      </c>
      <c r="AC222" s="208">
        <v>0</v>
      </c>
      <c r="AD222" s="208">
        <v>0</v>
      </c>
      <c r="AE222" s="208">
        <v>0</v>
      </c>
      <c r="AF222" s="208">
        <v>0</v>
      </c>
      <c r="AG222" s="208">
        <v>3997569</v>
      </c>
      <c r="AH222" s="208">
        <v>0</v>
      </c>
      <c r="AI222" s="208">
        <v>80371</v>
      </c>
      <c r="AJ222" s="208">
        <v>4077940</v>
      </c>
      <c r="AK222" s="208">
        <v>1658814</v>
      </c>
      <c r="AL222" s="208">
        <v>1625638</v>
      </c>
      <c r="AM222" s="208">
        <v>0</v>
      </c>
      <c r="AN222" s="208">
        <v>33176</v>
      </c>
      <c r="AO222" s="208">
        <v>3317628</v>
      </c>
      <c r="AP222" s="208">
        <v>-373406</v>
      </c>
      <c r="AQ222" s="208">
        <v>-365938</v>
      </c>
      <c r="AR222" s="208">
        <v>0</v>
      </c>
      <c r="AS222" s="208">
        <v>-7468</v>
      </c>
      <c r="AT222" s="208">
        <v>-746812</v>
      </c>
      <c r="AU222" s="208">
        <v>-753825</v>
      </c>
      <c r="AV222" s="208">
        <v>-738748</v>
      </c>
      <c r="AW222" s="208">
        <v>0</v>
      </c>
      <c r="AX222" s="208">
        <v>-15076</v>
      </c>
      <c r="AY222" s="208">
        <v>-1507649</v>
      </c>
      <c r="AZ222" s="208">
        <v>181124</v>
      </c>
      <c r="BA222" s="208">
        <v>177502</v>
      </c>
      <c r="BB222" s="208">
        <v>0</v>
      </c>
      <c r="BC222" s="208">
        <v>3622</v>
      </c>
      <c r="BD222" s="208">
        <v>362248</v>
      </c>
      <c r="BE222" s="208">
        <v>-360920</v>
      </c>
      <c r="BF222" s="208">
        <v>-353701</v>
      </c>
      <c r="BG222" s="208">
        <v>0</v>
      </c>
      <c r="BH222" s="208">
        <v>-7218</v>
      </c>
      <c r="BI222" s="208">
        <v>-721839</v>
      </c>
      <c r="BJ222" s="208">
        <v>-933621</v>
      </c>
      <c r="BK222" s="208">
        <v>-914947</v>
      </c>
      <c r="BL222" s="208">
        <v>0</v>
      </c>
      <c r="BM222" s="208">
        <v>-18672</v>
      </c>
      <c r="BN222" s="208">
        <v>-1867240</v>
      </c>
      <c r="BO222" s="208">
        <v>-4405081</v>
      </c>
      <c r="BP222" s="208">
        <v>-4316980</v>
      </c>
      <c r="BQ222" s="208">
        <v>0</v>
      </c>
      <c r="BR222" s="208">
        <v>-88102</v>
      </c>
      <c r="BS222" s="208">
        <v>-8810163</v>
      </c>
      <c r="BT222" s="208">
        <v>-2712783</v>
      </c>
      <c r="BU222" s="208">
        <v>-2658528</v>
      </c>
      <c r="BV222" s="208">
        <v>0</v>
      </c>
      <c r="BW222" s="208">
        <v>-54256</v>
      </c>
      <c r="BX222" s="208">
        <v>-5425567</v>
      </c>
      <c r="BY222" s="208">
        <v>-1692298</v>
      </c>
      <c r="BZ222" s="208">
        <v>-1658452</v>
      </c>
      <c r="CA222" s="208">
        <v>0</v>
      </c>
      <c r="CB222" s="208">
        <v>-33846</v>
      </c>
      <c r="CC222" s="208">
        <v>-3384596</v>
      </c>
      <c r="CD222" s="208">
        <v>370306</v>
      </c>
      <c r="CE222" s="208">
        <v>362900</v>
      </c>
      <c r="CF222" s="208">
        <v>0</v>
      </c>
      <c r="CG222" s="208">
        <v>7406</v>
      </c>
      <c r="CH222" s="208">
        <v>740612</v>
      </c>
      <c r="CI222" s="208">
        <v>77190</v>
      </c>
      <c r="CJ222" s="208">
        <v>75646</v>
      </c>
      <c r="CK222" s="208">
        <v>0</v>
      </c>
      <c r="CL222" s="208">
        <v>1544</v>
      </c>
      <c r="CM222" s="208">
        <v>154380</v>
      </c>
      <c r="CN222" s="208">
        <v>230815</v>
      </c>
      <c r="CO222" s="208">
        <v>226198</v>
      </c>
      <c r="CP222" s="208">
        <v>0</v>
      </c>
      <c r="CQ222" s="208">
        <v>4616</v>
      </c>
      <c r="CR222" s="208">
        <v>461629</v>
      </c>
      <c r="CS222" s="208">
        <v>-687957</v>
      </c>
      <c r="CT222" s="208">
        <v>-674198</v>
      </c>
      <c r="CU222" s="208">
        <v>0</v>
      </c>
      <c r="CV222" s="208">
        <v>-13759</v>
      </c>
      <c r="CW222" s="208">
        <v>-1375914</v>
      </c>
      <c r="CX222" s="208">
        <v>-4414727</v>
      </c>
      <c r="CY222" s="208">
        <v>-4326434</v>
      </c>
      <c r="CZ222" s="208">
        <v>0</v>
      </c>
      <c r="DA222" s="208">
        <v>-88295</v>
      </c>
      <c r="DB222" s="208">
        <v>-8829456</v>
      </c>
      <c r="DC222" s="208">
        <v>-2111662</v>
      </c>
      <c r="DD222" s="208">
        <v>-2069430</v>
      </c>
      <c r="DE222" s="208">
        <v>0</v>
      </c>
      <c r="DF222" s="208">
        <v>-42234</v>
      </c>
      <c r="DG222" s="208">
        <v>-4223326</v>
      </c>
      <c r="DH222" s="208">
        <v>-2303065</v>
      </c>
      <c r="DI222" s="208">
        <v>-2257004</v>
      </c>
      <c r="DJ222" s="208">
        <v>0</v>
      </c>
      <c r="DK222" s="208">
        <v>-46061</v>
      </c>
      <c r="DL222" s="208">
        <v>-4606130</v>
      </c>
      <c r="DM222" s="208">
        <v>342093</v>
      </c>
      <c r="DN222" s="208">
        <v>335252</v>
      </c>
      <c r="DO222" s="208">
        <v>0</v>
      </c>
      <c r="DP222" s="208">
        <v>6841</v>
      </c>
      <c r="DQ222" s="208">
        <v>684186</v>
      </c>
      <c r="DR222" s="208">
        <v>329350</v>
      </c>
      <c r="DS222" s="208">
        <v>322763</v>
      </c>
      <c r="DT222" s="208">
        <v>0</v>
      </c>
      <c r="DU222" s="208">
        <v>6587</v>
      </c>
      <c r="DV222" s="208">
        <v>658700</v>
      </c>
      <c r="DW222" s="208">
        <v>12743</v>
      </c>
      <c r="DX222" s="208">
        <v>12489</v>
      </c>
      <c r="DY222" s="208">
        <v>0</v>
      </c>
      <c r="DZ222" s="208">
        <v>254</v>
      </c>
      <c r="EA222" s="208">
        <v>25486</v>
      </c>
      <c r="EB222" s="208">
        <v>35000547</v>
      </c>
      <c r="EC222" s="208">
        <v>34300537</v>
      </c>
      <c r="ED222" s="208">
        <v>0</v>
      </c>
      <c r="EE222" s="208">
        <v>700011</v>
      </c>
      <c r="EF222" s="208">
        <v>70001095</v>
      </c>
      <c r="EG222" s="208">
        <v>36034110</v>
      </c>
      <c r="EH222" s="208">
        <v>35313428</v>
      </c>
      <c r="EI222" s="208">
        <v>0</v>
      </c>
      <c r="EJ222" s="208">
        <v>720682</v>
      </c>
      <c r="EK222" s="208">
        <v>72068220</v>
      </c>
      <c r="EL222" s="208">
        <v>1033563</v>
      </c>
      <c r="EM222" s="208">
        <v>1012891</v>
      </c>
      <c r="EN222" s="208">
        <v>0</v>
      </c>
      <c r="EO222" s="208">
        <v>20671</v>
      </c>
      <c r="EP222" s="208">
        <v>2067125</v>
      </c>
      <c r="EQ222" s="208">
        <v>1046306</v>
      </c>
      <c r="ER222" s="208">
        <v>1025380</v>
      </c>
      <c r="ES222" s="208">
        <v>0</v>
      </c>
      <c r="ET222" s="208">
        <v>20925</v>
      </c>
      <c r="EU222" s="208">
        <v>2092611</v>
      </c>
      <c r="EV222" s="666">
        <v>0.5</v>
      </c>
      <c r="EW222" s="666">
        <v>0.49</v>
      </c>
      <c r="EX222" s="666">
        <v>0</v>
      </c>
      <c r="EY222" s="666">
        <v>0.01</v>
      </c>
      <c r="EZ222" s="666">
        <v>1</v>
      </c>
      <c r="FA222" s="187" t="s">
        <v>1056</v>
      </c>
      <c r="FC222" s="187">
        <v>0</v>
      </c>
    </row>
    <row r="223" spans="1:159" s="187" customFormat="1" x14ac:dyDescent="0.2">
      <c r="B223" s="429" t="s">
        <v>523</v>
      </c>
      <c r="C223" s="429" t="s">
        <v>522</v>
      </c>
      <c r="D223" s="208">
        <v>24942012</v>
      </c>
      <c r="E223" s="208">
        <v>19953610</v>
      </c>
      <c r="F223" s="208">
        <v>4988402</v>
      </c>
      <c r="G223" s="208">
        <v>0</v>
      </c>
      <c r="H223" s="208">
        <v>49884024</v>
      </c>
      <c r="I223" s="208">
        <v>0</v>
      </c>
      <c r="J223" s="208">
        <v>0</v>
      </c>
      <c r="K223" s="208">
        <v>24942012</v>
      </c>
      <c r="L223" s="208">
        <v>136235</v>
      </c>
      <c r="M223" s="208">
        <v>136235</v>
      </c>
      <c r="N223" s="208">
        <v>0</v>
      </c>
      <c r="O223" s="208">
        <v>0</v>
      </c>
      <c r="P223" s="208">
        <v>0</v>
      </c>
      <c r="Q223" s="208">
        <v>0</v>
      </c>
      <c r="R223" s="208">
        <v>0</v>
      </c>
      <c r="S223" s="208">
        <v>0</v>
      </c>
      <c r="T223" s="208">
        <v>0</v>
      </c>
      <c r="U223" s="208">
        <v>0</v>
      </c>
      <c r="V223" s="208">
        <v>0</v>
      </c>
      <c r="W223" s="208">
        <v>0</v>
      </c>
      <c r="X223" s="208">
        <v>0</v>
      </c>
      <c r="Y223" s="208">
        <v>0</v>
      </c>
      <c r="Z223" s="208">
        <v>0</v>
      </c>
      <c r="AA223" s="208">
        <v>0</v>
      </c>
      <c r="AB223" s="208">
        <v>0</v>
      </c>
      <c r="AC223" s="208">
        <v>0</v>
      </c>
      <c r="AD223" s="208">
        <v>0</v>
      </c>
      <c r="AE223" s="208">
        <v>0</v>
      </c>
      <c r="AF223" s="208">
        <v>0</v>
      </c>
      <c r="AG223" s="208">
        <v>1530267</v>
      </c>
      <c r="AH223" s="208">
        <v>382567</v>
      </c>
      <c r="AI223" s="208">
        <v>0</v>
      </c>
      <c r="AJ223" s="208">
        <v>1912834</v>
      </c>
      <c r="AK223" s="208">
        <v>504648</v>
      </c>
      <c r="AL223" s="208">
        <v>403718</v>
      </c>
      <c r="AM223" s="208">
        <v>100930</v>
      </c>
      <c r="AN223" s="208">
        <v>0</v>
      </c>
      <c r="AO223" s="208">
        <v>1009296</v>
      </c>
      <c r="AP223" s="208">
        <v>-354957</v>
      </c>
      <c r="AQ223" s="208">
        <v>-283965</v>
      </c>
      <c r="AR223" s="208">
        <v>-70991</v>
      </c>
      <c r="AS223" s="208">
        <v>0</v>
      </c>
      <c r="AT223" s="208">
        <v>-709913</v>
      </c>
      <c r="AU223" s="208">
        <v>-115240</v>
      </c>
      <c r="AV223" s="208">
        <v>-92192</v>
      </c>
      <c r="AW223" s="208">
        <v>-23048</v>
      </c>
      <c r="AX223" s="208">
        <v>0</v>
      </c>
      <c r="AY223" s="208">
        <v>-230480</v>
      </c>
      <c r="AZ223" s="208">
        <v>78047</v>
      </c>
      <c r="BA223" s="208">
        <v>62438</v>
      </c>
      <c r="BB223" s="208">
        <v>15609</v>
      </c>
      <c r="BC223" s="208">
        <v>0</v>
      </c>
      <c r="BD223" s="208">
        <v>156094</v>
      </c>
      <c r="BE223" s="208">
        <v>-60385</v>
      </c>
      <c r="BF223" s="208">
        <v>-48308</v>
      </c>
      <c r="BG223" s="208">
        <v>-12077</v>
      </c>
      <c r="BH223" s="208">
        <v>0</v>
      </c>
      <c r="BI223" s="208">
        <v>-120770</v>
      </c>
      <c r="BJ223" s="208">
        <v>-97578</v>
      </c>
      <c r="BK223" s="208">
        <v>-78062</v>
      </c>
      <c r="BL223" s="208">
        <v>-19516</v>
      </c>
      <c r="BM223" s="208">
        <v>0</v>
      </c>
      <c r="BN223" s="208">
        <v>-195156</v>
      </c>
      <c r="BO223" s="208">
        <v>-5546428</v>
      </c>
      <c r="BP223" s="208">
        <v>-4437142</v>
      </c>
      <c r="BQ223" s="208">
        <v>-1109286</v>
      </c>
      <c r="BR223" s="208">
        <v>0</v>
      </c>
      <c r="BS223" s="208">
        <v>-11092856</v>
      </c>
      <c r="BT223" s="208">
        <v>-3750432</v>
      </c>
      <c r="BU223" s="208">
        <v>-3000345</v>
      </c>
      <c r="BV223" s="208">
        <v>-750086</v>
      </c>
      <c r="BW223" s="208">
        <v>0</v>
      </c>
      <c r="BX223" s="208">
        <v>-7500863</v>
      </c>
      <c r="BY223" s="208">
        <v>-1795997</v>
      </c>
      <c r="BZ223" s="208">
        <v>-1436797</v>
      </c>
      <c r="CA223" s="208">
        <v>-359199</v>
      </c>
      <c r="CB223" s="208">
        <v>0</v>
      </c>
      <c r="CC223" s="208">
        <v>-3591993</v>
      </c>
      <c r="CD223" s="208">
        <v>847889</v>
      </c>
      <c r="CE223" s="208">
        <v>678311</v>
      </c>
      <c r="CF223" s="208">
        <v>169578</v>
      </c>
      <c r="CG223" s="208">
        <v>0</v>
      </c>
      <c r="CH223" s="208">
        <v>1695778</v>
      </c>
      <c r="CI223" s="208">
        <v>209323</v>
      </c>
      <c r="CJ223" s="208">
        <v>167459</v>
      </c>
      <c r="CK223" s="208">
        <v>41865</v>
      </c>
      <c r="CL223" s="208">
        <v>0</v>
      </c>
      <c r="CM223" s="208">
        <v>418647</v>
      </c>
      <c r="CN223" s="208">
        <v>-151287</v>
      </c>
      <c r="CO223" s="208">
        <v>-121030</v>
      </c>
      <c r="CP223" s="208">
        <v>-30257</v>
      </c>
      <c r="CQ223" s="208">
        <v>0</v>
      </c>
      <c r="CR223" s="208">
        <v>-302574</v>
      </c>
      <c r="CS223" s="208">
        <v>-1886449</v>
      </c>
      <c r="CT223" s="208">
        <v>-1509159</v>
      </c>
      <c r="CU223" s="208">
        <v>-377290</v>
      </c>
      <c r="CV223" s="208">
        <v>0</v>
      </c>
      <c r="CW223" s="208">
        <v>-3772898</v>
      </c>
      <c r="CX223" s="208">
        <v>-6526952</v>
      </c>
      <c r="CY223" s="208">
        <v>-5221561</v>
      </c>
      <c r="CZ223" s="208">
        <v>-1305390</v>
      </c>
      <c r="DA223" s="208">
        <v>0</v>
      </c>
      <c r="DB223" s="208">
        <v>-13053903</v>
      </c>
      <c r="DC223" s="208">
        <v>-3053830</v>
      </c>
      <c r="DD223" s="208">
        <v>-2443064</v>
      </c>
      <c r="DE223" s="208">
        <v>-610765</v>
      </c>
      <c r="DF223" s="208">
        <v>0</v>
      </c>
      <c r="DG223" s="208">
        <v>-6107659</v>
      </c>
      <c r="DH223" s="208">
        <v>-3473123</v>
      </c>
      <c r="DI223" s="208">
        <v>-2778497</v>
      </c>
      <c r="DJ223" s="208">
        <v>-694624</v>
      </c>
      <c r="DK223" s="208">
        <v>0</v>
      </c>
      <c r="DL223" s="208">
        <v>-6946244</v>
      </c>
      <c r="DM223" s="208">
        <v>-1319086</v>
      </c>
      <c r="DN223" s="208">
        <v>-1055268</v>
      </c>
      <c r="DO223" s="208">
        <v>-263816</v>
      </c>
      <c r="DP223" s="208">
        <v>0</v>
      </c>
      <c r="DQ223" s="208">
        <v>-2638170</v>
      </c>
      <c r="DR223" s="208">
        <v>-249007</v>
      </c>
      <c r="DS223" s="208">
        <v>-199206</v>
      </c>
      <c r="DT223" s="208">
        <v>-49801</v>
      </c>
      <c r="DU223" s="208">
        <v>0</v>
      </c>
      <c r="DV223" s="208">
        <v>-498014</v>
      </c>
      <c r="DW223" s="208">
        <v>-1070079</v>
      </c>
      <c r="DX223" s="208">
        <v>-856062</v>
      </c>
      <c r="DY223" s="208">
        <v>-214015</v>
      </c>
      <c r="DZ223" s="208">
        <v>0</v>
      </c>
      <c r="EA223" s="208">
        <v>-2140156</v>
      </c>
      <c r="EB223" s="208">
        <v>24382097</v>
      </c>
      <c r="EC223" s="208">
        <v>19505678</v>
      </c>
      <c r="ED223" s="208">
        <v>4876419</v>
      </c>
      <c r="EE223" s="208">
        <v>0</v>
      </c>
      <c r="EF223" s="208">
        <v>48764194</v>
      </c>
      <c r="EG223" s="208">
        <v>24942012</v>
      </c>
      <c r="EH223" s="208">
        <v>19953610</v>
      </c>
      <c r="EI223" s="208">
        <v>4988402</v>
      </c>
      <c r="EJ223" s="208">
        <v>0</v>
      </c>
      <c r="EK223" s="208">
        <v>49884024</v>
      </c>
      <c r="EL223" s="208">
        <v>559915</v>
      </c>
      <c r="EM223" s="208">
        <v>447932</v>
      </c>
      <c r="EN223" s="208">
        <v>111983</v>
      </c>
      <c r="EO223" s="208">
        <v>0</v>
      </c>
      <c r="EP223" s="208">
        <v>1119830</v>
      </c>
      <c r="EQ223" s="208">
        <v>-510164</v>
      </c>
      <c r="ER223" s="208">
        <v>-408130</v>
      </c>
      <c r="ES223" s="208">
        <v>-102032</v>
      </c>
      <c r="ET223" s="208">
        <v>0</v>
      </c>
      <c r="EU223" s="208">
        <v>-1020326</v>
      </c>
      <c r="EV223" s="666">
        <v>0.5</v>
      </c>
      <c r="EW223" s="666">
        <v>0.4</v>
      </c>
      <c r="EX223" s="666">
        <v>0.1</v>
      </c>
      <c r="EY223" s="666">
        <v>0</v>
      </c>
      <c r="EZ223" s="666">
        <v>1</v>
      </c>
      <c r="FA223" s="187" t="s">
        <v>1054</v>
      </c>
      <c r="FC223" s="187">
        <v>0</v>
      </c>
    </row>
    <row r="224" spans="1:159" s="187" customFormat="1" x14ac:dyDescent="0.2">
      <c r="B224" s="429" t="s">
        <v>525</v>
      </c>
      <c r="C224" s="429" t="s">
        <v>524</v>
      </c>
      <c r="D224" s="208">
        <v>0</v>
      </c>
      <c r="E224" s="208">
        <v>21274418</v>
      </c>
      <c r="F224" s="208">
        <v>49640309</v>
      </c>
      <c r="G224" s="208">
        <v>0</v>
      </c>
      <c r="H224" s="208">
        <v>70914727</v>
      </c>
      <c r="I224" s="208">
        <v>0</v>
      </c>
      <c r="J224" s="208">
        <v>0</v>
      </c>
      <c r="K224" s="208">
        <v>0</v>
      </c>
      <c r="L224" s="208">
        <v>131628</v>
      </c>
      <c r="M224" s="208">
        <v>131628</v>
      </c>
      <c r="N224" s="208">
        <v>179274</v>
      </c>
      <c r="O224" s="208">
        <v>179274</v>
      </c>
      <c r="P224" s="208">
        <v>0</v>
      </c>
      <c r="Q224" s="208">
        <v>0</v>
      </c>
      <c r="R224" s="208">
        <v>0</v>
      </c>
      <c r="S224" s="208">
        <v>0</v>
      </c>
      <c r="T224" s="208">
        <v>0</v>
      </c>
      <c r="U224" s="208">
        <v>0</v>
      </c>
      <c r="V224" s="208">
        <v>0</v>
      </c>
      <c r="W224" s="208">
        <v>0</v>
      </c>
      <c r="X224" s="208">
        <v>0</v>
      </c>
      <c r="Y224" s="208">
        <v>0</v>
      </c>
      <c r="Z224" s="208">
        <v>0</v>
      </c>
      <c r="AA224" s="208">
        <v>0</v>
      </c>
      <c r="AB224" s="208">
        <v>0</v>
      </c>
      <c r="AC224" s="208">
        <v>0</v>
      </c>
      <c r="AD224" s="208">
        <v>0</v>
      </c>
      <c r="AE224" s="208">
        <v>0</v>
      </c>
      <c r="AF224" s="208">
        <v>0</v>
      </c>
      <c r="AG224" s="208">
        <v>1064382</v>
      </c>
      <c r="AH224" s="208">
        <v>2468513</v>
      </c>
      <c r="AI224" s="208">
        <v>0</v>
      </c>
      <c r="AJ224" s="208">
        <v>3532895</v>
      </c>
      <c r="AK224" s="208">
        <v>0</v>
      </c>
      <c r="AL224" s="208">
        <v>351186</v>
      </c>
      <c r="AM224" s="208">
        <v>819434</v>
      </c>
      <c r="AN224" s="208">
        <v>0</v>
      </c>
      <c r="AO224" s="208">
        <v>1170620</v>
      </c>
      <c r="AP224" s="208">
        <v>0</v>
      </c>
      <c r="AQ224" s="208">
        <v>-768530</v>
      </c>
      <c r="AR224" s="208">
        <v>-1793236</v>
      </c>
      <c r="AS224" s="208">
        <v>0</v>
      </c>
      <c r="AT224" s="208">
        <v>-2561766</v>
      </c>
      <c r="AU224" s="208">
        <v>0</v>
      </c>
      <c r="AV224" s="208">
        <v>-2683290</v>
      </c>
      <c r="AW224" s="208">
        <v>-6261010</v>
      </c>
      <c r="AX224" s="208">
        <v>0</v>
      </c>
      <c r="AY224" s="208">
        <v>-8944300</v>
      </c>
      <c r="AZ224" s="208">
        <v>0</v>
      </c>
      <c r="BA224" s="208">
        <v>0</v>
      </c>
      <c r="BB224" s="208">
        <v>0</v>
      </c>
      <c r="BC224" s="208">
        <v>0</v>
      </c>
      <c r="BD224" s="208">
        <v>0</v>
      </c>
      <c r="BE224" s="208">
        <v>0</v>
      </c>
      <c r="BF224" s="208">
        <v>2511510</v>
      </c>
      <c r="BG224" s="208">
        <v>5860190</v>
      </c>
      <c r="BH224" s="208">
        <v>0</v>
      </c>
      <c r="BI224" s="208">
        <v>8371700</v>
      </c>
      <c r="BJ224" s="208">
        <v>0</v>
      </c>
      <c r="BK224" s="208">
        <v>-171780</v>
      </c>
      <c r="BL224" s="208">
        <v>-400820</v>
      </c>
      <c r="BM224" s="208">
        <v>0</v>
      </c>
      <c r="BN224" s="208">
        <v>-572600</v>
      </c>
      <c r="BO224" s="208">
        <v>-6.0000000521540642E-2</v>
      </c>
      <c r="BP224" s="208">
        <v>-2660790</v>
      </c>
      <c r="BQ224" s="208">
        <v>-6208510</v>
      </c>
      <c r="BR224" s="208">
        <v>0</v>
      </c>
      <c r="BS224" s="208">
        <v>-8869300.0600000005</v>
      </c>
      <c r="BT224" s="208">
        <v>0</v>
      </c>
      <c r="BU224" s="208">
        <v>0</v>
      </c>
      <c r="BV224" s="208">
        <v>0</v>
      </c>
      <c r="BW224" s="208">
        <v>0</v>
      </c>
      <c r="BX224" s="208">
        <v>0</v>
      </c>
      <c r="BY224" s="208">
        <v>-6.0000000521540642E-2</v>
      </c>
      <c r="BZ224" s="208">
        <v>-2660790</v>
      </c>
      <c r="CA224" s="208">
        <v>-6208510</v>
      </c>
      <c r="CB224" s="208">
        <v>0</v>
      </c>
      <c r="CC224" s="208">
        <v>-8869300.0600000005</v>
      </c>
      <c r="CD224" s="208">
        <v>0</v>
      </c>
      <c r="CE224" s="208">
        <v>0</v>
      </c>
      <c r="CF224" s="208">
        <v>0</v>
      </c>
      <c r="CG224" s="208">
        <v>0</v>
      </c>
      <c r="CH224" s="208">
        <v>0</v>
      </c>
      <c r="CI224" s="208">
        <v>0</v>
      </c>
      <c r="CJ224" s="208">
        <v>0</v>
      </c>
      <c r="CK224" s="208">
        <v>0</v>
      </c>
      <c r="CL224" s="208">
        <v>0</v>
      </c>
      <c r="CM224" s="208">
        <v>0</v>
      </c>
      <c r="CN224" s="208">
        <v>0</v>
      </c>
      <c r="CO224" s="208">
        <v>0</v>
      </c>
      <c r="CP224" s="208">
        <v>0</v>
      </c>
      <c r="CQ224" s="208">
        <v>0</v>
      </c>
      <c r="CR224" s="208">
        <v>0</v>
      </c>
      <c r="CS224" s="208">
        <v>0</v>
      </c>
      <c r="CT224" s="208">
        <v>1602900</v>
      </c>
      <c r="CU224" s="208">
        <v>3740100</v>
      </c>
      <c r="CV224" s="208">
        <v>0</v>
      </c>
      <c r="CW224" s="208">
        <v>5343000</v>
      </c>
      <c r="CX224" s="208">
        <v>-6.0000000521540642E-2</v>
      </c>
      <c r="CY224" s="208">
        <v>-1057890</v>
      </c>
      <c r="CZ224" s="208">
        <v>-2468410</v>
      </c>
      <c r="DA224" s="208">
        <v>0</v>
      </c>
      <c r="DB224" s="208">
        <v>-3526300.0600000005</v>
      </c>
      <c r="DC224" s="208">
        <v>0</v>
      </c>
      <c r="DD224" s="208">
        <v>0</v>
      </c>
      <c r="DE224" s="208">
        <v>0</v>
      </c>
      <c r="DF224" s="208">
        <v>0</v>
      </c>
      <c r="DG224" s="208">
        <v>0</v>
      </c>
      <c r="DH224" s="208">
        <v>-6.0000000521540642E-2</v>
      </c>
      <c r="DI224" s="208">
        <v>-1057890</v>
      </c>
      <c r="DJ224" s="208">
        <v>-2468410</v>
      </c>
      <c r="DK224" s="208">
        <v>0</v>
      </c>
      <c r="DL224" s="208">
        <v>-3526300.0600000005</v>
      </c>
      <c r="DM224" s="208">
        <v>-2869485</v>
      </c>
      <c r="DN224" s="208">
        <v>-2295586</v>
      </c>
      <c r="DO224" s="208">
        <v>-573896</v>
      </c>
      <c r="DP224" s="208">
        <v>0</v>
      </c>
      <c r="DQ224" s="208">
        <v>-5738967</v>
      </c>
      <c r="DR224" s="208">
        <v>-1307786</v>
      </c>
      <c r="DS224" s="208">
        <v>-1046229</v>
      </c>
      <c r="DT224" s="208">
        <v>-261557</v>
      </c>
      <c r="DU224" s="208">
        <v>0</v>
      </c>
      <c r="DV224" s="208">
        <v>-2615572</v>
      </c>
      <c r="DW224" s="208">
        <v>-1561699</v>
      </c>
      <c r="DX224" s="208">
        <v>-1249357</v>
      </c>
      <c r="DY224" s="208">
        <v>-312339</v>
      </c>
      <c r="DZ224" s="208">
        <v>0</v>
      </c>
      <c r="EA224" s="208">
        <v>-3123395</v>
      </c>
      <c r="EB224" s="208">
        <v>0</v>
      </c>
      <c r="EC224" s="208">
        <v>17135267</v>
      </c>
      <c r="ED224" s="208">
        <v>39982291</v>
      </c>
      <c r="EE224" s="208">
        <v>0</v>
      </c>
      <c r="EF224" s="208">
        <v>57117558</v>
      </c>
      <c r="EG224" s="208">
        <v>0</v>
      </c>
      <c r="EH224" s="208">
        <v>21274418</v>
      </c>
      <c r="EI224" s="208">
        <v>49640309</v>
      </c>
      <c r="EJ224" s="208">
        <v>0</v>
      </c>
      <c r="EK224" s="208">
        <v>70914727</v>
      </c>
      <c r="EL224" s="208">
        <v>0</v>
      </c>
      <c r="EM224" s="208">
        <v>4139151</v>
      </c>
      <c r="EN224" s="208">
        <v>9658018</v>
      </c>
      <c r="EO224" s="208">
        <v>0</v>
      </c>
      <c r="EP224" s="208">
        <v>13797169</v>
      </c>
      <c r="EQ224" s="208">
        <v>-1561699</v>
      </c>
      <c r="ER224" s="208">
        <v>2889794</v>
      </c>
      <c r="ES224" s="208">
        <v>9345679</v>
      </c>
      <c r="ET224" s="208">
        <v>0</v>
      </c>
      <c r="EU224" s="208">
        <v>10673774</v>
      </c>
      <c r="EV224" s="666">
        <v>0</v>
      </c>
      <c r="EW224" s="666">
        <v>0.3</v>
      </c>
      <c r="EX224" s="666">
        <v>0.7</v>
      </c>
      <c r="EY224" s="666">
        <v>0</v>
      </c>
      <c r="EZ224" s="666">
        <v>1</v>
      </c>
      <c r="FA224" s="187" t="s">
        <v>1054</v>
      </c>
      <c r="FC224" s="187">
        <v>0</v>
      </c>
    </row>
    <row r="225" spans="1:159" s="187" customFormat="1" x14ac:dyDescent="0.2">
      <c r="B225" s="429" t="s">
        <v>527</v>
      </c>
      <c r="C225" s="429" t="s">
        <v>526</v>
      </c>
      <c r="D225" s="208">
        <v>13223198</v>
      </c>
      <c r="E225" s="208">
        <v>10578559</v>
      </c>
      <c r="F225" s="208">
        <v>2380176</v>
      </c>
      <c r="G225" s="208">
        <v>264464</v>
      </c>
      <c r="H225" s="208">
        <v>26446397</v>
      </c>
      <c r="I225" s="208">
        <v>0</v>
      </c>
      <c r="J225" s="208">
        <v>0</v>
      </c>
      <c r="K225" s="208">
        <v>13223198</v>
      </c>
      <c r="L225" s="208">
        <v>111192</v>
      </c>
      <c r="M225" s="208">
        <v>111192</v>
      </c>
      <c r="N225" s="208">
        <v>0</v>
      </c>
      <c r="O225" s="208">
        <v>0</v>
      </c>
      <c r="P225" s="208">
        <v>543164</v>
      </c>
      <c r="Q225" s="208">
        <v>0</v>
      </c>
      <c r="R225" s="208">
        <v>543164</v>
      </c>
      <c r="S225" s="208">
        <v>0</v>
      </c>
      <c r="T225" s="208">
        <v>0</v>
      </c>
      <c r="U225" s="208">
        <v>0</v>
      </c>
      <c r="V225" s="208">
        <v>0</v>
      </c>
      <c r="W225" s="208">
        <v>0</v>
      </c>
      <c r="X225" s="208">
        <v>0</v>
      </c>
      <c r="Y225" s="208">
        <v>0</v>
      </c>
      <c r="Z225" s="208">
        <v>0</v>
      </c>
      <c r="AA225" s="208">
        <v>0</v>
      </c>
      <c r="AB225" s="208">
        <v>0</v>
      </c>
      <c r="AC225" s="208">
        <v>0</v>
      </c>
      <c r="AD225" s="208">
        <v>0</v>
      </c>
      <c r="AE225" s="208">
        <v>0</v>
      </c>
      <c r="AF225" s="208">
        <v>0</v>
      </c>
      <c r="AG225" s="208">
        <v>1229763</v>
      </c>
      <c r="AH225" s="208">
        <v>273895</v>
      </c>
      <c r="AI225" s="208">
        <v>30432</v>
      </c>
      <c r="AJ225" s="208">
        <v>1534090</v>
      </c>
      <c r="AK225" s="208">
        <v>245506</v>
      </c>
      <c r="AL225" s="208">
        <v>196405</v>
      </c>
      <c r="AM225" s="208">
        <v>44191</v>
      </c>
      <c r="AN225" s="208">
        <v>4910</v>
      </c>
      <c r="AO225" s="208">
        <v>491012</v>
      </c>
      <c r="AP225" s="208">
        <v>-133846</v>
      </c>
      <c r="AQ225" s="208">
        <v>-107076</v>
      </c>
      <c r="AR225" s="208">
        <v>-24092</v>
      </c>
      <c r="AS225" s="208">
        <v>-2677</v>
      </c>
      <c r="AT225" s="208">
        <v>-267691</v>
      </c>
      <c r="AU225" s="208">
        <v>-106399</v>
      </c>
      <c r="AV225" s="208">
        <v>-85120</v>
      </c>
      <c r="AW225" s="208">
        <v>-19152</v>
      </c>
      <c r="AX225" s="208">
        <v>-2128</v>
      </c>
      <c r="AY225" s="208">
        <v>-212799</v>
      </c>
      <c r="AZ225" s="208">
        <v>43808</v>
      </c>
      <c r="BA225" s="208">
        <v>35046</v>
      </c>
      <c r="BB225" s="208">
        <v>7885</v>
      </c>
      <c r="BC225" s="208">
        <v>876</v>
      </c>
      <c r="BD225" s="208">
        <v>87615</v>
      </c>
      <c r="BE225" s="208">
        <v>-81459</v>
      </c>
      <c r="BF225" s="208">
        <v>-65166</v>
      </c>
      <c r="BG225" s="208">
        <v>-14662</v>
      </c>
      <c r="BH225" s="208">
        <v>-1629</v>
      </c>
      <c r="BI225" s="208">
        <v>-162916</v>
      </c>
      <c r="BJ225" s="208">
        <v>-144050</v>
      </c>
      <c r="BK225" s="208">
        <v>-115240</v>
      </c>
      <c r="BL225" s="208">
        <v>-25929</v>
      </c>
      <c r="BM225" s="208">
        <v>-2881</v>
      </c>
      <c r="BN225" s="208">
        <v>-288100</v>
      </c>
      <c r="BO225" s="208">
        <v>-1553882</v>
      </c>
      <c r="BP225" s="208">
        <v>-1243106</v>
      </c>
      <c r="BQ225" s="208">
        <v>-279699</v>
      </c>
      <c r="BR225" s="208">
        <v>-31078</v>
      </c>
      <c r="BS225" s="208">
        <v>-3107765</v>
      </c>
      <c r="BT225" s="208">
        <v>0</v>
      </c>
      <c r="BU225" s="208">
        <v>0</v>
      </c>
      <c r="BV225" s="208">
        <v>0</v>
      </c>
      <c r="BW225" s="208">
        <v>0</v>
      </c>
      <c r="BX225" s="208">
        <v>0</v>
      </c>
      <c r="BY225" s="208">
        <v>-1553882</v>
      </c>
      <c r="BZ225" s="208">
        <v>-1243106</v>
      </c>
      <c r="CA225" s="208">
        <v>-279699</v>
      </c>
      <c r="CB225" s="208">
        <v>-31078</v>
      </c>
      <c r="CC225" s="208">
        <v>-3107765</v>
      </c>
      <c r="CD225" s="208">
        <v>157703</v>
      </c>
      <c r="CE225" s="208">
        <v>126162</v>
      </c>
      <c r="CF225" s="208">
        <v>28386</v>
      </c>
      <c r="CG225" s="208">
        <v>3154</v>
      </c>
      <c r="CH225" s="208">
        <v>315405</v>
      </c>
      <c r="CI225" s="208">
        <v>16884</v>
      </c>
      <c r="CJ225" s="208">
        <v>13508</v>
      </c>
      <c r="CK225" s="208">
        <v>3039</v>
      </c>
      <c r="CL225" s="208">
        <v>338</v>
      </c>
      <c r="CM225" s="208">
        <v>33769</v>
      </c>
      <c r="CN225" s="208">
        <v>-180000</v>
      </c>
      <c r="CO225" s="208">
        <v>-144000</v>
      </c>
      <c r="CP225" s="208">
        <v>-32400</v>
      </c>
      <c r="CQ225" s="208">
        <v>-3600</v>
      </c>
      <c r="CR225" s="208">
        <v>-360000</v>
      </c>
      <c r="CS225" s="208">
        <v>-43495</v>
      </c>
      <c r="CT225" s="208">
        <v>-34796</v>
      </c>
      <c r="CU225" s="208">
        <v>-7829</v>
      </c>
      <c r="CV225" s="208">
        <v>-870</v>
      </c>
      <c r="CW225" s="208">
        <v>-86990</v>
      </c>
      <c r="CX225" s="208">
        <v>-1602790</v>
      </c>
      <c r="CY225" s="208">
        <v>-1282232</v>
      </c>
      <c r="CZ225" s="208">
        <v>-288503</v>
      </c>
      <c r="DA225" s="208">
        <v>-32056</v>
      </c>
      <c r="DB225" s="208">
        <v>-3205581</v>
      </c>
      <c r="DC225" s="208">
        <v>-22297</v>
      </c>
      <c r="DD225" s="208">
        <v>-17838</v>
      </c>
      <c r="DE225" s="208">
        <v>-4014</v>
      </c>
      <c r="DF225" s="208">
        <v>-446</v>
      </c>
      <c r="DG225" s="208">
        <v>-44595</v>
      </c>
      <c r="DH225" s="208">
        <v>-1580493</v>
      </c>
      <c r="DI225" s="208">
        <v>-1264394</v>
      </c>
      <c r="DJ225" s="208">
        <v>-284489</v>
      </c>
      <c r="DK225" s="208">
        <v>-31610</v>
      </c>
      <c r="DL225" s="208">
        <v>-3160986</v>
      </c>
      <c r="DM225" s="208">
        <v>262783</v>
      </c>
      <c r="DN225" s="208">
        <v>210227</v>
      </c>
      <c r="DO225" s="208">
        <v>47302</v>
      </c>
      <c r="DP225" s="208">
        <v>5255</v>
      </c>
      <c r="DQ225" s="208">
        <v>525567</v>
      </c>
      <c r="DR225" s="208">
        <v>1266852</v>
      </c>
      <c r="DS225" s="208">
        <v>1013482</v>
      </c>
      <c r="DT225" s="208">
        <v>228033</v>
      </c>
      <c r="DU225" s="208">
        <v>25337</v>
      </c>
      <c r="DV225" s="208">
        <v>2533704</v>
      </c>
      <c r="DW225" s="208">
        <v>-1004069</v>
      </c>
      <c r="DX225" s="208">
        <v>-803255</v>
      </c>
      <c r="DY225" s="208">
        <v>-180731</v>
      </c>
      <c r="DZ225" s="208">
        <v>-20082</v>
      </c>
      <c r="EA225" s="208">
        <v>-2008137</v>
      </c>
      <c r="EB225" s="208">
        <v>12576276</v>
      </c>
      <c r="EC225" s="208">
        <v>10061022</v>
      </c>
      <c r="ED225" s="208">
        <v>2263730</v>
      </c>
      <c r="EE225" s="208">
        <v>251526</v>
      </c>
      <c r="EF225" s="208">
        <v>25152554</v>
      </c>
      <c r="EG225" s="208">
        <v>13223198</v>
      </c>
      <c r="EH225" s="208">
        <v>10578559</v>
      </c>
      <c r="EI225" s="208">
        <v>2380176</v>
      </c>
      <c r="EJ225" s="208">
        <v>264464</v>
      </c>
      <c r="EK225" s="208">
        <v>26446397</v>
      </c>
      <c r="EL225" s="208">
        <v>646922</v>
      </c>
      <c r="EM225" s="208">
        <v>517537</v>
      </c>
      <c r="EN225" s="208">
        <v>116446</v>
      </c>
      <c r="EO225" s="208">
        <v>12938</v>
      </c>
      <c r="EP225" s="208">
        <v>1293843</v>
      </c>
      <c r="EQ225" s="208">
        <v>-357147</v>
      </c>
      <c r="ER225" s="208">
        <v>-285718</v>
      </c>
      <c r="ES225" s="208">
        <v>-64285</v>
      </c>
      <c r="ET225" s="208">
        <v>-7144</v>
      </c>
      <c r="EU225" s="208">
        <v>-714294</v>
      </c>
      <c r="EV225" s="666">
        <v>0.5</v>
      </c>
      <c r="EW225" s="666">
        <v>0.4</v>
      </c>
      <c r="EX225" s="666">
        <v>0.09</v>
      </c>
      <c r="EY225" s="666">
        <v>0.01</v>
      </c>
      <c r="EZ225" s="666">
        <v>1</v>
      </c>
      <c r="FA225" s="187" t="s">
        <v>1054</v>
      </c>
      <c r="FC225" s="187">
        <v>0</v>
      </c>
    </row>
    <row r="226" spans="1:159" s="187" customFormat="1" x14ac:dyDescent="0.2">
      <c r="B226" s="429" t="s">
        <v>529</v>
      </c>
      <c r="C226" s="429" t="s">
        <v>528</v>
      </c>
      <c r="D226" s="208">
        <v>24057713</v>
      </c>
      <c r="E226" s="208">
        <v>19246170</v>
      </c>
      <c r="F226" s="208">
        <v>4330388</v>
      </c>
      <c r="G226" s="208">
        <v>481154</v>
      </c>
      <c r="H226" s="208">
        <v>48115425</v>
      </c>
      <c r="I226" s="208">
        <v>0</v>
      </c>
      <c r="J226" s="208">
        <v>0</v>
      </c>
      <c r="K226" s="208">
        <v>24057713</v>
      </c>
      <c r="L226" s="208">
        <v>119115</v>
      </c>
      <c r="M226" s="208">
        <v>119115</v>
      </c>
      <c r="N226" s="208">
        <v>0</v>
      </c>
      <c r="O226" s="208">
        <v>0</v>
      </c>
      <c r="P226" s="208">
        <v>0</v>
      </c>
      <c r="Q226" s="208">
        <v>0</v>
      </c>
      <c r="R226" s="208">
        <v>0</v>
      </c>
      <c r="S226" s="208">
        <v>0</v>
      </c>
      <c r="T226" s="208">
        <v>0</v>
      </c>
      <c r="U226" s="208">
        <v>0</v>
      </c>
      <c r="V226" s="208">
        <v>0</v>
      </c>
      <c r="W226" s="208">
        <v>0</v>
      </c>
      <c r="X226" s="208">
        <v>0</v>
      </c>
      <c r="Y226" s="208">
        <v>0</v>
      </c>
      <c r="Z226" s="208">
        <v>0</v>
      </c>
      <c r="AA226" s="208">
        <v>0</v>
      </c>
      <c r="AB226" s="208">
        <v>0</v>
      </c>
      <c r="AC226" s="208">
        <v>0</v>
      </c>
      <c r="AD226" s="208">
        <v>0</v>
      </c>
      <c r="AE226" s="208">
        <v>0</v>
      </c>
      <c r="AF226" s="208">
        <v>0</v>
      </c>
      <c r="AG226" s="208">
        <v>1248769</v>
      </c>
      <c r="AH226" s="208">
        <v>280972</v>
      </c>
      <c r="AI226" s="208">
        <v>31219</v>
      </c>
      <c r="AJ226" s="208">
        <v>1560960</v>
      </c>
      <c r="AK226" s="208">
        <v>785169</v>
      </c>
      <c r="AL226" s="208">
        <v>628134</v>
      </c>
      <c r="AM226" s="208">
        <v>141330</v>
      </c>
      <c r="AN226" s="208">
        <v>15703</v>
      </c>
      <c r="AO226" s="208">
        <v>1570336</v>
      </c>
      <c r="AP226" s="208">
        <v>-654603</v>
      </c>
      <c r="AQ226" s="208">
        <v>-523682</v>
      </c>
      <c r="AR226" s="208">
        <v>-117829</v>
      </c>
      <c r="AS226" s="208">
        <v>-13092</v>
      </c>
      <c r="AT226" s="208">
        <v>-1309206</v>
      </c>
      <c r="AU226" s="208">
        <v>-265530.73</v>
      </c>
      <c r="AV226" s="208">
        <v>-212425</v>
      </c>
      <c r="AW226" s="208">
        <v>-47796</v>
      </c>
      <c r="AX226" s="208">
        <v>-5311</v>
      </c>
      <c r="AY226" s="208">
        <v>-531062.73</v>
      </c>
      <c r="AZ226" s="208">
        <v>181944</v>
      </c>
      <c r="BA226" s="208">
        <v>145556</v>
      </c>
      <c r="BB226" s="208">
        <v>32750</v>
      </c>
      <c r="BC226" s="208">
        <v>3639</v>
      </c>
      <c r="BD226" s="208">
        <v>363889</v>
      </c>
      <c r="BE226" s="208">
        <v>-168555</v>
      </c>
      <c r="BF226" s="208">
        <v>-134844</v>
      </c>
      <c r="BG226" s="208">
        <v>-30340</v>
      </c>
      <c r="BH226" s="208">
        <v>-3371</v>
      </c>
      <c r="BI226" s="208">
        <v>-337110</v>
      </c>
      <c r="BJ226" s="208">
        <v>-252141.72999999998</v>
      </c>
      <c r="BK226" s="208">
        <v>-201713</v>
      </c>
      <c r="BL226" s="208">
        <v>-45386</v>
      </c>
      <c r="BM226" s="208">
        <v>-5043</v>
      </c>
      <c r="BN226" s="208">
        <v>-504283.73</v>
      </c>
      <c r="BO226" s="208">
        <v>-4096996</v>
      </c>
      <c r="BP226" s="208">
        <v>-3277596</v>
      </c>
      <c r="BQ226" s="208">
        <v>-737459</v>
      </c>
      <c r="BR226" s="208">
        <v>-81940</v>
      </c>
      <c r="BS226" s="208">
        <v>-8193991</v>
      </c>
      <c r="BT226" s="208">
        <v>-2009781</v>
      </c>
      <c r="BU226" s="208">
        <v>-1607825</v>
      </c>
      <c r="BV226" s="208">
        <v>-361761</v>
      </c>
      <c r="BW226" s="208">
        <v>-40196</v>
      </c>
      <c r="BX226" s="208">
        <v>-4019563</v>
      </c>
      <c r="BY226" s="208">
        <v>-2087214</v>
      </c>
      <c r="BZ226" s="208">
        <v>-1669771</v>
      </c>
      <c r="CA226" s="208">
        <v>-375699</v>
      </c>
      <c r="CB226" s="208">
        <v>-41744</v>
      </c>
      <c r="CC226" s="208">
        <v>-4174428</v>
      </c>
      <c r="CD226" s="208">
        <v>554251</v>
      </c>
      <c r="CE226" s="208">
        <v>443401</v>
      </c>
      <c r="CF226" s="208">
        <v>99765</v>
      </c>
      <c r="CG226" s="208">
        <v>11085</v>
      </c>
      <c r="CH226" s="208">
        <v>1108502</v>
      </c>
      <c r="CI226" s="208">
        <v>449589</v>
      </c>
      <c r="CJ226" s="208">
        <v>359672</v>
      </c>
      <c r="CK226" s="208">
        <v>80926</v>
      </c>
      <c r="CL226" s="208">
        <v>8992</v>
      </c>
      <c r="CM226" s="208">
        <v>899179</v>
      </c>
      <c r="CN226" s="208">
        <v>479738</v>
      </c>
      <c r="CO226" s="208">
        <v>383790</v>
      </c>
      <c r="CP226" s="208">
        <v>86353</v>
      </c>
      <c r="CQ226" s="208">
        <v>9595</v>
      </c>
      <c r="CR226" s="208">
        <v>959476</v>
      </c>
      <c r="CS226" s="208">
        <v>-2894756</v>
      </c>
      <c r="CT226" s="208">
        <v>-2315805</v>
      </c>
      <c r="CU226" s="208">
        <v>-521056</v>
      </c>
      <c r="CV226" s="208">
        <v>-57895</v>
      </c>
      <c r="CW226" s="208">
        <v>-5789512</v>
      </c>
      <c r="CX226" s="208">
        <v>-5508174</v>
      </c>
      <c r="CY226" s="208">
        <v>-4406538</v>
      </c>
      <c r="CZ226" s="208">
        <v>-991471</v>
      </c>
      <c r="DA226" s="208">
        <v>-110163</v>
      </c>
      <c r="DB226" s="208">
        <v>-11016346</v>
      </c>
      <c r="DC226" s="208">
        <v>-975792</v>
      </c>
      <c r="DD226" s="208">
        <v>-780634</v>
      </c>
      <c r="DE226" s="208">
        <v>-175643</v>
      </c>
      <c r="DF226" s="208">
        <v>-19516</v>
      </c>
      <c r="DG226" s="208">
        <v>-1951585</v>
      </c>
      <c r="DH226" s="208">
        <v>-4532381</v>
      </c>
      <c r="DI226" s="208">
        <v>-3625904</v>
      </c>
      <c r="DJ226" s="208">
        <v>-815829</v>
      </c>
      <c r="DK226" s="208">
        <v>-90647</v>
      </c>
      <c r="DL226" s="208">
        <v>-9064761</v>
      </c>
      <c r="DM226" s="208">
        <v>-297066</v>
      </c>
      <c r="DN226" s="208">
        <v>-237654</v>
      </c>
      <c r="DO226" s="208">
        <v>-53472</v>
      </c>
      <c r="DP226" s="208">
        <v>-5942</v>
      </c>
      <c r="DQ226" s="208">
        <v>-594134</v>
      </c>
      <c r="DR226" s="208">
        <v>-27075</v>
      </c>
      <c r="DS226" s="208">
        <v>-21659</v>
      </c>
      <c r="DT226" s="208">
        <v>-4873</v>
      </c>
      <c r="DU226" s="208">
        <v>-541</v>
      </c>
      <c r="DV226" s="208">
        <v>-54148</v>
      </c>
      <c r="DW226" s="208">
        <v>-269991</v>
      </c>
      <c r="DX226" s="208">
        <v>-215995</v>
      </c>
      <c r="DY226" s="208">
        <v>-48599</v>
      </c>
      <c r="DZ226" s="208">
        <v>-5401</v>
      </c>
      <c r="EA226" s="208">
        <v>-539986</v>
      </c>
      <c r="EB226" s="208">
        <v>24746871</v>
      </c>
      <c r="EC226" s="208">
        <v>19797496</v>
      </c>
      <c r="ED226" s="208">
        <v>4454437</v>
      </c>
      <c r="EE226" s="208">
        <v>494937</v>
      </c>
      <c r="EF226" s="208">
        <v>49493741</v>
      </c>
      <c r="EG226" s="208">
        <v>24057713</v>
      </c>
      <c r="EH226" s="208">
        <v>19246170</v>
      </c>
      <c r="EI226" s="208">
        <v>4330388</v>
      </c>
      <c r="EJ226" s="208">
        <v>481154</v>
      </c>
      <c r="EK226" s="208">
        <v>48115425</v>
      </c>
      <c r="EL226" s="208">
        <v>-689158</v>
      </c>
      <c r="EM226" s="208">
        <v>-551326</v>
      </c>
      <c r="EN226" s="208">
        <v>-124049</v>
      </c>
      <c r="EO226" s="208">
        <v>-13783</v>
      </c>
      <c r="EP226" s="208">
        <v>-1378316</v>
      </c>
      <c r="EQ226" s="208">
        <v>-959149</v>
      </c>
      <c r="ER226" s="208">
        <v>-767321</v>
      </c>
      <c r="ES226" s="208">
        <v>-172648</v>
      </c>
      <c r="ET226" s="208">
        <v>-19184</v>
      </c>
      <c r="EU226" s="208">
        <v>-1918302</v>
      </c>
      <c r="EV226" s="666">
        <v>0.5</v>
      </c>
      <c r="EW226" s="666">
        <v>0.4</v>
      </c>
      <c r="EX226" s="666">
        <v>0.09</v>
      </c>
      <c r="EY226" s="666">
        <v>0.01</v>
      </c>
      <c r="EZ226" s="666">
        <v>1</v>
      </c>
      <c r="FA226" s="187" t="s">
        <v>1054</v>
      </c>
      <c r="FC226" s="187">
        <v>0</v>
      </c>
    </row>
    <row r="227" spans="1:159" s="187" customFormat="1" x14ac:dyDescent="0.2">
      <c r="B227" s="429" t="s">
        <v>531</v>
      </c>
      <c r="C227" s="429" t="s">
        <v>530</v>
      </c>
      <c r="D227" s="208">
        <v>5614255</v>
      </c>
      <c r="E227" s="208">
        <v>5501970</v>
      </c>
      <c r="F227" s="208">
        <v>0</v>
      </c>
      <c r="G227" s="208">
        <v>112285</v>
      </c>
      <c r="H227" s="208">
        <v>11228510</v>
      </c>
      <c r="I227" s="208">
        <v>0</v>
      </c>
      <c r="J227" s="208">
        <v>0</v>
      </c>
      <c r="K227" s="208">
        <v>5614255</v>
      </c>
      <c r="L227" s="208">
        <v>57760</v>
      </c>
      <c r="M227" s="208">
        <v>57760</v>
      </c>
      <c r="N227" s="208">
        <v>0</v>
      </c>
      <c r="O227" s="208">
        <v>0</v>
      </c>
      <c r="P227" s="208">
        <v>44576</v>
      </c>
      <c r="Q227" s="208">
        <v>0</v>
      </c>
      <c r="R227" s="208">
        <v>44576</v>
      </c>
      <c r="S227" s="208">
        <v>0</v>
      </c>
      <c r="T227" s="208">
        <v>0</v>
      </c>
      <c r="U227" s="208">
        <v>0</v>
      </c>
      <c r="V227" s="208">
        <v>0</v>
      </c>
      <c r="W227" s="208">
        <v>0</v>
      </c>
      <c r="X227" s="208">
        <v>0</v>
      </c>
      <c r="Y227" s="208">
        <v>0</v>
      </c>
      <c r="Z227" s="208">
        <v>0</v>
      </c>
      <c r="AA227" s="208">
        <v>0</v>
      </c>
      <c r="AB227" s="208">
        <v>0</v>
      </c>
      <c r="AC227" s="208">
        <v>0</v>
      </c>
      <c r="AD227" s="208">
        <v>0</v>
      </c>
      <c r="AE227" s="208">
        <v>0</v>
      </c>
      <c r="AF227" s="208">
        <v>0</v>
      </c>
      <c r="AG227" s="208">
        <v>824911</v>
      </c>
      <c r="AH227" s="208">
        <v>0</v>
      </c>
      <c r="AI227" s="208">
        <v>16814</v>
      </c>
      <c r="AJ227" s="208">
        <v>841725</v>
      </c>
      <c r="AK227" s="208">
        <v>82041</v>
      </c>
      <c r="AL227" s="208">
        <v>80400</v>
      </c>
      <c r="AM227" s="208">
        <v>0</v>
      </c>
      <c r="AN227" s="208">
        <v>1641</v>
      </c>
      <c r="AO227" s="208">
        <v>164082</v>
      </c>
      <c r="AP227" s="208">
        <v>-55263</v>
      </c>
      <c r="AQ227" s="208">
        <v>-54158</v>
      </c>
      <c r="AR227" s="208">
        <v>0</v>
      </c>
      <c r="AS227" s="208">
        <v>-1105</v>
      </c>
      <c r="AT227" s="208">
        <v>-110526</v>
      </c>
      <c r="AU227" s="208">
        <v>-51654</v>
      </c>
      <c r="AV227" s="208">
        <v>-50620</v>
      </c>
      <c r="AW227" s="208">
        <v>0</v>
      </c>
      <c r="AX227" s="208">
        <v>-1033</v>
      </c>
      <c r="AY227" s="208">
        <v>-103307</v>
      </c>
      <c r="AZ227" s="208">
        <v>11651</v>
      </c>
      <c r="BA227" s="208">
        <v>11418</v>
      </c>
      <c r="BB227" s="208">
        <v>0</v>
      </c>
      <c r="BC227" s="208">
        <v>233</v>
      </c>
      <c r="BD227" s="208">
        <v>23302</v>
      </c>
      <c r="BE227" s="208">
        <v>-4135</v>
      </c>
      <c r="BF227" s="208">
        <v>-4052</v>
      </c>
      <c r="BG227" s="208">
        <v>0</v>
      </c>
      <c r="BH227" s="208">
        <v>-83</v>
      </c>
      <c r="BI227" s="208">
        <v>-8270</v>
      </c>
      <c r="BJ227" s="208">
        <v>-44138</v>
      </c>
      <c r="BK227" s="208">
        <v>-43254</v>
      </c>
      <c r="BL227" s="208">
        <v>0</v>
      </c>
      <c r="BM227" s="208">
        <v>-883</v>
      </c>
      <c r="BN227" s="208">
        <v>-88275</v>
      </c>
      <c r="BO227" s="208">
        <v>-528996.39999999991</v>
      </c>
      <c r="BP227" s="208">
        <v>-518416</v>
      </c>
      <c r="BQ227" s="208">
        <v>0</v>
      </c>
      <c r="BR227" s="208">
        <v>-10580</v>
      </c>
      <c r="BS227" s="208">
        <v>-1057992.3999999999</v>
      </c>
      <c r="BT227" s="208">
        <v>-184620</v>
      </c>
      <c r="BU227" s="208">
        <v>-180928</v>
      </c>
      <c r="BV227" s="208">
        <v>0</v>
      </c>
      <c r="BW227" s="208">
        <v>-3692</v>
      </c>
      <c r="BX227" s="208">
        <v>-369240</v>
      </c>
      <c r="BY227" s="208">
        <v>-344375.39999999991</v>
      </c>
      <c r="BZ227" s="208">
        <v>-337489</v>
      </c>
      <c r="CA227" s="208">
        <v>0</v>
      </c>
      <c r="CB227" s="208">
        <v>-6888</v>
      </c>
      <c r="CC227" s="208">
        <v>-688752.39999999991</v>
      </c>
      <c r="CD227" s="208">
        <v>126356</v>
      </c>
      <c r="CE227" s="208">
        <v>123829</v>
      </c>
      <c r="CF227" s="208">
        <v>0</v>
      </c>
      <c r="CG227" s="208">
        <v>2527</v>
      </c>
      <c r="CH227" s="208">
        <v>252712</v>
      </c>
      <c r="CI227" s="208">
        <v>0</v>
      </c>
      <c r="CJ227" s="208">
        <v>0</v>
      </c>
      <c r="CK227" s="208">
        <v>0</v>
      </c>
      <c r="CL227" s="208">
        <v>0</v>
      </c>
      <c r="CM227" s="208">
        <v>0</v>
      </c>
      <c r="CN227" s="208">
        <v>-37021</v>
      </c>
      <c r="CO227" s="208">
        <v>-36280</v>
      </c>
      <c r="CP227" s="208">
        <v>0</v>
      </c>
      <c r="CQ227" s="208">
        <v>-740</v>
      </c>
      <c r="CR227" s="208">
        <v>-74041</v>
      </c>
      <c r="CS227" s="208">
        <v>-374207</v>
      </c>
      <c r="CT227" s="208">
        <v>-366723</v>
      </c>
      <c r="CU227" s="208">
        <v>0</v>
      </c>
      <c r="CV227" s="208">
        <v>-7484</v>
      </c>
      <c r="CW227" s="208">
        <v>-748414</v>
      </c>
      <c r="CX227" s="208">
        <v>-813868.39999999991</v>
      </c>
      <c r="CY227" s="208">
        <v>-797590</v>
      </c>
      <c r="CZ227" s="208">
        <v>0</v>
      </c>
      <c r="DA227" s="208">
        <v>-16277</v>
      </c>
      <c r="DB227" s="208">
        <v>-1627735.4</v>
      </c>
      <c r="DC227" s="208">
        <v>-95285</v>
      </c>
      <c r="DD227" s="208">
        <v>-93379</v>
      </c>
      <c r="DE227" s="208">
        <v>0</v>
      </c>
      <c r="DF227" s="208">
        <v>-1905</v>
      </c>
      <c r="DG227" s="208">
        <v>-190569</v>
      </c>
      <c r="DH227" s="208">
        <v>-718582.39999999991</v>
      </c>
      <c r="DI227" s="208">
        <v>-704212</v>
      </c>
      <c r="DJ227" s="208">
        <v>0</v>
      </c>
      <c r="DK227" s="208">
        <v>-14372</v>
      </c>
      <c r="DL227" s="208">
        <v>-1437166.4</v>
      </c>
      <c r="DM227" s="208">
        <v>-385823</v>
      </c>
      <c r="DN227" s="208">
        <v>-378105</v>
      </c>
      <c r="DO227" s="208">
        <v>0</v>
      </c>
      <c r="DP227" s="208">
        <v>-7716</v>
      </c>
      <c r="DQ227" s="208">
        <v>-771644</v>
      </c>
      <c r="DR227" s="208">
        <v>-322604</v>
      </c>
      <c r="DS227" s="208">
        <v>-316151</v>
      </c>
      <c r="DT227" s="208">
        <v>0</v>
      </c>
      <c r="DU227" s="208">
        <v>-6452</v>
      </c>
      <c r="DV227" s="208">
        <v>-645207</v>
      </c>
      <c r="DW227" s="208">
        <v>-63219</v>
      </c>
      <c r="DX227" s="208">
        <v>-61954</v>
      </c>
      <c r="DY227" s="208">
        <v>0</v>
      </c>
      <c r="DZ227" s="208">
        <v>-1264</v>
      </c>
      <c r="EA227" s="208">
        <v>-126437</v>
      </c>
      <c r="EB227" s="208">
        <v>5613633</v>
      </c>
      <c r="EC227" s="208">
        <v>5501360</v>
      </c>
      <c r="ED227" s="208">
        <v>0</v>
      </c>
      <c r="EE227" s="208">
        <v>112273</v>
      </c>
      <c r="EF227" s="208">
        <v>11227266</v>
      </c>
      <c r="EG227" s="208">
        <v>5614255</v>
      </c>
      <c r="EH227" s="208">
        <v>5501970</v>
      </c>
      <c r="EI227" s="208">
        <v>0</v>
      </c>
      <c r="EJ227" s="208">
        <v>112285</v>
      </c>
      <c r="EK227" s="208">
        <v>11228510</v>
      </c>
      <c r="EL227" s="208">
        <v>622</v>
      </c>
      <c r="EM227" s="208">
        <v>610</v>
      </c>
      <c r="EN227" s="208">
        <v>0</v>
      </c>
      <c r="EO227" s="208">
        <v>12</v>
      </c>
      <c r="EP227" s="208">
        <v>1244</v>
      </c>
      <c r="EQ227" s="208">
        <v>-62597</v>
      </c>
      <c r="ER227" s="208">
        <v>-61344</v>
      </c>
      <c r="ES227" s="208">
        <v>0</v>
      </c>
      <c r="ET227" s="208">
        <v>-1252</v>
      </c>
      <c r="EU227" s="208">
        <v>-125193</v>
      </c>
      <c r="EV227" s="666">
        <v>0.5</v>
      </c>
      <c r="EW227" s="666">
        <v>0.49</v>
      </c>
      <c r="EX227" s="666">
        <v>0</v>
      </c>
      <c r="EY227" s="666">
        <v>0.01</v>
      </c>
      <c r="EZ227" s="666">
        <v>1</v>
      </c>
      <c r="FA227" s="187" t="s">
        <v>742</v>
      </c>
      <c r="FC227" s="187">
        <v>0</v>
      </c>
    </row>
    <row r="228" spans="1:159" s="187" customFormat="1" x14ac:dyDescent="0.2">
      <c r="B228" s="429" t="s">
        <v>533</v>
      </c>
      <c r="C228" s="429" t="s">
        <v>532</v>
      </c>
      <c r="D228" s="208">
        <v>8791620</v>
      </c>
      <c r="E228" s="208">
        <v>7033295</v>
      </c>
      <c r="F228" s="208">
        <v>1582491</v>
      </c>
      <c r="G228" s="208">
        <v>175832</v>
      </c>
      <c r="H228" s="208">
        <v>17583238</v>
      </c>
      <c r="I228" s="208">
        <v>0</v>
      </c>
      <c r="J228" s="208">
        <v>0</v>
      </c>
      <c r="K228" s="208">
        <v>8791620</v>
      </c>
      <c r="L228" s="208">
        <v>109934</v>
      </c>
      <c r="M228" s="208">
        <v>109934</v>
      </c>
      <c r="N228" s="208">
        <v>0</v>
      </c>
      <c r="O228" s="208">
        <v>0</v>
      </c>
      <c r="P228" s="208">
        <v>26950</v>
      </c>
      <c r="Q228" s="208">
        <v>0</v>
      </c>
      <c r="R228" s="208">
        <v>26950</v>
      </c>
      <c r="S228" s="208">
        <v>0</v>
      </c>
      <c r="T228" s="208">
        <v>0</v>
      </c>
      <c r="U228" s="208">
        <v>0</v>
      </c>
      <c r="V228" s="208">
        <v>0</v>
      </c>
      <c r="W228" s="208">
        <v>0</v>
      </c>
      <c r="X228" s="208">
        <v>0</v>
      </c>
      <c r="Y228" s="208">
        <v>0</v>
      </c>
      <c r="Z228" s="208">
        <v>0</v>
      </c>
      <c r="AA228" s="208">
        <v>0</v>
      </c>
      <c r="AB228" s="208">
        <v>0</v>
      </c>
      <c r="AC228" s="208">
        <v>0</v>
      </c>
      <c r="AD228" s="208">
        <v>0</v>
      </c>
      <c r="AE228" s="208">
        <v>0</v>
      </c>
      <c r="AF228" s="208">
        <v>0</v>
      </c>
      <c r="AG228" s="208">
        <v>1221489</v>
      </c>
      <c r="AH228" s="208">
        <v>274696</v>
      </c>
      <c r="AI228" s="208">
        <v>30520</v>
      </c>
      <c r="AJ228" s="208">
        <v>1526705</v>
      </c>
      <c r="AK228" s="208">
        <v>50743</v>
      </c>
      <c r="AL228" s="208">
        <v>40594</v>
      </c>
      <c r="AM228" s="208">
        <v>9134</v>
      </c>
      <c r="AN228" s="208">
        <v>1015</v>
      </c>
      <c r="AO228" s="208">
        <v>101486</v>
      </c>
      <c r="AP228" s="208">
        <v>-55817</v>
      </c>
      <c r="AQ228" s="208">
        <v>-44654</v>
      </c>
      <c r="AR228" s="208">
        <v>-10047</v>
      </c>
      <c r="AS228" s="208">
        <v>-1116</v>
      </c>
      <c r="AT228" s="208">
        <v>-111634</v>
      </c>
      <c r="AU228" s="208">
        <v>-25000</v>
      </c>
      <c r="AV228" s="208">
        <v>-20000</v>
      </c>
      <c r="AW228" s="208">
        <v>-4500</v>
      </c>
      <c r="AX228" s="208">
        <v>-500</v>
      </c>
      <c r="AY228" s="208">
        <v>-50000</v>
      </c>
      <c r="AZ228" s="208">
        <v>0</v>
      </c>
      <c r="BA228" s="208">
        <v>0</v>
      </c>
      <c r="BB228" s="208">
        <v>0</v>
      </c>
      <c r="BC228" s="208">
        <v>0</v>
      </c>
      <c r="BD228" s="208">
        <v>0</v>
      </c>
      <c r="BE228" s="208">
        <v>14953</v>
      </c>
      <c r="BF228" s="208">
        <v>11963</v>
      </c>
      <c r="BG228" s="208">
        <v>2692</v>
      </c>
      <c r="BH228" s="208">
        <v>299</v>
      </c>
      <c r="BI228" s="208">
        <v>29907</v>
      </c>
      <c r="BJ228" s="208">
        <v>-10047</v>
      </c>
      <c r="BK228" s="208">
        <v>-8037</v>
      </c>
      <c r="BL228" s="208">
        <v>-1808</v>
      </c>
      <c r="BM228" s="208">
        <v>-201</v>
      </c>
      <c r="BN228" s="208">
        <v>-20093</v>
      </c>
      <c r="BO228" s="208">
        <v>-1460500</v>
      </c>
      <c r="BP228" s="208">
        <v>-1168400</v>
      </c>
      <c r="BQ228" s="208">
        <v>-262890</v>
      </c>
      <c r="BR228" s="208">
        <v>-29210</v>
      </c>
      <c r="BS228" s="208">
        <v>-2921000</v>
      </c>
      <c r="BT228" s="208">
        <v>-1080000</v>
      </c>
      <c r="BU228" s="208">
        <v>-864000</v>
      </c>
      <c r="BV228" s="208">
        <v>-194400</v>
      </c>
      <c r="BW228" s="208">
        <v>-21600</v>
      </c>
      <c r="BX228" s="208">
        <v>-2160000</v>
      </c>
      <c r="BY228" s="208">
        <v>-380500</v>
      </c>
      <c r="BZ228" s="208">
        <v>-304400</v>
      </c>
      <c r="CA228" s="208">
        <v>-68490</v>
      </c>
      <c r="CB228" s="208">
        <v>-7610</v>
      </c>
      <c r="CC228" s="208">
        <v>-761000</v>
      </c>
      <c r="CD228" s="208">
        <v>1150847</v>
      </c>
      <c r="CE228" s="208">
        <v>920678</v>
      </c>
      <c r="CF228" s="208">
        <v>207152</v>
      </c>
      <c r="CG228" s="208">
        <v>23017</v>
      </c>
      <c r="CH228" s="208">
        <v>2301694</v>
      </c>
      <c r="CI228" s="208">
        <v>405875</v>
      </c>
      <c r="CJ228" s="208">
        <v>324700</v>
      </c>
      <c r="CK228" s="208">
        <v>73057</v>
      </c>
      <c r="CL228" s="208">
        <v>8117</v>
      </c>
      <c r="CM228" s="208">
        <v>811749</v>
      </c>
      <c r="CN228" s="208">
        <v>-152025</v>
      </c>
      <c r="CO228" s="208">
        <v>-121621</v>
      </c>
      <c r="CP228" s="208">
        <v>-27365</v>
      </c>
      <c r="CQ228" s="208">
        <v>-3041</v>
      </c>
      <c r="CR228" s="208">
        <v>-304052</v>
      </c>
      <c r="CS228" s="208">
        <v>-565073</v>
      </c>
      <c r="CT228" s="208">
        <v>-452058</v>
      </c>
      <c r="CU228" s="208">
        <v>-101713</v>
      </c>
      <c r="CV228" s="208">
        <v>-11301</v>
      </c>
      <c r="CW228" s="208">
        <v>-1130145</v>
      </c>
      <c r="CX228" s="208">
        <v>-620876</v>
      </c>
      <c r="CY228" s="208">
        <v>-496701</v>
      </c>
      <c r="CZ228" s="208">
        <v>-111759</v>
      </c>
      <c r="DA228" s="208">
        <v>-12418</v>
      </c>
      <c r="DB228" s="208">
        <v>-1241754</v>
      </c>
      <c r="DC228" s="208">
        <v>-81178</v>
      </c>
      <c r="DD228" s="208">
        <v>-64943</v>
      </c>
      <c r="DE228" s="208">
        <v>-14613</v>
      </c>
      <c r="DF228" s="208">
        <v>-1624</v>
      </c>
      <c r="DG228" s="208">
        <v>-162358</v>
      </c>
      <c r="DH228" s="208">
        <v>-539698</v>
      </c>
      <c r="DI228" s="208">
        <v>-431758</v>
      </c>
      <c r="DJ228" s="208">
        <v>-97146</v>
      </c>
      <c r="DK228" s="208">
        <v>-10794</v>
      </c>
      <c r="DL228" s="208">
        <v>-1079396</v>
      </c>
      <c r="DM228" s="208">
        <v>-633221</v>
      </c>
      <c r="DN228" s="208">
        <v>-506575</v>
      </c>
      <c r="DO228" s="208">
        <v>-113980</v>
      </c>
      <c r="DP228" s="208">
        <v>-12665</v>
      </c>
      <c r="DQ228" s="208">
        <v>-1266441</v>
      </c>
      <c r="DR228" s="208">
        <v>-209238</v>
      </c>
      <c r="DS228" s="208">
        <v>-167390</v>
      </c>
      <c r="DT228" s="208">
        <v>-37663</v>
      </c>
      <c r="DU228" s="208">
        <v>-4185</v>
      </c>
      <c r="DV228" s="208">
        <v>-418476</v>
      </c>
      <c r="DW228" s="208">
        <v>-423983</v>
      </c>
      <c r="DX228" s="208">
        <v>-339185</v>
      </c>
      <c r="DY228" s="208">
        <v>-76317</v>
      </c>
      <c r="DZ228" s="208">
        <v>-8480</v>
      </c>
      <c r="EA228" s="208">
        <v>-847965</v>
      </c>
      <c r="EB228" s="208">
        <v>8622049</v>
      </c>
      <c r="EC228" s="208">
        <v>6897639</v>
      </c>
      <c r="ED228" s="208">
        <v>1551969</v>
      </c>
      <c r="EE228" s="208">
        <v>172441</v>
      </c>
      <c r="EF228" s="208">
        <v>17244098</v>
      </c>
      <c r="EG228" s="208">
        <v>8791620</v>
      </c>
      <c r="EH228" s="208">
        <v>7033295</v>
      </c>
      <c r="EI228" s="208">
        <v>1582491</v>
      </c>
      <c r="EJ228" s="208">
        <v>175832</v>
      </c>
      <c r="EK228" s="208">
        <v>17583238</v>
      </c>
      <c r="EL228" s="208">
        <v>169571</v>
      </c>
      <c r="EM228" s="208">
        <v>135656</v>
      </c>
      <c r="EN228" s="208">
        <v>30522</v>
      </c>
      <c r="EO228" s="208">
        <v>3391</v>
      </c>
      <c r="EP228" s="208">
        <v>339140</v>
      </c>
      <c r="EQ228" s="208">
        <v>-254412</v>
      </c>
      <c r="ER228" s="208">
        <v>-203529</v>
      </c>
      <c r="ES228" s="208">
        <v>-45795</v>
      </c>
      <c r="ET228" s="208">
        <v>-5089</v>
      </c>
      <c r="EU228" s="208">
        <v>-508825</v>
      </c>
      <c r="EV228" s="666">
        <v>0.5</v>
      </c>
      <c r="EW228" s="666">
        <v>0.4</v>
      </c>
      <c r="EX228" s="666">
        <v>0.09</v>
      </c>
      <c r="EY228" s="666">
        <v>0.01</v>
      </c>
      <c r="EZ228" s="666">
        <v>1</v>
      </c>
      <c r="FA228" s="187" t="s">
        <v>1054</v>
      </c>
      <c r="FC228" s="187">
        <v>0</v>
      </c>
    </row>
    <row r="229" spans="1:159" s="187" customFormat="1" x14ac:dyDescent="0.2">
      <c r="B229" s="429" t="s">
        <v>535</v>
      </c>
      <c r="C229" s="429" t="s">
        <v>534</v>
      </c>
      <c r="D229" s="208">
        <v>0</v>
      </c>
      <c r="E229" s="208">
        <v>89154872</v>
      </c>
      <c r="F229" s="208">
        <v>0</v>
      </c>
      <c r="G229" s="208">
        <v>900554</v>
      </c>
      <c r="H229" s="208">
        <v>90055426</v>
      </c>
      <c r="I229" s="208">
        <v>0</v>
      </c>
      <c r="J229" s="208">
        <v>0</v>
      </c>
      <c r="K229" s="208">
        <v>0</v>
      </c>
      <c r="L229" s="208">
        <v>448986</v>
      </c>
      <c r="M229" s="208">
        <v>448986</v>
      </c>
      <c r="N229" s="208">
        <v>0</v>
      </c>
      <c r="O229" s="208">
        <v>0</v>
      </c>
      <c r="P229" s="208">
        <v>0</v>
      </c>
      <c r="Q229" s="208">
        <v>0</v>
      </c>
      <c r="R229" s="208">
        <v>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8786340</v>
      </c>
      <c r="AH229" s="208">
        <v>0</v>
      </c>
      <c r="AI229" s="208">
        <v>88752</v>
      </c>
      <c r="AJ229" s="208">
        <v>8875092</v>
      </c>
      <c r="AK229" s="208">
        <v>0</v>
      </c>
      <c r="AL229" s="208">
        <v>22820505</v>
      </c>
      <c r="AM229" s="208">
        <v>0</v>
      </c>
      <c r="AN229" s="208">
        <v>230510</v>
      </c>
      <c r="AO229" s="208">
        <v>23051015</v>
      </c>
      <c r="AP229" s="208">
        <v>0</v>
      </c>
      <c r="AQ229" s="208">
        <v>-5118585</v>
      </c>
      <c r="AR229" s="208">
        <v>0</v>
      </c>
      <c r="AS229" s="208">
        <v>-51703</v>
      </c>
      <c r="AT229" s="208">
        <v>-5170288</v>
      </c>
      <c r="AU229" s="208">
        <v>0</v>
      </c>
      <c r="AV229" s="208">
        <v>-15977140</v>
      </c>
      <c r="AW229" s="208">
        <v>0</v>
      </c>
      <c r="AX229" s="208">
        <v>-161385</v>
      </c>
      <c r="AY229" s="208">
        <v>-16138525</v>
      </c>
      <c r="AZ229" s="208">
        <v>0</v>
      </c>
      <c r="BA229" s="208">
        <v>3696966</v>
      </c>
      <c r="BB229" s="208">
        <v>0</v>
      </c>
      <c r="BC229" s="208">
        <v>37343</v>
      </c>
      <c r="BD229" s="208">
        <v>3734309</v>
      </c>
      <c r="BE229" s="208">
        <v>0</v>
      </c>
      <c r="BF229" s="208">
        <v>-2940029</v>
      </c>
      <c r="BG229" s="208">
        <v>0</v>
      </c>
      <c r="BH229" s="208">
        <v>-29697</v>
      </c>
      <c r="BI229" s="208">
        <v>-2969726</v>
      </c>
      <c r="BJ229" s="208">
        <v>0</v>
      </c>
      <c r="BK229" s="208">
        <v>-15220203</v>
      </c>
      <c r="BL229" s="208">
        <v>0</v>
      </c>
      <c r="BM229" s="208">
        <v>-153739</v>
      </c>
      <c r="BN229" s="208">
        <v>-15373942</v>
      </c>
      <c r="BO229" s="208">
        <v>0</v>
      </c>
      <c r="BP229" s="208">
        <v>-10420622</v>
      </c>
      <c r="BQ229" s="208">
        <v>0</v>
      </c>
      <c r="BR229" s="208">
        <v>-105259</v>
      </c>
      <c r="BS229" s="208">
        <v>-10525881</v>
      </c>
      <c r="BT229" s="208">
        <v>0</v>
      </c>
      <c r="BU229" s="208">
        <v>-6100199</v>
      </c>
      <c r="BV229" s="208">
        <v>0</v>
      </c>
      <c r="BW229" s="208">
        <v>-61618</v>
      </c>
      <c r="BX229" s="208">
        <v>-6161817</v>
      </c>
      <c r="BY229" s="208">
        <v>0</v>
      </c>
      <c r="BZ229" s="208">
        <v>-4320423</v>
      </c>
      <c r="CA229" s="208">
        <v>0</v>
      </c>
      <c r="CB229" s="208">
        <v>-43641</v>
      </c>
      <c r="CC229" s="208">
        <v>-4364064</v>
      </c>
      <c r="CD229" s="208">
        <v>0</v>
      </c>
      <c r="CE229" s="208">
        <v>1464728</v>
      </c>
      <c r="CF229" s="208">
        <v>0</v>
      </c>
      <c r="CG229" s="208">
        <v>14795</v>
      </c>
      <c r="CH229" s="208">
        <v>1479523</v>
      </c>
      <c r="CI229" s="208">
        <v>0</v>
      </c>
      <c r="CJ229" s="208">
        <v>1286212</v>
      </c>
      <c r="CK229" s="208">
        <v>0</v>
      </c>
      <c r="CL229" s="208">
        <v>12992</v>
      </c>
      <c r="CM229" s="208">
        <v>1299204</v>
      </c>
      <c r="CN229" s="208">
        <v>0</v>
      </c>
      <c r="CO229" s="208">
        <v>127526</v>
      </c>
      <c r="CP229" s="208">
        <v>0</v>
      </c>
      <c r="CQ229" s="208">
        <v>1288</v>
      </c>
      <c r="CR229" s="208">
        <v>128814</v>
      </c>
      <c r="CS229" s="208">
        <v>0</v>
      </c>
      <c r="CT229" s="208">
        <v>-3237895</v>
      </c>
      <c r="CU229" s="208">
        <v>0</v>
      </c>
      <c r="CV229" s="208">
        <v>-32706</v>
      </c>
      <c r="CW229" s="208">
        <v>-3270601</v>
      </c>
      <c r="CX229" s="208">
        <v>0</v>
      </c>
      <c r="CY229" s="208">
        <v>-10780051</v>
      </c>
      <c r="CZ229" s="208">
        <v>0</v>
      </c>
      <c r="DA229" s="208">
        <v>-108890</v>
      </c>
      <c r="DB229" s="208">
        <v>-10888941</v>
      </c>
      <c r="DC229" s="208">
        <v>0</v>
      </c>
      <c r="DD229" s="208">
        <v>-4507945</v>
      </c>
      <c r="DE229" s="208">
        <v>0</v>
      </c>
      <c r="DF229" s="208">
        <v>-45535</v>
      </c>
      <c r="DG229" s="208">
        <v>-4553480</v>
      </c>
      <c r="DH229" s="208">
        <v>0</v>
      </c>
      <c r="DI229" s="208">
        <v>-6272106</v>
      </c>
      <c r="DJ229" s="208">
        <v>0</v>
      </c>
      <c r="DK229" s="208">
        <v>-63355</v>
      </c>
      <c r="DL229" s="208">
        <v>-6335461</v>
      </c>
      <c r="DM229" s="208">
        <v>-488933</v>
      </c>
      <c r="DN229" s="208">
        <v>-1756386.96</v>
      </c>
      <c r="DO229" s="208">
        <v>0</v>
      </c>
      <c r="DP229" s="208">
        <v>-22680.04</v>
      </c>
      <c r="DQ229" s="208">
        <v>-2268000</v>
      </c>
      <c r="DR229" s="208">
        <v>-488933</v>
      </c>
      <c r="DS229" s="208">
        <v>-2172051</v>
      </c>
      <c r="DT229" s="208">
        <v>0</v>
      </c>
      <c r="DU229" s="208">
        <v>-26879</v>
      </c>
      <c r="DV229" s="208">
        <v>-2687863</v>
      </c>
      <c r="DW229" s="208">
        <v>0</v>
      </c>
      <c r="DX229" s="208">
        <v>415664.04000000004</v>
      </c>
      <c r="DY229" s="208">
        <v>0</v>
      </c>
      <c r="DZ229" s="208">
        <v>4198.9599999999991</v>
      </c>
      <c r="EA229" s="208">
        <v>419863</v>
      </c>
      <c r="EB229" s="208">
        <v>0</v>
      </c>
      <c r="EC229" s="208">
        <v>89583406</v>
      </c>
      <c r="ED229" s="208">
        <v>0</v>
      </c>
      <c r="EE229" s="208">
        <v>904883</v>
      </c>
      <c r="EF229" s="208">
        <v>90488289</v>
      </c>
      <c r="EG229" s="208">
        <v>0</v>
      </c>
      <c r="EH229" s="208">
        <v>89154872</v>
      </c>
      <c r="EI229" s="208">
        <v>0</v>
      </c>
      <c r="EJ229" s="208">
        <v>900554</v>
      </c>
      <c r="EK229" s="208">
        <v>90055426</v>
      </c>
      <c r="EL229" s="208">
        <v>0</v>
      </c>
      <c r="EM229" s="208">
        <v>-428534</v>
      </c>
      <c r="EN229" s="208">
        <v>0</v>
      </c>
      <c r="EO229" s="208">
        <v>-4329</v>
      </c>
      <c r="EP229" s="208">
        <v>-432863</v>
      </c>
      <c r="EQ229" s="208">
        <v>0</v>
      </c>
      <c r="ER229" s="208">
        <v>-12869.959999999963</v>
      </c>
      <c r="ES229" s="208">
        <v>0</v>
      </c>
      <c r="ET229" s="208">
        <v>-130.04000000000087</v>
      </c>
      <c r="EU229" s="208">
        <v>-13000</v>
      </c>
      <c r="EV229" s="666">
        <v>0</v>
      </c>
      <c r="EW229" s="666">
        <v>0.99</v>
      </c>
      <c r="EX229" s="666">
        <v>0</v>
      </c>
      <c r="EY229" s="666">
        <v>0.01</v>
      </c>
      <c r="EZ229" s="666">
        <v>1</v>
      </c>
      <c r="FA229" s="187" t="s">
        <v>1056</v>
      </c>
      <c r="FC229" s="187">
        <v>0</v>
      </c>
    </row>
    <row r="230" spans="1:159" s="187" customFormat="1" x14ac:dyDescent="0.2">
      <c r="B230" s="429" t="s">
        <v>537</v>
      </c>
      <c r="C230" s="429" t="s">
        <v>536</v>
      </c>
      <c r="D230" s="208">
        <v>0</v>
      </c>
      <c r="E230" s="208">
        <v>96056651</v>
      </c>
      <c r="F230" s="208">
        <v>0</v>
      </c>
      <c r="G230" s="208">
        <v>970269</v>
      </c>
      <c r="H230" s="208">
        <v>97026920</v>
      </c>
      <c r="I230" s="208">
        <v>0</v>
      </c>
      <c r="J230" s="208">
        <v>0</v>
      </c>
      <c r="K230" s="208">
        <v>0</v>
      </c>
      <c r="L230" s="208">
        <v>441022</v>
      </c>
      <c r="M230" s="208">
        <v>441022</v>
      </c>
      <c r="N230" s="208">
        <v>0</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12158212</v>
      </c>
      <c r="AH230" s="208">
        <v>0</v>
      </c>
      <c r="AI230" s="208">
        <v>122810</v>
      </c>
      <c r="AJ230" s="208">
        <v>12281022</v>
      </c>
      <c r="AK230" s="208">
        <v>0</v>
      </c>
      <c r="AL230" s="208">
        <v>3145590</v>
      </c>
      <c r="AM230" s="208">
        <v>0</v>
      </c>
      <c r="AN230" s="208">
        <v>31774</v>
      </c>
      <c r="AO230" s="208">
        <v>3177364</v>
      </c>
      <c r="AP230" s="208">
        <v>0</v>
      </c>
      <c r="AQ230" s="208">
        <v>-1015297</v>
      </c>
      <c r="AR230" s="208">
        <v>0</v>
      </c>
      <c r="AS230" s="208">
        <v>-10256</v>
      </c>
      <c r="AT230" s="208">
        <v>-1025553</v>
      </c>
      <c r="AU230" s="208">
        <v>0</v>
      </c>
      <c r="AV230" s="208">
        <v>-2585979</v>
      </c>
      <c r="AW230" s="208">
        <v>0</v>
      </c>
      <c r="AX230" s="208">
        <v>-26121</v>
      </c>
      <c r="AY230" s="208">
        <v>-2612100</v>
      </c>
      <c r="AZ230" s="208">
        <v>0</v>
      </c>
      <c r="BA230" s="208">
        <v>1519952</v>
      </c>
      <c r="BB230" s="208">
        <v>0</v>
      </c>
      <c r="BC230" s="208">
        <v>15353</v>
      </c>
      <c r="BD230" s="208">
        <v>1535305</v>
      </c>
      <c r="BE230" s="208">
        <v>0</v>
      </c>
      <c r="BF230" s="208">
        <v>-121973</v>
      </c>
      <c r="BG230" s="208">
        <v>0</v>
      </c>
      <c r="BH230" s="208">
        <v>-1232</v>
      </c>
      <c r="BI230" s="208">
        <v>-123205</v>
      </c>
      <c r="BJ230" s="208">
        <v>0</v>
      </c>
      <c r="BK230" s="208">
        <v>-1188000</v>
      </c>
      <c r="BL230" s="208">
        <v>0</v>
      </c>
      <c r="BM230" s="208">
        <v>-12000</v>
      </c>
      <c r="BN230" s="208">
        <v>-1200000</v>
      </c>
      <c r="BO230" s="208">
        <v>0</v>
      </c>
      <c r="BP230" s="208">
        <v>-2301844</v>
      </c>
      <c r="BQ230" s="208">
        <v>0</v>
      </c>
      <c r="BR230" s="208">
        <v>-23251</v>
      </c>
      <c r="BS230" s="208">
        <v>-2325095</v>
      </c>
      <c r="BT230" s="208">
        <v>0</v>
      </c>
      <c r="BU230" s="208">
        <v>0</v>
      </c>
      <c r="BV230" s="208">
        <v>0</v>
      </c>
      <c r="BW230" s="208">
        <v>0</v>
      </c>
      <c r="BX230" s="208">
        <v>0</v>
      </c>
      <c r="BY230" s="208">
        <v>0</v>
      </c>
      <c r="BZ230" s="208">
        <v>-2301844</v>
      </c>
      <c r="CA230" s="208">
        <v>0</v>
      </c>
      <c r="CB230" s="208">
        <v>-23251</v>
      </c>
      <c r="CC230" s="208">
        <v>-2325095</v>
      </c>
      <c r="CD230" s="208">
        <v>0</v>
      </c>
      <c r="CE230" s="208">
        <v>0</v>
      </c>
      <c r="CF230" s="208">
        <v>0</v>
      </c>
      <c r="CG230" s="208">
        <v>0</v>
      </c>
      <c r="CH230" s="208">
        <v>0</v>
      </c>
      <c r="CI230" s="208">
        <v>0</v>
      </c>
      <c r="CJ230" s="208">
        <v>0</v>
      </c>
      <c r="CK230" s="208">
        <v>0</v>
      </c>
      <c r="CL230" s="208">
        <v>0</v>
      </c>
      <c r="CM230" s="208">
        <v>0</v>
      </c>
      <c r="CN230" s="208">
        <v>0</v>
      </c>
      <c r="CO230" s="208">
        <v>-1650537</v>
      </c>
      <c r="CP230" s="208">
        <v>0</v>
      </c>
      <c r="CQ230" s="208">
        <v>-16672</v>
      </c>
      <c r="CR230" s="208">
        <v>-1667209</v>
      </c>
      <c r="CS230" s="208">
        <v>0</v>
      </c>
      <c r="CT230" s="208">
        <v>0</v>
      </c>
      <c r="CU230" s="208">
        <v>0</v>
      </c>
      <c r="CV230" s="208">
        <v>0</v>
      </c>
      <c r="CW230" s="208">
        <v>0</v>
      </c>
      <c r="CX230" s="208">
        <v>0</v>
      </c>
      <c r="CY230" s="208">
        <v>-3952381</v>
      </c>
      <c r="CZ230" s="208">
        <v>0</v>
      </c>
      <c r="DA230" s="208">
        <v>-39923</v>
      </c>
      <c r="DB230" s="208">
        <v>-3992304</v>
      </c>
      <c r="DC230" s="208">
        <v>0</v>
      </c>
      <c r="DD230" s="208">
        <v>-1650537</v>
      </c>
      <c r="DE230" s="208">
        <v>0</v>
      </c>
      <c r="DF230" s="208">
        <v>-16672</v>
      </c>
      <c r="DG230" s="208">
        <v>-1667209</v>
      </c>
      <c r="DH230" s="208">
        <v>0</v>
      </c>
      <c r="DI230" s="208">
        <v>-2301844</v>
      </c>
      <c r="DJ230" s="208">
        <v>0</v>
      </c>
      <c r="DK230" s="208">
        <v>-23251</v>
      </c>
      <c r="DL230" s="208">
        <v>-2325095</v>
      </c>
      <c r="DM230" s="208">
        <v>419117</v>
      </c>
      <c r="DN230" s="208">
        <v>-8975053</v>
      </c>
      <c r="DO230" s="208">
        <v>0</v>
      </c>
      <c r="DP230" s="208">
        <v>-86424</v>
      </c>
      <c r="DQ230" s="208">
        <v>-8642360</v>
      </c>
      <c r="DR230" s="208">
        <v>421606</v>
      </c>
      <c r="DS230" s="208">
        <v>-9070383</v>
      </c>
      <c r="DT230" s="208">
        <v>0</v>
      </c>
      <c r="DU230" s="208">
        <v>-87361</v>
      </c>
      <c r="DV230" s="208">
        <v>-8736138</v>
      </c>
      <c r="DW230" s="208">
        <v>-2489</v>
      </c>
      <c r="DX230" s="208">
        <v>95330</v>
      </c>
      <c r="DY230" s="208">
        <v>0</v>
      </c>
      <c r="DZ230" s="208">
        <v>937</v>
      </c>
      <c r="EA230" s="208">
        <v>93778</v>
      </c>
      <c r="EB230" s="208">
        <v>0</v>
      </c>
      <c r="EC230" s="208">
        <v>96095387</v>
      </c>
      <c r="ED230" s="208">
        <v>0</v>
      </c>
      <c r="EE230" s="208">
        <v>970660</v>
      </c>
      <c r="EF230" s="208">
        <v>97066047</v>
      </c>
      <c r="EG230" s="208">
        <v>0</v>
      </c>
      <c r="EH230" s="208">
        <v>96056651</v>
      </c>
      <c r="EI230" s="208">
        <v>0</v>
      </c>
      <c r="EJ230" s="208">
        <v>970269</v>
      </c>
      <c r="EK230" s="208">
        <v>97026920</v>
      </c>
      <c r="EL230" s="208">
        <v>0</v>
      </c>
      <c r="EM230" s="208">
        <v>-38736</v>
      </c>
      <c r="EN230" s="208">
        <v>0</v>
      </c>
      <c r="EO230" s="208">
        <v>-391</v>
      </c>
      <c r="EP230" s="208">
        <v>-39127</v>
      </c>
      <c r="EQ230" s="208">
        <v>-2489</v>
      </c>
      <c r="ER230" s="208">
        <v>56594</v>
      </c>
      <c r="ES230" s="208">
        <v>0</v>
      </c>
      <c r="ET230" s="208">
        <v>546</v>
      </c>
      <c r="EU230" s="208">
        <v>54651</v>
      </c>
      <c r="EV230" s="666">
        <v>0</v>
      </c>
      <c r="EW230" s="666">
        <v>0.99</v>
      </c>
      <c r="EX230" s="666">
        <v>0</v>
      </c>
      <c r="EY230" s="666">
        <v>0.01</v>
      </c>
      <c r="EZ230" s="666">
        <v>1</v>
      </c>
      <c r="FA230" s="187" t="s">
        <v>1056</v>
      </c>
      <c r="FC230" s="187">
        <v>0</v>
      </c>
    </row>
    <row r="231" spans="1:159" s="187" customFormat="1" x14ac:dyDescent="0.2">
      <c r="B231" s="429" t="s">
        <v>539</v>
      </c>
      <c r="C231" s="429" t="s">
        <v>538</v>
      </c>
      <c r="D231" s="208">
        <v>18066728</v>
      </c>
      <c r="E231" s="208">
        <v>14453383</v>
      </c>
      <c r="F231" s="208">
        <v>3252011</v>
      </c>
      <c r="G231" s="208">
        <v>361335</v>
      </c>
      <c r="H231" s="208">
        <v>36133457</v>
      </c>
      <c r="I231" s="208">
        <v>0</v>
      </c>
      <c r="J231" s="208">
        <v>0</v>
      </c>
      <c r="K231" s="208">
        <v>18066728</v>
      </c>
      <c r="L231" s="208">
        <v>260038</v>
      </c>
      <c r="M231" s="208">
        <v>260038</v>
      </c>
      <c r="N231" s="208">
        <v>0</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2818159</v>
      </c>
      <c r="AH231" s="208">
        <v>634085</v>
      </c>
      <c r="AI231" s="208">
        <v>70455</v>
      </c>
      <c r="AJ231" s="208">
        <v>3522699</v>
      </c>
      <c r="AK231" s="208">
        <v>692059</v>
      </c>
      <c r="AL231" s="208">
        <v>553647</v>
      </c>
      <c r="AM231" s="208">
        <v>124571</v>
      </c>
      <c r="AN231" s="208">
        <v>13841</v>
      </c>
      <c r="AO231" s="208">
        <v>1384118</v>
      </c>
      <c r="AP231" s="208">
        <v>-448424</v>
      </c>
      <c r="AQ231" s="208">
        <v>-358738</v>
      </c>
      <c r="AR231" s="208">
        <v>-80716</v>
      </c>
      <c r="AS231" s="208">
        <v>-8968</v>
      </c>
      <c r="AT231" s="208">
        <v>-896846</v>
      </c>
      <c r="AU231" s="208">
        <v>-268108.29000000004</v>
      </c>
      <c r="AV231" s="208">
        <v>-214487</v>
      </c>
      <c r="AW231" s="208">
        <v>-48259</v>
      </c>
      <c r="AX231" s="208">
        <v>-5362</v>
      </c>
      <c r="AY231" s="208">
        <v>-536216.29</v>
      </c>
      <c r="AZ231" s="208">
        <v>0</v>
      </c>
      <c r="BA231" s="208">
        <v>0</v>
      </c>
      <c r="BB231" s="208">
        <v>0</v>
      </c>
      <c r="BC231" s="208">
        <v>0</v>
      </c>
      <c r="BD231" s="208">
        <v>0</v>
      </c>
      <c r="BE231" s="208">
        <v>7995</v>
      </c>
      <c r="BF231" s="208">
        <v>6396</v>
      </c>
      <c r="BG231" s="208">
        <v>1439</v>
      </c>
      <c r="BH231" s="208">
        <v>160</v>
      </c>
      <c r="BI231" s="208">
        <v>15990</v>
      </c>
      <c r="BJ231" s="208">
        <v>-260113.29000000004</v>
      </c>
      <c r="BK231" s="208">
        <v>-208091</v>
      </c>
      <c r="BL231" s="208">
        <v>-46820</v>
      </c>
      <c r="BM231" s="208">
        <v>-5202</v>
      </c>
      <c r="BN231" s="208">
        <v>-520226.29000000004</v>
      </c>
      <c r="BO231" s="208">
        <v>-2167066</v>
      </c>
      <c r="BP231" s="208">
        <v>-1733653</v>
      </c>
      <c r="BQ231" s="208">
        <v>-390072</v>
      </c>
      <c r="BR231" s="208">
        <v>-43341</v>
      </c>
      <c r="BS231" s="208">
        <v>-4334132</v>
      </c>
      <c r="BT231" s="208">
        <v>-1260538</v>
      </c>
      <c r="BU231" s="208">
        <v>-1008430</v>
      </c>
      <c r="BV231" s="208">
        <v>-226897</v>
      </c>
      <c r="BW231" s="208">
        <v>-25211</v>
      </c>
      <c r="BX231" s="208">
        <v>-2521076</v>
      </c>
      <c r="BY231" s="208">
        <v>-906528</v>
      </c>
      <c r="BZ231" s="208">
        <v>-725222</v>
      </c>
      <c r="CA231" s="208">
        <v>-163175</v>
      </c>
      <c r="CB231" s="208">
        <v>-18131</v>
      </c>
      <c r="CC231" s="208">
        <v>-1813056</v>
      </c>
      <c r="CD231" s="208">
        <v>310466</v>
      </c>
      <c r="CE231" s="208">
        <v>248372</v>
      </c>
      <c r="CF231" s="208">
        <v>55884</v>
      </c>
      <c r="CG231" s="208">
        <v>6209</v>
      </c>
      <c r="CH231" s="208">
        <v>620931</v>
      </c>
      <c r="CI231" s="208">
        <v>430505</v>
      </c>
      <c r="CJ231" s="208">
        <v>344404</v>
      </c>
      <c r="CK231" s="208">
        <v>77491</v>
      </c>
      <c r="CL231" s="208">
        <v>8610</v>
      </c>
      <c r="CM231" s="208">
        <v>861010</v>
      </c>
      <c r="CN231" s="208">
        <v>-23738</v>
      </c>
      <c r="CO231" s="208">
        <v>-18991</v>
      </c>
      <c r="CP231" s="208">
        <v>-4273</v>
      </c>
      <c r="CQ231" s="208">
        <v>-475</v>
      </c>
      <c r="CR231" s="208">
        <v>-47477</v>
      </c>
      <c r="CS231" s="208">
        <v>-909261</v>
      </c>
      <c r="CT231" s="208">
        <v>-727409</v>
      </c>
      <c r="CU231" s="208">
        <v>-163667</v>
      </c>
      <c r="CV231" s="208">
        <v>-18185</v>
      </c>
      <c r="CW231" s="208">
        <v>-1818522</v>
      </c>
      <c r="CX231" s="208">
        <v>-2359094</v>
      </c>
      <c r="CY231" s="208">
        <v>-1887277</v>
      </c>
      <c r="CZ231" s="208">
        <v>-424637</v>
      </c>
      <c r="DA231" s="208">
        <v>-47182</v>
      </c>
      <c r="DB231" s="208">
        <v>-4718190</v>
      </c>
      <c r="DC231" s="208">
        <v>-973810</v>
      </c>
      <c r="DD231" s="208">
        <v>-779049</v>
      </c>
      <c r="DE231" s="208">
        <v>-175286</v>
      </c>
      <c r="DF231" s="208">
        <v>-19477</v>
      </c>
      <c r="DG231" s="208">
        <v>-1947622</v>
      </c>
      <c r="DH231" s="208">
        <v>-1385284</v>
      </c>
      <c r="DI231" s="208">
        <v>-1108227</v>
      </c>
      <c r="DJ231" s="208">
        <v>-249351</v>
      </c>
      <c r="DK231" s="208">
        <v>-27706</v>
      </c>
      <c r="DL231" s="208">
        <v>-2770568</v>
      </c>
      <c r="DM231" s="208">
        <v>177388.71000000089</v>
      </c>
      <c r="DN231" s="208">
        <v>141911</v>
      </c>
      <c r="DO231" s="208">
        <v>31930</v>
      </c>
      <c r="DP231" s="208">
        <v>3548</v>
      </c>
      <c r="DQ231" s="208">
        <v>354777.71000000089</v>
      </c>
      <c r="DR231" s="208">
        <v>29733</v>
      </c>
      <c r="DS231" s="208">
        <v>23786</v>
      </c>
      <c r="DT231" s="208">
        <v>5352</v>
      </c>
      <c r="DU231" s="208">
        <v>595</v>
      </c>
      <c r="DV231" s="208">
        <v>59466</v>
      </c>
      <c r="DW231" s="208">
        <v>147655.71000000089</v>
      </c>
      <c r="DX231" s="208">
        <v>118125</v>
      </c>
      <c r="DY231" s="208">
        <v>26578</v>
      </c>
      <c r="DZ231" s="208">
        <v>2953</v>
      </c>
      <c r="EA231" s="208">
        <v>295311.71000000089</v>
      </c>
      <c r="EB231" s="208">
        <v>18426803</v>
      </c>
      <c r="EC231" s="208">
        <v>14741442</v>
      </c>
      <c r="ED231" s="208">
        <v>3316824</v>
      </c>
      <c r="EE231" s="208">
        <v>368536</v>
      </c>
      <c r="EF231" s="208">
        <v>36853605</v>
      </c>
      <c r="EG231" s="208">
        <v>18066728</v>
      </c>
      <c r="EH231" s="208">
        <v>14453383</v>
      </c>
      <c r="EI231" s="208">
        <v>3252011</v>
      </c>
      <c r="EJ231" s="208">
        <v>361335</v>
      </c>
      <c r="EK231" s="208">
        <v>36133457</v>
      </c>
      <c r="EL231" s="208">
        <v>-360075</v>
      </c>
      <c r="EM231" s="208">
        <v>-288059</v>
      </c>
      <c r="EN231" s="208">
        <v>-64813</v>
      </c>
      <c r="EO231" s="208">
        <v>-7201</v>
      </c>
      <c r="EP231" s="208">
        <v>-720148</v>
      </c>
      <c r="EQ231" s="208">
        <v>-212419.28999999911</v>
      </c>
      <c r="ER231" s="208">
        <v>-169934</v>
      </c>
      <c r="ES231" s="208">
        <v>-38235</v>
      </c>
      <c r="ET231" s="208">
        <v>-4248</v>
      </c>
      <c r="EU231" s="208">
        <v>-424836.28999999911</v>
      </c>
      <c r="EV231" s="666">
        <v>0.5</v>
      </c>
      <c r="EW231" s="666">
        <v>0.4</v>
      </c>
      <c r="EX231" s="666">
        <v>0.09</v>
      </c>
      <c r="EY231" s="666">
        <v>0.01</v>
      </c>
      <c r="EZ231" s="666">
        <v>1</v>
      </c>
      <c r="FA231" s="187" t="s">
        <v>1054</v>
      </c>
      <c r="FC231" s="187">
        <v>0</v>
      </c>
    </row>
    <row r="232" spans="1:159" s="187" customFormat="1" x14ac:dyDescent="0.2">
      <c r="B232" s="429" t="s">
        <v>541</v>
      </c>
      <c r="C232" s="429" t="s">
        <v>540</v>
      </c>
      <c r="D232" s="208">
        <v>20097724</v>
      </c>
      <c r="E232" s="208">
        <v>16078179</v>
      </c>
      <c r="F232" s="208">
        <v>3617590</v>
      </c>
      <c r="G232" s="208">
        <v>401954</v>
      </c>
      <c r="H232" s="208">
        <v>40195447</v>
      </c>
      <c r="I232" s="208">
        <v>0</v>
      </c>
      <c r="J232" s="208">
        <v>0</v>
      </c>
      <c r="K232" s="208">
        <v>20097724</v>
      </c>
      <c r="L232" s="208">
        <v>164734</v>
      </c>
      <c r="M232" s="208">
        <v>164734</v>
      </c>
      <c r="N232" s="208">
        <v>0</v>
      </c>
      <c r="O232" s="208">
        <v>0</v>
      </c>
      <c r="P232" s="208">
        <v>252287</v>
      </c>
      <c r="Q232" s="208">
        <v>0</v>
      </c>
      <c r="R232" s="208">
        <v>252287</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1839336</v>
      </c>
      <c r="AH232" s="208">
        <v>412550</v>
      </c>
      <c r="AI232" s="208">
        <v>45838</v>
      </c>
      <c r="AJ232" s="208">
        <v>2297724</v>
      </c>
      <c r="AK232" s="208">
        <v>581124</v>
      </c>
      <c r="AL232" s="208">
        <v>464899</v>
      </c>
      <c r="AM232" s="208">
        <v>104602</v>
      </c>
      <c r="AN232" s="208">
        <v>11622</v>
      </c>
      <c r="AO232" s="208">
        <v>1162247</v>
      </c>
      <c r="AP232" s="208">
        <v>-275231</v>
      </c>
      <c r="AQ232" s="208">
        <v>-220185</v>
      </c>
      <c r="AR232" s="208">
        <v>-49542</v>
      </c>
      <c r="AS232" s="208">
        <v>-5505</v>
      </c>
      <c r="AT232" s="208">
        <v>-550463</v>
      </c>
      <c r="AU232" s="208">
        <v>-256961</v>
      </c>
      <c r="AV232" s="208">
        <v>-205568</v>
      </c>
      <c r="AW232" s="208">
        <v>-46253</v>
      </c>
      <c r="AX232" s="208">
        <v>-5139</v>
      </c>
      <c r="AY232" s="208">
        <v>-513921</v>
      </c>
      <c r="AZ232" s="208">
        <v>105724</v>
      </c>
      <c r="BA232" s="208">
        <v>84580</v>
      </c>
      <c r="BB232" s="208">
        <v>19031</v>
      </c>
      <c r="BC232" s="208">
        <v>2115</v>
      </c>
      <c r="BD232" s="208">
        <v>211450</v>
      </c>
      <c r="BE232" s="208">
        <v>-60398</v>
      </c>
      <c r="BF232" s="208">
        <v>-48319</v>
      </c>
      <c r="BG232" s="208">
        <v>-10872</v>
      </c>
      <c r="BH232" s="208">
        <v>-1208</v>
      </c>
      <c r="BI232" s="208">
        <v>-120797</v>
      </c>
      <c r="BJ232" s="208">
        <v>-211635</v>
      </c>
      <c r="BK232" s="208">
        <v>-169307</v>
      </c>
      <c r="BL232" s="208">
        <v>-38094</v>
      </c>
      <c r="BM232" s="208">
        <v>-4232</v>
      </c>
      <c r="BN232" s="208">
        <v>-423268</v>
      </c>
      <c r="BO232" s="208">
        <v>-1630929</v>
      </c>
      <c r="BP232" s="208">
        <v>-1304744</v>
      </c>
      <c r="BQ232" s="208">
        <v>-293567</v>
      </c>
      <c r="BR232" s="208">
        <v>-32619</v>
      </c>
      <c r="BS232" s="208">
        <v>-3261859</v>
      </c>
      <c r="BT232" s="208">
        <v>-1087100</v>
      </c>
      <c r="BU232" s="208">
        <v>-869680</v>
      </c>
      <c r="BV232" s="208">
        <v>-195678</v>
      </c>
      <c r="BW232" s="208">
        <v>-21742</v>
      </c>
      <c r="BX232" s="208">
        <v>-2174200</v>
      </c>
      <c r="BY232" s="208">
        <v>-543829</v>
      </c>
      <c r="BZ232" s="208">
        <v>-435064</v>
      </c>
      <c r="CA232" s="208">
        <v>-97889</v>
      </c>
      <c r="CB232" s="208">
        <v>-10877</v>
      </c>
      <c r="CC232" s="208">
        <v>-1087659</v>
      </c>
      <c r="CD232" s="208">
        <v>211583</v>
      </c>
      <c r="CE232" s="208">
        <v>169267</v>
      </c>
      <c r="CF232" s="208">
        <v>38085</v>
      </c>
      <c r="CG232" s="208">
        <v>4232</v>
      </c>
      <c r="CH232" s="208">
        <v>423167</v>
      </c>
      <c r="CI232" s="208">
        <v>24951</v>
      </c>
      <c r="CJ232" s="208">
        <v>19961</v>
      </c>
      <c r="CK232" s="208">
        <v>4491</v>
      </c>
      <c r="CL232" s="208">
        <v>499</v>
      </c>
      <c r="CM232" s="208">
        <v>49902</v>
      </c>
      <c r="CN232" s="208">
        <v>-89069</v>
      </c>
      <c r="CO232" s="208">
        <v>-71254</v>
      </c>
      <c r="CP232" s="208">
        <v>-16032</v>
      </c>
      <c r="CQ232" s="208">
        <v>-1781</v>
      </c>
      <c r="CR232" s="208">
        <v>-178136</v>
      </c>
      <c r="CS232" s="208">
        <v>-569902</v>
      </c>
      <c r="CT232" s="208">
        <v>-455921</v>
      </c>
      <c r="CU232" s="208">
        <v>-102582</v>
      </c>
      <c r="CV232" s="208">
        <v>-11398</v>
      </c>
      <c r="CW232" s="208">
        <v>-1139803</v>
      </c>
      <c r="CX232" s="208">
        <v>-2053366</v>
      </c>
      <c r="CY232" s="208">
        <v>-1642691</v>
      </c>
      <c r="CZ232" s="208">
        <v>-369605</v>
      </c>
      <c r="DA232" s="208">
        <v>-41067</v>
      </c>
      <c r="DB232" s="208">
        <v>-4106729</v>
      </c>
      <c r="DC232" s="208">
        <v>-964586</v>
      </c>
      <c r="DD232" s="208">
        <v>-771667</v>
      </c>
      <c r="DE232" s="208">
        <v>-173625</v>
      </c>
      <c r="DF232" s="208">
        <v>-19291</v>
      </c>
      <c r="DG232" s="208">
        <v>-1929169</v>
      </c>
      <c r="DH232" s="208">
        <v>-1088780</v>
      </c>
      <c r="DI232" s="208">
        <v>-871024</v>
      </c>
      <c r="DJ232" s="208">
        <v>-195980</v>
      </c>
      <c r="DK232" s="208">
        <v>-21776</v>
      </c>
      <c r="DL232" s="208">
        <v>-2177560</v>
      </c>
      <c r="DM232" s="208">
        <v>354628</v>
      </c>
      <c r="DN232" s="208">
        <v>283702</v>
      </c>
      <c r="DO232" s="208">
        <v>63832</v>
      </c>
      <c r="DP232" s="208">
        <v>7093</v>
      </c>
      <c r="DQ232" s="208">
        <v>709255</v>
      </c>
      <c r="DR232" s="208">
        <v>79054</v>
      </c>
      <c r="DS232" s="208">
        <v>63243</v>
      </c>
      <c r="DT232" s="208">
        <v>14230</v>
      </c>
      <c r="DU232" s="208">
        <v>1581</v>
      </c>
      <c r="DV232" s="208">
        <v>158108</v>
      </c>
      <c r="DW232" s="208">
        <v>275574</v>
      </c>
      <c r="DX232" s="208">
        <v>220459</v>
      </c>
      <c r="DY232" s="208">
        <v>49602</v>
      </c>
      <c r="DZ232" s="208">
        <v>5512</v>
      </c>
      <c r="EA232" s="208">
        <v>551147</v>
      </c>
      <c r="EB232" s="208">
        <v>19810192</v>
      </c>
      <c r="EC232" s="208">
        <v>15848154</v>
      </c>
      <c r="ED232" s="208">
        <v>3565835</v>
      </c>
      <c r="EE232" s="208">
        <v>396204</v>
      </c>
      <c r="EF232" s="208">
        <v>39620385</v>
      </c>
      <c r="EG232" s="208">
        <v>20097724</v>
      </c>
      <c r="EH232" s="208">
        <v>16078179</v>
      </c>
      <c r="EI232" s="208">
        <v>3617590</v>
      </c>
      <c r="EJ232" s="208">
        <v>401954</v>
      </c>
      <c r="EK232" s="208">
        <v>40195447</v>
      </c>
      <c r="EL232" s="208">
        <v>287532</v>
      </c>
      <c r="EM232" s="208">
        <v>230025</v>
      </c>
      <c r="EN232" s="208">
        <v>51755</v>
      </c>
      <c r="EO232" s="208">
        <v>5750</v>
      </c>
      <c r="EP232" s="208">
        <v>575062</v>
      </c>
      <c r="EQ232" s="208">
        <v>563106</v>
      </c>
      <c r="ER232" s="208">
        <v>450484</v>
      </c>
      <c r="ES232" s="208">
        <v>101357</v>
      </c>
      <c r="ET232" s="208">
        <v>11262</v>
      </c>
      <c r="EU232" s="208">
        <v>1126209</v>
      </c>
      <c r="EV232" s="666">
        <v>0.5</v>
      </c>
      <c r="EW232" s="666">
        <v>0.4</v>
      </c>
      <c r="EX232" s="666">
        <v>0.09</v>
      </c>
      <c r="EY232" s="666">
        <v>0.01</v>
      </c>
      <c r="EZ232" s="666">
        <v>1</v>
      </c>
      <c r="FA232" s="187" t="s">
        <v>1054</v>
      </c>
      <c r="FC232" s="187">
        <v>0</v>
      </c>
    </row>
    <row r="233" spans="1:159" s="187" customFormat="1" x14ac:dyDescent="0.2">
      <c r="B233" s="429" t="s">
        <v>543</v>
      </c>
      <c r="C233" s="429" t="s">
        <v>542</v>
      </c>
      <c r="D233" s="208">
        <v>0</v>
      </c>
      <c r="E233" s="208">
        <v>66122055</v>
      </c>
      <c r="F233" s="208">
        <v>0</v>
      </c>
      <c r="G233" s="208">
        <v>667900</v>
      </c>
      <c r="H233" s="208">
        <v>66789955</v>
      </c>
      <c r="I233" s="208">
        <v>0</v>
      </c>
      <c r="J233" s="208">
        <v>0</v>
      </c>
      <c r="K233" s="208">
        <v>0</v>
      </c>
      <c r="L233" s="208">
        <v>318969</v>
      </c>
      <c r="M233" s="208">
        <v>318969</v>
      </c>
      <c r="N233" s="208">
        <v>0</v>
      </c>
      <c r="O233" s="208">
        <v>0</v>
      </c>
      <c r="P233" s="208">
        <v>0</v>
      </c>
      <c r="Q233" s="208">
        <v>0</v>
      </c>
      <c r="R233" s="208">
        <v>0</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8292513</v>
      </c>
      <c r="AH233" s="208">
        <v>0</v>
      </c>
      <c r="AI233" s="208">
        <v>83762</v>
      </c>
      <c r="AJ233" s="208">
        <v>8376275</v>
      </c>
      <c r="AK233" s="208">
        <v>0</v>
      </c>
      <c r="AL233" s="208">
        <v>3585126</v>
      </c>
      <c r="AM233" s="208">
        <v>0</v>
      </c>
      <c r="AN233" s="208">
        <v>36213</v>
      </c>
      <c r="AO233" s="208">
        <v>3621339</v>
      </c>
      <c r="AP233" s="208">
        <v>0</v>
      </c>
      <c r="AQ233" s="208">
        <v>-1747780</v>
      </c>
      <c r="AR233" s="208">
        <v>0</v>
      </c>
      <c r="AS233" s="208">
        <v>-17654</v>
      </c>
      <c r="AT233" s="208">
        <v>-1765434</v>
      </c>
      <c r="AU233" s="208">
        <v>0</v>
      </c>
      <c r="AV233" s="208">
        <v>-1990692</v>
      </c>
      <c r="AW233" s="208">
        <v>0</v>
      </c>
      <c r="AX233" s="208">
        <v>-20108</v>
      </c>
      <c r="AY233" s="208">
        <v>-2010800</v>
      </c>
      <c r="AZ233" s="208">
        <v>0</v>
      </c>
      <c r="BA233" s="208">
        <v>604601</v>
      </c>
      <c r="BB233" s="208">
        <v>0</v>
      </c>
      <c r="BC233" s="208">
        <v>6107</v>
      </c>
      <c r="BD233" s="208">
        <v>610708</v>
      </c>
      <c r="BE233" s="208">
        <v>0</v>
      </c>
      <c r="BF233" s="208">
        <v>-1010105</v>
      </c>
      <c r="BG233" s="208">
        <v>0</v>
      </c>
      <c r="BH233" s="208">
        <v>-10203</v>
      </c>
      <c r="BI233" s="208">
        <v>-1020308</v>
      </c>
      <c r="BJ233" s="208">
        <v>0</v>
      </c>
      <c r="BK233" s="208">
        <v>-2396196</v>
      </c>
      <c r="BL233" s="208">
        <v>0</v>
      </c>
      <c r="BM233" s="208">
        <v>-24204</v>
      </c>
      <c r="BN233" s="208">
        <v>-2420400</v>
      </c>
      <c r="BO233" s="208">
        <v>0</v>
      </c>
      <c r="BP233" s="208">
        <v>-14955138</v>
      </c>
      <c r="BQ233" s="208">
        <v>0</v>
      </c>
      <c r="BR233" s="208">
        <v>-151062</v>
      </c>
      <c r="BS233" s="208">
        <v>-15106200</v>
      </c>
      <c r="BT233" s="208">
        <v>0</v>
      </c>
      <c r="BU233" s="208">
        <v>-11431530</v>
      </c>
      <c r="BV233" s="208">
        <v>0</v>
      </c>
      <c r="BW233" s="208">
        <v>-115470</v>
      </c>
      <c r="BX233" s="208">
        <v>-11547000</v>
      </c>
      <c r="BY233" s="208">
        <v>0</v>
      </c>
      <c r="BZ233" s="208">
        <v>-3523608</v>
      </c>
      <c r="CA233" s="208">
        <v>0</v>
      </c>
      <c r="CB233" s="208">
        <v>-35592</v>
      </c>
      <c r="CC233" s="208">
        <v>-3559200</v>
      </c>
      <c r="CD233" s="208">
        <v>0</v>
      </c>
      <c r="CE233" s="208">
        <v>2488782</v>
      </c>
      <c r="CF233" s="208">
        <v>0</v>
      </c>
      <c r="CG233" s="208">
        <v>25139</v>
      </c>
      <c r="CH233" s="208">
        <v>2513921</v>
      </c>
      <c r="CI233" s="208">
        <v>0</v>
      </c>
      <c r="CJ233" s="208">
        <v>875428</v>
      </c>
      <c r="CK233" s="208">
        <v>0</v>
      </c>
      <c r="CL233" s="208">
        <v>8843</v>
      </c>
      <c r="CM233" s="208">
        <v>884271</v>
      </c>
      <c r="CN233" s="208">
        <v>0</v>
      </c>
      <c r="CO233" s="208">
        <v>50964</v>
      </c>
      <c r="CP233" s="208">
        <v>0</v>
      </c>
      <c r="CQ233" s="208">
        <v>515</v>
      </c>
      <c r="CR233" s="208">
        <v>51479</v>
      </c>
      <c r="CS233" s="208">
        <v>0</v>
      </c>
      <c r="CT233" s="208">
        <v>-4615747</v>
      </c>
      <c r="CU233" s="208">
        <v>0</v>
      </c>
      <c r="CV233" s="208">
        <v>-46624</v>
      </c>
      <c r="CW233" s="208">
        <v>-4662371</v>
      </c>
      <c r="CX233" s="208">
        <v>0</v>
      </c>
      <c r="CY233" s="208">
        <v>-16155711</v>
      </c>
      <c r="CZ233" s="208">
        <v>0</v>
      </c>
      <c r="DA233" s="208">
        <v>-163189</v>
      </c>
      <c r="DB233" s="208">
        <v>-16318900</v>
      </c>
      <c r="DC233" s="208">
        <v>0</v>
      </c>
      <c r="DD233" s="208">
        <v>-8891784</v>
      </c>
      <c r="DE233" s="208">
        <v>0</v>
      </c>
      <c r="DF233" s="208">
        <v>-89816</v>
      </c>
      <c r="DG233" s="208">
        <v>-8981600</v>
      </c>
      <c r="DH233" s="208">
        <v>0</v>
      </c>
      <c r="DI233" s="208">
        <v>-7263927</v>
      </c>
      <c r="DJ233" s="208">
        <v>0</v>
      </c>
      <c r="DK233" s="208">
        <v>-73373</v>
      </c>
      <c r="DL233" s="208">
        <v>-7337300</v>
      </c>
      <c r="DM233" s="208">
        <v>-607565</v>
      </c>
      <c r="DN233" s="208">
        <v>6140678</v>
      </c>
      <c r="DO233" s="208">
        <v>0</v>
      </c>
      <c r="DP233" s="208">
        <v>55892</v>
      </c>
      <c r="DQ233" s="208">
        <v>5589005</v>
      </c>
      <c r="DR233" s="208">
        <v>-607564</v>
      </c>
      <c r="DS233" s="208">
        <v>3971228</v>
      </c>
      <c r="DT233" s="208">
        <v>0</v>
      </c>
      <c r="DU233" s="208">
        <v>33977</v>
      </c>
      <c r="DV233" s="208">
        <v>3397641</v>
      </c>
      <c r="DW233" s="208">
        <v>-1</v>
      </c>
      <c r="DX233" s="208">
        <v>2169450</v>
      </c>
      <c r="DY233" s="208">
        <v>0</v>
      </c>
      <c r="DZ233" s="208">
        <v>21915</v>
      </c>
      <c r="EA233" s="208">
        <v>2191364</v>
      </c>
      <c r="EB233" s="208">
        <v>0</v>
      </c>
      <c r="EC233" s="208">
        <v>66449165</v>
      </c>
      <c r="ED233" s="208">
        <v>0</v>
      </c>
      <c r="EE233" s="208">
        <v>671204</v>
      </c>
      <c r="EF233" s="208">
        <v>67120369</v>
      </c>
      <c r="EG233" s="208">
        <v>0</v>
      </c>
      <c r="EH233" s="208">
        <v>66122055</v>
      </c>
      <c r="EI233" s="208">
        <v>0</v>
      </c>
      <c r="EJ233" s="208">
        <v>667900</v>
      </c>
      <c r="EK233" s="208">
        <v>66789955</v>
      </c>
      <c r="EL233" s="208">
        <v>0</v>
      </c>
      <c r="EM233" s="208">
        <v>-327110</v>
      </c>
      <c r="EN233" s="208">
        <v>0</v>
      </c>
      <c r="EO233" s="208">
        <v>-3304</v>
      </c>
      <c r="EP233" s="208">
        <v>-330414</v>
      </c>
      <c r="EQ233" s="208">
        <v>-1</v>
      </c>
      <c r="ER233" s="208">
        <v>1842340</v>
      </c>
      <c r="ES233" s="208">
        <v>0</v>
      </c>
      <c r="ET233" s="208">
        <v>18611</v>
      </c>
      <c r="EU233" s="208">
        <v>1860950</v>
      </c>
      <c r="EV233" s="666">
        <v>0</v>
      </c>
      <c r="EW233" s="666">
        <v>0.99</v>
      </c>
      <c r="EX233" s="666">
        <v>0</v>
      </c>
      <c r="EY233" s="666">
        <v>0.01</v>
      </c>
      <c r="EZ233" s="666">
        <v>1</v>
      </c>
      <c r="FA233" s="187" t="s">
        <v>1056</v>
      </c>
      <c r="FC233" s="187">
        <v>0</v>
      </c>
    </row>
    <row r="234" spans="1:159" s="187" customFormat="1" x14ac:dyDescent="0.2">
      <c r="B234" s="429" t="s">
        <v>545</v>
      </c>
      <c r="C234" s="429" t="s">
        <v>544</v>
      </c>
      <c r="D234" s="208">
        <v>13905370</v>
      </c>
      <c r="E234" s="208">
        <v>11124296</v>
      </c>
      <c r="F234" s="208">
        <v>2502967</v>
      </c>
      <c r="G234" s="208">
        <v>278107</v>
      </c>
      <c r="H234" s="208">
        <v>27810740</v>
      </c>
      <c r="I234" s="208">
        <v>0</v>
      </c>
      <c r="J234" s="208">
        <v>0</v>
      </c>
      <c r="K234" s="208">
        <v>13905370</v>
      </c>
      <c r="L234" s="208">
        <v>111131</v>
      </c>
      <c r="M234" s="208">
        <v>111131</v>
      </c>
      <c r="N234" s="208">
        <v>0</v>
      </c>
      <c r="O234" s="208">
        <v>0</v>
      </c>
      <c r="P234" s="208">
        <v>8343583</v>
      </c>
      <c r="Q234" s="208">
        <v>0</v>
      </c>
      <c r="R234" s="208">
        <v>8343583</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1395659</v>
      </c>
      <c r="AH234" s="208">
        <v>271002</v>
      </c>
      <c r="AI234" s="208">
        <v>30110</v>
      </c>
      <c r="AJ234" s="208">
        <v>1696771</v>
      </c>
      <c r="AK234" s="208">
        <v>499955</v>
      </c>
      <c r="AL234" s="208">
        <v>399964</v>
      </c>
      <c r="AM234" s="208">
        <v>89992</v>
      </c>
      <c r="AN234" s="208">
        <v>9999</v>
      </c>
      <c r="AO234" s="208">
        <v>999910</v>
      </c>
      <c r="AP234" s="208">
        <v>-210131</v>
      </c>
      <c r="AQ234" s="208">
        <v>-168104</v>
      </c>
      <c r="AR234" s="208">
        <v>-37823</v>
      </c>
      <c r="AS234" s="208">
        <v>-4203</v>
      </c>
      <c r="AT234" s="208">
        <v>-420261</v>
      </c>
      <c r="AU234" s="208">
        <v>-230046</v>
      </c>
      <c r="AV234" s="208">
        <v>-184037</v>
      </c>
      <c r="AW234" s="208">
        <v>-41408</v>
      </c>
      <c r="AX234" s="208">
        <v>-4601</v>
      </c>
      <c r="AY234" s="208">
        <v>-460092</v>
      </c>
      <c r="AZ234" s="208">
        <v>16114</v>
      </c>
      <c r="BA234" s="208">
        <v>12891</v>
      </c>
      <c r="BB234" s="208">
        <v>2900</v>
      </c>
      <c r="BC234" s="208">
        <v>322</v>
      </c>
      <c r="BD234" s="208">
        <v>32227</v>
      </c>
      <c r="BE234" s="208">
        <v>-36946</v>
      </c>
      <c r="BF234" s="208">
        <v>-29557</v>
      </c>
      <c r="BG234" s="208">
        <v>-6650</v>
      </c>
      <c r="BH234" s="208">
        <v>-739</v>
      </c>
      <c r="BI234" s="208">
        <v>-73892</v>
      </c>
      <c r="BJ234" s="208">
        <v>-250878</v>
      </c>
      <c r="BK234" s="208">
        <v>-200703</v>
      </c>
      <c r="BL234" s="208">
        <v>-45158</v>
      </c>
      <c r="BM234" s="208">
        <v>-5018</v>
      </c>
      <c r="BN234" s="208">
        <v>-501757</v>
      </c>
      <c r="BO234" s="208">
        <v>-1669065</v>
      </c>
      <c r="BP234" s="208">
        <v>-1335252</v>
      </c>
      <c r="BQ234" s="208">
        <v>-300432</v>
      </c>
      <c r="BR234" s="208">
        <v>-33381</v>
      </c>
      <c r="BS234" s="208">
        <v>-3338130</v>
      </c>
      <c r="BT234" s="208">
        <v>0</v>
      </c>
      <c r="BU234" s="208">
        <v>0</v>
      </c>
      <c r="BV234" s="208">
        <v>0</v>
      </c>
      <c r="BW234" s="208">
        <v>0</v>
      </c>
      <c r="BX234" s="208">
        <v>0</v>
      </c>
      <c r="BY234" s="208">
        <v>-1669065</v>
      </c>
      <c r="BZ234" s="208">
        <v>-1335252</v>
      </c>
      <c r="CA234" s="208">
        <v>-300432</v>
      </c>
      <c r="CB234" s="208">
        <v>-33381</v>
      </c>
      <c r="CC234" s="208">
        <v>-3338130</v>
      </c>
      <c r="CD234" s="208">
        <v>548399</v>
      </c>
      <c r="CE234" s="208">
        <v>438719</v>
      </c>
      <c r="CF234" s="208">
        <v>98712</v>
      </c>
      <c r="CG234" s="208">
        <v>10968</v>
      </c>
      <c r="CH234" s="208">
        <v>1096798</v>
      </c>
      <c r="CI234" s="208">
        <v>198101</v>
      </c>
      <c r="CJ234" s="208">
        <v>158481</v>
      </c>
      <c r="CK234" s="208">
        <v>35658</v>
      </c>
      <c r="CL234" s="208">
        <v>3962</v>
      </c>
      <c r="CM234" s="208">
        <v>396202</v>
      </c>
      <c r="CN234" s="208">
        <v>-168126</v>
      </c>
      <c r="CO234" s="208">
        <v>-134501</v>
      </c>
      <c r="CP234" s="208">
        <v>-30263</v>
      </c>
      <c r="CQ234" s="208">
        <v>-3363</v>
      </c>
      <c r="CR234" s="208">
        <v>-336253</v>
      </c>
      <c r="CS234" s="208">
        <v>-1112951</v>
      </c>
      <c r="CT234" s="208">
        <v>-890360</v>
      </c>
      <c r="CU234" s="208">
        <v>-200331</v>
      </c>
      <c r="CV234" s="208">
        <v>-22259</v>
      </c>
      <c r="CW234" s="208">
        <v>-2225901</v>
      </c>
      <c r="CX234" s="208">
        <v>-2203642</v>
      </c>
      <c r="CY234" s="208">
        <v>-1762913</v>
      </c>
      <c r="CZ234" s="208">
        <v>-396656</v>
      </c>
      <c r="DA234" s="208">
        <v>-44073</v>
      </c>
      <c r="DB234" s="208">
        <v>-4407284</v>
      </c>
      <c r="DC234" s="208">
        <v>380273</v>
      </c>
      <c r="DD234" s="208">
        <v>304218</v>
      </c>
      <c r="DE234" s="208">
        <v>68449</v>
      </c>
      <c r="DF234" s="208">
        <v>7605</v>
      </c>
      <c r="DG234" s="208">
        <v>760545</v>
      </c>
      <c r="DH234" s="208">
        <v>-2583915</v>
      </c>
      <c r="DI234" s="208">
        <v>-2067131</v>
      </c>
      <c r="DJ234" s="208">
        <v>-465105</v>
      </c>
      <c r="DK234" s="208">
        <v>-51678</v>
      </c>
      <c r="DL234" s="208">
        <v>-5167829</v>
      </c>
      <c r="DM234" s="208">
        <v>2321571</v>
      </c>
      <c r="DN234" s="208">
        <v>1857258</v>
      </c>
      <c r="DO234" s="208">
        <v>417884</v>
      </c>
      <c r="DP234" s="208">
        <v>46431</v>
      </c>
      <c r="DQ234" s="208">
        <v>4643144</v>
      </c>
      <c r="DR234" s="208">
        <v>2040566</v>
      </c>
      <c r="DS234" s="208">
        <v>1632453</v>
      </c>
      <c r="DT234" s="208">
        <v>367302</v>
      </c>
      <c r="DU234" s="208">
        <v>40811</v>
      </c>
      <c r="DV234" s="208">
        <v>4081132</v>
      </c>
      <c r="DW234" s="208">
        <v>281005</v>
      </c>
      <c r="DX234" s="208">
        <v>224805</v>
      </c>
      <c r="DY234" s="208">
        <v>50582</v>
      </c>
      <c r="DZ234" s="208">
        <v>5620</v>
      </c>
      <c r="EA234" s="208">
        <v>562012</v>
      </c>
      <c r="EB234" s="208">
        <v>14216569</v>
      </c>
      <c r="EC234" s="208">
        <v>11373255</v>
      </c>
      <c r="ED234" s="208">
        <v>2558982</v>
      </c>
      <c r="EE234" s="208">
        <v>284331</v>
      </c>
      <c r="EF234" s="208">
        <v>28433137</v>
      </c>
      <c r="EG234" s="208">
        <v>13905370</v>
      </c>
      <c r="EH234" s="208">
        <v>11124296</v>
      </c>
      <c r="EI234" s="208">
        <v>2502967</v>
      </c>
      <c r="EJ234" s="208">
        <v>278107</v>
      </c>
      <c r="EK234" s="208">
        <v>27810740</v>
      </c>
      <c r="EL234" s="208">
        <v>-311199</v>
      </c>
      <c r="EM234" s="208">
        <v>-248959</v>
      </c>
      <c r="EN234" s="208">
        <v>-56015</v>
      </c>
      <c r="EO234" s="208">
        <v>-6224</v>
      </c>
      <c r="EP234" s="208">
        <v>-622397</v>
      </c>
      <c r="EQ234" s="208">
        <v>-30194</v>
      </c>
      <c r="ER234" s="208">
        <v>-24154</v>
      </c>
      <c r="ES234" s="208">
        <v>-5433</v>
      </c>
      <c r="ET234" s="208">
        <v>-604</v>
      </c>
      <c r="EU234" s="208">
        <v>-60385</v>
      </c>
      <c r="EV234" s="666">
        <v>0.5</v>
      </c>
      <c r="EW234" s="666">
        <v>0.4</v>
      </c>
      <c r="EX234" s="666">
        <v>0.09</v>
      </c>
      <c r="EY234" s="666">
        <v>0.01</v>
      </c>
      <c r="EZ234" s="666">
        <v>1</v>
      </c>
      <c r="FA234" s="187" t="s">
        <v>1054</v>
      </c>
      <c r="FC234" s="187">
        <v>0</v>
      </c>
    </row>
    <row r="235" spans="1:159" s="187" customFormat="1" x14ac:dyDescent="0.2">
      <c r="B235" s="429" t="s">
        <v>547</v>
      </c>
      <c r="C235" s="429" t="s">
        <v>546</v>
      </c>
      <c r="D235" s="208">
        <v>0</v>
      </c>
      <c r="E235" s="208">
        <v>14299430</v>
      </c>
      <c r="F235" s="208">
        <v>21091660</v>
      </c>
      <c r="G235" s="208">
        <v>357486</v>
      </c>
      <c r="H235" s="208">
        <v>35748576</v>
      </c>
      <c r="I235" s="208">
        <v>0</v>
      </c>
      <c r="J235" s="208">
        <v>0</v>
      </c>
      <c r="K235" s="208">
        <v>0</v>
      </c>
      <c r="L235" s="208">
        <v>163466</v>
      </c>
      <c r="M235" s="208">
        <v>163466</v>
      </c>
      <c r="N235" s="208">
        <v>0</v>
      </c>
      <c r="O235" s="208">
        <v>0</v>
      </c>
      <c r="P235" s="208">
        <v>0</v>
      </c>
      <c r="Q235" s="208">
        <v>0</v>
      </c>
      <c r="R235" s="208">
        <v>0</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1683994</v>
      </c>
      <c r="AH235" s="208">
        <v>2483891</v>
      </c>
      <c r="AI235" s="208">
        <v>42100</v>
      </c>
      <c r="AJ235" s="208">
        <v>4209985</v>
      </c>
      <c r="AK235" s="208">
        <v>0</v>
      </c>
      <c r="AL235" s="208">
        <v>768998</v>
      </c>
      <c r="AM235" s="208">
        <v>1134272</v>
      </c>
      <c r="AN235" s="208">
        <v>19225</v>
      </c>
      <c r="AO235" s="208">
        <v>1922495</v>
      </c>
      <c r="AP235" s="208">
        <v>1</v>
      </c>
      <c r="AQ235" s="208">
        <v>-625552</v>
      </c>
      <c r="AR235" s="208">
        <v>-922689</v>
      </c>
      <c r="AS235" s="208">
        <v>-15639</v>
      </c>
      <c r="AT235" s="208">
        <v>-1563879</v>
      </c>
      <c r="AU235" s="208">
        <v>0</v>
      </c>
      <c r="AV235" s="208">
        <v>-190200</v>
      </c>
      <c r="AW235" s="208">
        <v>-280545</v>
      </c>
      <c r="AX235" s="208">
        <v>-4755</v>
      </c>
      <c r="AY235" s="208">
        <v>-475500</v>
      </c>
      <c r="AZ235" s="208">
        <v>0</v>
      </c>
      <c r="BA235" s="208">
        <v>16004</v>
      </c>
      <c r="BB235" s="208">
        <v>23606</v>
      </c>
      <c r="BC235" s="208">
        <v>400</v>
      </c>
      <c r="BD235" s="208">
        <v>40010</v>
      </c>
      <c r="BE235" s="208">
        <v>0</v>
      </c>
      <c r="BF235" s="208">
        <v>-43564</v>
      </c>
      <c r="BG235" s="208">
        <v>-64257</v>
      </c>
      <c r="BH235" s="208">
        <v>-1089</v>
      </c>
      <c r="BI235" s="208">
        <v>-108910</v>
      </c>
      <c r="BJ235" s="208">
        <v>0</v>
      </c>
      <c r="BK235" s="208">
        <v>-217760</v>
      </c>
      <c r="BL235" s="208">
        <v>-321196</v>
      </c>
      <c r="BM235" s="208">
        <v>-5444</v>
      </c>
      <c r="BN235" s="208">
        <v>-544400</v>
      </c>
      <c r="BO235" s="208">
        <v>0</v>
      </c>
      <c r="BP235" s="208">
        <v>-2231497</v>
      </c>
      <c r="BQ235" s="208">
        <v>-3291458</v>
      </c>
      <c r="BR235" s="208">
        <v>-55787</v>
      </c>
      <c r="BS235" s="208">
        <v>-5578742</v>
      </c>
      <c r="BT235" s="208">
        <v>0</v>
      </c>
      <c r="BU235" s="208">
        <v>-1441036</v>
      </c>
      <c r="BV235" s="208">
        <v>-2125529</v>
      </c>
      <c r="BW235" s="208">
        <v>-36026</v>
      </c>
      <c r="BX235" s="208">
        <v>-3602591</v>
      </c>
      <c r="BY235" s="208">
        <v>0</v>
      </c>
      <c r="BZ235" s="208">
        <v>-790460</v>
      </c>
      <c r="CA235" s="208">
        <v>-1165929</v>
      </c>
      <c r="CB235" s="208">
        <v>-19762</v>
      </c>
      <c r="CC235" s="208">
        <v>-1976151</v>
      </c>
      <c r="CD235" s="208">
        <v>0</v>
      </c>
      <c r="CE235" s="208">
        <v>181974</v>
      </c>
      <c r="CF235" s="208">
        <v>268411</v>
      </c>
      <c r="CG235" s="208">
        <v>4549</v>
      </c>
      <c r="CH235" s="208">
        <v>454934</v>
      </c>
      <c r="CI235" s="208">
        <v>0</v>
      </c>
      <c r="CJ235" s="208">
        <v>0</v>
      </c>
      <c r="CK235" s="208">
        <v>0</v>
      </c>
      <c r="CL235" s="208">
        <v>0</v>
      </c>
      <c r="CM235" s="208">
        <v>0</v>
      </c>
      <c r="CN235" s="208">
        <v>0</v>
      </c>
      <c r="CO235" s="208">
        <v>26771</v>
      </c>
      <c r="CP235" s="208">
        <v>39487</v>
      </c>
      <c r="CQ235" s="208">
        <v>669</v>
      </c>
      <c r="CR235" s="208">
        <v>66927</v>
      </c>
      <c r="CS235" s="208">
        <v>0</v>
      </c>
      <c r="CT235" s="208">
        <v>-524110</v>
      </c>
      <c r="CU235" s="208">
        <v>-773062</v>
      </c>
      <c r="CV235" s="208">
        <v>-13103</v>
      </c>
      <c r="CW235" s="208">
        <v>-1310275</v>
      </c>
      <c r="CX235" s="208">
        <v>0</v>
      </c>
      <c r="CY235" s="208">
        <v>-2546862</v>
      </c>
      <c r="CZ235" s="208">
        <v>-3756622</v>
      </c>
      <c r="DA235" s="208">
        <v>-63672</v>
      </c>
      <c r="DB235" s="208">
        <v>-6367156</v>
      </c>
      <c r="DC235" s="208">
        <v>0</v>
      </c>
      <c r="DD235" s="208">
        <v>-1232291</v>
      </c>
      <c r="DE235" s="208">
        <v>-1817631</v>
      </c>
      <c r="DF235" s="208">
        <v>-30808</v>
      </c>
      <c r="DG235" s="208">
        <v>-3080730</v>
      </c>
      <c r="DH235" s="208">
        <v>0</v>
      </c>
      <c r="DI235" s="208">
        <v>-1314570</v>
      </c>
      <c r="DJ235" s="208">
        <v>-1938991</v>
      </c>
      <c r="DK235" s="208">
        <v>-32865</v>
      </c>
      <c r="DL235" s="208">
        <v>-3286426</v>
      </c>
      <c r="DM235" s="208">
        <v>164653</v>
      </c>
      <c r="DN235" s="208">
        <v>131722</v>
      </c>
      <c r="DO235" s="208">
        <v>29638</v>
      </c>
      <c r="DP235" s="208">
        <v>3292</v>
      </c>
      <c r="DQ235" s="208">
        <v>329305</v>
      </c>
      <c r="DR235" s="208">
        <v>189578</v>
      </c>
      <c r="DS235" s="208">
        <v>151662</v>
      </c>
      <c r="DT235" s="208">
        <v>34124</v>
      </c>
      <c r="DU235" s="208">
        <v>3792</v>
      </c>
      <c r="DV235" s="208">
        <v>379156</v>
      </c>
      <c r="DW235" s="208">
        <v>-24925</v>
      </c>
      <c r="DX235" s="208">
        <v>-19940</v>
      </c>
      <c r="DY235" s="208">
        <v>-4486</v>
      </c>
      <c r="DZ235" s="208">
        <v>-500</v>
      </c>
      <c r="EA235" s="208">
        <v>-49851</v>
      </c>
      <c r="EB235" s="208">
        <v>0</v>
      </c>
      <c r="EC235" s="208">
        <v>13904287</v>
      </c>
      <c r="ED235" s="208">
        <v>20508822</v>
      </c>
      <c r="EE235" s="208">
        <v>347607</v>
      </c>
      <c r="EF235" s="208">
        <v>34760716</v>
      </c>
      <c r="EG235" s="208">
        <v>0</v>
      </c>
      <c r="EH235" s="208">
        <v>14299430</v>
      </c>
      <c r="EI235" s="208">
        <v>21091660</v>
      </c>
      <c r="EJ235" s="208">
        <v>357486</v>
      </c>
      <c r="EK235" s="208">
        <v>35748576</v>
      </c>
      <c r="EL235" s="208">
        <v>0</v>
      </c>
      <c r="EM235" s="208">
        <v>395143</v>
      </c>
      <c r="EN235" s="208">
        <v>582838</v>
      </c>
      <c r="EO235" s="208">
        <v>9879</v>
      </c>
      <c r="EP235" s="208">
        <v>987860</v>
      </c>
      <c r="EQ235" s="208">
        <v>-24925</v>
      </c>
      <c r="ER235" s="208">
        <v>375203</v>
      </c>
      <c r="ES235" s="208">
        <v>578352</v>
      </c>
      <c r="ET235" s="208">
        <v>9379</v>
      </c>
      <c r="EU235" s="208">
        <v>938009</v>
      </c>
      <c r="EV235" s="666">
        <v>0</v>
      </c>
      <c r="EW235" s="666">
        <v>0.4</v>
      </c>
      <c r="EX235" s="666">
        <v>0.59</v>
      </c>
      <c r="EY235" s="666">
        <v>0.01</v>
      </c>
      <c r="EZ235" s="666">
        <v>1</v>
      </c>
      <c r="FA235" s="187" t="s">
        <v>1054</v>
      </c>
      <c r="FC235" s="187">
        <v>0</v>
      </c>
    </row>
    <row r="236" spans="1:159" s="187" customFormat="1" x14ac:dyDescent="0.2">
      <c r="B236" s="429" t="s">
        <v>549</v>
      </c>
      <c r="C236" s="429" t="s">
        <v>548</v>
      </c>
      <c r="D236" s="208">
        <v>108044773</v>
      </c>
      <c r="E236" s="208">
        <v>105883877</v>
      </c>
      <c r="F236" s="208">
        <v>0</v>
      </c>
      <c r="G236" s="208">
        <v>2160895</v>
      </c>
      <c r="H236" s="208">
        <v>216089545</v>
      </c>
      <c r="I236" s="208">
        <v>0</v>
      </c>
      <c r="J236" s="208">
        <v>0</v>
      </c>
      <c r="K236" s="208">
        <v>108044773</v>
      </c>
      <c r="L236" s="208">
        <v>751904</v>
      </c>
      <c r="M236" s="208">
        <v>751904</v>
      </c>
      <c r="N236" s="208">
        <v>607256</v>
      </c>
      <c r="O236" s="208">
        <v>607256</v>
      </c>
      <c r="P236" s="208">
        <v>1538824</v>
      </c>
      <c r="Q236" s="208">
        <v>0</v>
      </c>
      <c r="R236" s="208">
        <v>1538824</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9306080</v>
      </c>
      <c r="AH236" s="208">
        <v>0</v>
      </c>
      <c r="AI236" s="208">
        <v>188790</v>
      </c>
      <c r="AJ236" s="208">
        <v>9494870</v>
      </c>
      <c r="AK236" s="208">
        <v>6475454</v>
      </c>
      <c r="AL236" s="208">
        <v>6345945</v>
      </c>
      <c r="AM236" s="208">
        <v>0</v>
      </c>
      <c r="AN236" s="208">
        <v>129509</v>
      </c>
      <c r="AO236" s="208">
        <v>12950908</v>
      </c>
      <c r="AP236" s="208">
        <v>-1643713</v>
      </c>
      <c r="AQ236" s="208">
        <v>-1610839</v>
      </c>
      <c r="AR236" s="208">
        <v>0</v>
      </c>
      <c r="AS236" s="208">
        <v>-32874</v>
      </c>
      <c r="AT236" s="208">
        <v>-3287426</v>
      </c>
      <c r="AU236" s="208">
        <v>-4660629</v>
      </c>
      <c r="AV236" s="208">
        <v>-4567417</v>
      </c>
      <c r="AW236" s="208">
        <v>0</v>
      </c>
      <c r="AX236" s="208">
        <v>-93213</v>
      </c>
      <c r="AY236" s="208">
        <v>-9321259</v>
      </c>
      <c r="AZ236" s="208">
        <v>1142813</v>
      </c>
      <c r="BA236" s="208">
        <v>1119956</v>
      </c>
      <c r="BB236" s="208">
        <v>0</v>
      </c>
      <c r="BC236" s="208">
        <v>22856</v>
      </c>
      <c r="BD236" s="208">
        <v>2285625</v>
      </c>
      <c r="BE236" s="208">
        <v>-500661</v>
      </c>
      <c r="BF236" s="208">
        <v>-490648</v>
      </c>
      <c r="BG236" s="208">
        <v>0</v>
      </c>
      <c r="BH236" s="208">
        <v>-10013</v>
      </c>
      <c r="BI236" s="208">
        <v>-1001322</v>
      </c>
      <c r="BJ236" s="208">
        <v>-4018477</v>
      </c>
      <c r="BK236" s="208">
        <v>-3938109</v>
      </c>
      <c r="BL236" s="208">
        <v>0</v>
      </c>
      <c r="BM236" s="208">
        <v>-80370</v>
      </c>
      <c r="BN236" s="208">
        <v>-8036956</v>
      </c>
      <c r="BO236" s="208">
        <v>-17491073</v>
      </c>
      <c r="BP236" s="208">
        <v>-17141251</v>
      </c>
      <c r="BQ236" s="208">
        <v>0</v>
      </c>
      <c r="BR236" s="208">
        <v>-349821</v>
      </c>
      <c r="BS236" s="208">
        <v>-34982145</v>
      </c>
      <c r="BT236" s="208">
        <v>-8988912</v>
      </c>
      <c r="BU236" s="208">
        <v>-8809134</v>
      </c>
      <c r="BV236" s="208">
        <v>0</v>
      </c>
      <c r="BW236" s="208">
        <v>-179778</v>
      </c>
      <c r="BX236" s="208">
        <v>-17977824</v>
      </c>
      <c r="BY236" s="208">
        <v>-8502161</v>
      </c>
      <c r="BZ236" s="208">
        <v>-8332117</v>
      </c>
      <c r="CA236" s="208">
        <v>0</v>
      </c>
      <c r="CB236" s="208">
        <v>-170043</v>
      </c>
      <c r="CC236" s="208">
        <v>-17004321</v>
      </c>
      <c r="CD236" s="208">
        <v>704094</v>
      </c>
      <c r="CE236" s="208">
        <v>690013</v>
      </c>
      <c r="CF236" s="208">
        <v>0</v>
      </c>
      <c r="CG236" s="208">
        <v>14082</v>
      </c>
      <c r="CH236" s="208">
        <v>1408189</v>
      </c>
      <c r="CI236" s="208">
        <v>0</v>
      </c>
      <c r="CJ236" s="208">
        <v>0</v>
      </c>
      <c r="CK236" s="208">
        <v>0</v>
      </c>
      <c r="CL236" s="208">
        <v>0</v>
      </c>
      <c r="CM236" s="208">
        <v>0</v>
      </c>
      <c r="CN236" s="208">
        <v>3189779</v>
      </c>
      <c r="CO236" s="208">
        <v>3125983</v>
      </c>
      <c r="CP236" s="208">
        <v>0</v>
      </c>
      <c r="CQ236" s="208">
        <v>63796</v>
      </c>
      <c r="CR236" s="208">
        <v>6379558</v>
      </c>
      <c r="CS236" s="208">
        <v>-3503190</v>
      </c>
      <c r="CT236" s="208">
        <v>-3433127</v>
      </c>
      <c r="CU236" s="208">
        <v>0</v>
      </c>
      <c r="CV236" s="208">
        <v>-70064</v>
      </c>
      <c r="CW236" s="208">
        <v>-7006381</v>
      </c>
      <c r="CX236" s="208">
        <v>-17100390</v>
      </c>
      <c r="CY236" s="208">
        <v>-16758382</v>
      </c>
      <c r="CZ236" s="208">
        <v>0</v>
      </c>
      <c r="DA236" s="208">
        <v>-342007</v>
      </c>
      <c r="DB236" s="208">
        <v>-34200779</v>
      </c>
      <c r="DC236" s="208">
        <v>-5095039</v>
      </c>
      <c r="DD236" s="208">
        <v>-4993138</v>
      </c>
      <c r="DE236" s="208">
        <v>0</v>
      </c>
      <c r="DF236" s="208">
        <v>-101900</v>
      </c>
      <c r="DG236" s="208">
        <v>-10190077</v>
      </c>
      <c r="DH236" s="208">
        <v>-12005351</v>
      </c>
      <c r="DI236" s="208">
        <v>-11765244</v>
      </c>
      <c r="DJ236" s="208">
        <v>0</v>
      </c>
      <c r="DK236" s="208">
        <v>-240107</v>
      </c>
      <c r="DL236" s="208">
        <v>-24010702</v>
      </c>
      <c r="DM236" s="208">
        <v>-4855645</v>
      </c>
      <c r="DN236" s="208">
        <v>-4758534</v>
      </c>
      <c r="DO236" s="208">
        <v>0</v>
      </c>
      <c r="DP236" s="208">
        <v>-97113</v>
      </c>
      <c r="DQ236" s="208">
        <v>-9711292</v>
      </c>
      <c r="DR236" s="208">
        <v>-5666001</v>
      </c>
      <c r="DS236" s="208">
        <v>-5552681</v>
      </c>
      <c r="DT236" s="208">
        <v>0</v>
      </c>
      <c r="DU236" s="208">
        <v>-113320</v>
      </c>
      <c r="DV236" s="208">
        <v>-11332002</v>
      </c>
      <c r="DW236" s="208">
        <v>810356</v>
      </c>
      <c r="DX236" s="208">
        <v>794147</v>
      </c>
      <c r="DY236" s="208">
        <v>0</v>
      </c>
      <c r="DZ236" s="208">
        <v>16207</v>
      </c>
      <c r="EA236" s="208">
        <v>1620710</v>
      </c>
      <c r="EB236" s="208">
        <v>100412074</v>
      </c>
      <c r="EC236" s="208">
        <v>98403833</v>
      </c>
      <c r="ED236" s="208">
        <v>0</v>
      </c>
      <c r="EE236" s="208">
        <v>2008241</v>
      </c>
      <c r="EF236" s="208">
        <v>200824148</v>
      </c>
      <c r="EG236" s="208">
        <v>108044773</v>
      </c>
      <c r="EH236" s="208">
        <v>105883877</v>
      </c>
      <c r="EI236" s="208">
        <v>0</v>
      </c>
      <c r="EJ236" s="208">
        <v>2160895</v>
      </c>
      <c r="EK236" s="208">
        <v>216089545</v>
      </c>
      <c r="EL236" s="208">
        <v>7632699</v>
      </c>
      <c r="EM236" s="208">
        <v>7480044</v>
      </c>
      <c r="EN236" s="208">
        <v>0</v>
      </c>
      <c r="EO236" s="208">
        <v>152654</v>
      </c>
      <c r="EP236" s="208">
        <v>15265397</v>
      </c>
      <c r="EQ236" s="208">
        <v>8443055</v>
      </c>
      <c r="ER236" s="208">
        <v>8274191</v>
      </c>
      <c r="ES236" s="208">
        <v>0</v>
      </c>
      <c r="ET236" s="208">
        <v>168861</v>
      </c>
      <c r="EU236" s="208">
        <v>16886107</v>
      </c>
      <c r="EV236" s="666">
        <v>0.5</v>
      </c>
      <c r="EW236" s="666">
        <v>0.49</v>
      </c>
      <c r="EX236" s="666">
        <v>0</v>
      </c>
      <c r="EY236" s="666">
        <v>0.01</v>
      </c>
      <c r="EZ236" s="666">
        <v>1</v>
      </c>
      <c r="FA236" s="187" t="s">
        <v>1056</v>
      </c>
      <c r="FC236" s="187">
        <v>0</v>
      </c>
    </row>
    <row r="237" spans="1:159" s="187" customFormat="1" x14ac:dyDescent="0.2">
      <c r="B237" s="429" t="s">
        <v>552</v>
      </c>
      <c r="C237" s="429" t="s">
        <v>551</v>
      </c>
      <c r="D237" s="208">
        <v>40102402</v>
      </c>
      <c r="E237" s="208">
        <v>39300354</v>
      </c>
      <c r="F237" s="208">
        <v>0</v>
      </c>
      <c r="G237" s="208">
        <v>802048</v>
      </c>
      <c r="H237" s="208">
        <v>80204804</v>
      </c>
      <c r="I237" s="208">
        <v>0</v>
      </c>
      <c r="J237" s="208">
        <v>0</v>
      </c>
      <c r="K237" s="208">
        <v>40102402</v>
      </c>
      <c r="L237" s="208">
        <v>460982</v>
      </c>
      <c r="M237" s="208">
        <v>460982</v>
      </c>
      <c r="N237" s="208">
        <v>0</v>
      </c>
      <c r="O237" s="208">
        <v>0</v>
      </c>
      <c r="P237" s="208">
        <v>1183158</v>
      </c>
      <c r="Q237" s="208">
        <v>0</v>
      </c>
      <c r="R237" s="208">
        <v>1183158</v>
      </c>
      <c r="S237" s="208">
        <v>0</v>
      </c>
      <c r="T237" s="208">
        <v>0</v>
      </c>
      <c r="U237" s="208">
        <v>0</v>
      </c>
      <c r="V237" s="208">
        <v>0</v>
      </c>
      <c r="W237" s="208">
        <v>0</v>
      </c>
      <c r="X237" s="208">
        <v>0</v>
      </c>
      <c r="Y237" s="208">
        <v>0</v>
      </c>
      <c r="Z237" s="208">
        <v>0</v>
      </c>
      <c r="AA237" s="208">
        <v>0</v>
      </c>
      <c r="AB237" s="208">
        <v>0</v>
      </c>
      <c r="AC237" s="208">
        <v>0</v>
      </c>
      <c r="AD237" s="208">
        <v>0</v>
      </c>
      <c r="AE237" s="208">
        <v>0</v>
      </c>
      <c r="AF237" s="208">
        <v>0</v>
      </c>
      <c r="AG237" s="208">
        <v>6209676</v>
      </c>
      <c r="AH237" s="208">
        <v>0</v>
      </c>
      <c r="AI237" s="208">
        <v>126174</v>
      </c>
      <c r="AJ237" s="208">
        <v>6335850</v>
      </c>
      <c r="AK237" s="208">
        <v>2034046</v>
      </c>
      <c r="AL237" s="208">
        <v>1993366</v>
      </c>
      <c r="AM237" s="208">
        <v>0</v>
      </c>
      <c r="AN237" s="208">
        <v>40681</v>
      </c>
      <c r="AO237" s="208">
        <v>4068093</v>
      </c>
      <c r="AP237" s="208">
        <v>-2002337</v>
      </c>
      <c r="AQ237" s="208">
        <v>-1962291</v>
      </c>
      <c r="AR237" s="208">
        <v>0</v>
      </c>
      <c r="AS237" s="208">
        <v>-40047</v>
      </c>
      <c r="AT237" s="208">
        <v>-4004675</v>
      </c>
      <c r="AU237" s="208">
        <v>-956862</v>
      </c>
      <c r="AV237" s="208">
        <v>-937725</v>
      </c>
      <c r="AW237" s="208">
        <v>0</v>
      </c>
      <c r="AX237" s="208">
        <v>-19137</v>
      </c>
      <c r="AY237" s="208">
        <v>-1913724</v>
      </c>
      <c r="AZ237" s="208">
        <v>205201</v>
      </c>
      <c r="BA237" s="208">
        <v>201096</v>
      </c>
      <c r="BB237" s="208">
        <v>0</v>
      </c>
      <c r="BC237" s="208">
        <v>4104</v>
      </c>
      <c r="BD237" s="208">
        <v>410401</v>
      </c>
      <c r="BE237" s="208">
        <v>-251111</v>
      </c>
      <c r="BF237" s="208">
        <v>-246089</v>
      </c>
      <c r="BG237" s="208">
        <v>0</v>
      </c>
      <c r="BH237" s="208">
        <v>-5022</v>
      </c>
      <c r="BI237" s="208">
        <v>-502222</v>
      </c>
      <c r="BJ237" s="208">
        <v>-1002772</v>
      </c>
      <c r="BK237" s="208">
        <v>-982718</v>
      </c>
      <c r="BL237" s="208">
        <v>0</v>
      </c>
      <c r="BM237" s="208">
        <v>-20055</v>
      </c>
      <c r="BN237" s="208">
        <v>-2005545</v>
      </c>
      <c r="BO237" s="208">
        <v>-3607184</v>
      </c>
      <c r="BP237" s="208">
        <v>-3535041</v>
      </c>
      <c r="BQ237" s="208">
        <v>0</v>
      </c>
      <c r="BR237" s="208">
        <v>-72144</v>
      </c>
      <c r="BS237" s="208">
        <v>-7214369</v>
      </c>
      <c r="BT237" s="208">
        <v>-1222944</v>
      </c>
      <c r="BU237" s="208">
        <v>-1198486</v>
      </c>
      <c r="BV237" s="208">
        <v>0</v>
      </c>
      <c r="BW237" s="208">
        <v>-24459</v>
      </c>
      <c r="BX237" s="208">
        <v>-2445889</v>
      </c>
      <c r="BY237" s="208">
        <v>-2384240</v>
      </c>
      <c r="BZ237" s="208">
        <v>-2336555</v>
      </c>
      <c r="CA237" s="208">
        <v>0</v>
      </c>
      <c r="CB237" s="208">
        <v>-47685</v>
      </c>
      <c r="CC237" s="208">
        <v>-4768480</v>
      </c>
      <c r="CD237" s="208">
        <v>511439</v>
      </c>
      <c r="CE237" s="208">
        <v>501211</v>
      </c>
      <c r="CF237" s="208">
        <v>0</v>
      </c>
      <c r="CG237" s="208">
        <v>10229</v>
      </c>
      <c r="CH237" s="208">
        <v>1022879</v>
      </c>
      <c r="CI237" s="208">
        <v>130784</v>
      </c>
      <c r="CJ237" s="208">
        <v>128169</v>
      </c>
      <c r="CK237" s="208">
        <v>0</v>
      </c>
      <c r="CL237" s="208">
        <v>2616</v>
      </c>
      <c r="CM237" s="208">
        <v>261569</v>
      </c>
      <c r="CN237" s="208">
        <v>-201764</v>
      </c>
      <c r="CO237" s="208">
        <v>-197728</v>
      </c>
      <c r="CP237" s="208">
        <v>0</v>
      </c>
      <c r="CQ237" s="208">
        <v>-4035</v>
      </c>
      <c r="CR237" s="208">
        <v>-403527</v>
      </c>
      <c r="CS237" s="208">
        <v>-2726607</v>
      </c>
      <c r="CT237" s="208">
        <v>-2672075</v>
      </c>
      <c r="CU237" s="208">
        <v>0</v>
      </c>
      <c r="CV237" s="208">
        <v>-54532</v>
      </c>
      <c r="CW237" s="208">
        <v>-5453214</v>
      </c>
      <c r="CX237" s="208">
        <v>-5893332</v>
      </c>
      <c r="CY237" s="208">
        <v>-5775464</v>
      </c>
      <c r="CZ237" s="208">
        <v>0</v>
      </c>
      <c r="DA237" s="208">
        <v>-117866</v>
      </c>
      <c r="DB237" s="208">
        <v>-11786662</v>
      </c>
      <c r="DC237" s="208">
        <v>-913269</v>
      </c>
      <c r="DD237" s="208">
        <v>-895003</v>
      </c>
      <c r="DE237" s="208">
        <v>0</v>
      </c>
      <c r="DF237" s="208">
        <v>-18265</v>
      </c>
      <c r="DG237" s="208">
        <v>-1826537</v>
      </c>
      <c r="DH237" s="208">
        <v>-4980063</v>
      </c>
      <c r="DI237" s="208">
        <v>-4880461</v>
      </c>
      <c r="DJ237" s="208">
        <v>0</v>
      </c>
      <c r="DK237" s="208">
        <v>-99601</v>
      </c>
      <c r="DL237" s="208">
        <v>-9960125</v>
      </c>
      <c r="DM237" s="208">
        <v>-3088301</v>
      </c>
      <c r="DN237" s="208">
        <v>-3026538</v>
      </c>
      <c r="DO237" s="208">
        <v>0</v>
      </c>
      <c r="DP237" s="208">
        <v>-61767</v>
      </c>
      <c r="DQ237" s="208">
        <v>-6176606</v>
      </c>
      <c r="DR237" s="208">
        <v>-3012800</v>
      </c>
      <c r="DS237" s="208">
        <v>-2952544</v>
      </c>
      <c r="DT237" s="208">
        <v>0</v>
      </c>
      <c r="DU237" s="208">
        <v>-60256</v>
      </c>
      <c r="DV237" s="208">
        <v>-6025600</v>
      </c>
      <c r="DW237" s="208">
        <v>-75501</v>
      </c>
      <c r="DX237" s="208">
        <v>-73994</v>
      </c>
      <c r="DY237" s="208">
        <v>0</v>
      </c>
      <c r="DZ237" s="208">
        <v>-1511</v>
      </c>
      <c r="EA237" s="208">
        <v>-151006</v>
      </c>
      <c r="EB237" s="208">
        <v>41132473</v>
      </c>
      <c r="EC237" s="208">
        <v>40309824</v>
      </c>
      <c r="ED237" s="208">
        <v>0</v>
      </c>
      <c r="EE237" s="208">
        <v>822649</v>
      </c>
      <c r="EF237" s="208">
        <v>82264946</v>
      </c>
      <c r="EG237" s="208">
        <v>40102402</v>
      </c>
      <c r="EH237" s="208">
        <v>39300354</v>
      </c>
      <c r="EI237" s="208">
        <v>0</v>
      </c>
      <c r="EJ237" s="208">
        <v>802048</v>
      </c>
      <c r="EK237" s="208">
        <v>80204804</v>
      </c>
      <c r="EL237" s="208">
        <v>-1030071</v>
      </c>
      <c r="EM237" s="208">
        <v>-1009470</v>
      </c>
      <c r="EN237" s="208">
        <v>0</v>
      </c>
      <c r="EO237" s="208">
        <v>-20601</v>
      </c>
      <c r="EP237" s="208">
        <v>-2060142</v>
      </c>
      <c r="EQ237" s="208">
        <v>-1105572</v>
      </c>
      <c r="ER237" s="208">
        <v>-1083464</v>
      </c>
      <c r="ES237" s="208">
        <v>0</v>
      </c>
      <c r="ET237" s="208">
        <v>-22112</v>
      </c>
      <c r="EU237" s="208">
        <v>-2211148</v>
      </c>
      <c r="EV237" s="666">
        <v>0.5</v>
      </c>
      <c r="EW237" s="666">
        <v>0.49</v>
      </c>
      <c r="EX237" s="666">
        <v>0</v>
      </c>
      <c r="EY237" s="666">
        <v>0.01</v>
      </c>
      <c r="EZ237" s="666">
        <v>1</v>
      </c>
      <c r="FA237" s="187" t="s">
        <v>742</v>
      </c>
      <c r="FC237" s="187">
        <v>0</v>
      </c>
    </row>
    <row r="238" spans="1:159" s="187" customFormat="1" x14ac:dyDescent="0.2">
      <c r="A238" s="187" t="s">
        <v>1811</v>
      </c>
      <c r="B238" s="429" t="s">
        <v>554</v>
      </c>
      <c r="C238" s="429" t="s">
        <v>553</v>
      </c>
      <c r="D238" s="208">
        <v>-1</v>
      </c>
      <c r="E238" s="208">
        <v>101068457</v>
      </c>
      <c r="F238" s="208">
        <v>0</v>
      </c>
      <c r="G238" s="208">
        <v>1020894</v>
      </c>
      <c r="H238" s="208">
        <v>102089350</v>
      </c>
      <c r="I238" s="208">
        <v>0</v>
      </c>
      <c r="J238" s="208">
        <v>0</v>
      </c>
      <c r="K238" s="208">
        <v>-1</v>
      </c>
      <c r="L238" s="208">
        <v>205422</v>
      </c>
      <c r="M238" s="208">
        <v>205422</v>
      </c>
      <c r="N238" s="208">
        <v>0</v>
      </c>
      <c r="O238" s="208">
        <v>0</v>
      </c>
      <c r="P238" s="208">
        <v>0</v>
      </c>
      <c r="Q238" s="208">
        <v>0</v>
      </c>
      <c r="R238" s="208">
        <v>0</v>
      </c>
      <c r="S238" s="208">
        <v>0</v>
      </c>
      <c r="T238" s="208">
        <v>0</v>
      </c>
      <c r="U238" s="208">
        <v>0</v>
      </c>
      <c r="V238" s="208">
        <v>0</v>
      </c>
      <c r="W238" s="208">
        <v>0</v>
      </c>
      <c r="X238" s="208">
        <v>0</v>
      </c>
      <c r="Y238" s="208">
        <v>0</v>
      </c>
      <c r="Z238" s="208">
        <v>0</v>
      </c>
      <c r="AA238" s="208">
        <v>0</v>
      </c>
      <c r="AB238" s="208">
        <v>0</v>
      </c>
      <c r="AC238" s="208">
        <v>0</v>
      </c>
      <c r="AD238" s="208">
        <v>0</v>
      </c>
      <c r="AE238" s="208">
        <v>0</v>
      </c>
      <c r="AF238" s="208">
        <v>0</v>
      </c>
      <c r="AG238" s="208">
        <v>5004951</v>
      </c>
      <c r="AH238" s="208">
        <v>0</v>
      </c>
      <c r="AI238" s="208">
        <v>50555</v>
      </c>
      <c r="AJ238" s="208">
        <v>5055506</v>
      </c>
      <c r="AK238" s="208">
        <v>0</v>
      </c>
      <c r="AL238" s="208">
        <v>4130819</v>
      </c>
      <c r="AM238" s="208">
        <v>0</v>
      </c>
      <c r="AN238" s="208">
        <v>41725</v>
      </c>
      <c r="AO238" s="208">
        <v>4172544</v>
      </c>
      <c r="AP238" s="208">
        <v>0</v>
      </c>
      <c r="AQ238" s="208">
        <v>-442165</v>
      </c>
      <c r="AR238" s="208">
        <v>0</v>
      </c>
      <c r="AS238" s="208">
        <v>-4466</v>
      </c>
      <c r="AT238" s="208">
        <v>-446631</v>
      </c>
      <c r="AU238" s="208">
        <v>0.10000000009313226</v>
      </c>
      <c r="AV238" s="208">
        <v>-1984237</v>
      </c>
      <c r="AW238" s="208">
        <v>0</v>
      </c>
      <c r="AX238" s="208">
        <v>-20043</v>
      </c>
      <c r="AY238" s="208">
        <v>-2004279.9</v>
      </c>
      <c r="AZ238" s="208">
        <v>0</v>
      </c>
      <c r="BA238" s="208">
        <v>776272</v>
      </c>
      <c r="BB238" s="208">
        <v>0</v>
      </c>
      <c r="BC238" s="208">
        <v>7841</v>
      </c>
      <c r="BD238" s="208">
        <v>784113</v>
      </c>
      <c r="BE238" s="208">
        <v>0</v>
      </c>
      <c r="BF238" s="208">
        <v>-1004699</v>
      </c>
      <c r="BG238" s="208">
        <v>0</v>
      </c>
      <c r="BH238" s="208">
        <v>-10148</v>
      </c>
      <c r="BI238" s="208">
        <v>-1014847</v>
      </c>
      <c r="BJ238" s="208">
        <v>0.10000000009313226</v>
      </c>
      <c r="BK238" s="208">
        <v>-2212664</v>
      </c>
      <c r="BL238" s="208">
        <v>0</v>
      </c>
      <c r="BM238" s="208">
        <v>-22350</v>
      </c>
      <c r="BN238" s="208">
        <v>-2235013.9</v>
      </c>
      <c r="BO238" s="208">
        <v>0</v>
      </c>
      <c r="BP238" s="208">
        <v>-3486103</v>
      </c>
      <c r="BQ238" s="208">
        <v>0</v>
      </c>
      <c r="BR238" s="208">
        <v>-35213</v>
      </c>
      <c r="BS238" s="208">
        <v>-3521316</v>
      </c>
      <c r="BT238" s="208">
        <v>0</v>
      </c>
      <c r="BU238" s="208">
        <v>-642909</v>
      </c>
      <c r="BV238" s="208">
        <v>0</v>
      </c>
      <c r="BW238" s="208">
        <v>-6494</v>
      </c>
      <c r="BX238" s="208">
        <v>-649403</v>
      </c>
      <c r="BY238" s="208">
        <v>0</v>
      </c>
      <c r="BZ238" s="208">
        <v>-2843194</v>
      </c>
      <c r="CA238" s="208">
        <v>0</v>
      </c>
      <c r="CB238" s="208">
        <v>-28719</v>
      </c>
      <c r="CC238" s="208">
        <v>-2871913</v>
      </c>
      <c r="CD238" s="208">
        <v>0</v>
      </c>
      <c r="CE238" s="208">
        <v>642909</v>
      </c>
      <c r="CF238" s="208">
        <v>0</v>
      </c>
      <c r="CG238" s="208">
        <v>6494</v>
      </c>
      <c r="CH238" s="208">
        <v>649403</v>
      </c>
      <c r="CI238" s="208">
        <v>0</v>
      </c>
      <c r="CJ238" s="208">
        <v>1408682</v>
      </c>
      <c r="CK238" s="208">
        <v>0</v>
      </c>
      <c r="CL238" s="208">
        <v>14229</v>
      </c>
      <c r="CM238" s="208">
        <v>1422911</v>
      </c>
      <c r="CN238" s="208">
        <v>0</v>
      </c>
      <c r="CO238" s="208">
        <v>0</v>
      </c>
      <c r="CP238" s="208">
        <v>0</v>
      </c>
      <c r="CQ238" s="208">
        <v>0</v>
      </c>
      <c r="CR238" s="208">
        <v>0</v>
      </c>
      <c r="CS238" s="208">
        <v>0</v>
      </c>
      <c r="CT238" s="208">
        <v>-2079000</v>
      </c>
      <c r="CU238" s="208">
        <v>0</v>
      </c>
      <c r="CV238" s="208">
        <v>-21000</v>
      </c>
      <c r="CW238" s="208">
        <v>-2100000</v>
      </c>
      <c r="CX238" s="208">
        <v>0</v>
      </c>
      <c r="CY238" s="208">
        <v>-3513512</v>
      </c>
      <c r="CZ238" s="208">
        <v>0</v>
      </c>
      <c r="DA238" s="208">
        <v>-35490</v>
      </c>
      <c r="DB238" s="208">
        <v>-3549002</v>
      </c>
      <c r="DC238" s="208">
        <v>0</v>
      </c>
      <c r="DD238" s="208">
        <v>0</v>
      </c>
      <c r="DE238" s="208">
        <v>0</v>
      </c>
      <c r="DF238" s="208">
        <v>0</v>
      </c>
      <c r="DG238" s="208">
        <v>0</v>
      </c>
      <c r="DH238" s="208">
        <v>0</v>
      </c>
      <c r="DI238" s="208">
        <v>-3513512</v>
      </c>
      <c r="DJ238" s="208">
        <v>0</v>
      </c>
      <c r="DK238" s="208">
        <v>-35490</v>
      </c>
      <c r="DL238" s="208">
        <v>-3549002</v>
      </c>
      <c r="DM238" s="208">
        <v>-1657983</v>
      </c>
      <c r="DN238" s="208">
        <v>-1624824</v>
      </c>
      <c r="DO238" s="208">
        <v>0</v>
      </c>
      <c r="DP238" s="208">
        <v>-33160</v>
      </c>
      <c r="DQ238" s="208">
        <v>-3315967</v>
      </c>
      <c r="DR238" s="208">
        <v>-3116322</v>
      </c>
      <c r="DS238" s="208">
        <v>-3053995</v>
      </c>
      <c r="DT238" s="208">
        <v>0</v>
      </c>
      <c r="DU238" s="208">
        <v>-62326</v>
      </c>
      <c r="DV238" s="208">
        <v>-6232643</v>
      </c>
      <c r="DW238" s="208">
        <v>1458339</v>
      </c>
      <c r="DX238" s="208">
        <v>1429171</v>
      </c>
      <c r="DY238" s="208">
        <v>0</v>
      </c>
      <c r="DZ238" s="208">
        <v>29166</v>
      </c>
      <c r="EA238" s="208">
        <v>2916676</v>
      </c>
      <c r="EB238" s="208">
        <v>0</v>
      </c>
      <c r="EC238" s="208">
        <v>101475231</v>
      </c>
      <c r="ED238" s="208">
        <v>0</v>
      </c>
      <c r="EE238" s="208">
        <v>1025002</v>
      </c>
      <c r="EF238" s="208">
        <v>102500233</v>
      </c>
      <c r="EG238" s="208">
        <v>0</v>
      </c>
      <c r="EH238" s="208">
        <v>101068456</v>
      </c>
      <c r="EI238" s="208">
        <v>0</v>
      </c>
      <c r="EJ238" s="208">
        <v>1020894</v>
      </c>
      <c r="EK238" s="208">
        <v>102089350</v>
      </c>
      <c r="EL238" s="208">
        <v>0</v>
      </c>
      <c r="EM238" s="208">
        <v>-406775</v>
      </c>
      <c r="EN238" s="208">
        <v>0</v>
      </c>
      <c r="EO238" s="208">
        <v>-4108</v>
      </c>
      <c r="EP238" s="208">
        <v>-410883</v>
      </c>
      <c r="EQ238" s="208">
        <v>1458339</v>
      </c>
      <c r="ER238" s="208">
        <v>1022396</v>
      </c>
      <c r="ES238" s="208">
        <v>0</v>
      </c>
      <c r="ET238" s="208">
        <v>25058</v>
      </c>
      <c r="EU238" s="208">
        <v>2505793</v>
      </c>
      <c r="EV238" s="666">
        <v>0</v>
      </c>
      <c r="EW238" s="666">
        <v>0.99</v>
      </c>
      <c r="EX238" s="666">
        <v>0</v>
      </c>
      <c r="EY238" s="666">
        <v>0.01</v>
      </c>
      <c r="EZ238" s="666">
        <v>1</v>
      </c>
      <c r="FA238" s="187" t="s">
        <v>742</v>
      </c>
      <c r="FC238" s="187">
        <v>0</v>
      </c>
    </row>
    <row r="239" spans="1:159" s="187" customFormat="1" x14ac:dyDescent="0.2">
      <c r="B239" s="429" t="s">
        <v>556</v>
      </c>
      <c r="C239" s="429" t="s">
        <v>555</v>
      </c>
      <c r="D239" s="208">
        <v>0</v>
      </c>
      <c r="E239" s="208">
        <v>113910060</v>
      </c>
      <c r="F239" s="208">
        <v>0</v>
      </c>
      <c r="G239" s="208">
        <v>1150607</v>
      </c>
      <c r="H239" s="208">
        <v>115060667</v>
      </c>
      <c r="I239" s="208">
        <v>0</v>
      </c>
      <c r="J239" s="208">
        <v>0</v>
      </c>
      <c r="K239" s="208">
        <v>0</v>
      </c>
      <c r="L239" s="208">
        <v>252086</v>
      </c>
      <c r="M239" s="208">
        <v>252086</v>
      </c>
      <c r="N239" s="208">
        <v>0</v>
      </c>
      <c r="O239" s="208">
        <v>0</v>
      </c>
      <c r="P239" s="208">
        <v>0</v>
      </c>
      <c r="Q239" s="208">
        <v>0</v>
      </c>
      <c r="R239" s="208">
        <v>0</v>
      </c>
      <c r="S239" s="208">
        <v>0</v>
      </c>
      <c r="T239" s="208">
        <v>0</v>
      </c>
      <c r="U239" s="208">
        <v>0</v>
      </c>
      <c r="V239" s="208">
        <v>0</v>
      </c>
      <c r="W239" s="208">
        <v>0</v>
      </c>
      <c r="X239" s="208">
        <v>0</v>
      </c>
      <c r="Y239" s="208">
        <v>0</v>
      </c>
      <c r="Z239" s="208">
        <v>0</v>
      </c>
      <c r="AA239" s="208">
        <v>0</v>
      </c>
      <c r="AB239" s="208">
        <v>0</v>
      </c>
      <c r="AC239" s="208">
        <v>0</v>
      </c>
      <c r="AD239" s="208">
        <v>0</v>
      </c>
      <c r="AE239" s="208">
        <v>0</v>
      </c>
      <c r="AF239" s="208">
        <v>0</v>
      </c>
      <c r="AG239" s="208">
        <v>5918712</v>
      </c>
      <c r="AH239" s="208">
        <v>0</v>
      </c>
      <c r="AI239" s="208">
        <v>59785</v>
      </c>
      <c r="AJ239" s="208">
        <v>5978497</v>
      </c>
      <c r="AK239" s="208">
        <v>0</v>
      </c>
      <c r="AL239" s="208">
        <v>2666775</v>
      </c>
      <c r="AM239" s="208">
        <v>0</v>
      </c>
      <c r="AN239" s="208">
        <v>26937</v>
      </c>
      <c r="AO239" s="208">
        <v>2693712</v>
      </c>
      <c r="AP239" s="208">
        <v>0</v>
      </c>
      <c r="AQ239" s="208">
        <v>-3221146</v>
      </c>
      <c r="AR239" s="208">
        <v>0</v>
      </c>
      <c r="AS239" s="208">
        <v>-32537</v>
      </c>
      <c r="AT239" s="208">
        <v>-3253683</v>
      </c>
      <c r="AU239" s="208">
        <v>0</v>
      </c>
      <c r="AV239" s="208">
        <v>-2023296</v>
      </c>
      <c r="AW239" s="208">
        <v>0</v>
      </c>
      <c r="AX239" s="208">
        <v>-20437</v>
      </c>
      <c r="AY239" s="208">
        <v>-2043733</v>
      </c>
      <c r="AZ239" s="208">
        <v>0</v>
      </c>
      <c r="BA239" s="208">
        <v>1240503</v>
      </c>
      <c r="BB239" s="208">
        <v>0</v>
      </c>
      <c r="BC239" s="208">
        <v>12530</v>
      </c>
      <c r="BD239" s="208">
        <v>1253033</v>
      </c>
      <c r="BE239" s="208">
        <v>0</v>
      </c>
      <c r="BF239" s="208">
        <v>-754081</v>
      </c>
      <c r="BG239" s="208">
        <v>0</v>
      </c>
      <c r="BH239" s="208">
        <v>-7617</v>
      </c>
      <c r="BI239" s="208">
        <v>-761698</v>
      </c>
      <c r="BJ239" s="208">
        <v>0</v>
      </c>
      <c r="BK239" s="208">
        <v>-1536874</v>
      </c>
      <c r="BL239" s="208">
        <v>0</v>
      </c>
      <c r="BM239" s="208">
        <v>-15524</v>
      </c>
      <c r="BN239" s="208">
        <v>-1552398</v>
      </c>
      <c r="BO239" s="208">
        <v>0</v>
      </c>
      <c r="BP239" s="208">
        <v>-15144994</v>
      </c>
      <c r="BQ239" s="208">
        <v>0</v>
      </c>
      <c r="BR239" s="208">
        <v>-152980</v>
      </c>
      <c r="BS239" s="208">
        <v>-15297974</v>
      </c>
      <c r="BT239" s="208">
        <v>0</v>
      </c>
      <c r="BU239" s="208">
        <v>-9581591</v>
      </c>
      <c r="BV239" s="208">
        <v>0</v>
      </c>
      <c r="BW239" s="208">
        <v>-96784</v>
      </c>
      <c r="BX239" s="208">
        <v>-9678375</v>
      </c>
      <c r="BY239" s="208">
        <v>0</v>
      </c>
      <c r="BZ239" s="208">
        <v>-5563403</v>
      </c>
      <c r="CA239" s="208">
        <v>0</v>
      </c>
      <c r="CB239" s="208">
        <v>-56196</v>
      </c>
      <c r="CC239" s="208">
        <v>-5619599</v>
      </c>
      <c r="CD239" s="208">
        <v>0</v>
      </c>
      <c r="CE239" s="208">
        <v>1871504</v>
      </c>
      <c r="CF239" s="208">
        <v>0</v>
      </c>
      <c r="CG239" s="208">
        <v>18904</v>
      </c>
      <c r="CH239" s="208">
        <v>1890408</v>
      </c>
      <c r="CI239" s="208">
        <v>0</v>
      </c>
      <c r="CJ239" s="208">
        <v>16515</v>
      </c>
      <c r="CK239" s="208">
        <v>0</v>
      </c>
      <c r="CL239" s="208">
        <v>167</v>
      </c>
      <c r="CM239" s="208">
        <v>16682</v>
      </c>
      <c r="CN239" s="208">
        <v>0</v>
      </c>
      <c r="CO239" s="208">
        <v>1166406</v>
      </c>
      <c r="CP239" s="208">
        <v>0</v>
      </c>
      <c r="CQ239" s="208">
        <v>11782</v>
      </c>
      <c r="CR239" s="208">
        <v>1178188</v>
      </c>
      <c r="CS239" s="208">
        <v>0</v>
      </c>
      <c r="CT239" s="208">
        <v>-2600677</v>
      </c>
      <c r="CU239" s="208">
        <v>0</v>
      </c>
      <c r="CV239" s="208">
        <v>-26269</v>
      </c>
      <c r="CW239" s="208">
        <v>-2626946</v>
      </c>
      <c r="CX239" s="208">
        <v>0</v>
      </c>
      <c r="CY239" s="208">
        <v>-14691246</v>
      </c>
      <c r="CZ239" s="208">
        <v>0</v>
      </c>
      <c r="DA239" s="208">
        <v>-148396</v>
      </c>
      <c r="DB239" s="208">
        <v>-14839642</v>
      </c>
      <c r="DC239" s="208">
        <v>0</v>
      </c>
      <c r="DD239" s="208">
        <v>-6543681</v>
      </c>
      <c r="DE239" s="208">
        <v>0</v>
      </c>
      <c r="DF239" s="208">
        <v>-66098</v>
      </c>
      <c r="DG239" s="208">
        <v>-6609779</v>
      </c>
      <c r="DH239" s="208">
        <v>0</v>
      </c>
      <c r="DI239" s="208">
        <v>-8147565</v>
      </c>
      <c r="DJ239" s="208">
        <v>0</v>
      </c>
      <c r="DK239" s="208">
        <v>-82298</v>
      </c>
      <c r="DL239" s="208">
        <v>-8229863</v>
      </c>
      <c r="DM239" s="208">
        <v>380295.5</v>
      </c>
      <c r="DN239" s="208">
        <v>-204883</v>
      </c>
      <c r="DO239" s="208">
        <v>0</v>
      </c>
      <c r="DP239" s="208">
        <v>1773</v>
      </c>
      <c r="DQ239" s="208">
        <v>177185.5</v>
      </c>
      <c r="DR239" s="208">
        <v>380298</v>
      </c>
      <c r="DS239" s="208">
        <v>-51922</v>
      </c>
      <c r="DT239" s="208">
        <v>0</v>
      </c>
      <c r="DU239" s="208">
        <v>3317</v>
      </c>
      <c r="DV239" s="208">
        <v>331693</v>
      </c>
      <c r="DW239" s="208">
        <v>-2.5</v>
      </c>
      <c r="DX239" s="208">
        <v>-152961</v>
      </c>
      <c r="DY239" s="208">
        <v>0</v>
      </c>
      <c r="DZ239" s="208">
        <v>-1544</v>
      </c>
      <c r="EA239" s="208">
        <v>-154507.5</v>
      </c>
      <c r="EB239" s="208">
        <v>0</v>
      </c>
      <c r="EC239" s="208">
        <v>111681981</v>
      </c>
      <c r="ED239" s="208">
        <v>0</v>
      </c>
      <c r="EE239" s="208">
        <v>1128101</v>
      </c>
      <c r="EF239" s="208">
        <v>112810082</v>
      </c>
      <c r="EG239" s="208">
        <v>0</v>
      </c>
      <c r="EH239" s="208">
        <v>113910060</v>
      </c>
      <c r="EI239" s="208">
        <v>0</v>
      </c>
      <c r="EJ239" s="208">
        <v>1150607</v>
      </c>
      <c r="EK239" s="208">
        <v>115060667</v>
      </c>
      <c r="EL239" s="208">
        <v>0</v>
      </c>
      <c r="EM239" s="208">
        <v>2228079</v>
      </c>
      <c r="EN239" s="208">
        <v>0</v>
      </c>
      <c r="EO239" s="208">
        <v>22506</v>
      </c>
      <c r="EP239" s="208">
        <v>2250585</v>
      </c>
      <c r="EQ239" s="208">
        <v>-2.5</v>
      </c>
      <c r="ER239" s="208">
        <v>2075118</v>
      </c>
      <c r="ES239" s="208">
        <v>0</v>
      </c>
      <c r="ET239" s="208">
        <v>20962</v>
      </c>
      <c r="EU239" s="208">
        <v>2096077.5</v>
      </c>
      <c r="EV239" s="666">
        <v>0</v>
      </c>
      <c r="EW239" s="666">
        <v>0.99</v>
      </c>
      <c r="EX239" s="666">
        <v>0</v>
      </c>
      <c r="EY239" s="666">
        <v>0.01</v>
      </c>
      <c r="EZ239" s="666">
        <v>1</v>
      </c>
      <c r="FA239" s="187" t="s">
        <v>1056</v>
      </c>
      <c r="FC239" s="187">
        <v>0</v>
      </c>
    </row>
    <row r="240" spans="1:159" s="187" customFormat="1" x14ac:dyDescent="0.2">
      <c r="A240" s="188"/>
      <c r="B240" s="429" t="s">
        <v>558</v>
      </c>
      <c r="C240" s="429" t="s">
        <v>557</v>
      </c>
      <c r="D240" s="208">
        <v>16247641</v>
      </c>
      <c r="E240" s="208">
        <v>12998112</v>
      </c>
      <c r="F240" s="208">
        <v>2924575</v>
      </c>
      <c r="G240" s="208">
        <v>324953</v>
      </c>
      <c r="H240" s="208">
        <v>32495281</v>
      </c>
      <c r="I240" s="208">
        <v>0</v>
      </c>
      <c r="J240" s="208">
        <v>0</v>
      </c>
      <c r="K240" s="208">
        <v>16247641</v>
      </c>
      <c r="L240" s="208">
        <v>95879</v>
      </c>
      <c r="M240" s="208">
        <v>95879</v>
      </c>
      <c r="N240" s="208">
        <v>0</v>
      </c>
      <c r="O240" s="208">
        <v>0</v>
      </c>
      <c r="P240" s="208">
        <v>0</v>
      </c>
      <c r="Q240" s="208">
        <v>0</v>
      </c>
      <c r="R240" s="208">
        <v>0</v>
      </c>
      <c r="S240" s="208">
        <v>0</v>
      </c>
      <c r="T240" s="208">
        <v>0</v>
      </c>
      <c r="U240" s="208">
        <v>0</v>
      </c>
      <c r="V240" s="208">
        <v>0</v>
      </c>
      <c r="W240" s="208">
        <v>0</v>
      </c>
      <c r="X240" s="208">
        <v>0</v>
      </c>
      <c r="Y240" s="208">
        <v>0</v>
      </c>
      <c r="Z240" s="208">
        <v>0</v>
      </c>
      <c r="AA240" s="208">
        <v>0</v>
      </c>
      <c r="AB240" s="208">
        <v>0</v>
      </c>
      <c r="AC240" s="208">
        <v>0</v>
      </c>
      <c r="AD240" s="208">
        <v>0</v>
      </c>
      <c r="AE240" s="208">
        <v>0</v>
      </c>
      <c r="AF240" s="208">
        <v>0</v>
      </c>
      <c r="AG240" s="208">
        <v>947815</v>
      </c>
      <c r="AH240" s="208">
        <v>213258</v>
      </c>
      <c r="AI240" s="208">
        <v>23695</v>
      </c>
      <c r="AJ240" s="208">
        <v>1184768</v>
      </c>
      <c r="AK240" s="208">
        <v>832987</v>
      </c>
      <c r="AL240" s="208">
        <v>666390</v>
      </c>
      <c r="AM240" s="208">
        <v>149938</v>
      </c>
      <c r="AN240" s="208">
        <v>16660</v>
      </c>
      <c r="AO240" s="208">
        <v>1665975</v>
      </c>
      <c r="AP240" s="208">
        <v>-672376</v>
      </c>
      <c r="AQ240" s="208">
        <v>-537901</v>
      </c>
      <c r="AR240" s="208">
        <v>-121028</v>
      </c>
      <c r="AS240" s="208">
        <v>-13448</v>
      </c>
      <c r="AT240" s="208">
        <v>-1344753</v>
      </c>
      <c r="AU240" s="208">
        <v>-302000</v>
      </c>
      <c r="AV240" s="208">
        <v>-241600</v>
      </c>
      <c r="AW240" s="208">
        <v>-54360</v>
      </c>
      <c r="AX240" s="208">
        <v>-6040</v>
      </c>
      <c r="AY240" s="208">
        <v>-604000</v>
      </c>
      <c r="AZ240" s="208">
        <v>240866</v>
      </c>
      <c r="BA240" s="208">
        <v>192692</v>
      </c>
      <c r="BB240" s="208">
        <v>43356</v>
      </c>
      <c r="BC240" s="208">
        <v>4817</v>
      </c>
      <c r="BD240" s="208">
        <v>481731</v>
      </c>
      <c r="BE240" s="208">
        <v>-159866</v>
      </c>
      <c r="BF240" s="208">
        <v>-127892</v>
      </c>
      <c r="BG240" s="208">
        <v>-28776</v>
      </c>
      <c r="BH240" s="208">
        <v>-3197</v>
      </c>
      <c r="BI240" s="208">
        <v>-319731</v>
      </c>
      <c r="BJ240" s="208">
        <v>-221000</v>
      </c>
      <c r="BK240" s="208">
        <v>-176800</v>
      </c>
      <c r="BL240" s="208">
        <v>-39780</v>
      </c>
      <c r="BM240" s="208">
        <v>-4420</v>
      </c>
      <c r="BN240" s="208">
        <v>-442000</v>
      </c>
      <c r="BO240" s="208">
        <v>-1910293</v>
      </c>
      <c r="BP240" s="208">
        <v>-1528234</v>
      </c>
      <c r="BQ240" s="208">
        <v>-343853</v>
      </c>
      <c r="BR240" s="208">
        <v>-38206</v>
      </c>
      <c r="BS240" s="208">
        <v>-3820586</v>
      </c>
      <c r="BT240" s="208">
        <v>0</v>
      </c>
      <c r="BU240" s="208">
        <v>0</v>
      </c>
      <c r="BV240" s="208">
        <v>0</v>
      </c>
      <c r="BW240" s="208">
        <v>0</v>
      </c>
      <c r="BX240" s="208">
        <v>0</v>
      </c>
      <c r="BY240" s="208">
        <v>-1910293</v>
      </c>
      <c r="BZ240" s="208">
        <v>-1528234</v>
      </c>
      <c r="CA240" s="208">
        <v>-343853</v>
      </c>
      <c r="CB240" s="208">
        <v>-38206</v>
      </c>
      <c r="CC240" s="208">
        <v>-3820586</v>
      </c>
      <c r="CD240" s="208">
        <v>727829</v>
      </c>
      <c r="CE240" s="208">
        <v>582263</v>
      </c>
      <c r="CF240" s="208">
        <v>131009</v>
      </c>
      <c r="CG240" s="208">
        <v>14557</v>
      </c>
      <c r="CH240" s="208">
        <v>1455658</v>
      </c>
      <c r="CI240" s="208">
        <v>0</v>
      </c>
      <c r="CJ240" s="208">
        <v>0</v>
      </c>
      <c r="CK240" s="208">
        <v>0</v>
      </c>
      <c r="CL240" s="208">
        <v>0</v>
      </c>
      <c r="CM240" s="208">
        <v>0</v>
      </c>
      <c r="CN240" s="208">
        <v>-397186</v>
      </c>
      <c r="CO240" s="208">
        <v>-317749</v>
      </c>
      <c r="CP240" s="208">
        <v>-71494</v>
      </c>
      <c r="CQ240" s="208">
        <v>-7944</v>
      </c>
      <c r="CR240" s="208">
        <v>-794373</v>
      </c>
      <c r="CS240" s="208">
        <v>-360747</v>
      </c>
      <c r="CT240" s="208">
        <v>-288597</v>
      </c>
      <c r="CU240" s="208">
        <v>-64934</v>
      </c>
      <c r="CV240" s="208">
        <v>-7215</v>
      </c>
      <c r="CW240" s="208">
        <v>-721493</v>
      </c>
      <c r="CX240" s="208">
        <v>-1940397</v>
      </c>
      <c r="CY240" s="208">
        <v>-1552317</v>
      </c>
      <c r="CZ240" s="208">
        <v>-349272</v>
      </c>
      <c r="DA240" s="208">
        <v>-38808</v>
      </c>
      <c r="DB240" s="208">
        <v>-3880794</v>
      </c>
      <c r="DC240" s="208">
        <v>330643</v>
      </c>
      <c r="DD240" s="208">
        <v>264514</v>
      </c>
      <c r="DE240" s="208">
        <v>59515</v>
      </c>
      <c r="DF240" s="208">
        <v>6613</v>
      </c>
      <c r="DG240" s="208">
        <v>661285</v>
      </c>
      <c r="DH240" s="208">
        <v>-2271040</v>
      </c>
      <c r="DI240" s="208">
        <v>-1816831</v>
      </c>
      <c r="DJ240" s="208">
        <v>-408787</v>
      </c>
      <c r="DK240" s="208">
        <v>-45421</v>
      </c>
      <c r="DL240" s="208">
        <v>-4542079</v>
      </c>
      <c r="DM240" s="208">
        <v>616384</v>
      </c>
      <c r="DN240" s="208">
        <v>493105</v>
      </c>
      <c r="DO240" s="208">
        <v>110948</v>
      </c>
      <c r="DP240" s="208">
        <v>12329</v>
      </c>
      <c r="DQ240" s="208">
        <v>1232766</v>
      </c>
      <c r="DR240" s="208">
        <v>774539</v>
      </c>
      <c r="DS240" s="208">
        <v>619631</v>
      </c>
      <c r="DT240" s="208">
        <v>139417</v>
      </c>
      <c r="DU240" s="208">
        <v>15491</v>
      </c>
      <c r="DV240" s="208">
        <v>1549078</v>
      </c>
      <c r="DW240" s="208">
        <v>-158155</v>
      </c>
      <c r="DX240" s="208">
        <v>-126526</v>
      </c>
      <c r="DY240" s="208">
        <v>-28469</v>
      </c>
      <c r="DZ240" s="208">
        <v>-3162</v>
      </c>
      <c r="EA240" s="208">
        <v>-316312</v>
      </c>
      <c r="EB240" s="208">
        <v>16213386</v>
      </c>
      <c r="EC240" s="208">
        <v>12970708</v>
      </c>
      <c r="ED240" s="208">
        <v>2918409</v>
      </c>
      <c r="EE240" s="208">
        <v>324268</v>
      </c>
      <c r="EF240" s="208">
        <v>32426771</v>
      </c>
      <c r="EG240" s="208">
        <v>16247641</v>
      </c>
      <c r="EH240" s="208">
        <v>12998112</v>
      </c>
      <c r="EI240" s="208">
        <v>2924575</v>
      </c>
      <c r="EJ240" s="208">
        <v>324953</v>
      </c>
      <c r="EK240" s="208">
        <v>32495281</v>
      </c>
      <c r="EL240" s="208">
        <v>34255</v>
      </c>
      <c r="EM240" s="208">
        <v>27404</v>
      </c>
      <c r="EN240" s="208">
        <v>6166</v>
      </c>
      <c r="EO240" s="208">
        <v>685</v>
      </c>
      <c r="EP240" s="208">
        <v>68510</v>
      </c>
      <c r="EQ240" s="208">
        <v>-123900</v>
      </c>
      <c r="ER240" s="208">
        <v>-99122</v>
      </c>
      <c r="ES240" s="208">
        <v>-22303</v>
      </c>
      <c r="ET240" s="208">
        <v>-2477</v>
      </c>
      <c r="EU240" s="208">
        <v>-247802</v>
      </c>
      <c r="EV240" s="666">
        <v>0.5</v>
      </c>
      <c r="EW240" s="666">
        <v>0.4</v>
      </c>
      <c r="EX240" s="666">
        <v>0.09</v>
      </c>
      <c r="EY240" s="666">
        <v>0.01</v>
      </c>
      <c r="EZ240" s="666">
        <v>1</v>
      </c>
      <c r="FA240" s="187" t="s">
        <v>1054</v>
      </c>
      <c r="FC240" s="187">
        <v>0</v>
      </c>
    </row>
    <row r="241" spans="1:159" s="187" customFormat="1" x14ac:dyDescent="0.2">
      <c r="B241" s="429" t="s">
        <v>560</v>
      </c>
      <c r="C241" s="429" t="s">
        <v>559</v>
      </c>
      <c r="D241" s="208">
        <v>42926772</v>
      </c>
      <c r="E241" s="208">
        <v>34341417</v>
      </c>
      <c r="F241" s="208">
        <v>7726819</v>
      </c>
      <c r="G241" s="208">
        <v>858535</v>
      </c>
      <c r="H241" s="208">
        <v>85853543</v>
      </c>
      <c r="I241" s="208">
        <v>0</v>
      </c>
      <c r="J241" s="208">
        <v>0</v>
      </c>
      <c r="K241" s="208">
        <v>42926772</v>
      </c>
      <c r="L241" s="208">
        <v>230781</v>
      </c>
      <c r="M241" s="208">
        <v>230781</v>
      </c>
      <c r="N241" s="208">
        <v>752412</v>
      </c>
      <c r="O241" s="208">
        <v>752412</v>
      </c>
      <c r="P241" s="208">
        <v>834462</v>
      </c>
      <c r="Q241" s="208">
        <v>0</v>
      </c>
      <c r="R241" s="208">
        <v>834462</v>
      </c>
      <c r="S241" s="208">
        <v>0</v>
      </c>
      <c r="T241" s="208">
        <v>0</v>
      </c>
      <c r="U241" s="208">
        <v>0</v>
      </c>
      <c r="V241" s="208">
        <v>0</v>
      </c>
      <c r="W241" s="208">
        <v>0</v>
      </c>
      <c r="X241" s="208">
        <v>0</v>
      </c>
      <c r="Y241" s="208">
        <v>0</v>
      </c>
      <c r="Z241" s="208">
        <v>0</v>
      </c>
      <c r="AA241" s="208">
        <v>0</v>
      </c>
      <c r="AB241" s="208">
        <v>0</v>
      </c>
      <c r="AC241" s="208">
        <v>0</v>
      </c>
      <c r="AD241" s="208">
        <v>0</v>
      </c>
      <c r="AE241" s="208">
        <v>0</v>
      </c>
      <c r="AF241" s="208">
        <v>0</v>
      </c>
      <c r="AG241" s="208">
        <v>2515792</v>
      </c>
      <c r="AH241" s="208">
        <v>557507</v>
      </c>
      <c r="AI241" s="208">
        <v>61946</v>
      </c>
      <c r="AJ241" s="208">
        <v>3135245</v>
      </c>
      <c r="AK241" s="208">
        <v>327758</v>
      </c>
      <c r="AL241" s="208">
        <v>262206</v>
      </c>
      <c r="AM241" s="208">
        <v>58996</v>
      </c>
      <c r="AN241" s="208">
        <v>6555</v>
      </c>
      <c r="AO241" s="208">
        <v>655515</v>
      </c>
      <c r="AP241" s="208">
        <v>-1114480</v>
      </c>
      <c r="AQ241" s="208">
        <v>-891585</v>
      </c>
      <c r="AR241" s="208">
        <v>-200607</v>
      </c>
      <c r="AS241" s="208">
        <v>-22290</v>
      </c>
      <c r="AT241" s="208">
        <v>-2228962</v>
      </c>
      <c r="AU241" s="208">
        <v>-100279</v>
      </c>
      <c r="AV241" s="208">
        <v>-80224</v>
      </c>
      <c r="AW241" s="208">
        <v>-18050</v>
      </c>
      <c r="AX241" s="208">
        <v>-2006</v>
      </c>
      <c r="AY241" s="208">
        <v>-200559</v>
      </c>
      <c r="AZ241" s="208">
        <v>54857</v>
      </c>
      <c r="BA241" s="208">
        <v>43885</v>
      </c>
      <c r="BB241" s="208">
        <v>9874</v>
      </c>
      <c r="BC241" s="208">
        <v>1097</v>
      </c>
      <c r="BD241" s="208">
        <v>109713</v>
      </c>
      <c r="BE241" s="208">
        <v>-52942</v>
      </c>
      <c r="BF241" s="208">
        <v>-42353</v>
      </c>
      <c r="BG241" s="208">
        <v>-9529</v>
      </c>
      <c r="BH241" s="208">
        <v>-1059</v>
      </c>
      <c r="BI241" s="208">
        <v>-105883</v>
      </c>
      <c r="BJ241" s="208">
        <v>-98364</v>
      </c>
      <c r="BK241" s="208">
        <v>-78692</v>
      </c>
      <c r="BL241" s="208">
        <v>-17705</v>
      </c>
      <c r="BM241" s="208">
        <v>-1968</v>
      </c>
      <c r="BN241" s="208">
        <v>-196729</v>
      </c>
      <c r="BO241" s="208">
        <v>-3550773</v>
      </c>
      <c r="BP241" s="208">
        <v>-2840618</v>
      </c>
      <c r="BQ241" s="208">
        <v>-639139</v>
      </c>
      <c r="BR241" s="208">
        <v>-71015</v>
      </c>
      <c r="BS241" s="208">
        <v>-7101545</v>
      </c>
      <c r="BT241" s="208">
        <v>-1677407</v>
      </c>
      <c r="BU241" s="208">
        <v>-1341926</v>
      </c>
      <c r="BV241" s="208">
        <v>-301933</v>
      </c>
      <c r="BW241" s="208">
        <v>-33548</v>
      </c>
      <c r="BX241" s="208">
        <v>-3354814</v>
      </c>
      <c r="BY241" s="208">
        <v>-1873366</v>
      </c>
      <c r="BZ241" s="208">
        <v>-1498692</v>
      </c>
      <c r="CA241" s="208">
        <v>-337206</v>
      </c>
      <c r="CB241" s="208">
        <v>-37467</v>
      </c>
      <c r="CC241" s="208">
        <v>-3746731</v>
      </c>
      <c r="CD241" s="208">
        <v>236467</v>
      </c>
      <c r="CE241" s="208">
        <v>189174</v>
      </c>
      <c r="CF241" s="208">
        <v>42564</v>
      </c>
      <c r="CG241" s="208">
        <v>4729</v>
      </c>
      <c r="CH241" s="208">
        <v>472934</v>
      </c>
      <c r="CI241" s="208">
        <v>0</v>
      </c>
      <c r="CJ241" s="208">
        <v>0</v>
      </c>
      <c r="CK241" s="208">
        <v>0</v>
      </c>
      <c r="CL241" s="208">
        <v>0</v>
      </c>
      <c r="CM241" s="208">
        <v>0</v>
      </c>
      <c r="CN241" s="208">
        <v>0</v>
      </c>
      <c r="CO241" s="208">
        <v>0</v>
      </c>
      <c r="CP241" s="208">
        <v>0</v>
      </c>
      <c r="CQ241" s="208">
        <v>0</v>
      </c>
      <c r="CR241" s="208">
        <v>0</v>
      </c>
      <c r="CS241" s="208">
        <v>-1065988</v>
      </c>
      <c r="CT241" s="208">
        <v>-852791</v>
      </c>
      <c r="CU241" s="208">
        <v>-191878</v>
      </c>
      <c r="CV241" s="208">
        <v>-21320</v>
      </c>
      <c r="CW241" s="208">
        <v>-2131977</v>
      </c>
      <c r="CX241" s="208">
        <v>-4380294</v>
      </c>
      <c r="CY241" s="208">
        <v>-3504235</v>
      </c>
      <c r="CZ241" s="208">
        <v>-788453</v>
      </c>
      <c r="DA241" s="208">
        <v>-87606</v>
      </c>
      <c r="DB241" s="208">
        <v>-8760588</v>
      </c>
      <c r="DC241" s="208">
        <v>-1440940</v>
      </c>
      <c r="DD241" s="208">
        <v>-1152752</v>
      </c>
      <c r="DE241" s="208">
        <v>-259369</v>
      </c>
      <c r="DF241" s="208">
        <v>-28819</v>
      </c>
      <c r="DG241" s="208">
        <v>-2881880</v>
      </c>
      <c r="DH241" s="208">
        <v>-2939354</v>
      </c>
      <c r="DI241" s="208">
        <v>-2351483</v>
      </c>
      <c r="DJ241" s="208">
        <v>-529084</v>
      </c>
      <c r="DK241" s="208">
        <v>-58787</v>
      </c>
      <c r="DL241" s="208">
        <v>-5878708</v>
      </c>
      <c r="DM241" s="208">
        <v>4190061</v>
      </c>
      <c r="DN241" s="208">
        <v>3352048</v>
      </c>
      <c r="DO241" s="208">
        <v>754210</v>
      </c>
      <c r="DP241" s="208">
        <v>83802</v>
      </c>
      <c r="DQ241" s="208">
        <v>7944269</v>
      </c>
      <c r="DR241" s="208">
        <v>3898601</v>
      </c>
      <c r="DS241" s="208">
        <v>3118880</v>
      </c>
      <c r="DT241" s="208">
        <v>701748</v>
      </c>
      <c r="DU241" s="208">
        <v>77972</v>
      </c>
      <c r="DV241" s="208">
        <v>7797201</v>
      </c>
      <c r="DW241" s="208">
        <v>291460</v>
      </c>
      <c r="DX241" s="208">
        <v>233168</v>
      </c>
      <c r="DY241" s="208">
        <v>52462</v>
      </c>
      <c r="DZ241" s="208">
        <v>5830</v>
      </c>
      <c r="EA241" s="208">
        <v>147068</v>
      </c>
      <c r="EB241" s="208">
        <v>40334257</v>
      </c>
      <c r="EC241" s="208">
        <v>32267405</v>
      </c>
      <c r="ED241" s="208">
        <v>7260166</v>
      </c>
      <c r="EE241" s="208">
        <v>806685</v>
      </c>
      <c r="EF241" s="208">
        <v>80668513</v>
      </c>
      <c r="EG241" s="208">
        <v>42926772</v>
      </c>
      <c r="EH241" s="208">
        <v>34341417</v>
      </c>
      <c r="EI241" s="208">
        <v>7726819</v>
      </c>
      <c r="EJ241" s="208">
        <v>858535</v>
      </c>
      <c r="EK241" s="208">
        <v>85853543</v>
      </c>
      <c r="EL241" s="208">
        <v>2592515</v>
      </c>
      <c r="EM241" s="208">
        <v>2074012</v>
      </c>
      <c r="EN241" s="208">
        <v>466653</v>
      </c>
      <c r="EO241" s="208">
        <v>51850</v>
      </c>
      <c r="EP241" s="208">
        <v>5185030</v>
      </c>
      <c r="EQ241" s="208">
        <v>2883975</v>
      </c>
      <c r="ER241" s="208">
        <v>2307180</v>
      </c>
      <c r="ES241" s="208">
        <v>519115</v>
      </c>
      <c r="ET241" s="208">
        <v>57680</v>
      </c>
      <c r="EU241" s="208">
        <v>5332098</v>
      </c>
      <c r="EV241" s="666">
        <v>0.5</v>
      </c>
      <c r="EW241" s="666">
        <v>0.4</v>
      </c>
      <c r="EX241" s="666">
        <v>0.09</v>
      </c>
      <c r="EY241" s="666">
        <v>0.01</v>
      </c>
      <c r="EZ241" s="666">
        <v>1</v>
      </c>
      <c r="FA241" s="187" t="s">
        <v>1054</v>
      </c>
      <c r="FC241" s="187">
        <v>0</v>
      </c>
    </row>
    <row r="242" spans="1:159" s="187" customFormat="1" x14ac:dyDescent="0.2">
      <c r="A242" s="188"/>
      <c r="B242" s="429" t="s">
        <v>562</v>
      </c>
      <c r="C242" s="429" t="s">
        <v>561</v>
      </c>
      <c r="D242" s="208">
        <v>0</v>
      </c>
      <c r="E242" s="208">
        <v>12863782</v>
      </c>
      <c r="F242" s="208">
        <v>12606506</v>
      </c>
      <c r="G242" s="208">
        <v>257276</v>
      </c>
      <c r="H242" s="208">
        <v>25727564</v>
      </c>
      <c r="I242" s="208">
        <v>0</v>
      </c>
      <c r="J242" s="208">
        <v>0</v>
      </c>
      <c r="K242" s="208">
        <v>0</v>
      </c>
      <c r="L242" s="208">
        <v>91363</v>
      </c>
      <c r="M242" s="208">
        <v>91363</v>
      </c>
      <c r="N242" s="208">
        <v>0</v>
      </c>
      <c r="O242" s="208">
        <v>0</v>
      </c>
      <c r="P242" s="208">
        <v>0</v>
      </c>
      <c r="Q242" s="208">
        <v>0</v>
      </c>
      <c r="R242" s="208">
        <v>0</v>
      </c>
      <c r="S242" s="208">
        <v>0</v>
      </c>
      <c r="T242" s="208">
        <v>0</v>
      </c>
      <c r="U242" s="208">
        <v>0</v>
      </c>
      <c r="V242" s="208">
        <v>0</v>
      </c>
      <c r="W242" s="208">
        <v>0</v>
      </c>
      <c r="X242" s="208">
        <v>0</v>
      </c>
      <c r="Y242" s="208">
        <v>0</v>
      </c>
      <c r="Z242" s="208">
        <v>0</v>
      </c>
      <c r="AA242" s="208">
        <v>0</v>
      </c>
      <c r="AB242" s="208">
        <v>0</v>
      </c>
      <c r="AC242" s="208">
        <v>0</v>
      </c>
      <c r="AD242" s="208">
        <v>0</v>
      </c>
      <c r="AE242" s="208">
        <v>0</v>
      </c>
      <c r="AF242" s="208">
        <v>0</v>
      </c>
      <c r="AG242" s="208">
        <v>1323733</v>
      </c>
      <c r="AH242" s="208">
        <v>1297259</v>
      </c>
      <c r="AI242" s="208">
        <v>26475</v>
      </c>
      <c r="AJ242" s="208">
        <v>2647467</v>
      </c>
      <c r="AK242" s="208">
        <v>0</v>
      </c>
      <c r="AL242" s="208">
        <v>933612</v>
      </c>
      <c r="AM242" s="208">
        <v>914940</v>
      </c>
      <c r="AN242" s="208">
        <v>18672</v>
      </c>
      <c r="AO242" s="208">
        <v>1867224</v>
      </c>
      <c r="AP242" s="208">
        <v>0</v>
      </c>
      <c r="AQ242" s="208">
        <v>-275709</v>
      </c>
      <c r="AR242" s="208">
        <v>-270195</v>
      </c>
      <c r="AS242" s="208">
        <v>-5514</v>
      </c>
      <c r="AT242" s="208">
        <v>-551418</v>
      </c>
      <c r="AU242" s="208">
        <v>0</v>
      </c>
      <c r="AV242" s="208">
        <v>-548153</v>
      </c>
      <c r="AW242" s="208">
        <v>-537190</v>
      </c>
      <c r="AX242" s="208">
        <v>-10963</v>
      </c>
      <c r="AY242" s="208">
        <v>-1096306</v>
      </c>
      <c r="AZ242" s="208">
        <v>-1</v>
      </c>
      <c r="BA242" s="208">
        <v>70831</v>
      </c>
      <c r="BB242" s="208">
        <v>69414</v>
      </c>
      <c r="BC242" s="208">
        <v>1417</v>
      </c>
      <c r="BD242" s="208">
        <v>141661</v>
      </c>
      <c r="BE242" s="208">
        <v>0</v>
      </c>
      <c r="BF242" s="208">
        <v>-125053</v>
      </c>
      <c r="BG242" s="208">
        <v>-122552</v>
      </c>
      <c r="BH242" s="208">
        <v>-2501</v>
      </c>
      <c r="BI242" s="208">
        <v>-250106</v>
      </c>
      <c r="BJ242" s="208">
        <v>-1</v>
      </c>
      <c r="BK242" s="208">
        <v>-602375</v>
      </c>
      <c r="BL242" s="208">
        <v>-590328</v>
      </c>
      <c r="BM242" s="208">
        <v>-12047</v>
      </c>
      <c r="BN242" s="208">
        <v>-1204751</v>
      </c>
      <c r="BO242" s="208">
        <v>1</v>
      </c>
      <c r="BP242" s="208">
        <v>-1026943</v>
      </c>
      <c r="BQ242" s="208">
        <v>-1006404</v>
      </c>
      <c r="BR242" s="208">
        <v>-20539</v>
      </c>
      <c r="BS242" s="208">
        <v>-2053885</v>
      </c>
      <c r="BT242" s="208">
        <v>1</v>
      </c>
      <c r="BU242" s="208">
        <v>-1026943</v>
      </c>
      <c r="BV242" s="208">
        <v>-1006404</v>
      </c>
      <c r="BW242" s="208">
        <v>-20539</v>
      </c>
      <c r="BX242" s="208">
        <v>-2053885</v>
      </c>
      <c r="BY242" s="208">
        <v>0</v>
      </c>
      <c r="BZ242" s="208">
        <v>0</v>
      </c>
      <c r="CA242" s="208">
        <v>0</v>
      </c>
      <c r="CB242" s="208">
        <v>0</v>
      </c>
      <c r="CC242" s="208">
        <v>0</v>
      </c>
      <c r="CD242" s="208">
        <v>0</v>
      </c>
      <c r="CE242" s="208">
        <v>179934</v>
      </c>
      <c r="CF242" s="208">
        <v>176335</v>
      </c>
      <c r="CG242" s="208">
        <v>3599</v>
      </c>
      <c r="CH242" s="208">
        <v>359868</v>
      </c>
      <c r="CI242" s="208">
        <v>0</v>
      </c>
      <c r="CJ242" s="208">
        <v>0</v>
      </c>
      <c r="CK242" s="208">
        <v>0</v>
      </c>
      <c r="CL242" s="208">
        <v>0</v>
      </c>
      <c r="CM242" s="208">
        <v>0</v>
      </c>
      <c r="CN242" s="208">
        <v>1</v>
      </c>
      <c r="CO242" s="208">
        <v>-129048</v>
      </c>
      <c r="CP242" s="208">
        <v>-126467</v>
      </c>
      <c r="CQ242" s="208">
        <v>-2581</v>
      </c>
      <c r="CR242" s="208">
        <v>-258095</v>
      </c>
      <c r="CS242" s="208">
        <v>0</v>
      </c>
      <c r="CT242" s="208">
        <v>-14822</v>
      </c>
      <c r="CU242" s="208">
        <v>-14526</v>
      </c>
      <c r="CV242" s="208">
        <v>-296</v>
      </c>
      <c r="CW242" s="208">
        <v>-29644</v>
      </c>
      <c r="CX242" s="208">
        <v>2</v>
      </c>
      <c r="CY242" s="208">
        <v>-990879</v>
      </c>
      <c r="CZ242" s="208">
        <v>-971062</v>
      </c>
      <c r="DA242" s="208">
        <v>-19817</v>
      </c>
      <c r="DB242" s="208">
        <v>-1981756</v>
      </c>
      <c r="DC242" s="208">
        <v>2</v>
      </c>
      <c r="DD242" s="208">
        <v>-976057</v>
      </c>
      <c r="DE242" s="208">
        <v>-956536</v>
      </c>
      <c r="DF242" s="208">
        <v>-19521</v>
      </c>
      <c r="DG242" s="208">
        <v>-1952112</v>
      </c>
      <c r="DH242" s="208">
        <v>0</v>
      </c>
      <c r="DI242" s="208">
        <v>-14822</v>
      </c>
      <c r="DJ242" s="208">
        <v>-14526</v>
      </c>
      <c r="DK242" s="208">
        <v>-296</v>
      </c>
      <c r="DL242" s="208">
        <v>-29644</v>
      </c>
      <c r="DM242" s="208">
        <v>-96192</v>
      </c>
      <c r="DN242" s="208">
        <v>-76954</v>
      </c>
      <c r="DO242" s="208">
        <v>-17314</v>
      </c>
      <c r="DP242" s="208">
        <v>-1923</v>
      </c>
      <c r="DQ242" s="208">
        <v>-192383</v>
      </c>
      <c r="DR242" s="208">
        <v>-381914</v>
      </c>
      <c r="DS242" s="208">
        <v>-305532</v>
      </c>
      <c r="DT242" s="208">
        <v>-68745</v>
      </c>
      <c r="DU242" s="208">
        <v>-7638</v>
      </c>
      <c r="DV242" s="208">
        <v>-763829</v>
      </c>
      <c r="DW242" s="208">
        <v>285722</v>
      </c>
      <c r="DX242" s="208">
        <v>228578</v>
      </c>
      <c r="DY242" s="208">
        <v>51431</v>
      </c>
      <c r="DZ242" s="208">
        <v>5715</v>
      </c>
      <c r="EA242" s="208">
        <v>571446</v>
      </c>
      <c r="EB242" s="208">
        <v>0</v>
      </c>
      <c r="EC242" s="208">
        <v>13338165</v>
      </c>
      <c r="ED242" s="208">
        <v>13071402</v>
      </c>
      <c r="EE242" s="208">
        <v>266763</v>
      </c>
      <c r="EF242" s="208">
        <v>26676330</v>
      </c>
      <c r="EG242" s="208">
        <v>0</v>
      </c>
      <c r="EH242" s="208">
        <v>12863782</v>
      </c>
      <c r="EI242" s="208">
        <v>12606506</v>
      </c>
      <c r="EJ242" s="208">
        <v>257276</v>
      </c>
      <c r="EK242" s="208">
        <v>25727564</v>
      </c>
      <c r="EL242" s="208">
        <v>0</v>
      </c>
      <c r="EM242" s="208">
        <v>-474383</v>
      </c>
      <c r="EN242" s="208">
        <v>-464896</v>
      </c>
      <c r="EO242" s="208">
        <v>-9487</v>
      </c>
      <c r="EP242" s="208">
        <v>-948766</v>
      </c>
      <c r="EQ242" s="208">
        <v>285722</v>
      </c>
      <c r="ER242" s="208">
        <v>-245805</v>
      </c>
      <c r="ES242" s="208">
        <v>-413465</v>
      </c>
      <c r="ET242" s="208">
        <v>-3772</v>
      </c>
      <c r="EU242" s="208">
        <v>-377320</v>
      </c>
      <c r="EV242" s="666">
        <v>0</v>
      </c>
      <c r="EW242" s="666">
        <v>0.5</v>
      </c>
      <c r="EX242" s="666">
        <v>0.49</v>
      </c>
      <c r="EY242" s="666">
        <v>0.01</v>
      </c>
      <c r="EZ242" s="666">
        <v>1</v>
      </c>
      <c r="FA242" s="187" t="s">
        <v>1054</v>
      </c>
      <c r="FC242" s="187">
        <v>0</v>
      </c>
    </row>
    <row r="243" spans="1:159" s="187" customFormat="1" x14ac:dyDescent="0.2">
      <c r="B243" s="429" t="s">
        <v>564</v>
      </c>
      <c r="C243" s="429" t="s">
        <v>563</v>
      </c>
      <c r="D243" s="208">
        <v>1</v>
      </c>
      <c r="E243" s="208">
        <v>123950401</v>
      </c>
      <c r="F243" s="208">
        <v>6593106</v>
      </c>
      <c r="G243" s="208">
        <v>1318621</v>
      </c>
      <c r="H243" s="208">
        <v>131862129</v>
      </c>
      <c r="I243" s="208">
        <v>0</v>
      </c>
      <c r="J243" s="208">
        <v>0</v>
      </c>
      <c r="K243" s="208">
        <v>1</v>
      </c>
      <c r="L243" s="208">
        <v>336021</v>
      </c>
      <c r="M243" s="208">
        <v>336021</v>
      </c>
      <c r="N243" s="208">
        <v>11800334</v>
      </c>
      <c r="O243" s="208">
        <v>11800334</v>
      </c>
      <c r="P243" s="208">
        <v>575649</v>
      </c>
      <c r="Q243" s="208">
        <v>0</v>
      </c>
      <c r="R243" s="208">
        <v>575649</v>
      </c>
      <c r="S243" s="208">
        <v>0</v>
      </c>
      <c r="T243" s="208">
        <v>0</v>
      </c>
      <c r="U243" s="208">
        <v>0</v>
      </c>
      <c r="V243" s="208">
        <v>0</v>
      </c>
      <c r="W243" s="208">
        <v>0</v>
      </c>
      <c r="X243" s="208">
        <v>0</v>
      </c>
      <c r="Y243" s="208">
        <v>0</v>
      </c>
      <c r="Z243" s="208">
        <v>0</v>
      </c>
      <c r="AA243" s="208">
        <v>0</v>
      </c>
      <c r="AB243" s="208">
        <v>0</v>
      </c>
      <c r="AC243" s="208">
        <v>0</v>
      </c>
      <c r="AD243" s="208">
        <v>0</v>
      </c>
      <c r="AE243" s="208">
        <v>0</v>
      </c>
      <c r="AF243" s="208">
        <v>0</v>
      </c>
      <c r="AG243" s="208">
        <v>7971153</v>
      </c>
      <c r="AH243" s="208">
        <v>407754</v>
      </c>
      <c r="AI243" s="208">
        <v>81550</v>
      </c>
      <c r="AJ243" s="208">
        <v>8460457</v>
      </c>
      <c r="AK243" s="208">
        <v>0</v>
      </c>
      <c r="AL243" s="208">
        <v>2448334</v>
      </c>
      <c r="AM243" s="208">
        <v>130231</v>
      </c>
      <c r="AN243" s="208">
        <v>26046</v>
      </c>
      <c r="AO243" s="208">
        <v>2604611</v>
      </c>
      <c r="AP243" s="208">
        <v>0</v>
      </c>
      <c r="AQ243" s="208">
        <v>-5045108</v>
      </c>
      <c r="AR243" s="208">
        <v>-268357</v>
      </c>
      <c r="AS243" s="208">
        <v>-53671</v>
      </c>
      <c r="AT243" s="208">
        <v>-5367136</v>
      </c>
      <c r="AU243" s="208">
        <v>0</v>
      </c>
      <c r="AV243" s="208">
        <v>-423000</v>
      </c>
      <c r="AW243" s="208">
        <v>-22500</v>
      </c>
      <c r="AX243" s="208">
        <v>-4500</v>
      </c>
      <c r="AY243" s="208">
        <v>-450000</v>
      </c>
      <c r="AZ243" s="208">
        <v>-1</v>
      </c>
      <c r="BA243" s="208">
        <v>579563</v>
      </c>
      <c r="BB243" s="208">
        <v>30828</v>
      </c>
      <c r="BC243" s="208">
        <v>6166</v>
      </c>
      <c r="BD243" s="208">
        <v>616556</v>
      </c>
      <c r="BE243" s="208">
        <v>1</v>
      </c>
      <c r="BF243" s="208">
        <v>-297563</v>
      </c>
      <c r="BG243" s="208">
        <v>-15828</v>
      </c>
      <c r="BH243" s="208">
        <v>-3166</v>
      </c>
      <c r="BI243" s="208">
        <v>-316556</v>
      </c>
      <c r="BJ243" s="208">
        <v>0</v>
      </c>
      <c r="BK243" s="208">
        <v>-141000</v>
      </c>
      <c r="BL243" s="208">
        <v>-7500</v>
      </c>
      <c r="BM243" s="208">
        <v>-1500</v>
      </c>
      <c r="BN243" s="208">
        <v>-150000</v>
      </c>
      <c r="BO243" s="208">
        <v>0</v>
      </c>
      <c r="BP243" s="208">
        <v>-19671556</v>
      </c>
      <c r="BQ243" s="208">
        <v>-1046359</v>
      </c>
      <c r="BR243" s="208">
        <v>-209272</v>
      </c>
      <c r="BS243" s="208">
        <v>-20927187</v>
      </c>
      <c r="BT243" s="208">
        <v>-1</v>
      </c>
      <c r="BU243" s="208">
        <v>-13152694</v>
      </c>
      <c r="BV243" s="208">
        <v>-699611</v>
      </c>
      <c r="BW243" s="208">
        <v>-139922</v>
      </c>
      <c r="BX243" s="208">
        <v>-13992228</v>
      </c>
      <c r="BY243" s="208">
        <v>0</v>
      </c>
      <c r="BZ243" s="208">
        <v>-6518861</v>
      </c>
      <c r="CA243" s="208">
        <v>-346748</v>
      </c>
      <c r="CB243" s="208">
        <v>-69350</v>
      </c>
      <c r="CC243" s="208">
        <v>-6934959</v>
      </c>
      <c r="CD243" s="208">
        <v>1</v>
      </c>
      <c r="CE243" s="208">
        <v>944270</v>
      </c>
      <c r="CF243" s="208">
        <v>50227</v>
      </c>
      <c r="CG243" s="208">
        <v>10045</v>
      </c>
      <c r="CH243" s="208">
        <v>1004543</v>
      </c>
      <c r="CI243" s="208">
        <v>0</v>
      </c>
      <c r="CJ243" s="208">
        <v>0</v>
      </c>
      <c r="CK243" s="208">
        <v>0</v>
      </c>
      <c r="CL243" s="208">
        <v>0</v>
      </c>
      <c r="CM243" s="208">
        <v>0</v>
      </c>
      <c r="CN243" s="208">
        <v>0</v>
      </c>
      <c r="CO243" s="208">
        <v>6972885</v>
      </c>
      <c r="CP243" s="208">
        <v>370898</v>
      </c>
      <c r="CQ243" s="208">
        <v>74180</v>
      </c>
      <c r="CR243" s="208">
        <v>7417963</v>
      </c>
      <c r="CS243" s="208">
        <v>0</v>
      </c>
      <c r="CT243" s="208">
        <v>-6508070</v>
      </c>
      <c r="CU243" s="208">
        <v>-346174</v>
      </c>
      <c r="CV243" s="208">
        <v>-69235</v>
      </c>
      <c r="CW243" s="208">
        <v>-6923479</v>
      </c>
      <c r="CX243" s="208">
        <v>1</v>
      </c>
      <c r="CY243" s="208">
        <v>-18262471</v>
      </c>
      <c r="CZ243" s="208">
        <v>-971408</v>
      </c>
      <c r="DA243" s="208">
        <v>-194282</v>
      </c>
      <c r="DB243" s="208">
        <v>-19428160</v>
      </c>
      <c r="DC243" s="208">
        <v>0</v>
      </c>
      <c r="DD243" s="208">
        <v>-5235539</v>
      </c>
      <c r="DE243" s="208">
        <v>-278486</v>
      </c>
      <c r="DF243" s="208">
        <v>-55697</v>
      </c>
      <c r="DG243" s="208">
        <v>-5569722</v>
      </c>
      <c r="DH243" s="208">
        <v>0</v>
      </c>
      <c r="DI243" s="208">
        <v>-13026931</v>
      </c>
      <c r="DJ243" s="208">
        <v>-692922</v>
      </c>
      <c r="DK243" s="208">
        <v>-138585</v>
      </c>
      <c r="DL243" s="208">
        <v>-13858438</v>
      </c>
      <c r="DM243" s="208">
        <v>-307305</v>
      </c>
      <c r="DN243" s="208">
        <v>-5337252.6399999997</v>
      </c>
      <c r="DO243" s="208">
        <v>-267877</v>
      </c>
      <c r="DP243" s="208">
        <v>-59722</v>
      </c>
      <c r="DQ243" s="208">
        <v>-5972157</v>
      </c>
      <c r="DR243" s="208">
        <v>-307305</v>
      </c>
      <c r="DS243" s="208">
        <v>-5006000</v>
      </c>
      <c r="DT243" s="208">
        <v>-250258</v>
      </c>
      <c r="DU243" s="208">
        <v>-56198</v>
      </c>
      <c r="DV243" s="208">
        <v>-5619761</v>
      </c>
      <c r="DW243" s="208">
        <v>0</v>
      </c>
      <c r="DX243" s="208">
        <v>-331252.63999999966</v>
      </c>
      <c r="DY243" s="208">
        <v>-17619</v>
      </c>
      <c r="DZ243" s="208">
        <v>-3524</v>
      </c>
      <c r="EA243" s="208">
        <v>-352396</v>
      </c>
      <c r="EB243" s="208">
        <v>0</v>
      </c>
      <c r="EC243" s="208">
        <v>122562034</v>
      </c>
      <c r="ED243" s="208">
        <v>6519257</v>
      </c>
      <c r="EE243" s="208">
        <v>1303851</v>
      </c>
      <c r="EF243" s="208">
        <v>130385142</v>
      </c>
      <c r="EG243" s="208">
        <v>0</v>
      </c>
      <c r="EH243" s="208">
        <v>123950402</v>
      </c>
      <c r="EI243" s="208">
        <v>6593106</v>
      </c>
      <c r="EJ243" s="208">
        <v>1318621</v>
      </c>
      <c r="EK243" s="208">
        <v>131862129</v>
      </c>
      <c r="EL243" s="208">
        <v>0</v>
      </c>
      <c r="EM243" s="208">
        <v>1388368</v>
      </c>
      <c r="EN243" s="208">
        <v>73849</v>
      </c>
      <c r="EO243" s="208">
        <v>14770</v>
      </c>
      <c r="EP243" s="208">
        <v>1476987</v>
      </c>
      <c r="EQ243" s="208">
        <v>0</v>
      </c>
      <c r="ER243" s="208">
        <v>1057115.3600000003</v>
      </c>
      <c r="ES243" s="208">
        <v>56230</v>
      </c>
      <c r="ET243" s="208">
        <v>11246</v>
      </c>
      <c r="EU243" s="208">
        <v>1124591</v>
      </c>
      <c r="EV243" s="666">
        <v>0</v>
      </c>
      <c r="EW243" s="666">
        <v>0.94</v>
      </c>
      <c r="EX243" s="666">
        <v>0.05</v>
      </c>
      <c r="EY243" s="666">
        <v>0.01</v>
      </c>
      <c r="EZ243" s="666">
        <v>1</v>
      </c>
      <c r="FA243" s="187" t="s">
        <v>742</v>
      </c>
      <c r="FC243" s="187">
        <v>0</v>
      </c>
    </row>
    <row r="244" spans="1:159" s="187" customFormat="1" x14ac:dyDescent="0.2">
      <c r="B244" s="429" t="s">
        <v>566</v>
      </c>
      <c r="C244" s="429" t="s">
        <v>565</v>
      </c>
      <c r="D244" s="208">
        <v>1</v>
      </c>
      <c r="E244" s="208">
        <v>12413737</v>
      </c>
      <c r="F244" s="208">
        <v>18310262</v>
      </c>
      <c r="G244" s="208">
        <v>310343</v>
      </c>
      <c r="H244" s="208">
        <v>31034343</v>
      </c>
      <c r="I244" s="208">
        <v>0</v>
      </c>
      <c r="J244" s="208">
        <v>0</v>
      </c>
      <c r="K244" s="208">
        <v>1</v>
      </c>
      <c r="L244" s="208">
        <v>205447</v>
      </c>
      <c r="M244" s="208">
        <v>205447</v>
      </c>
      <c r="N244" s="208">
        <v>0</v>
      </c>
      <c r="O244" s="208">
        <v>0</v>
      </c>
      <c r="P244" s="208">
        <v>0</v>
      </c>
      <c r="Q244" s="208">
        <v>0</v>
      </c>
      <c r="R244" s="208">
        <v>0</v>
      </c>
      <c r="S244" s="208">
        <v>0</v>
      </c>
      <c r="T244" s="208">
        <v>0</v>
      </c>
      <c r="U244" s="208">
        <v>0</v>
      </c>
      <c r="V244" s="208">
        <v>0</v>
      </c>
      <c r="W244" s="208">
        <v>0</v>
      </c>
      <c r="X244" s="208">
        <v>0</v>
      </c>
      <c r="Y244" s="208">
        <v>0</v>
      </c>
      <c r="Z244" s="208">
        <v>0</v>
      </c>
      <c r="AA244" s="208">
        <v>0</v>
      </c>
      <c r="AB244" s="208">
        <v>0</v>
      </c>
      <c r="AC244" s="208">
        <v>0</v>
      </c>
      <c r="AD244" s="208">
        <v>0</v>
      </c>
      <c r="AE244" s="208">
        <v>0</v>
      </c>
      <c r="AF244" s="208">
        <v>0</v>
      </c>
      <c r="AG244" s="208">
        <v>2384209</v>
      </c>
      <c r="AH244" s="208">
        <v>3516708</v>
      </c>
      <c r="AI244" s="208">
        <v>59607</v>
      </c>
      <c r="AJ244" s="208">
        <v>5960524</v>
      </c>
      <c r="AK244" s="208">
        <v>-1</v>
      </c>
      <c r="AL244" s="208">
        <v>782947</v>
      </c>
      <c r="AM244" s="208">
        <v>1154847</v>
      </c>
      <c r="AN244" s="208">
        <v>19574</v>
      </c>
      <c r="AO244" s="208">
        <v>1957367</v>
      </c>
      <c r="AP244" s="208">
        <v>0</v>
      </c>
      <c r="AQ244" s="208">
        <v>-223242</v>
      </c>
      <c r="AR244" s="208">
        <v>-329281</v>
      </c>
      <c r="AS244" s="208">
        <v>-5581</v>
      </c>
      <c r="AT244" s="208">
        <v>-558104</v>
      </c>
      <c r="AU244" s="208">
        <v>0</v>
      </c>
      <c r="AV244" s="208">
        <v>-198492</v>
      </c>
      <c r="AW244" s="208">
        <v>-292776</v>
      </c>
      <c r="AX244" s="208">
        <v>-4962</v>
      </c>
      <c r="AY244" s="208">
        <v>-496230</v>
      </c>
      <c r="AZ244" s="208">
        <v>0</v>
      </c>
      <c r="BA244" s="208">
        <v>26930</v>
      </c>
      <c r="BB244" s="208">
        <v>39721</v>
      </c>
      <c r="BC244" s="208">
        <v>673</v>
      </c>
      <c r="BD244" s="208">
        <v>67324</v>
      </c>
      <c r="BE244" s="208">
        <v>0</v>
      </c>
      <c r="BF244" s="208">
        <v>-83538</v>
      </c>
      <c r="BG244" s="208">
        <v>-123218</v>
      </c>
      <c r="BH244" s="208">
        <v>-2088</v>
      </c>
      <c r="BI244" s="208">
        <v>-208844</v>
      </c>
      <c r="BJ244" s="208">
        <v>0</v>
      </c>
      <c r="BK244" s="208">
        <v>-255100</v>
      </c>
      <c r="BL244" s="208">
        <v>-376273</v>
      </c>
      <c r="BM244" s="208">
        <v>-6377</v>
      </c>
      <c r="BN244" s="208">
        <v>-637750</v>
      </c>
      <c r="BO244" s="208">
        <v>0</v>
      </c>
      <c r="BP244" s="208">
        <v>-1796126</v>
      </c>
      <c r="BQ244" s="208">
        <v>-2649286</v>
      </c>
      <c r="BR244" s="208">
        <v>-44903</v>
      </c>
      <c r="BS244" s="208">
        <v>-4490315</v>
      </c>
      <c r="BT244" s="208">
        <v>0</v>
      </c>
      <c r="BU244" s="208">
        <v>-453563</v>
      </c>
      <c r="BV244" s="208">
        <v>-669005</v>
      </c>
      <c r="BW244" s="208">
        <v>-11339</v>
      </c>
      <c r="BX244" s="208">
        <v>-1133907</v>
      </c>
      <c r="BY244" s="208">
        <v>0</v>
      </c>
      <c r="BZ244" s="208">
        <v>-1342563</v>
      </c>
      <c r="CA244" s="208">
        <v>-1980281</v>
      </c>
      <c r="CB244" s="208">
        <v>-33564</v>
      </c>
      <c r="CC244" s="208">
        <v>-3356408</v>
      </c>
      <c r="CD244" s="208">
        <v>0</v>
      </c>
      <c r="CE244" s="208">
        <v>61378</v>
      </c>
      <c r="CF244" s="208">
        <v>90533</v>
      </c>
      <c r="CG244" s="208">
        <v>1534</v>
      </c>
      <c r="CH244" s="208">
        <v>153445</v>
      </c>
      <c r="CI244" s="208">
        <v>-1</v>
      </c>
      <c r="CJ244" s="208">
        <v>81030</v>
      </c>
      <c r="CK244" s="208">
        <v>119519</v>
      </c>
      <c r="CL244" s="208">
        <v>2026</v>
      </c>
      <c r="CM244" s="208">
        <v>202574</v>
      </c>
      <c r="CN244" s="208">
        <v>0</v>
      </c>
      <c r="CO244" s="208">
        <v>-83756</v>
      </c>
      <c r="CP244" s="208">
        <v>-123541</v>
      </c>
      <c r="CQ244" s="208">
        <v>-2094</v>
      </c>
      <c r="CR244" s="208">
        <v>-209391</v>
      </c>
      <c r="CS244" s="208">
        <v>0</v>
      </c>
      <c r="CT244" s="208">
        <v>300988</v>
      </c>
      <c r="CU244" s="208">
        <v>443957</v>
      </c>
      <c r="CV244" s="208">
        <v>7525</v>
      </c>
      <c r="CW244" s="208">
        <v>752470</v>
      </c>
      <c r="CX244" s="208">
        <v>-1</v>
      </c>
      <c r="CY244" s="208">
        <v>-1436486</v>
      </c>
      <c r="CZ244" s="208">
        <v>-2118818</v>
      </c>
      <c r="DA244" s="208">
        <v>-35912</v>
      </c>
      <c r="DB244" s="208">
        <v>-3591217</v>
      </c>
      <c r="DC244" s="208">
        <v>0</v>
      </c>
      <c r="DD244" s="208">
        <v>-475941</v>
      </c>
      <c r="DE244" s="208">
        <v>-702013</v>
      </c>
      <c r="DF244" s="208">
        <v>-11899</v>
      </c>
      <c r="DG244" s="208">
        <v>-1189853</v>
      </c>
      <c r="DH244" s="208">
        <v>-1</v>
      </c>
      <c r="DI244" s="208">
        <v>-960545</v>
      </c>
      <c r="DJ244" s="208">
        <v>-1416805</v>
      </c>
      <c r="DK244" s="208">
        <v>-24013</v>
      </c>
      <c r="DL244" s="208">
        <v>-2401364</v>
      </c>
      <c r="DM244" s="208">
        <v>16845894</v>
      </c>
      <c r="DN244" s="208">
        <v>13476716</v>
      </c>
      <c r="DO244" s="208">
        <v>3032262</v>
      </c>
      <c r="DP244" s="208">
        <v>336918</v>
      </c>
      <c r="DQ244" s="208">
        <v>33691790</v>
      </c>
      <c r="DR244" s="208">
        <v>17358006</v>
      </c>
      <c r="DS244" s="208">
        <v>13886404</v>
      </c>
      <c r="DT244" s="208">
        <v>3124441</v>
      </c>
      <c r="DU244" s="208">
        <v>347160</v>
      </c>
      <c r="DV244" s="208">
        <v>34716011</v>
      </c>
      <c r="DW244" s="208">
        <v>-512112</v>
      </c>
      <c r="DX244" s="208">
        <v>-409688</v>
      </c>
      <c r="DY244" s="208">
        <v>-92179</v>
      </c>
      <c r="DZ244" s="208">
        <v>-10242</v>
      </c>
      <c r="EA244" s="208">
        <v>-1024221</v>
      </c>
      <c r="EB244" s="208">
        <v>0</v>
      </c>
      <c r="EC244" s="208">
        <v>11189881</v>
      </c>
      <c r="ED244" s="208">
        <v>16505075</v>
      </c>
      <c r="EE244" s="208">
        <v>279747</v>
      </c>
      <c r="EF244" s="208">
        <v>27974703</v>
      </c>
      <c r="EG244" s="208">
        <v>0</v>
      </c>
      <c r="EH244" s="208">
        <v>12413738</v>
      </c>
      <c r="EI244" s="208">
        <v>18310262</v>
      </c>
      <c r="EJ244" s="208">
        <v>310343</v>
      </c>
      <c r="EK244" s="208">
        <v>31034343</v>
      </c>
      <c r="EL244" s="208">
        <v>0</v>
      </c>
      <c r="EM244" s="208">
        <v>1223857</v>
      </c>
      <c r="EN244" s="208">
        <v>1805187</v>
      </c>
      <c r="EO244" s="208">
        <v>30596</v>
      </c>
      <c r="EP244" s="208">
        <v>3059640</v>
      </c>
      <c r="EQ244" s="208">
        <v>-512112</v>
      </c>
      <c r="ER244" s="208">
        <v>814169</v>
      </c>
      <c r="ES244" s="208">
        <v>1713008</v>
      </c>
      <c r="ET244" s="208">
        <v>20354</v>
      </c>
      <c r="EU244" s="208">
        <v>2035419</v>
      </c>
      <c r="EV244" s="666">
        <v>0</v>
      </c>
      <c r="EW244" s="666">
        <v>0.4</v>
      </c>
      <c r="EX244" s="666">
        <v>0.59</v>
      </c>
      <c r="EY244" s="666">
        <v>0.01</v>
      </c>
      <c r="EZ244" s="666">
        <v>1</v>
      </c>
      <c r="FA244" s="187" t="s">
        <v>1054</v>
      </c>
      <c r="FC244" s="187">
        <v>0</v>
      </c>
    </row>
    <row r="245" spans="1:159" s="187" customFormat="1" x14ac:dyDescent="0.2">
      <c r="B245" s="429" t="s">
        <v>568</v>
      </c>
      <c r="C245" s="429" t="s">
        <v>567</v>
      </c>
      <c r="D245" s="208">
        <v>0</v>
      </c>
      <c r="E245" s="208">
        <v>15218987</v>
      </c>
      <c r="F245" s="208">
        <v>10145992</v>
      </c>
      <c r="G245" s="208">
        <v>0</v>
      </c>
      <c r="H245" s="208">
        <v>25364979</v>
      </c>
      <c r="I245" s="208">
        <v>0</v>
      </c>
      <c r="J245" s="208">
        <v>0</v>
      </c>
      <c r="K245" s="208">
        <v>0</v>
      </c>
      <c r="L245" s="208">
        <v>105629</v>
      </c>
      <c r="M245" s="208">
        <v>105629</v>
      </c>
      <c r="N245" s="208">
        <v>0</v>
      </c>
      <c r="O245" s="208">
        <v>0</v>
      </c>
      <c r="P245" s="208">
        <v>250007</v>
      </c>
      <c r="Q245" s="208">
        <v>52258</v>
      </c>
      <c r="R245" s="208">
        <v>302265</v>
      </c>
      <c r="S245" s="208">
        <v>0</v>
      </c>
      <c r="T245" s="208">
        <v>0</v>
      </c>
      <c r="U245" s="208">
        <v>0</v>
      </c>
      <c r="V245" s="208">
        <v>0</v>
      </c>
      <c r="W245" s="208">
        <v>0</v>
      </c>
      <c r="X245" s="208">
        <v>0</v>
      </c>
      <c r="Y245" s="208">
        <v>0</v>
      </c>
      <c r="Z245" s="208">
        <v>0</v>
      </c>
      <c r="AA245" s="208">
        <v>0</v>
      </c>
      <c r="AB245" s="208">
        <v>0</v>
      </c>
      <c r="AC245" s="208">
        <v>0</v>
      </c>
      <c r="AD245" s="208">
        <v>0</v>
      </c>
      <c r="AE245" s="208">
        <v>0</v>
      </c>
      <c r="AF245" s="208">
        <v>0</v>
      </c>
      <c r="AG245" s="208">
        <v>1645226</v>
      </c>
      <c r="AH245" s="208">
        <v>1094196</v>
      </c>
      <c r="AI245" s="208">
        <v>0</v>
      </c>
      <c r="AJ245" s="208">
        <v>2739422</v>
      </c>
      <c r="AK245" s="208">
        <v>0</v>
      </c>
      <c r="AL245" s="208">
        <v>612376</v>
      </c>
      <c r="AM245" s="208">
        <v>408251</v>
      </c>
      <c r="AN245" s="208">
        <v>0</v>
      </c>
      <c r="AO245" s="208">
        <v>1020627</v>
      </c>
      <c r="AP245" s="208">
        <v>0</v>
      </c>
      <c r="AQ245" s="208">
        <v>-215880</v>
      </c>
      <c r="AR245" s="208">
        <v>-143920</v>
      </c>
      <c r="AS245" s="208">
        <v>0</v>
      </c>
      <c r="AT245" s="208">
        <v>-359800</v>
      </c>
      <c r="AU245" s="208">
        <v>0</v>
      </c>
      <c r="AV245" s="208">
        <v>-151800</v>
      </c>
      <c r="AW245" s="208">
        <v>-101200</v>
      </c>
      <c r="AX245" s="208">
        <v>0</v>
      </c>
      <c r="AY245" s="208">
        <v>-253000</v>
      </c>
      <c r="AZ245" s="208">
        <v>0</v>
      </c>
      <c r="BA245" s="208">
        <v>1696</v>
      </c>
      <c r="BB245" s="208">
        <v>1131</v>
      </c>
      <c r="BC245" s="208">
        <v>0</v>
      </c>
      <c r="BD245" s="208">
        <v>2827</v>
      </c>
      <c r="BE245" s="208">
        <v>0</v>
      </c>
      <c r="BF245" s="208">
        <v>-47249</v>
      </c>
      <c r="BG245" s="208">
        <v>-31499</v>
      </c>
      <c r="BH245" s="208">
        <v>0</v>
      </c>
      <c r="BI245" s="208">
        <v>-78748</v>
      </c>
      <c r="BJ245" s="208">
        <v>0</v>
      </c>
      <c r="BK245" s="208">
        <v>-197353</v>
      </c>
      <c r="BL245" s="208">
        <v>-131568</v>
      </c>
      <c r="BM245" s="208">
        <v>0</v>
      </c>
      <c r="BN245" s="208">
        <v>-328921</v>
      </c>
      <c r="BO245" s="208">
        <v>0</v>
      </c>
      <c r="BP245" s="208">
        <v>-2293800</v>
      </c>
      <c r="BQ245" s="208">
        <v>-1529200</v>
      </c>
      <c r="BR245" s="208">
        <v>0</v>
      </c>
      <c r="BS245" s="208">
        <v>-3823000</v>
      </c>
      <c r="BT245" s="208">
        <v>0</v>
      </c>
      <c r="BU245" s="208">
        <v>0</v>
      </c>
      <c r="BV245" s="208">
        <v>0</v>
      </c>
      <c r="BW245" s="208">
        <v>0</v>
      </c>
      <c r="BX245" s="208">
        <v>0</v>
      </c>
      <c r="BY245" s="208">
        <v>0</v>
      </c>
      <c r="BZ245" s="208">
        <v>-2293800</v>
      </c>
      <c r="CA245" s="208">
        <v>-1529200</v>
      </c>
      <c r="CB245" s="208">
        <v>0</v>
      </c>
      <c r="CC245" s="208">
        <v>-3823000</v>
      </c>
      <c r="CD245" s="208">
        <v>0</v>
      </c>
      <c r="CE245" s="208">
        <v>61935</v>
      </c>
      <c r="CF245" s="208">
        <v>41290</v>
      </c>
      <c r="CG245" s="208">
        <v>0</v>
      </c>
      <c r="CH245" s="208">
        <v>103225</v>
      </c>
      <c r="CI245" s="208">
        <v>0</v>
      </c>
      <c r="CJ245" s="208">
        <v>0</v>
      </c>
      <c r="CK245" s="208">
        <v>0</v>
      </c>
      <c r="CL245" s="208">
        <v>0</v>
      </c>
      <c r="CM245" s="208">
        <v>0</v>
      </c>
      <c r="CN245" s="208">
        <v>0</v>
      </c>
      <c r="CO245" s="208">
        <v>278540</v>
      </c>
      <c r="CP245" s="208">
        <v>185694</v>
      </c>
      <c r="CQ245" s="208">
        <v>0</v>
      </c>
      <c r="CR245" s="208">
        <v>464234</v>
      </c>
      <c r="CS245" s="208">
        <v>0</v>
      </c>
      <c r="CT245" s="208">
        <v>440725</v>
      </c>
      <c r="CU245" s="208">
        <v>293816</v>
      </c>
      <c r="CV245" s="208">
        <v>0</v>
      </c>
      <c r="CW245" s="208">
        <v>734541</v>
      </c>
      <c r="CX245" s="208">
        <v>0</v>
      </c>
      <c r="CY245" s="208">
        <v>-1512600</v>
      </c>
      <c r="CZ245" s="208">
        <v>-1008400</v>
      </c>
      <c r="DA245" s="208">
        <v>0</v>
      </c>
      <c r="DB245" s="208">
        <v>-2521000</v>
      </c>
      <c r="DC245" s="208">
        <v>0</v>
      </c>
      <c r="DD245" s="208">
        <v>340475</v>
      </c>
      <c r="DE245" s="208">
        <v>226984</v>
      </c>
      <c r="DF245" s="208">
        <v>0</v>
      </c>
      <c r="DG245" s="208">
        <v>567459</v>
      </c>
      <c r="DH245" s="208">
        <v>0</v>
      </c>
      <c r="DI245" s="208">
        <v>-1853075</v>
      </c>
      <c r="DJ245" s="208">
        <v>-1235384</v>
      </c>
      <c r="DK245" s="208">
        <v>0</v>
      </c>
      <c r="DL245" s="208">
        <v>-3088459</v>
      </c>
      <c r="DM245" s="208">
        <v>479522</v>
      </c>
      <c r="DN245" s="208">
        <v>383618</v>
      </c>
      <c r="DO245" s="208">
        <v>95904</v>
      </c>
      <c r="DP245" s="208">
        <v>0</v>
      </c>
      <c r="DQ245" s="208">
        <v>959044</v>
      </c>
      <c r="DR245" s="208">
        <v>501967</v>
      </c>
      <c r="DS245" s="208">
        <v>401574</v>
      </c>
      <c r="DT245" s="208">
        <v>100393</v>
      </c>
      <c r="DU245" s="208">
        <v>0</v>
      </c>
      <c r="DV245" s="208">
        <v>1003934</v>
      </c>
      <c r="DW245" s="208">
        <v>-22445</v>
      </c>
      <c r="DX245" s="208">
        <v>-17956</v>
      </c>
      <c r="DY245" s="208">
        <v>-4489</v>
      </c>
      <c r="DZ245" s="208">
        <v>0</v>
      </c>
      <c r="EA245" s="208">
        <v>-44890</v>
      </c>
      <c r="EB245" s="208">
        <v>0</v>
      </c>
      <c r="EC245" s="208">
        <v>13939063</v>
      </c>
      <c r="ED245" s="208">
        <v>9292708</v>
      </c>
      <c r="EE245" s="208">
        <v>0</v>
      </c>
      <c r="EF245" s="208">
        <v>23231771</v>
      </c>
      <c r="EG245" s="208">
        <v>0</v>
      </c>
      <c r="EH245" s="208">
        <v>15218987</v>
      </c>
      <c r="EI245" s="208">
        <v>10145992</v>
      </c>
      <c r="EJ245" s="208">
        <v>0</v>
      </c>
      <c r="EK245" s="208">
        <v>25364979</v>
      </c>
      <c r="EL245" s="208">
        <v>0</v>
      </c>
      <c r="EM245" s="208">
        <v>1279924</v>
      </c>
      <c r="EN245" s="208">
        <v>853284</v>
      </c>
      <c r="EO245" s="208">
        <v>0</v>
      </c>
      <c r="EP245" s="208">
        <v>2133208</v>
      </c>
      <c r="EQ245" s="208">
        <v>-22445</v>
      </c>
      <c r="ER245" s="208">
        <v>1261968</v>
      </c>
      <c r="ES245" s="208">
        <v>848795</v>
      </c>
      <c r="ET245" s="208">
        <v>0</v>
      </c>
      <c r="EU245" s="208">
        <v>2088318</v>
      </c>
      <c r="EV245" s="666">
        <v>0</v>
      </c>
      <c r="EW245" s="666">
        <v>0.6</v>
      </c>
      <c r="EX245" s="666">
        <v>0.4</v>
      </c>
      <c r="EY245" s="666">
        <v>0</v>
      </c>
      <c r="EZ245" s="666">
        <v>1</v>
      </c>
      <c r="FA245" s="187" t="s">
        <v>1054</v>
      </c>
      <c r="FC245" s="187">
        <v>0</v>
      </c>
    </row>
    <row r="246" spans="1:159" s="187" customFormat="1" x14ac:dyDescent="0.2">
      <c r="B246" s="429" t="s">
        <v>570</v>
      </c>
      <c r="C246" s="429" t="s">
        <v>569</v>
      </c>
      <c r="D246" s="208">
        <v>0</v>
      </c>
      <c r="E246" s="208">
        <v>25835024</v>
      </c>
      <c r="F246" s="208">
        <v>17223350</v>
      </c>
      <c r="G246" s="208">
        <v>0</v>
      </c>
      <c r="H246" s="208">
        <v>43058374</v>
      </c>
      <c r="I246" s="208">
        <v>0</v>
      </c>
      <c r="J246" s="208">
        <v>0</v>
      </c>
      <c r="K246" s="208">
        <v>0</v>
      </c>
      <c r="L246" s="208">
        <v>177094</v>
      </c>
      <c r="M246" s="208">
        <v>177094</v>
      </c>
      <c r="N246" s="208">
        <v>0</v>
      </c>
      <c r="O246" s="208">
        <v>0</v>
      </c>
      <c r="P246" s="208">
        <v>0</v>
      </c>
      <c r="Q246" s="208">
        <v>0</v>
      </c>
      <c r="R246" s="208">
        <v>0</v>
      </c>
      <c r="S246" s="208">
        <v>0</v>
      </c>
      <c r="T246" s="208">
        <v>0</v>
      </c>
      <c r="U246" s="208">
        <v>0</v>
      </c>
      <c r="V246" s="208">
        <v>0</v>
      </c>
      <c r="W246" s="208">
        <v>0</v>
      </c>
      <c r="X246" s="208">
        <v>0</v>
      </c>
      <c r="Y246" s="208">
        <v>0</v>
      </c>
      <c r="Z246" s="208">
        <v>0</v>
      </c>
      <c r="AA246" s="208">
        <v>0</v>
      </c>
      <c r="AB246" s="208">
        <v>0</v>
      </c>
      <c r="AC246" s="208">
        <v>0</v>
      </c>
      <c r="AD246" s="208">
        <v>0</v>
      </c>
      <c r="AE246" s="208">
        <v>0</v>
      </c>
      <c r="AF246" s="208">
        <v>0</v>
      </c>
      <c r="AG246" s="208">
        <v>2921141</v>
      </c>
      <c r="AH246" s="208">
        <v>1947429</v>
      </c>
      <c r="AI246" s="208">
        <v>0</v>
      </c>
      <c r="AJ246" s="208">
        <v>4868570</v>
      </c>
      <c r="AK246" s="208">
        <v>0</v>
      </c>
      <c r="AL246" s="208">
        <v>699176</v>
      </c>
      <c r="AM246" s="208">
        <v>466117</v>
      </c>
      <c r="AN246" s="208">
        <v>0</v>
      </c>
      <c r="AO246" s="208">
        <v>1165293</v>
      </c>
      <c r="AP246" s="208">
        <v>0</v>
      </c>
      <c r="AQ246" s="208">
        <v>-490291</v>
      </c>
      <c r="AR246" s="208">
        <v>-326860</v>
      </c>
      <c r="AS246" s="208">
        <v>0</v>
      </c>
      <c r="AT246" s="208">
        <v>-817151</v>
      </c>
      <c r="AU246" s="208">
        <v>0</v>
      </c>
      <c r="AV246" s="208">
        <v>-335400</v>
      </c>
      <c r="AW246" s="208">
        <v>-223600</v>
      </c>
      <c r="AX246" s="208">
        <v>0</v>
      </c>
      <c r="AY246" s="208">
        <v>-559000</v>
      </c>
      <c r="AZ246" s="208">
        <v>0</v>
      </c>
      <c r="BA246" s="208">
        <v>0</v>
      </c>
      <c r="BB246" s="208">
        <v>0</v>
      </c>
      <c r="BC246" s="208">
        <v>0</v>
      </c>
      <c r="BD246" s="208">
        <v>0</v>
      </c>
      <c r="BE246" s="208">
        <v>0</v>
      </c>
      <c r="BF246" s="208">
        <v>12000</v>
      </c>
      <c r="BG246" s="208">
        <v>8000</v>
      </c>
      <c r="BH246" s="208">
        <v>0</v>
      </c>
      <c r="BI246" s="208">
        <v>20000</v>
      </c>
      <c r="BJ246" s="208">
        <v>0</v>
      </c>
      <c r="BK246" s="208">
        <v>-323400</v>
      </c>
      <c r="BL246" s="208">
        <v>-215600</v>
      </c>
      <c r="BM246" s="208">
        <v>0</v>
      </c>
      <c r="BN246" s="208">
        <v>-539000</v>
      </c>
      <c r="BO246" s="208">
        <v>0</v>
      </c>
      <c r="BP246" s="208">
        <v>-2272204</v>
      </c>
      <c r="BQ246" s="208">
        <v>-1514802</v>
      </c>
      <c r="BR246" s="208">
        <v>0</v>
      </c>
      <c r="BS246" s="208">
        <v>-3787006</v>
      </c>
      <c r="BT246" s="208">
        <v>0</v>
      </c>
      <c r="BU246" s="208">
        <v>-1071004</v>
      </c>
      <c r="BV246" s="208">
        <v>-714002</v>
      </c>
      <c r="BW246" s="208">
        <v>0</v>
      </c>
      <c r="BX246" s="208">
        <v>-1785006</v>
      </c>
      <c r="BY246" s="208">
        <v>0</v>
      </c>
      <c r="BZ246" s="208">
        <v>-1201200</v>
      </c>
      <c r="CA246" s="208">
        <v>-800800</v>
      </c>
      <c r="CB246" s="208">
        <v>0</v>
      </c>
      <c r="CC246" s="208">
        <v>-2002000</v>
      </c>
      <c r="CD246" s="208">
        <v>0</v>
      </c>
      <c r="CE246" s="208">
        <v>329053</v>
      </c>
      <c r="CF246" s="208">
        <v>219369</v>
      </c>
      <c r="CG246" s="208">
        <v>0</v>
      </c>
      <c r="CH246" s="208">
        <v>548422</v>
      </c>
      <c r="CI246" s="208">
        <v>0</v>
      </c>
      <c r="CJ246" s="208">
        <v>0</v>
      </c>
      <c r="CK246" s="208">
        <v>0</v>
      </c>
      <c r="CL246" s="208">
        <v>0</v>
      </c>
      <c r="CM246" s="208">
        <v>0</v>
      </c>
      <c r="CN246" s="208">
        <v>0</v>
      </c>
      <c r="CO246" s="208">
        <v>0</v>
      </c>
      <c r="CP246" s="208">
        <v>0</v>
      </c>
      <c r="CQ246" s="208">
        <v>0</v>
      </c>
      <c r="CR246" s="208">
        <v>0</v>
      </c>
      <c r="CS246" s="208">
        <v>0</v>
      </c>
      <c r="CT246" s="208">
        <v>205243</v>
      </c>
      <c r="CU246" s="208">
        <v>136829</v>
      </c>
      <c r="CV246" s="208">
        <v>0</v>
      </c>
      <c r="CW246" s="208">
        <v>342072</v>
      </c>
      <c r="CX246" s="208">
        <v>0</v>
      </c>
      <c r="CY246" s="208">
        <v>-1737908</v>
      </c>
      <c r="CZ246" s="208">
        <v>-1158604</v>
      </c>
      <c r="DA246" s="208">
        <v>0</v>
      </c>
      <c r="DB246" s="208">
        <v>-2896512</v>
      </c>
      <c r="DC246" s="208">
        <v>0</v>
      </c>
      <c r="DD246" s="208">
        <v>-741951</v>
      </c>
      <c r="DE246" s="208">
        <v>-494633</v>
      </c>
      <c r="DF246" s="208">
        <v>0</v>
      </c>
      <c r="DG246" s="208">
        <v>-1236584</v>
      </c>
      <c r="DH246" s="208">
        <v>0</v>
      </c>
      <c r="DI246" s="208">
        <v>-995957</v>
      </c>
      <c r="DJ246" s="208">
        <v>-663971</v>
      </c>
      <c r="DK246" s="208">
        <v>0</v>
      </c>
      <c r="DL246" s="208">
        <v>-1659928</v>
      </c>
      <c r="DM246" s="208">
        <v>-327879</v>
      </c>
      <c r="DN246" s="208">
        <v>-262304</v>
      </c>
      <c r="DO246" s="208">
        <v>-65575</v>
      </c>
      <c r="DP246" s="208">
        <v>0</v>
      </c>
      <c r="DQ246" s="208">
        <v>-655758</v>
      </c>
      <c r="DR246" s="208">
        <v>-495624</v>
      </c>
      <c r="DS246" s="208">
        <v>-396500</v>
      </c>
      <c r="DT246" s="208">
        <v>-99125</v>
      </c>
      <c r="DU246" s="208">
        <v>0</v>
      </c>
      <c r="DV246" s="208">
        <v>-991249</v>
      </c>
      <c r="DW246" s="208">
        <v>167745</v>
      </c>
      <c r="DX246" s="208">
        <v>134196</v>
      </c>
      <c r="DY246" s="208">
        <v>33550</v>
      </c>
      <c r="DZ246" s="208">
        <v>0</v>
      </c>
      <c r="EA246" s="208">
        <v>335491</v>
      </c>
      <c r="EB246" s="208">
        <v>0</v>
      </c>
      <c r="EC246" s="208">
        <v>24482360</v>
      </c>
      <c r="ED246" s="208">
        <v>16321574</v>
      </c>
      <c r="EE246" s="208">
        <v>0</v>
      </c>
      <c r="EF246" s="208">
        <v>40803934</v>
      </c>
      <c r="EG246" s="208">
        <v>0</v>
      </c>
      <c r="EH246" s="208">
        <v>25835024</v>
      </c>
      <c r="EI246" s="208">
        <v>17223350</v>
      </c>
      <c r="EJ246" s="208">
        <v>0</v>
      </c>
      <c r="EK246" s="208">
        <v>43058374</v>
      </c>
      <c r="EL246" s="208">
        <v>0</v>
      </c>
      <c r="EM246" s="208">
        <v>1352664</v>
      </c>
      <c r="EN246" s="208">
        <v>901776</v>
      </c>
      <c r="EO246" s="208">
        <v>0</v>
      </c>
      <c r="EP246" s="208">
        <v>2254440</v>
      </c>
      <c r="EQ246" s="208">
        <v>167745</v>
      </c>
      <c r="ER246" s="208">
        <v>1486860</v>
      </c>
      <c r="ES246" s="208">
        <v>935326</v>
      </c>
      <c r="ET246" s="208">
        <v>0</v>
      </c>
      <c r="EU246" s="208">
        <v>2589931</v>
      </c>
      <c r="EV246" s="666">
        <v>0</v>
      </c>
      <c r="EW246" s="666">
        <v>0.6</v>
      </c>
      <c r="EX246" s="666">
        <v>0.4</v>
      </c>
      <c r="EY246" s="666">
        <v>0</v>
      </c>
      <c r="EZ246" s="666">
        <v>1</v>
      </c>
      <c r="FA246" s="187" t="s">
        <v>1054</v>
      </c>
      <c r="FC246" s="187">
        <v>0</v>
      </c>
    </row>
    <row r="247" spans="1:159" s="187" customFormat="1" x14ac:dyDescent="0.2">
      <c r="B247" s="429" t="s">
        <v>572</v>
      </c>
      <c r="C247" s="429" t="s">
        <v>571</v>
      </c>
      <c r="D247" s="208">
        <v>21804705</v>
      </c>
      <c r="E247" s="208">
        <v>17443764</v>
      </c>
      <c r="F247" s="208">
        <v>4360941</v>
      </c>
      <c r="G247" s="208">
        <v>0</v>
      </c>
      <c r="H247" s="208">
        <v>43609410</v>
      </c>
      <c r="I247" s="208">
        <v>0</v>
      </c>
      <c r="J247" s="208">
        <v>0</v>
      </c>
      <c r="K247" s="208">
        <v>21804705</v>
      </c>
      <c r="L247" s="208">
        <v>299947</v>
      </c>
      <c r="M247" s="208">
        <v>299947</v>
      </c>
      <c r="N247" s="208">
        <v>0</v>
      </c>
      <c r="O247" s="208">
        <v>0</v>
      </c>
      <c r="P247" s="208">
        <v>0</v>
      </c>
      <c r="Q247" s="208">
        <v>0</v>
      </c>
      <c r="R247" s="208">
        <v>0</v>
      </c>
      <c r="S247" s="208">
        <v>0</v>
      </c>
      <c r="T247" s="208">
        <v>0</v>
      </c>
      <c r="U247" s="208">
        <v>0</v>
      </c>
      <c r="V247" s="208">
        <v>0</v>
      </c>
      <c r="W247" s="208">
        <v>0</v>
      </c>
      <c r="X247" s="208">
        <v>0</v>
      </c>
      <c r="Y247" s="208">
        <v>0</v>
      </c>
      <c r="Z247" s="208">
        <v>0</v>
      </c>
      <c r="AA247" s="208">
        <v>0</v>
      </c>
      <c r="AB247" s="208">
        <v>0</v>
      </c>
      <c r="AC247" s="208">
        <v>0</v>
      </c>
      <c r="AD247" s="208">
        <v>0</v>
      </c>
      <c r="AE247" s="208">
        <v>0</v>
      </c>
      <c r="AF247" s="208">
        <v>0</v>
      </c>
      <c r="AG247" s="208">
        <v>3248709</v>
      </c>
      <c r="AH247" s="208">
        <v>812176</v>
      </c>
      <c r="AI247" s="208">
        <v>0</v>
      </c>
      <c r="AJ247" s="208">
        <v>4060885</v>
      </c>
      <c r="AK247" s="208">
        <v>1037629</v>
      </c>
      <c r="AL247" s="208">
        <v>830103</v>
      </c>
      <c r="AM247" s="208">
        <v>207526</v>
      </c>
      <c r="AN247" s="208">
        <v>0</v>
      </c>
      <c r="AO247" s="208">
        <v>2075258</v>
      </c>
      <c r="AP247" s="208">
        <v>-334819</v>
      </c>
      <c r="AQ247" s="208">
        <v>-267855</v>
      </c>
      <c r="AR247" s="208">
        <v>-66964</v>
      </c>
      <c r="AS247" s="208">
        <v>0</v>
      </c>
      <c r="AT247" s="208">
        <v>-669638</v>
      </c>
      <c r="AU247" s="208">
        <v>-310367.86</v>
      </c>
      <c r="AV247" s="208">
        <v>-248295</v>
      </c>
      <c r="AW247" s="208">
        <v>-62074</v>
      </c>
      <c r="AX247" s="208">
        <v>0</v>
      </c>
      <c r="AY247" s="208">
        <v>-620736.86</v>
      </c>
      <c r="AZ247" s="208">
        <v>94678</v>
      </c>
      <c r="BA247" s="208">
        <v>75742</v>
      </c>
      <c r="BB247" s="208">
        <v>18936</v>
      </c>
      <c r="BC247" s="208">
        <v>0</v>
      </c>
      <c r="BD247" s="208">
        <v>189356</v>
      </c>
      <c r="BE247" s="208">
        <v>-225367</v>
      </c>
      <c r="BF247" s="208">
        <v>-180294</v>
      </c>
      <c r="BG247" s="208">
        <v>-45074</v>
      </c>
      <c r="BH247" s="208">
        <v>0</v>
      </c>
      <c r="BI247" s="208">
        <v>-450735</v>
      </c>
      <c r="BJ247" s="208">
        <v>-441056.86</v>
      </c>
      <c r="BK247" s="208">
        <v>-352847</v>
      </c>
      <c r="BL247" s="208">
        <v>-88212</v>
      </c>
      <c r="BM247" s="208">
        <v>0</v>
      </c>
      <c r="BN247" s="208">
        <v>-882115.86</v>
      </c>
      <c r="BO247" s="208">
        <v>-1220364</v>
      </c>
      <c r="BP247" s="208">
        <v>-976292</v>
      </c>
      <c r="BQ247" s="208">
        <v>-244073</v>
      </c>
      <c r="BR247" s="208">
        <v>0</v>
      </c>
      <c r="BS247" s="208">
        <v>-2440729</v>
      </c>
      <c r="BT247" s="208">
        <v>-564962</v>
      </c>
      <c r="BU247" s="208">
        <v>-451970</v>
      </c>
      <c r="BV247" s="208">
        <v>-112993</v>
      </c>
      <c r="BW247" s="208">
        <v>0</v>
      </c>
      <c r="BX247" s="208">
        <v>-1129925</v>
      </c>
      <c r="BY247" s="208">
        <v>-655402</v>
      </c>
      <c r="BZ247" s="208">
        <v>-524322</v>
      </c>
      <c r="CA247" s="208">
        <v>-131080</v>
      </c>
      <c r="CB247" s="208">
        <v>0</v>
      </c>
      <c r="CC247" s="208">
        <v>-1310804</v>
      </c>
      <c r="CD247" s="208">
        <v>166024</v>
      </c>
      <c r="CE247" s="208">
        <v>132819</v>
      </c>
      <c r="CF247" s="208">
        <v>33205</v>
      </c>
      <c r="CG247" s="208">
        <v>0</v>
      </c>
      <c r="CH247" s="208">
        <v>332048</v>
      </c>
      <c r="CI247" s="208">
        <v>75482</v>
      </c>
      <c r="CJ247" s="208">
        <v>60386</v>
      </c>
      <c r="CK247" s="208">
        <v>15096</v>
      </c>
      <c r="CL247" s="208">
        <v>0</v>
      </c>
      <c r="CM247" s="208">
        <v>150964</v>
      </c>
      <c r="CN247" s="208">
        <v>-25775</v>
      </c>
      <c r="CO247" s="208">
        <v>-20620</v>
      </c>
      <c r="CP247" s="208">
        <v>-5155</v>
      </c>
      <c r="CQ247" s="208">
        <v>0</v>
      </c>
      <c r="CR247" s="208">
        <v>-51550</v>
      </c>
      <c r="CS247" s="208">
        <v>-60993</v>
      </c>
      <c r="CT247" s="208">
        <v>-48795</v>
      </c>
      <c r="CU247" s="208">
        <v>-12199</v>
      </c>
      <c r="CV247" s="208">
        <v>0</v>
      </c>
      <c r="CW247" s="208">
        <v>-121987</v>
      </c>
      <c r="CX247" s="208">
        <v>-1065626</v>
      </c>
      <c r="CY247" s="208">
        <v>-852502</v>
      </c>
      <c r="CZ247" s="208">
        <v>-213126</v>
      </c>
      <c r="DA247" s="208">
        <v>0</v>
      </c>
      <c r="DB247" s="208">
        <v>-2131254</v>
      </c>
      <c r="DC247" s="208">
        <v>-424713</v>
      </c>
      <c r="DD247" s="208">
        <v>-339771</v>
      </c>
      <c r="DE247" s="208">
        <v>-84943</v>
      </c>
      <c r="DF247" s="208">
        <v>0</v>
      </c>
      <c r="DG247" s="208">
        <v>-849427</v>
      </c>
      <c r="DH247" s="208">
        <v>-640913</v>
      </c>
      <c r="DI247" s="208">
        <v>-512731</v>
      </c>
      <c r="DJ247" s="208">
        <v>-128183</v>
      </c>
      <c r="DK247" s="208">
        <v>0</v>
      </c>
      <c r="DL247" s="208">
        <v>-1281827</v>
      </c>
      <c r="DM247" s="208">
        <v>557224</v>
      </c>
      <c r="DN247" s="208">
        <v>445780</v>
      </c>
      <c r="DO247" s="208">
        <v>111444</v>
      </c>
      <c r="DP247" s="208">
        <v>0</v>
      </c>
      <c r="DQ247" s="208">
        <v>1114448</v>
      </c>
      <c r="DR247" s="208">
        <v>64134</v>
      </c>
      <c r="DS247" s="208">
        <v>51307</v>
      </c>
      <c r="DT247" s="208">
        <v>12827</v>
      </c>
      <c r="DU247" s="208">
        <v>0</v>
      </c>
      <c r="DV247" s="208">
        <v>128268</v>
      </c>
      <c r="DW247" s="208">
        <v>493090</v>
      </c>
      <c r="DX247" s="208">
        <v>394473</v>
      </c>
      <c r="DY247" s="208">
        <v>98617</v>
      </c>
      <c r="DZ247" s="208">
        <v>0</v>
      </c>
      <c r="EA247" s="208">
        <v>986180</v>
      </c>
      <c r="EB247" s="208">
        <v>21377736</v>
      </c>
      <c r="EC247" s="208">
        <v>17102189</v>
      </c>
      <c r="ED247" s="208">
        <v>4275547</v>
      </c>
      <c r="EE247" s="208">
        <v>0</v>
      </c>
      <c r="EF247" s="208">
        <v>42755472</v>
      </c>
      <c r="EG247" s="208">
        <v>21804705</v>
      </c>
      <c r="EH247" s="208">
        <v>17443764</v>
      </c>
      <c r="EI247" s="208">
        <v>4360941</v>
      </c>
      <c r="EJ247" s="208">
        <v>0</v>
      </c>
      <c r="EK247" s="208">
        <v>43609410</v>
      </c>
      <c r="EL247" s="208">
        <v>426969</v>
      </c>
      <c r="EM247" s="208">
        <v>341575</v>
      </c>
      <c r="EN247" s="208">
        <v>85394</v>
      </c>
      <c r="EO247" s="208">
        <v>0</v>
      </c>
      <c r="EP247" s="208">
        <v>853938</v>
      </c>
      <c r="EQ247" s="208">
        <v>920059</v>
      </c>
      <c r="ER247" s="208">
        <v>736048</v>
      </c>
      <c r="ES247" s="208">
        <v>184011</v>
      </c>
      <c r="ET247" s="208">
        <v>0</v>
      </c>
      <c r="EU247" s="208">
        <v>1840118</v>
      </c>
      <c r="EV247" s="666">
        <v>0.5</v>
      </c>
      <c r="EW247" s="666">
        <v>0.4</v>
      </c>
      <c r="EX247" s="666">
        <v>0.1</v>
      </c>
      <c r="EY247" s="666">
        <v>0</v>
      </c>
      <c r="EZ247" s="666">
        <v>1</v>
      </c>
      <c r="FA247" s="187" t="s">
        <v>1054</v>
      </c>
      <c r="FC247" s="187">
        <v>0</v>
      </c>
    </row>
    <row r="248" spans="1:159" s="187" customFormat="1" x14ac:dyDescent="0.2">
      <c r="B248" s="429" t="s">
        <v>574</v>
      </c>
      <c r="C248" s="429" t="s">
        <v>573</v>
      </c>
      <c r="D248" s="208">
        <v>14119067</v>
      </c>
      <c r="E248" s="208">
        <v>11295253</v>
      </c>
      <c r="F248" s="208">
        <v>2823813</v>
      </c>
      <c r="G248" s="208">
        <v>0</v>
      </c>
      <c r="H248" s="208">
        <v>28238133</v>
      </c>
      <c r="I248" s="208">
        <v>272462</v>
      </c>
      <c r="J248" s="208">
        <v>272462</v>
      </c>
      <c r="K248" s="208">
        <v>13846605</v>
      </c>
      <c r="L248" s="208">
        <v>164243</v>
      </c>
      <c r="M248" s="208">
        <v>164243</v>
      </c>
      <c r="N248" s="208">
        <v>0</v>
      </c>
      <c r="O248" s="208">
        <v>0</v>
      </c>
      <c r="P248" s="208">
        <v>158783</v>
      </c>
      <c r="Q248" s="208">
        <v>0</v>
      </c>
      <c r="R248" s="208">
        <v>158783</v>
      </c>
      <c r="S248" s="208">
        <v>0</v>
      </c>
      <c r="T248" s="208">
        <v>0</v>
      </c>
      <c r="U248" s="208">
        <v>0</v>
      </c>
      <c r="V248" s="208">
        <v>0</v>
      </c>
      <c r="W248" s="208">
        <v>272462.03750000003</v>
      </c>
      <c r="X248" s="208">
        <v>0</v>
      </c>
      <c r="Y248" s="208">
        <v>0</v>
      </c>
      <c r="Z248" s="208">
        <v>272462.03750000003</v>
      </c>
      <c r="AA248" s="208">
        <v>0</v>
      </c>
      <c r="AB248" s="208">
        <v>0</v>
      </c>
      <c r="AC248" s="208">
        <v>0</v>
      </c>
      <c r="AD248" s="208">
        <v>0</v>
      </c>
      <c r="AE248" s="208">
        <v>0</v>
      </c>
      <c r="AF248" s="208">
        <v>0</v>
      </c>
      <c r="AG248" s="208">
        <v>1727138</v>
      </c>
      <c r="AH248" s="208">
        <v>429937</v>
      </c>
      <c r="AI248" s="208">
        <v>0</v>
      </c>
      <c r="AJ248" s="208">
        <v>2157075</v>
      </c>
      <c r="AK248" s="208">
        <v>527982</v>
      </c>
      <c r="AL248" s="208">
        <v>422386</v>
      </c>
      <c r="AM248" s="208">
        <v>105596</v>
      </c>
      <c r="AN248" s="208">
        <v>0</v>
      </c>
      <c r="AO248" s="208">
        <v>1055964</v>
      </c>
      <c r="AP248" s="208">
        <v>-107627</v>
      </c>
      <c r="AQ248" s="208">
        <v>-86101</v>
      </c>
      <c r="AR248" s="208">
        <v>-21525</v>
      </c>
      <c r="AS248" s="208">
        <v>0</v>
      </c>
      <c r="AT248" s="208">
        <v>-215253</v>
      </c>
      <c r="AU248" s="208">
        <v>-329031</v>
      </c>
      <c r="AV248" s="208">
        <v>-263224</v>
      </c>
      <c r="AW248" s="208">
        <v>-65806</v>
      </c>
      <c r="AX248" s="208">
        <v>0</v>
      </c>
      <c r="AY248" s="208">
        <v>-658061</v>
      </c>
      <c r="AZ248" s="208">
        <v>174793</v>
      </c>
      <c r="BA248" s="208">
        <v>139834</v>
      </c>
      <c r="BB248" s="208">
        <v>34959</v>
      </c>
      <c r="BC248" s="208">
        <v>0</v>
      </c>
      <c r="BD248" s="208">
        <v>349586</v>
      </c>
      <c r="BE248" s="208">
        <v>-70954</v>
      </c>
      <c r="BF248" s="208">
        <v>-56764</v>
      </c>
      <c r="BG248" s="208">
        <v>-14191</v>
      </c>
      <c r="BH248" s="208">
        <v>0</v>
      </c>
      <c r="BI248" s="208">
        <v>-141909</v>
      </c>
      <c r="BJ248" s="208">
        <v>-225192</v>
      </c>
      <c r="BK248" s="208">
        <v>-180154</v>
      </c>
      <c r="BL248" s="208">
        <v>-45038</v>
      </c>
      <c r="BM248" s="208">
        <v>0</v>
      </c>
      <c r="BN248" s="208">
        <v>-450384</v>
      </c>
      <c r="BO248" s="208">
        <v>-1214387</v>
      </c>
      <c r="BP248" s="208">
        <v>-971510</v>
      </c>
      <c r="BQ248" s="208">
        <v>-242877</v>
      </c>
      <c r="BR248" s="208">
        <v>0</v>
      </c>
      <c r="BS248" s="208">
        <v>-2428774</v>
      </c>
      <c r="BT248" s="208">
        <v>-1202259</v>
      </c>
      <c r="BU248" s="208">
        <v>-961808</v>
      </c>
      <c r="BV248" s="208">
        <v>-240452</v>
      </c>
      <c r="BW248" s="208">
        <v>0</v>
      </c>
      <c r="BX248" s="208">
        <v>-2404519</v>
      </c>
      <c r="BY248" s="208">
        <v>-12127</v>
      </c>
      <c r="BZ248" s="208">
        <v>-9702</v>
      </c>
      <c r="CA248" s="208">
        <v>-2426</v>
      </c>
      <c r="CB248" s="208">
        <v>0</v>
      </c>
      <c r="CC248" s="208">
        <v>-24255</v>
      </c>
      <c r="CD248" s="208">
        <v>379749</v>
      </c>
      <c r="CE248" s="208">
        <v>303799</v>
      </c>
      <c r="CF248" s="208">
        <v>75950</v>
      </c>
      <c r="CG248" s="208">
        <v>0</v>
      </c>
      <c r="CH248" s="208">
        <v>759498</v>
      </c>
      <c r="CI248" s="208">
        <v>206726</v>
      </c>
      <c r="CJ248" s="208">
        <v>165381</v>
      </c>
      <c r="CK248" s="208">
        <v>41345</v>
      </c>
      <c r="CL248" s="208">
        <v>0</v>
      </c>
      <c r="CM248" s="208">
        <v>413452</v>
      </c>
      <c r="CN248" s="208">
        <v>152012</v>
      </c>
      <c r="CO248" s="208">
        <v>121610</v>
      </c>
      <c r="CP248" s="208">
        <v>30402</v>
      </c>
      <c r="CQ248" s="208">
        <v>0</v>
      </c>
      <c r="CR248" s="208">
        <v>304024</v>
      </c>
      <c r="CS248" s="208">
        <v>-1432596</v>
      </c>
      <c r="CT248" s="208">
        <v>-1146077</v>
      </c>
      <c r="CU248" s="208">
        <v>-286519</v>
      </c>
      <c r="CV248" s="208">
        <v>0</v>
      </c>
      <c r="CW248" s="208">
        <v>-2865192</v>
      </c>
      <c r="CX248" s="208">
        <v>-1908496</v>
      </c>
      <c r="CY248" s="208">
        <v>-1526797</v>
      </c>
      <c r="CZ248" s="208">
        <v>-381699</v>
      </c>
      <c r="DA248" s="208">
        <v>0</v>
      </c>
      <c r="DB248" s="208">
        <v>-3816992</v>
      </c>
      <c r="DC248" s="208">
        <v>-670498</v>
      </c>
      <c r="DD248" s="208">
        <v>-536399</v>
      </c>
      <c r="DE248" s="208">
        <v>-134100</v>
      </c>
      <c r="DF248" s="208">
        <v>0</v>
      </c>
      <c r="DG248" s="208">
        <v>-1340997</v>
      </c>
      <c r="DH248" s="208">
        <v>-1237997</v>
      </c>
      <c r="DI248" s="208">
        <v>-990398</v>
      </c>
      <c r="DJ248" s="208">
        <v>-247600</v>
      </c>
      <c r="DK248" s="208">
        <v>0</v>
      </c>
      <c r="DL248" s="208">
        <v>-2475995</v>
      </c>
      <c r="DM248" s="208">
        <v>-983930</v>
      </c>
      <c r="DN248" s="208">
        <v>-787142</v>
      </c>
      <c r="DO248" s="208">
        <v>-196785</v>
      </c>
      <c r="DP248" s="208">
        <v>0</v>
      </c>
      <c r="DQ248" s="208">
        <v>-1967857</v>
      </c>
      <c r="DR248" s="208">
        <v>-1748816</v>
      </c>
      <c r="DS248" s="208">
        <v>-1399053</v>
      </c>
      <c r="DT248" s="208">
        <v>-349763</v>
      </c>
      <c r="DU248" s="208">
        <v>0</v>
      </c>
      <c r="DV248" s="208">
        <v>-3497632</v>
      </c>
      <c r="DW248" s="208">
        <v>764886</v>
      </c>
      <c r="DX248" s="208">
        <v>611911</v>
      </c>
      <c r="DY248" s="208">
        <v>152978</v>
      </c>
      <c r="DZ248" s="208">
        <v>0</v>
      </c>
      <c r="EA248" s="208">
        <v>1529775</v>
      </c>
      <c r="EB248" s="208">
        <v>15026835</v>
      </c>
      <c r="EC248" s="208">
        <v>12021468</v>
      </c>
      <c r="ED248" s="208">
        <v>3005367</v>
      </c>
      <c r="EE248" s="208">
        <v>0</v>
      </c>
      <c r="EF248" s="208">
        <v>30053670</v>
      </c>
      <c r="EG248" s="208">
        <v>14119067</v>
      </c>
      <c r="EH248" s="208">
        <v>11295253</v>
      </c>
      <c r="EI248" s="208">
        <v>2823813</v>
      </c>
      <c r="EJ248" s="208">
        <v>0</v>
      </c>
      <c r="EK248" s="208">
        <v>28238133</v>
      </c>
      <c r="EL248" s="208">
        <v>-907768</v>
      </c>
      <c r="EM248" s="208">
        <v>-726215</v>
      </c>
      <c r="EN248" s="208">
        <v>-181554</v>
      </c>
      <c r="EO248" s="208">
        <v>0</v>
      </c>
      <c r="EP248" s="208">
        <v>-1815537</v>
      </c>
      <c r="EQ248" s="208">
        <v>-142882</v>
      </c>
      <c r="ER248" s="208">
        <v>-114304</v>
      </c>
      <c r="ES248" s="208">
        <v>-28576</v>
      </c>
      <c r="ET248" s="208">
        <v>0</v>
      </c>
      <c r="EU248" s="208">
        <v>-285762</v>
      </c>
      <c r="EV248" s="666">
        <v>0.5</v>
      </c>
      <c r="EW248" s="666">
        <v>0.4</v>
      </c>
      <c r="EX248" s="666">
        <v>0.1</v>
      </c>
      <c r="EY248" s="666">
        <v>0</v>
      </c>
      <c r="EZ248" s="666">
        <v>1</v>
      </c>
      <c r="FA248" s="187" t="s">
        <v>1054</v>
      </c>
      <c r="FC248" s="187">
        <v>0</v>
      </c>
    </row>
    <row r="249" spans="1:159" s="187" customFormat="1" x14ac:dyDescent="0.2">
      <c r="B249" s="429" t="s">
        <v>576</v>
      </c>
      <c r="C249" s="429" t="s">
        <v>575</v>
      </c>
      <c r="D249" s="208">
        <v>12190732</v>
      </c>
      <c r="E249" s="208">
        <v>9752586</v>
      </c>
      <c r="F249" s="208">
        <v>2438147</v>
      </c>
      <c r="G249" s="208">
        <v>0</v>
      </c>
      <c r="H249" s="208">
        <v>24381465</v>
      </c>
      <c r="I249" s="208">
        <v>0</v>
      </c>
      <c r="J249" s="208">
        <v>0</v>
      </c>
      <c r="K249" s="208">
        <v>12190732</v>
      </c>
      <c r="L249" s="208">
        <v>108286</v>
      </c>
      <c r="M249" s="208">
        <v>108286</v>
      </c>
      <c r="N249" s="208">
        <v>0</v>
      </c>
      <c r="O249" s="208">
        <v>0</v>
      </c>
      <c r="P249" s="208">
        <v>377645</v>
      </c>
      <c r="Q249" s="208">
        <v>0</v>
      </c>
      <c r="R249" s="208">
        <v>377645</v>
      </c>
      <c r="S249" s="208">
        <v>0</v>
      </c>
      <c r="T249" s="208">
        <v>0</v>
      </c>
      <c r="U249" s="208">
        <v>0</v>
      </c>
      <c r="V249" s="208">
        <v>0</v>
      </c>
      <c r="W249" s="208">
        <v>0</v>
      </c>
      <c r="X249" s="208">
        <v>0</v>
      </c>
      <c r="Y249" s="208">
        <v>0</v>
      </c>
      <c r="Z249" s="208">
        <v>0</v>
      </c>
      <c r="AA249" s="208">
        <v>0</v>
      </c>
      <c r="AB249" s="208">
        <v>0</v>
      </c>
      <c r="AC249" s="208">
        <v>0</v>
      </c>
      <c r="AD249" s="208">
        <v>0</v>
      </c>
      <c r="AE249" s="208">
        <v>0</v>
      </c>
      <c r="AF249" s="208">
        <v>0</v>
      </c>
      <c r="AG249" s="208">
        <v>1296362</v>
      </c>
      <c r="AH249" s="208">
        <v>321927</v>
      </c>
      <c r="AI249" s="208">
        <v>0</v>
      </c>
      <c r="AJ249" s="208">
        <v>1618289</v>
      </c>
      <c r="AK249" s="208">
        <v>290592</v>
      </c>
      <c r="AL249" s="208">
        <v>232474</v>
      </c>
      <c r="AM249" s="208">
        <v>58119</v>
      </c>
      <c r="AN249" s="208">
        <v>0</v>
      </c>
      <c r="AO249" s="208">
        <v>581185</v>
      </c>
      <c r="AP249" s="208">
        <v>-535381</v>
      </c>
      <c r="AQ249" s="208">
        <v>-428305</v>
      </c>
      <c r="AR249" s="208">
        <v>-107076</v>
      </c>
      <c r="AS249" s="208">
        <v>0</v>
      </c>
      <c r="AT249" s="208">
        <v>-1070762</v>
      </c>
      <c r="AU249" s="208">
        <v>-274384.66999999993</v>
      </c>
      <c r="AV249" s="208">
        <v>-219508</v>
      </c>
      <c r="AW249" s="208">
        <v>-54877</v>
      </c>
      <c r="AX249" s="208">
        <v>0</v>
      </c>
      <c r="AY249" s="208">
        <v>-548769.66999999993</v>
      </c>
      <c r="AZ249" s="208">
        <v>0</v>
      </c>
      <c r="BA249" s="208">
        <v>0</v>
      </c>
      <c r="BB249" s="208">
        <v>0</v>
      </c>
      <c r="BC249" s="208">
        <v>0</v>
      </c>
      <c r="BD249" s="208">
        <v>0</v>
      </c>
      <c r="BE249" s="208">
        <v>114421</v>
      </c>
      <c r="BF249" s="208">
        <v>91536</v>
      </c>
      <c r="BG249" s="208">
        <v>22884</v>
      </c>
      <c r="BH249" s="208">
        <v>0</v>
      </c>
      <c r="BI249" s="208">
        <v>228841</v>
      </c>
      <c r="BJ249" s="208">
        <v>-159963.66999999993</v>
      </c>
      <c r="BK249" s="208">
        <v>-127972</v>
      </c>
      <c r="BL249" s="208">
        <v>-31993</v>
      </c>
      <c r="BM249" s="208">
        <v>0</v>
      </c>
      <c r="BN249" s="208">
        <v>-319928.66999999993</v>
      </c>
      <c r="BO249" s="208">
        <v>-1136451</v>
      </c>
      <c r="BP249" s="208">
        <v>-909160</v>
      </c>
      <c r="BQ249" s="208">
        <v>-227290</v>
      </c>
      <c r="BR249" s="208">
        <v>0</v>
      </c>
      <c r="BS249" s="208">
        <v>-2272901</v>
      </c>
      <c r="BT249" s="208">
        <v>-598833</v>
      </c>
      <c r="BU249" s="208">
        <v>-479066</v>
      </c>
      <c r="BV249" s="208">
        <v>-119767</v>
      </c>
      <c r="BW249" s="208">
        <v>0</v>
      </c>
      <c r="BX249" s="208">
        <v>-1197666</v>
      </c>
      <c r="BY249" s="208">
        <v>-537617</v>
      </c>
      <c r="BZ249" s="208">
        <v>-430094</v>
      </c>
      <c r="CA249" s="208">
        <v>-107524</v>
      </c>
      <c r="CB249" s="208">
        <v>0</v>
      </c>
      <c r="CC249" s="208">
        <v>-1075235</v>
      </c>
      <c r="CD249" s="208">
        <v>108152</v>
      </c>
      <c r="CE249" s="208">
        <v>86522</v>
      </c>
      <c r="CF249" s="208">
        <v>21631</v>
      </c>
      <c r="CG249" s="208">
        <v>0</v>
      </c>
      <c r="CH249" s="208">
        <v>216305</v>
      </c>
      <c r="CI249" s="208">
        <v>30806</v>
      </c>
      <c r="CJ249" s="208">
        <v>24645</v>
      </c>
      <c r="CK249" s="208">
        <v>6161</v>
      </c>
      <c r="CL249" s="208">
        <v>0</v>
      </c>
      <c r="CM249" s="208">
        <v>61612</v>
      </c>
      <c r="CN249" s="208">
        <v>45422</v>
      </c>
      <c r="CO249" s="208">
        <v>36338</v>
      </c>
      <c r="CP249" s="208">
        <v>9085</v>
      </c>
      <c r="CQ249" s="208">
        <v>0</v>
      </c>
      <c r="CR249" s="208">
        <v>90845</v>
      </c>
      <c r="CS249" s="208">
        <v>-128940</v>
      </c>
      <c r="CT249" s="208">
        <v>-103152</v>
      </c>
      <c r="CU249" s="208">
        <v>-25788</v>
      </c>
      <c r="CV249" s="208">
        <v>0</v>
      </c>
      <c r="CW249" s="208">
        <v>-257880</v>
      </c>
      <c r="CX249" s="208">
        <v>-1081011</v>
      </c>
      <c r="CY249" s="208">
        <v>-864807</v>
      </c>
      <c r="CZ249" s="208">
        <v>-216201</v>
      </c>
      <c r="DA249" s="208">
        <v>0</v>
      </c>
      <c r="DB249" s="208">
        <v>-2162019</v>
      </c>
      <c r="DC249" s="208">
        <v>-445259</v>
      </c>
      <c r="DD249" s="208">
        <v>-356206</v>
      </c>
      <c r="DE249" s="208">
        <v>-89051</v>
      </c>
      <c r="DF249" s="208">
        <v>0</v>
      </c>
      <c r="DG249" s="208">
        <v>-890516</v>
      </c>
      <c r="DH249" s="208">
        <v>-635751</v>
      </c>
      <c r="DI249" s="208">
        <v>-508601</v>
      </c>
      <c r="DJ249" s="208">
        <v>-127151</v>
      </c>
      <c r="DK249" s="208">
        <v>0</v>
      </c>
      <c r="DL249" s="208">
        <v>-1271503</v>
      </c>
      <c r="DM249" s="208">
        <v>610383</v>
      </c>
      <c r="DN249" s="208">
        <v>488307</v>
      </c>
      <c r="DO249" s="208">
        <v>122075</v>
      </c>
      <c r="DP249" s="208">
        <v>0</v>
      </c>
      <c r="DQ249" s="208">
        <v>1220765</v>
      </c>
      <c r="DR249" s="208">
        <v>639991</v>
      </c>
      <c r="DS249" s="208">
        <v>511992</v>
      </c>
      <c r="DT249" s="208">
        <v>127998</v>
      </c>
      <c r="DU249" s="208">
        <v>0</v>
      </c>
      <c r="DV249" s="208">
        <v>1279981</v>
      </c>
      <c r="DW249" s="208">
        <v>-29608</v>
      </c>
      <c r="DX249" s="208">
        <v>-23685</v>
      </c>
      <c r="DY249" s="208">
        <v>-5923</v>
      </c>
      <c r="DZ249" s="208">
        <v>0</v>
      </c>
      <c r="EA249" s="208">
        <v>-59216</v>
      </c>
      <c r="EB249" s="208">
        <v>11759788</v>
      </c>
      <c r="EC249" s="208">
        <v>9407831</v>
      </c>
      <c r="ED249" s="208">
        <v>2351958</v>
      </c>
      <c r="EE249" s="208">
        <v>0</v>
      </c>
      <c r="EF249" s="208">
        <v>23519577</v>
      </c>
      <c r="EG249" s="208">
        <v>12190732</v>
      </c>
      <c r="EH249" s="208">
        <v>9752586</v>
      </c>
      <c r="EI249" s="208">
        <v>2438147</v>
      </c>
      <c r="EJ249" s="208">
        <v>0</v>
      </c>
      <c r="EK249" s="208">
        <v>24381465</v>
      </c>
      <c r="EL249" s="208">
        <v>430944</v>
      </c>
      <c r="EM249" s="208">
        <v>344755</v>
      </c>
      <c r="EN249" s="208">
        <v>86189</v>
      </c>
      <c r="EO249" s="208">
        <v>0</v>
      </c>
      <c r="EP249" s="208">
        <v>861888</v>
      </c>
      <c r="EQ249" s="208">
        <v>401336</v>
      </c>
      <c r="ER249" s="208">
        <v>321070</v>
      </c>
      <c r="ES249" s="208">
        <v>80266</v>
      </c>
      <c r="ET249" s="208">
        <v>0</v>
      </c>
      <c r="EU249" s="208">
        <v>802672</v>
      </c>
      <c r="EV249" s="666">
        <v>0.5</v>
      </c>
      <c r="EW249" s="666">
        <v>0.4</v>
      </c>
      <c r="EX249" s="666">
        <v>0.1</v>
      </c>
      <c r="EY249" s="666">
        <v>0</v>
      </c>
      <c r="EZ249" s="666">
        <v>1</v>
      </c>
      <c r="FA249" s="187" t="s">
        <v>1054</v>
      </c>
      <c r="FC249" s="187">
        <v>0</v>
      </c>
    </row>
    <row r="250" spans="1:159" s="187" customFormat="1" x14ac:dyDescent="0.2">
      <c r="B250" s="429" t="s">
        <v>578</v>
      </c>
      <c r="C250" s="429" t="s">
        <v>577</v>
      </c>
      <c r="D250" s="208">
        <v>21854185</v>
      </c>
      <c r="E250" s="208">
        <v>17483348</v>
      </c>
      <c r="F250" s="208">
        <v>4370837</v>
      </c>
      <c r="G250" s="208">
        <v>0</v>
      </c>
      <c r="H250" s="208">
        <v>43708370</v>
      </c>
      <c r="I250" s="208">
        <v>0</v>
      </c>
      <c r="J250" s="208">
        <v>0</v>
      </c>
      <c r="K250" s="208">
        <v>21854185</v>
      </c>
      <c r="L250" s="208">
        <v>183354</v>
      </c>
      <c r="M250" s="208">
        <v>183354</v>
      </c>
      <c r="N250" s="208">
        <v>49709</v>
      </c>
      <c r="O250" s="208">
        <v>49709</v>
      </c>
      <c r="P250" s="208">
        <v>87112</v>
      </c>
      <c r="Q250" s="208">
        <v>0</v>
      </c>
      <c r="R250" s="208">
        <v>87112</v>
      </c>
      <c r="S250" s="208">
        <v>0</v>
      </c>
      <c r="T250" s="208">
        <v>0</v>
      </c>
      <c r="U250" s="208">
        <v>0</v>
      </c>
      <c r="V250" s="208">
        <v>0</v>
      </c>
      <c r="W250" s="208">
        <v>0</v>
      </c>
      <c r="X250" s="208">
        <v>0</v>
      </c>
      <c r="Y250" s="208">
        <v>0</v>
      </c>
      <c r="Z250" s="208">
        <v>0</v>
      </c>
      <c r="AA250" s="208">
        <v>0</v>
      </c>
      <c r="AB250" s="208">
        <v>0</v>
      </c>
      <c r="AC250" s="208">
        <v>0</v>
      </c>
      <c r="AD250" s="208">
        <v>0</v>
      </c>
      <c r="AE250" s="208">
        <v>0</v>
      </c>
      <c r="AF250" s="208">
        <v>0</v>
      </c>
      <c r="AG250" s="208">
        <v>1862654</v>
      </c>
      <c r="AH250" s="208">
        <v>464880</v>
      </c>
      <c r="AI250" s="208">
        <v>0</v>
      </c>
      <c r="AJ250" s="208">
        <v>2327534</v>
      </c>
      <c r="AK250" s="208">
        <v>1073375</v>
      </c>
      <c r="AL250" s="208">
        <v>858700</v>
      </c>
      <c r="AM250" s="208">
        <v>214675</v>
      </c>
      <c r="AN250" s="208">
        <v>0</v>
      </c>
      <c r="AO250" s="208">
        <v>2146750</v>
      </c>
      <c r="AP250" s="208">
        <v>-723761</v>
      </c>
      <c r="AQ250" s="208">
        <v>-579008</v>
      </c>
      <c r="AR250" s="208">
        <v>-144752</v>
      </c>
      <c r="AS250" s="208">
        <v>0</v>
      </c>
      <c r="AT250" s="208">
        <v>-1447521</v>
      </c>
      <c r="AU250" s="208">
        <v>-647330</v>
      </c>
      <c r="AV250" s="208">
        <v>-517864</v>
      </c>
      <c r="AW250" s="208">
        <v>-129466</v>
      </c>
      <c r="AX250" s="208">
        <v>0</v>
      </c>
      <c r="AY250" s="208">
        <v>-1294660</v>
      </c>
      <c r="AZ250" s="208">
        <v>73232</v>
      </c>
      <c r="BA250" s="208">
        <v>58586</v>
      </c>
      <c r="BB250" s="208">
        <v>14647</v>
      </c>
      <c r="BC250" s="208">
        <v>0</v>
      </c>
      <c r="BD250" s="208">
        <v>146465</v>
      </c>
      <c r="BE250" s="208">
        <v>-216292</v>
      </c>
      <c r="BF250" s="208">
        <v>-173034</v>
      </c>
      <c r="BG250" s="208">
        <v>-43259</v>
      </c>
      <c r="BH250" s="208">
        <v>0</v>
      </c>
      <c r="BI250" s="208">
        <v>-432585</v>
      </c>
      <c r="BJ250" s="208">
        <v>-790390</v>
      </c>
      <c r="BK250" s="208">
        <v>-632312</v>
      </c>
      <c r="BL250" s="208">
        <v>-158078</v>
      </c>
      <c r="BM250" s="208">
        <v>0</v>
      </c>
      <c r="BN250" s="208">
        <v>-1580780</v>
      </c>
      <c r="BO250" s="208">
        <v>-2392151</v>
      </c>
      <c r="BP250" s="208">
        <v>-1913720</v>
      </c>
      <c r="BQ250" s="208">
        <v>-478430</v>
      </c>
      <c r="BR250" s="208">
        <v>0</v>
      </c>
      <c r="BS250" s="208">
        <v>-4784301</v>
      </c>
      <c r="BT250" s="208">
        <v>-1262662</v>
      </c>
      <c r="BU250" s="208">
        <v>-1010130</v>
      </c>
      <c r="BV250" s="208">
        <v>-252533</v>
      </c>
      <c r="BW250" s="208">
        <v>0</v>
      </c>
      <c r="BX250" s="208">
        <v>-2525325</v>
      </c>
      <c r="BY250" s="208">
        <v>-1129488</v>
      </c>
      <c r="BZ250" s="208">
        <v>-903590</v>
      </c>
      <c r="CA250" s="208">
        <v>-225898</v>
      </c>
      <c r="CB250" s="208">
        <v>0</v>
      </c>
      <c r="CC250" s="208">
        <v>-2258976</v>
      </c>
      <c r="CD250" s="208">
        <v>397938</v>
      </c>
      <c r="CE250" s="208">
        <v>318350</v>
      </c>
      <c r="CF250" s="208">
        <v>79588</v>
      </c>
      <c r="CG250" s="208">
        <v>0</v>
      </c>
      <c r="CH250" s="208">
        <v>795876</v>
      </c>
      <c r="CI250" s="208">
        <v>576701</v>
      </c>
      <c r="CJ250" s="208">
        <v>461361</v>
      </c>
      <c r="CK250" s="208">
        <v>115340</v>
      </c>
      <c r="CL250" s="208">
        <v>0</v>
      </c>
      <c r="CM250" s="208">
        <v>1153402</v>
      </c>
      <c r="CN250" s="208">
        <v>128191</v>
      </c>
      <c r="CO250" s="208">
        <v>102552</v>
      </c>
      <c r="CP250" s="208">
        <v>25638</v>
      </c>
      <c r="CQ250" s="208">
        <v>0</v>
      </c>
      <c r="CR250" s="208">
        <v>256381</v>
      </c>
      <c r="CS250" s="208">
        <v>-1698467</v>
      </c>
      <c r="CT250" s="208">
        <v>-1358773</v>
      </c>
      <c r="CU250" s="208">
        <v>-339693</v>
      </c>
      <c r="CV250" s="208">
        <v>0</v>
      </c>
      <c r="CW250" s="208">
        <v>-3396933</v>
      </c>
      <c r="CX250" s="208">
        <v>-2987788</v>
      </c>
      <c r="CY250" s="208">
        <v>-2390230</v>
      </c>
      <c r="CZ250" s="208">
        <v>-597557</v>
      </c>
      <c r="DA250" s="208">
        <v>0</v>
      </c>
      <c r="DB250" s="208">
        <v>-5975575</v>
      </c>
      <c r="DC250" s="208">
        <v>-736533</v>
      </c>
      <c r="DD250" s="208">
        <v>-589228</v>
      </c>
      <c r="DE250" s="208">
        <v>-147307</v>
      </c>
      <c r="DF250" s="208">
        <v>0</v>
      </c>
      <c r="DG250" s="208">
        <v>-1473068</v>
      </c>
      <c r="DH250" s="208">
        <v>-2251254</v>
      </c>
      <c r="DI250" s="208">
        <v>-1801002</v>
      </c>
      <c r="DJ250" s="208">
        <v>-450251</v>
      </c>
      <c r="DK250" s="208">
        <v>0</v>
      </c>
      <c r="DL250" s="208">
        <v>-4502507</v>
      </c>
      <c r="DM250" s="208">
        <v>-637658</v>
      </c>
      <c r="DN250" s="208">
        <v>-510126</v>
      </c>
      <c r="DO250" s="208">
        <v>-127532</v>
      </c>
      <c r="DP250" s="208">
        <v>0</v>
      </c>
      <c r="DQ250" s="208">
        <v>-1275316</v>
      </c>
      <c r="DR250" s="208">
        <v>-347342</v>
      </c>
      <c r="DS250" s="208">
        <v>-277874</v>
      </c>
      <c r="DT250" s="208">
        <v>-69468</v>
      </c>
      <c r="DU250" s="208">
        <v>0</v>
      </c>
      <c r="DV250" s="208">
        <v>-694684</v>
      </c>
      <c r="DW250" s="208">
        <v>-290316</v>
      </c>
      <c r="DX250" s="208">
        <v>-232252</v>
      </c>
      <c r="DY250" s="208">
        <v>-58064</v>
      </c>
      <c r="DZ250" s="208">
        <v>0</v>
      </c>
      <c r="EA250" s="208">
        <v>-580632</v>
      </c>
      <c r="EB250" s="208">
        <v>21794379</v>
      </c>
      <c r="EC250" s="208">
        <v>17435503</v>
      </c>
      <c r="ED250" s="208">
        <v>4358876</v>
      </c>
      <c r="EE250" s="208">
        <v>0</v>
      </c>
      <c r="EF250" s="208">
        <v>43588758</v>
      </c>
      <c r="EG250" s="208">
        <v>21854185</v>
      </c>
      <c r="EH250" s="208">
        <v>17483348</v>
      </c>
      <c r="EI250" s="208">
        <v>4370837</v>
      </c>
      <c r="EJ250" s="208">
        <v>0</v>
      </c>
      <c r="EK250" s="208">
        <v>43708370</v>
      </c>
      <c r="EL250" s="208">
        <v>59806</v>
      </c>
      <c r="EM250" s="208">
        <v>47845</v>
      </c>
      <c r="EN250" s="208">
        <v>11961</v>
      </c>
      <c r="EO250" s="208">
        <v>0</v>
      </c>
      <c r="EP250" s="208">
        <v>119612</v>
      </c>
      <c r="EQ250" s="208">
        <v>-230510</v>
      </c>
      <c r="ER250" s="208">
        <v>-184407</v>
      </c>
      <c r="ES250" s="208">
        <v>-46103</v>
      </c>
      <c r="ET250" s="208">
        <v>0</v>
      </c>
      <c r="EU250" s="208">
        <v>-461020</v>
      </c>
      <c r="EV250" s="666">
        <v>0.5</v>
      </c>
      <c r="EW250" s="666">
        <v>0.4</v>
      </c>
      <c r="EX250" s="666">
        <v>0.1</v>
      </c>
      <c r="EY250" s="666">
        <v>0</v>
      </c>
      <c r="EZ250" s="666">
        <v>1</v>
      </c>
      <c r="FA250" s="187" t="s">
        <v>1054</v>
      </c>
      <c r="FC250" s="187">
        <v>0</v>
      </c>
    </row>
    <row r="251" spans="1:159" s="187" customFormat="1" x14ac:dyDescent="0.2">
      <c r="B251" s="429" t="s">
        <v>580</v>
      </c>
      <c r="C251" s="429" t="s">
        <v>579</v>
      </c>
      <c r="D251" s="208">
        <v>16848911</v>
      </c>
      <c r="E251" s="208">
        <v>13479128</v>
      </c>
      <c r="F251" s="208">
        <v>3032804</v>
      </c>
      <c r="G251" s="208">
        <v>336978</v>
      </c>
      <c r="H251" s="208">
        <v>33697821</v>
      </c>
      <c r="I251" s="208">
        <v>0</v>
      </c>
      <c r="J251" s="208">
        <v>0</v>
      </c>
      <c r="K251" s="208">
        <v>16848911</v>
      </c>
      <c r="L251" s="208">
        <v>123602</v>
      </c>
      <c r="M251" s="208">
        <v>123602</v>
      </c>
      <c r="N251" s="208">
        <v>418171</v>
      </c>
      <c r="O251" s="208">
        <v>418171</v>
      </c>
      <c r="P251" s="208">
        <v>78211</v>
      </c>
      <c r="Q251" s="208">
        <v>0</v>
      </c>
      <c r="R251" s="208">
        <v>78211</v>
      </c>
      <c r="S251" s="208">
        <v>0</v>
      </c>
      <c r="T251" s="208">
        <v>0</v>
      </c>
      <c r="U251" s="208">
        <v>0</v>
      </c>
      <c r="V251" s="208">
        <v>0</v>
      </c>
      <c r="W251" s="208">
        <v>0</v>
      </c>
      <c r="X251" s="208">
        <v>0</v>
      </c>
      <c r="Y251" s="208">
        <v>0</v>
      </c>
      <c r="Z251" s="208">
        <v>0</v>
      </c>
      <c r="AA251" s="208">
        <v>0</v>
      </c>
      <c r="AB251" s="208">
        <v>0</v>
      </c>
      <c r="AC251" s="208">
        <v>0</v>
      </c>
      <c r="AD251" s="208">
        <v>0</v>
      </c>
      <c r="AE251" s="208">
        <v>0</v>
      </c>
      <c r="AF251" s="208">
        <v>0</v>
      </c>
      <c r="AG251" s="208">
        <v>1438330</v>
      </c>
      <c r="AH251" s="208">
        <v>321066</v>
      </c>
      <c r="AI251" s="208">
        <v>35673</v>
      </c>
      <c r="AJ251" s="208">
        <v>1795069</v>
      </c>
      <c r="AK251" s="208">
        <v>471019</v>
      </c>
      <c r="AL251" s="208">
        <v>376814</v>
      </c>
      <c r="AM251" s="208">
        <v>84783</v>
      </c>
      <c r="AN251" s="208">
        <v>9420</v>
      </c>
      <c r="AO251" s="208">
        <v>942036</v>
      </c>
      <c r="AP251" s="208">
        <v>-276329</v>
      </c>
      <c r="AQ251" s="208">
        <v>-221064</v>
      </c>
      <c r="AR251" s="208">
        <v>-49739</v>
      </c>
      <c r="AS251" s="208">
        <v>-5527</v>
      </c>
      <c r="AT251" s="208">
        <v>-552659</v>
      </c>
      <c r="AU251" s="208">
        <v>-286773</v>
      </c>
      <c r="AV251" s="208">
        <v>-229418</v>
      </c>
      <c r="AW251" s="208">
        <v>-51619</v>
      </c>
      <c r="AX251" s="208">
        <v>-5735</v>
      </c>
      <c r="AY251" s="208">
        <v>-573545</v>
      </c>
      <c r="AZ251" s="208">
        <v>93846</v>
      </c>
      <c r="BA251" s="208">
        <v>75076</v>
      </c>
      <c r="BB251" s="208">
        <v>16892</v>
      </c>
      <c r="BC251" s="208">
        <v>1877</v>
      </c>
      <c r="BD251" s="208">
        <v>187691</v>
      </c>
      <c r="BE251" s="208">
        <v>-54925</v>
      </c>
      <c r="BF251" s="208">
        <v>-43939</v>
      </c>
      <c r="BG251" s="208">
        <v>-9886</v>
      </c>
      <c r="BH251" s="208">
        <v>-1098</v>
      </c>
      <c r="BI251" s="208">
        <v>-109848</v>
      </c>
      <c r="BJ251" s="208">
        <v>-247852</v>
      </c>
      <c r="BK251" s="208">
        <v>-198281</v>
      </c>
      <c r="BL251" s="208">
        <v>-44613</v>
      </c>
      <c r="BM251" s="208">
        <v>-4956</v>
      </c>
      <c r="BN251" s="208">
        <v>-495702</v>
      </c>
      <c r="BO251" s="208">
        <v>-2125000</v>
      </c>
      <c r="BP251" s="208">
        <v>-1700000</v>
      </c>
      <c r="BQ251" s="208">
        <v>-382500</v>
      </c>
      <c r="BR251" s="208">
        <v>-42500</v>
      </c>
      <c r="BS251" s="208">
        <v>-4250000</v>
      </c>
      <c r="BT251" s="208">
        <v>-1203000</v>
      </c>
      <c r="BU251" s="208">
        <v>-962400</v>
      </c>
      <c r="BV251" s="208">
        <v>-216540</v>
      </c>
      <c r="BW251" s="208">
        <v>-24060</v>
      </c>
      <c r="BX251" s="208">
        <v>-2406000</v>
      </c>
      <c r="BY251" s="208">
        <v>-922000</v>
      </c>
      <c r="BZ251" s="208">
        <v>-737600</v>
      </c>
      <c r="CA251" s="208">
        <v>-165960</v>
      </c>
      <c r="CB251" s="208">
        <v>-18440</v>
      </c>
      <c r="CC251" s="208">
        <v>-1844000</v>
      </c>
      <c r="CD251" s="208">
        <v>1078038</v>
      </c>
      <c r="CE251" s="208">
        <v>862430</v>
      </c>
      <c r="CF251" s="208">
        <v>194047</v>
      </c>
      <c r="CG251" s="208">
        <v>21561</v>
      </c>
      <c r="CH251" s="208">
        <v>2156076</v>
      </c>
      <c r="CI251" s="208">
        <v>0</v>
      </c>
      <c r="CJ251" s="208">
        <v>0</v>
      </c>
      <c r="CK251" s="208">
        <v>0</v>
      </c>
      <c r="CL251" s="208">
        <v>0</v>
      </c>
      <c r="CM251" s="208">
        <v>0</v>
      </c>
      <c r="CN251" s="208">
        <v>-118038</v>
      </c>
      <c r="CO251" s="208">
        <v>-94430</v>
      </c>
      <c r="CP251" s="208">
        <v>-21247</v>
      </c>
      <c r="CQ251" s="208">
        <v>-2361</v>
      </c>
      <c r="CR251" s="208">
        <v>-236076</v>
      </c>
      <c r="CS251" s="208">
        <v>-1126500</v>
      </c>
      <c r="CT251" s="208">
        <v>-901200</v>
      </c>
      <c r="CU251" s="208">
        <v>-202770</v>
      </c>
      <c r="CV251" s="208">
        <v>-22530</v>
      </c>
      <c r="CW251" s="208">
        <v>-2253000</v>
      </c>
      <c r="CX251" s="208">
        <v>-2291500</v>
      </c>
      <c r="CY251" s="208">
        <v>-1833200</v>
      </c>
      <c r="CZ251" s="208">
        <v>-412470</v>
      </c>
      <c r="DA251" s="208">
        <v>-45830</v>
      </c>
      <c r="DB251" s="208">
        <v>-4583000</v>
      </c>
      <c r="DC251" s="208">
        <v>-243000</v>
      </c>
      <c r="DD251" s="208">
        <v>-194400</v>
      </c>
      <c r="DE251" s="208">
        <v>-43740</v>
      </c>
      <c r="DF251" s="208">
        <v>-4860</v>
      </c>
      <c r="DG251" s="208">
        <v>-486000</v>
      </c>
      <c r="DH251" s="208">
        <v>-2048500</v>
      </c>
      <c r="DI251" s="208">
        <v>-1638800</v>
      </c>
      <c r="DJ251" s="208">
        <v>-368730</v>
      </c>
      <c r="DK251" s="208">
        <v>-40970</v>
      </c>
      <c r="DL251" s="208">
        <v>-4097000</v>
      </c>
      <c r="DM251" s="208">
        <v>235122</v>
      </c>
      <c r="DN251" s="208">
        <v>188097</v>
      </c>
      <c r="DO251" s="208">
        <v>42321</v>
      </c>
      <c r="DP251" s="208">
        <v>4704</v>
      </c>
      <c r="DQ251" s="208">
        <v>470244</v>
      </c>
      <c r="DR251" s="208">
        <v>-67747</v>
      </c>
      <c r="DS251" s="208">
        <v>-54197</v>
      </c>
      <c r="DT251" s="208">
        <v>-12194</v>
      </c>
      <c r="DU251" s="208">
        <v>-1355</v>
      </c>
      <c r="DV251" s="208">
        <v>-135493</v>
      </c>
      <c r="DW251" s="208">
        <v>302869</v>
      </c>
      <c r="DX251" s="208">
        <v>242294</v>
      </c>
      <c r="DY251" s="208">
        <v>54515</v>
      </c>
      <c r="DZ251" s="208">
        <v>6059</v>
      </c>
      <c r="EA251" s="208">
        <v>605737</v>
      </c>
      <c r="EB251" s="208">
        <v>16983013</v>
      </c>
      <c r="EC251" s="208">
        <v>13586410</v>
      </c>
      <c r="ED251" s="208">
        <v>3056942</v>
      </c>
      <c r="EE251" s="208">
        <v>339660</v>
      </c>
      <c r="EF251" s="208">
        <v>33966025</v>
      </c>
      <c r="EG251" s="208">
        <v>16848911</v>
      </c>
      <c r="EH251" s="208">
        <v>13479128</v>
      </c>
      <c r="EI251" s="208">
        <v>3032804</v>
      </c>
      <c r="EJ251" s="208">
        <v>336978</v>
      </c>
      <c r="EK251" s="208">
        <v>33697821</v>
      </c>
      <c r="EL251" s="208">
        <v>-134102</v>
      </c>
      <c r="EM251" s="208">
        <v>-107282</v>
      </c>
      <c r="EN251" s="208">
        <v>-24138</v>
      </c>
      <c r="EO251" s="208">
        <v>-2682</v>
      </c>
      <c r="EP251" s="208">
        <v>-268204</v>
      </c>
      <c r="EQ251" s="208">
        <v>168767</v>
      </c>
      <c r="ER251" s="208">
        <v>135012</v>
      </c>
      <c r="ES251" s="208">
        <v>30377</v>
      </c>
      <c r="ET251" s="208">
        <v>3377</v>
      </c>
      <c r="EU251" s="208">
        <v>337533</v>
      </c>
      <c r="EV251" s="666">
        <v>0.5</v>
      </c>
      <c r="EW251" s="666">
        <v>0.4</v>
      </c>
      <c r="EX251" s="666">
        <v>0.09</v>
      </c>
      <c r="EY251" s="666">
        <v>0.01</v>
      </c>
      <c r="EZ251" s="666">
        <v>1</v>
      </c>
      <c r="FA251" s="187" t="s">
        <v>1054</v>
      </c>
      <c r="FC251" s="187">
        <v>0</v>
      </c>
    </row>
    <row r="252" spans="1:159" s="187" customFormat="1" x14ac:dyDescent="0.2">
      <c r="B252" s="429" t="s">
        <v>582</v>
      </c>
      <c r="C252" s="429" t="s">
        <v>581</v>
      </c>
      <c r="D252" s="208">
        <v>22015183</v>
      </c>
      <c r="E252" s="208">
        <v>17612146</v>
      </c>
      <c r="F252" s="208">
        <v>3962733</v>
      </c>
      <c r="G252" s="208">
        <v>440304</v>
      </c>
      <c r="H252" s="208">
        <v>44030366</v>
      </c>
      <c r="I252" s="208">
        <v>0</v>
      </c>
      <c r="J252" s="208">
        <v>0</v>
      </c>
      <c r="K252" s="208">
        <v>22015183</v>
      </c>
      <c r="L252" s="208">
        <v>223484</v>
      </c>
      <c r="M252" s="208">
        <v>223484</v>
      </c>
      <c r="N252" s="208">
        <v>0</v>
      </c>
      <c r="O252" s="208">
        <v>0</v>
      </c>
      <c r="P252" s="208">
        <v>484965</v>
      </c>
      <c r="Q252" s="208">
        <v>0</v>
      </c>
      <c r="R252" s="208">
        <v>484965</v>
      </c>
      <c r="S252" s="208">
        <v>0</v>
      </c>
      <c r="T252" s="208">
        <v>0</v>
      </c>
      <c r="U252" s="208">
        <v>0</v>
      </c>
      <c r="V252" s="208">
        <v>0</v>
      </c>
      <c r="W252" s="208">
        <v>0</v>
      </c>
      <c r="X252" s="208">
        <v>0</v>
      </c>
      <c r="Y252" s="208">
        <v>0</v>
      </c>
      <c r="Z252" s="208">
        <v>0</v>
      </c>
      <c r="AA252" s="208">
        <v>0</v>
      </c>
      <c r="AB252" s="208">
        <v>0</v>
      </c>
      <c r="AC252" s="208">
        <v>0</v>
      </c>
      <c r="AD252" s="208">
        <v>0</v>
      </c>
      <c r="AE252" s="208">
        <v>0</v>
      </c>
      <c r="AF252" s="208">
        <v>0</v>
      </c>
      <c r="AG252" s="208">
        <v>2466952</v>
      </c>
      <c r="AH252" s="208">
        <v>552564</v>
      </c>
      <c r="AI252" s="208">
        <v>61395</v>
      </c>
      <c r="AJ252" s="208">
        <v>3080911</v>
      </c>
      <c r="AK252" s="208">
        <v>1367254</v>
      </c>
      <c r="AL252" s="208">
        <v>1093803</v>
      </c>
      <c r="AM252" s="208">
        <v>246106</v>
      </c>
      <c r="AN252" s="208">
        <v>27345</v>
      </c>
      <c r="AO252" s="208">
        <v>2734508</v>
      </c>
      <c r="AP252" s="208">
        <v>-261467</v>
      </c>
      <c r="AQ252" s="208">
        <v>-209173</v>
      </c>
      <c r="AR252" s="208">
        <v>-47064</v>
      </c>
      <c r="AS252" s="208">
        <v>-5229</v>
      </c>
      <c r="AT252" s="208">
        <v>-522933</v>
      </c>
      <c r="AU252" s="208">
        <v>-492100</v>
      </c>
      <c r="AV252" s="208">
        <v>-393680</v>
      </c>
      <c r="AW252" s="208">
        <v>-88578</v>
      </c>
      <c r="AX252" s="208">
        <v>-9842</v>
      </c>
      <c r="AY252" s="208">
        <v>-984200</v>
      </c>
      <c r="AZ252" s="208">
        <v>46803</v>
      </c>
      <c r="BA252" s="208">
        <v>37443</v>
      </c>
      <c r="BB252" s="208">
        <v>8425</v>
      </c>
      <c r="BC252" s="208">
        <v>936</v>
      </c>
      <c r="BD252" s="208">
        <v>93607</v>
      </c>
      <c r="BE252" s="208">
        <v>-134795</v>
      </c>
      <c r="BF252" s="208">
        <v>-107836</v>
      </c>
      <c r="BG252" s="208">
        <v>-24263</v>
      </c>
      <c r="BH252" s="208">
        <v>-2696</v>
      </c>
      <c r="BI252" s="208">
        <v>-269590</v>
      </c>
      <c r="BJ252" s="208">
        <v>-580092</v>
      </c>
      <c r="BK252" s="208">
        <v>-464073</v>
      </c>
      <c r="BL252" s="208">
        <v>-104416</v>
      </c>
      <c r="BM252" s="208">
        <v>-11602</v>
      </c>
      <c r="BN252" s="208">
        <v>-1160183</v>
      </c>
      <c r="BO252" s="208">
        <v>-1575770.5999999996</v>
      </c>
      <c r="BP252" s="208">
        <v>-1260617</v>
      </c>
      <c r="BQ252" s="208">
        <v>-283639</v>
      </c>
      <c r="BR252" s="208">
        <v>-31515</v>
      </c>
      <c r="BS252" s="208">
        <v>-3151541.5999999996</v>
      </c>
      <c r="BT252" s="208">
        <v>-532514</v>
      </c>
      <c r="BU252" s="208">
        <v>-426011</v>
      </c>
      <c r="BV252" s="208">
        <v>-95852</v>
      </c>
      <c r="BW252" s="208">
        <v>-10650</v>
      </c>
      <c r="BX252" s="208">
        <v>-1065027</v>
      </c>
      <c r="BY252" s="208">
        <v>-1043257.5999999996</v>
      </c>
      <c r="BZ252" s="208">
        <v>-834606</v>
      </c>
      <c r="CA252" s="208">
        <v>-187786</v>
      </c>
      <c r="CB252" s="208">
        <v>-20865</v>
      </c>
      <c r="CC252" s="208">
        <v>-2086514.5999999996</v>
      </c>
      <c r="CD252" s="208">
        <v>80084</v>
      </c>
      <c r="CE252" s="208">
        <v>64067</v>
      </c>
      <c r="CF252" s="208">
        <v>14415</v>
      </c>
      <c r="CG252" s="208">
        <v>1602</v>
      </c>
      <c r="CH252" s="208">
        <v>160168</v>
      </c>
      <c r="CI252" s="208">
        <v>0</v>
      </c>
      <c r="CJ252" s="208">
        <v>0</v>
      </c>
      <c r="CK252" s="208">
        <v>0</v>
      </c>
      <c r="CL252" s="208">
        <v>0</v>
      </c>
      <c r="CM252" s="208">
        <v>0</v>
      </c>
      <c r="CN252" s="208">
        <v>1280</v>
      </c>
      <c r="CO252" s="208">
        <v>1024</v>
      </c>
      <c r="CP252" s="208">
        <v>230</v>
      </c>
      <c r="CQ252" s="208">
        <v>26</v>
      </c>
      <c r="CR252" s="208">
        <v>2560</v>
      </c>
      <c r="CS252" s="208">
        <v>-147380</v>
      </c>
      <c r="CT252" s="208">
        <v>-117905</v>
      </c>
      <c r="CU252" s="208">
        <v>-26529</v>
      </c>
      <c r="CV252" s="208">
        <v>-2948</v>
      </c>
      <c r="CW252" s="208">
        <v>-294762</v>
      </c>
      <c r="CX252" s="208">
        <v>-1641786.5999999996</v>
      </c>
      <c r="CY252" s="208">
        <v>-1313431</v>
      </c>
      <c r="CZ252" s="208">
        <v>-295523</v>
      </c>
      <c r="DA252" s="208">
        <v>-32835</v>
      </c>
      <c r="DB252" s="208">
        <v>-3283575.5999999996</v>
      </c>
      <c r="DC252" s="208">
        <v>-451150</v>
      </c>
      <c r="DD252" s="208">
        <v>-360920</v>
      </c>
      <c r="DE252" s="208">
        <v>-81207</v>
      </c>
      <c r="DF252" s="208">
        <v>-9022</v>
      </c>
      <c r="DG252" s="208">
        <v>-902299</v>
      </c>
      <c r="DH252" s="208">
        <v>-1190637.5999999996</v>
      </c>
      <c r="DI252" s="208">
        <v>-952511</v>
      </c>
      <c r="DJ252" s="208">
        <v>-214315</v>
      </c>
      <c r="DK252" s="208">
        <v>-23813</v>
      </c>
      <c r="DL252" s="208">
        <v>-2381276.5999999996</v>
      </c>
      <c r="DM252" s="208">
        <v>-1295944</v>
      </c>
      <c r="DN252" s="208">
        <v>-1036752</v>
      </c>
      <c r="DO252" s="208">
        <v>-233269</v>
      </c>
      <c r="DP252" s="208">
        <v>-25917</v>
      </c>
      <c r="DQ252" s="208">
        <v>-2591882</v>
      </c>
      <c r="DR252" s="208">
        <v>-1198478</v>
      </c>
      <c r="DS252" s="208">
        <v>-958783</v>
      </c>
      <c r="DT252" s="208">
        <v>-215726</v>
      </c>
      <c r="DU252" s="208">
        <v>-23970</v>
      </c>
      <c r="DV252" s="208">
        <v>-2396957</v>
      </c>
      <c r="DW252" s="208">
        <v>-97466</v>
      </c>
      <c r="DX252" s="208">
        <v>-77969</v>
      </c>
      <c r="DY252" s="208">
        <v>-17543</v>
      </c>
      <c r="DZ252" s="208">
        <v>-1947</v>
      </c>
      <c r="EA252" s="208">
        <v>-194925</v>
      </c>
      <c r="EB252" s="208">
        <v>20800321</v>
      </c>
      <c r="EC252" s="208">
        <v>16640257</v>
      </c>
      <c r="ED252" s="208">
        <v>3744058</v>
      </c>
      <c r="EE252" s="208">
        <v>416006</v>
      </c>
      <c r="EF252" s="208">
        <v>41600642</v>
      </c>
      <c r="EG252" s="208">
        <v>22015183</v>
      </c>
      <c r="EH252" s="208">
        <v>17612146</v>
      </c>
      <c r="EI252" s="208">
        <v>3962733</v>
      </c>
      <c r="EJ252" s="208">
        <v>440304</v>
      </c>
      <c r="EK252" s="208">
        <v>44030366</v>
      </c>
      <c r="EL252" s="208">
        <v>1214862</v>
      </c>
      <c r="EM252" s="208">
        <v>971889</v>
      </c>
      <c r="EN252" s="208">
        <v>218675</v>
      </c>
      <c r="EO252" s="208">
        <v>24298</v>
      </c>
      <c r="EP252" s="208">
        <v>2429724</v>
      </c>
      <c r="EQ252" s="208">
        <v>1117396</v>
      </c>
      <c r="ER252" s="208">
        <v>893920</v>
      </c>
      <c r="ES252" s="208">
        <v>201132</v>
      </c>
      <c r="ET252" s="208">
        <v>22351</v>
      </c>
      <c r="EU252" s="208">
        <v>2234799</v>
      </c>
      <c r="EV252" s="666">
        <v>0.5</v>
      </c>
      <c r="EW252" s="666">
        <v>0.4</v>
      </c>
      <c r="EX252" s="666">
        <v>0.09</v>
      </c>
      <c r="EY252" s="666">
        <v>0.01</v>
      </c>
      <c r="EZ252" s="666">
        <v>1</v>
      </c>
      <c r="FA252" s="187" t="s">
        <v>1054</v>
      </c>
      <c r="FC252" s="187">
        <v>0</v>
      </c>
    </row>
    <row r="253" spans="1:159" s="187" customFormat="1" x14ac:dyDescent="0.2">
      <c r="B253" s="429" t="s">
        <v>584</v>
      </c>
      <c r="C253" s="429" t="s">
        <v>583</v>
      </c>
      <c r="D253" s="208">
        <v>10995223</v>
      </c>
      <c r="E253" s="208">
        <v>8796178</v>
      </c>
      <c r="F253" s="208">
        <v>1979140</v>
      </c>
      <c r="G253" s="208">
        <v>219904</v>
      </c>
      <c r="H253" s="208">
        <v>21990445</v>
      </c>
      <c r="I253" s="208">
        <v>164875</v>
      </c>
      <c r="J253" s="208">
        <v>164875</v>
      </c>
      <c r="K253" s="208">
        <v>10830348</v>
      </c>
      <c r="L253" s="208">
        <v>106045</v>
      </c>
      <c r="M253" s="208">
        <v>106045</v>
      </c>
      <c r="N253" s="208">
        <v>2915909</v>
      </c>
      <c r="O253" s="208">
        <v>2915909</v>
      </c>
      <c r="P253" s="208">
        <v>41779</v>
      </c>
      <c r="Q253" s="208">
        <v>191038</v>
      </c>
      <c r="R253" s="208">
        <v>232817</v>
      </c>
      <c r="S253" s="208">
        <v>0</v>
      </c>
      <c r="T253" s="208">
        <v>0</v>
      </c>
      <c r="U253" s="208">
        <v>0</v>
      </c>
      <c r="V253" s="208">
        <v>0</v>
      </c>
      <c r="W253" s="208">
        <v>164874.73125000001</v>
      </c>
      <c r="X253" s="208">
        <v>0</v>
      </c>
      <c r="Y253" s="208">
        <v>0</v>
      </c>
      <c r="Z253" s="208">
        <v>164874.73125000001</v>
      </c>
      <c r="AA253" s="208">
        <v>0</v>
      </c>
      <c r="AB253" s="208">
        <v>0</v>
      </c>
      <c r="AC253" s="208">
        <v>0</v>
      </c>
      <c r="AD253" s="208">
        <v>0</v>
      </c>
      <c r="AE253" s="208">
        <v>0</v>
      </c>
      <c r="AF253" s="208">
        <v>0</v>
      </c>
      <c r="AG253" s="208">
        <v>1308801</v>
      </c>
      <c r="AH253" s="208">
        <v>283607</v>
      </c>
      <c r="AI253" s="208">
        <v>31025</v>
      </c>
      <c r="AJ253" s="208">
        <v>1623433</v>
      </c>
      <c r="AK253" s="208">
        <v>317996</v>
      </c>
      <c r="AL253" s="208">
        <v>254397</v>
      </c>
      <c r="AM253" s="208">
        <v>57239</v>
      </c>
      <c r="AN253" s="208">
        <v>6360</v>
      </c>
      <c r="AO253" s="208">
        <v>635992</v>
      </c>
      <c r="AP253" s="208">
        <v>-121864</v>
      </c>
      <c r="AQ253" s="208">
        <v>-97492</v>
      </c>
      <c r="AR253" s="208">
        <v>-21936</v>
      </c>
      <c r="AS253" s="208">
        <v>-2437</v>
      </c>
      <c r="AT253" s="208">
        <v>-243729</v>
      </c>
      <c r="AU253" s="208">
        <v>-258500</v>
      </c>
      <c r="AV253" s="208">
        <v>-206800</v>
      </c>
      <c r="AW253" s="208">
        <v>-46530</v>
      </c>
      <c r="AX253" s="208">
        <v>-5170</v>
      </c>
      <c r="AY253" s="208">
        <v>-517000</v>
      </c>
      <c r="AZ253" s="208">
        <v>82386</v>
      </c>
      <c r="BA253" s="208">
        <v>65908</v>
      </c>
      <c r="BB253" s="208">
        <v>14829</v>
      </c>
      <c r="BC253" s="208">
        <v>1648</v>
      </c>
      <c r="BD253" s="208">
        <v>164771</v>
      </c>
      <c r="BE253" s="208">
        <v>-6338</v>
      </c>
      <c r="BF253" s="208">
        <v>-5071</v>
      </c>
      <c r="BG253" s="208">
        <v>-1141</v>
      </c>
      <c r="BH253" s="208">
        <v>-127</v>
      </c>
      <c r="BI253" s="208">
        <v>-12677</v>
      </c>
      <c r="BJ253" s="208">
        <v>-182452</v>
      </c>
      <c r="BK253" s="208">
        <v>-145963</v>
      </c>
      <c r="BL253" s="208">
        <v>-32842</v>
      </c>
      <c r="BM253" s="208">
        <v>-3649</v>
      </c>
      <c r="BN253" s="208">
        <v>-364906</v>
      </c>
      <c r="BO253" s="208">
        <v>-1269189</v>
      </c>
      <c r="BP253" s="208">
        <v>-1015352</v>
      </c>
      <c r="BQ253" s="208">
        <v>-228454</v>
      </c>
      <c r="BR253" s="208">
        <v>-25384</v>
      </c>
      <c r="BS253" s="208">
        <v>-2538379</v>
      </c>
      <c r="BT253" s="208">
        <v>-827436</v>
      </c>
      <c r="BU253" s="208">
        <v>-661949</v>
      </c>
      <c r="BV253" s="208">
        <v>-148938</v>
      </c>
      <c r="BW253" s="208">
        <v>-16549</v>
      </c>
      <c r="BX253" s="208">
        <v>-1654872</v>
      </c>
      <c r="BY253" s="208">
        <v>-441753</v>
      </c>
      <c r="BZ253" s="208">
        <v>-353403</v>
      </c>
      <c r="CA253" s="208">
        <v>-79516</v>
      </c>
      <c r="CB253" s="208">
        <v>-8835</v>
      </c>
      <c r="CC253" s="208">
        <v>-883507</v>
      </c>
      <c r="CD253" s="208">
        <v>196525</v>
      </c>
      <c r="CE253" s="208">
        <v>157219</v>
      </c>
      <c r="CF253" s="208">
        <v>35374</v>
      </c>
      <c r="CG253" s="208">
        <v>3930</v>
      </c>
      <c r="CH253" s="208">
        <v>393048</v>
      </c>
      <c r="CI253" s="208">
        <v>283453</v>
      </c>
      <c r="CJ253" s="208">
        <v>226763</v>
      </c>
      <c r="CK253" s="208">
        <v>51022</v>
      </c>
      <c r="CL253" s="208">
        <v>5669</v>
      </c>
      <c r="CM253" s="208">
        <v>566907</v>
      </c>
      <c r="CN253" s="208">
        <v>2514</v>
      </c>
      <c r="CO253" s="208">
        <v>2010</v>
      </c>
      <c r="CP253" s="208">
        <v>452</v>
      </c>
      <c r="CQ253" s="208">
        <v>50</v>
      </c>
      <c r="CR253" s="208">
        <v>5026</v>
      </c>
      <c r="CS253" s="208">
        <v>-605898</v>
      </c>
      <c r="CT253" s="208">
        <v>-484718</v>
      </c>
      <c r="CU253" s="208">
        <v>-109062</v>
      </c>
      <c r="CV253" s="208">
        <v>-12118</v>
      </c>
      <c r="CW253" s="208">
        <v>-1211796</v>
      </c>
      <c r="CX253" s="208">
        <v>-1392595</v>
      </c>
      <c r="CY253" s="208">
        <v>-1114078</v>
      </c>
      <c r="CZ253" s="208">
        <v>-250668</v>
      </c>
      <c r="DA253" s="208">
        <v>-27853</v>
      </c>
      <c r="DB253" s="208">
        <v>-2785194</v>
      </c>
      <c r="DC253" s="208">
        <v>-628397</v>
      </c>
      <c r="DD253" s="208">
        <v>-502720</v>
      </c>
      <c r="DE253" s="208">
        <v>-113112</v>
      </c>
      <c r="DF253" s="208">
        <v>-12569</v>
      </c>
      <c r="DG253" s="208">
        <v>-1256798</v>
      </c>
      <c r="DH253" s="208">
        <v>-764198</v>
      </c>
      <c r="DI253" s="208">
        <v>-611358</v>
      </c>
      <c r="DJ253" s="208">
        <v>-137556</v>
      </c>
      <c r="DK253" s="208">
        <v>-15284</v>
      </c>
      <c r="DL253" s="208">
        <v>-1528396</v>
      </c>
      <c r="DM253" s="208">
        <v>206183</v>
      </c>
      <c r="DN253" s="208">
        <v>164944</v>
      </c>
      <c r="DO253" s="208">
        <v>37112</v>
      </c>
      <c r="DP253" s="208">
        <v>4125</v>
      </c>
      <c r="DQ253" s="208">
        <v>412364</v>
      </c>
      <c r="DR253" s="208">
        <v>20576</v>
      </c>
      <c r="DS253" s="208">
        <v>16462</v>
      </c>
      <c r="DT253" s="208">
        <v>3704</v>
      </c>
      <c r="DU253" s="208">
        <v>412</v>
      </c>
      <c r="DV253" s="208">
        <v>41154</v>
      </c>
      <c r="DW253" s="208">
        <v>185607</v>
      </c>
      <c r="DX253" s="208">
        <v>148482</v>
      </c>
      <c r="DY253" s="208">
        <v>33408</v>
      </c>
      <c r="DZ253" s="208">
        <v>3713</v>
      </c>
      <c r="EA253" s="208">
        <v>371210</v>
      </c>
      <c r="EB253" s="208">
        <v>10971469</v>
      </c>
      <c r="EC253" s="208">
        <v>8777175</v>
      </c>
      <c r="ED253" s="208">
        <v>1974864</v>
      </c>
      <c r="EE253" s="208">
        <v>219429</v>
      </c>
      <c r="EF253" s="208">
        <v>21942937</v>
      </c>
      <c r="EG253" s="208">
        <v>10995223</v>
      </c>
      <c r="EH253" s="208">
        <v>8796178</v>
      </c>
      <c r="EI253" s="208">
        <v>1979140</v>
      </c>
      <c r="EJ253" s="208">
        <v>219904</v>
      </c>
      <c r="EK253" s="208">
        <v>21990445</v>
      </c>
      <c r="EL253" s="208">
        <v>23754</v>
      </c>
      <c r="EM253" s="208">
        <v>19003</v>
      </c>
      <c r="EN253" s="208">
        <v>4276</v>
      </c>
      <c r="EO253" s="208">
        <v>475</v>
      </c>
      <c r="EP253" s="208">
        <v>47508</v>
      </c>
      <c r="EQ253" s="208">
        <v>209361</v>
      </c>
      <c r="ER253" s="208">
        <v>167485</v>
      </c>
      <c r="ES253" s="208">
        <v>37684</v>
      </c>
      <c r="ET253" s="208">
        <v>4188</v>
      </c>
      <c r="EU253" s="208">
        <v>418718</v>
      </c>
      <c r="EV253" s="666">
        <v>0.5</v>
      </c>
      <c r="EW253" s="666">
        <v>0.4</v>
      </c>
      <c r="EX253" s="666">
        <v>0.09</v>
      </c>
      <c r="EY253" s="666">
        <v>0.01</v>
      </c>
      <c r="EZ253" s="666">
        <v>1</v>
      </c>
      <c r="FA253" s="187" t="s">
        <v>1054</v>
      </c>
      <c r="FC253" s="187">
        <v>0</v>
      </c>
    </row>
    <row r="254" spans="1:159" s="187" customFormat="1" x14ac:dyDescent="0.2">
      <c r="B254" s="429" t="s">
        <v>586</v>
      </c>
      <c r="C254" s="429" t="s">
        <v>585</v>
      </c>
      <c r="D254" s="208">
        <v>14220091</v>
      </c>
      <c r="E254" s="208">
        <v>13935689</v>
      </c>
      <c r="F254" s="208">
        <v>0</v>
      </c>
      <c r="G254" s="208">
        <v>284402</v>
      </c>
      <c r="H254" s="208">
        <v>28440182</v>
      </c>
      <c r="I254" s="208">
        <v>0</v>
      </c>
      <c r="J254" s="208">
        <v>0</v>
      </c>
      <c r="K254" s="208">
        <v>14220091</v>
      </c>
      <c r="L254" s="208">
        <v>149091</v>
      </c>
      <c r="M254" s="208">
        <v>149091</v>
      </c>
      <c r="N254" s="208">
        <v>0</v>
      </c>
      <c r="O254" s="208">
        <v>0</v>
      </c>
      <c r="P254" s="208">
        <v>0</v>
      </c>
      <c r="Q254" s="208">
        <v>0</v>
      </c>
      <c r="R254" s="208">
        <v>0</v>
      </c>
      <c r="S254" s="208">
        <v>0</v>
      </c>
      <c r="T254" s="208">
        <v>0</v>
      </c>
      <c r="U254" s="208">
        <v>0</v>
      </c>
      <c r="V254" s="208">
        <v>0</v>
      </c>
      <c r="W254" s="208">
        <v>0</v>
      </c>
      <c r="X254" s="208">
        <v>0</v>
      </c>
      <c r="Y254" s="208">
        <v>0</v>
      </c>
      <c r="Z254" s="208">
        <v>0</v>
      </c>
      <c r="AA254" s="208">
        <v>0</v>
      </c>
      <c r="AB254" s="208">
        <v>0</v>
      </c>
      <c r="AC254" s="208">
        <v>0</v>
      </c>
      <c r="AD254" s="208">
        <v>0</v>
      </c>
      <c r="AE254" s="208">
        <v>0</v>
      </c>
      <c r="AF254" s="208">
        <v>0</v>
      </c>
      <c r="AG254" s="208">
        <v>1822661</v>
      </c>
      <c r="AH254" s="208">
        <v>0</v>
      </c>
      <c r="AI254" s="208">
        <v>37198</v>
      </c>
      <c r="AJ254" s="208">
        <v>1859859</v>
      </c>
      <c r="AK254" s="208">
        <v>944396</v>
      </c>
      <c r="AL254" s="208">
        <v>925508</v>
      </c>
      <c r="AM254" s="208">
        <v>0</v>
      </c>
      <c r="AN254" s="208">
        <v>18888</v>
      </c>
      <c r="AO254" s="208">
        <v>1888792</v>
      </c>
      <c r="AP254" s="208">
        <v>-495847</v>
      </c>
      <c r="AQ254" s="208">
        <v>-485931</v>
      </c>
      <c r="AR254" s="208">
        <v>0</v>
      </c>
      <c r="AS254" s="208">
        <v>-9917</v>
      </c>
      <c r="AT254" s="208">
        <v>-991695</v>
      </c>
      <c r="AU254" s="208">
        <v>-411229.93000000005</v>
      </c>
      <c r="AV254" s="208">
        <v>-403006</v>
      </c>
      <c r="AW254" s="208">
        <v>0</v>
      </c>
      <c r="AX254" s="208">
        <v>-8225</v>
      </c>
      <c r="AY254" s="208">
        <v>-822460.93</v>
      </c>
      <c r="AZ254" s="208">
        <v>147624</v>
      </c>
      <c r="BA254" s="208">
        <v>144673</v>
      </c>
      <c r="BB254" s="208">
        <v>0</v>
      </c>
      <c r="BC254" s="208">
        <v>2953</v>
      </c>
      <c r="BD254" s="208">
        <v>295250</v>
      </c>
      <c r="BE254" s="208">
        <v>-179421</v>
      </c>
      <c r="BF254" s="208">
        <v>-175832</v>
      </c>
      <c r="BG254" s="208">
        <v>0</v>
      </c>
      <c r="BH254" s="208">
        <v>-3588</v>
      </c>
      <c r="BI254" s="208">
        <v>-358841</v>
      </c>
      <c r="BJ254" s="208">
        <v>-443026.93000000005</v>
      </c>
      <c r="BK254" s="208">
        <v>-434165</v>
      </c>
      <c r="BL254" s="208">
        <v>0</v>
      </c>
      <c r="BM254" s="208">
        <v>-8860</v>
      </c>
      <c r="BN254" s="208">
        <v>-886051.93</v>
      </c>
      <c r="BO254" s="208">
        <v>-1087882</v>
      </c>
      <c r="BP254" s="208">
        <v>-1066125</v>
      </c>
      <c r="BQ254" s="208">
        <v>0</v>
      </c>
      <c r="BR254" s="208">
        <v>-21758</v>
      </c>
      <c r="BS254" s="208">
        <v>-2175765</v>
      </c>
      <c r="BT254" s="208">
        <v>0</v>
      </c>
      <c r="BU254" s="208">
        <v>0</v>
      </c>
      <c r="BV254" s="208">
        <v>0</v>
      </c>
      <c r="BW254" s="208">
        <v>0</v>
      </c>
      <c r="BX254" s="208">
        <v>0</v>
      </c>
      <c r="BY254" s="208">
        <v>-1087882</v>
      </c>
      <c r="BZ254" s="208">
        <v>-1066125</v>
      </c>
      <c r="CA254" s="208">
        <v>0</v>
      </c>
      <c r="CB254" s="208">
        <v>-21758</v>
      </c>
      <c r="CC254" s="208">
        <v>-2175765</v>
      </c>
      <c r="CD254" s="208">
        <v>353320</v>
      </c>
      <c r="CE254" s="208">
        <v>346253</v>
      </c>
      <c r="CF254" s="208">
        <v>0</v>
      </c>
      <c r="CG254" s="208">
        <v>7066</v>
      </c>
      <c r="CH254" s="208">
        <v>706639</v>
      </c>
      <c r="CI254" s="208">
        <v>151423</v>
      </c>
      <c r="CJ254" s="208">
        <v>148394</v>
      </c>
      <c r="CK254" s="208">
        <v>0</v>
      </c>
      <c r="CL254" s="208">
        <v>3028</v>
      </c>
      <c r="CM254" s="208">
        <v>302845</v>
      </c>
      <c r="CN254" s="208">
        <v>-427907</v>
      </c>
      <c r="CO254" s="208">
        <v>-419349</v>
      </c>
      <c r="CP254" s="208">
        <v>0</v>
      </c>
      <c r="CQ254" s="208">
        <v>-8558</v>
      </c>
      <c r="CR254" s="208">
        <v>-855814</v>
      </c>
      <c r="CS254" s="208">
        <v>-183388</v>
      </c>
      <c r="CT254" s="208">
        <v>-179721</v>
      </c>
      <c r="CU254" s="208">
        <v>0</v>
      </c>
      <c r="CV254" s="208">
        <v>-3668</v>
      </c>
      <c r="CW254" s="208">
        <v>-366777</v>
      </c>
      <c r="CX254" s="208">
        <v>-1194434</v>
      </c>
      <c r="CY254" s="208">
        <v>-1170548</v>
      </c>
      <c r="CZ254" s="208">
        <v>0</v>
      </c>
      <c r="DA254" s="208">
        <v>-23890</v>
      </c>
      <c r="DB254" s="208">
        <v>-2388872</v>
      </c>
      <c r="DC254" s="208">
        <v>-74587</v>
      </c>
      <c r="DD254" s="208">
        <v>-73096</v>
      </c>
      <c r="DE254" s="208">
        <v>0</v>
      </c>
      <c r="DF254" s="208">
        <v>-1492</v>
      </c>
      <c r="DG254" s="208">
        <v>-149175</v>
      </c>
      <c r="DH254" s="208">
        <v>-1119847</v>
      </c>
      <c r="DI254" s="208">
        <v>-1097452</v>
      </c>
      <c r="DJ254" s="208">
        <v>0</v>
      </c>
      <c r="DK254" s="208">
        <v>-22398</v>
      </c>
      <c r="DL254" s="208">
        <v>-2239697</v>
      </c>
      <c r="DM254" s="208">
        <v>-1164582</v>
      </c>
      <c r="DN254" s="208">
        <v>-1141293</v>
      </c>
      <c r="DO254" s="208">
        <v>0</v>
      </c>
      <c r="DP254" s="208">
        <v>-23291</v>
      </c>
      <c r="DQ254" s="208">
        <v>-2329166</v>
      </c>
      <c r="DR254" s="208">
        <v>-810553</v>
      </c>
      <c r="DS254" s="208">
        <v>-794341</v>
      </c>
      <c r="DT254" s="208">
        <v>0</v>
      </c>
      <c r="DU254" s="208">
        <v>-16211</v>
      </c>
      <c r="DV254" s="208">
        <v>-1621105</v>
      </c>
      <c r="DW254" s="208">
        <v>-354029</v>
      </c>
      <c r="DX254" s="208">
        <v>-346952</v>
      </c>
      <c r="DY254" s="208">
        <v>0</v>
      </c>
      <c r="DZ254" s="208">
        <v>-7080</v>
      </c>
      <c r="EA254" s="208">
        <v>-708061</v>
      </c>
      <c r="EB254" s="208">
        <v>14782924</v>
      </c>
      <c r="EC254" s="208">
        <v>14487265</v>
      </c>
      <c r="ED254" s="208">
        <v>0</v>
      </c>
      <c r="EE254" s="208">
        <v>295658</v>
      </c>
      <c r="EF254" s="208">
        <v>29565847</v>
      </c>
      <c r="EG254" s="208">
        <v>14220091</v>
      </c>
      <c r="EH254" s="208">
        <v>13935689</v>
      </c>
      <c r="EI254" s="208">
        <v>0</v>
      </c>
      <c r="EJ254" s="208">
        <v>284402</v>
      </c>
      <c r="EK254" s="208">
        <v>28440182</v>
      </c>
      <c r="EL254" s="208">
        <v>-562833</v>
      </c>
      <c r="EM254" s="208">
        <v>-551576</v>
      </c>
      <c r="EN254" s="208">
        <v>0</v>
      </c>
      <c r="EO254" s="208">
        <v>-11256</v>
      </c>
      <c r="EP254" s="208">
        <v>-1125665</v>
      </c>
      <c r="EQ254" s="208">
        <v>-916862</v>
      </c>
      <c r="ER254" s="208">
        <v>-898528</v>
      </c>
      <c r="ES254" s="208">
        <v>0</v>
      </c>
      <c r="ET254" s="208">
        <v>-18336</v>
      </c>
      <c r="EU254" s="208">
        <v>-1833726</v>
      </c>
      <c r="EV254" s="666">
        <v>0.5</v>
      </c>
      <c r="EW254" s="666">
        <v>0.49</v>
      </c>
      <c r="EX254" s="666">
        <v>0</v>
      </c>
      <c r="EY254" s="666">
        <v>0.01</v>
      </c>
      <c r="EZ254" s="666">
        <v>1</v>
      </c>
      <c r="FA254" s="187" t="s">
        <v>1056</v>
      </c>
      <c r="FC254" s="187">
        <v>0</v>
      </c>
    </row>
    <row r="255" spans="1:159" s="187" customFormat="1" x14ac:dyDescent="0.2">
      <c r="B255" s="429" t="s">
        <v>588</v>
      </c>
      <c r="C255" s="429" t="s">
        <v>587</v>
      </c>
      <c r="D255" s="208">
        <v>0</v>
      </c>
      <c r="E255" s="208">
        <v>107546864</v>
      </c>
      <c r="F255" s="208">
        <v>0</v>
      </c>
      <c r="G255" s="208">
        <v>1086332</v>
      </c>
      <c r="H255" s="208">
        <v>108633196</v>
      </c>
      <c r="I255" s="208">
        <v>0</v>
      </c>
      <c r="J255" s="208">
        <v>0</v>
      </c>
      <c r="K255" s="208">
        <v>0</v>
      </c>
      <c r="L255" s="208">
        <v>311121</v>
      </c>
      <c r="M255" s="208">
        <v>311121</v>
      </c>
      <c r="N255" s="208">
        <v>0</v>
      </c>
      <c r="O255" s="208">
        <v>0</v>
      </c>
      <c r="P255" s="208">
        <v>0</v>
      </c>
      <c r="Q255" s="208">
        <v>0</v>
      </c>
      <c r="R255" s="208">
        <v>0</v>
      </c>
      <c r="S255" s="208">
        <v>0</v>
      </c>
      <c r="T255" s="208">
        <v>0</v>
      </c>
      <c r="U255" s="208">
        <v>0</v>
      </c>
      <c r="V255" s="208">
        <v>0</v>
      </c>
      <c r="W255" s="208">
        <v>0</v>
      </c>
      <c r="X255" s="208">
        <v>0</v>
      </c>
      <c r="Y255" s="208">
        <v>0</v>
      </c>
      <c r="Z255" s="208">
        <v>0</v>
      </c>
      <c r="AA255" s="208">
        <v>0</v>
      </c>
      <c r="AB255" s="208">
        <v>0</v>
      </c>
      <c r="AC255" s="208">
        <v>0</v>
      </c>
      <c r="AD255" s="208">
        <v>0</v>
      </c>
      <c r="AE255" s="208">
        <v>0</v>
      </c>
      <c r="AF255" s="208">
        <v>0</v>
      </c>
      <c r="AG255" s="208">
        <v>7494543</v>
      </c>
      <c r="AH255" s="208">
        <v>0</v>
      </c>
      <c r="AI255" s="208">
        <v>75703</v>
      </c>
      <c r="AJ255" s="208">
        <v>7570246</v>
      </c>
      <c r="AK255" s="208">
        <v>0</v>
      </c>
      <c r="AL255" s="208">
        <v>3926396</v>
      </c>
      <c r="AM255" s="208">
        <v>0</v>
      </c>
      <c r="AN255" s="208">
        <v>39661</v>
      </c>
      <c r="AO255" s="208">
        <v>3966057</v>
      </c>
      <c r="AP255" s="208">
        <v>0</v>
      </c>
      <c r="AQ255" s="208">
        <v>-6554364</v>
      </c>
      <c r="AR255" s="208">
        <v>0</v>
      </c>
      <c r="AS255" s="208">
        <v>-66206</v>
      </c>
      <c r="AT255" s="208">
        <v>-6620570</v>
      </c>
      <c r="AU255" s="208">
        <v>0</v>
      </c>
      <c r="AV255" s="208">
        <v>-4838601</v>
      </c>
      <c r="AW255" s="208">
        <v>0</v>
      </c>
      <c r="AX255" s="208">
        <v>-48875</v>
      </c>
      <c r="AY255" s="208">
        <v>-4887476</v>
      </c>
      <c r="AZ255" s="208">
        <v>0</v>
      </c>
      <c r="BA255" s="208">
        <v>4079018</v>
      </c>
      <c r="BB255" s="208">
        <v>0</v>
      </c>
      <c r="BC255" s="208">
        <v>41202</v>
      </c>
      <c r="BD255" s="208">
        <v>4120220</v>
      </c>
      <c r="BE255" s="208">
        <v>0</v>
      </c>
      <c r="BF255" s="208">
        <v>-2384901</v>
      </c>
      <c r="BG255" s="208">
        <v>0</v>
      </c>
      <c r="BH255" s="208">
        <v>-24090</v>
      </c>
      <c r="BI255" s="208">
        <v>-2408991</v>
      </c>
      <c r="BJ255" s="208">
        <v>0</v>
      </c>
      <c r="BK255" s="208">
        <v>-3144484</v>
      </c>
      <c r="BL255" s="208">
        <v>0</v>
      </c>
      <c r="BM255" s="208">
        <v>-31763</v>
      </c>
      <c r="BN255" s="208">
        <v>-3176247</v>
      </c>
      <c r="BO255" s="208">
        <v>0</v>
      </c>
      <c r="BP255" s="208">
        <v>-19466427</v>
      </c>
      <c r="BQ255" s="208">
        <v>0</v>
      </c>
      <c r="BR255" s="208">
        <v>-196631</v>
      </c>
      <c r="BS255" s="208">
        <v>-19663058</v>
      </c>
      <c r="BT255" s="208">
        <v>0</v>
      </c>
      <c r="BU255" s="208">
        <v>-12742389</v>
      </c>
      <c r="BV255" s="208">
        <v>0</v>
      </c>
      <c r="BW255" s="208">
        <v>-128711</v>
      </c>
      <c r="BX255" s="208">
        <v>-12871100</v>
      </c>
      <c r="BY255" s="208">
        <v>0</v>
      </c>
      <c r="BZ255" s="208">
        <v>-6724038</v>
      </c>
      <c r="CA255" s="208">
        <v>0</v>
      </c>
      <c r="CB255" s="208">
        <v>-67920</v>
      </c>
      <c r="CC255" s="208">
        <v>-6791958</v>
      </c>
      <c r="CD255" s="208">
        <v>0</v>
      </c>
      <c r="CE255" s="208">
        <v>3577249</v>
      </c>
      <c r="CF255" s="208">
        <v>0</v>
      </c>
      <c r="CG255" s="208">
        <v>36134</v>
      </c>
      <c r="CH255" s="208">
        <v>3613383</v>
      </c>
      <c r="CI255" s="208">
        <v>0</v>
      </c>
      <c r="CJ255" s="208">
        <v>1445769</v>
      </c>
      <c r="CK255" s="208">
        <v>0</v>
      </c>
      <c r="CL255" s="208">
        <v>14604</v>
      </c>
      <c r="CM255" s="208">
        <v>1460373</v>
      </c>
      <c r="CN255" s="208">
        <v>0</v>
      </c>
      <c r="CO255" s="208">
        <v>2923179</v>
      </c>
      <c r="CP255" s="208">
        <v>0</v>
      </c>
      <c r="CQ255" s="208">
        <v>29527</v>
      </c>
      <c r="CR255" s="208">
        <v>2952706</v>
      </c>
      <c r="CS255" s="208">
        <v>0</v>
      </c>
      <c r="CT255" s="208">
        <v>-5371681</v>
      </c>
      <c r="CU255" s="208">
        <v>0</v>
      </c>
      <c r="CV255" s="208">
        <v>-54259</v>
      </c>
      <c r="CW255" s="208">
        <v>-5425940</v>
      </c>
      <c r="CX255" s="208">
        <v>0</v>
      </c>
      <c r="CY255" s="208">
        <v>-16891911</v>
      </c>
      <c r="CZ255" s="208">
        <v>0</v>
      </c>
      <c r="DA255" s="208">
        <v>-170625</v>
      </c>
      <c r="DB255" s="208">
        <v>-17062536</v>
      </c>
      <c r="DC255" s="208">
        <v>0</v>
      </c>
      <c r="DD255" s="208">
        <v>-6241961</v>
      </c>
      <c r="DE255" s="208">
        <v>0</v>
      </c>
      <c r="DF255" s="208">
        <v>-63050</v>
      </c>
      <c r="DG255" s="208">
        <v>-6305011</v>
      </c>
      <c r="DH255" s="208">
        <v>0</v>
      </c>
      <c r="DI255" s="208">
        <v>-10649950</v>
      </c>
      <c r="DJ255" s="208">
        <v>0</v>
      </c>
      <c r="DK255" s="208">
        <v>-107575</v>
      </c>
      <c r="DL255" s="208">
        <v>-10757525</v>
      </c>
      <c r="DM255" s="208">
        <v>1770955</v>
      </c>
      <c r="DN255" s="208">
        <v>1735536</v>
      </c>
      <c r="DO255" s="208">
        <v>0</v>
      </c>
      <c r="DP255" s="208">
        <v>35418</v>
      </c>
      <c r="DQ255" s="208">
        <v>3541909</v>
      </c>
      <c r="DR255" s="208">
        <v>717619</v>
      </c>
      <c r="DS255" s="208">
        <v>703266</v>
      </c>
      <c r="DT255" s="208">
        <v>0</v>
      </c>
      <c r="DU255" s="208">
        <v>14352</v>
      </c>
      <c r="DV255" s="208">
        <v>1435237</v>
      </c>
      <c r="DW255" s="208">
        <v>1053336</v>
      </c>
      <c r="DX255" s="208">
        <v>1032270</v>
      </c>
      <c r="DY255" s="208">
        <v>0</v>
      </c>
      <c r="DZ255" s="208">
        <v>21066</v>
      </c>
      <c r="EA255" s="208">
        <v>2106672</v>
      </c>
      <c r="EB255" s="208">
        <v>0</v>
      </c>
      <c r="EC255" s="208">
        <v>104321943</v>
      </c>
      <c r="ED255" s="208">
        <v>0</v>
      </c>
      <c r="EE255" s="208">
        <v>1053757</v>
      </c>
      <c r="EF255" s="208">
        <v>105375700</v>
      </c>
      <c r="EG255" s="208">
        <v>0</v>
      </c>
      <c r="EH255" s="208">
        <v>107546864</v>
      </c>
      <c r="EI255" s="208">
        <v>0</v>
      </c>
      <c r="EJ255" s="208">
        <v>1086332</v>
      </c>
      <c r="EK255" s="208">
        <v>108633196</v>
      </c>
      <c r="EL255" s="208">
        <v>0</v>
      </c>
      <c r="EM255" s="208">
        <v>3224921</v>
      </c>
      <c r="EN255" s="208">
        <v>0</v>
      </c>
      <c r="EO255" s="208">
        <v>32575</v>
      </c>
      <c r="EP255" s="208">
        <v>3257496</v>
      </c>
      <c r="EQ255" s="208">
        <v>1053336</v>
      </c>
      <c r="ER255" s="208">
        <v>4257191</v>
      </c>
      <c r="ES255" s="208">
        <v>0</v>
      </c>
      <c r="ET255" s="208">
        <v>53641</v>
      </c>
      <c r="EU255" s="208">
        <v>5364168</v>
      </c>
      <c r="EV255" s="666">
        <v>0</v>
      </c>
      <c r="EW255" s="666">
        <v>0.99</v>
      </c>
      <c r="EX255" s="666">
        <v>0</v>
      </c>
      <c r="EY255" s="666">
        <v>0.01</v>
      </c>
      <c r="EZ255" s="666">
        <v>1</v>
      </c>
      <c r="FA255" s="187" t="s">
        <v>742</v>
      </c>
      <c r="FC255" s="187">
        <v>0</v>
      </c>
    </row>
    <row r="256" spans="1:159" s="187" customFormat="1" x14ac:dyDescent="0.2">
      <c r="B256" s="429" t="s">
        <v>590</v>
      </c>
      <c r="C256" s="429" t="s">
        <v>589</v>
      </c>
      <c r="D256" s="208">
        <v>21590963</v>
      </c>
      <c r="E256" s="208">
        <v>21159144</v>
      </c>
      <c r="F256" s="208">
        <v>0</v>
      </c>
      <c r="G256" s="208">
        <v>431819</v>
      </c>
      <c r="H256" s="208">
        <v>43181926</v>
      </c>
      <c r="I256" s="208">
        <v>0</v>
      </c>
      <c r="J256" s="208">
        <v>0</v>
      </c>
      <c r="K256" s="208">
        <v>21590963</v>
      </c>
      <c r="L256" s="208">
        <v>232831</v>
      </c>
      <c r="M256" s="208">
        <v>232831</v>
      </c>
      <c r="N256" s="208">
        <v>0</v>
      </c>
      <c r="O256" s="208">
        <v>0</v>
      </c>
      <c r="P256" s="208">
        <v>0</v>
      </c>
      <c r="Q256" s="208">
        <v>0</v>
      </c>
      <c r="R256" s="208">
        <v>0</v>
      </c>
      <c r="S256" s="208">
        <v>0</v>
      </c>
      <c r="T256" s="208">
        <v>0</v>
      </c>
      <c r="U256" s="208">
        <v>0</v>
      </c>
      <c r="V256" s="208">
        <v>0</v>
      </c>
      <c r="W256" s="208">
        <v>0</v>
      </c>
      <c r="X256" s="208">
        <v>0</v>
      </c>
      <c r="Y256" s="208">
        <v>0</v>
      </c>
      <c r="Z256" s="208">
        <v>0</v>
      </c>
      <c r="AA256" s="208">
        <v>0</v>
      </c>
      <c r="AB256" s="208">
        <v>0</v>
      </c>
      <c r="AC256" s="208">
        <v>0</v>
      </c>
      <c r="AD256" s="208">
        <v>0</v>
      </c>
      <c r="AE256" s="208">
        <v>0</v>
      </c>
      <c r="AF256" s="208">
        <v>0</v>
      </c>
      <c r="AG256" s="208">
        <v>3200961</v>
      </c>
      <c r="AH256" s="208">
        <v>0</v>
      </c>
      <c r="AI256" s="208">
        <v>65325</v>
      </c>
      <c r="AJ256" s="208">
        <v>3266286</v>
      </c>
      <c r="AK256" s="208">
        <v>840278</v>
      </c>
      <c r="AL256" s="208">
        <v>823472</v>
      </c>
      <c r="AM256" s="208">
        <v>0</v>
      </c>
      <c r="AN256" s="208">
        <v>16806</v>
      </c>
      <c r="AO256" s="208">
        <v>1680556</v>
      </c>
      <c r="AP256" s="208">
        <v>-841021</v>
      </c>
      <c r="AQ256" s="208">
        <v>-824200</v>
      </c>
      <c r="AR256" s="208">
        <v>0</v>
      </c>
      <c r="AS256" s="208">
        <v>-16820</v>
      </c>
      <c r="AT256" s="208">
        <v>-1682041</v>
      </c>
      <c r="AU256" s="208">
        <v>-396766.99</v>
      </c>
      <c r="AV256" s="208">
        <v>-388831</v>
      </c>
      <c r="AW256" s="208">
        <v>0</v>
      </c>
      <c r="AX256" s="208">
        <v>-7935</v>
      </c>
      <c r="AY256" s="208">
        <v>-793532.99</v>
      </c>
      <c r="AZ256" s="208">
        <v>168146</v>
      </c>
      <c r="BA256" s="208">
        <v>164784</v>
      </c>
      <c r="BB256" s="208">
        <v>0</v>
      </c>
      <c r="BC256" s="208">
        <v>3363</v>
      </c>
      <c r="BD256" s="208">
        <v>336293</v>
      </c>
      <c r="BE256" s="208">
        <v>-88141</v>
      </c>
      <c r="BF256" s="208">
        <v>-86379</v>
      </c>
      <c r="BG256" s="208">
        <v>0</v>
      </c>
      <c r="BH256" s="208">
        <v>-1763</v>
      </c>
      <c r="BI256" s="208">
        <v>-176283</v>
      </c>
      <c r="BJ256" s="208">
        <v>-316761.99</v>
      </c>
      <c r="BK256" s="208">
        <v>-310426</v>
      </c>
      <c r="BL256" s="208">
        <v>0</v>
      </c>
      <c r="BM256" s="208">
        <v>-6335</v>
      </c>
      <c r="BN256" s="208">
        <v>-633522.99</v>
      </c>
      <c r="BO256" s="208">
        <v>-1537745.9700000002</v>
      </c>
      <c r="BP256" s="208">
        <v>-1506991</v>
      </c>
      <c r="BQ256" s="208">
        <v>0</v>
      </c>
      <c r="BR256" s="208">
        <v>-30755</v>
      </c>
      <c r="BS256" s="208">
        <v>-3075491.97</v>
      </c>
      <c r="BT256" s="208">
        <v>-663699</v>
      </c>
      <c r="BU256" s="208">
        <v>-650425</v>
      </c>
      <c r="BV256" s="208">
        <v>0</v>
      </c>
      <c r="BW256" s="208">
        <v>-13274</v>
      </c>
      <c r="BX256" s="208">
        <v>-1327398</v>
      </c>
      <c r="BY256" s="208">
        <v>-874046.9700000002</v>
      </c>
      <c r="BZ256" s="208">
        <v>-856566</v>
      </c>
      <c r="CA256" s="208">
        <v>0</v>
      </c>
      <c r="CB256" s="208">
        <v>-17481</v>
      </c>
      <c r="CC256" s="208">
        <v>-1748093.9700000002</v>
      </c>
      <c r="CD256" s="208">
        <v>210121</v>
      </c>
      <c r="CE256" s="208">
        <v>205918</v>
      </c>
      <c r="CF256" s="208">
        <v>0</v>
      </c>
      <c r="CG256" s="208">
        <v>4202</v>
      </c>
      <c r="CH256" s="208">
        <v>420241</v>
      </c>
      <c r="CI256" s="208">
        <v>110653</v>
      </c>
      <c r="CJ256" s="208">
        <v>108440</v>
      </c>
      <c r="CK256" s="208">
        <v>0</v>
      </c>
      <c r="CL256" s="208">
        <v>2213</v>
      </c>
      <c r="CM256" s="208">
        <v>221306</v>
      </c>
      <c r="CN256" s="208">
        <v>49763</v>
      </c>
      <c r="CO256" s="208">
        <v>48767</v>
      </c>
      <c r="CP256" s="208">
        <v>0</v>
      </c>
      <c r="CQ256" s="208">
        <v>995</v>
      </c>
      <c r="CR256" s="208">
        <v>99525</v>
      </c>
      <c r="CS256" s="208">
        <v>-959173</v>
      </c>
      <c r="CT256" s="208">
        <v>-939989</v>
      </c>
      <c r="CU256" s="208">
        <v>0</v>
      </c>
      <c r="CV256" s="208">
        <v>-19183</v>
      </c>
      <c r="CW256" s="208">
        <v>-1918345</v>
      </c>
      <c r="CX256" s="208">
        <v>-2126381.9700000002</v>
      </c>
      <c r="CY256" s="208">
        <v>-2083855</v>
      </c>
      <c r="CZ256" s="208">
        <v>0</v>
      </c>
      <c r="DA256" s="208">
        <v>-42528</v>
      </c>
      <c r="DB256" s="208">
        <v>-4252764.9700000007</v>
      </c>
      <c r="DC256" s="208">
        <v>-403815</v>
      </c>
      <c r="DD256" s="208">
        <v>-395740</v>
      </c>
      <c r="DE256" s="208">
        <v>0</v>
      </c>
      <c r="DF256" s="208">
        <v>-8077</v>
      </c>
      <c r="DG256" s="208">
        <v>-807632</v>
      </c>
      <c r="DH256" s="208">
        <v>-1722566.9700000002</v>
      </c>
      <c r="DI256" s="208">
        <v>-1688115</v>
      </c>
      <c r="DJ256" s="208">
        <v>0</v>
      </c>
      <c r="DK256" s="208">
        <v>-34451</v>
      </c>
      <c r="DL256" s="208">
        <v>-3445132.97</v>
      </c>
      <c r="DM256" s="208">
        <v>-837695.77000000328</v>
      </c>
      <c r="DN256" s="208">
        <v>-820942</v>
      </c>
      <c r="DO256" s="208">
        <v>0</v>
      </c>
      <c r="DP256" s="208">
        <v>-16753</v>
      </c>
      <c r="DQ256" s="208">
        <v>-1675390.7700000033</v>
      </c>
      <c r="DR256" s="208">
        <v>-685606</v>
      </c>
      <c r="DS256" s="208">
        <v>-671893</v>
      </c>
      <c r="DT256" s="208">
        <v>0</v>
      </c>
      <c r="DU256" s="208">
        <v>-13712</v>
      </c>
      <c r="DV256" s="208">
        <v>-1371211</v>
      </c>
      <c r="DW256" s="208">
        <v>-152089.77000000328</v>
      </c>
      <c r="DX256" s="208">
        <v>-149049</v>
      </c>
      <c r="DY256" s="208">
        <v>0</v>
      </c>
      <c r="DZ256" s="208">
        <v>-3041</v>
      </c>
      <c r="EA256" s="208">
        <v>-304179.77000000328</v>
      </c>
      <c r="EB256" s="208">
        <v>21397170</v>
      </c>
      <c r="EC256" s="208">
        <v>20969226</v>
      </c>
      <c r="ED256" s="208">
        <v>0</v>
      </c>
      <c r="EE256" s="208">
        <v>427943</v>
      </c>
      <c r="EF256" s="208">
        <v>42794339</v>
      </c>
      <c r="EG256" s="208">
        <v>21590963</v>
      </c>
      <c r="EH256" s="208">
        <v>21159144</v>
      </c>
      <c r="EI256" s="208">
        <v>0</v>
      </c>
      <c r="EJ256" s="208">
        <v>431819</v>
      </c>
      <c r="EK256" s="208">
        <v>43181926</v>
      </c>
      <c r="EL256" s="208">
        <v>193793</v>
      </c>
      <c r="EM256" s="208">
        <v>189918</v>
      </c>
      <c r="EN256" s="208">
        <v>0</v>
      </c>
      <c r="EO256" s="208">
        <v>3876</v>
      </c>
      <c r="EP256" s="208">
        <v>387587</v>
      </c>
      <c r="EQ256" s="208">
        <v>41703.229999996722</v>
      </c>
      <c r="ER256" s="208">
        <v>40869</v>
      </c>
      <c r="ES256" s="208">
        <v>0</v>
      </c>
      <c r="ET256" s="208">
        <v>835</v>
      </c>
      <c r="EU256" s="208">
        <v>83407.229999996722</v>
      </c>
      <c r="EV256" s="666">
        <v>0.5</v>
      </c>
      <c r="EW256" s="666">
        <v>0.49</v>
      </c>
      <c r="EX256" s="666">
        <v>0</v>
      </c>
      <c r="EY256" s="666">
        <v>0.01</v>
      </c>
      <c r="EZ256" s="666">
        <v>1</v>
      </c>
      <c r="FA256" s="187" t="s">
        <v>742</v>
      </c>
      <c r="FC256" s="187">
        <v>0</v>
      </c>
    </row>
    <row r="257" spans="1:159" s="187" customFormat="1" x14ac:dyDescent="0.2">
      <c r="B257" s="429" t="s">
        <v>592</v>
      </c>
      <c r="C257" s="429" t="s">
        <v>591</v>
      </c>
      <c r="D257" s="208">
        <v>0</v>
      </c>
      <c r="E257" s="208">
        <v>194118292</v>
      </c>
      <c r="F257" s="208">
        <v>109191539</v>
      </c>
      <c r="G257" s="208">
        <v>0</v>
      </c>
      <c r="H257" s="208">
        <v>303309831</v>
      </c>
      <c r="I257" s="208">
        <v>0</v>
      </c>
      <c r="J257" s="208">
        <v>0</v>
      </c>
      <c r="K257" s="208">
        <v>0</v>
      </c>
      <c r="L257" s="208">
        <v>719814</v>
      </c>
      <c r="M257" s="208">
        <v>719814</v>
      </c>
      <c r="N257" s="208">
        <v>0</v>
      </c>
      <c r="O257" s="208">
        <v>0</v>
      </c>
      <c r="P257" s="208">
        <v>0</v>
      </c>
      <c r="Q257" s="208">
        <v>0</v>
      </c>
      <c r="R257" s="208">
        <v>0</v>
      </c>
      <c r="S257" s="208">
        <v>0</v>
      </c>
      <c r="T257" s="208">
        <v>0</v>
      </c>
      <c r="U257" s="208">
        <v>0</v>
      </c>
      <c r="V257" s="208">
        <v>0</v>
      </c>
      <c r="W257" s="208">
        <v>0</v>
      </c>
      <c r="X257" s="208">
        <v>0</v>
      </c>
      <c r="Y257" s="208">
        <v>0</v>
      </c>
      <c r="Z257" s="208">
        <v>0</v>
      </c>
      <c r="AA257" s="208">
        <v>0</v>
      </c>
      <c r="AB257" s="208">
        <v>0</v>
      </c>
      <c r="AC257" s="208">
        <v>0</v>
      </c>
      <c r="AD257" s="208">
        <v>0</v>
      </c>
      <c r="AE257" s="208">
        <v>0</v>
      </c>
      <c r="AF257" s="208">
        <v>0</v>
      </c>
      <c r="AG257" s="208">
        <v>10788834</v>
      </c>
      <c r="AH257" s="208">
        <v>6068718</v>
      </c>
      <c r="AI257" s="208">
        <v>0</v>
      </c>
      <c r="AJ257" s="208">
        <v>16857552</v>
      </c>
      <c r="AK257" s="208">
        <v>0</v>
      </c>
      <c r="AL257" s="208">
        <v>17060074</v>
      </c>
      <c r="AM257" s="208">
        <v>9596292</v>
      </c>
      <c r="AN257" s="208">
        <v>0</v>
      </c>
      <c r="AO257" s="208">
        <v>26656366</v>
      </c>
      <c r="AP257" s="208">
        <v>0</v>
      </c>
      <c r="AQ257" s="208">
        <v>-15687292</v>
      </c>
      <c r="AR257" s="208">
        <v>-8824102</v>
      </c>
      <c r="AS257" s="208">
        <v>0</v>
      </c>
      <c r="AT257" s="208">
        <v>-24511394</v>
      </c>
      <c r="AU257" s="208">
        <v>0</v>
      </c>
      <c r="AV257" s="208">
        <v>-3787878</v>
      </c>
      <c r="AW257" s="208">
        <v>-2130682</v>
      </c>
      <c r="AX257" s="208">
        <v>0</v>
      </c>
      <c r="AY257" s="208">
        <v>-5918560</v>
      </c>
      <c r="AZ257" s="208">
        <v>0</v>
      </c>
      <c r="BA257" s="208">
        <v>598514</v>
      </c>
      <c r="BB257" s="208">
        <v>336664</v>
      </c>
      <c r="BC257" s="208">
        <v>0</v>
      </c>
      <c r="BD257" s="208">
        <v>935178</v>
      </c>
      <c r="BE257" s="208">
        <v>0</v>
      </c>
      <c r="BF257" s="208">
        <v>-923965</v>
      </c>
      <c r="BG257" s="208">
        <v>-519730</v>
      </c>
      <c r="BH257" s="208">
        <v>0</v>
      </c>
      <c r="BI257" s="208">
        <v>-1443695</v>
      </c>
      <c r="BJ257" s="208">
        <v>0</v>
      </c>
      <c r="BK257" s="208">
        <v>-4113329</v>
      </c>
      <c r="BL257" s="208">
        <v>-2313748</v>
      </c>
      <c r="BM257" s="208">
        <v>0</v>
      </c>
      <c r="BN257" s="208">
        <v>-6427077</v>
      </c>
      <c r="BO257" s="208">
        <v>0</v>
      </c>
      <c r="BP257" s="208">
        <v>-21319068</v>
      </c>
      <c r="BQ257" s="208">
        <v>-11991976</v>
      </c>
      <c r="BR257" s="208">
        <v>0</v>
      </c>
      <c r="BS257" s="208">
        <v>-33311044</v>
      </c>
      <c r="BT257" s="208">
        <v>0</v>
      </c>
      <c r="BU257" s="208">
        <v>0</v>
      </c>
      <c r="BV257" s="208">
        <v>0</v>
      </c>
      <c r="BW257" s="208">
        <v>0</v>
      </c>
      <c r="BX257" s="208">
        <v>0</v>
      </c>
      <c r="BY257" s="208">
        <v>0</v>
      </c>
      <c r="BZ257" s="208">
        <v>-21319068</v>
      </c>
      <c r="CA257" s="208">
        <v>-11991976</v>
      </c>
      <c r="CB257" s="208">
        <v>0</v>
      </c>
      <c r="CC257" s="208">
        <v>-33311044</v>
      </c>
      <c r="CD257" s="208">
        <v>0</v>
      </c>
      <c r="CE257" s="208">
        <v>7591763</v>
      </c>
      <c r="CF257" s="208">
        <v>4270367</v>
      </c>
      <c r="CG257" s="208">
        <v>0</v>
      </c>
      <c r="CH257" s="208">
        <v>11862130</v>
      </c>
      <c r="CI257" s="208">
        <v>0</v>
      </c>
      <c r="CJ257" s="208">
        <v>0</v>
      </c>
      <c r="CK257" s="208">
        <v>0</v>
      </c>
      <c r="CL257" s="208">
        <v>0</v>
      </c>
      <c r="CM257" s="208">
        <v>0</v>
      </c>
      <c r="CN257" s="208">
        <v>0</v>
      </c>
      <c r="CO257" s="208">
        <v>-7591763</v>
      </c>
      <c r="CP257" s="208">
        <v>-4270367</v>
      </c>
      <c r="CQ257" s="208">
        <v>0</v>
      </c>
      <c r="CR257" s="208">
        <v>-11862130</v>
      </c>
      <c r="CS257" s="208">
        <v>0</v>
      </c>
      <c r="CT257" s="208">
        <v>0</v>
      </c>
      <c r="CU257" s="208">
        <v>0</v>
      </c>
      <c r="CV257" s="208">
        <v>0</v>
      </c>
      <c r="CW257" s="208">
        <v>0</v>
      </c>
      <c r="CX257" s="208">
        <v>0</v>
      </c>
      <c r="CY257" s="208">
        <v>-21319068</v>
      </c>
      <c r="CZ257" s="208">
        <v>-11991976</v>
      </c>
      <c r="DA257" s="208">
        <v>0</v>
      </c>
      <c r="DB257" s="208">
        <v>-33311044</v>
      </c>
      <c r="DC257" s="208">
        <v>0</v>
      </c>
      <c r="DD257" s="208">
        <v>0</v>
      </c>
      <c r="DE257" s="208">
        <v>0</v>
      </c>
      <c r="DF257" s="208">
        <v>0</v>
      </c>
      <c r="DG257" s="208">
        <v>0</v>
      </c>
      <c r="DH257" s="208">
        <v>0</v>
      </c>
      <c r="DI257" s="208">
        <v>-21319068</v>
      </c>
      <c r="DJ257" s="208">
        <v>-11991976</v>
      </c>
      <c r="DK257" s="208">
        <v>0</v>
      </c>
      <c r="DL257" s="208">
        <v>-33311044</v>
      </c>
      <c r="DM257" s="208">
        <v>3352598</v>
      </c>
      <c r="DN257" s="208">
        <v>5125304</v>
      </c>
      <c r="DO257" s="208">
        <v>8606448</v>
      </c>
      <c r="DP257" s="208">
        <v>0</v>
      </c>
      <c r="DQ257" s="208">
        <v>17084350</v>
      </c>
      <c r="DR257" s="208">
        <v>2078233</v>
      </c>
      <c r="DS257" s="208">
        <v>3966799</v>
      </c>
      <c r="DT257" s="208">
        <v>7177632</v>
      </c>
      <c r="DU257" s="208">
        <v>0</v>
      </c>
      <c r="DV257" s="208">
        <v>13222664</v>
      </c>
      <c r="DW257" s="208">
        <v>1274365</v>
      </c>
      <c r="DX257" s="208">
        <v>1158505</v>
      </c>
      <c r="DY257" s="208">
        <v>1428816</v>
      </c>
      <c r="DZ257" s="208">
        <v>0</v>
      </c>
      <c r="EA257" s="208">
        <v>3861686</v>
      </c>
      <c r="EB257" s="208">
        <v>0</v>
      </c>
      <c r="EC257" s="208">
        <v>210606771</v>
      </c>
      <c r="ED257" s="208">
        <v>118466309</v>
      </c>
      <c r="EE257" s="208">
        <v>0</v>
      </c>
      <c r="EF257" s="208">
        <v>329073080</v>
      </c>
      <c r="EG257" s="208">
        <v>0</v>
      </c>
      <c r="EH257" s="208">
        <v>194118292</v>
      </c>
      <c r="EI257" s="208">
        <v>109191539</v>
      </c>
      <c r="EJ257" s="208">
        <v>0</v>
      </c>
      <c r="EK257" s="208">
        <v>303309831</v>
      </c>
      <c r="EL257" s="208">
        <v>0</v>
      </c>
      <c r="EM257" s="208">
        <v>-16488479</v>
      </c>
      <c r="EN257" s="208">
        <v>-9274770</v>
      </c>
      <c r="EO257" s="208">
        <v>0</v>
      </c>
      <c r="EP257" s="208">
        <v>-25763249</v>
      </c>
      <c r="EQ257" s="208">
        <v>1274365</v>
      </c>
      <c r="ER257" s="208">
        <v>-15329974</v>
      </c>
      <c r="ES257" s="208">
        <v>-7845954</v>
      </c>
      <c r="ET257" s="208">
        <v>0</v>
      </c>
      <c r="EU257" s="208">
        <v>-21901563</v>
      </c>
      <c r="EV257" s="666">
        <v>0</v>
      </c>
      <c r="EW257" s="666">
        <v>0.64</v>
      </c>
      <c r="EX257" s="666">
        <v>0.36</v>
      </c>
      <c r="EY257" s="666">
        <v>0</v>
      </c>
      <c r="EZ257" s="666">
        <v>1</v>
      </c>
      <c r="FA257" s="187" t="s">
        <v>1057</v>
      </c>
      <c r="FC257" s="187">
        <v>0</v>
      </c>
    </row>
    <row r="258" spans="1:159" s="187" customFormat="1" x14ac:dyDescent="0.2">
      <c r="A258" s="187" t="s">
        <v>1811</v>
      </c>
      <c r="B258" s="429" t="s">
        <v>594</v>
      </c>
      <c r="C258" s="429" t="s">
        <v>593</v>
      </c>
      <c r="D258" s="208">
        <v>0</v>
      </c>
      <c r="E258" s="208">
        <v>15404950</v>
      </c>
      <c r="F258" s="208">
        <v>35944882</v>
      </c>
      <c r="G258" s="208">
        <v>0</v>
      </c>
      <c r="H258" s="208">
        <v>51349832</v>
      </c>
      <c r="I258" s="208">
        <v>0</v>
      </c>
      <c r="J258" s="208">
        <v>0</v>
      </c>
      <c r="K258" s="208">
        <v>0</v>
      </c>
      <c r="L258" s="208">
        <v>126315</v>
      </c>
      <c r="M258" s="208">
        <v>126315</v>
      </c>
      <c r="N258" s="208">
        <v>0</v>
      </c>
      <c r="O258" s="208">
        <v>0</v>
      </c>
      <c r="P258" s="208">
        <v>0</v>
      </c>
      <c r="Q258" s="208">
        <v>0</v>
      </c>
      <c r="R258" s="208">
        <v>0</v>
      </c>
      <c r="S258" s="208">
        <v>0</v>
      </c>
      <c r="T258" s="208">
        <v>0</v>
      </c>
      <c r="U258" s="208">
        <v>0</v>
      </c>
      <c r="V258" s="208">
        <v>0</v>
      </c>
      <c r="W258" s="208">
        <v>0</v>
      </c>
      <c r="X258" s="208">
        <v>0</v>
      </c>
      <c r="Y258" s="208">
        <v>0</v>
      </c>
      <c r="Z258" s="208">
        <v>0</v>
      </c>
      <c r="AA258" s="208">
        <v>0</v>
      </c>
      <c r="AB258" s="208">
        <v>0</v>
      </c>
      <c r="AC258" s="208">
        <v>0</v>
      </c>
      <c r="AD258" s="208">
        <v>0</v>
      </c>
      <c r="AE258" s="208">
        <v>0</v>
      </c>
      <c r="AF258" s="208">
        <v>0</v>
      </c>
      <c r="AG258" s="208">
        <v>991494</v>
      </c>
      <c r="AH258" s="208">
        <v>2313487</v>
      </c>
      <c r="AI258" s="208">
        <v>0</v>
      </c>
      <c r="AJ258" s="208">
        <v>3304981</v>
      </c>
      <c r="AK258" s="208">
        <v>0</v>
      </c>
      <c r="AL258" s="208">
        <v>511882</v>
      </c>
      <c r="AM258" s="208">
        <v>1194392</v>
      </c>
      <c r="AN258" s="208">
        <v>0</v>
      </c>
      <c r="AO258" s="208">
        <v>1706274</v>
      </c>
      <c r="AP258" s="208">
        <v>0</v>
      </c>
      <c r="AQ258" s="208">
        <v>-259139</v>
      </c>
      <c r="AR258" s="208">
        <v>-604657</v>
      </c>
      <c r="AS258" s="208">
        <v>0</v>
      </c>
      <c r="AT258" s="208">
        <v>-863796</v>
      </c>
      <c r="AU258" s="208">
        <v>0</v>
      </c>
      <c r="AV258" s="208">
        <v>-273134</v>
      </c>
      <c r="AW258" s="208">
        <v>-637312</v>
      </c>
      <c r="AX258" s="208">
        <v>0</v>
      </c>
      <c r="AY258" s="208">
        <v>-910446</v>
      </c>
      <c r="AZ258" s="208">
        <v>0</v>
      </c>
      <c r="BA258" s="208">
        <v>805</v>
      </c>
      <c r="BB258" s="208">
        <v>1877</v>
      </c>
      <c r="BC258" s="208">
        <v>0</v>
      </c>
      <c r="BD258" s="208">
        <v>2682</v>
      </c>
      <c r="BE258" s="208">
        <v>0</v>
      </c>
      <c r="BF258" s="208">
        <v>-155700</v>
      </c>
      <c r="BG258" s="208">
        <v>-363300</v>
      </c>
      <c r="BH258" s="208">
        <v>0</v>
      </c>
      <c r="BI258" s="208">
        <v>-519000</v>
      </c>
      <c r="BJ258" s="208">
        <v>0</v>
      </c>
      <c r="BK258" s="208">
        <v>-428029</v>
      </c>
      <c r="BL258" s="208">
        <v>-998735</v>
      </c>
      <c r="BM258" s="208">
        <v>0</v>
      </c>
      <c r="BN258" s="208">
        <v>-1426764</v>
      </c>
      <c r="BO258" s="208">
        <v>0</v>
      </c>
      <c r="BP258" s="208">
        <v>-1544456</v>
      </c>
      <c r="BQ258" s="208">
        <v>-3603732</v>
      </c>
      <c r="BR258" s="208">
        <v>0</v>
      </c>
      <c r="BS258" s="208">
        <v>-5148188</v>
      </c>
      <c r="BT258" s="208">
        <v>0</v>
      </c>
      <c r="BU258" s="208">
        <v>-1544456</v>
      </c>
      <c r="BV258" s="208">
        <v>-3603732</v>
      </c>
      <c r="BW258" s="208">
        <v>0</v>
      </c>
      <c r="BX258" s="208">
        <v>-5148188</v>
      </c>
      <c r="BY258" s="208">
        <v>0</v>
      </c>
      <c r="BZ258" s="208">
        <v>0</v>
      </c>
      <c r="CA258" s="208">
        <v>0</v>
      </c>
      <c r="CB258" s="208">
        <v>0</v>
      </c>
      <c r="CC258" s="208">
        <v>0</v>
      </c>
      <c r="CD258" s="208">
        <v>0</v>
      </c>
      <c r="CE258" s="208">
        <v>254551</v>
      </c>
      <c r="CF258" s="208">
        <v>593952</v>
      </c>
      <c r="CG258" s="208">
        <v>0</v>
      </c>
      <c r="CH258" s="208">
        <v>848503</v>
      </c>
      <c r="CI258" s="208">
        <v>0</v>
      </c>
      <c r="CJ258" s="208">
        <v>0</v>
      </c>
      <c r="CK258" s="208">
        <v>0</v>
      </c>
      <c r="CL258" s="208">
        <v>0</v>
      </c>
      <c r="CM258" s="208">
        <v>0</v>
      </c>
      <c r="CN258" s="208">
        <v>0</v>
      </c>
      <c r="CO258" s="208">
        <v>-120000</v>
      </c>
      <c r="CP258" s="208">
        <v>-280000</v>
      </c>
      <c r="CQ258" s="208">
        <v>0</v>
      </c>
      <c r="CR258" s="208">
        <v>-400000</v>
      </c>
      <c r="CS258" s="208">
        <v>0</v>
      </c>
      <c r="CT258" s="208">
        <v>0</v>
      </c>
      <c r="CU258" s="208">
        <v>0</v>
      </c>
      <c r="CV258" s="208">
        <v>0</v>
      </c>
      <c r="CW258" s="208">
        <v>0</v>
      </c>
      <c r="CX258" s="208">
        <v>0</v>
      </c>
      <c r="CY258" s="208">
        <v>-1409905</v>
      </c>
      <c r="CZ258" s="208">
        <v>-3289780</v>
      </c>
      <c r="DA258" s="208">
        <v>0</v>
      </c>
      <c r="DB258" s="208">
        <v>-4699685</v>
      </c>
      <c r="DC258" s="208">
        <v>0</v>
      </c>
      <c r="DD258" s="208">
        <v>-1409905</v>
      </c>
      <c r="DE258" s="208">
        <v>-3289780</v>
      </c>
      <c r="DF258" s="208">
        <v>0</v>
      </c>
      <c r="DG258" s="208">
        <v>-4699685</v>
      </c>
      <c r="DH258" s="208">
        <v>0</v>
      </c>
      <c r="DI258" s="208">
        <v>0</v>
      </c>
      <c r="DJ258" s="208">
        <v>0</v>
      </c>
      <c r="DK258" s="208">
        <v>0</v>
      </c>
      <c r="DL258" s="208">
        <v>0</v>
      </c>
      <c r="DM258" s="208">
        <v>-3681520</v>
      </c>
      <c r="DN258" s="208">
        <v>-2945214</v>
      </c>
      <c r="DO258" s="208">
        <v>-736305</v>
      </c>
      <c r="DP258" s="208">
        <v>0</v>
      </c>
      <c r="DQ258" s="208">
        <v>-7363039</v>
      </c>
      <c r="DR258" s="208">
        <v>-2453439</v>
      </c>
      <c r="DS258" s="208">
        <v>-1962752</v>
      </c>
      <c r="DT258" s="208">
        <v>-490688</v>
      </c>
      <c r="DU258" s="208">
        <v>0</v>
      </c>
      <c r="DV258" s="208">
        <v>-4906879</v>
      </c>
      <c r="DW258" s="208">
        <v>-1228081</v>
      </c>
      <c r="DX258" s="208">
        <v>-982462</v>
      </c>
      <c r="DY258" s="208">
        <v>-245617</v>
      </c>
      <c r="DZ258" s="208">
        <v>0</v>
      </c>
      <c r="EA258" s="208">
        <v>-2456160</v>
      </c>
      <c r="EB258" s="208">
        <v>0</v>
      </c>
      <c r="EC258" s="208">
        <v>14112898</v>
      </c>
      <c r="ED258" s="208">
        <v>32930096</v>
      </c>
      <c r="EE258" s="208">
        <v>0</v>
      </c>
      <c r="EF258" s="208">
        <v>47042994</v>
      </c>
      <c r="EG258" s="208">
        <v>0</v>
      </c>
      <c r="EH258" s="208">
        <v>15404950</v>
      </c>
      <c r="EI258" s="208">
        <v>35944882</v>
      </c>
      <c r="EJ258" s="208">
        <v>0</v>
      </c>
      <c r="EK258" s="208">
        <v>51349832</v>
      </c>
      <c r="EL258" s="208">
        <v>0</v>
      </c>
      <c r="EM258" s="208">
        <v>1292052</v>
      </c>
      <c r="EN258" s="208">
        <v>3014786</v>
      </c>
      <c r="EO258" s="208">
        <v>0</v>
      </c>
      <c r="EP258" s="208">
        <v>4306838</v>
      </c>
      <c r="EQ258" s="208">
        <v>-1228081</v>
      </c>
      <c r="ER258" s="208">
        <v>309590</v>
      </c>
      <c r="ES258" s="208">
        <v>2769169</v>
      </c>
      <c r="ET258" s="208">
        <v>0</v>
      </c>
      <c r="EU258" s="208">
        <v>1850678</v>
      </c>
      <c r="EV258" s="666">
        <v>0</v>
      </c>
      <c r="EW258" s="666">
        <v>0.3</v>
      </c>
      <c r="EX258" s="666">
        <v>0.7</v>
      </c>
      <c r="EY258" s="666">
        <v>0</v>
      </c>
      <c r="EZ258" s="666">
        <v>1</v>
      </c>
      <c r="FA258" s="187" t="s">
        <v>1054</v>
      </c>
      <c r="FC258" s="187">
        <v>0</v>
      </c>
    </row>
    <row r="259" spans="1:159" s="187" customFormat="1" x14ac:dyDescent="0.2">
      <c r="B259" s="429" t="s">
        <v>596</v>
      </c>
      <c r="C259" s="429" t="s">
        <v>595</v>
      </c>
      <c r="D259" s="208">
        <v>27457549</v>
      </c>
      <c r="E259" s="208">
        <v>21966039</v>
      </c>
      <c r="F259" s="208">
        <v>5491510</v>
      </c>
      <c r="G259" s="208">
        <v>0</v>
      </c>
      <c r="H259" s="208">
        <v>54915098</v>
      </c>
      <c r="I259" s="208">
        <v>0</v>
      </c>
      <c r="J259" s="208">
        <v>0</v>
      </c>
      <c r="K259" s="208">
        <v>27457549</v>
      </c>
      <c r="L259" s="208">
        <v>187737</v>
      </c>
      <c r="M259" s="208">
        <v>187737</v>
      </c>
      <c r="N259" s="208">
        <v>257499</v>
      </c>
      <c r="O259" s="208">
        <v>257499</v>
      </c>
      <c r="P259" s="208">
        <v>0</v>
      </c>
      <c r="Q259" s="208">
        <v>0</v>
      </c>
      <c r="R259" s="208">
        <v>0</v>
      </c>
      <c r="S259" s="208">
        <v>0</v>
      </c>
      <c r="T259" s="208">
        <v>0</v>
      </c>
      <c r="U259" s="208">
        <v>0</v>
      </c>
      <c r="V259" s="208">
        <v>0</v>
      </c>
      <c r="W259" s="208">
        <v>0</v>
      </c>
      <c r="X259" s="208">
        <v>0</v>
      </c>
      <c r="Y259" s="208">
        <v>0</v>
      </c>
      <c r="Z259" s="208">
        <v>0</v>
      </c>
      <c r="AA259" s="208">
        <v>0</v>
      </c>
      <c r="AB259" s="208">
        <v>0</v>
      </c>
      <c r="AC259" s="208">
        <v>0</v>
      </c>
      <c r="AD259" s="208">
        <v>0</v>
      </c>
      <c r="AE259" s="208">
        <v>0</v>
      </c>
      <c r="AF259" s="208">
        <v>0</v>
      </c>
      <c r="AG259" s="208">
        <v>1655864</v>
      </c>
      <c r="AH259" s="208">
        <v>406393</v>
      </c>
      <c r="AI259" s="208">
        <v>0</v>
      </c>
      <c r="AJ259" s="208">
        <v>2062257</v>
      </c>
      <c r="AK259" s="208">
        <v>1101802</v>
      </c>
      <c r="AL259" s="208">
        <v>881441</v>
      </c>
      <c r="AM259" s="208">
        <v>220360</v>
      </c>
      <c r="AN259" s="208">
        <v>0</v>
      </c>
      <c r="AO259" s="208">
        <v>2203603</v>
      </c>
      <c r="AP259" s="208">
        <v>-459841</v>
      </c>
      <c r="AQ259" s="208">
        <v>-367873</v>
      </c>
      <c r="AR259" s="208">
        <v>-91968</v>
      </c>
      <c r="AS259" s="208">
        <v>0</v>
      </c>
      <c r="AT259" s="208">
        <v>-919682</v>
      </c>
      <c r="AU259" s="208">
        <v>-376500</v>
      </c>
      <c r="AV259" s="208">
        <v>-301200</v>
      </c>
      <c r="AW259" s="208">
        <v>-75300</v>
      </c>
      <c r="AX259" s="208">
        <v>0</v>
      </c>
      <c r="AY259" s="208">
        <v>-753000</v>
      </c>
      <c r="AZ259" s="208">
        <v>34686.94</v>
      </c>
      <c r="BA259" s="208">
        <v>27750</v>
      </c>
      <c r="BB259" s="208">
        <v>6937</v>
      </c>
      <c r="BC259" s="208">
        <v>0</v>
      </c>
      <c r="BD259" s="208">
        <v>69373.94</v>
      </c>
      <c r="BE259" s="208">
        <v>-117187</v>
      </c>
      <c r="BF259" s="208">
        <v>-93750</v>
      </c>
      <c r="BG259" s="208">
        <v>-23437</v>
      </c>
      <c r="BH259" s="208">
        <v>0</v>
      </c>
      <c r="BI259" s="208">
        <v>-234374</v>
      </c>
      <c r="BJ259" s="208">
        <v>-459000.06</v>
      </c>
      <c r="BK259" s="208">
        <v>-367200</v>
      </c>
      <c r="BL259" s="208">
        <v>-91800</v>
      </c>
      <c r="BM259" s="208">
        <v>0</v>
      </c>
      <c r="BN259" s="208">
        <v>-918000.06</v>
      </c>
      <c r="BO259" s="208">
        <v>-4079000.8000000007</v>
      </c>
      <c r="BP259" s="208">
        <v>-3263200</v>
      </c>
      <c r="BQ259" s="208">
        <v>-815800</v>
      </c>
      <c r="BR259" s="208">
        <v>0</v>
      </c>
      <c r="BS259" s="208">
        <v>-8158000.8000000007</v>
      </c>
      <c r="BT259" s="208">
        <v>0</v>
      </c>
      <c r="BU259" s="208">
        <v>0</v>
      </c>
      <c r="BV259" s="208">
        <v>0</v>
      </c>
      <c r="BW259" s="208">
        <v>0</v>
      </c>
      <c r="BX259" s="208">
        <v>0</v>
      </c>
      <c r="BY259" s="208">
        <v>-4079000.8000000007</v>
      </c>
      <c r="BZ259" s="208">
        <v>-3263200</v>
      </c>
      <c r="CA259" s="208">
        <v>-815800</v>
      </c>
      <c r="CB259" s="208">
        <v>0</v>
      </c>
      <c r="CC259" s="208">
        <v>-8158000.8000000007</v>
      </c>
      <c r="CD259" s="208">
        <v>1948856</v>
      </c>
      <c r="CE259" s="208">
        <v>1559085</v>
      </c>
      <c r="CF259" s="208">
        <v>389771</v>
      </c>
      <c r="CG259" s="208">
        <v>0</v>
      </c>
      <c r="CH259" s="208">
        <v>3897712</v>
      </c>
      <c r="CI259" s="208">
        <v>379074</v>
      </c>
      <c r="CJ259" s="208">
        <v>303259</v>
      </c>
      <c r="CK259" s="208">
        <v>75815</v>
      </c>
      <c r="CL259" s="208">
        <v>0</v>
      </c>
      <c r="CM259" s="208">
        <v>758148</v>
      </c>
      <c r="CN259" s="208">
        <v>-4078454</v>
      </c>
      <c r="CO259" s="208">
        <v>-3262763</v>
      </c>
      <c r="CP259" s="208">
        <v>-815691</v>
      </c>
      <c r="CQ259" s="208">
        <v>0</v>
      </c>
      <c r="CR259" s="208">
        <v>-8156908</v>
      </c>
      <c r="CS259" s="208">
        <v>1627712</v>
      </c>
      <c r="CT259" s="208">
        <v>1302170</v>
      </c>
      <c r="CU259" s="208">
        <v>325543</v>
      </c>
      <c r="CV259" s="208">
        <v>0</v>
      </c>
      <c r="CW259" s="208">
        <v>3255425</v>
      </c>
      <c r="CX259" s="208">
        <v>-4201812.8000000007</v>
      </c>
      <c r="CY259" s="208">
        <v>-3361449</v>
      </c>
      <c r="CZ259" s="208">
        <v>-840362</v>
      </c>
      <c r="DA259" s="208">
        <v>0</v>
      </c>
      <c r="DB259" s="208">
        <v>-8403623.8000000007</v>
      </c>
      <c r="DC259" s="208">
        <v>-2129598</v>
      </c>
      <c r="DD259" s="208">
        <v>-1703678</v>
      </c>
      <c r="DE259" s="208">
        <v>-425920</v>
      </c>
      <c r="DF259" s="208">
        <v>0</v>
      </c>
      <c r="DG259" s="208">
        <v>-4259196</v>
      </c>
      <c r="DH259" s="208">
        <v>-2072214.8000000007</v>
      </c>
      <c r="DI259" s="208">
        <v>-1657771</v>
      </c>
      <c r="DJ259" s="208">
        <v>-414442</v>
      </c>
      <c r="DK259" s="208">
        <v>0</v>
      </c>
      <c r="DL259" s="208">
        <v>-4144427.8000000007</v>
      </c>
      <c r="DM259" s="208">
        <v>-1780868</v>
      </c>
      <c r="DN259" s="208">
        <v>-1424694</v>
      </c>
      <c r="DO259" s="208">
        <v>-356174</v>
      </c>
      <c r="DP259" s="208">
        <v>0</v>
      </c>
      <c r="DQ259" s="208">
        <v>-3561736</v>
      </c>
      <c r="DR259" s="208">
        <v>-1830286</v>
      </c>
      <c r="DS259" s="208">
        <v>-1464228</v>
      </c>
      <c r="DT259" s="208">
        <v>-366057</v>
      </c>
      <c r="DU259" s="208">
        <v>0</v>
      </c>
      <c r="DV259" s="208">
        <v>-3660571</v>
      </c>
      <c r="DW259" s="208">
        <v>49418</v>
      </c>
      <c r="DX259" s="208">
        <v>39534</v>
      </c>
      <c r="DY259" s="208">
        <v>9883</v>
      </c>
      <c r="DZ259" s="208">
        <v>0</v>
      </c>
      <c r="EA259" s="208">
        <v>98835</v>
      </c>
      <c r="EB259" s="208">
        <v>30367323</v>
      </c>
      <c r="EC259" s="208">
        <v>24293858</v>
      </c>
      <c r="ED259" s="208">
        <v>6073465</v>
      </c>
      <c r="EE259" s="208">
        <v>0</v>
      </c>
      <c r="EF259" s="208">
        <v>60734646</v>
      </c>
      <c r="EG259" s="208">
        <v>27457549</v>
      </c>
      <c r="EH259" s="208">
        <v>21966039</v>
      </c>
      <c r="EI259" s="208">
        <v>5491510</v>
      </c>
      <c r="EJ259" s="208">
        <v>0</v>
      </c>
      <c r="EK259" s="208">
        <v>54915098</v>
      </c>
      <c r="EL259" s="208">
        <v>-2909774</v>
      </c>
      <c r="EM259" s="208">
        <v>-2327819</v>
      </c>
      <c r="EN259" s="208">
        <v>-581955</v>
      </c>
      <c r="EO259" s="208">
        <v>0</v>
      </c>
      <c r="EP259" s="208">
        <v>-5819548</v>
      </c>
      <c r="EQ259" s="208">
        <v>-2860356</v>
      </c>
      <c r="ER259" s="208">
        <v>-2288285</v>
      </c>
      <c r="ES259" s="208">
        <v>-572072</v>
      </c>
      <c r="ET259" s="208">
        <v>0</v>
      </c>
      <c r="EU259" s="208">
        <v>-5720713</v>
      </c>
      <c r="EV259" s="666">
        <v>0.5</v>
      </c>
      <c r="EW259" s="666">
        <v>0.4</v>
      </c>
      <c r="EX259" s="666">
        <v>0.1</v>
      </c>
      <c r="EY259" s="666">
        <v>0</v>
      </c>
      <c r="EZ259" s="666">
        <v>1</v>
      </c>
      <c r="FA259" s="187" t="s">
        <v>1054</v>
      </c>
      <c r="FC259" s="187">
        <v>0</v>
      </c>
    </row>
    <row r="260" spans="1:159" s="187" customFormat="1" x14ac:dyDescent="0.2">
      <c r="B260" s="429" t="s">
        <v>598</v>
      </c>
      <c r="C260" s="429" t="s">
        <v>597</v>
      </c>
      <c r="D260" s="208">
        <v>0</v>
      </c>
      <c r="E260" s="208">
        <v>35923430</v>
      </c>
      <c r="F260" s="208">
        <v>8980857</v>
      </c>
      <c r="G260" s="208">
        <v>0</v>
      </c>
      <c r="H260" s="208">
        <v>44904287</v>
      </c>
      <c r="I260" s="208">
        <v>0</v>
      </c>
      <c r="J260" s="208">
        <v>0</v>
      </c>
      <c r="K260" s="208">
        <v>0</v>
      </c>
      <c r="L260" s="208">
        <v>169942</v>
      </c>
      <c r="M260" s="208">
        <v>169942</v>
      </c>
      <c r="N260" s="208">
        <v>0</v>
      </c>
      <c r="O260" s="208">
        <v>0</v>
      </c>
      <c r="P260" s="208">
        <v>422348</v>
      </c>
      <c r="Q260" s="208">
        <v>0</v>
      </c>
      <c r="R260" s="208">
        <v>422348</v>
      </c>
      <c r="S260" s="208">
        <v>0</v>
      </c>
      <c r="T260" s="208">
        <v>0</v>
      </c>
      <c r="U260" s="208">
        <v>0</v>
      </c>
      <c r="V260" s="208">
        <v>0</v>
      </c>
      <c r="W260" s="208">
        <v>0</v>
      </c>
      <c r="X260" s="208">
        <v>0</v>
      </c>
      <c r="Y260" s="208">
        <v>0</v>
      </c>
      <c r="Z260" s="208">
        <v>0</v>
      </c>
      <c r="AA260" s="208">
        <v>0</v>
      </c>
      <c r="AB260" s="208">
        <v>0</v>
      </c>
      <c r="AC260" s="208">
        <v>0</v>
      </c>
      <c r="AD260" s="208">
        <v>0</v>
      </c>
      <c r="AE260" s="208">
        <v>0</v>
      </c>
      <c r="AF260" s="208">
        <v>0</v>
      </c>
      <c r="AG260" s="208">
        <v>3399220</v>
      </c>
      <c r="AH260" s="208">
        <v>847384</v>
      </c>
      <c r="AI260" s="208">
        <v>0</v>
      </c>
      <c r="AJ260" s="208">
        <v>4246604</v>
      </c>
      <c r="AK260" s="208">
        <v>0</v>
      </c>
      <c r="AL260" s="208">
        <v>1122939</v>
      </c>
      <c r="AM260" s="208">
        <v>280735</v>
      </c>
      <c r="AN260" s="208">
        <v>0</v>
      </c>
      <c r="AO260" s="208">
        <v>1403674</v>
      </c>
      <c r="AP260" s="208">
        <v>0</v>
      </c>
      <c r="AQ260" s="208">
        <v>-601696</v>
      </c>
      <c r="AR260" s="208">
        <v>-150424</v>
      </c>
      <c r="AS260" s="208">
        <v>0</v>
      </c>
      <c r="AT260" s="208">
        <v>-752120</v>
      </c>
      <c r="AU260" s="208">
        <v>-0.17000000004190952</v>
      </c>
      <c r="AV260" s="208">
        <v>-432234</v>
      </c>
      <c r="AW260" s="208">
        <v>-108058</v>
      </c>
      <c r="AX260" s="208">
        <v>0</v>
      </c>
      <c r="AY260" s="208">
        <v>-540292.17000000004</v>
      </c>
      <c r="AZ260" s="208">
        <v>0</v>
      </c>
      <c r="BA260" s="208">
        <v>178124</v>
      </c>
      <c r="BB260" s="208">
        <v>44531</v>
      </c>
      <c r="BC260" s="208">
        <v>0</v>
      </c>
      <c r="BD260" s="208">
        <v>222655</v>
      </c>
      <c r="BE260" s="208">
        <v>0</v>
      </c>
      <c r="BF260" s="208">
        <v>-132454</v>
      </c>
      <c r="BG260" s="208">
        <v>-33113</v>
      </c>
      <c r="BH260" s="208">
        <v>0</v>
      </c>
      <c r="BI260" s="208">
        <v>-165567</v>
      </c>
      <c r="BJ260" s="208">
        <v>-0.17000000004190952</v>
      </c>
      <c r="BK260" s="208">
        <v>-386564</v>
      </c>
      <c r="BL260" s="208">
        <v>-96640</v>
      </c>
      <c r="BM260" s="208">
        <v>0</v>
      </c>
      <c r="BN260" s="208">
        <v>-483204.17000000004</v>
      </c>
      <c r="BO260" s="208">
        <v>0</v>
      </c>
      <c r="BP260" s="208">
        <v>-2387790</v>
      </c>
      <c r="BQ260" s="208">
        <v>-596948</v>
      </c>
      <c r="BR260" s="208">
        <v>0</v>
      </c>
      <c r="BS260" s="208">
        <v>-2984738</v>
      </c>
      <c r="BT260" s="208">
        <v>0</v>
      </c>
      <c r="BU260" s="208">
        <v>-1344385</v>
      </c>
      <c r="BV260" s="208">
        <v>-336096</v>
      </c>
      <c r="BW260" s="208">
        <v>0</v>
      </c>
      <c r="BX260" s="208">
        <v>-1680481</v>
      </c>
      <c r="BY260" s="208">
        <v>0</v>
      </c>
      <c r="BZ260" s="208">
        <v>-1043406</v>
      </c>
      <c r="CA260" s="208">
        <v>-260851</v>
      </c>
      <c r="CB260" s="208">
        <v>0</v>
      </c>
      <c r="CC260" s="208">
        <v>-1304257</v>
      </c>
      <c r="CD260" s="208">
        <v>0</v>
      </c>
      <c r="CE260" s="208">
        <v>100309</v>
      </c>
      <c r="CF260" s="208">
        <v>25077</v>
      </c>
      <c r="CG260" s="208">
        <v>0</v>
      </c>
      <c r="CH260" s="208">
        <v>125386</v>
      </c>
      <c r="CI260" s="208">
        <v>0</v>
      </c>
      <c r="CJ260" s="208">
        <v>746</v>
      </c>
      <c r="CK260" s="208">
        <v>186</v>
      </c>
      <c r="CL260" s="208">
        <v>0</v>
      </c>
      <c r="CM260" s="208">
        <v>932</v>
      </c>
      <c r="CN260" s="208">
        <v>0</v>
      </c>
      <c r="CO260" s="208">
        <v>210434</v>
      </c>
      <c r="CP260" s="208">
        <v>52608</v>
      </c>
      <c r="CQ260" s="208">
        <v>0</v>
      </c>
      <c r="CR260" s="208">
        <v>263042</v>
      </c>
      <c r="CS260" s="208">
        <v>0</v>
      </c>
      <c r="CT260" s="208">
        <v>-1835627</v>
      </c>
      <c r="CU260" s="208">
        <v>-458907</v>
      </c>
      <c r="CV260" s="208">
        <v>0</v>
      </c>
      <c r="CW260" s="208">
        <v>-2294534</v>
      </c>
      <c r="CX260" s="208">
        <v>0</v>
      </c>
      <c r="CY260" s="208">
        <v>-3911928</v>
      </c>
      <c r="CZ260" s="208">
        <v>-977984</v>
      </c>
      <c r="DA260" s="208">
        <v>0</v>
      </c>
      <c r="DB260" s="208">
        <v>-4889912</v>
      </c>
      <c r="DC260" s="208">
        <v>0</v>
      </c>
      <c r="DD260" s="208">
        <v>-1033642</v>
      </c>
      <c r="DE260" s="208">
        <v>-258411</v>
      </c>
      <c r="DF260" s="208">
        <v>0</v>
      </c>
      <c r="DG260" s="208">
        <v>-1292053</v>
      </c>
      <c r="DH260" s="208">
        <v>0</v>
      </c>
      <c r="DI260" s="208">
        <v>-2878287</v>
      </c>
      <c r="DJ260" s="208">
        <v>-719572</v>
      </c>
      <c r="DK260" s="208">
        <v>0</v>
      </c>
      <c r="DL260" s="208">
        <v>-3597859</v>
      </c>
      <c r="DM260" s="208">
        <v>-674079.71999999881</v>
      </c>
      <c r="DN260" s="208">
        <v>-539262</v>
      </c>
      <c r="DO260" s="208">
        <v>-134816</v>
      </c>
      <c r="DP260" s="208">
        <v>0</v>
      </c>
      <c r="DQ260" s="208">
        <v>-1348157.7199999988</v>
      </c>
      <c r="DR260" s="208">
        <v>-710215</v>
      </c>
      <c r="DS260" s="208">
        <v>-568172</v>
      </c>
      <c r="DT260" s="208">
        <v>-142043</v>
      </c>
      <c r="DU260" s="208">
        <v>0</v>
      </c>
      <c r="DV260" s="208">
        <v>-1420430</v>
      </c>
      <c r="DW260" s="208">
        <v>36135.280000001192</v>
      </c>
      <c r="DX260" s="208">
        <v>28910</v>
      </c>
      <c r="DY260" s="208">
        <v>7227</v>
      </c>
      <c r="DZ260" s="208">
        <v>0</v>
      </c>
      <c r="EA260" s="208">
        <v>72272.280000001192</v>
      </c>
      <c r="EB260" s="208">
        <v>0</v>
      </c>
      <c r="EC260" s="208">
        <v>36572930</v>
      </c>
      <c r="ED260" s="208">
        <v>9143233</v>
      </c>
      <c r="EE260" s="208">
        <v>0</v>
      </c>
      <c r="EF260" s="208">
        <v>45716163</v>
      </c>
      <c r="EG260" s="208">
        <v>0</v>
      </c>
      <c r="EH260" s="208">
        <v>35923430</v>
      </c>
      <c r="EI260" s="208">
        <v>8980857</v>
      </c>
      <c r="EJ260" s="208">
        <v>0</v>
      </c>
      <c r="EK260" s="208">
        <v>44904287</v>
      </c>
      <c r="EL260" s="208">
        <v>0</v>
      </c>
      <c r="EM260" s="208">
        <v>-649500</v>
      </c>
      <c r="EN260" s="208">
        <v>-162376</v>
      </c>
      <c r="EO260" s="208">
        <v>0</v>
      </c>
      <c r="EP260" s="208">
        <v>-811876</v>
      </c>
      <c r="EQ260" s="208">
        <v>36135.280000001192</v>
      </c>
      <c r="ER260" s="208">
        <v>-620590</v>
      </c>
      <c r="ES260" s="208">
        <v>-155149</v>
      </c>
      <c r="ET260" s="208">
        <v>0</v>
      </c>
      <c r="EU260" s="208">
        <v>-739603.71999999881</v>
      </c>
      <c r="EV260" s="666">
        <v>0</v>
      </c>
      <c r="EW260" s="666">
        <v>0.8</v>
      </c>
      <c r="EX260" s="666">
        <v>0.2</v>
      </c>
      <c r="EY260" s="666">
        <v>0</v>
      </c>
      <c r="EZ260" s="666">
        <v>1</v>
      </c>
      <c r="FA260" s="187" t="s">
        <v>1054</v>
      </c>
      <c r="FC260" s="187">
        <v>0</v>
      </c>
    </row>
    <row r="261" spans="1:159" s="187" customFormat="1" x14ac:dyDescent="0.2">
      <c r="B261" s="429" t="s">
        <v>600</v>
      </c>
      <c r="C261" s="429" t="s">
        <v>599</v>
      </c>
      <c r="D261" s="208">
        <v>0</v>
      </c>
      <c r="E261" s="208">
        <v>47533101</v>
      </c>
      <c r="F261" s="208">
        <v>0</v>
      </c>
      <c r="G261" s="208">
        <v>480132</v>
      </c>
      <c r="H261" s="208">
        <v>48013233</v>
      </c>
      <c r="I261" s="208">
        <v>0</v>
      </c>
      <c r="J261" s="208">
        <v>0</v>
      </c>
      <c r="K261" s="208">
        <v>0</v>
      </c>
      <c r="L261" s="208">
        <v>189442</v>
      </c>
      <c r="M261" s="208">
        <v>189442</v>
      </c>
      <c r="N261" s="208">
        <v>0</v>
      </c>
      <c r="O261" s="208">
        <v>0</v>
      </c>
      <c r="P261" s="208">
        <v>0</v>
      </c>
      <c r="Q261" s="208">
        <v>0</v>
      </c>
      <c r="R261" s="208">
        <v>0</v>
      </c>
      <c r="S261" s="208">
        <v>0</v>
      </c>
      <c r="T261" s="208">
        <v>0</v>
      </c>
      <c r="U261" s="208">
        <v>0</v>
      </c>
      <c r="V261" s="208">
        <v>0</v>
      </c>
      <c r="W261" s="208">
        <v>0</v>
      </c>
      <c r="X261" s="208">
        <v>0</v>
      </c>
      <c r="Y261" s="208">
        <v>0</v>
      </c>
      <c r="Z261" s="208">
        <v>0</v>
      </c>
      <c r="AA261" s="208">
        <v>0</v>
      </c>
      <c r="AB261" s="208">
        <v>0</v>
      </c>
      <c r="AC261" s="208">
        <v>0</v>
      </c>
      <c r="AD261" s="208">
        <v>0</v>
      </c>
      <c r="AE261" s="208">
        <v>0</v>
      </c>
      <c r="AF261" s="208">
        <v>0</v>
      </c>
      <c r="AG261" s="208">
        <v>5065881</v>
      </c>
      <c r="AH261" s="208">
        <v>0</v>
      </c>
      <c r="AI261" s="208">
        <v>51169</v>
      </c>
      <c r="AJ261" s="208">
        <v>5117050</v>
      </c>
      <c r="AK261" s="208">
        <v>0</v>
      </c>
      <c r="AL261" s="208">
        <v>6061742</v>
      </c>
      <c r="AM261" s="208">
        <v>0</v>
      </c>
      <c r="AN261" s="208">
        <v>61230</v>
      </c>
      <c r="AO261" s="208">
        <v>6122972</v>
      </c>
      <c r="AP261" s="208">
        <v>0</v>
      </c>
      <c r="AQ261" s="208">
        <v>-1075338</v>
      </c>
      <c r="AR261" s="208">
        <v>0</v>
      </c>
      <c r="AS261" s="208">
        <v>-10862</v>
      </c>
      <c r="AT261" s="208">
        <v>-1086200</v>
      </c>
      <c r="AU261" s="208">
        <v>0</v>
      </c>
      <c r="AV261" s="208">
        <v>-4402912</v>
      </c>
      <c r="AW261" s="208">
        <v>0</v>
      </c>
      <c r="AX261" s="208">
        <v>-44474</v>
      </c>
      <c r="AY261" s="208">
        <v>-4447386</v>
      </c>
      <c r="AZ261" s="208">
        <v>0</v>
      </c>
      <c r="BA261" s="208">
        <v>561031</v>
      </c>
      <c r="BB261" s="208">
        <v>0</v>
      </c>
      <c r="BC261" s="208">
        <v>5667</v>
      </c>
      <c r="BD261" s="208">
        <v>566698</v>
      </c>
      <c r="BE261" s="208">
        <v>0</v>
      </c>
      <c r="BF261" s="208">
        <v>-1608039</v>
      </c>
      <c r="BG261" s="208">
        <v>0</v>
      </c>
      <c r="BH261" s="208">
        <v>-16243</v>
      </c>
      <c r="BI261" s="208">
        <v>-1624282</v>
      </c>
      <c r="BJ261" s="208">
        <v>0</v>
      </c>
      <c r="BK261" s="208">
        <v>-5449920</v>
      </c>
      <c r="BL261" s="208">
        <v>0</v>
      </c>
      <c r="BM261" s="208">
        <v>-55050</v>
      </c>
      <c r="BN261" s="208">
        <v>-5504970</v>
      </c>
      <c r="BO261" s="208">
        <v>0</v>
      </c>
      <c r="BP261" s="208">
        <v>-12161195</v>
      </c>
      <c r="BQ261" s="208">
        <v>0</v>
      </c>
      <c r="BR261" s="208">
        <v>-122840</v>
      </c>
      <c r="BS261" s="208">
        <v>-12284035</v>
      </c>
      <c r="BT261" s="208">
        <v>0</v>
      </c>
      <c r="BU261" s="208">
        <v>-9746731</v>
      </c>
      <c r="BV261" s="208">
        <v>0</v>
      </c>
      <c r="BW261" s="208">
        <v>-98452</v>
      </c>
      <c r="BX261" s="208">
        <v>-9845183</v>
      </c>
      <c r="BY261" s="208">
        <v>0</v>
      </c>
      <c r="BZ261" s="208">
        <v>-2414463</v>
      </c>
      <c r="CA261" s="208">
        <v>0</v>
      </c>
      <c r="CB261" s="208">
        <v>-24389</v>
      </c>
      <c r="CC261" s="208">
        <v>-2438852</v>
      </c>
      <c r="CD261" s="208">
        <v>0</v>
      </c>
      <c r="CE261" s="208">
        <v>426484</v>
      </c>
      <c r="CF261" s="208">
        <v>0</v>
      </c>
      <c r="CG261" s="208">
        <v>4308</v>
      </c>
      <c r="CH261" s="208">
        <v>430792</v>
      </c>
      <c r="CI261" s="208">
        <v>0</v>
      </c>
      <c r="CJ261" s="208">
        <v>0</v>
      </c>
      <c r="CK261" s="208">
        <v>0</v>
      </c>
      <c r="CL261" s="208">
        <v>0</v>
      </c>
      <c r="CM261" s="208">
        <v>0</v>
      </c>
      <c r="CN261" s="208">
        <v>0</v>
      </c>
      <c r="CO261" s="208">
        <v>1956844</v>
      </c>
      <c r="CP261" s="208">
        <v>0</v>
      </c>
      <c r="CQ261" s="208">
        <v>19766</v>
      </c>
      <c r="CR261" s="208">
        <v>1976610</v>
      </c>
      <c r="CS261" s="208">
        <v>0</v>
      </c>
      <c r="CT261" s="208">
        <v>-2516086</v>
      </c>
      <c r="CU261" s="208">
        <v>0</v>
      </c>
      <c r="CV261" s="208">
        <v>-25415</v>
      </c>
      <c r="CW261" s="208">
        <v>-2541501</v>
      </c>
      <c r="CX261" s="208">
        <v>0</v>
      </c>
      <c r="CY261" s="208">
        <v>-12293953</v>
      </c>
      <c r="CZ261" s="208">
        <v>0</v>
      </c>
      <c r="DA261" s="208">
        <v>-124181</v>
      </c>
      <c r="DB261" s="208">
        <v>-12418134</v>
      </c>
      <c r="DC261" s="208">
        <v>0</v>
      </c>
      <c r="DD261" s="208">
        <v>-7363403</v>
      </c>
      <c r="DE261" s="208">
        <v>0</v>
      </c>
      <c r="DF261" s="208">
        <v>-74378</v>
      </c>
      <c r="DG261" s="208">
        <v>-7437781</v>
      </c>
      <c r="DH261" s="208">
        <v>0</v>
      </c>
      <c r="DI261" s="208">
        <v>-4930549</v>
      </c>
      <c r="DJ261" s="208">
        <v>0</v>
      </c>
      <c r="DK261" s="208">
        <v>-49804</v>
      </c>
      <c r="DL261" s="208">
        <v>-4980353</v>
      </c>
      <c r="DM261" s="208">
        <v>337475</v>
      </c>
      <c r="DN261" s="208">
        <v>1097628</v>
      </c>
      <c r="DO261" s="208">
        <v>0</v>
      </c>
      <c r="DP261" s="208">
        <v>14496</v>
      </c>
      <c r="DQ261" s="208">
        <v>1449599</v>
      </c>
      <c r="DR261" s="208">
        <v>337462</v>
      </c>
      <c r="DS261" s="208">
        <v>980803</v>
      </c>
      <c r="DT261" s="208">
        <v>0</v>
      </c>
      <c r="DU261" s="208">
        <v>13316</v>
      </c>
      <c r="DV261" s="208">
        <v>1331581</v>
      </c>
      <c r="DW261" s="208">
        <v>13</v>
      </c>
      <c r="DX261" s="208">
        <v>116825</v>
      </c>
      <c r="DY261" s="208">
        <v>0</v>
      </c>
      <c r="DZ261" s="208">
        <v>1180</v>
      </c>
      <c r="EA261" s="208">
        <v>118018</v>
      </c>
      <c r="EB261" s="208">
        <v>0</v>
      </c>
      <c r="EC261" s="208">
        <v>46383007</v>
      </c>
      <c r="ED261" s="208">
        <v>0</v>
      </c>
      <c r="EE261" s="208">
        <v>468515</v>
      </c>
      <c r="EF261" s="208">
        <v>46851522</v>
      </c>
      <c r="EG261" s="208">
        <v>0</v>
      </c>
      <c r="EH261" s="208">
        <v>47533101</v>
      </c>
      <c r="EI261" s="208">
        <v>0</v>
      </c>
      <c r="EJ261" s="208">
        <v>480132</v>
      </c>
      <c r="EK261" s="208">
        <v>48013233</v>
      </c>
      <c r="EL261" s="208">
        <v>0</v>
      </c>
      <c r="EM261" s="208">
        <v>1150094</v>
      </c>
      <c r="EN261" s="208">
        <v>0</v>
      </c>
      <c r="EO261" s="208">
        <v>11617</v>
      </c>
      <c r="EP261" s="208">
        <v>1161711</v>
      </c>
      <c r="EQ261" s="208">
        <v>13</v>
      </c>
      <c r="ER261" s="208">
        <v>1266919</v>
      </c>
      <c r="ES261" s="208">
        <v>0</v>
      </c>
      <c r="ET261" s="208">
        <v>12797</v>
      </c>
      <c r="EU261" s="208">
        <v>1279729</v>
      </c>
      <c r="EV261" s="666">
        <v>0</v>
      </c>
      <c r="EW261" s="666">
        <v>0.99</v>
      </c>
      <c r="EX261" s="666">
        <v>0</v>
      </c>
      <c r="EY261" s="666">
        <v>0.01</v>
      </c>
      <c r="EZ261" s="666">
        <v>1</v>
      </c>
      <c r="FA261" s="187" t="s">
        <v>1056</v>
      </c>
      <c r="FC261" s="187">
        <v>0</v>
      </c>
    </row>
    <row r="262" spans="1:159" s="187" customFormat="1" x14ac:dyDescent="0.2">
      <c r="B262" s="429" t="s">
        <v>602</v>
      </c>
      <c r="C262" s="429" t="s">
        <v>601</v>
      </c>
      <c r="D262" s="208">
        <v>22085899</v>
      </c>
      <c r="E262" s="208">
        <v>17668720</v>
      </c>
      <c r="F262" s="208">
        <v>3975462</v>
      </c>
      <c r="G262" s="208">
        <v>441718</v>
      </c>
      <c r="H262" s="208">
        <v>44171799</v>
      </c>
      <c r="I262" s="208">
        <v>0</v>
      </c>
      <c r="J262" s="208">
        <v>0</v>
      </c>
      <c r="K262" s="208">
        <v>22085899</v>
      </c>
      <c r="L262" s="208">
        <v>167669</v>
      </c>
      <c r="M262" s="208">
        <v>167669</v>
      </c>
      <c r="N262" s="208">
        <v>0</v>
      </c>
      <c r="O262" s="208">
        <v>0</v>
      </c>
      <c r="P262" s="208">
        <v>0</v>
      </c>
      <c r="Q262" s="208">
        <v>0</v>
      </c>
      <c r="R262" s="208">
        <v>0</v>
      </c>
      <c r="S262" s="208">
        <v>0</v>
      </c>
      <c r="T262" s="208">
        <v>0</v>
      </c>
      <c r="U262" s="208">
        <v>0</v>
      </c>
      <c r="V262" s="208">
        <v>0</v>
      </c>
      <c r="W262" s="208">
        <v>0</v>
      </c>
      <c r="X262" s="208">
        <v>0</v>
      </c>
      <c r="Y262" s="208">
        <v>0</v>
      </c>
      <c r="Z262" s="208">
        <v>0</v>
      </c>
      <c r="AA262" s="208">
        <v>0</v>
      </c>
      <c r="AB262" s="208">
        <v>0</v>
      </c>
      <c r="AC262" s="208">
        <v>0</v>
      </c>
      <c r="AD262" s="208">
        <v>0</v>
      </c>
      <c r="AE262" s="208">
        <v>0</v>
      </c>
      <c r="AF262" s="208">
        <v>0</v>
      </c>
      <c r="AG262" s="208">
        <v>1859972</v>
      </c>
      <c r="AH262" s="208">
        <v>418495</v>
      </c>
      <c r="AI262" s="208">
        <v>46500</v>
      </c>
      <c r="AJ262" s="208">
        <v>2324967</v>
      </c>
      <c r="AK262" s="208">
        <v>637181</v>
      </c>
      <c r="AL262" s="208">
        <v>509744</v>
      </c>
      <c r="AM262" s="208">
        <v>114692</v>
      </c>
      <c r="AN262" s="208">
        <v>12744</v>
      </c>
      <c r="AO262" s="208">
        <v>1274361</v>
      </c>
      <c r="AP262" s="208">
        <v>-261558</v>
      </c>
      <c r="AQ262" s="208">
        <v>-209246</v>
      </c>
      <c r="AR262" s="208">
        <v>-47080</v>
      </c>
      <c r="AS262" s="208">
        <v>-5231</v>
      </c>
      <c r="AT262" s="208">
        <v>-523115</v>
      </c>
      <c r="AU262" s="208">
        <v>-509428</v>
      </c>
      <c r="AV262" s="208">
        <v>-407543</v>
      </c>
      <c r="AW262" s="208">
        <v>-91697</v>
      </c>
      <c r="AX262" s="208">
        <v>-10189</v>
      </c>
      <c r="AY262" s="208">
        <v>-1018857</v>
      </c>
      <c r="AZ262" s="208">
        <v>217075</v>
      </c>
      <c r="BA262" s="208">
        <v>173660</v>
      </c>
      <c r="BB262" s="208">
        <v>39074</v>
      </c>
      <c r="BC262" s="208">
        <v>4342</v>
      </c>
      <c r="BD262" s="208">
        <v>434151</v>
      </c>
      <c r="BE262" s="208">
        <v>-166330</v>
      </c>
      <c r="BF262" s="208">
        <v>-133065</v>
      </c>
      <c r="BG262" s="208">
        <v>-29940</v>
      </c>
      <c r="BH262" s="208">
        <v>-3327</v>
      </c>
      <c r="BI262" s="208">
        <v>-332662</v>
      </c>
      <c r="BJ262" s="208">
        <v>-458683</v>
      </c>
      <c r="BK262" s="208">
        <v>-366948</v>
      </c>
      <c r="BL262" s="208">
        <v>-82563</v>
      </c>
      <c r="BM262" s="208">
        <v>-9174</v>
      </c>
      <c r="BN262" s="208">
        <v>-917368</v>
      </c>
      <c r="BO262" s="208">
        <v>-3309524</v>
      </c>
      <c r="BP262" s="208">
        <v>-2647618</v>
      </c>
      <c r="BQ262" s="208">
        <v>-595714</v>
      </c>
      <c r="BR262" s="208">
        <v>-66190</v>
      </c>
      <c r="BS262" s="208">
        <v>-6619046</v>
      </c>
      <c r="BT262" s="208">
        <v>-1994452</v>
      </c>
      <c r="BU262" s="208">
        <v>-1595562</v>
      </c>
      <c r="BV262" s="208">
        <v>-359001</v>
      </c>
      <c r="BW262" s="208">
        <v>-39889</v>
      </c>
      <c r="BX262" s="208">
        <v>-3988904</v>
      </c>
      <c r="BY262" s="208">
        <v>-1315071</v>
      </c>
      <c r="BZ262" s="208">
        <v>-1052057</v>
      </c>
      <c r="CA262" s="208">
        <v>-236713</v>
      </c>
      <c r="CB262" s="208">
        <v>-26301</v>
      </c>
      <c r="CC262" s="208">
        <v>-2630142</v>
      </c>
      <c r="CD262" s="208">
        <v>375159</v>
      </c>
      <c r="CE262" s="208">
        <v>300126</v>
      </c>
      <c r="CF262" s="208">
        <v>67528</v>
      </c>
      <c r="CG262" s="208">
        <v>7503</v>
      </c>
      <c r="CH262" s="208">
        <v>750316</v>
      </c>
      <c r="CI262" s="208">
        <v>209339</v>
      </c>
      <c r="CJ262" s="208">
        <v>167472</v>
      </c>
      <c r="CK262" s="208">
        <v>37681</v>
      </c>
      <c r="CL262" s="208">
        <v>4187</v>
      </c>
      <c r="CM262" s="208">
        <v>418679</v>
      </c>
      <c r="CN262" s="208">
        <v>-1628181</v>
      </c>
      <c r="CO262" s="208">
        <v>-1302544</v>
      </c>
      <c r="CP262" s="208">
        <v>-293072</v>
      </c>
      <c r="CQ262" s="208">
        <v>-32564</v>
      </c>
      <c r="CR262" s="208">
        <v>-3256361</v>
      </c>
      <c r="CS262" s="208">
        <v>-2348146</v>
      </c>
      <c r="CT262" s="208">
        <v>-1878517</v>
      </c>
      <c r="CU262" s="208">
        <v>-422666</v>
      </c>
      <c r="CV262" s="208">
        <v>-46963</v>
      </c>
      <c r="CW262" s="208">
        <v>-4696292</v>
      </c>
      <c r="CX262" s="208">
        <v>-6701353</v>
      </c>
      <c r="CY262" s="208">
        <v>-5361081</v>
      </c>
      <c r="CZ262" s="208">
        <v>-1206243</v>
      </c>
      <c r="DA262" s="208">
        <v>-134027</v>
      </c>
      <c r="DB262" s="208">
        <v>-13402704</v>
      </c>
      <c r="DC262" s="208">
        <v>-3247474</v>
      </c>
      <c r="DD262" s="208">
        <v>-2597980</v>
      </c>
      <c r="DE262" s="208">
        <v>-584545</v>
      </c>
      <c r="DF262" s="208">
        <v>-64950</v>
      </c>
      <c r="DG262" s="208">
        <v>-6494949</v>
      </c>
      <c r="DH262" s="208">
        <v>-3453878</v>
      </c>
      <c r="DI262" s="208">
        <v>-2763102</v>
      </c>
      <c r="DJ262" s="208">
        <v>-621698</v>
      </c>
      <c r="DK262" s="208">
        <v>-69077</v>
      </c>
      <c r="DL262" s="208">
        <v>-6907755</v>
      </c>
      <c r="DM262" s="208">
        <v>230579</v>
      </c>
      <c r="DN262" s="208">
        <v>184464</v>
      </c>
      <c r="DO262" s="208">
        <v>41506</v>
      </c>
      <c r="DP262" s="208">
        <v>4611</v>
      </c>
      <c r="DQ262" s="208">
        <v>461160</v>
      </c>
      <c r="DR262" s="208">
        <v>-98501</v>
      </c>
      <c r="DS262" s="208">
        <v>-78800</v>
      </c>
      <c r="DT262" s="208">
        <v>-17730</v>
      </c>
      <c r="DU262" s="208">
        <v>-1970</v>
      </c>
      <c r="DV262" s="208">
        <v>-197001</v>
      </c>
      <c r="DW262" s="208">
        <v>329080</v>
      </c>
      <c r="DX262" s="208">
        <v>263264</v>
      </c>
      <c r="DY262" s="208">
        <v>59236</v>
      </c>
      <c r="DZ262" s="208">
        <v>6581</v>
      </c>
      <c r="EA262" s="208">
        <v>658161</v>
      </c>
      <c r="EB262" s="208">
        <v>24293760</v>
      </c>
      <c r="EC262" s="208">
        <v>19435008</v>
      </c>
      <c r="ED262" s="208">
        <v>4372877</v>
      </c>
      <c r="EE262" s="208">
        <v>485875</v>
      </c>
      <c r="EF262" s="208">
        <v>48587520</v>
      </c>
      <c r="EG262" s="208">
        <v>22085899</v>
      </c>
      <c r="EH262" s="208">
        <v>17668720</v>
      </c>
      <c r="EI262" s="208">
        <v>3975462</v>
      </c>
      <c r="EJ262" s="208">
        <v>441718</v>
      </c>
      <c r="EK262" s="208">
        <v>44171799</v>
      </c>
      <c r="EL262" s="208">
        <v>-2207861</v>
      </c>
      <c r="EM262" s="208">
        <v>-1766288</v>
      </c>
      <c r="EN262" s="208">
        <v>-397415</v>
      </c>
      <c r="EO262" s="208">
        <v>-44157</v>
      </c>
      <c r="EP262" s="208">
        <v>-4415721</v>
      </c>
      <c r="EQ262" s="208">
        <v>-1878781</v>
      </c>
      <c r="ER262" s="208">
        <v>-1503024</v>
      </c>
      <c r="ES262" s="208">
        <v>-338179</v>
      </c>
      <c r="ET262" s="208">
        <v>-37576</v>
      </c>
      <c r="EU262" s="208">
        <v>-3757560</v>
      </c>
      <c r="EV262" s="666">
        <v>0.5</v>
      </c>
      <c r="EW262" s="666">
        <v>0.4</v>
      </c>
      <c r="EX262" s="666">
        <v>0.09</v>
      </c>
      <c r="EY262" s="666">
        <v>0.01</v>
      </c>
      <c r="EZ262" s="666">
        <v>1</v>
      </c>
      <c r="FA262" s="187" t="s">
        <v>1054</v>
      </c>
      <c r="FC262" s="187">
        <v>0</v>
      </c>
    </row>
    <row r="263" spans="1:159" s="187" customFormat="1" x14ac:dyDescent="0.2">
      <c r="B263" s="429" t="s">
        <v>604</v>
      </c>
      <c r="C263" s="429" t="s">
        <v>603</v>
      </c>
      <c r="D263" s="208">
        <v>9796613</v>
      </c>
      <c r="E263" s="208">
        <v>7837290</v>
      </c>
      <c r="F263" s="208">
        <v>1763390</v>
      </c>
      <c r="G263" s="208">
        <v>195932</v>
      </c>
      <c r="H263" s="208">
        <v>19593225</v>
      </c>
      <c r="I263" s="208">
        <v>0</v>
      </c>
      <c r="J263" s="208">
        <v>0</v>
      </c>
      <c r="K263" s="208">
        <v>9796613</v>
      </c>
      <c r="L263" s="208">
        <v>114939</v>
      </c>
      <c r="M263" s="208">
        <v>114939</v>
      </c>
      <c r="N263" s="208">
        <v>0</v>
      </c>
      <c r="O263" s="208">
        <v>0</v>
      </c>
      <c r="P263" s="208">
        <v>0</v>
      </c>
      <c r="Q263" s="208">
        <v>0</v>
      </c>
      <c r="R263" s="208">
        <v>0</v>
      </c>
      <c r="S263" s="208">
        <v>0</v>
      </c>
      <c r="T263" s="208">
        <v>0</v>
      </c>
      <c r="U263" s="208">
        <v>0</v>
      </c>
      <c r="V263" s="208">
        <v>0</v>
      </c>
      <c r="W263" s="208">
        <v>0</v>
      </c>
      <c r="X263" s="208">
        <v>0</v>
      </c>
      <c r="Y263" s="208">
        <v>0</v>
      </c>
      <c r="Z263" s="208">
        <v>0</v>
      </c>
      <c r="AA263" s="208">
        <v>0</v>
      </c>
      <c r="AB263" s="208">
        <v>0</v>
      </c>
      <c r="AC263" s="208">
        <v>0</v>
      </c>
      <c r="AD263" s="208">
        <v>0</v>
      </c>
      <c r="AE263" s="208">
        <v>0</v>
      </c>
      <c r="AF263" s="208">
        <v>0</v>
      </c>
      <c r="AG263" s="208">
        <v>1286391</v>
      </c>
      <c r="AH263" s="208">
        <v>289436</v>
      </c>
      <c r="AI263" s="208">
        <v>32160</v>
      </c>
      <c r="AJ263" s="208">
        <v>1607987</v>
      </c>
      <c r="AK263" s="208">
        <v>319917</v>
      </c>
      <c r="AL263" s="208">
        <v>255934</v>
      </c>
      <c r="AM263" s="208">
        <v>57585</v>
      </c>
      <c r="AN263" s="208">
        <v>6398</v>
      </c>
      <c r="AO263" s="208">
        <v>639834</v>
      </c>
      <c r="AP263" s="208">
        <v>-211802</v>
      </c>
      <c r="AQ263" s="208">
        <v>-169441</v>
      </c>
      <c r="AR263" s="208">
        <v>-38124</v>
      </c>
      <c r="AS263" s="208">
        <v>-4236</v>
      </c>
      <c r="AT263" s="208">
        <v>-423603</v>
      </c>
      <c r="AU263" s="208">
        <v>-189398</v>
      </c>
      <c r="AV263" s="208">
        <v>-151519</v>
      </c>
      <c r="AW263" s="208">
        <v>-34092</v>
      </c>
      <c r="AX263" s="208">
        <v>-3788</v>
      </c>
      <c r="AY263" s="208">
        <v>-378797</v>
      </c>
      <c r="AZ263" s="208">
        <v>3655</v>
      </c>
      <c r="BA263" s="208">
        <v>2924</v>
      </c>
      <c r="BB263" s="208">
        <v>658</v>
      </c>
      <c r="BC263" s="208">
        <v>73</v>
      </c>
      <c r="BD263" s="208">
        <v>7310</v>
      </c>
      <c r="BE263" s="208">
        <v>-47934</v>
      </c>
      <c r="BF263" s="208">
        <v>-38347</v>
      </c>
      <c r="BG263" s="208">
        <v>-8628</v>
      </c>
      <c r="BH263" s="208">
        <v>-959</v>
      </c>
      <c r="BI263" s="208">
        <v>-95868</v>
      </c>
      <c r="BJ263" s="208">
        <v>-233677</v>
      </c>
      <c r="BK263" s="208">
        <v>-186942</v>
      </c>
      <c r="BL263" s="208">
        <v>-42062</v>
      </c>
      <c r="BM263" s="208">
        <v>-4674</v>
      </c>
      <c r="BN263" s="208">
        <v>-467355</v>
      </c>
      <c r="BO263" s="208">
        <v>-1645800.5</v>
      </c>
      <c r="BP263" s="208">
        <v>-1316641</v>
      </c>
      <c r="BQ263" s="208">
        <v>-296244</v>
      </c>
      <c r="BR263" s="208">
        <v>-32916</v>
      </c>
      <c r="BS263" s="208">
        <v>-3291601.5</v>
      </c>
      <c r="BT263" s="208">
        <v>0</v>
      </c>
      <c r="BU263" s="208">
        <v>0</v>
      </c>
      <c r="BV263" s="208">
        <v>0</v>
      </c>
      <c r="BW263" s="208">
        <v>0</v>
      </c>
      <c r="BX263" s="208">
        <v>0</v>
      </c>
      <c r="BY263" s="208">
        <v>-1645800.5</v>
      </c>
      <c r="BZ263" s="208">
        <v>-1316641</v>
      </c>
      <c r="CA263" s="208">
        <v>-296244</v>
      </c>
      <c r="CB263" s="208">
        <v>-32916</v>
      </c>
      <c r="CC263" s="208">
        <v>-3291601.5</v>
      </c>
      <c r="CD263" s="208">
        <v>67079</v>
      </c>
      <c r="CE263" s="208">
        <v>53664</v>
      </c>
      <c r="CF263" s="208">
        <v>12074</v>
      </c>
      <c r="CG263" s="208">
        <v>1342</v>
      </c>
      <c r="CH263" s="208">
        <v>134159</v>
      </c>
      <c r="CI263" s="208">
        <v>4573</v>
      </c>
      <c r="CJ263" s="208">
        <v>3658</v>
      </c>
      <c r="CK263" s="208">
        <v>823</v>
      </c>
      <c r="CL263" s="208">
        <v>91</v>
      </c>
      <c r="CM263" s="208">
        <v>9145</v>
      </c>
      <c r="CN263" s="208">
        <v>-267311</v>
      </c>
      <c r="CO263" s="208">
        <v>-213848</v>
      </c>
      <c r="CP263" s="208">
        <v>-48116</v>
      </c>
      <c r="CQ263" s="208">
        <v>-5346</v>
      </c>
      <c r="CR263" s="208">
        <v>-534621</v>
      </c>
      <c r="CS263" s="208">
        <v>-469743</v>
      </c>
      <c r="CT263" s="208">
        <v>-375795</v>
      </c>
      <c r="CU263" s="208">
        <v>-84554</v>
      </c>
      <c r="CV263" s="208">
        <v>-9395</v>
      </c>
      <c r="CW263" s="208">
        <v>-939487</v>
      </c>
      <c r="CX263" s="208">
        <v>-2311202.5</v>
      </c>
      <c r="CY263" s="208">
        <v>-1848962</v>
      </c>
      <c r="CZ263" s="208">
        <v>-416017</v>
      </c>
      <c r="DA263" s="208">
        <v>-46224</v>
      </c>
      <c r="DB263" s="208">
        <v>-4622405.5</v>
      </c>
      <c r="DC263" s="208">
        <v>-200232</v>
      </c>
      <c r="DD263" s="208">
        <v>-160184</v>
      </c>
      <c r="DE263" s="208">
        <v>-36042</v>
      </c>
      <c r="DF263" s="208">
        <v>-4004</v>
      </c>
      <c r="DG263" s="208">
        <v>-400462</v>
      </c>
      <c r="DH263" s="208">
        <v>-2110970.5</v>
      </c>
      <c r="DI263" s="208">
        <v>-1688778</v>
      </c>
      <c r="DJ263" s="208">
        <v>-379975</v>
      </c>
      <c r="DK263" s="208">
        <v>-42220</v>
      </c>
      <c r="DL263" s="208">
        <v>-4221943.5</v>
      </c>
      <c r="DM263" s="208">
        <v>-916352</v>
      </c>
      <c r="DN263" s="208">
        <v>-733081</v>
      </c>
      <c r="DO263" s="208">
        <v>-164943</v>
      </c>
      <c r="DP263" s="208">
        <v>-18327</v>
      </c>
      <c r="DQ263" s="208">
        <v>-1832703</v>
      </c>
      <c r="DR263" s="208">
        <v>-772439</v>
      </c>
      <c r="DS263" s="208">
        <v>-617952</v>
      </c>
      <c r="DT263" s="208">
        <v>-139039</v>
      </c>
      <c r="DU263" s="208">
        <v>-15449</v>
      </c>
      <c r="DV263" s="208">
        <v>-1544879</v>
      </c>
      <c r="DW263" s="208">
        <v>-143913</v>
      </c>
      <c r="DX263" s="208">
        <v>-115129</v>
      </c>
      <c r="DY263" s="208">
        <v>-25904</v>
      </c>
      <c r="DZ263" s="208">
        <v>-2878</v>
      </c>
      <c r="EA263" s="208">
        <v>-287824</v>
      </c>
      <c r="EB263" s="208">
        <v>10048825</v>
      </c>
      <c r="EC263" s="208">
        <v>8039060</v>
      </c>
      <c r="ED263" s="208">
        <v>1808789</v>
      </c>
      <c r="EE263" s="208">
        <v>200977</v>
      </c>
      <c r="EF263" s="208">
        <v>20097651</v>
      </c>
      <c r="EG263" s="208">
        <v>9796613</v>
      </c>
      <c r="EH263" s="208">
        <v>7837290</v>
      </c>
      <c r="EI263" s="208">
        <v>1763390</v>
      </c>
      <c r="EJ263" s="208">
        <v>195932</v>
      </c>
      <c r="EK263" s="208">
        <v>19593225</v>
      </c>
      <c r="EL263" s="208">
        <v>-252212</v>
      </c>
      <c r="EM263" s="208">
        <v>-201770</v>
      </c>
      <c r="EN263" s="208">
        <v>-45399</v>
      </c>
      <c r="EO263" s="208">
        <v>-5045</v>
      </c>
      <c r="EP263" s="208">
        <v>-504426</v>
      </c>
      <c r="EQ263" s="208">
        <v>-396125</v>
      </c>
      <c r="ER263" s="208">
        <v>-316899</v>
      </c>
      <c r="ES263" s="208">
        <v>-71303</v>
      </c>
      <c r="ET263" s="208">
        <v>-7923</v>
      </c>
      <c r="EU263" s="208">
        <v>-792250</v>
      </c>
      <c r="EV263" s="666">
        <v>0.5</v>
      </c>
      <c r="EW263" s="666">
        <v>0.4</v>
      </c>
      <c r="EX263" s="666">
        <v>0.09</v>
      </c>
      <c r="EY263" s="666">
        <v>0.01</v>
      </c>
      <c r="EZ263" s="666">
        <v>1</v>
      </c>
      <c r="FA263" s="187" t="s">
        <v>1054</v>
      </c>
      <c r="FC263" s="187">
        <v>0</v>
      </c>
    </row>
    <row r="264" spans="1:159" s="187" customFormat="1" x14ac:dyDescent="0.2">
      <c r="A264" s="188"/>
      <c r="B264" s="429" t="s">
        <v>606</v>
      </c>
      <c r="C264" s="429" t="s">
        <v>605</v>
      </c>
      <c r="D264" s="208">
        <v>21822400</v>
      </c>
      <c r="E264" s="208">
        <v>17457920</v>
      </c>
      <c r="F264" s="208">
        <v>4364480</v>
      </c>
      <c r="G264" s="208">
        <v>0</v>
      </c>
      <c r="H264" s="208">
        <v>43644800</v>
      </c>
      <c r="I264" s="208">
        <v>0</v>
      </c>
      <c r="J264" s="208">
        <v>0</v>
      </c>
      <c r="K264" s="208">
        <v>21822400</v>
      </c>
      <c r="L264" s="208">
        <v>107068</v>
      </c>
      <c r="M264" s="208">
        <v>107068</v>
      </c>
      <c r="N264" s="208">
        <v>0</v>
      </c>
      <c r="O264" s="208">
        <v>0</v>
      </c>
      <c r="P264" s="208">
        <v>0</v>
      </c>
      <c r="Q264" s="208">
        <v>0</v>
      </c>
      <c r="R264" s="208">
        <v>0</v>
      </c>
      <c r="S264" s="208">
        <v>0</v>
      </c>
      <c r="T264" s="208">
        <v>0</v>
      </c>
      <c r="U264" s="208">
        <v>0</v>
      </c>
      <c r="V264" s="208">
        <v>0</v>
      </c>
      <c r="W264" s="208">
        <v>0</v>
      </c>
      <c r="X264" s="208">
        <v>0</v>
      </c>
      <c r="Y264" s="208">
        <v>0</v>
      </c>
      <c r="Z264" s="208">
        <v>0</v>
      </c>
      <c r="AA264" s="208">
        <v>0</v>
      </c>
      <c r="AB264" s="208">
        <v>0</v>
      </c>
      <c r="AC264" s="208">
        <v>0</v>
      </c>
      <c r="AD264" s="208">
        <v>0</v>
      </c>
      <c r="AE264" s="208">
        <v>0</v>
      </c>
      <c r="AF264" s="208">
        <v>0</v>
      </c>
      <c r="AG264" s="208">
        <v>1066002</v>
      </c>
      <c r="AH264" s="208">
        <v>266501</v>
      </c>
      <c r="AI264" s="208">
        <v>0</v>
      </c>
      <c r="AJ264" s="208">
        <v>1332503</v>
      </c>
      <c r="AK264" s="208">
        <v>353127</v>
      </c>
      <c r="AL264" s="208">
        <v>282501</v>
      </c>
      <c r="AM264" s="208">
        <v>70625</v>
      </c>
      <c r="AN264" s="208">
        <v>0</v>
      </c>
      <c r="AO264" s="208">
        <v>706253</v>
      </c>
      <c r="AP264" s="208">
        <v>-596043</v>
      </c>
      <c r="AQ264" s="208">
        <v>-476834</v>
      </c>
      <c r="AR264" s="208">
        <v>-119209</v>
      </c>
      <c r="AS264" s="208">
        <v>0</v>
      </c>
      <c r="AT264" s="208">
        <v>-1192086</v>
      </c>
      <c r="AU264" s="208">
        <v>-473935</v>
      </c>
      <c r="AV264" s="208">
        <v>-379148</v>
      </c>
      <c r="AW264" s="208">
        <v>-94787</v>
      </c>
      <c r="AX264" s="208">
        <v>0</v>
      </c>
      <c r="AY264" s="208">
        <v>-947870</v>
      </c>
      <c r="AZ264" s="208">
        <v>99759</v>
      </c>
      <c r="BA264" s="208">
        <v>79807</v>
      </c>
      <c r="BB264" s="208">
        <v>19952</v>
      </c>
      <c r="BC264" s="208">
        <v>0</v>
      </c>
      <c r="BD264" s="208">
        <v>199518</v>
      </c>
      <c r="BE264" s="208">
        <v>97968</v>
      </c>
      <c r="BF264" s="208">
        <v>78375</v>
      </c>
      <c r="BG264" s="208">
        <v>19594</v>
      </c>
      <c r="BH264" s="208">
        <v>0</v>
      </c>
      <c r="BI264" s="208">
        <v>195937</v>
      </c>
      <c r="BJ264" s="208">
        <v>-276208</v>
      </c>
      <c r="BK264" s="208">
        <v>-220966</v>
      </c>
      <c r="BL264" s="208">
        <v>-55241</v>
      </c>
      <c r="BM264" s="208">
        <v>0</v>
      </c>
      <c r="BN264" s="208">
        <v>-552415</v>
      </c>
      <c r="BO264" s="208">
        <v>-4191814</v>
      </c>
      <c r="BP264" s="208">
        <v>-3353451</v>
      </c>
      <c r="BQ264" s="208">
        <v>-838363</v>
      </c>
      <c r="BR264" s="208">
        <v>0</v>
      </c>
      <c r="BS264" s="208">
        <v>-8383628</v>
      </c>
      <c r="BT264" s="208">
        <v>-3024622</v>
      </c>
      <c r="BU264" s="208">
        <v>-2419698</v>
      </c>
      <c r="BV264" s="208">
        <v>-604924</v>
      </c>
      <c r="BW264" s="208">
        <v>0</v>
      </c>
      <c r="BX264" s="208">
        <v>-6049244</v>
      </c>
      <c r="BY264" s="208">
        <v>-1167192</v>
      </c>
      <c r="BZ264" s="208">
        <v>-933754</v>
      </c>
      <c r="CA264" s="208">
        <v>-233438</v>
      </c>
      <c r="CB264" s="208">
        <v>0</v>
      </c>
      <c r="CC264" s="208">
        <v>-2334384</v>
      </c>
      <c r="CD264" s="208">
        <v>1373158</v>
      </c>
      <c r="CE264" s="208">
        <v>1098527</v>
      </c>
      <c r="CF264" s="208">
        <v>274632</v>
      </c>
      <c r="CG264" s="208">
        <v>0</v>
      </c>
      <c r="CH264" s="208">
        <v>2746317</v>
      </c>
      <c r="CI264" s="208">
        <v>0</v>
      </c>
      <c r="CJ264" s="208">
        <v>0</v>
      </c>
      <c r="CK264" s="208">
        <v>0</v>
      </c>
      <c r="CL264" s="208">
        <v>0</v>
      </c>
      <c r="CM264" s="208">
        <v>0</v>
      </c>
      <c r="CN264" s="208">
        <v>830827</v>
      </c>
      <c r="CO264" s="208">
        <v>664662</v>
      </c>
      <c r="CP264" s="208">
        <v>166165</v>
      </c>
      <c r="CQ264" s="208">
        <v>0</v>
      </c>
      <c r="CR264" s="208">
        <v>1661654</v>
      </c>
      <c r="CS264" s="208">
        <v>-2137159</v>
      </c>
      <c r="CT264" s="208">
        <v>-1709728</v>
      </c>
      <c r="CU264" s="208">
        <v>-427432</v>
      </c>
      <c r="CV264" s="208">
        <v>0</v>
      </c>
      <c r="CW264" s="208">
        <v>-4274319</v>
      </c>
      <c r="CX264" s="208">
        <v>-4124988</v>
      </c>
      <c r="CY264" s="208">
        <v>-3299990</v>
      </c>
      <c r="CZ264" s="208">
        <v>-824998</v>
      </c>
      <c r="DA264" s="208">
        <v>0</v>
      </c>
      <c r="DB264" s="208">
        <v>-8249976</v>
      </c>
      <c r="DC264" s="208">
        <v>-820637</v>
      </c>
      <c r="DD264" s="208">
        <v>-656509</v>
      </c>
      <c r="DE264" s="208">
        <v>-164127</v>
      </c>
      <c r="DF264" s="208">
        <v>0</v>
      </c>
      <c r="DG264" s="208">
        <v>-1641273</v>
      </c>
      <c r="DH264" s="208">
        <v>-3304351</v>
      </c>
      <c r="DI264" s="208">
        <v>-2643482</v>
      </c>
      <c r="DJ264" s="208">
        <v>-660870</v>
      </c>
      <c r="DK264" s="208">
        <v>0</v>
      </c>
      <c r="DL264" s="208">
        <v>-6608703</v>
      </c>
      <c r="DM264" s="208">
        <v>514066</v>
      </c>
      <c r="DN264" s="208">
        <v>411253</v>
      </c>
      <c r="DO264" s="208">
        <v>102814</v>
      </c>
      <c r="DP264" s="208">
        <v>0</v>
      </c>
      <c r="DQ264" s="208">
        <v>1028133</v>
      </c>
      <c r="DR264" s="208">
        <v>37866</v>
      </c>
      <c r="DS264" s="208">
        <v>30293</v>
      </c>
      <c r="DT264" s="208">
        <v>7573</v>
      </c>
      <c r="DU264" s="208">
        <v>0</v>
      </c>
      <c r="DV264" s="208">
        <v>75732</v>
      </c>
      <c r="DW264" s="208">
        <v>476200</v>
      </c>
      <c r="DX264" s="208">
        <v>380960</v>
      </c>
      <c r="DY264" s="208">
        <v>95241</v>
      </c>
      <c r="DZ264" s="208">
        <v>0</v>
      </c>
      <c r="EA264" s="208">
        <v>952401</v>
      </c>
      <c r="EB264" s="208">
        <v>21854042</v>
      </c>
      <c r="EC264" s="208">
        <v>17483234</v>
      </c>
      <c r="ED264" s="208">
        <v>4370808</v>
      </c>
      <c r="EE264" s="208">
        <v>0</v>
      </c>
      <c r="EF264" s="208">
        <v>43708084</v>
      </c>
      <c r="EG264" s="208">
        <v>21822400</v>
      </c>
      <c r="EH264" s="208">
        <v>17457920</v>
      </c>
      <c r="EI264" s="208">
        <v>4364480</v>
      </c>
      <c r="EJ264" s="208">
        <v>0</v>
      </c>
      <c r="EK264" s="208">
        <v>43644800</v>
      </c>
      <c r="EL264" s="208">
        <v>-31642</v>
      </c>
      <c r="EM264" s="208">
        <v>-25314</v>
      </c>
      <c r="EN264" s="208">
        <v>-6328</v>
      </c>
      <c r="EO264" s="208">
        <v>0</v>
      </c>
      <c r="EP264" s="208">
        <v>-63284</v>
      </c>
      <c r="EQ264" s="208">
        <v>444558</v>
      </c>
      <c r="ER264" s="208">
        <v>355646</v>
      </c>
      <c r="ES264" s="208">
        <v>88913</v>
      </c>
      <c r="ET264" s="208">
        <v>0</v>
      </c>
      <c r="EU264" s="208">
        <v>889117</v>
      </c>
      <c r="EV264" s="666">
        <v>0.5</v>
      </c>
      <c r="EW264" s="666">
        <v>0.4</v>
      </c>
      <c r="EX264" s="666">
        <v>0.1</v>
      </c>
      <c r="EY264" s="666">
        <v>0</v>
      </c>
      <c r="EZ264" s="666">
        <v>1</v>
      </c>
      <c r="FA264" s="187" t="s">
        <v>1054</v>
      </c>
      <c r="FC264" s="187">
        <v>0</v>
      </c>
    </row>
    <row r="265" spans="1:159" s="187" customFormat="1" x14ac:dyDescent="0.2">
      <c r="B265" s="429" t="s">
        <v>608</v>
      </c>
      <c r="C265" s="429" t="s">
        <v>607</v>
      </c>
      <c r="D265" s="208">
        <v>0</v>
      </c>
      <c r="E265" s="208">
        <v>81322346</v>
      </c>
      <c r="F265" s="208">
        <v>0</v>
      </c>
      <c r="G265" s="208">
        <v>821438</v>
      </c>
      <c r="H265" s="208">
        <v>82143784</v>
      </c>
      <c r="I265" s="208">
        <v>0</v>
      </c>
      <c r="J265" s="208">
        <v>0</v>
      </c>
      <c r="K265" s="208">
        <v>0</v>
      </c>
      <c r="L265" s="208">
        <v>429558</v>
      </c>
      <c r="M265" s="208">
        <v>429558</v>
      </c>
      <c r="N265" s="208">
        <v>0</v>
      </c>
      <c r="O265" s="208">
        <v>0</v>
      </c>
      <c r="P265" s="208">
        <v>0</v>
      </c>
      <c r="Q265" s="208">
        <v>0</v>
      </c>
      <c r="R265" s="208">
        <v>0</v>
      </c>
      <c r="S265" s="208">
        <v>0</v>
      </c>
      <c r="T265" s="208">
        <v>0</v>
      </c>
      <c r="U265" s="208">
        <v>0</v>
      </c>
      <c r="V265" s="208">
        <v>0</v>
      </c>
      <c r="W265" s="208">
        <v>0</v>
      </c>
      <c r="X265" s="208">
        <v>0</v>
      </c>
      <c r="Y265" s="208">
        <v>0</v>
      </c>
      <c r="Z265" s="208">
        <v>0</v>
      </c>
      <c r="AA265" s="208">
        <v>0</v>
      </c>
      <c r="AB265" s="208">
        <v>0</v>
      </c>
      <c r="AC265" s="208">
        <v>0</v>
      </c>
      <c r="AD265" s="208">
        <v>0</v>
      </c>
      <c r="AE265" s="208">
        <v>0</v>
      </c>
      <c r="AF265" s="208">
        <v>0</v>
      </c>
      <c r="AG265" s="208">
        <v>10531579</v>
      </c>
      <c r="AH265" s="208">
        <v>0</v>
      </c>
      <c r="AI265" s="208">
        <v>106380</v>
      </c>
      <c r="AJ265" s="208">
        <v>10637959</v>
      </c>
      <c r="AK265" s="208">
        <v>0</v>
      </c>
      <c r="AL265" s="208">
        <v>6744424</v>
      </c>
      <c r="AM265" s="208">
        <v>0</v>
      </c>
      <c r="AN265" s="208">
        <v>68125</v>
      </c>
      <c r="AO265" s="208">
        <v>6812549</v>
      </c>
      <c r="AP265" s="208">
        <v>0</v>
      </c>
      <c r="AQ265" s="208">
        <v>-2522834</v>
      </c>
      <c r="AR265" s="208">
        <v>0</v>
      </c>
      <c r="AS265" s="208">
        <v>-25483</v>
      </c>
      <c r="AT265" s="208">
        <v>-2548317</v>
      </c>
      <c r="AU265" s="208">
        <v>-8.9999999850988388E-2</v>
      </c>
      <c r="AV265" s="208">
        <v>-4750221</v>
      </c>
      <c r="AW265" s="208">
        <v>0</v>
      </c>
      <c r="AX265" s="208">
        <v>-47982</v>
      </c>
      <c r="AY265" s="208">
        <v>-4798203.09</v>
      </c>
      <c r="AZ265" s="208">
        <v>0</v>
      </c>
      <c r="BA265" s="208">
        <v>1322552</v>
      </c>
      <c r="BB265" s="208">
        <v>0</v>
      </c>
      <c r="BC265" s="208">
        <v>13359</v>
      </c>
      <c r="BD265" s="208">
        <v>1335911</v>
      </c>
      <c r="BE265" s="208">
        <v>0</v>
      </c>
      <c r="BF265" s="208">
        <v>-2110775</v>
      </c>
      <c r="BG265" s="208">
        <v>0</v>
      </c>
      <c r="BH265" s="208">
        <v>-21321</v>
      </c>
      <c r="BI265" s="208">
        <v>-2132096</v>
      </c>
      <c r="BJ265" s="208">
        <v>-8.9999999850988388E-2</v>
      </c>
      <c r="BK265" s="208">
        <v>-5538444</v>
      </c>
      <c r="BL265" s="208">
        <v>0</v>
      </c>
      <c r="BM265" s="208">
        <v>-55944</v>
      </c>
      <c r="BN265" s="208">
        <v>-5594388.0899999999</v>
      </c>
      <c r="BO265" s="208">
        <v>-0.4699999988079071</v>
      </c>
      <c r="BP265" s="208">
        <v>-9313836</v>
      </c>
      <c r="BQ265" s="208">
        <v>0</v>
      </c>
      <c r="BR265" s="208">
        <v>-94079</v>
      </c>
      <c r="BS265" s="208">
        <v>-9407915.4699999988</v>
      </c>
      <c r="BT265" s="208">
        <v>-0.4699999988079071</v>
      </c>
      <c r="BU265" s="208">
        <v>-4453852</v>
      </c>
      <c r="BV265" s="208">
        <v>0</v>
      </c>
      <c r="BW265" s="208">
        <v>-44988</v>
      </c>
      <c r="BX265" s="208">
        <v>-4498840.4699999988</v>
      </c>
      <c r="BY265" s="208">
        <v>0</v>
      </c>
      <c r="BZ265" s="208">
        <v>-4859984</v>
      </c>
      <c r="CA265" s="208">
        <v>0</v>
      </c>
      <c r="CB265" s="208">
        <v>-49091</v>
      </c>
      <c r="CC265" s="208">
        <v>-4909075</v>
      </c>
      <c r="CD265" s="208">
        <v>0</v>
      </c>
      <c r="CE265" s="208">
        <v>1378824</v>
      </c>
      <c r="CF265" s="208">
        <v>0</v>
      </c>
      <c r="CG265" s="208">
        <v>13928</v>
      </c>
      <c r="CH265" s="208">
        <v>1392752</v>
      </c>
      <c r="CI265" s="208">
        <v>0</v>
      </c>
      <c r="CJ265" s="208">
        <v>468422</v>
      </c>
      <c r="CK265" s="208">
        <v>0</v>
      </c>
      <c r="CL265" s="208">
        <v>4732</v>
      </c>
      <c r="CM265" s="208">
        <v>473154</v>
      </c>
      <c r="CN265" s="208">
        <v>0</v>
      </c>
      <c r="CO265" s="208">
        <v>-1051216</v>
      </c>
      <c r="CP265" s="208">
        <v>0</v>
      </c>
      <c r="CQ265" s="208">
        <v>-10618</v>
      </c>
      <c r="CR265" s="208">
        <v>-1061834</v>
      </c>
      <c r="CS265" s="208">
        <v>0</v>
      </c>
      <c r="CT265" s="208">
        <v>-4881554</v>
      </c>
      <c r="CU265" s="208">
        <v>0</v>
      </c>
      <c r="CV265" s="208">
        <v>-49309</v>
      </c>
      <c r="CW265" s="208">
        <v>-4930863</v>
      </c>
      <c r="CX265" s="208">
        <v>-0.4699999988079071</v>
      </c>
      <c r="CY265" s="208">
        <v>-13399360</v>
      </c>
      <c r="CZ265" s="208">
        <v>0</v>
      </c>
      <c r="DA265" s="208">
        <v>-135346</v>
      </c>
      <c r="DB265" s="208">
        <v>-13534706.469999999</v>
      </c>
      <c r="DC265" s="208">
        <v>-0.4699999988079071</v>
      </c>
      <c r="DD265" s="208">
        <v>-4126244</v>
      </c>
      <c r="DE265" s="208">
        <v>0</v>
      </c>
      <c r="DF265" s="208">
        <v>-41678</v>
      </c>
      <c r="DG265" s="208">
        <v>-4167922.4699999988</v>
      </c>
      <c r="DH265" s="208">
        <v>0</v>
      </c>
      <c r="DI265" s="208">
        <v>-9273116</v>
      </c>
      <c r="DJ265" s="208">
        <v>0</v>
      </c>
      <c r="DK265" s="208">
        <v>-93668</v>
      </c>
      <c r="DL265" s="208">
        <v>-9366784</v>
      </c>
      <c r="DM265" s="208">
        <v>281877.96999999881</v>
      </c>
      <c r="DN265" s="208">
        <v>-2700288</v>
      </c>
      <c r="DO265" s="208">
        <v>0</v>
      </c>
      <c r="DP265" s="208">
        <v>-24428</v>
      </c>
      <c r="DQ265" s="208">
        <v>-2442838.0300000012</v>
      </c>
      <c r="DR265" s="208">
        <v>281678</v>
      </c>
      <c r="DS265" s="208">
        <v>-2918765</v>
      </c>
      <c r="DT265" s="208">
        <v>0</v>
      </c>
      <c r="DU265" s="208">
        <v>-26637</v>
      </c>
      <c r="DV265" s="208">
        <v>-2663724</v>
      </c>
      <c r="DW265" s="208">
        <v>199.96999999880791</v>
      </c>
      <c r="DX265" s="208">
        <v>218477</v>
      </c>
      <c r="DY265" s="208">
        <v>0</v>
      </c>
      <c r="DZ265" s="208">
        <v>2209</v>
      </c>
      <c r="EA265" s="208">
        <v>220885.96999999881</v>
      </c>
      <c r="EB265" s="208">
        <v>0</v>
      </c>
      <c r="EC265" s="208">
        <v>80127676</v>
      </c>
      <c r="ED265" s="208">
        <v>0</v>
      </c>
      <c r="EE265" s="208">
        <v>809370</v>
      </c>
      <c r="EF265" s="208">
        <v>80937046</v>
      </c>
      <c r="EG265" s="208">
        <v>0</v>
      </c>
      <c r="EH265" s="208">
        <v>81322346</v>
      </c>
      <c r="EI265" s="208">
        <v>0</v>
      </c>
      <c r="EJ265" s="208">
        <v>821438</v>
      </c>
      <c r="EK265" s="208">
        <v>82143784</v>
      </c>
      <c r="EL265" s="208">
        <v>0</v>
      </c>
      <c r="EM265" s="208">
        <v>1194670</v>
      </c>
      <c r="EN265" s="208">
        <v>0</v>
      </c>
      <c r="EO265" s="208">
        <v>12068</v>
      </c>
      <c r="EP265" s="208">
        <v>1206738</v>
      </c>
      <c r="EQ265" s="208">
        <v>199.96999999880791</v>
      </c>
      <c r="ER265" s="208">
        <v>1413147</v>
      </c>
      <c r="ES265" s="208">
        <v>0</v>
      </c>
      <c r="ET265" s="208">
        <v>14277</v>
      </c>
      <c r="EU265" s="208">
        <v>1427623.9699999988</v>
      </c>
      <c r="EV265" s="666">
        <v>0</v>
      </c>
      <c r="EW265" s="666">
        <v>0.99</v>
      </c>
      <c r="EX265" s="666">
        <v>0</v>
      </c>
      <c r="EY265" s="666">
        <v>0.01</v>
      </c>
      <c r="EZ265" s="666">
        <v>1</v>
      </c>
      <c r="FA265" s="187" t="s">
        <v>1056</v>
      </c>
      <c r="FC265" s="187">
        <v>0</v>
      </c>
    </row>
    <row r="266" spans="1:159" s="187" customFormat="1" x14ac:dyDescent="0.2">
      <c r="B266" s="429" t="s">
        <v>610</v>
      </c>
      <c r="C266" s="429" t="s">
        <v>609</v>
      </c>
      <c r="D266" s="208">
        <v>39273315</v>
      </c>
      <c r="E266" s="208">
        <v>38487849</v>
      </c>
      <c r="F266" s="208">
        <v>0</v>
      </c>
      <c r="G266" s="208">
        <v>785466</v>
      </c>
      <c r="H266" s="208">
        <v>78546630</v>
      </c>
      <c r="I266" s="208">
        <v>107676</v>
      </c>
      <c r="J266" s="208">
        <v>107676</v>
      </c>
      <c r="K266" s="208">
        <v>39165639</v>
      </c>
      <c r="L266" s="208">
        <v>241023</v>
      </c>
      <c r="M266" s="208">
        <v>241023</v>
      </c>
      <c r="N266" s="208">
        <v>115024</v>
      </c>
      <c r="O266" s="208">
        <v>115024</v>
      </c>
      <c r="P266" s="208">
        <v>110533</v>
      </c>
      <c r="Q266" s="208">
        <v>0</v>
      </c>
      <c r="R266" s="208">
        <v>110533</v>
      </c>
      <c r="S266" s="208">
        <v>0</v>
      </c>
      <c r="T266" s="208">
        <v>0</v>
      </c>
      <c r="U266" s="208">
        <v>0</v>
      </c>
      <c r="V266" s="208">
        <v>0</v>
      </c>
      <c r="W266" s="208">
        <v>83019.885979166676</v>
      </c>
      <c r="X266" s="208">
        <v>0</v>
      </c>
      <c r="Y266" s="208">
        <v>459.83172916666672</v>
      </c>
      <c r="Z266" s="208">
        <v>83479.717708333337</v>
      </c>
      <c r="AA266" s="208">
        <v>23712.079999999998</v>
      </c>
      <c r="AB266" s="208">
        <v>0</v>
      </c>
      <c r="AC266" s="208">
        <v>483.92</v>
      </c>
      <c r="AD266" s="208">
        <v>24195.999999999996</v>
      </c>
      <c r="AE266" s="208">
        <v>0</v>
      </c>
      <c r="AF266" s="208">
        <v>0</v>
      </c>
      <c r="AG266" s="208">
        <v>2833830</v>
      </c>
      <c r="AH266" s="208">
        <v>0</v>
      </c>
      <c r="AI266" s="208">
        <v>56479</v>
      </c>
      <c r="AJ266" s="208">
        <v>2890309</v>
      </c>
      <c r="AK266" s="208">
        <v>236269</v>
      </c>
      <c r="AL266" s="208">
        <v>231543</v>
      </c>
      <c r="AM266" s="208">
        <v>0</v>
      </c>
      <c r="AN266" s="208">
        <v>4725</v>
      </c>
      <c r="AO266" s="208">
        <v>472537</v>
      </c>
      <c r="AP266" s="208">
        <v>-755414</v>
      </c>
      <c r="AQ266" s="208">
        <v>-740305</v>
      </c>
      <c r="AR266" s="208">
        <v>0</v>
      </c>
      <c r="AS266" s="208">
        <v>-15108</v>
      </c>
      <c r="AT266" s="208">
        <v>-1510827</v>
      </c>
      <c r="AU266" s="208">
        <v>-349999.5</v>
      </c>
      <c r="AV266" s="208">
        <v>-343000</v>
      </c>
      <c r="AW266" s="208">
        <v>0</v>
      </c>
      <c r="AX266" s="208">
        <v>-7000</v>
      </c>
      <c r="AY266" s="208">
        <v>-699999.5</v>
      </c>
      <c r="AZ266" s="208">
        <v>324161</v>
      </c>
      <c r="BA266" s="208">
        <v>317678</v>
      </c>
      <c r="BB266" s="208">
        <v>0</v>
      </c>
      <c r="BC266" s="208">
        <v>6483</v>
      </c>
      <c r="BD266" s="208">
        <v>648322</v>
      </c>
      <c r="BE266" s="208">
        <v>-174161</v>
      </c>
      <c r="BF266" s="208">
        <v>-170678</v>
      </c>
      <c r="BG266" s="208">
        <v>0</v>
      </c>
      <c r="BH266" s="208">
        <v>-3483</v>
      </c>
      <c r="BI266" s="208">
        <v>-348322</v>
      </c>
      <c r="BJ266" s="208">
        <v>-199999.5</v>
      </c>
      <c r="BK266" s="208">
        <v>-196000</v>
      </c>
      <c r="BL266" s="208">
        <v>0</v>
      </c>
      <c r="BM266" s="208">
        <v>-4000</v>
      </c>
      <c r="BN266" s="208">
        <v>-399999.5</v>
      </c>
      <c r="BO266" s="208">
        <v>-4467750</v>
      </c>
      <c r="BP266" s="208">
        <v>-4378395</v>
      </c>
      <c r="BQ266" s="208">
        <v>0</v>
      </c>
      <c r="BR266" s="208">
        <v>-89355</v>
      </c>
      <c r="BS266" s="208">
        <v>-8935500</v>
      </c>
      <c r="BT266" s="208">
        <v>-4467750</v>
      </c>
      <c r="BU266" s="208">
        <v>-4378395</v>
      </c>
      <c r="BV266" s="208">
        <v>0</v>
      </c>
      <c r="BW266" s="208">
        <v>-89355</v>
      </c>
      <c r="BX266" s="208">
        <v>-8935500</v>
      </c>
      <c r="BY266" s="208">
        <v>0</v>
      </c>
      <c r="BZ266" s="208">
        <v>0</v>
      </c>
      <c r="CA266" s="208">
        <v>0</v>
      </c>
      <c r="CB266" s="208">
        <v>0</v>
      </c>
      <c r="CC266" s="208">
        <v>0</v>
      </c>
      <c r="CD266" s="208">
        <v>698981</v>
      </c>
      <c r="CE266" s="208">
        <v>685001</v>
      </c>
      <c r="CF266" s="208">
        <v>0</v>
      </c>
      <c r="CG266" s="208">
        <v>13980</v>
      </c>
      <c r="CH266" s="208">
        <v>1397962</v>
      </c>
      <c r="CI266" s="208">
        <v>0</v>
      </c>
      <c r="CJ266" s="208">
        <v>0</v>
      </c>
      <c r="CK266" s="208">
        <v>0</v>
      </c>
      <c r="CL266" s="208">
        <v>0</v>
      </c>
      <c r="CM266" s="208">
        <v>0</v>
      </c>
      <c r="CN266" s="208">
        <v>-3390231</v>
      </c>
      <c r="CO266" s="208">
        <v>-3322426</v>
      </c>
      <c r="CP266" s="208">
        <v>0</v>
      </c>
      <c r="CQ266" s="208">
        <v>-67805</v>
      </c>
      <c r="CR266" s="208">
        <v>-6780462</v>
      </c>
      <c r="CS266" s="208">
        <v>0</v>
      </c>
      <c r="CT266" s="208">
        <v>0</v>
      </c>
      <c r="CU266" s="208">
        <v>0</v>
      </c>
      <c r="CV266" s="208">
        <v>0</v>
      </c>
      <c r="CW266" s="208">
        <v>0</v>
      </c>
      <c r="CX266" s="208">
        <v>-7159000</v>
      </c>
      <c r="CY266" s="208">
        <v>-7015820</v>
      </c>
      <c r="CZ266" s="208">
        <v>0</v>
      </c>
      <c r="DA266" s="208">
        <v>-143180</v>
      </c>
      <c r="DB266" s="208">
        <v>-14318000</v>
      </c>
      <c r="DC266" s="208">
        <v>-7159000</v>
      </c>
      <c r="DD266" s="208">
        <v>-7015820</v>
      </c>
      <c r="DE266" s="208">
        <v>0</v>
      </c>
      <c r="DF266" s="208">
        <v>-143180</v>
      </c>
      <c r="DG266" s="208">
        <v>-14318000</v>
      </c>
      <c r="DH266" s="208">
        <v>0</v>
      </c>
      <c r="DI266" s="208">
        <v>0</v>
      </c>
      <c r="DJ266" s="208">
        <v>0</v>
      </c>
      <c r="DK266" s="208">
        <v>0</v>
      </c>
      <c r="DL266" s="208">
        <v>0</v>
      </c>
      <c r="DM266" s="208">
        <v>3689870.5</v>
      </c>
      <c r="DN266" s="208">
        <v>3616074</v>
      </c>
      <c r="DO266" s="208">
        <v>0</v>
      </c>
      <c r="DP266" s="208">
        <v>73798</v>
      </c>
      <c r="DQ266" s="208">
        <v>7379742.5</v>
      </c>
      <c r="DR266" s="208">
        <v>3856165</v>
      </c>
      <c r="DS266" s="208">
        <v>3779042</v>
      </c>
      <c r="DT266" s="208">
        <v>0</v>
      </c>
      <c r="DU266" s="208">
        <v>77123</v>
      </c>
      <c r="DV266" s="208">
        <v>7712330</v>
      </c>
      <c r="DW266" s="208">
        <v>-166294.5</v>
      </c>
      <c r="DX266" s="208">
        <v>-162968</v>
      </c>
      <c r="DY266" s="208">
        <v>0</v>
      </c>
      <c r="DZ266" s="208">
        <v>-3325</v>
      </c>
      <c r="EA266" s="208">
        <v>-332587.5</v>
      </c>
      <c r="EB266" s="208">
        <v>39325132</v>
      </c>
      <c r="EC266" s="208">
        <v>38538630</v>
      </c>
      <c r="ED266" s="208">
        <v>0</v>
      </c>
      <c r="EE266" s="208">
        <v>786503</v>
      </c>
      <c r="EF266" s="208">
        <v>78650265</v>
      </c>
      <c r="EG266" s="208">
        <v>39273315</v>
      </c>
      <c r="EH266" s="208">
        <v>38487849</v>
      </c>
      <c r="EI266" s="208">
        <v>0</v>
      </c>
      <c r="EJ266" s="208">
        <v>785466</v>
      </c>
      <c r="EK266" s="208">
        <v>78546630</v>
      </c>
      <c r="EL266" s="208">
        <v>-51817</v>
      </c>
      <c r="EM266" s="208">
        <v>-50781</v>
      </c>
      <c r="EN266" s="208">
        <v>0</v>
      </c>
      <c r="EO266" s="208">
        <v>-1037</v>
      </c>
      <c r="EP266" s="208">
        <v>-103635</v>
      </c>
      <c r="EQ266" s="208">
        <v>-218111.5</v>
      </c>
      <c r="ER266" s="208">
        <v>-213749</v>
      </c>
      <c r="ES266" s="208">
        <v>0</v>
      </c>
      <c r="ET266" s="208">
        <v>-4362</v>
      </c>
      <c r="EU266" s="208">
        <v>-436222.5</v>
      </c>
      <c r="EV266" s="666">
        <v>0.5</v>
      </c>
      <c r="EW266" s="666">
        <v>0.49</v>
      </c>
      <c r="EX266" s="666">
        <v>0</v>
      </c>
      <c r="EY266" s="666">
        <v>0.01</v>
      </c>
      <c r="EZ266" s="666">
        <v>1</v>
      </c>
      <c r="FA266" s="187" t="s">
        <v>742</v>
      </c>
      <c r="FC266" s="187">
        <v>0</v>
      </c>
    </row>
    <row r="267" spans="1:159" s="187" customFormat="1" x14ac:dyDescent="0.2">
      <c r="B267" s="429" t="s">
        <v>612</v>
      </c>
      <c r="C267" s="429" t="s">
        <v>611</v>
      </c>
      <c r="D267" s="208">
        <v>45152685</v>
      </c>
      <c r="E267" s="208">
        <v>44249632</v>
      </c>
      <c r="F267" s="208">
        <v>0</v>
      </c>
      <c r="G267" s="208">
        <v>903054</v>
      </c>
      <c r="H267" s="208">
        <v>90305371</v>
      </c>
      <c r="I267" s="208">
        <v>67071</v>
      </c>
      <c r="J267" s="208">
        <v>67071</v>
      </c>
      <c r="K267" s="208">
        <v>45085614</v>
      </c>
      <c r="L267" s="208">
        <v>358822</v>
      </c>
      <c r="M267" s="208">
        <v>358822</v>
      </c>
      <c r="N267" s="208">
        <v>504668</v>
      </c>
      <c r="O267" s="208">
        <v>504668</v>
      </c>
      <c r="P267" s="208">
        <v>0</v>
      </c>
      <c r="Q267" s="208">
        <v>0</v>
      </c>
      <c r="R267" s="208">
        <v>0</v>
      </c>
      <c r="S267" s="208">
        <v>0</v>
      </c>
      <c r="T267" s="208">
        <v>0</v>
      </c>
      <c r="U267" s="208">
        <v>0</v>
      </c>
      <c r="V267" s="208">
        <v>0</v>
      </c>
      <c r="W267" s="208">
        <v>67070.600000000006</v>
      </c>
      <c r="X267" s="208">
        <v>0</v>
      </c>
      <c r="Y267" s="208">
        <v>0</v>
      </c>
      <c r="Z267" s="208">
        <v>67070.600000000006</v>
      </c>
      <c r="AA267" s="208">
        <v>0</v>
      </c>
      <c r="AB267" s="208">
        <v>0</v>
      </c>
      <c r="AC267" s="208">
        <v>0</v>
      </c>
      <c r="AD267" s="208">
        <v>0</v>
      </c>
      <c r="AE267" s="208">
        <v>0</v>
      </c>
      <c r="AF267" s="208">
        <v>0</v>
      </c>
      <c r="AG267" s="208">
        <v>4742537</v>
      </c>
      <c r="AH267" s="208">
        <v>0</v>
      </c>
      <c r="AI267" s="208">
        <v>95874</v>
      </c>
      <c r="AJ267" s="208">
        <v>4838411</v>
      </c>
      <c r="AK267" s="208">
        <v>2998401</v>
      </c>
      <c r="AL267" s="208">
        <v>2938432</v>
      </c>
      <c r="AM267" s="208">
        <v>0</v>
      </c>
      <c r="AN267" s="208">
        <v>59968</v>
      </c>
      <c r="AO267" s="208">
        <v>5996801</v>
      </c>
      <c r="AP267" s="208">
        <v>-661793</v>
      </c>
      <c r="AQ267" s="208">
        <v>-648558</v>
      </c>
      <c r="AR267" s="208">
        <v>0</v>
      </c>
      <c r="AS267" s="208">
        <v>-13236</v>
      </c>
      <c r="AT267" s="208">
        <v>-1323587</v>
      </c>
      <c r="AU267" s="208">
        <v>-1893914</v>
      </c>
      <c r="AV267" s="208">
        <v>-1856036</v>
      </c>
      <c r="AW267" s="208">
        <v>0</v>
      </c>
      <c r="AX267" s="208">
        <v>-37878</v>
      </c>
      <c r="AY267" s="208">
        <v>-3787828</v>
      </c>
      <c r="AZ267" s="208">
        <v>-13468</v>
      </c>
      <c r="BA267" s="208">
        <v>-13199</v>
      </c>
      <c r="BB267" s="208">
        <v>0</v>
      </c>
      <c r="BC267" s="208">
        <v>-269</v>
      </c>
      <c r="BD267" s="208">
        <v>-26936</v>
      </c>
      <c r="BE267" s="208">
        <v>-707618</v>
      </c>
      <c r="BF267" s="208">
        <v>-693466</v>
      </c>
      <c r="BG267" s="208">
        <v>0</v>
      </c>
      <c r="BH267" s="208">
        <v>-14152</v>
      </c>
      <c r="BI267" s="208">
        <v>-1415236</v>
      </c>
      <c r="BJ267" s="208">
        <v>-2615000</v>
      </c>
      <c r="BK267" s="208">
        <v>-2562701</v>
      </c>
      <c r="BL267" s="208">
        <v>0</v>
      </c>
      <c r="BM267" s="208">
        <v>-52299</v>
      </c>
      <c r="BN267" s="208">
        <v>-5230000</v>
      </c>
      <c r="BO267" s="208">
        <v>-4089999</v>
      </c>
      <c r="BP267" s="208">
        <v>-4008200</v>
      </c>
      <c r="BQ267" s="208">
        <v>0</v>
      </c>
      <c r="BR267" s="208">
        <v>-81800</v>
      </c>
      <c r="BS267" s="208">
        <v>-8179999</v>
      </c>
      <c r="BT267" s="208">
        <v>0</v>
      </c>
      <c r="BU267" s="208">
        <v>0</v>
      </c>
      <c r="BV267" s="208">
        <v>0</v>
      </c>
      <c r="BW267" s="208">
        <v>0</v>
      </c>
      <c r="BX267" s="208">
        <v>0</v>
      </c>
      <c r="BY267" s="208">
        <v>-4089999</v>
      </c>
      <c r="BZ267" s="208">
        <v>-4008200</v>
      </c>
      <c r="CA267" s="208">
        <v>0</v>
      </c>
      <c r="CB267" s="208">
        <v>-81800</v>
      </c>
      <c r="CC267" s="208">
        <v>-8179999</v>
      </c>
      <c r="CD267" s="208">
        <v>448415</v>
      </c>
      <c r="CE267" s="208">
        <v>439446</v>
      </c>
      <c r="CF267" s="208">
        <v>0</v>
      </c>
      <c r="CG267" s="208">
        <v>8968</v>
      </c>
      <c r="CH267" s="208">
        <v>896829</v>
      </c>
      <c r="CI267" s="208">
        <v>0</v>
      </c>
      <c r="CJ267" s="208">
        <v>0</v>
      </c>
      <c r="CK267" s="208">
        <v>0</v>
      </c>
      <c r="CL267" s="208">
        <v>0</v>
      </c>
      <c r="CM267" s="208">
        <v>0</v>
      </c>
      <c r="CN267" s="208">
        <v>-336767</v>
      </c>
      <c r="CO267" s="208">
        <v>-330031</v>
      </c>
      <c r="CP267" s="208">
        <v>0</v>
      </c>
      <c r="CQ267" s="208">
        <v>-6735</v>
      </c>
      <c r="CR267" s="208">
        <v>-673533</v>
      </c>
      <c r="CS267" s="208">
        <v>-176648</v>
      </c>
      <c r="CT267" s="208">
        <v>-173115</v>
      </c>
      <c r="CU267" s="208">
        <v>0</v>
      </c>
      <c r="CV267" s="208">
        <v>-3533</v>
      </c>
      <c r="CW267" s="208">
        <v>-353296</v>
      </c>
      <c r="CX267" s="208">
        <v>-4154999</v>
      </c>
      <c r="CY267" s="208">
        <v>-4071900</v>
      </c>
      <c r="CZ267" s="208">
        <v>0</v>
      </c>
      <c r="DA267" s="208">
        <v>-83100</v>
      </c>
      <c r="DB267" s="208">
        <v>-8309999</v>
      </c>
      <c r="DC267" s="208">
        <v>111648</v>
      </c>
      <c r="DD267" s="208">
        <v>109415</v>
      </c>
      <c r="DE267" s="208">
        <v>0</v>
      </c>
      <c r="DF267" s="208">
        <v>2233</v>
      </c>
      <c r="DG267" s="208">
        <v>223296</v>
      </c>
      <c r="DH267" s="208">
        <v>-4266647</v>
      </c>
      <c r="DI267" s="208">
        <v>-4181315</v>
      </c>
      <c r="DJ267" s="208">
        <v>0</v>
      </c>
      <c r="DK267" s="208">
        <v>-85333</v>
      </c>
      <c r="DL267" s="208">
        <v>-8533295</v>
      </c>
      <c r="DM267" s="208">
        <v>-1125303</v>
      </c>
      <c r="DN267" s="208">
        <v>-1102795</v>
      </c>
      <c r="DO267" s="208">
        <v>0</v>
      </c>
      <c r="DP267" s="208">
        <v>-22507</v>
      </c>
      <c r="DQ267" s="208">
        <v>-2250605</v>
      </c>
      <c r="DR267" s="208">
        <v>200024</v>
      </c>
      <c r="DS267" s="208">
        <v>196023</v>
      </c>
      <c r="DT267" s="208">
        <v>0</v>
      </c>
      <c r="DU267" s="208">
        <v>4000</v>
      </c>
      <c r="DV267" s="208">
        <v>400047</v>
      </c>
      <c r="DW267" s="208">
        <v>-1325327</v>
      </c>
      <c r="DX267" s="208">
        <v>-1298818</v>
      </c>
      <c r="DY267" s="208">
        <v>0</v>
      </c>
      <c r="DZ267" s="208">
        <v>-26507</v>
      </c>
      <c r="EA267" s="208">
        <v>-2650652</v>
      </c>
      <c r="EB267" s="208">
        <v>46458502</v>
      </c>
      <c r="EC267" s="208">
        <v>45529332</v>
      </c>
      <c r="ED267" s="208">
        <v>0</v>
      </c>
      <c r="EE267" s="208">
        <v>929170</v>
      </c>
      <c r="EF267" s="208">
        <v>92917004</v>
      </c>
      <c r="EG267" s="208">
        <v>45152685</v>
      </c>
      <c r="EH267" s="208">
        <v>44249632</v>
      </c>
      <c r="EI267" s="208">
        <v>0</v>
      </c>
      <c r="EJ267" s="208">
        <v>903054</v>
      </c>
      <c r="EK267" s="208">
        <v>90305371</v>
      </c>
      <c r="EL267" s="208">
        <v>-1305817</v>
      </c>
      <c r="EM267" s="208">
        <v>-1279700</v>
      </c>
      <c r="EN267" s="208">
        <v>0</v>
      </c>
      <c r="EO267" s="208">
        <v>-26116</v>
      </c>
      <c r="EP267" s="208">
        <v>-2611633</v>
      </c>
      <c r="EQ267" s="208">
        <v>-2631144</v>
      </c>
      <c r="ER267" s="208">
        <v>-2578518</v>
      </c>
      <c r="ES267" s="208">
        <v>0</v>
      </c>
      <c r="ET267" s="208">
        <v>-52623</v>
      </c>
      <c r="EU267" s="208">
        <v>-5262285</v>
      </c>
      <c r="EV267" s="666">
        <v>0.5</v>
      </c>
      <c r="EW267" s="666">
        <v>0.49</v>
      </c>
      <c r="EX267" s="666">
        <v>0</v>
      </c>
      <c r="EY267" s="666">
        <v>0.01</v>
      </c>
      <c r="EZ267" s="666">
        <v>1</v>
      </c>
      <c r="FA267" s="187" t="s">
        <v>742</v>
      </c>
      <c r="FC267" s="187">
        <v>0</v>
      </c>
    </row>
    <row r="268" spans="1:159" s="187" customFormat="1" x14ac:dyDescent="0.2">
      <c r="B268" s="429" t="s">
        <v>614</v>
      </c>
      <c r="C268" s="429" t="s">
        <v>613</v>
      </c>
      <c r="D268" s="208">
        <v>25908112.579999998</v>
      </c>
      <c r="E268" s="208">
        <v>20726489</v>
      </c>
      <c r="F268" s="208">
        <v>5181622</v>
      </c>
      <c r="G268" s="208">
        <v>0</v>
      </c>
      <c r="H268" s="208">
        <v>51816223.579999998</v>
      </c>
      <c r="I268" s="208">
        <v>0</v>
      </c>
      <c r="J268" s="208">
        <v>0</v>
      </c>
      <c r="K268" s="208">
        <v>25908112.579999998</v>
      </c>
      <c r="L268" s="208">
        <v>218788</v>
      </c>
      <c r="M268" s="208">
        <v>218788</v>
      </c>
      <c r="N268" s="208">
        <v>0</v>
      </c>
      <c r="O268" s="208">
        <v>0</v>
      </c>
      <c r="P268" s="208">
        <v>32846</v>
      </c>
      <c r="Q268" s="208">
        <v>0</v>
      </c>
      <c r="R268" s="208">
        <v>32846</v>
      </c>
      <c r="S268" s="208">
        <v>0</v>
      </c>
      <c r="T268" s="208">
        <v>0</v>
      </c>
      <c r="U268" s="208">
        <v>0</v>
      </c>
      <c r="V268" s="208">
        <v>0</v>
      </c>
      <c r="W268" s="208">
        <v>0</v>
      </c>
      <c r="X268" s="208">
        <v>0</v>
      </c>
      <c r="Y268" s="208">
        <v>0</v>
      </c>
      <c r="Z268" s="208">
        <v>0</v>
      </c>
      <c r="AA268" s="208">
        <v>0</v>
      </c>
      <c r="AB268" s="208">
        <v>0</v>
      </c>
      <c r="AC268" s="208">
        <v>0</v>
      </c>
      <c r="AD268" s="208">
        <v>0</v>
      </c>
      <c r="AE268" s="208">
        <v>0</v>
      </c>
      <c r="AF268" s="208">
        <v>0</v>
      </c>
      <c r="AG268" s="208">
        <v>2396280</v>
      </c>
      <c r="AH268" s="208">
        <v>598882</v>
      </c>
      <c r="AI268" s="208">
        <v>0</v>
      </c>
      <c r="AJ268" s="208">
        <v>2995162</v>
      </c>
      <c r="AK268" s="208">
        <v>1196332</v>
      </c>
      <c r="AL268" s="208">
        <v>957066</v>
      </c>
      <c r="AM268" s="208">
        <v>239266</v>
      </c>
      <c r="AN268" s="208">
        <v>0</v>
      </c>
      <c r="AO268" s="208">
        <v>2392664</v>
      </c>
      <c r="AP268" s="208">
        <v>-407004</v>
      </c>
      <c r="AQ268" s="208">
        <v>-325603</v>
      </c>
      <c r="AR268" s="208">
        <v>-81401</v>
      </c>
      <c r="AS268" s="208">
        <v>0</v>
      </c>
      <c r="AT268" s="208">
        <v>-814008</v>
      </c>
      <c r="AU268" s="208">
        <v>-316975</v>
      </c>
      <c r="AV268" s="208">
        <v>-253580</v>
      </c>
      <c r="AW268" s="208">
        <v>-63395</v>
      </c>
      <c r="AX268" s="208">
        <v>0</v>
      </c>
      <c r="AY268" s="208">
        <v>-633950</v>
      </c>
      <c r="AZ268" s="208">
        <v>208976</v>
      </c>
      <c r="BA268" s="208">
        <v>167181</v>
      </c>
      <c r="BB268" s="208">
        <v>41795</v>
      </c>
      <c r="BC268" s="208">
        <v>0</v>
      </c>
      <c r="BD268" s="208">
        <v>417952</v>
      </c>
      <c r="BE268" s="208">
        <v>-230221</v>
      </c>
      <c r="BF268" s="208">
        <v>-184176</v>
      </c>
      <c r="BG268" s="208">
        <v>-46044</v>
      </c>
      <c r="BH268" s="208">
        <v>0</v>
      </c>
      <c r="BI268" s="208">
        <v>-460441</v>
      </c>
      <c r="BJ268" s="208">
        <v>-338220</v>
      </c>
      <c r="BK268" s="208">
        <v>-270575</v>
      </c>
      <c r="BL268" s="208">
        <v>-67644</v>
      </c>
      <c r="BM268" s="208">
        <v>0</v>
      </c>
      <c r="BN268" s="208">
        <v>-676439</v>
      </c>
      <c r="BO268" s="208">
        <v>-2038789</v>
      </c>
      <c r="BP268" s="208">
        <v>-1631032</v>
      </c>
      <c r="BQ268" s="208">
        <v>-407758</v>
      </c>
      <c r="BR268" s="208">
        <v>0</v>
      </c>
      <c r="BS268" s="208">
        <v>-4077579</v>
      </c>
      <c r="BT268" s="208">
        <v>-988005</v>
      </c>
      <c r="BU268" s="208">
        <v>-790404</v>
      </c>
      <c r="BV268" s="208">
        <v>-197601</v>
      </c>
      <c r="BW268" s="208">
        <v>0</v>
      </c>
      <c r="BX268" s="208">
        <v>-1976010</v>
      </c>
      <c r="BY268" s="208">
        <v>-1050784</v>
      </c>
      <c r="BZ268" s="208">
        <v>-840628</v>
      </c>
      <c r="CA268" s="208">
        <v>-210157</v>
      </c>
      <c r="CB268" s="208">
        <v>0</v>
      </c>
      <c r="CC268" s="208">
        <v>-2101569</v>
      </c>
      <c r="CD268" s="208">
        <v>0</v>
      </c>
      <c r="CE268" s="208">
        <v>0</v>
      </c>
      <c r="CF268" s="208">
        <v>0</v>
      </c>
      <c r="CG268" s="208">
        <v>0</v>
      </c>
      <c r="CH268" s="208">
        <v>0</v>
      </c>
      <c r="CI268" s="208">
        <v>0</v>
      </c>
      <c r="CJ268" s="208">
        <v>0</v>
      </c>
      <c r="CK268" s="208">
        <v>0</v>
      </c>
      <c r="CL268" s="208">
        <v>0</v>
      </c>
      <c r="CM268" s="208">
        <v>0</v>
      </c>
      <c r="CN268" s="208">
        <v>-411995</v>
      </c>
      <c r="CO268" s="208">
        <v>-329596</v>
      </c>
      <c r="CP268" s="208">
        <v>-82399</v>
      </c>
      <c r="CQ268" s="208">
        <v>0</v>
      </c>
      <c r="CR268" s="208">
        <v>-823990</v>
      </c>
      <c r="CS268" s="208">
        <v>-1499216</v>
      </c>
      <c r="CT268" s="208">
        <v>-1199372</v>
      </c>
      <c r="CU268" s="208">
        <v>-299843</v>
      </c>
      <c r="CV268" s="208">
        <v>0</v>
      </c>
      <c r="CW268" s="208">
        <v>-2998431</v>
      </c>
      <c r="CX268" s="208">
        <v>-3950000</v>
      </c>
      <c r="CY268" s="208">
        <v>-3160000</v>
      </c>
      <c r="CZ268" s="208">
        <v>-790000</v>
      </c>
      <c r="DA268" s="208">
        <v>0</v>
      </c>
      <c r="DB268" s="208">
        <v>-7900000</v>
      </c>
      <c r="DC268" s="208">
        <v>-1400000</v>
      </c>
      <c r="DD268" s="208">
        <v>-1120000</v>
      </c>
      <c r="DE268" s="208">
        <v>-280000</v>
      </c>
      <c r="DF268" s="208">
        <v>0</v>
      </c>
      <c r="DG268" s="208">
        <v>-2800000</v>
      </c>
      <c r="DH268" s="208">
        <v>-2550000</v>
      </c>
      <c r="DI268" s="208">
        <v>-2040000</v>
      </c>
      <c r="DJ268" s="208">
        <v>-510000</v>
      </c>
      <c r="DK268" s="208">
        <v>0</v>
      </c>
      <c r="DL268" s="208">
        <v>-5100000</v>
      </c>
      <c r="DM268" s="208">
        <v>-341723</v>
      </c>
      <c r="DN268" s="208">
        <v>-273376</v>
      </c>
      <c r="DO268" s="208">
        <v>-68343</v>
      </c>
      <c r="DP268" s="208">
        <v>0</v>
      </c>
      <c r="DQ268" s="208">
        <v>-683442</v>
      </c>
      <c r="DR268" s="208">
        <v>742057</v>
      </c>
      <c r="DS268" s="208">
        <v>593646</v>
      </c>
      <c r="DT268" s="208">
        <v>148412</v>
      </c>
      <c r="DU268" s="208">
        <v>0</v>
      </c>
      <c r="DV268" s="208">
        <v>1484115</v>
      </c>
      <c r="DW268" s="208">
        <v>-1083780</v>
      </c>
      <c r="DX268" s="208">
        <v>-867022</v>
      </c>
      <c r="DY268" s="208">
        <v>-216755</v>
      </c>
      <c r="DZ268" s="208">
        <v>0</v>
      </c>
      <c r="EA268" s="208">
        <v>-2167557</v>
      </c>
      <c r="EB268" s="208">
        <v>28486419</v>
      </c>
      <c r="EC268" s="208">
        <v>22789135</v>
      </c>
      <c r="ED268" s="208">
        <v>5697284</v>
      </c>
      <c r="EE268" s="208">
        <v>0</v>
      </c>
      <c r="EF268" s="208">
        <v>56972838</v>
      </c>
      <c r="EG268" s="208">
        <v>25908112.579999998</v>
      </c>
      <c r="EH268" s="208">
        <v>20726489</v>
      </c>
      <c r="EI268" s="208">
        <v>5181622</v>
      </c>
      <c r="EJ268" s="208">
        <v>0</v>
      </c>
      <c r="EK268" s="208">
        <v>51816223.579999998</v>
      </c>
      <c r="EL268" s="208">
        <v>-2578306.4200000018</v>
      </c>
      <c r="EM268" s="208">
        <v>-2062646</v>
      </c>
      <c r="EN268" s="208">
        <v>-515662</v>
      </c>
      <c r="EO268" s="208">
        <v>0</v>
      </c>
      <c r="EP268" s="208">
        <v>-5156614.4200000018</v>
      </c>
      <c r="EQ268" s="208">
        <v>-3662086.4200000018</v>
      </c>
      <c r="ER268" s="208">
        <v>-2929668</v>
      </c>
      <c r="ES268" s="208">
        <v>-732417</v>
      </c>
      <c r="ET268" s="208">
        <v>0</v>
      </c>
      <c r="EU268" s="208">
        <v>-7324171.4200000018</v>
      </c>
      <c r="EV268" s="666">
        <v>0.5</v>
      </c>
      <c r="EW268" s="666">
        <v>0.4</v>
      </c>
      <c r="EX268" s="666">
        <v>0.1</v>
      </c>
      <c r="EY268" s="666">
        <v>0</v>
      </c>
      <c r="EZ268" s="666">
        <v>1</v>
      </c>
      <c r="FA268" s="187" t="s">
        <v>1054</v>
      </c>
      <c r="FC268" s="187">
        <v>0</v>
      </c>
    </row>
    <row r="269" spans="1:159" s="187" customFormat="1" x14ac:dyDescent="0.2">
      <c r="B269" s="429" t="s">
        <v>616</v>
      </c>
      <c r="C269" s="429" t="s">
        <v>615</v>
      </c>
      <c r="D269" s="208">
        <v>-1</v>
      </c>
      <c r="E269" s="208">
        <v>14142892</v>
      </c>
      <c r="F269" s="208">
        <v>14142892</v>
      </c>
      <c r="G269" s="208">
        <v>0</v>
      </c>
      <c r="H269" s="208">
        <v>28285783</v>
      </c>
      <c r="I269" s="208">
        <v>0</v>
      </c>
      <c r="J269" s="208">
        <v>0</v>
      </c>
      <c r="K269" s="208">
        <v>-1</v>
      </c>
      <c r="L269" s="208">
        <v>156928</v>
      </c>
      <c r="M269" s="208">
        <v>156928</v>
      </c>
      <c r="N269" s="208">
        <v>0</v>
      </c>
      <c r="O269" s="208">
        <v>0</v>
      </c>
      <c r="P269" s="208">
        <v>105970</v>
      </c>
      <c r="Q269" s="208">
        <v>0</v>
      </c>
      <c r="R269" s="208">
        <v>105970</v>
      </c>
      <c r="S269" s="208">
        <v>0</v>
      </c>
      <c r="T269" s="208">
        <v>0</v>
      </c>
      <c r="U269" s="208">
        <v>0</v>
      </c>
      <c r="V269" s="208">
        <v>0</v>
      </c>
      <c r="W269" s="208">
        <v>0</v>
      </c>
      <c r="X269" s="208">
        <v>0</v>
      </c>
      <c r="Y269" s="208">
        <v>0</v>
      </c>
      <c r="Z269" s="208">
        <v>0</v>
      </c>
      <c r="AA269" s="208">
        <v>0</v>
      </c>
      <c r="AB269" s="208">
        <v>0</v>
      </c>
      <c r="AC269" s="208">
        <v>0</v>
      </c>
      <c r="AD269" s="208">
        <v>0</v>
      </c>
      <c r="AE269" s="208">
        <v>0</v>
      </c>
      <c r="AF269" s="208">
        <v>0</v>
      </c>
      <c r="AG269" s="208">
        <v>1980420</v>
      </c>
      <c r="AH269" s="208">
        <v>1977992</v>
      </c>
      <c r="AI269" s="208">
        <v>0</v>
      </c>
      <c r="AJ269" s="208">
        <v>3958412</v>
      </c>
      <c r="AK269" s="208">
        <v>-1</v>
      </c>
      <c r="AL269" s="208">
        <v>304875</v>
      </c>
      <c r="AM269" s="208">
        <v>304875</v>
      </c>
      <c r="AN269" s="208">
        <v>0</v>
      </c>
      <c r="AO269" s="208">
        <v>609749</v>
      </c>
      <c r="AP269" s="208">
        <v>1</v>
      </c>
      <c r="AQ269" s="208">
        <v>-263825</v>
      </c>
      <c r="AR269" s="208">
        <v>-263825</v>
      </c>
      <c r="AS269" s="208">
        <v>0</v>
      </c>
      <c r="AT269" s="208">
        <v>-527649</v>
      </c>
      <c r="AU269" s="208">
        <v>-0.25</v>
      </c>
      <c r="AV269" s="208">
        <v>-203576</v>
      </c>
      <c r="AW269" s="208">
        <v>-203576</v>
      </c>
      <c r="AX269" s="208">
        <v>0</v>
      </c>
      <c r="AY269" s="208">
        <v>-407152.25</v>
      </c>
      <c r="AZ269" s="208">
        <v>0</v>
      </c>
      <c r="BA269" s="208">
        <v>85237</v>
      </c>
      <c r="BB269" s="208">
        <v>85237</v>
      </c>
      <c r="BC269" s="208">
        <v>0</v>
      </c>
      <c r="BD269" s="208">
        <v>170474</v>
      </c>
      <c r="BE269" s="208">
        <v>-1</v>
      </c>
      <c r="BF269" s="208">
        <v>23711</v>
      </c>
      <c r="BG269" s="208">
        <v>23711</v>
      </c>
      <c r="BH269" s="208">
        <v>0</v>
      </c>
      <c r="BI269" s="208">
        <v>47421</v>
      </c>
      <c r="BJ269" s="208">
        <v>-1.25</v>
      </c>
      <c r="BK269" s="208">
        <v>-94628</v>
      </c>
      <c r="BL269" s="208">
        <v>-94628</v>
      </c>
      <c r="BM269" s="208">
        <v>0</v>
      </c>
      <c r="BN269" s="208">
        <v>-189257.25</v>
      </c>
      <c r="BO269" s="208">
        <v>0</v>
      </c>
      <c r="BP269" s="208">
        <v>-834878</v>
      </c>
      <c r="BQ269" s="208">
        <v>-834878</v>
      </c>
      <c r="BR269" s="208">
        <v>0</v>
      </c>
      <c r="BS269" s="208">
        <v>-1669756</v>
      </c>
      <c r="BT269" s="208">
        <v>0</v>
      </c>
      <c r="BU269" s="208">
        <v>-834878</v>
      </c>
      <c r="BV269" s="208">
        <v>-834878</v>
      </c>
      <c r="BW269" s="208">
        <v>0</v>
      </c>
      <c r="BX269" s="208">
        <v>-1669756</v>
      </c>
      <c r="BY269" s="208">
        <v>0</v>
      </c>
      <c r="BZ269" s="208">
        <v>0</v>
      </c>
      <c r="CA269" s="208">
        <v>0</v>
      </c>
      <c r="CB269" s="208">
        <v>0</v>
      </c>
      <c r="CC269" s="208">
        <v>0</v>
      </c>
      <c r="CD269" s="208">
        <v>0</v>
      </c>
      <c r="CE269" s="208">
        <v>234479</v>
      </c>
      <c r="CF269" s="208">
        <v>234479</v>
      </c>
      <c r="CG269" s="208">
        <v>0</v>
      </c>
      <c r="CH269" s="208">
        <v>468958</v>
      </c>
      <c r="CI269" s="208">
        <v>0</v>
      </c>
      <c r="CJ269" s="208">
        <v>0</v>
      </c>
      <c r="CK269" s="208">
        <v>0</v>
      </c>
      <c r="CL269" s="208">
        <v>0</v>
      </c>
      <c r="CM269" s="208">
        <v>0</v>
      </c>
      <c r="CN269" s="208">
        <v>0</v>
      </c>
      <c r="CO269" s="208">
        <v>134081</v>
      </c>
      <c r="CP269" s="208">
        <v>134081</v>
      </c>
      <c r="CQ269" s="208">
        <v>0</v>
      </c>
      <c r="CR269" s="208">
        <v>268162</v>
      </c>
      <c r="CS269" s="208">
        <v>1</v>
      </c>
      <c r="CT269" s="208">
        <v>-423742</v>
      </c>
      <c r="CU269" s="208">
        <v>-423742</v>
      </c>
      <c r="CV269" s="208">
        <v>0</v>
      </c>
      <c r="CW269" s="208">
        <v>-847483</v>
      </c>
      <c r="CX269" s="208">
        <v>1</v>
      </c>
      <c r="CY269" s="208">
        <v>-890060</v>
      </c>
      <c r="CZ269" s="208">
        <v>-890060</v>
      </c>
      <c r="DA269" s="208">
        <v>0</v>
      </c>
      <c r="DB269" s="208">
        <v>-1780119</v>
      </c>
      <c r="DC269" s="208">
        <v>0</v>
      </c>
      <c r="DD269" s="208">
        <v>-466318</v>
      </c>
      <c r="DE269" s="208">
        <v>-466318</v>
      </c>
      <c r="DF269" s="208">
        <v>0</v>
      </c>
      <c r="DG269" s="208">
        <v>-932636</v>
      </c>
      <c r="DH269" s="208">
        <v>1</v>
      </c>
      <c r="DI269" s="208">
        <v>-423742</v>
      </c>
      <c r="DJ269" s="208">
        <v>-423742</v>
      </c>
      <c r="DK269" s="208">
        <v>0</v>
      </c>
      <c r="DL269" s="208">
        <v>-847483</v>
      </c>
      <c r="DM269" s="208">
        <v>-70275</v>
      </c>
      <c r="DN269" s="208">
        <v>-56220</v>
      </c>
      <c r="DO269" s="208">
        <v>-14056</v>
      </c>
      <c r="DP269" s="208">
        <v>0</v>
      </c>
      <c r="DQ269" s="208">
        <v>-140551</v>
      </c>
      <c r="DR269" s="208">
        <v>48028</v>
      </c>
      <c r="DS269" s="208">
        <v>38423</v>
      </c>
      <c r="DT269" s="208">
        <v>9606</v>
      </c>
      <c r="DU269" s="208">
        <v>0</v>
      </c>
      <c r="DV269" s="208">
        <v>96057</v>
      </c>
      <c r="DW269" s="208">
        <v>-118303</v>
      </c>
      <c r="DX269" s="208">
        <v>-94643</v>
      </c>
      <c r="DY269" s="208">
        <v>-23662</v>
      </c>
      <c r="DZ269" s="208">
        <v>0</v>
      </c>
      <c r="EA269" s="208">
        <v>-236608</v>
      </c>
      <c r="EB269" s="208">
        <v>0</v>
      </c>
      <c r="EC269" s="208">
        <v>13849520</v>
      </c>
      <c r="ED269" s="208">
        <v>13849521</v>
      </c>
      <c r="EE269" s="208">
        <v>0</v>
      </c>
      <c r="EF269" s="208">
        <v>27699041</v>
      </c>
      <c r="EG269" s="208">
        <v>0</v>
      </c>
      <c r="EH269" s="208">
        <v>14142891</v>
      </c>
      <c r="EI269" s="208">
        <v>14142892</v>
      </c>
      <c r="EJ269" s="208">
        <v>0</v>
      </c>
      <c r="EK269" s="208">
        <v>28285783</v>
      </c>
      <c r="EL269" s="208">
        <v>0</v>
      </c>
      <c r="EM269" s="208">
        <v>293371</v>
      </c>
      <c r="EN269" s="208">
        <v>293371</v>
      </c>
      <c r="EO269" s="208">
        <v>0</v>
      </c>
      <c r="EP269" s="208">
        <v>586742</v>
      </c>
      <c r="EQ269" s="208">
        <v>-118303</v>
      </c>
      <c r="ER269" s="208">
        <v>198728</v>
      </c>
      <c r="ES269" s="208">
        <v>269709</v>
      </c>
      <c r="ET269" s="208">
        <v>0</v>
      </c>
      <c r="EU269" s="208">
        <v>350134</v>
      </c>
      <c r="EV269" s="666">
        <v>0</v>
      </c>
      <c r="EW269" s="666">
        <v>0.5</v>
      </c>
      <c r="EX269" s="666">
        <v>0.5</v>
      </c>
      <c r="EY269" s="666">
        <v>0</v>
      </c>
      <c r="EZ269" s="666">
        <v>1</v>
      </c>
      <c r="FA269" s="187" t="s">
        <v>1054</v>
      </c>
      <c r="FC269" s="187">
        <v>0</v>
      </c>
    </row>
    <row r="270" spans="1:159" s="187" customFormat="1" x14ac:dyDescent="0.2">
      <c r="A270" s="187" t="s">
        <v>1817</v>
      </c>
      <c r="B270" s="429" t="s">
        <v>618</v>
      </c>
      <c r="C270" s="429" t="s">
        <v>617</v>
      </c>
      <c r="D270" s="208">
        <v>0</v>
      </c>
      <c r="E270" s="208">
        <v>52235486</v>
      </c>
      <c r="F270" s="208">
        <v>13058871</v>
      </c>
      <c r="G270" s="208">
        <v>0</v>
      </c>
      <c r="H270" s="208">
        <v>65294357</v>
      </c>
      <c r="I270" s="208">
        <v>0</v>
      </c>
      <c r="J270" s="208">
        <v>0</v>
      </c>
      <c r="K270" s="208">
        <v>0</v>
      </c>
      <c r="L270" s="208">
        <v>266154</v>
      </c>
      <c r="M270" s="208">
        <v>266154</v>
      </c>
      <c r="N270" s="208">
        <v>0</v>
      </c>
      <c r="O270" s="208">
        <v>0</v>
      </c>
      <c r="P270" s="208">
        <v>139065</v>
      </c>
      <c r="Q270" s="208">
        <v>0</v>
      </c>
      <c r="R270" s="208">
        <v>139065</v>
      </c>
      <c r="S270" s="208">
        <v>0</v>
      </c>
      <c r="T270" s="208">
        <v>0</v>
      </c>
      <c r="U270" s="208">
        <v>0</v>
      </c>
      <c r="V270" s="208">
        <v>0</v>
      </c>
      <c r="W270" s="208">
        <v>0</v>
      </c>
      <c r="X270" s="208">
        <v>0</v>
      </c>
      <c r="Y270" s="208">
        <v>0</v>
      </c>
      <c r="Z270" s="208">
        <v>0</v>
      </c>
      <c r="AA270" s="208">
        <v>0</v>
      </c>
      <c r="AB270" s="208">
        <v>0</v>
      </c>
      <c r="AC270" s="208">
        <v>0</v>
      </c>
      <c r="AD270" s="208">
        <v>0</v>
      </c>
      <c r="AE270" s="208">
        <v>0</v>
      </c>
      <c r="AF270" s="208">
        <v>0</v>
      </c>
      <c r="AG270" s="208">
        <v>4829686</v>
      </c>
      <c r="AH270" s="208">
        <v>1206626</v>
      </c>
      <c r="AI270" s="208">
        <v>0</v>
      </c>
      <c r="AJ270" s="208">
        <v>6036312</v>
      </c>
      <c r="AK270" s="208">
        <v>0</v>
      </c>
      <c r="AL270" s="208">
        <v>1704363</v>
      </c>
      <c r="AM270" s="208">
        <v>426091</v>
      </c>
      <c r="AN270" s="208">
        <v>0</v>
      </c>
      <c r="AO270" s="208">
        <v>2130454</v>
      </c>
      <c r="AP270" s="208">
        <v>0</v>
      </c>
      <c r="AQ270" s="208">
        <v>-2578349</v>
      </c>
      <c r="AR270" s="208">
        <v>-644587</v>
      </c>
      <c r="AS270" s="208">
        <v>0</v>
      </c>
      <c r="AT270" s="208">
        <v>-3222936</v>
      </c>
      <c r="AU270" s="208">
        <v>0</v>
      </c>
      <c r="AV270" s="208">
        <v>-703510</v>
      </c>
      <c r="AW270" s="208">
        <v>-175877</v>
      </c>
      <c r="AX270" s="208">
        <v>0</v>
      </c>
      <c r="AY270" s="208">
        <v>-879387</v>
      </c>
      <c r="AZ270" s="208">
        <v>0</v>
      </c>
      <c r="BA270" s="208">
        <v>298990</v>
      </c>
      <c r="BB270" s="208">
        <v>74748</v>
      </c>
      <c r="BC270" s="208">
        <v>0</v>
      </c>
      <c r="BD270" s="208">
        <v>373738</v>
      </c>
      <c r="BE270" s="208">
        <v>0</v>
      </c>
      <c r="BF270" s="208">
        <v>-349047</v>
      </c>
      <c r="BG270" s="208">
        <v>-87262</v>
      </c>
      <c r="BH270" s="208">
        <v>0</v>
      </c>
      <c r="BI270" s="208">
        <v>-436309</v>
      </c>
      <c r="BJ270" s="208">
        <v>0</v>
      </c>
      <c r="BK270" s="208">
        <v>-753567</v>
      </c>
      <c r="BL270" s="208">
        <v>-188391</v>
      </c>
      <c r="BM270" s="208">
        <v>0</v>
      </c>
      <c r="BN270" s="208">
        <v>-941958</v>
      </c>
      <c r="BO270" s="208">
        <v>0</v>
      </c>
      <c r="BP270" s="208">
        <v>-5407236</v>
      </c>
      <c r="BQ270" s="208">
        <v>-1351809</v>
      </c>
      <c r="BR270" s="208">
        <v>0</v>
      </c>
      <c r="BS270" s="208">
        <v>-6759045</v>
      </c>
      <c r="BT270" s="208">
        <v>0</v>
      </c>
      <c r="BU270" s="208">
        <v>-3649758</v>
      </c>
      <c r="BV270" s="208">
        <v>-912439</v>
      </c>
      <c r="BW270" s="208">
        <v>0</v>
      </c>
      <c r="BX270" s="208">
        <v>-4562197</v>
      </c>
      <c r="BY270" s="208">
        <v>0</v>
      </c>
      <c r="BZ270" s="208">
        <v>-1757478</v>
      </c>
      <c r="CA270" s="208">
        <v>-439370</v>
      </c>
      <c r="CB270" s="208">
        <v>0</v>
      </c>
      <c r="CC270" s="208">
        <v>-2196848</v>
      </c>
      <c r="CD270" s="208">
        <v>0</v>
      </c>
      <c r="CE270" s="208">
        <v>448168</v>
      </c>
      <c r="CF270" s="208">
        <v>112042</v>
      </c>
      <c r="CG270" s="208">
        <v>0</v>
      </c>
      <c r="CH270" s="208">
        <v>560210</v>
      </c>
      <c r="CI270" s="208">
        <v>0</v>
      </c>
      <c r="CJ270" s="208">
        <v>964</v>
      </c>
      <c r="CK270" s="208">
        <v>241</v>
      </c>
      <c r="CL270" s="208">
        <v>0</v>
      </c>
      <c r="CM270" s="208">
        <v>1205</v>
      </c>
      <c r="CN270" s="208">
        <v>0</v>
      </c>
      <c r="CO270" s="208">
        <v>2380554</v>
      </c>
      <c r="CP270" s="208">
        <v>595139</v>
      </c>
      <c r="CQ270" s="208">
        <v>0</v>
      </c>
      <c r="CR270" s="208">
        <v>2975693</v>
      </c>
      <c r="CS270" s="208">
        <v>0</v>
      </c>
      <c r="CT270" s="208">
        <v>-464908</v>
      </c>
      <c r="CU270" s="208">
        <v>-116227</v>
      </c>
      <c r="CV270" s="208">
        <v>0</v>
      </c>
      <c r="CW270" s="208">
        <v>-581135</v>
      </c>
      <c r="CX270" s="208">
        <v>0</v>
      </c>
      <c r="CY270" s="208">
        <v>-3042458</v>
      </c>
      <c r="CZ270" s="208">
        <v>-760614</v>
      </c>
      <c r="DA270" s="208">
        <v>0</v>
      </c>
      <c r="DB270" s="208">
        <v>-3803072</v>
      </c>
      <c r="DC270" s="208">
        <v>0</v>
      </c>
      <c r="DD270" s="208">
        <v>-821036</v>
      </c>
      <c r="DE270" s="208">
        <v>-205258</v>
      </c>
      <c r="DF270" s="208">
        <v>0</v>
      </c>
      <c r="DG270" s="208">
        <v>-1026294</v>
      </c>
      <c r="DH270" s="208">
        <v>0</v>
      </c>
      <c r="DI270" s="208">
        <v>-2221422</v>
      </c>
      <c r="DJ270" s="208">
        <v>-555356</v>
      </c>
      <c r="DK270" s="208">
        <v>0</v>
      </c>
      <c r="DL270" s="208">
        <v>-2776778</v>
      </c>
      <c r="DM270" s="208">
        <v>-257151</v>
      </c>
      <c r="DN270" s="208">
        <v>-205720</v>
      </c>
      <c r="DO270" s="208">
        <v>-51430</v>
      </c>
      <c r="DP270" s="208">
        <v>0</v>
      </c>
      <c r="DQ270" s="208">
        <v>-514301</v>
      </c>
      <c r="DR270" s="208">
        <v>-621176</v>
      </c>
      <c r="DS270" s="208">
        <v>-496941</v>
      </c>
      <c r="DT270" s="208">
        <v>-124235</v>
      </c>
      <c r="DU270" s="208">
        <v>0</v>
      </c>
      <c r="DV270" s="208">
        <v>-1242352</v>
      </c>
      <c r="DW270" s="208">
        <v>364025</v>
      </c>
      <c r="DX270" s="208">
        <v>291221</v>
      </c>
      <c r="DY270" s="208">
        <v>72805</v>
      </c>
      <c r="DZ270" s="208">
        <v>0</v>
      </c>
      <c r="EA270" s="208">
        <v>728051</v>
      </c>
      <c r="EB270" s="208">
        <v>0</v>
      </c>
      <c r="EC270" s="208">
        <v>48825387</v>
      </c>
      <c r="ED270" s="208">
        <v>12206347</v>
      </c>
      <c r="EE270" s="208">
        <v>0</v>
      </c>
      <c r="EF270" s="208">
        <v>61031734</v>
      </c>
      <c r="EG270" s="208">
        <v>0</v>
      </c>
      <c r="EH270" s="208">
        <v>52235486</v>
      </c>
      <c r="EI270" s="208">
        <v>13058871</v>
      </c>
      <c r="EJ270" s="208">
        <v>0</v>
      </c>
      <c r="EK270" s="208">
        <v>65294357</v>
      </c>
      <c r="EL270" s="208">
        <v>0</v>
      </c>
      <c r="EM270" s="208">
        <v>3410099</v>
      </c>
      <c r="EN270" s="208">
        <v>852524</v>
      </c>
      <c r="EO270" s="208">
        <v>0</v>
      </c>
      <c r="EP270" s="208">
        <v>4262623</v>
      </c>
      <c r="EQ270" s="208">
        <v>364025</v>
      </c>
      <c r="ER270" s="208">
        <v>3701320</v>
      </c>
      <c r="ES270" s="208">
        <v>925329</v>
      </c>
      <c r="ET270" s="208">
        <v>0</v>
      </c>
      <c r="EU270" s="208">
        <v>4990674</v>
      </c>
      <c r="EV270" s="666">
        <v>0</v>
      </c>
      <c r="EW270" s="666">
        <v>0.8</v>
      </c>
      <c r="EX270" s="666">
        <v>0.2</v>
      </c>
      <c r="EY270" s="666">
        <v>0</v>
      </c>
      <c r="EZ270" s="666">
        <v>1</v>
      </c>
      <c r="FA270" s="187" t="s">
        <v>1054</v>
      </c>
      <c r="FC270" s="187">
        <v>0</v>
      </c>
    </row>
    <row r="271" spans="1:159" s="187" customFormat="1" x14ac:dyDescent="0.2">
      <c r="B271" s="429" t="s">
        <v>620</v>
      </c>
      <c r="C271" s="429" t="s">
        <v>619</v>
      </c>
      <c r="D271" s="208">
        <v>44345533</v>
      </c>
      <c r="E271" s="208">
        <v>43458623</v>
      </c>
      <c r="F271" s="208">
        <v>0</v>
      </c>
      <c r="G271" s="208">
        <v>886911</v>
      </c>
      <c r="H271" s="208">
        <v>88691067</v>
      </c>
      <c r="I271" s="208">
        <v>0</v>
      </c>
      <c r="J271" s="208">
        <v>0</v>
      </c>
      <c r="K271" s="208">
        <v>44345533</v>
      </c>
      <c r="L271" s="208">
        <v>339940</v>
      </c>
      <c r="M271" s="208">
        <v>339940</v>
      </c>
      <c r="N271" s="208">
        <v>750218</v>
      </c>
      <c r="O271" s="208">
        <v>750218</v>
      </c>
      <c r="P271" s="208">
        <v>0</v>
      </c>
      <c r="Q271" s="208">
        <v>0</v>
      </c>
      <c r="R271" s="208">
        <v>0</v>
      </c>
      <c r="S271" s="208">
        <v>0</v>
      </c>
      <c r="T271" s="208">
        <v>0</v>
      </c>
      <c r="U271" s="208">
        <v>0</v>
      </c>
      <c r="V271" s="208">
        <v>0</v>
      </c>
      <c r="W271" s="208">
        <v>0</v>
      </c>
      <c r="X271" s="208">
        <v>0</v>
      </c>
      <c r="Y271" s="208">
        <v>0</v>
      </c>
      <c r="Z271" s="208">
        <v>0</v>
      </c>
      <c r="AA271" s="208">
        <v>0</v>
      </c>
      <c r="AB271" s="208">
        <v>0</v>
      </c>
      <c r="AC271" s="208">
        <v>0</v>
      </c>
      <c r="AD271" s="208">
        <v>0</v>
      </c>
      <c r="AE271" s="208">
        <v>0</v>
      </c>
      <c r="AF271" s="208">
        <v>0</v>
      </c>
      <c r="AG271" s="208">
        <v>4064306</v>
      </c>
      <c r="AH271" s="208">
        <v>0</v>
      </c>
      <c r="AI271" s="208">
        <v>82560</v>
      </c>
      <c r="AJ271" s="208">
        <v>4146866</v>
      </c>
      <c r="AK271" s="208">
        <v>2161905</v>
      </c>
      <c r="AL271" s="208">
        <v>2118666</v>
      </c>
      <c r="AM271" s="208">
        <v>0</v>
      </c>
      <c r="AN271" s="208">
        <v>43238</v>
      </c>
      <c r="AO271" s="208">
        <v>4323809</v>
      </c>
      <c r="AP271" s="208">
        <v>-299275</v>
      </c>
      <c r="AQ271" s="208">
        <v>-293289</v>
      </c>
      <c r="AR271" s="208">
        <v>0</v>
      </c>
      <c r="AS271" s="208">
        <v>-5985</v>
      </c>
      <c r="AT271" s="208">
        <v>-598549</v>
      </c>
      <c r="AU271" s="208">
        <v>-2317692</v>
      </c>
      <c r="AV271" s="208">
        <v>-2271338</v>
      </c>
      <c r="AW271" s="208">
        <v>0</v>
      </c>
      <c r="AX271" s="208">
        <v>-46354</v>
      </c>
      <c r="AY271" s="208">
        <v>-4635384</v>
      </c>
      <c r="AZ271" s="208">
        <v>824704</v>
      </c>
      <c r="BA271" s="208">
        <v>808210</v>
      </c>
      <c r="BB271" s="208">
        <v>0</v>
      </c>
      <c r="BC271" s="208">
        <v>16494</v>
      </c>
      <c r="BD271" s="208">
        <v>1649408</v>
      </c>
      <c r="BE271" s="208">
        <v>-406876</v>
      </c>
      <c r="BF271" s="208">
        <v>-398739</v>
      </c>
      <c r="BG271" s="208">
        <v>0</v>
      </c>
      <c r="BH271" s="208">
        <v>-8138</v>
      </c>
      <c r="BI271" s="208">
        <v>-813753</v>
      </c>
      <c r="BJ271" s="208">
        <v>-1899864</v>
      </c>
      <c r="BK271" s="208">
        <v>-1861867</v>
      </c>
      <c r="BL271" s="208">
        <v>0</v>
      </c>
      <c r="BM271" s="208">
        <v>-37998</v>
      </c>
      <c r="BN271" s="208">
        <v>-3799729</v>
      </c>
      <c r="BO271" s="208">
        <v>-7283435</v>
      </c>
      <c r="BP271" s="208">
        <v>-7137766</v>
      </c>
      <c r="BQ271" s="208">
        <v>0</v>
      </c>
      <c r="BR271" s="208">
        <v>-145669</v>
      </c>
      <c r="BS271" s="208">
        <v>-14566870</v>
      </c>
      <c r="BT271" s="208">
        <v>0</v>
      </c>
      <c r="BU271" s="208">
        <v>0</v>
      </c>
      <c r="BV271" s="208">
        <v>0</v>
      </c>
      <c r="BW271" s="208">
        <v>0</v>
      </c>
      <c r="BX271" s="208">
        <v>0</v>
      </c>
      <c r="BY271" s="208">
        <v>-7283435</v>
      </c>
      <c r="BZ271" s="208">
        <v>-7137766</v>
      </c>
      <c r="CA271" s="208">
        <v>0</v>
      </c>
      <c r="CB271" s="208">
        <v>-145669</v>
      </c>
      <c r="CC271" s="208">
        <v>-14566870</v>
      </c>
      <c r="CD271" s="208">
        <v>1697536</v>
      </c>
      <c r="CE271" s="208">
        <v>1663586</v>
      </c>
      <c r="CF271" s="208">
        <v>0</v>
      </c>
      <c r="CG271" s="208">
        <v>33951</v>
      </c>
      <c r="CH271" s="208">
        <v>3395073</v>
      </c>
      <c r="CI271" s="208">
        <v>147710</v>
      </c>
      <c r="CJ271" s="208">
        <v>144755</v>
      </c>
      <c r="CK271" s="208">
        <v>0</v>
      </c>
      <c r="CL271" s="208">
        <v>2954</v>
      </c>
      <c r="CM271" s="208">
        <v>295419</v>
      </c>
      <c r="CN271" s="208">
        <v>-103714</v>
      </c>
      <c r="CO271" s="208">
        <v>-101640</v>
      </c>
      <c r="CP271" s="208">
        <v>0</v>
      </c>
      <c r="CQ271" s="208">
        <v>-2074</v>
      </c>
      <c r="CR271" s="208">
        <v>-207428</v>
      </c>
      <c r="CS271" s="208">
        <v>-1829632</v>
      </c>
      <c r="CT271" s="208">
        <v>-1793039</v>
      </c>
      <c r="CU271" s="208">
        <v>0</v>
      </c>
      <c r="CV271" s="208">
        <v>-36593</v>
      </c>
      <c r="CW271" s="208">
        <v>-3659264</v>
      </c>
      <c r="CX271" s="208">
        <v>-7371535</v>
      </c>
      <c r="CY271" s="208">
        <v>-7224104</v>
      </c>
      <c r="CZ271" s="208">
        <v>0</v>
      </c>
      <c r="DA271" s="208">
        <v>-147431</v>
      </c>
      <c r="DB271" s="208">
        <v>-14743070</v>
      </c>
      <c r="DC271" s="208">
        <v>1593822</v>
      </c>
      <c r="DD271" s="208">
        <v>1561946</v>
      </c>
      <c r="DE271" s="208">
        <v>0</v>
      </c>
      <c r="DF271" s="208">
        <v>31877</v>
      </c>
      <c r="DG271" s="208">
        <v>3187645</v>
      </c>
      <c r="DH271" s="208">
        <v>-8965357</v>
      </c>
      <c r="DI271" s="208">
        <v>-8786050</v>
      </c>
      <c r="DJ271" s="208">
        <v>0</v>
      </c>
      <c r="DK271" s="208">
        <v>-179308</v>
      </c>
      <c r="DL271" s="208">
        <v>-17930715</v>
      </c>
      <c r="DM271" s="208">
        <v>737884</v>
      </c>
      <c r="DN271" s="208">
        <v>723126</v>
      </c>
      <c r="DO271" s="208">
        <v>0</v>
      </c>
      <c r="DP271" s="208">
        <v>14759</v>
      </c>
      <c r="DQ271" s="208">
        <v>1475769</v>
      </c>
      <c r="DR271" s="208">
        <v>0</v>
      </c>
      <c r="DS271" s="208">
        <v>0</v>
      </c>
      <c r="DT271" s="208">
        <v>0</v>
      </c>
      <c r="DU271" s="208">
        <v>0</v>
      </c>
      <c r="DV271" s="208">
        <v>0</v>
      </c>
      <c r="DW271" s="208">
        <v>737884</v>
      </c>
      <c r="DX271" s="208">
        <v>723126</v>
      </c>
      <c r="DY271" s="208">
        <v>0</v>
      </c>
      <c r="DZ271" s="208">
        <v>14759</v>
      </c>
      <c r="EA271" s="208">
        <v>1475769</v>
      </c>
      <c r="EB271" s="208">
        <v>43115729</v>
      </c>
      <c r="EC271" s="208">
        <v>42253414</v>
      </c>
      <c r="ED271" s="208">
        <v>0</v>
      </c>
      <c r="EE271" s="208">
        <v>862315</v>
      </c>
      <c r="EF271" s="208">
        <v>86231458</v>
      </c>
      <c r="EG271" s="208">
        <v>44345533</v>
      </c>
      <c r="EH271" s="208">
        <v>43458623</v>
      </c>
      <c r="EI271" s="208">
        <v>0</v>
      </c>
      <c r="EJ271" s="208">
        <v>886911</v>
      </c>
      <c r="EK271" s="208">
        <v>88691067</v>
      </c>
      <c r="EL271" s="208">
        <v>1229804</v>
      </c>
      <c r="EM271" s="208">
        <v>1205209</v>
      </c>
      <c r="EN271" s="208">
        <v>0</v>
      </c>
      <c r="EO271" s="208">
        <v>24596</v>
      </c>
      <c r="EP271" s="208">
        <v>2459609</v>
      </c>
      <c r="EQ271" s="208">
        <v>1967688</v>
      </c>
      <c r="ER271" s="208">
        <v>1928335</v>
      </c>
      <c r="ES271" s="208">
        <v>0</v>
      </c>
      <c r="ET271" s="208">
        <v>39355</v>
      </c>
      <c r="EU271" s="208">
        <v>3935378</v>
      </c>
      <c r="EV271" s="666">
        <v>0.5</v>
      </c>
      <c r="EW271" s="666">
        <v>0.49</v>
      </c>
      <c r="EX271" s="666">
        <v>0</v>
      </c>
      <c r="EY271" s="666">
        <v>0.01</v>
      </c>
      <c r="EZ271" s="666">
        <v>1</v>
      </c>
      <c r="FA271" s="187" t="s">
        <v>1056</v>
      </c>
      <c r="FC271" s="187">
        <v>0</v>
      </c>
    </row>
    <row r="272" spans="1:159" s="187" customFormat="1" x14ac:dyDescent="0.2">
      <c r="B272" s="429" t="s">
        <v>622</v>
      </c>
      <c r="C272" s="429" t="s">
        <v>621</v>
      </c>
      <c r="D272" s="208">
        <v>0</v>
      </c>
      <c r="E272" s="208">
        <v>12608237</v>
      </c>
      <c r="F272" s="208">
        <v>29419219</v>
      </c>
      <c r="G272" s="208">
        <v>0</v>
      </c>
      <c r="H272" s="208">
        <v>42027456</v>
      </c>
      <c r="I272" s="208">
        <v>0</v>
      </c>
      <c r="J272" s="208">
        <v>0</v>
      </c>
      <c r="K272" s="208">
        <v>0</v>
      </c>
      <c r="L272" s="208">
        <v>125099</v>
      </c>
      <c r="M272" s="208">
        <v>125099</v>
      </c>
      <c r="N272" s="208">
        <v>0</v>
      </c>
      <c r="O272" s="208">
        <v>0</v>
      </c>
      <c r="P272" s="208">
        <v>0</v>
      </c>
      <c r="Q272" s="208">
        <v>0</v>
      </c>
      <c r="R272" s="208">
        <v>0</v>
      </c>
      <c r="S272" s="208">
        <v>0</v>
      </c>
      <c r="T272" s="208">
        <v>0</v>
      </c>
      <c r="U272" s="208">
        <v>0</v>
      </c>
      <c r="V272" s="208">
        <v>0</v>
      </c>
      <c r="W272" s="208">
        <v>0</v>
      </c>
      <c r="X272" s="208">
        <v>0</v>
      </c>
      <c r="Y272" s="208">
        <v>0</v>
      </c>
      <c r="Z272" s="208">
        <v>0</v>
      </c>
      <c r="AA272" s="208">
        <v>0</v>
      </c>
      <c r="AB272" s="208">
        <v>0</v>
      </c>
      <c r="AC272" s="208">
        <v>0</v>
      </c>
      <c r="AD272" s="208">
        <v>0</v>
      </c>
      <c r="AE272" s="208">
        <v>0</v>
      </c>
      <c r="AF272" s="208">
        <v>0</v>
      </c>
      <c r="AG272" s="208">
        <v>1009450</v>
      </c>
      <c r="AH272" s="208">
        <v>2355381</v>
      </c>
      <c r="AI272" s="208">
        <v>0</v>
      </c>
      <c r="AJ272" s="208">
        <v>3364831</v>
      </c>
      <c r="AK272" s="208">
        <v>0</v>
      </c>
      <c r="AL272" s="208">
        <v>602665</v>
      </c>
      <c r="AM272" s="208">
        <v>1406219</v>
      </c>
      <c r="AN272" s="208">
        <v>0</v>
      </c>
      <c r="AO272" s="208">
        <v>2008884</v>
      </c>
      <c r="AP272" s="208">
        <v>0</v>
      </c>
      <c r="AQ272" s="208">
        <v>-308273</v>
      </c>
      <c r="AR272" s="208">
        <v>-719305</v>
      </c>
      <c r="AS272" s="208">
        <v>0</v>
      </c>
      <c r="AT272" s="208">
        <v>-1027578</v>
      </c>
      <c r="AU272" s="208">
        <v>0</v>
      </c>
      <c r="AV272" s="208">
        <v>-222357</v>
      </c>
      <c r="AW272" s="208">
        <v>-518832</v>
      </c>
      <c r="AX272" s="208">
        <v>0</v>
      </c>
      <c r="AY272" s="208">
        <v>-741189</v>
      </c>
      <c r="AZ272" s="208">
        <v>0</v>
      </c>
      <c r="BA272" s="208">
        <v>2755</v>
      </c>
      <c r="BB272" s="208">
        <v>6429</v>
      </c>
      <c r="BC272" s="208">
        <v>0</v>
      </c>
      <c r="BD272" s="208">
        <v>9184</v>
      </c>
      <c r="BE272" s="208">
        <v>0</v>
      </c>
      <c r="BF272" s="208">
        <v>62926</v>
      </c>
      <c r="BG272" s="208">
        <v>146826</v>
      </c>
      <c r="BH272" s="208">
        <v>0</v>
      </c>
      <c r="BI272" s="208">
        <v>209752</v>
      </c>
      <c r="BJ272" s="208">
        <v>0</v>
      </c>
      <c r="BK272" s="208">
        <v>-156676</v>
      </c>
      <c r="BL272" s="208">
        <v>-365577</v>
      </c>
      <c r="BM272" s="208">
        <v>0</v>
      </c>
      <c r="BN272" s="208">
        <v>-522253</v>
      </c>
      <c r="BO272" s="208">
        <v>0</v>
      </c>
      <c r="BP272" s="208">
        <v>-2034000</v>
      </c>
      <c r="BQ272" s="208">
        <v>-4746000</v>
      </c>
      <c r="BR272" s="208">
        <v>0</v>
      </c>
      <c r="BS272" s="208">
        <v>-6780000</v>
      </c>
      <c r="BT272" s="208">
        <v>0</v>
      </c>
      <c r="BU272" s="208">
        <v>0</v>
      </c>
      <c r="BV272" s="208">
        <v>0</v>
      </c>
      <c r="BW272" s="208">
        <v>0</v>
      </c>
      <c r="BX272" s="208">
        <v>0</v>
      </c>
      <c r="BY272" s="208">
        <v>0</v>
      </c>
      <c r="BZ272" s="208">
        <v>-2034000</v>
      </c>
      <c r="CA272" s="208">
        <v>-4746000</v>
      </c>
      <c r="CB272" s="208">
        <v>0</v>
      </c>
      <c r="CC272" s="208">
        <v>-6780000</v>
      </c>
      <c r="CD272" s="208">
        <v>0</v>
      </c>
      <c r="CE272" s="208">
        <v>102684</v>
      </c>
      <c r="CF272" s="208">
        <v>239596</v>
      </c>
      <c r="CG272" s="208">
        <v>0</v>
      </c>
      <c r="CH272" s="208">
        <v>342280</v>
      </c>
      <c r="CI272" s="208">
        <v>0</v>
      </c>
      <c r="CJ272" s="208">
        <v>58978</v>
      </c>
      <c r="CK272" s="208">
        <v>137615</v>
      </c>
      <c r="CL272" s="208">
        <v>0</v>
      </c>
      <c r="CM272" s="208">
        <v>196593</v>
      </c>
      <c r="CN272" s="208">
        <v>0</v>
      </c>
      <c r="CO272" s="208">
        <v>-270137</v>
      </c>
      <c r="CP272" s="208">
        <v>-630320</v>
      </c>
      <c r="CQ272" s="208">
        <v>0</v>
      </c>
      <c r="CR272" s="208">
        <v>-900457</v>
      </c>
      <c r="CS272" s="208">
        <v>-1</v>
      </c>
      <c r="CT272" s="208">
        <v>1608632</v>
      </c>
      <c r="CU272" s="208">
        <v>3753474</v>
      </c>
      <c r="CV272" s="208">
        <v>0</v>
      </c>
      <c r="CW272" s="208">
        <v>5362105</v>
      </c>
      <c r="CX272" s="208">
        <v>-1</v>
      </c>
      <c r="CY272" s="208">
        <v>-533843</v>
      </c>
      <c r="CZ272" s="208">
        <v>-1245635</v>
      </c>
      <c r="DA272" s="208">
        <v>0</v>
      </c>
      <c r="DB272" s="208">
        <v>-1779479</v>
      </c>
      <c r="DC272" s="208">
        <v>0</v>
      </c>
      <c r="DD272" s="208">
        <v>-167453</v>
      </c>
      <c r="DE272" s="208">
        <v>-390724</v>
      </c>
      <c r="DF272" s="208">
        <v>0</v>
      </c>
      <c r="DG272" s="208">
        <v>-558177</v>
      </c>
      <c r="DH272" s="208">
        <v>-1</v>
      </c>
      <c r="DI272" s="208">
        <v>-366390</v>
      </c>
      <c r="DJ272" s="208">
        <v>-854911</v>
      </c>
      <c r="DK272" s="208">
        <v>0</v>
      </c>
      <c r="DL272" s="208">
        <v>-1221302</v>
      </c>
      <c r="DM272" s="208">
        <v>-93993</v>
      </c>
      <c r="DN272" s="208">
        <v>-75194</v>
      </c>
      <c r="DO272" s="208">
        <v>-18798</v>
      </c>
      <c r="DP272" s="208">
        <v>0</v>
      </c>
      <c r="DQ272" s="208">
        <v>-187985</v>
      </c>
      <c r="DR272" s="208">
        <v>1817211</v>
      </c>
      <c r="DS272" s="208">
        <v>1453769</v>
      </c>
      <c r="DT272" s="208">
        <v>363442</v>
      </c>
      <c r="DU272" s="208">
        <v>0</v>
      </c>
      <c r="DV272" s="208">
        <v>3634422</v>
      </c>
      <c r="DW272" s="208">
        <v>-1911204</v>
      </c>
      <c r="DX272" s="208">
        <v>-1528963</v>
      </c>
      <c r="DY272" s="208">
        <v>-382240</v>
      </c>
      <c r="DZ272" s="208">
        <v>0</v>
      </c>
      <c r="EA272" s="208">
        <v>-3822407</v>
      </c>
      <c r="EB272" s="208">
        <v>0</v>
      </c>
      <c r="EC272" s="208">
        <v>10845975</v>
      </c>
      <c r="ED272" s="208">
        <v>25307275</v>
      </c>
      <c r="EE272" s="208">
        <v>0</v>
      </c>
      <c r="EF272" s="208">
        <v>36153250</v>
      </c>
      <c r="EG272" s="208">
        <v>0</v>
      </c>
      <c r="EH272" s="208">
        <v>12608237</v>
      </c>
      <c r="EI272" s="208">
        <v>29419219</v>
      </c>
      <c r="EJ272" s="208">
        <v>0</v>
      </c>
      <c r="EK272" s="208">
        <v>42027456</v>
      </c>
      <c r="EL272" s="208">
        <v>0</v>
      </c>
      <c r="EM272" s="208">
        <v>1762262</v>
      </c>
      <c r="EN272" s="208">
        <v>4111944</v>
      </c>
      <c r="EO272" s="208">
        <v>0</v>
      </c>
      <c r="EP272" s="208">
        <v>5874206</v>
      </c>
      <c r="EQ272" s="208">
        <v>-1911204</v>
      </c>
      <c r="ER272" s="208">
        <v>233299</v>
      </c>
      <c r="ES272" s="208">
        <v>3729704</v>
      </c>
      <c r="ET272" s="208">
        <v>0</v>
      </c>
      <c r="EU272" s="208">
        <v>2051799</v>
      </c>
      <c r="EV272" s="666">
        <v>0</v>
      </c>
      <c r="EW272" s="666">
        <v>0.3</v>
      </c>
      <c r="EX272" s="666">
        <v>0.7</v>
      </c>
      <c r="EY272" s="666">
        <v>0</v>
      </c>
      <c r="EZ272" s="666">
        <v>1</v>
      </c>
      <c r="FA272" s="187" t="s">
        <v>1054</v>
      </c>
      <c r="FC272" s="187">
        <v>0</v>
      </c>
    </row>
    <row r="273" spans="2:159" s="187" customFormat="1" x14ac:dyDescent="0.2">
      <c r="B273" s="429" t="s">
        <v>624</v>
      </c>
      <c r="C273" s="429" t="s">
        <v>623</v>
      </c>
      <c r="D273" s="208">
        <v>0</v>
      </c>
      <c r="E273" s="208">
        <v>35424096</v>
      </c>
      <c r="F273" s="208">
        <v>19926054</v>
      </c>
      <c r="G273" s="208">
        <v>0</v>
      </c>
      <c r="H273" s="208">
        <v>55350150</v>
      </c>
      <c r="I273" s="208">
        <v>0</v>
      </c>
      <c r="J273" s="208">
        <v>0</v>
      </c>
      <c r="K273" s="208">
        <v>0</v>
      </c>
      <c r="L273" s="208">
        <v>191719</v>
      </c>
      <c r="M273" s="208">
        <v>191719</v>
      </c>
      <c r="N273" s="208">
        <v>0</v>
      </c>
      <c r="O273" s="208">
        <v>0</v>
      </c>
      <c r="P273" s="208">
        <v>0</v>
      </c>
      <c r="Q273" s="208">
        <v>0</v>
      </c>
      <c r="R273" s="208">
        <v>0</v>
      </c>
      <c r="S273" s="208">
        <v>0</v>
      </c>
      <c r="T273" s="208">
        <v>0</v>
      </c>
      <c r="U273" s="208">
        <v>0</v>
      </c>
      <c r="V273" s="208">
        <v>0</v>
      </c>
      <c r="W273" s="208">
        <v>0</v>
      </c>
      <c r="X273" s="208">
        <v>0</v>
      </c>
      <c r="Y273" s="208">
        <v>0</v>
      </c>
      <c r="Z273" s="208">
        <v>0</v>
      </c>
      <c r="AA273" s="208">
        <v>0</v>
      </c>
      <c r="AB273" s="208">
        <v>0</v>
      </c>
      <c r="AC273" s="208">
        <v>0</v>
      </c>
      <c r="AD273" s="208">
        <v>0</v>
      </c>
      <c r="AE273" s="208">
        <v>0</v>
      </c>
      <c r="AF273" s="208">
        <v>0</v>
      </c>
      <c r="AG273" s="208">
        <v>3447230</v>
      </c>
      <c r="AH273" s="208">
        <v>1939067</v>
      </c>
      <c r="AI273" s="208">
        <v>0</v>
      </c>
      <c r="AJ273" s="208">
        <v>5386297</v>
      </c>
      <c r="AK273" s="208">
        <v>0</v>
      </c>
      <c r="AL273" s="208">
        <v>997060</v>
      </c>
      <c r="AM273" s="208">
        <v>560847</v>
      </c>
      <c r="AN273" s="208">
        <v>0</v>
      </c>
      <c r="AO273" s="208">
        <v>1557907</v>
      </c>
      <c r="AP273" s="208">
        <v>0</v>
      </c>
      <c r="AQ273" s="208">
        <v>-275044</v>
      </c>
      <c r="AR273" s="208">
        <v>-154712</v>
      </c>
      <c r="AS273" s="208">
        <v>0</v>
      </c>
      <c r="AT273" s="208">
        <v>-429756</v>
      </c>
      <c r="AU273" s="208">
        <v>0</v>
      </c>
      <c r="AV273" s="208">
        <v>-642509</v>
      </c>
      <c r="AW273" s="208">
        <v>-361411</v>
      </c>
      <c r="AX273" s="208">
        <v>0</v>
      </c>
      <c r="AY273" s="208">
        <v>-1003920</v>
      </c>
      <c r="AZ273" s="208">
        <v>0</v>
      </c>
      <c r="BA273" s="208">
        <v>418846</v>
      </c>
      <c r="BB273" s="208">
        <v>235601</v>
      </c>
      <c r="BC273" s="208">
        <v>0</v>
      </c>
      <c r="BD273" s="208">
        <v>654447</v>
      </c>
      <c r="BE273" s="208">
        <v>0</v>
      </c>
      <c r="BF273" s="208">
        <v>-294808</v>
      </c>
      <c r="BG273" s="208">
        <v>-165830</v>
      </c>
      <c r="BH273" s="208">
        <v>0</v>
      </c>
      <c r="BI273" s="208">
        <v>-460638</v>
      </c>
      <c r="BJ273" s="208">
        <v>0</v>
      </c>
      <c r="BK273" s="208">
        <v>-518471</v>
      </c>
      <c r="BL273" s="208">
        <v>-291640</v>
      </c>
      <c r="BM273" s="208">
        <v>0</v>
      </c>
      <c r="BN273" s="208">
        <v>-810111</v>
      </c>
      <c r="BO273" s="208">
        <v>0</v>
      </c>
      <c r="BP273" s="208">
        <v>-3226496</v>
      </c>
      <c r="BQ273" s="208">
        <v>-1814904</v>
      </c>
      <c r="BR273" s="208">
        <v>0</v>
      </c>
      <c r="BS273" s="208">
        <v>-5041400</v>
      </c>
      <c r="BT273" s="208">
        <v>0</v>
      </c>
      <c r="BU273" s="208">
        <v>0</v>
      </c>
      <c r="BV273" s="208">
        <v>0</v>
      </c>
      <c r="BW273" s="208">
        <v>0</v>
      </c>
      <c r="BX273" s="208">
        <v>0</v>
      </c>
      <c r="BY273" s="208">
        <v>0</v>
      </c>
      <c r="BZ273" s="208">
        <v>-3226496</v>
      </c>
      <c r="CA273" s="208">
        <v>-1814904</v>
      </c>
      <c r="CB273" s="208">
        <v>0</v>
      </c>
      <c r="CC273" s="208">
        <v>-5041400</v>
      </c>
      <c r="CD273" s="208">
        <v>0</v>
      </c>
      <c r="CE273" s="208">
        <v>0</v>
      </c>
      <c r="CF273" s="208">
        <v>0</v>
      </c>
      <c r="CG273" s="208">
        <v>0</v>
      </c>
      <c r="CH273" s="208">
        <v>0</v>
      </c>
      <c r="CI273" s="208">
        <v>0</v>
      </c>
      <c r="CJ273" s="208">
        <v>602477</v>
      </c>
      <c r="CK273" s="208">
        <v>338893</v>
      </c>
      <c r="CL273" s="208">
        <v>0</v>
      </c>
      <c r="CM273" s="208">
        <v>941370</v>
      </c>
      <c r="CN273" s="208">
        <v>0</v>
      </c>
      <c r="CO273" s="208">
        <v>0</v>
      </c>
      <c r="CP273" s="208">
        <v>0</v>
      </c>
      <c r="CQ273" s="208">
        <v>0</v>
      </c>
      <c r="CR273" s="208">
        <v>0</v>
      </c>
      <c r="CS273" s="208">
        <v>0</v>
      </c>
      <c r="CT273" s="208">
        <v>0</v>
      </c>
      <c r="CU273" s="208">
        <v>0</v>
      </c>
      <c r="CV273" s="208">
        <v>0</v>
      </c>
      <c r="CW273" s="208">
        <v>0</v>
      </c>
      <c r="CX273" s="208">
        <v>0</v>
      </c>
      <c r="CY273" s="208">
        <v>-2624019</v>
      </c>
      <c r="CZ273" s="208">
        <v>-1476011</v>
      </c>
      <c r="DA273" s="208">
        <v>0</v>
      </c>
      <c r="DB273" s="208">
        <v>-4100030</v>
      </c>
      <c r="DC273" s="208">
        <v>0</v>
      </c>
      <c r="DD273" s="208">
        <v>0</v>
      </c>
      <c r="DE273" s="208">
        <v>0</v>
      </c>
      <c r="DF273" s="208">
        <v>0</v>
      </c>
      <c r="DG273" s="208">
        <v>0</v>
      </c>
      <c r="DH273" s="208">
        <v>0</v>
      </c>
      <c r="DI273" s="208">
        <v>-2624019</v>
      </c>
      <c r="DJ273" s="208">
        <v>-1476011</v>
      </c>
      <c r="DK273" s="208">
        <v>0</v>
      </c>
      <c r="DL273" s="208">
        <v>-4100030</v>
      </c>
      <c r="DM273" s="208">
        <v>-2018779.4000000004</v>
      </c>
      <c r="DN273" s="208">
        <v>-1714402</v>
      </c>
      <c r="DO273" s="208">
        <v>-1981495</v>
      </c>
      <c r="DP273" s="208">
        <v>0</v>
      </c>
      <c r="DQ273" s="208">
        <v>-5714676.4000000004</v>
      </c>
      <c r="DR273" s="208">
        <v>-1844985</v>
      </c>
      <c r="DS273" s="208">
        <v>-1556971</v>
      </c>
      <c r="DT273" s="208">
        <v>-1787949</v>
      </c>
      <c r="DU273" s="208">
        <v>0</v>
      </c>
      <c r="DV273" s="208">
        <v>-5189905</v>
      </c>
      <c r="DW273" s="208">
        <v>-173794.40000000037</v>
      </c>
      <c r="DX273" s="208">
        <v>-157431</v>
      </c>
      <c r="DY273" s="208">
        <v>-193546</v>
      </c>
      <c r="DZ273" s="208">
        <v>0</v>
      </c>
      <c r="EA273" s="208">
        <v>-524771.40000000037</v>
      </c>
      <c r="EB273" s="208">
        <v>0</v>
      </c>
      <c r="EC273" s="208">
        <v>34348364</v>
      </c>
      <c r="ED273" s="208">
        <v>19320955</v>
      </c>
      <c r="EE273" s="208">
        <v>0</v>
      </c>
      <c r="EF273" s="208">
        <v>53669319</v>
      </c>
      <c r="EG273" s="208">
        <v>0</v>
      </c>
      <c r="EH273" s="208">
        <v>35424096</v>
      </c>
      <c r="EI273" s="208">
        <v>19926054</v>
      </c>
      <c r="EJ273" s="208">
        <v>0</v>
      </c>
      <c r="EK273" s="208">
        <v>55350150</v>
      </c>
      <c r="EL273" s="208">
        <v>0</v>
      </c>
      <c r="EM273" s="208">
        <v>1075732</v>
      </c>
      <c r="EN273" s="208">
        <v>605099</v>
      </c>
      <c r="EO273" s="208">
        <v>0</v>
      </c>
      <c r="EP273" s="208">
        <v>1680831</v>
      </c>
      <c r="EQ273" s="208">
        <v>-173794.40000000037</v>
      </c>
      <c r="ER273" s="208">
        <v>918301</v>
      </c>
      <c r="ES273" s="208">
        <v>411553</v>
      </c>
      <c r="ET273" s="208">
        <v>0</v>
      </c>
      <c r="EU273" s="208">
        <v>1156059.5999999996</v>
      </c>
      <c r="EV273" s="666">
        <v>0</v>
      </c>
      <c r="EW273" s="666">
        <v>0.64</v>
      </c>
      <c r="EX273" s="666">
        <v>0.36</v>
      </c>
      <c r="EY273" s="666">
        <v>0</v>
      </c>
      <c r="EZ273" s="666">
        <v>1</v>
      </c>
      <c r="FA273" s="187" t="s">
        <v>1055</v>
      </c>
      <c r="FC273" s="187">
        <v>0</v>
      </c>
    </row>
    <row r="274" spans="2:159" s="187" customFormat="1" x14ac:dyDescent="0.2">
      <c r="B274" s="429" t="s">
        <v>626</v>
      </c>
      <c r="C274" s="429" t="s">
        <v>625</v>
      </c>
      <c r="D274" s="208">
        <v>0</v>
      </c>
      <c r="E274" s="208">
        <v>19167068</v>
      </c>
      <c r="F274" s="208">
        <v>28271425</v>
      </c>
      <c r="G274" s="208">
        <v>479177</v>
      </c>
      <c r="H274" s="208">
        <v>47917670</v>
      </c>
      <c r="I274" s="208">
        <v>0</v>
      </c>
      <c r="J274" s="208">
        <v>0</v>
      </c>
      <c r="K274" s="208">
        <v>0</v>
      </c>
      <c r="L274" s="208">
        <v>180669</v>
      </c>
      <c r="M274" s="208">
        <v>180669</v>
      </c>
      <c r="N274" s="208">
        <v>0</v>
      </c>
      <c r="O274" s="208">
        <v>0</v>
      </c>
      <c r="P274" s="208">
        <v>393777</v>
      </c>
      <c r="Q274" s="208">
        <v>845495</v>
      </c>
      <c r="R274" s="208">
        <v>1239272</v>
      </c>
      <c r="S274" s="208">
        <v>0</v>
      </c>
      <c r="T274" s="208">
        <v>0</v>
      </c>
      <c r="U274" s="208">
        <v>0</v>
      </c>
      <c r="V274" s="208">
        <v>0</v>
      </c>
      <c r="W274" s="208">
        <v>0</v>
      </c>
      <c r="X274" s="208">
        <v>0</v>
      </c>
      <c r="Y274" s="208">
        <v>0</v>
      </c>
      <c r="Z274" s="208">
        <v>0</v>
      </c>
      <c r="AA274" s="208">
        <v>0</v>
      </c>
      <c r="AB274" s="208">
        <v>0</v>
      </c>
      <c r="AC274" s="208">
        <v>0</v>
      </c>
      <c r="AD274" s="208">
        <v>0</v>
      </c>
      <c r="AE274" s="208">
        <v>0</v>
      </c>
      <c r="AF274" s="208">
        <v>0</v>
      </c>
      <c r="AG274" s="208">
        <v>2210766</v>
      </c>
      <c r="AH274" s="208">
        <v>3266948</v>
      </c>
      <c r="AI274" s="208">
        <v>55043</v>
      </c>
      <c r="AJ274" s="208">
        <v>5532757</v>
      </c>
      <c r="AK274" s="208">
        <v>0</v>
      </c>
      <c r="AL274" s="208">
        <v>978591</v>
      </c>
      <c r="AM274" s="208">
        <v>1443421</v>
      </c>
      <c r="AN274" s="208">
        <v>24465</v>
      </c>
      <c r="AO274" s="208">
        <v>2446477</v>
      </c>
      <c r="AP274" s="208">
        <v>0</v>
      </c>
      <c r="AQ274" s="208">
        <v>-381880</v>
      </c>
      <c r="AR274" s="208">
        <v>-563274</v>
      </c>
      <c r="AS274" s="208">
        <v>-9547</v>
      </c>
      <c r="AT274" s="208">
        <v>-954701</v>
      </c>
      <c r="AU274" s="208">
        <v>-1</v>
      </c>
      <c r="AV274" s="208">
        <v>-587524</v>
      </c>
      <c r="AW274" s="208">
        <v>-866598</v>
      </c>
      <c r="AX274" s="208">
        <v>-14688</v>
      </c>
      <c r="AY274" s="208">
        <v>-1468811</v>
      </c>
      <c r="AZ274" s="208">
        <v>0</v>
      </c>
      <c r="BA274" s="208">
        <v>79578</v>
      </c>
      <c r="BB274" s="208">
        <v>117377</v>
      </c>
      <c r="BC274" s="208">
        <v>1989</v>
      </c>
      <c r="BD274" s="208">
        <v>198944</v>
      </c>
      <c r="BE274" s="208">
        <v>0</v>
      </c>
      <c r="BF274" s="208">
        <v>-146078</v>
      </c>
      <c r="BG274" s="208">
        <v>-215464</v>
      </c>
      <c r="BH274" s="208">
        <v>-3652</v>
      </c>
      <c r="BI274" s="208">
        <v>-365194</v>
      </c>
      <c r="BJ274" s="208">
        <v>-1</v>
      </c>
      <c r="BK274" s="208">
        <v>-654024</v>
      </c>
      <c r="BL274" s="208">
        <v>-964685</v>
      </c>
      <c r="BM274" s="208">
        <v>-16351</v>
      </c>
      <c r="BN274" s="208">
        <v>-1635061</v>
      </c>
      <c r="BO274" s="208">
        <v>-0.30000000074505806</v>
      </c>
      <c r="BP274" s="208">
        <v>-3417038</v>
      </c>
      <c r="BQ274" s="208">
        <v>-5040131</v>
      </c>
      <c r="BR274" s="208">
        <v>-85426</v>
      </c>
      <c r="BS274" s="208">
        <v>-8542595.3000000007</v>
      </c>
      <c r="BT274" s="208">
        <v>0</v>
      </c>
      <c r="BU274" s="208">
        <v>0</v>
      </c>
      <c r="BV274" s="208">
        <v>0</v>
      </c>
      <c r="BW274" s="208">
        <v>0</v>
      </c>
      <c r="BX274" s="208">
        <v>0</v>
      </c>
      <c r="BY274" s="208">
        <v>-0.30000000074505806</v>
      </c>
      <c r="BZ274" s="208">
        <v>-3417038</v>
      </c>
      <c r="CA274" s="208">
        <v>-5040131</v>
      </c>
      <c r="CB274" s="208">
        <v>-85426</v>
      </c>
      <c r="CC274" s="208">
        <v>-8542595.3000000007</v>
      </c>
      <c r="CD274" s="208">
        <v>1</v>
      </c>
      <c r="CE274" s="208">
        <v>130974</v>
      </c>
      <c r="CF274" s="208">
        <v>193187</v>
      </c>
      <c r="CG274" s="208">
        <v>3274</v>
      </c>
      <c r="CH274" s="208">
        <v>327436</v>
      </c>
      <c r="CI274" s="208">
        <v>0</v>
      </c>
      <c r="CJ274" s="208">
        <v>0</v>
      </c>
      <c r="CK274" s="208">
        <v>0</v>
      </c>
      <c r="CL274" s="208">
        <v>0</v>
      </c>
      <c r="CM274" s="208">
        <v>0</v>
      </c>
      <c r="CN274" s="208">
        <v>1</v>
      </c>
      <c r="CO274" s="208">
        <v>229655</v>
      </c>
      <c r="CP274" s="208">
        <v>338741</v>
      </c>
      <c r="CQ274" s="208">
        <v>5741</v>
      </c>
      <c r="CR274" s="208">
        <v>574138</v>
      </c>
      <c r="CS274" s="208">
        <v>0</v>
      </c>
      <c r="CT274" s="208">
        <v>-928672</v>
      </c>
      <c r="CU274" s="208">
        <v>-1369791</v>
      </c>
      <c r="CV274" s="208">
        <v>-23217</v>
      </c>
      <c r="CW274" s="208">
        <v>-2321680</v>
      </c>
      <c r="CX274" s="208">
        <v>1.6999999992549419</v>
      </c>
      <c r="CY274" s="208">
        <v>-3985081</v>
      </c>
      <c r="CZ274" s="208">
        <v>-5877994</v>
      </c>
      <c r="DA274" s="208">
        <v>-99628</v>
      </c>
      <c r="DB274" s="208">
        <v>-9962701.3000000007</v>
      </c>
      <c r="DC274" s="208">
        <v>2</v>
      </c>
      <c r="DD274" s="208">
        <v>360629</v>
      </c>
      <c r="DE274" s="208">
        <v>531928</v>
      </c>
      <c r="DF274" s="208">
        <v>9015</v>
      </c>
      <c r="DG274" s="208">
        <v>901574</v>
      </c>
      <c r="DH274" s="208">
        <v>-0.30000000074505806</v>
      </c>
      <c r="DI274" s="208">
        <v>-4345710</v>
      </c>
      <c r="DJ274" s="208">
        <v>-6409922</v>
      </c>
      <c r="DK274" s="208">
        <v>-108643</v>
      </c>
      <c r="DL274" s="208">
        <v>-10864275.300000001</v>
      </c>
      <c r="DM274" s="208">
        <v>135365</v>
      </c>
      <c r="DN274" s="208">
        <v>108291</v>
      </c>
      <c r="DO274" s="208">
        <v>24366</v>
      </c>
      <c r="DP274" s="208">
        <v>2707</v>
      </c>
      <c r="DQ274" s="208">
        <v>270728.60000000149</v>
      </c>
      <c r="DR274" s="208">
        <v>162302</v>
      </c>
      <c r="DS274" s="208">
        <v>129841</v>
      </c>
      <c r="DT274" s="208">
        <v>29214</v>
      </c>
      <c r="DU274" s="208">
        <v>3246</v>
      </c>
      <c r="DV274" s="208">
        <v>324603</v>
      </c>
      <c r="DW274" s="208">
        <v>-26937</v>
      </c>
      <c r="DX274" s="208">
        <v>-21550</v>
      </c>
      <c r="DY274" s="208">
        <v>-4848</v>
      </c>
      <c r="DZ274" s="208">
        <v>-539</v>
      </c>
      <c r="EA274" s="208">
        <v>-53874.39999999851</v>
      </c>
      <c r="EB274" s="208">
        <v>0</v>
      </c>
      <c r="EC274" s="208">
        <v>18856860</v>
      </c>
      <c r="ED274" s="208">
        <v>27813869</v>
      </c>
      <c r="EE274" s="208">
        <v>471422</v>
      </c>
      <c r="EF274" s="208">
        <v>47142151</v>
      </c>
      <c r="EG274" s="208">
        <v>0</v>
      </c>
      <c r="EH274" s="208">
        <v>19167068</v>
      </c>
      <c r="EI274" s="208">
        <v>28271425</v>
      </c>
      <c r="EJ274" s="208">
        <v>479177</v>
      </c>
      <c r="EK274" s="208">
        <v>47917670</v>
      </c>
      <c r="EL274" s="208">
        <v>0</v>
      </c>
      <c r="EM274" s="208">
        <v>310208</v>
      </c>
      <c r="EN274" s="208">
        <v>457556</v>
      </c>
      <c r="EO274" s="208">
        <v>7755</v>
      </c>
      <c r="EP274" s="208">
        <v>775519</v>
      </c>
      <c r="EQ274" s="208">
        <v>-26937</v>
      </c>
      <c r="ER274" s="208">
        <v>288658</v>
      </c>
      <c r="ES274" s="208">
        <v>452708</v>
      </c>
      <c r="ET274" s="208">
        <v>7216</v>
      </c>
      <c r="EU274" s="208">
        <v>721644.60000000149</v>
      </c>
      <c r="EV274" s="666">
        <v>0</v>
      </c>
      <c r="EW274" s="666">
        <v>0.4</v>
      </c>
      <c r="EX274" s="666">
        <v>0.59</v>
      </c>
      <c r="EY274" s="666">
        <v>0.01</v>
      </c>
      <c r="EZ274" s="666">
        <v>1</v>
      </c>
      <c r="FA274" s="187" t="s">
        <v>1054</v>
      </c>
      <c r="FC274" s="187">
        <v>0</v>
      </c>
    </row>
    <row r="275" spans="2:159" s="187" customFormat="1" x14ac:dyDescent="0.2">
      <c r="B275" s="429" t="s">
        <v>628</v>
      </c>
      <c r="C275" s="429" t="s">
        <v>627</v>
      </c>
      <c r="D275" s="208">
        <v>51359438</v>
      </c>
      <c r="E275" s="208">
        <v>50332250</v>
      </c>
      <c r="F275" s="208">
        <v>0</v>
      </c>
      <c r="G275" s="208">
        <v>1027189</v>
      </c>
      <c r="H275" s="208">
        <v>102718877</v>
      </c>
      <c r="I275" s="208">
        <v>0</v>
      </c>
      <c r="J275" s="208">
        <v>0</v>
      </c>
      <c r="K275" s="208">
        <v>51359438</v>
      </c>
      <c r="L275" s="208">
        <v>263419</v>
      </c>
      <c r="M275" s="208">
        <v>263419</v>
      </c>
      <c r="N275" s="208">
        <v>0</v>
      </c>
      <c r="O275" s="208">
        <v>0</v>
      </c>
      <c r="P275" s="208">
        <v>567166</v>
      </c>
      <c r="Q275" s="208">
        <v>0</v>
      </c>
      <c r="R275" s="208">
        <v>567166</v>
      </c>
      <c r="S275" s="208">
        <v>0</v>
      </c>
      <c r="T275" s="208">
        <v>0</v>
      </c>
      <c r="U275" s="208">
        <v>0</v>
      </c>
      <c r="V275" s="208">
        <v>0</v>
      </c>
      <c r="W275" s="208">
        <v>0</v>
      </c>
      <c r="X275" s="208">
        <v>0</v>
      </c>
      <c r="Y275" s="208">
        <v>0</v>
      </c>
      <c r="Z275" s="208">
        <v>0</v>
      </c>
      <c r="AA275" s="208">
        <v>0</v>
      </c>
      <c r="AB275" s="208">
        <v>0</v>
      </c>
      <c r="AC275" s="208">
        <v>0</v>
      </c>
      <c r="AD275" s="208">
        <v>0</v>
      </c>
      <c r="AE275" s="208">
        <v>0</v>
      </c>
      <c r="AF275" s="208">
        <v>0</v>
      </c>
      <c r="AG275" s="208">
        <v>3228099</v>
      </c>
      <c r="AH275" s="208">
        <v>0</v>
      </c>
      <c r="AI275" s="208">
        <v>65615</v>
      </c>
      <c r="AJ275" s="208">
        <v>3293714</v>
      </c>
      <c r="AK275" s="208">
        <v>1924853</v>
      </c>
      <c r="AL275" s="208">
        <v>1886355</v>
      </c>
      <c r="AM275" s="208">
        <v>0</v>
      </c>
      <c r="AN275" s="208">
        <v>38497</v>
      </c>
      <c r="AO275" s="208">
        <v>3849705</v>
      </c>
      <c r="AP275" s="208">
        <v>-491667</v>
      </c>
      <c r="AQ275" s="208">
        <v>-481833</v>
      </c>
      <c r="AR275" s="208">
        <v>0</v>
      </c>
      <c r="AS275" s="208">
        <v>-9833</v>
      </c>
      <c r="AT275" s="208">
        <v>-983333</v>
      </c>
      <c r="AU275" s="208">
        <v>-616278</v>
      </c>
      <c r="AV275" s="208">
        <v>-603953</v>
      </c>
      <c r="AW275" s="208">
        <v>0</v>
      </c>
      <c r="AX275" s="208">
        <v>-12326</v>
      </c>
      <c r="AY275" s="208">
        <v>-1232557</v>
      </c>
      <c r="AZ275" s="208">
        <v>407819</v>
      </c>
      <c r="BA275" s="208">
        <v>399663</v>
      </c>
      <c r="BB275" s="208">
        <v>0</v>
      </c>
      <c r="BC275" s="208">
        <v>8156</v>
      </c>
      <c r="BD275" s="208">
        <v>815638</v>
      </c>
      <c r="BE275" s="208">
        <v>-445501</v>
      </c>
      <c r="BF275" s="208">
        <v>-436591</v>
      </c>
      <c r="BG275" s="208">
        <v>0</v>
      </c>
      <c r="BH275" s="208">
        <v>-8910</v>
      </c>
      <c r="BI275" s="208">
        <v>-891002</v>
      </c>
      <c r="BJ275" s="208">
        <v>-653960</v>
      </c>
      <c r="BK275" s="208">
        <v>-640881</v>
      </c>
      <c r="BL275" s="208">
        <v>0</v>
      </c>
      <c r="BM275" s="208">
        <v>-13080</v>
      </c>
      <c r="BN275" s="208">
        <v>-1307921</v>
      </c>
      <c r="BO275" s="208">
        <v>-6392643</v>
      </c>
      <c r="BP275" s="208">
        <v>-6264791</v>
      </c>
      <c r="BQ275" s="208">
        <v>0</v>
      </c>
      <c r="BR275" s="208">
        <v>-127853</v>
      </c>
      <c r="BS275" s="208">
        <v>-12785287</v>
      </c>
      <c r="BT275" s="208">
        <v>-3714750</v>
      </c>
      <c r="BU275" s="208">
        <v>-3640455</v>
      </c>
      <c r="BV275" s="208">
        <v>0</v>
      </c>
      <c r="BW275" s="208">
        <v>-74295</v>
      </c>
      <c r="BX275" s="208">
        <v>-7429500</v>
      </c>
      <c r="BY275" s="208">
        <v>-2677893</v>
      </c>
      <c r="BZ275" s="208">
        <v>-2624336</v>
      </c>
      <c r="CA275" s="208">
        <v>0</v>
      </c>
      <c r="CB275" s="208">
        <v>-53558</v>
      </c>
      <c r="CC275" s="208">
        <v>-5355787</v>
      </c>
      <c r="CD275" s="208">
        <v>280708</v>
      </c>
      <c r="CE275" s="208">
        <v>275093</v>
      </c>
      <c r="CF275" s="208">
        <v>0</v>
      </c>
      <c r="CG275" s="208">
        <v>5614</v>
      </c>
      <c r="CH275" s="208">
        <v>561415</v>
      </c>
      <c r="CI275" s="208">
        <v>55432</v>
      </c>
      <c r="CJ275" s="208">
        <v>54323</v>
      </c>
      <c r="CK275" s="208">
        <v>0</v>
      </c>
      <c r="CL275" s="208">
        <v>1109</v>
      </c>
      <c r="CM275" s="208">
        <v>110864</v>
      </c>
      <c r="CN275" s="208">
        <v>91298</v>
      </c>
      <c r="CO275" s="208">
        <v>89473</v>
      </c>
      <c r="CP275" s="208">
        <v>0</v>
      </c>
      <c r="CQ275" s="208">
        <v>1826</v>
      </c>
      <c r="CR275" s="208">
        <v>182597</v>
      </c>
      <c r="CS275" s="208">
        <v>-1959704</v>
      </c>
      <c r="CT275" s="208">
        <v>-1920510</v>
      </c>
      <c r="CU275" s="208">
        <v>0</v>
      </c>
      <c r="CV275" s="208">
        <v>-39194</v>
      </c>
      <c r="CW275" s="208">
        <v>-3919408</v>
      </c>
      <c r="CX275" s="208">
        <v>-7924909</v>
      </c>
      <c r="CY275" s="208">
        <v>-7766412</v>
      </c>
      <c r="CZ275" s="208">
        <v>0</v>
      </c>
      <c r="DA275" s="208">
        <v>-158498</v>
      </c>
      <c r="DB275" s="208">
        <v>-15849819</v>
      </c>
      <c r="DC275" s="208">
        <v>-3342744</v>
      </c>
      <c r="DD275" s="208">
        <v>-3275889</v>
      </c>
      <c r="DE275" s="208">
        <v>0</v>
      </c>
      <c r="DF275" s="208">
        <v>-66855</v>
      </c>
      <c r="DG275" s="208">
        <v>-6685488</v>
      </c>
      <c r="DH275" s="208">
        <v>-4582165</v>
      </c>
      <c r="DI275" s="208">
        <v>-4490523</v>
      </c>
      <c r="DJ275" s="208">
        <v>0</v>
      </c>
      <c r="DK275" s="208">
        <v>-91643</v>
      </c>
      <c r="DL275" s="208">
        <v>-9164331</v>
      </c>
      <c r="DM275" s="208">
        <v>1639000</v>
      </c>
      <c r="DN275" s="208">
        <v>1606219</v>
      </c>
      <c r="DO275" s="208">
        <v>0</v>
      </c>
      <c r="DP275" s="208">
        <v>32780</v>
      </c>
      <c r="DQ275" s="208">
        <v>3277999</v>
      </c>
      <c r="DR275" s="208">
        <v>1772683</v>
      </c>
      <c r="DS275" s="208">
        <v>1737229</v>
      </c>
      <c r="DT275" s="208">
        <v>0</v>
      </c>
      <c r="DU275" s="208">
        <v>35454</v>
      </c>
      <c r="DV275" s="208">
        <v>3545366</v>
      </c>
      <c r="DW275" s="208">
        <v>-133683</v>
      </c>
      <c r="DX275" s="208">
        <v>-131010</v>
      </c>
      <c r="DY275" s="208">
        <v>0</v>
      </c>
      <c r="DZ275" s="208">
        <v>-2674</v>
      </c>
      <c r="EA275" s="208">
        <v>-267367</v>
      </c>
      <c r="EB275" s="208">
        <v>50966791</v>
      </c>
      <c r="EC275" s="208">
        <v>49947455</v>
      </c>
      <c r="ED275" s="208">
        <v>0</v>
      </c>
      <c r="EE275" s="208">
        <v>1019336</v>
      </c>
      <c r="EF275" s="208">
        <v>101933582</v>
      </c>
      <c r="EG275" s="208">
        <v>51359438</v>
      </c>
      <c r="EH275" s="208">
        <v>50332250</v>
      </c>
      <c r="EI275" s="208">
        <v>0</v>
      </c>
      <c r="EJ275" s="208">
        <v>1027189</v>
      </c>
      <c r="EK275" s="208">
        <v>102718877</v>
      </c>
      <c r="EL275" s="208">
        <v>392647</v>
      </c>
      <c r="EM275" s="208">
        <v>384795</v>
      </c>
      <c r="EN275" s="208">
        <v>0</v>
      </c>
      <c r="EO275" s="208">
        <v>7853</v>
      </c>
      <c r="EP275" s="208">
        <v>785295</v>
      </c>
      <c r="EQ275" s="208">
        <v>258964</v>
      </c>
      <c r="ER275" s="208">
        <v>253785</v>
      </c>
      <c r="ES275" s="208">
        <v>0</v>
      </c>
      <c r="ET275" s="208">
        <v>5179</v>
      </c>
      <c r="EU275" s="208">
        <v>517928</v>
      </c>
      <c r="EV275" s="666">
        <v>0.5</v>
      </c>
      <c r="EW275" s="666">
        <v>0.49</v>
      </c>
      <c r="EX275" s="666">
        <v>0</v>
      </c>
      <c r="EY275" s="666">
        <v>0.01</v>
      </c>
      <c r="EZ275" s="666">
        <v>1</v>
      </c>
      <c r="FA275" s="187" t="s">
        <v>742</v>
      </c>
      <c r="FC275" s="187">
        <v>0</v>
      </c>
    </row>
    <row r="276" spans="2:159" s="187" customFormat="1" x14ac:dyDescent="0.2">
      <c r="B276" s="429" t="s">
        <v>630</v>
      </c>
      <c r="C276" s="429" t="s">
        <v>629</v>
      </c>
      <c r="D276" s="208">
        <v>0</v>
      </c>
      <c r="E276" s="208">
        <v>50474593</v>
      </c>
      <c r="F276" s="208">
        <v>0</v>
      </c>
      <c r="G276" s="208">
        <v>509844</v>
      </c>
      <c r="H276" s="208">
        <v>50984437</v>
      </c>
      <c r="I276" s="208">
        <v>0</v>
      </c>
      <c r="J276" s="208">
        <v>0</v>
      </c>
      <c r="K276" s="208">
        <v>0</v>
      </c>
      <c r="L276" s="208">
        <v>290984</v>
      </c>
      <c r="M276" s="208">
        <v>290984</v>
      </c>
      <c r="N276" s="208">
        <v>0</v>
      </c>
      <c r="O276" s="208">
        <v>0</v>
      </c>
      <c r="P276" s="208">
        <v>0</v>
      </c>
      <c r="Q276" s="208">
        <v>0</v>
      </c>
      <c r="R276" s="208">
        <v>0</v>
      </c>
      <c r="S276" s="208">
        <v>0</v>
      </c>
      <c r="T276" s="208">
        <v>0</v>
      </c>
      <c r="U276" s="208">
        <v>0</v>
      </c>
      <c r="V276" s="208">
        <v>0</v>
      </c>
      <c r="W276" s="208">
        <v>0</v>
      </c>
      <c r="X276" s="208">
        <v>0</v>
      </c>
      <c r="Y276" s="208">
        <v>0</v>
      </c>
      <c r="Z276" s="208">
        <v>0</v>
      </c>
      <c r="AA276" s="208">
        <v>0</v>
      </c>
      <c r="AB276" s="208">
        <v>0</v>
      </c>
      <c r="AC276" s="208">
        <v>0</v>
      </c>
      <c r="AD276" s="208">
        <v>0</v>
      </c>
      <c r="AE276" s="208">
        <v>0</v>
      </c>
      <c r="AF276" s="208">
        <v>0</v>
      </c>
      <c r="AG276" s="208">
        <v>7802796</v>
      </c>
      <c r="AH276" s="208">
        <v>0</v>
      </c>
      <c r="AI276" s="208">
        <v>78816</v>
      </c>
      <c r="AJ276" s="208">
        <v>7881612</v>
      </c>
      <c r="AK276" s="208">
        <v>0</v>
      </c>
      <c r="AL276" s="208">
        <v>5454632</v>
      </c>
      <c r="AM276" s="208">
        <v>0</v>
      </c>
      <c r="AN276" s="208">
        <v>55097</v>
      </c>
      <c r="AO276" s="208">
        <v>5509729</v>
      </c>
      <c r="AP276" s="208">
        <v>0</v>
      </c>
      <c r="AQ276" s="208">
        <v>-1872958</v>
      </c>
      <c r="AR276" s="208">
        <v>0</v>
      </c>
      <c r="AS276" s="208">
        <v>-18919</v>
      </c>
      <c r="AT276" s="208">
        <v>-1891877</v>
      </c>
      <c r="AU276" s="208">
        <v>0.10000000009313226</v>
      </c>
      <c r="AV276" s="208">
        <v>-2278457</v>
      </c>
      <c r="AW276" s="208">
        <v>0</v>
      </c>
      <c r="AX276" s="208">
        <v>-23015</v>
      </c>
      <c r="AY276" s="208">
        <v>-2301471.9</v>
      </c>
      <c r="AZ276" s="208">
        <v>-1</v>
      </c>
      <c r="BA276" s="208">
        <v>1804424</v>
      </c>
      <c r="BB276" s="208">
        <v>0</v>
      </c>
      <c r="BC276" s="208">
        <v>18227</v>
      </c>
      <c r="BD276" s="208">
        <v>1822650</v>
      </c>
      <c r="BE276" s="208">
        <v>0</v>
      </c>
      <c r="BF276" s="208">
        <v>-1568132</v>
      </c>
      <c r="BG276" s="208">
        <v>0</v>
      </c>
      <c r="BH276" s="208">
        <v>-15840</v>
      </c>
      <c r="BI276" s="208">
        <v>-1583972</v>
      </c>
      <c r="BJ276" s="208">
        <v>-0.89999999990686774</v>
      </c>
      <c r="BK276" s="208">
        <v>-2042165</v>
      </c>
      <c r="BL276" s="208">
        <v>0</v>
      </c>
      <c r="BM276" s="208">
        <v>-20628</v>
      </c>
      <c r="BN276" s="208">
        <v>-2062793.9</v>
      </c>
      <c r="BO276" s="208">
        <v>0</v>
      </c>
      <c r="BP276" s="208">
        <v>-6957903</v>
      </c>
      <c r="BQ276" s="208">
        <v>0</v>
      </c>
      <c r="BR276" s="208">
        <v>-70282</v>
      </c>
      <c r="BS276" s="208">
        <v>-7028185</v>
      </c>
      <c r="BT276" s="208">
        <v>0</v>
      </c>
      <c r="BU276" s="208">
        <v>-3611964</v>
      </c>
      <c r="BV276" s="208">
        <v>0</v>
      </c>
      <c r="BW276" s="208">
        <v>-36484</v>
      </c>
      <c r="BX276" s="208">
        <v>-3648448</v>
      </c>
      <c r="BY276" s="208">
        <v>0</v>
      </c>
      <c r="BZ276" s="208">
        <v>-3345940</v>
      </c>
      <c r="CA276" s="208">
        <v>0</v>
      </c>
      <c r="CB276" s="208">
        <v>-33797</v>
      </c>
      <c r="CC276" s="208">
        <v>-3379737</v>
      </c>
      <c r="CD276" s="208">
        <v>0</v>
      </c>
      <c r="CE276" s="208">
        <v>868065</v>
      </c>
      <c r="CF276" s="208">
        <v>0</v>
      </c>
      <c r="CG276" s="208">
        <v>8768</v>
      </c>
      <c r="CH276" s="208">
        <v>876833</v>
      </c>
      <c r="CI276" s="208">
        <v>0</v>
      </c>
      <c r="CJ276" s="208">
        <v>12877</v>
      </c>
      <c r="CK276" s="208">
        <v>0</v>
      </c>
      <c r="CL276" s="208">
        <v>130</v>
      </c>
      <c r="CM276" s="208">
        <v>13007</v>
      </c>
      <c r="CN276" s="208">
        <v>0</v>
      </c>
      <c r="CO276" s="208">
        <v>497739</v>
      </c>
      <c r="CP276" s="208">
        <v>0</v>
      </c>
      <c r="CQ276" s="208">
        <v>5028</v>
      </c>
      <c r="CR276" s="208">
        <v>502767</v>
      </c>
      <c r="CS276" s="208">
        <v>0</v>
      </c>
      <c r="CT276" s="208">
        <v>-3359485</v>
      </c>
      <c r="CU276" s="208">
        <v>0</v>
      </c>
      <c r="CV276" s="208">
        <v>-33934</v>
      </c>
      <c r="CW276" s="208">
        <v>-3393419</v>
      </c>
      <c r="CX276" s="208">
        <v>0</v>
      </c>
      <c r="CY276" s="208">
        <v>-8938707</v>
      </c>
      <c r="CZ276" s="208">
        <v>0</v>
      </c>
      <c r="DA276" s="208">
        <v>-90290</v>
      </c>
      <c r="DB276" s="208">
        <v>-9028997</v>
      </c>
      <c r="DC276" s="208">
        <v>0</v>
      </c>
      <c r="DD276" s="208">
        <v>-2246160</v>
      </c>
      <c r="DE276" s="208">
        <v>0</v>
      </c>
      <c r="DF276" s="208">
        <v>-22688</v>
      </c>
      <c r="DG276" s="208">
        <v>-2268848</v>
      </c>
      <c r="DH276" s="208">
        <v>0</v>
      </c>
      <c r="DI276" s="208">
        <v>-6692548</v>
      </c>
      <c r="DJ276" s="208">
        <v>0</v>
      </c>
      <c r="DK276" s="208">
        <v>-67601</v>
      </c>
      <c r="DL276" s="208">
        <v>-6760149</v>
      </c>
      <c r="DM276" s="208">
        <v>-1553231</v>
      </c>
      <c r="DN276" s="208">
        <v>1491003</v>
      </c>
      <c r="DO276" s="208">
        <v>0</v>
      </c>
      <c r="DP276" s="208">
        <v>-628</v>
      </c>
      <c r="DQ276" s="208">
        <v>-62856</v>
      </c>
      <c r="DR276" s="208">
        <v>-3329835</v>
      </c>
      <c r="DS276" s="208">
        <v>2368150</v>
      </c>
      <c r="DT276" s="208">
        <v>0</v>
      </c>
      <c r="DU276" s="208">
        <v>-9714</v>
      </c>
      <c r="DV276" s="208">
        <v>-971399</v>
      </c>
      <c r="DW276" s="208">
        <v>1776604</v>
      </c>
      <c r="DX276" s="208">
        <v>-877147</v>
      </c>
      <c r="DY276" s="208">
        <v>0</v>
      </c>
      <c r="DZ276" s="208">
        <v>9086</v>
      </c>
      <c r="EA276" s="208">
        <v>908543</v>
      </c>
      <c r="EB276" s="208">
        <v>0</v>
      </c>
      <c r="EC276" s="208">
        <v>52024780</v>
      </c>
      <c r="ED276" s="208">
        <v>0</v>
      </c>
      <c r="EE276" s="208">
        <v>525503</v>
      </c>
      <c r="EF276" s="208">
        <v>52550283</v>
      </c>
      <c r="EG276" s="208">
        <v>0</v>
      </c>
      <c r="EH276" s="208">
        <v>50474593</v>
      </c>
      <c r="EI276" s="208">
        <v>0</v>
      </c>
      <c r="EJ276" s="208">
        <v>509844</v>
      </c>
      <c r="EK276" s="208">
        <v>50984437</v>
      </c>
      <c r="EL276" s="208">
        <v>0</v>
      </c>
      <c r="EM276" s="208">
        <v>-1550187</v>
      </c>
      <c r="EN276" s="208">
        <v>0</v>
      </c>
      <c r="EO276" s="208">
        <v>-15659</v>
      </c>
      <c r="EP276" s="208">
        <v>-1565846</v>
      </c>
      <c r="EQ276" s="208">
        <v>1776604</v>
      </c>
      <c r="ER276" s="208">
        <v>-2427334</v>
      </c>
      <c r="ES276" s="208">
        <v>0</v>
      </c>
      <c r="ET276" s="208">
        <v>-6573</v>
      </c>
      <c r="EU276" s="208">
        <v>-657303</v>
      </c>
      <c r="EV276" s="666">
        <v>0</v>
      </c>
      <c r="EW276" s="666">
        <v>0.99</v>
      </c>
      <c r="EX276" s="666">
        <v>0</v>
      </c>
      <c r="EY276" s="666">
        <v>0.01</v>
      </c>
      <c r="EZ276" s="666">
        <v>1</v>
      </c>
      <c r="FA276" s="187" t="s">
        <v>1056</v>
      </c>
      <c r="FC276" s="187">
        <v>0</v>
      </c>
    </row>
    <row r="277" spans="2:159" s="187" customFormat="1" x14ac:dyDescent="0.2">
      <c r="B277" s="429" t="s">
        <v>632</v>
      </c>
      <c r="C277" s="429" t="s">
        <v>631</v>
      </c>
      <c r="D277" s="208">
        <v>16896051</v>
      </c>
      <c r="E277" s="208">
        <v>13516840</v>
      </c>
      <c r="F277" s="208">
        <v>3041289</v>
      </c>
      <c r="G277" s="208">
        <v>337921</v>
      </c>
      <c r="H277" s="208">
        <v>33792101</v>
      </c>
      <c r="I277" s="208">
        <v>0</v>
      </c>
      <c r="J277" s="208">
        <v>0</v>
      </c>
      <c r="K277" s="208">
        <v>16896051</v>
      </c>
      <c r="L277" s="208">
        <v>90018</v>
      </c>
      <c r="M277" s="208">
        <v>90018</v>
      </c>
      <c r="N277" s="208">
        <v>0</v>
      </c>
      <c r="O277" s="208">
        <v>0</v>
      </c>
      <c r="P277" s="208">
        <v>0</v>
      </c>
      <c r="Q277" s="208">
        <v>0</v>
      </c>
      <c r="R277" s="208">
        <v>0</v>
      </c>
      <c r="S277" s="208">
        <v>0</v>
      </c>
      <c r="T277" s="208">
        <v>0</v>
      </c>
      <c r="U277" s="208">
        <v>0</v>
      </c>
      <c r="V277" s="208">
        <v>0</v>
      </c>
      <c r="W277" s="208">
        <v>0</v>
      </c>
      <c r="X277" s="208">
        <v>0</v>
      </c>
      <c r="Y277" s="208">
        <v>0</v>
      </c>
      <c r="Z277" s="208">
        <v>0</v>
      </c>
      <c r="AA277" s="208">
        <v>0</v>
      </c>
      <c r="AB277" s="208">
        <v>0</v>
      </c>
      <c r="AC277" s="208">
        <v>0</v>
      </c>
      <c r="AD277" s="208">
        <v>0</v>
      </c>
      <c r="AE277" s="208">
        <v>0</v>
      </c>
      <c r="AF277" s="208">
        <v>0</v>
      </c>
      <c r="AG277" s="208">
        <v>1053382</v>
      </c>
      <c r="AH277" s="208">
        <v>237010</v>
      </c>
      <c r="AI277" s="208">
        <v>26333</v>
      </c>
      <c r="AJ277" s="208">
        <v>1316725</v>
      </c>
      <c r="AK277" s="208">
        <v>320859</v>
      </c>
      <c r="AL277" s="208">
        <v>256687</v>
      </c>
      <c r="AM277" s="208">
        <v>57755</v>
      </c>
      <c r="AN277" s="208">
        <v>6417</v>
      </c>
      <c r="AO277" s="208">
        <v>641718</v>
      </c>
      <c r="AP277" s="208">
        <v>-582983</v>
      </c>
      <c r="AQ277" s="208">
        <v>-466387</v>
      </c>
      <c r="AR277" s="208">
        <v>-104937</v>
      </c>
      <c r="AS277" s="208">
        <v>-11660</v>
      </c>
      <c r="AT277" s="208">
        <v>-1165967</v>
      </c>
      <c r="AU277" s="208">
        <v>-366588.76</v>
      </c>
      <c r="AV277" s="208">
        <v>-293271</v>
      </c>
      <c r="AW277" s="208">
        <v>-65986</v>
      </c>
      <c r="AX277" s="208">
        <v>-7332</v>
      </c>
      <c r="AY277" s="208">
        <v>-733177.76</v>
      </c>
      <c r="AZ277" s="208">
        <v>190189</v>
      </c>
      <c r="BA277" s="208">
        <v>152152</v>
      </c>
      <c r="BB277" s="208">
        <v>34234</v>
      </c>
      <c r="BC277" s="208">
        <v>3804</v>
      </c>
      <c r="BD277" s="208">
        <v>380379</v>
      </c>
      <c r="BE277" s="208">
        <v>-94708</v>
      </c>
      <c r="BF277" s="208">
        <v>-75766</v>
      </c>
      <c r="BG277" s="208">
        <v>-17047</v>
      </c>
      <c r="BH277" s="208">
        <v>-1894</v>
      </c>
      <c r="BI277" s="208">
        <v>-189415</v>
      </c>
      <c r="BJ277" s="208">
        <v>-271107.76</v>
      </c>
      <c r="BK277" s="208">
        <v>-216885</v>
      </c>
      <c r="BL277" s="208">
        <v>-48799</v>
      </c>
      <c r="BM277" s="208">
        <v>-5422</v>
      </c>
      <c r="BN277" s="208">
        <v>-542213.76</v>
      </c>
      <c r="BO277" s="208">
        <v>-1921489</v>
      </c>
      <c r="BP277" s="208">
        <v>-1537192</v>
      </c>
      <c r="BQ277" s="208">
        <v>-345868</v>
      </c>
      <c r="BR277" s="208">
        <v>-38430</v>
      </c>
      <c r="BS277" s="208">
        <v>-3842979</v>
      </c>
      <c r="BT277" s="208">
        <v>-1145713</v>
      </c>
      <c r="BU277" s="208">
        <v>-916570</v>
      </c>
      <c r="BV277" s="208">
        <v>-206228</v>
      </c>
      <c r="BW277" s="208">
        <v>-22914</v>
      </c>
      <c r="BX277" s="208">
        <v>-2291425</v>
      </c>
      <c r="BY277" s="208">
        <v>-775776</v>
      </c>
      <c r="BZ277" s="208">
        <v>-620622</v>
      </c>
      <c r="CA277" s="208">
        <v>-139640</v>
      </c>
      <c r="CB277" s="208">
        <v>-15516</v>
      </c>
      <c r="CC277" s="208">
        <v>-1551554</v>
      </c>
      <c r="CD277" s="208">
        <v>122084</v>
      </c>
      <c r="CE277" s="208">
        <v>97667</v>
      </c>
      <c r="CF277" s="208">
        <v>21975</v>
      </c>
      <c r="CG277" s="208">
        <v>2442</v>
      </c>
      <c r="CH277" s="208">
        <v>244168</v>
      </c>
      <c r="CI277" s="208">
        <v>110046</v>
      </c>
      <c r="CJ277" s="208">
        <v>88037</v>
      </c>
      <c r="CK277" s="208">
        <v>19808</v>
      </c>
      <c r="CL277" s="208">
        <v>2201</v>
      </c>
      <c r="CM277" s="208">
        <v>220092</v>
      </c>
      <c r="CN277" s="208">
        <v>369250</v>
      </c>
      <c r="CO277" s="208">
        <v>295400</v>
      </c>
      <c r="CP277" s="208">
        <v>66465</v>
      </c>
      <c r="CQ277" s="208">
        <v>7385</v>
      </c>
      <c r="CR277" s="208">
        <v>738500</v>
      </c>
      <c r="CS277" s="208">
        <v>-939175</v>
      </c>
      <c r="CT277" s="208">
        <v>-751339</v>
      </c>
      <c r="CU277" s="208">
        <v>-169051</v>
      </c>
      <c r="CV277" s="208">
        <v>-18783</v>
      </c>
      <c r="CW277" s="208">
        <v>-1878348</v>
      </c>
      <c r="CX277" s="208">
        <v>-2259284</v>
      </c>
      <c r="CY277" s="208">
        <v>-1807427</v>
      </c>
      <c r="CZ277" s="208">
        <v>-406671</v>
      </c>
      <c r="DA277" s="208">
        <v>-45185</v>
      </c>
      <c r="DB277" s="208">
        <v>-4518567</v>
      </c>
      <c r="DC277" s="208">
        <v>-654379</v>
      </c>
      <c r="DD277" s="208">
        <v>-523503</v>
      </c>
      <c r="DE277" s="208">
        <v>-117788</v>
      </c>
      <c r="DF277" s="208">
        <v>-13087</v>
      </c>
      <c r="DG277" s="208">
        <v>-1308757</v>
      </c>
      <c r="DH277" s="208">
        <v>-1604905</v>
      </c>
      <c r="DI277" s="208">
        <v>-1283924</v>
      </c>
      <c r="DJ277" s="208">
        <v>-288883</v>
      </c>
      <c r="DK277" s="208">
        <v>-32098</v>
      </c>
      <c r="DL277" s="208">
        <v>-3209810</v>
      </c>
      <c r="DM277" s="208">
        <v>345303</v>
      </c>
      <c r="DN277" s="208">
        <v>276245</v>
      </c>
      <c r="DO277" s="208">
        <v>62156</v>
      </c>
      <c r="DP277" s="208">
        <v>6906</v>
      </c>
      <c r="DQ277" s="208">
        <v>690610</v>
      </c>
      <c r="DR277" s="208">
        <v>-277919</v>
      </c>
      <c r="DS277" s="208">
        <v>-222336</v>
      </c>
      <c r="DT277" s="208">
        <v>-50026</v>
      </c>
      <c r="DU277" s="208">
        <v>-5558</v>
      </c>
      <c r="DV277" s="208">
        <v>-555839</v>
      </c>
      <c r="DW277" s="208">
        <v>623222</v>
      </c>
      <c r="DX277" s="208">
        <v>498581</v>
      </c>
      <c r="DY277" s="208">
        <v>112182</v>
      </c>
      <c r="DZ277" s="208">
        <v>12464</v>
      </c>
      <c r="EA277" s="208">
        <v>1246449</v>
      </c>
      <c r="EB277" s="208">
        <v>16368246</v>
      </c>
      <c r="EC277" s="208">
        <v>13094597</v>
      </c>
      <c r="ED277" s="208">
        <v>2946284</v>
      </c>
      <c r="EE277" s="208">
        <v>327365</v>
      </c>
      <c r="EF277" s="208">
        <v>32736492</v>
      </c>
      <c r="EG277" s="208">
        <v>16896051</v>
      </c>
      <c r="EH277" s="208">
        <v>13516840</v>
      </c>
      <c r="EI277" s="208">
        <v>3041289</v>
      </c>
      <c r="EJ277" s="208">
        <v>337921</v>
      </c>
      <c r="EK277" s="208">
        <v>33792101</v>
      </c>
      <c r="EL277" s="208">
        <v>527805</v>
      </c>
      <c r="EM277" s="208">
        <v>422243</v>
      </c>
      <c r="EN277" s="208">
        <v>95005</v>
      </c>
      <c r="EO277" s="208">
        <v>10556</v>
      </c>
      <c r="EP277" s="208">
        <v>1055609</v>
      </c>
      <c r="EQ277" s="208">
        <v>1151027</v>
      </c>
      <c r="ER277" s="208">
        <v>920824</v>
      </c>
      <c r="ES277" s="208">
        <v>207187</v>
      </c>
      <c r="ET277" s="208">
        <v>23020</v>
      </c>
      <c r="EU277" s="208">
        <v>2302058</v>
      </c>
      <c r="EV277" s="666">
        <v>0.5</v>
      </c>
      <c r="EW277" s="666">
        <v>0.4</v>
      </c>
      <c r="EX277" s="666">
        <v>0.09</v>
      </c>
      <c r="EY277" s="666">
        <v>0.01</v>
      </c>
      <c r="EZ277" s="666">
        <v>1</v>
      </c>
      <c r="FA277" s="187" t="s">
        <v>1054</v>
      </c>
      <c r="FC277" s="187">
        <v>0</v>
      </c>
    </row>
    <row r="278" spans="2:159" s="187" customFormat="1" x14ac:dyDescent="0.2">
      <c r="B278" s="429" t="s">
        <v>634</v>
      </c>
      <c r="C278" s="429" t="s">
        <v>633</v>
      </c>
      <c r="D278" s="208">
        <v>-1</v>
      </c>
      <c r="E278" s="208">
        <v>6376724</v>
      </c>
      <c r="F278" s="208">
        <v>14879022</v>
      </c>
      <c r="G278" s="208">
        <v>0</v>
      </c>
      <c r="H278" s="208">
        <v>21255745</v>
      </c>
      <c r="I278" s="208">
        <v>0</v>
      </c>
      <c r="J278" s="208">
        <v>0</v>
      </c>
      <c r="K278" s="208">
        <v>-1</v>
      </c>
      <c r="L278" s="208">
        <v>125663</v>
      </c>
      <c r="M278" s="208">
        <v>125663</v>
      </c>
      <c r="N278" s="208">
        <v>0</v>
      </c>
      <c r="O278" s="208">
        <v>0</v>
      </c>
      <c r="P278" s="208">
        <v>0</v>
      </c>
      <c r="Q278" s="208">
        <v>0</v>
      </c>
      <c r="R278" s="208">
        <v>0</v>
      </c>
      <c r="S278" s="208">
        <v>0</v>
      </c>
      <c r="T278" s="208">
        <v>0</v>
      </c>
      <c r="U278" s="208">
        <v>0</v>
      </c>
      <c r="V278" s="208">
        <v>0</v>
      </c>
      <c r="W278" s="208">
        <v>0</v>
      </c>
      <c r="X278" s="208">
        <v>0</v>
      </c>
      <c r="Y278" s="208">
        <v>0</v>
      </c>
      <c r="Z278" s="208">
        <v>0</v>
      </c>
      <c r="AA278" s="208">
        <v>0</v>
      </c>
      <c r="AB278" s="208">
        <v>0</v>
      </c>
      <c r="AC278" s="208">
        <v>0</v>
      </c>
      <c r="AD278" s="208">
        <v>0</v>
      </c>
      <c r="AE278" s="208">
        <v>0</v>
      </c>
      <c r="AF278" s="208">
        <v>0</v>
      </c>
      <c r="AG278" s="208">
        <v>945962</v>
      </c>
      <c r="AH278" s="208">
        <v>2207248</v>
      </c>
      <c r="AI278" s="208">
        <v>0</v>
      </c>
      <c r="AJ278" s="208">
        <v>3153210</v>
      </c>
      <c r="AK278" s="208">
        <v>0</v>
      </c>
      <c r="AL278" s="208">
        <v>175410</v>
      </c>
      <c r="AM278" s="208">
        <v>409289</v>
      </c>
      <c r="AN278" s="208">
        <v>0</v>
      </c>
      <c r="AO278" s="208">
        <v>584699</v>
      </c>
      <c r="AP278" s="208">
        <v>0</v>
      </c>
      <c r="AQ278" s="208">
        <v>-109584</v>
      </c>
      <c r="AR278" s="208">
        <v>-255696</v>
      </c>
      <c r="AS278" s="208">
        <v>0</v>
      </c>
      <c r="AT278" s="208">
        <v>-365280</v>
      </c>
      <c r="AU278" s="208">
        <v>0</v>
      </c>
      <c r="AV278" s="208">
        <v>-29473</v>
      </c>
      <c r="AW278" s="208">
        <v>-68771</v>
      </c>
      <c r="AX278" s="208">
        <v>0</v>
      </c>
      <c r="AY278" s="208">
        <v>-98244</v>
      </c>
      <c r="AZ278" s="208">
        <v>0</v>
      </c>
      <c r="BA278" s="208">
        <v>7533</v>
      </c>
      <c r="BB278" s="208">
        <v>17577</v>
      </c>
      <c r="BC278" s="208">
        <v>0</v>
      </c>
      <c r="BD278" s="208">
        <v>25110</v>
      </c>
      <c r="BE278" s="208">
        <v>0</v>
      </c>
      <c r="BF278" s="208">
        <v>-143077</v>
      </c>
      <c r="BG278" s="208">
        <v>-333845</v>
      </c>
      <c r="BH278" s="208">
        <v>0</v>
      </c>
      <c r="BI278" s="208">
        <v>-476922</v>
      </c>
      <c r="BJ278" s="208">
        <v>0</v>
      </c>
      <c r="BK278" s="208">
        <v>-165017</v>
      </c>
      <c r="BL278" s="208">
        <v>-385039</v>
      </c>
      <c r="BM278" s="208">
        <v>0</v>
      </c>
      <c r="BN278" s="208">
        <v>-550056</v>
      </c>
      <c r="BO278" s="208">
        <v>1</v>
      </c>
      <c r="BP278" s="208">
        <v>-490493</v>
      </c>
      <c r="BQ278" s="208">
        <v>-1144483</v>
      </c>
      <c r="BR278" s="208">
        <v>0</v>
      </c>
      <c r="BS278" s="208">
        <v>-1634975</v>
      </c>
      <c r="BT278" s="208">
        <v>0</v>
      </c>
      <c r="BU278" s="208">
        <v>-432656</v>
      </c>
      <c r="BV278" s="208">
        <v>-1009531</v>
      </c>
      <c r="BW278" s="208">
        <v>0</v>
      </c>
      <c r="BX278" s="208">
        <v>-1442187</v>
      </c>
      <c r="BY278" s="208">
        <v>0</v>
      </c>
      <c r="BZ278" s="208">
        <v>-57836</v>
      </c>
      <c r="CA278" s="208">
        <v>-134952</v>
      </c>
      <c r="CB278" s="208">
        <v>0</v>
      </c>
      <c r="CC278" s="208">
        <v>-192788</v>
      </c>
      <c r="CD278" s="208">
        <v>-1</v>
      </c>
      <c r="CE278" s="208">
        <v>32297</v>
      </c>
      <c r="CF278" s="208">
        <v>75359</v>
      </c>
      <c r="CG278" s="208">
        <v>0</v>
      </c>
      <c r="CH278" s="208">
        <v>107655</v>
      </c>
      <c r="CI278" s="208">
        <v>0</v>
      </c>
      <c r="CJ278" s="208">
        <v>92672</v>
      </c>
      <c r="CK278" s="208">
        <v>216235</v>
      </c>
      <c r="CL278" s="208">
        <v>0</v>
      </c>
      <c r="CM278" s="208">
        <v>308907</v>
      </c>
      <c r="CN278" s="208">
        <v>0</v>
      </c>
      <c r="CO278" s="208">
        <v>-92534</v>
      </c>
      <c r="CP278" s="208">
        <v>-215912</v>
      </c>
      <c r="CQ278" s="208">
        <v>0</v>
      </c>
      <c r="CR278" s="208">
        <v>-308446</v>
      </c>
      <c r="CS278" s="208">
        <v>0</v>
      </c>
      <c r="CT278" s="208">
        <v>-147255</v>
      </c>
      <c r="CU278" s="208">
        <v>-343595</v>
      </c>
      <c r="CV278" s="208">
        <v>0</v>
      </c>
      <c r="CW278" s="208">
        <v>-490850</v>
      </c>
      <c r="CX278" s="208">
        <v>0</v>
      </c>
      <c r="CY278" s="208">
        <v>-605313</v>
      </c>
      <c r="CZ278" s="208">
        <v>-1412396</v>
      </c>
      <c r="DA278" s="208">
        <v>0</v>
      </c>
      <c r="DB278" s="208">
        <v>-2017709</v>
      </c>
      <c r="DC278" s="208">
        <v>-1</v>
      </c>
      <c r="DD278" s="208">
        <v>-492893</v>
      </c>
      <c r="DE278" s="208">
        <v>-1150084</v>
      </c>
      <c r="DF278" s="208">
        <v>0</v>
      </c>
      <c r="DG278" s="208">
        <v>-1642978</v>
      </c>
      <c r="DH278" s="208">
        <v>0</v>
      </c>
      <c r="DI278" s="208">
        <v>-112419</v>
      </c>
      <c r="DJ278" s="208">
        <v>-262312</v>
      </c>
      <c r="DK278" s="208">
        <v>0</v>
      </c>
      <c r="DL278" s="208">
        <v>-374731</v>
      </c>
      <c r="DM278" s="208">
        <v>-1567886</v>
      </c>
      <c r="DN278" s="208">
        <v>-1254305</v>
      </c>
      <c r="DO278" s="208">
        <v>-313575</v>
      </c>
      <c r="DP278" s="208">
        <v>0</v>
      </c>
      <c r="DQ278" s="208">
        <v>-3135766</v>
      </c>
      <c r="DR278" s="208">
        <v>-1138228</v>
      </c>
      <c r="DS278" s="208">
        <v>-910582</v>
      </c>
      <c r="DT278" s="208">
        <v>-227646</v>
      </c>
      <c r="DU278" s="208">
        <v>0</v>
      </c>
      <c r="DV278" s="208">
        <v>-2276456</v>
      </c>
      <c r="DW278" s="208">
        <v>-429658</v>
      </c>
      <c r="DX278" s="208">
        <v>-343723</v>
      </c>
      <c r="DY278" s="208">
        <v>-85929</v>
      </c>
      <c r="DZ278" s="208">
        <v>0</v>
      </c>
      <c r="EA278" s="208">
        <v>-859310</v>
      </c>
      <c r="EB278" s="208">
        <v>0</v>
      </c>
      <c r="EC278" s="208">
        <v>6330106</v>
      </c>
      <c r="ED278" s="208">
        <v>14770246</v>
      </c>
      <c r="EE278" s="208">
        <v>0</v>
      </c>
      <c r="EF278" s="208">
        <v>21100352</v>
      </c>
      <c r="EG278" s="208">
        <v>0</v>
      </c>
      <c r="EH278" s="208">
        <v>6376723</v>
      </c>
      <c r="EI278" s="208">
        <v>14879022</v>
      </c>
      <c r="EJ278" s="208">
        <v>0</v>
      </c>
      <c r="EK278" s="208">
        <v>21255745</v>
      </c>
      <c r="EL278" s="208">
        <v>0</v>
      </c>
      <c r="EM278" s="208">
        <v>46617</v>
      </c>
      <c r="EN278" s="208">
        <v>108776</v>
      </c>
      <c r="EO278" s="208">
        <v>0</v>
      </c>
      <c r="EP278" s="208">
        <v>155393</v>
      </c>
      <c r="EQ278" s="208">
        <v>-429658</v>
      </c>
      <c r="ER278" s="208">
        <v>-297106</v>
      </c>
      <c r="ES278" s="208">
        <v>22847</v>
      </c>
      <c r="ET278" s="208">
        <v>0</v>
      </c>
      <c r="EU278" s="208">
        <v>-703917</v>
      </c>
      <c r="EV278" s="666">
        <v>0</v>
      </c>
      <c r="EW278" s="666">
        <v>0.3</v>
      </c>
      <c r="EX278" s="666">
        <v>0.7</v>
      </c>
      <c r="EY278" s="666">
        <v>0</v>
      </c>
      <c r="EZ278" s="666">
        <v>1</v>
      </c>
      <c r="FA278" s="187" t="s">
        <v>1054</v>
      </c>
      <c r="FC278" s="187">
        <v>0</v>
      </c>
    </row>
    <row r="279" spans="2:159" s="187" customFormat="1" x14ac:dyDescent="0.2">
      <c r="B279" s="429" t="s">
        <v>636</v>
      </c>
      <c r="C279" s="429" t="s">
        <v>635</v>
      </c>
      <c r="D279" s="208">
        <v>19452333</v>
      </c>
      <c r="E279" s="208">
        <v>15561867</v>
      </c>
      <c r="F279" s="208">
        <v>3501420</v>
      </c>
      <c r="G279" s="208">
        <v>389047</v>
      </c>
      <c r="H279" s="208">
        <v>38904667</v>
      </c>
      <c r="I279" s="208">
        <v>0</v>
      </c>
      <c r="J279" s="208">
        <v>0</v>
      </c>
      <c r="K279" s="208">
        <v>19452333</v>
      </c>
      <c r="L279" s="208">
        <v>173098</v>
      </c>
      <c r="M279" s="208">
        <v>173098</v>
      </c>
      <c r="N279" s="208">
        <v>0</v>
      </c>
      <c r="O279" s="208">
        <v>0</v>
      </c>
      <c r="P279" s="208">
        <v>166364</v>
      </c>
      <c r="Q279" s="208">
        <v>0</v>
      </c>
      <c r="R279" s="208">
        <v>166364</v>
      </c>
      <c r="S279" s="208">
        <v>0</v>
      </c>
      <c r="T279" s="208">
        <v>0</v>
      </c>
      <c r="U279" s="208">
        <v>0</v>
      </c>
      <c r="V279" s="208">
        <v>0</v>
      </c>
      <c r="W279" s="208">
        <v>0</v>
      </c>
      <c r="X279" s="208">
        <v>0</v>
      </c>
      <c r="Y279" s="208">
        <v>0</v>
      </c>
      <c r="Z279" s="208">
        <v>0</v>
      </c>
      <c r="AA279" s="208">
        <v>0</v>
      </c>
      <c r="AB279" s="208">
        <v>0</v>
      </c>
      <c r="AC279" s="208">
        <v>0</v>
      </c>
      <c r="AD279" s="208">
        <v>0</v>
      </c>
      <c r="AE279" s="208">
        <v>0</v>
      </c>
      <c r="AF279" s="208">
        <v>0</v>
      </c>
      <c r="AG279" s="208">
        <v>1811655</v>
      </c>
      <c r="AH279" s="208">
        <v>406766</v>
      </c>
      <c r="AI279" s="208">
        <v>45195</v>
      </c>
      <c r="AJ279" s="208">
        <v>2263616</v>
      </c>
      <c r="AK279" s="208">
        <v>1306674</v>
      </c>
      <c r="AL279" s="208">
        <v>1045340</v>
      </c>
      <c r="AM279" s="208">
        <v>235202</v>
      </c>
      <c r="AN279" s="208">
        <v>26134</v>
      </c>
      <c r="AO279" s="208">
        <v>2613350</v>
      </c>
      <c r="AP279" s="208">
        <v>-585806</v>
      </c>
      <c r="AQ279" s="208">
        <v>-468644</v>
      </c>
      <c r="AR279" s="208">
        <v>-105445</v>
      </c>
      <c r="AS279" s="208">
        <v>-11716</v>
      </c>
      <c r="AT279" s="208">
        <v>-1171611</v>
      </c>
      <c r="AU279" s="208">
        <v>-373175</v>
      </c>
      <c r="AV279" s="208">
        <v>-298541</v>
      </c>
      <c r="AW279" s="208">
        <v>-67172</v>
      </c>
      <c r="AX279" s="208">
        <v>-7464</v>
      </c>
      <c r="AY279" s="208">
        <v>-746352</v>
      </c>
      <c r="AZ279" s="208">
        <v>121272</v>
      </c>
      <c r="BA279" s="208">
        <v>97017</v>
      </c>
      <c r="BB279" s="208">
        <v>21829</v>
      </c>
      <c r="BC279" s="208">
        <v>2425</v>
      </c>
      <c r="BD279" s="208">
        <v>242543</v>
      </c>
      <c r="BE279" s="208">
        <v>-199858</v>
      </c>
      <c r="BF279" s="208">
        <v>-159886</v>
      </c>
      <c r="BG279" s="208">
        <v>-35974</v>
      </c>
      <c r="BH279" s="208">
        <v>-3997</v>
      </c>
      <c r="BI279" s="208">
        <v>-399715</v>
      </c>
      <c r="BJ279" s="208">
        <v>-451761</v>
      </c>
      <c r="BK279" s="208">
        <v>-361410</v>
      </c>
      <c r="BL279" s="208">
        <v>-81317</v>
      </c>
      <c r="BM279" s="208">
        <v>-9036</v>
      </c>
      <c r="BN279" s="208">
        <v>-903524</v>
      </c>
      <c r="BO279" s="208">
        <v>-1910230</v>
      </c>
      <c r="BP279" s="208">
        <v>-1528185</v>
      </c>
      <c r="BQ279" s="208">
        <v>-343842</v>
      </c>
      <c r="BR279" s="208">
        <v>-38205</v>
      </c>
      <c r="BS279" s="208">
        <v>-3820462</v>
      </c>
      <c r="BT279" s="208">
        <v>-966476</v>
      </c>
      <c r="BU279" s="208">
        <v>-773181</v>
      </c>
      <c r="BV279" s="208">
        <v>-173966</v>
      </c>
      <c r="BW279" s="208">
        <v>-19330</v>
      </c>
      <c r="BX279" s="208">
        <v>-1932953</v>
      </c>
      <c r="BY279" s="208">
        <v>-943754</v>
      </c>
      <c r="BZ279" s="208">
        <v>-755004</v>
      </c>
      <c r="CA279" s="208">
        <v>-169876</v>
      </c>
      <c r="CB279" s="208">
        <v>-18875</v>
      </c>
      <c r="CC279" s="208">
        <v>-1887509</v>
      </c>
      <c r="CD279" s="208">
        <v>165239</v>
      </c>
      <c r="CE279" s="208">
        <v>132191</v>
      </c>
      <c r="CF279" s="208">
        <v>29743</v>
      </c>
      <c r="CG279" s="208">
        <v>3305</v>
      </c>
      <c r="CH279" s="208">
        <v>330478</v>
      </c>
      <c r="CI279" s="208">
        <v>17297</v>
      </c>
      <c r="CJ279" s="208">
        <v>13837</v>
      </c>
      <c r="CK279" s="208">
        <v>3113</v>
      </c>
      <c r="CL279" s="208">
        <v>346</v>
      </c>
      <c r="CM279" s="208">
        <v>34593</v>
      </c>
      <c r="CN279" s="208">
        <v>130879</v>
      </c>
      <c r="CO279" s="208">
        <v>104704</v>
      </c>
      <c r="CP279" s="208">
        <v>23558</v>
      </c>
      <c r="CQ279" s="208">
        <v>2618</v>
      </c>
      <c r="CR279" s="208">
        <v>261759</v>
      </c>
      <c r="CS279" s="208">
        <v>-76279</v>
      </c>
      <c r="CT279" s="208">
        <v>-61023</v>
      </c>
      <c r="CU279" s="208">
        <v>-13730</v>
      </c>
      <c r="CV279" s="208">
        <v>-1526</v>
      </c>
      <c r="CW279" s="208">
        <v>-152558</v>
      </c>
      <c r="CX279" s="208">
        <v>-1673094</v>
      </c>
      <c r="CY279" s="208">
        <v>-1338476</v>
      </c>
      <c r="CZ279" s="208">
        <v>-301158</v>
      </c>
      <c r="DA279" s="208">
        <v>-33462</v>
      </c>
      <c r="DB279" s="208">
        <v>-3346190</v>
      </c>
      <c r="DC279" s="208">
        <v>-670358</v>
      </c>
      <c r="DD279" s="208">
        <v>-536286</v>
      </c>
      <c r="DE279" s="208">
        <v>-120665</v>
      </c>
      <c r="DF279" s="208">
        <v>-13407</v>
      </c>
      <c r="DG279" s="208">
        <v>-1340716</v>
      </c>
      <c r="DH279" s="208">
        <v>-1002736</v>
      </c>
      <c r="DI279" s="208">
        <v>-802190</v>
      </c>
      <c r="DJ279" s="208">
        <v>-180493</v>
      </c>
      <c r="DK279" s="208">
        <v>-20055</v>
      </c>
      <c r="DL279" s="208">
        <v>-2005474</v>
      </c>
      <c r="DM279" s="208">
        <v>-1051930</v>
      </c>
      <c r="DN279" s="208">
        <v>-841542</v>
      </c>
      <c r="DO279" s="208">
        <v>-189347</v>
      </c>
      <c r="DP279" s="208">
        <v>-21038</v>
      </c>
      <c r="DQ279" s="208">
        <v>-2103857</v>
      </c>
      <c r="DR279" s="208">
        <v>-1171801</v>
      </c>
      <c r="DS279" s="208">
        <v>-937440</v>
      </c>
      <c r="DT279" s="208">
        <v>-210924</v>
      </c>
      <c r="DU279" s="208">
        <v>-23436</v>
      </c>
      <c r="DV279" s="208">
        <v>-2343601</v>
      </c>
      <c r="DW279" s="208">
        <v>119871</v>
      </c>
      <c r="DX279" s="208">
        <v>95898</v>
      </c>
      <c r="DY279" s="208">
        <v>21577</v>
      </c>
      <c r="DZ279" s="208">
        <v>2398</v>
      </c>
      <c r="EA279" s="208">
        <v>239744</v>
      </c>
      <c r="EB279" s="208">
        <v>19023830</v>
      </c>
      <c r="EC279" s="208">
        <v>15219065</v>
      </c>
      <c r="ED279" s="208">
        <v>3424290</v>
      </c>
      <c r="EE279" s="208">
        <v>380477</v>
      </c>
      <c r="EF279" s="208">
        <v>38047662</v>
      </c>
      <c r="EG279" s="208">
        <v>19452333</v>
      </c>
      <c r="EH279" s="208">
        <v>15561867</v>
      </c>
      <c r="EI279" s="208">
        <v>3501420</v>
      </c>
      <c r="EJ279" s="208">
        <v>389047</v>
      </c>
      <c r="EK279" s="208">
        <v>38904667</v>
      </c>
      <c r="EL279" s="208">
        <v>428503</v>
      </c>
      <c r="EM279" s="208">
        <v>342802</v>
      </c>
      <c r="EN279" s="208">
        <v>77130</v>
      </c>
      <c r="EO279" s="208">
        <v>8570</v>
      </c>
      <c r="EP279" s="208">
        <v>857005</v>
      </c>
      <c r="EQ279" s="208">
        <v>548374</v>
      </c>
      <c r="ER279" s="208">
        <v>438700</v>
      </c>
      <c r="ES279" s="208">
        <v>98707</v>
      </c>
      <c r="ET279" s="208">
        <v>10968</v>
      </c>
      <c r="EU279" s="208">
        <v>1096749</v>
      </c>
      <c r="EV279" s="666">
        <v>0.5</v>
      </c>
      <c r="EW279" s="666">
        <v>0.4</v>
      </c>
      <c r="EX279" s="666">
        <v>0.09</v>
      </c>
      <c r="EY279" s="666">
        <v>0.01</v>
      </c>
      <c r="EZ279" s="666">
        <v>1</v>
      </c>
      <c r="FA279" s="187" t="s">
        <v>1054</v>
      </c>
      <c r="FC279" s="187">
        <v>0</v>
      </c>
    </row>
    <row r="280" spans="2:159" s="187" customFormat="1" x14ac:dyDescent="0.2">
      <c r="B280" s="429" t="s">
        <v>638</v>
      </c>
      <c r="C280" s="429" t="s">
        <v>637</v>
      </c>
      <c r="D280" s="208">
        <v>0</v>
      </c>
      <c r="E280" s="208">
        <v>11896161</v>
      </c>
      <c r="F280" s="208">
        <v>17546838</v>
      </c>
      <c r="G280" s="208">
        <v>297404</v>
      </c>
      <c r="H280" s="208">
        <v>29740403</v>
      </c>
      <c r="I280" s="208">
        <v>0</v>
      </c>
      <c r="J280" s="208">
        <v>0</v>
      </c>
      <c r="K280" s="208">
        <v>0</v>
      </c>
      <c r="L280" s="208">
        <v>192019</v>
      </c>
      <c r="M280" s="208">
        <v>192019</v>
      </c>
      <c r="N280" s="208">
        <v>0</v>
      </c>
      <c r="O280" s="208">
        <v>0</v>
      </c>
      <c r="P280" s="208">
        <v>73117</v>
      </c>
      <c r="Q280" s="208">
        <v>0</v>
      </c>
      <c r="R280" s="208">
        <v>73117</v>
      </c>
      <c r="S280" s="208">
        <v>0</v>
      </c>
      <c r="T280" s="208">
        <v>0</v>
      </c>
      <c r="U280" s="208">
        <v>0</v>
      </c>
      <c r="V280" s="208">
        <v>0</v>
      </c>
      <c r="W280" s="208">
        <v>0</v>
      </c>
      <c r="X280" s="208">
        <v>0</v>
      </c>
      <c r="Y280" s="208">
        <v>0</v>
      </c>
      <c r="Z280" s="208">
        <v>0</v>
      </c>
      <c r="AA280" s="208">
        <v>0</v>
      </c>
      <c r="AB280" s="208">
        <v>0</v>
      </c>
      <c r="AC280" s="208">
        <v>0</v>
      </c>
      <c r="AD280" s="208">
        <v>0</v>
      </c>
      <c r="AE280" s="208">
        <v>0</v>
      </c>
      <c r="AF280" s="208">
        <v>0</v>
      </c>
      <c r="AG280" s="208">
        <v>2124610</v>
      </c>
      <c r="AH280" s="208">
        <v>3129998</v>
      </c>
      <c r="AI280" s="208">
        <v>53051</v>
      </c>
      <c r="AJ280" s="208">
        <v>5307659</v>
      </c>
      <c r="AK280" s="208">
        <v>0</v>
      </c>
      <c r="AL280" s="208">
        <v>156059</v>
      </c>
      <c r="AM280" s="208">
        <v>230187</v>
      </c>
      <c r="AN280" s="208">
        <v>3901</v>
      </c>
      <c r="AO280" s="208">
        <v>390147</v>
      </c>
      <c r="AP280" s="208">
        <v>0</v>
      </c>
      <c r="AQ280" s="208">
        <v>-150393</v>
      </c>
      <c r="AR280" s="208">
        <v>-221829</v>
      </c>
      <c r="AS280" s="208">
        <v>-3760</v>
      </c>
      <c r="AT280" s="208">
        <v>-375982</v>
      </c>
      <c r="AU280" s="208">
        <v>0</v>
      </c>
      <c r="AV280" s="208">
        <v>-104000</v>
      </c>
      <c r="AW280" s="208">
        <v>-153400</v>
      </c>
      <c r="AX280" s="208">
        <v>-2600</v>
      </c>
      <c r="AY280" s="208">
        <v>-260000</v>
      </c>
      <c r="AZ280" s="208">
        <v>0</v>
      </c>
      <c r="BA280" s="208">
        <v>31020</v>
      </c>
      <c r="BB280" s="208">
        <v>45755</v>
      </c>
      <c r="BC280" s="208">
        <v>776</v>
      </c>
      <c r="BD280" s="208">
        <v>77551</v>
      </c>
      <c r="BE280" s="208">
        <v>0</v>
      </c>
      <c r="BF280" s="208">
        <v>-227020</v>
      </c>
      <c r="BG280" s="208">
        <v>-334855</v>
      </c>
      <c r="BH280" s="208">
        <v>-5676</v>
      </c>
      <c r="BI280" s="208">
        <v>-567551</v>
      </c>
      <c r="BJ280" s="208">
        <v>0</v>
      </c>
      <c r="BK280" s="208">
        <v>-300000</v>
      </c>
      <c r="BL280" s="208">
        <v>-442500</v>
      </c>
      <c r="BM280" s="208">
        <v>-7500</v>
      </c>
      <c r="BN280" s="208">
        <v>-750000</v>
      </c>
      <c r="BO280" s="208">
        <v>0</v>
      </c>
      <c r="BP280" s="208">
        <v>-600000</v>
      </c>
      <c r="BQ280" s="208">
        <v>-885000</v>
      </c>
      <c r="BR280" s="208">
        <v>-15000</v>
      </c>
      <c r="BS280" s="208">
        <v>-1500000</v>
      </c>
      <c r="BT280" s="208">
        <v>0</v>
      </c>
      <c r="BU280" s="208">
        <v>-100000</v>
      </c>
      <c r="BV280" s="208">
        <v>-147500</v>
      </c>
      <c r="BW280" s="208">
        <v>-2500</v>
      </c>
      <c r="BX280" s="208">
        <v>-250000</v>
      </c>
      <c r="BY280" s="208">
        <v>0</v>
      </c>
      <c r="BZ280" s="208">
        <v>-500000</v>
      </c>
      <c r="CA280" s="208">
        <v>-737500</v>
      </c>
      <c r="CB280" s="208">
        <v>-12500</v>
      </c>
      <c r="CC280" s="208">
        <v>-1250000</v>
      </c>
      <c r="CD280" s="208">
        <v>0</v>
      </c>
      <c r="CE280" s="208">
        <v>56196</v>
      </c>
      <c r="CF280" s="208">
        <v>82889</v>
      </c>
      <c r="CG280" s="208">
        <v>1405</v>
      </c>
      <c r="CH280" s="208">
        <v>140490</v>
      </c>
      <c r="CI280" s="208">
        <v>-1</v>
      </c>
      <c r="CJ280" s="208">
        <v>124947</v>
      </c>
      <c r="CK280" s="208">
        <v>184297</v>
      </c>
      <c r="CL280" s="208">
        <v>3124</v>
      </c>
      <c r="CM280" s="208">
        <v>312367</v>
      </c>
      <c r="CN280" s="208">
        <v>0</v>
      </c>
      <c r="CO280" s="208">
        <v>-36196</v>
      </c>
      <c r="CP280" s="208">
        <v>-53389</v>
      </c>
      <c r="CQ280" s="208">
        <v>-905</v>
      </c>
      <c r="CR280" s="208">
        <v>-90490</v>
      </c>
      <c r="CS280" s="208">
        <v>1</v>
      </c>
      <c r="CT280" s="208">
        <v>-144947</v>
      </c>
      <c r="CU280" s="208">
        <v>-213797</v>
      </c>
      <c r="CV280" s="208">
        <v>-3624</v>
      </c>
      <c r="CW280" s="208">
        <v>-362367</v>
      </c>
      <c r="CX280" s="208">
        <v>0</v>
      </c>
      <c r="CY280" s="208">
        <v>-600000</v>
      </c>
      <c r="CZ280" s="208">
        <v>-885000</v>
      </c>
      <c r="DA280" s="208">
        <v>-15000</v>
      </c>
      <c r="DB280" s="208">
        <v>-1500000</v>
      </c>
      <c r="DC280" s="208">
        <v>0</v>
      </c>
      <c r="DD280" s="208">
        <v>-80000</v>
      </c>
      <c r="DE280" s="208">
        <v>-118000</v>
      </c>
      <c r="DF280" s="208">
        <v>-2000</v>
      </c>
      <c r="DG280" s="208">
        <v>-200000</v>
      </c>
      <c r="DH280" s="208">
        <v>0</v>
      </c>
      <c r="DI280" s="208">
        <v>-520000</v>
      </c>
      <c r="DJ280" s="208">
        <v>-767000</v>
      </c>
      <c r="DK280" s="208">
        <v>-13000</v>
      </c>
      <c r="DL280" s="208">
        <v>-1300000</v>
      </c>
      <c r="DM280" s="208">
        <v>-1961460</v>
      </c>
      <c r="DN280" s="208">
        <v>-1569168</v>
      </c>
      <c r="DO280" s="208">
        <v>-353063</v>
      </c>
      <c r="DP280" s="208">
        <v>-39229</v>
      </c>
      <c r="DQ280" s="208">
        <v>-3922920</v>
      </c>
      <c r="DR280" s="208">
        <v>-2108061</v>
      </c>
      <c r="DS280" s="208">
        <v>-1686449</v>
      </c>
      <c r="DT280" s="208">
        <v>-379451</v>
      </c>
      <c r="DU280" s="208">
        <v>-42161</v>
      </c>
      <c r="DV280" s="208">
        <v>-4216122</v>
      </c>
      <c r="DW280" s="208">
        <v>146601</v>
      </c>
      <c r="DX280" s="208">
        <v>117281</v>
      </c>
      <c r="DY280" s="208">
        <v>26388</v>
      </c>
      <c r="DZ280" s="208">
        <v>2932</v>
      </c>
      <c r="EA280" s="208">
        <v>293202</v>
      </c>
      <c r="EB280" s="208">
        <v>0</v>
      </c>
      <c r="EC280" s="208">
        <v>12528172</v>
      </c>
      <c r="ED280" s="208">
        <v>18479054</v>
      </c>
      <c r="EE280" s="208">
        <v>313204</v>
      </c>
      <c r="EF280" s="208">
        <v>31320430</v>
      </c>
      <c r="EG280" s="208">
        <v>0</v>
      </c>
      <c r="EH280" s="208">
        <v>11896161</v>
      </c>
      <c r="EI280" s="208">
        <v>17546838</v>
      </c>
      <c r="EJ280" s="208">
        <v>297404</v>
      </c>
      <c r="EK280" s="208">
        <v>29740403</v>
      </c>
      <c r="EL280" s="208">
        <v>0</v>
      </c>
      <c r="EM280" s="208">
        <v>-632011</v>
      </c>
      <c r="EN280" s="208">
        <v>-932216</v>
      </c>
      <c r="EO280" s="208">
        <v>-15800</v>
      </c>
      <c r="EP280" s="208">
        <v>-1580027</v>
      </c>
      <c r="EQ280" s="208">
        <v>146601</v>
      </c>
      <c r="ER280" s="208">
        <v>-514730</v>
      </c>
      <c r="ES280" s="208">
        <v>-905828</v>
      </c>
      <c r="ET280" s="208">
        <v>-12868</v>
      </c>
      <c r="EU280" s="208">
        <v>-1286825</v>
      </c>
      <c r="EV280" s="666">
        <v>0</v>
      </c>
      <c r="EW280" s="666">
        <v>0.4</v>
      </c>
      <c r="EX280" s="666">
        <v>0.59</v>
      </c>
      <c r="EY280" s="666">
        <v>0.01</v>
      </c>
      <c r="EZ280" s="666">
        <v>1</v>
      </c>
      <c r="FA280" s="187" t="s">
        <v>1054</v>
      </c>
      <c r="FC280" s="187">
        <v>0</v>
      </c>
    </row>
    <row r="281" spans="2:159" s="187" customFormat="1" x14ac:dyDescent="0.2">
      <c r="B281" s="429" t="s">
        <v>640</v>
      </c>
      <c r="C281" s="429" t="s">
        <v>639</v>
      </c>
      <c r="D281" s="208">
        <v>37473374</v>
      </c>
      <c r="E281" s="208">
        <v>36723907</v>
      </c>
      <c r="F281" s="208">
        <v>0</v>
      </c>
      <c r="G281" s="208">
        <v>749467</v>
      </c>
      <c r="H281" s="208">
        <v>74946748</v>
      </c>
      <c r="I281" s="208">
        <v>0</v>
      </c>
      <c r="J281" s="208">
        <v>0</v>
      </c>
      <c r="K281" s="208">
        <v>37473374</v>
      </c>
      <c r="L281" s="208">
        <v>217804</v>
      </c>
      <c r="M281" s="208">
        <v>217804</v>
      </c>
      <c r="N281" s="208">
        <v>0</v>
      </c>
      <c r="O281" s="208">
        <v>0</v>
      </c>
      <c r="P281" s="208">
        <v>76140</v>
      </c>
      <c r="Q281" s="208">
        <v>0</v>
      </c>
      <c r="R281" s="208">
        <v>76140</v>
      </c>
      <c r="S281" s="208">
        <v>0</v>
      </c>
      <c r="T281" s="208">
        <v>0</v>
      </c>
      <c r="U281" s="208">
        <v>0</v>
      </c>
      <c r="V281" s="208">
        <v>0</v>
      </c>
      <c r="W281" s="208">
        <v>0</v>
      </c>
      <c r="X281" s="208">
        <v>0</v>
      </c>
      <c r="Y281" s="208">
        <v>0</v>
      </c>
      <c r="Z281" s="208">
        <v>0</v>
      </c>
      <c r="AA281" s="208">
        <v>0</v>
      </c>
      <c r="AB281" s="208">
        <v>0</v>
      </c>
      <c r="AC281" s="208">
        <v>0</v>
      </c>
      <c r="AD281" s="208">
        <v>0</v>
      </c>
      <c r="AE281" s="208">
        <v>0</v>
      </c>
      <c r="AF281" s="208">
        <v>0</v>
      </c>
      <c r="AG281" s="208">
        <v>2857373</v>
      </c>
      <c r="AH281" s="208">
        <v>0</v>
      </c>
      <c r="AI281" s="208">
        <v>58277</v>
      </c>
      <c r="AJ281" s="208">
        <v>2915650</v>
      </c>
      <c r="AK281" s="208">
        <v>1038011</v>
      </c>
      <c r="AL281" s="208">
        <v>1017251</v>
      </c>
      <c r="AM281" s="208">
        <v>0</v>
      </c>
      <c r="AN281" s="208">
        <v>20760</v>
      </c>
      <c r="AO281" s="208">
        <v>2076022</v>
      </c>
      <c r="AP281" s="208">
        <v>-961173</v>
      </c>
      <c r="AQ281" s="208">
        <v>-941949</v>
      </c>
      <c r="AR281" s="208">
        <v>0</v>
      </c>
      <c r="AS281" s="208">
        <v>-19223</v>
      </c>
      <c r="AT281" s="208">
        <v>-1922345</v>
      </c>
      <c r="AU281" s="208">
        <v>-606500</v>
      </c>
      <c r="AV281" s="208">
        <v>-594370</v>
      </c>
      <c r="AW281" s="208">
        <v>0</v>
      </c>
      <c r="AX281" s="208">
        <v>-12130</v>
      </c>
      <c r="AY281" s="208">
        <v>-1213000</v>
      </c>
      <c r="AZ281" s="208">
        <v>353783</v>
      </c>
      <c r="BA281" s="208">
        <v>346707</v>
      </c>
      <c r="BB281" s="208">
        <v>0</v>
      </c>
      <c r="BC281" s="208">
        <v>7076</v>
      </c>
      <c r="BD281" s="208">
        <v>707566</v>
      </c>
      <c r="BE281" s="208">
        <v>-269283</v>
      </c>
      <c r="BF281" s="208">
        <v>-263897</v>
      </c>
      <c r="BG281" s="208">
        <v>0</v>
      </c>
      <c r="BH281" s="208">
        <v>-5386</v>
      </c>
      <c r="BI281" s="208">
        <v>-538566</v>
      </c>
      <c r="BJ281" s="208">
        <v>-522000</v>
      </c>
      <c r="BK281" s="208">
        <v>-511560</v>
      </c>
      <c r="BL281" s="208">
        <v>0</v>
      </c>
      <c r="BM281" s="208">
        <v>-10440</v>
      </c>
      <c r="BN281" s="208">
        <v>-1044000</v>
      </c>
      <c r="BO281" s="208">
        <v>-3886000</v>
      </c>
      <c r="BP281" s="208">
        <v>-3808280</v>
      </c>
      <c r="BQ281" s="208">
        <v>0</v>
      </c>
      <c r="BR281" s="208">
        <v>-77720</v>
      </c>
      <c r="BS281" s="208">
        <v>-7772000</v>
      </c>
      <c r="BT281" s="208">
        <v>-2586500</v>
      </c>
      <c r="BU281" s="208">
        <v>-2534770</v>
      </c>
      <c r="BV281" s="208">
        <v>0</v>
      </c>
      <c r="BW281" s="208">
        <v>-51730</v>
      </c>
      <c r="BX281" s="208">
        <v>-5173000</v>
      </c>
      <c r="BY281" s="208">
        <v>-1299500</v>
      </c>
      <c r="BZ281" s="208">
        <v>-1273510</v>
      </c>
      <c r="CA281" s="208">
        <v>0</v>
      </c>
      <c r="CB281" s="208">
        <v>-25990</v>
      </c>
      <c r="CC281" s="208">
        <v>-2599000</v>
      </c>
      <c r="CD281" s="208">
        <v>391047</v>
      </c>
      <c r="CE281" s="208">
        <v>383227</v>
      </c>
      <c r="CF281" s="208">
        <v>0</v>
      </c>
      <c r="CG281" s="208">
        <v>7821</v>
      </c>
      <c r="CH281" s="208">
        <v>782095</v>
      </c>
      <c r="CI281" s="208">
        <v>414833</v>
      </c>
      <c r="CJ281" s="208">
        <v>406536</v>
      </c>
      <c r="CK281" s="208">
        <v>0</v>
      </c>
      <c r="CL281" s="208">
        <v>8297</v>
      </c>
      <c r="CM281" s="208">
        <v>829666</v>
      </c>
      <c r="CN281" s="208">
        <v>325953</v>
      </c>
      <c r="CO281" s="208">
        <v>319433</v>
      </c>
      <c r="CP281" s="208">
        <v>0</v>
      </c>
      <c r="CQ281" s="208">
        <v>6519</v>
      </c>
      <c r="CR281" s="208">
        <v>651905</v>
      </c>
      <c r="CS281" s="208">
        <v>-145833</v>
      </c>
      <c r="CT281" s="208">
        <v>-142916</v>
      </c>
      <c r="CU281" s="208">
        <v>0</v>
      </c>
      <c r="CV281" s="208">
        <v>-2917</v>
      </c>
      <c r="CW281" s="208">
        <v>-291666</v>
      </c>
      <c r="CX281" s="208">
        <v>-2900000</v>
      </c>
      <c r="CY281" s="208">
        <v>-2842000</v>
      </c>
      <c r="CZ281" s="208">
        <v>0</v>
      </c>
      <c r="DA281" s="208">
        <v>-58000</v>
      </c>
      <c r="DB281" s="208">
        <v>-5800000</v>
      </c>
      <c r="DC281" s="208">
        <v>-1869500</v>
      </c>
      <c r="DD281" s="208">
        <v>-1832110</v>
      </c>
      <c r="DE281" s="208">
        <v>0</v>
      </c>
      <c r="DF281" s="208">
        <v>-37390</v>
      </c>
      <c r="DG281" s="208">
        <v>-3739000</v>
      </c>
      <c r="DH281" s="208">
        <v>-1030500</v>
      </c>
      <c r="DI281" s="208">
        <v>-1009890</v>
      </c>
      <c r="DJ281" s="208">
        <v>0</v>
      </c>
      <c r="DK281" s="208">
        <v>-20610</v>
      </c>
      <c r="DL281" s="208">
        <v>-2061000</v>
      </c>
      <c r="DM281" s="208">
        <v>403860</v>
      </c>
      <c r="DN281" s="208">
        <v>395782</v>
      </c>
      <c r="DO281" s="208">
        <v>0</v>
      </c>
      <c r="DP281" s="208">
        <v>8077</v>
      </c>
      <c r="DQ281" s="208">
        <v>807719</v>
      </c>
      <c r="DR281" s="208">
        <v>671800</v>
      </c>
      <c r="DS281" s="208">
        <v>658364</v>
      </c>
      <c r="DT281" s="208">
        <v>0</v>
      </c>
      <c r="DU281" s="208">
        <v>13436</v>
      </c>
      <c r="DV281" s="208">
        <v>1343600</v>
      </c>
      <c r="DW281" s="208">
        <v>-267940</v>
      </c>
      <c r="DX281" s="208">
        <v>-262582</v>
      </c>
      <c r="DY281" s="208">
        <v>0</v>
      </c>
      <c r="DZ281" s="208">
        <v>-5359</v>
      </c>
      <c r="EA281" s="208">
        <v>-535881</v>
      </c>
      <c r="EB281" s="208">
        <v>35364542</v>
      </c>
      <c r="EC281" s="208">
        <v>34657251</v>
      </c>
      <c r="ED281" s="208">
        <v>0</v>
      </c>
      <c r="EE281" s="208">
        <v>707291</v>
      </c>
      <c r="EF281" s="208">
        <v>70729084</v>
      </c>
      <c r="EG281" s="208">
        <v>37473374</v>
      </c>
      <c r="EH281" s="208">
        <v>36723907</v>
      </c>
      <c r="EI281" s="208">
        <v>0</v>
      </c>
      <c r="EJ281" s="208">
        <v>749467</v>
      </c>
      <c r="EK281" s="208">
        <v>74946748</v>
      </c>
      <c r="EL281" s="208">
        <v>2108832</v>
      </c>
      <c r="EM281" s="208">
        <v>2066656</v>
      </c>
      <c r="EN281" s="208">
        <v>0</v>
      </c>
      <c r="EO281" s="208">
        <v>42176</v>
      </c>
      <c r="EP281" s="208">
        <v>4217664</v>
      </c>
      <c r="EQ281" s="208">
        <v>1840892</v>
      </c>
      <c r="ER281" s="208">
        <v>1804074</v>
      </c>
      <c r="ES281" s="208">
        <v>0</v>
      </c>
      <c r="ET281" s="208">
        <v>36817</v>
      </c>
      <c r="EU281" s="208">
        <v>3681783</v>
      </c>
      <c r="EV281" s="666">
        <v>0.5</v>
      </c>
      <c r="EW281" s="666">
        <v>0.49</v>
      </c>
      <c r="EX281" s="666">
        <v>0</v>
      </c>
      <c r="EY281" s="666">
        <v>0.01</v>
      </c>
      <c r="EZ281" s="666">
        <v>1</v>
      </c>
      <c r="FA281" s="187" t="s">
        <v>742</v>
      </c>
      <c r="FC281" s="187">
        <v>0</v>
      </c>
    </row>
    <row r="282" spans="2:159" s="187" customFormat="1" x14ac:dyDescent="0.2">
      <c r="B282" s="429" t="s">
        <v>642</v>
      </c>
      <c r="C282" s="429" t="s">
        <v>641</v>
      </c>
      <c r="D282" s="208">
        <v>13368244</v>
      </c>
      <c r="E282" s="208">
        <v>10694595</v>
      </c>
      <c r="F282" s="208">
        <v>2406284</v>
      </c>
      <c r="G282" s="208">
        <v>267365</v>
      </c>
      <c r="H282" s="208">
        <v>26736488</v>
      </c>
      <c r="I282" s="208">
        <v>0</v>
      </c>
      <c r="J282" s="208">
        <v>0</v>
      </c>
      <c r="K282" s="208">
        <v>13368244</v>
      </c>
      <c r="L282" s="208">
        <v>292469</v>
      </c>
      <c r="M282" s="208">
        <v>292469</v>
      </c>
      <c r="N282" s="208">
        <v>0</v>
      </c>
      <c r="O282" s="208">
        <v>0</v>
      </c>
      <c r="P282" s="208">
        <v>263821</v>
      </c>
      <c r="Q282" s="208">
        <v>0</v>
      </c>
      <c r="R282" s="208">
        <v>263821</v>
      </c>
      <c r="S282" s="208">
        <v>0</v>
      </c>
      <c r="T282" s="208">
        <v>0</v>
      </c>
      <c r="U282" s="208">
        <v>0</v>
      </c>
      <c r="V282" s="208">
        <v>0</v>
      </c>
      <c r="W282" s="208">
        <v>0</v>
      </c>
      <c r="X282" s="208">
        <v>0</v>
      </c>
      <c r="Y282" s="208">
        <v>0</v>
      </c>
      <c r="Z282" s="208">
        <v>0</v>
      </c>
      <c r="AA282" s="208">
        <v>0</v>
      </c>
      <c r="AB282" s="208">
        <v>0</v>
      </c>
      <c r="AC282" s="208">
        <v>0</v>
      </c>
      <c r="AD282" s="208">
        <v>0</v>
      </c>
      <c r="AE282" s="208">
        <v>0</v>
      </c>
      <c r="AF282" s="208">
        <v>0</v>
      </c>
      <c r="AG282" s="208">
        <v>2062582</v>
      </c>
      <c r="AH282" s="208">
        <v>462721</v>
      </c>
      <c r="AI282" s="208">
        <v>51413</v>
      </c>
      <c r="AJ282" s="208">
        <v>2576716</v>
      </c>
      <c r="AK282" s="208">
        <v>427957</v>
      </c>
      <c r="AL282" s="208">
        <v>342365</v>
      </c>
      <c r="AM282" s="208">
        <v>77032</v>
      </c>
      <c r="AN282" s="208">
        <v>8559</v>
      </c>
      <c r="AO282" s="208">
        <v>855913</v>
      </c>
      <c r="AP282" s="208">
        <v>-342204</v>
      </c>
      <c r="AQ282" s="208">
        <v>-273764</v>
      </c>
      <c r="AR282" s="208">
        <v>-61597</v>
      </c>
      <c r="AS282" s="208">
        <v>-6844</v>
      </c>
      <c r="AT282" s="208">
        <v>-684409</v>
      </c>
      <c r="AU282" s="208">
        <v>-97901</v>
      </c>
      <c r="AV282" s="208">
        <v>-78320</v>
      </c>
      <c r="AW282" s="208">
        <v>-17622</v>
      </c>
      <c r="AX282" s="208">
        <v>-1958</v>
      </c>
      <c r="AY282" s="208">
        <v>-195801</v>
      </c>
      <c r="AZ282" s="208">
        <v>129358</v>
      </c>
      <c r="BA282" s="208">
        <v>103487</v>
      </c>
      <c r="BB282" s="208">
        <v>23285</v>
      </c>
      <c r="BC282" s="208">
        <v>2587</v>
      </c>
      <c r="BD282" s="208">
        <v>258717</v>
      </c>
      <c r="BE282" s="208">
        <v>-204174</v>
      </c>
      <c r="BF282" s="208">
        <v>-163338</v>
      </c>
      <c r="BG282" s="208">
        <v>-36751</v>
      </c>
      <c r="BH282" s="208">
        <v>-4083</v>
      </c>
      <c r="BI282" s="208">
        <v>-408346</v>
      </c>
      <c r="BJ282" s="208">
        <v>-172717</v>
      </c>
      <c r="BK282" s="208">
        <v>-138171</v>
      </c>
      <c r="BL282" s="208">
        <v>-31088</v>
      </c>
      <c r="BM282" s="208">
        <v>-3454</v>
      </c>
      <c r="BN282" s="208">
        <v>-345430</v>
      </c>
      <c r="BO282" s="208">
        <v>-1424000</v>
      </c>
      <c r="BP282" s="208">
        <v>-1139200</v>
      </c>
      <c r="BQ282" s="208">
        <v>-256320</v>
      </c>
      <c r="BR282" s="208">
        <v>-28480</v>
      </c>
      <c r="BS282" s="208">
        <v>-2848000</v>
      </c>
      <c r="BT282" s="208">
        <v>-792500</v>
      </c>
      <c r="BU282" s="208">
        <v>-634000</v>
      </c>
      <c r="BV282" s="208">
        <v>-142650</v>
      </c>
      <c r="BW282" s="208">
        <v>-15850</v>
      </c>
      <c r="BX282" s="208">
        <v>-1585000</v>
      </c>
      <c r="BY282" s="208">
        <v>-631500</v>
      </c>
      <c r="BZ282" s="208">
        <v>-505200</v>
      </c>
      <c r="CA282" s="208">
        <v>-113670</v>
      </c>
      <c r="CB282" s="208">
        <v>-12630</v>
      </c>
      <c r="CC282" s="208">
        <v>-1263000</v>
      </c>
      <c r="CD282" s="208">
        <v>270631</v>
      </c>
      <c r="CE282" s="208">
        <v>216505</v>
      </c>
      <c r="CF282" s="208">
        <v>48714</v>
      </c>
      <c r="CG282" s="208">
        <v>5413</v>
      </c>
      <c r="CH282" s="208">
        <v>541263</v>
      </c>
      <c r="CI282" s="208">
        <v>106000</v>
      </c>
      <c r="CJ282" s="208">
        <v>84800</v>
      </c>
      <c r="CK282" s="208">
        <v>19080</v>
      </c>
      <c r="CL282" s="208">
        <v>2120</v>
      </c>
      <c r="CM282" s="208">
        <v>212000</v>
      </c>
      <c r="CN282" s="208">
        <v>36869</v>
      </c>
      <c r="CO282" s="208">
        <v>29495</v>
      </c>
      <c r="CP282" s="208">
        <v>6636</v>
      </c>
      <c r="CQ282" s="208">
        <v>737</v>
      </c>
      <c r="CR282" s="208">
        <v>73737</v>
      </c>
      <c r="CS282" s="208">
        <v>-656500</v>
      </c>
      <c r="CT282" s="208">
        <v>-525200</v>
      </c>
      <c r="CU282" s="208">
        <v>-118170</v>
      </c>
      <c r="CV282" s="208">
        <v>-13130</v>
      </c>
      <c r="CW282" s="208">
        <v>-1313000</v>
      </c>
      <c r="CX282" s="208">
        <v>-1667000</v>
      </c>
      <c r="CY282" s="208">
        <v>-1333600</v>
      </c>
      <c r="CZ282" s="208">
        <v>-300060</v>
      </c>
      <c r="DA282" s="208">
        <v>-33340</v>
      </c>
      <c r="DB282" s="208">
        <v>-3334000</v>
      </c>
      <c r="DC282" s="208">
        <v>-485000</v>
      </c>
      <c r="DD282" s="208">
        <v>-388000</v>
      </c>
      <c r="DE282" s="208">
        <v>-87300</v>
      </c>
      <c r="DF282" s="208">
        <v>-9700</v>
      </c>
      <c r="DG282" s="208">
        <v>-970000</v>
      </c>
      <c r="DH282" s="208">
        <v>-1182000</v>
      </c>
      <c r="DI282" s="208">
        <v>-945600</v>
      </c>
      <c r="DJ282" s="208">
        <v>-212760</v>
      </c>
      <c r="DK282" s="208">
        <v>-23640</v>
      </c>
      <c r="DL282" s="208">
        <v>-2364000</v>
      </c>
      <c r="DM282" s="208">
        <v>945212</v>
      </c>
      <c r="DN282" s="208">
        <v>756168</v>
      </c>
      <c r="DO282" s="208">
        <v>170138</v>
      </c>
      <c r="DP282" s="208">
        <v>18905</v>
      </c>
      <c r="DQ282" s="208">
        <v>1890423</v>
      </c>
      <c r="DR282" s="208">
        <v>396209</v>
      </c>
      <c r="DS282" s="208">
        <v>316966</v>
      </c>
      <c r="DT282" s="208">
        <v>71317</v>
      </c>
      <c r="DU282" s="208">
        <v>7924</v>
      </c>
      <c r="DV282" s="208">
        <v>792416</v>
      </c>
      <c r="DW282" s="208">
        <v>549003</v>
      </c>
      <c r="DX282" s="208">
        <v>439202</v>
      </c>
      <c r="DY282" s="208">
        <v>98821</v>
      </c>
      <c r="DZ282" s="208">
        <v>10981</v>
      </c>
      <c r="EA282" s="208">
        <v>1098007</v>
      </c>
      <c r="EB282" s="208">
        <v>12853869</v>
      </c>
      <c r="EC282" s="208">
        <v>10283095</v>
      </c>
      <c r="ED282" s="208">
        <v>2313696</v>
      </c>
      <c r="EE282" s="208">
        <v>257077</v>
      </c>
      <c r="EF282" s="208">
        <v>25707737</v>
      </c>
      <c r="EG282" s="208">
        <v>13368244</v>
      </c>
      <c r="EH282" s="208">
        <v>10694595</v>
      </c>
      <c r="EI282" s="208">
        <v>2406284</v>
      </c>
      <c r="EJ282" s="208">
        <v>267365</v>
      </c>
      <c r="EK282" s="208">
        <v>26736488</v>
      </c>
      <c r="EL282" s="208">
        <v>514375</v>
      </c>
      <c r="EM282" s="208">
        <v>411500</v>
      </c>
      <c r="EN282" s="208">
        <v>92588</v>
      </c>
      <c r="EO282" s="208">
        <v>10288</v>
      </c>
      <c r="EP282" s="208">
        <v>1028751</v>
      </c>
      <c r="EQ282" s="208">
        <v>1063378</v>
      </c>
      <c r="ER282" s="208">
        <v>850702</v>
      </c>
      <c r="ES282" s="208">
        <v>191409</v>
      </c>
      <c r="ET282" s="208">
        <v>21269</v>
      </c>
      <c r="EU282" s="208">
        <v>2126758</v>
      </c>
      <c r="EV282" s="666">
        <v>0.5</v>
      </c>
      <c r="EW282" s="666">
        <v>0.4</v>
      </c>
      <c r="EX282" s="666">
        <v>0.09</v>
      </c>
      <c r="EY282" s="666">
        <v>0.01</v>
      </c>
      <c r="EZ282" s="666">
        <v>1</v>
      </c>
      <c r="FA282" s="187" t="s">
        <v>1054</v>
      </c>
      <c r="FC282" s="187">
        <v>0</v>
      </c>
    </row>
    <row r="283" spans="2:159" s="187" customFormat="1" x14ac:dyDescent="0.2">
      <c r="B283" s="429" t="s">
        <v>644</v>
      </c>
      <c r="C283" s="429" t="s">
        <v>643</v>
      </c>
      <c r="D283" s="208">
        <v>25619449</v>
      </c>
      <c r="E283" s="208">
        <v>20495560</v>
      </c>
      <c r="F283" s="208">
        <v>4611501</v>
      </c>
      <c r="G283" s="208">
        <v>512389</v>
      </c>
      <c r="H283" s="208">
        <v>51238899</v>
      </c>
      <c r="I283" s="208">
        <v>0</v>
      </c>
      <c r="J283" s="208">
        <v>0</v>
      </c>
      <c r="K283" s="208">
        <v>25619449</v>
      </c>
      <c r="L283" s="208">
        <v>187233</v>
      </c>
      <c r="M283" s="208">
        <v>187233</v>
      </c>
      <c r="N283" s="208">
        <v>0</v>
      </c>
      <c r="O283" s="208">
        <v>0</v>
      </c>
      <c r="P283" s="208">
        <v>457464</v>
      </c>
      <c r="Q283" s="208">
        <v>0</v>
      </c>
      <c r="R283" s="208">
        <v>457464</v>
      </c>
      <c r="S283" s="208">
        <v>0</v>
      </c>
      <c r="T283" s="208">
        <v>0</v>
      </c>
      <c r="U283" s="208">
        <v>0</v>
      </c>
      <c r="V283" s="208">
        <v>0</v>
      </c>
      <c r="W283" s="208">
        <v>0</v>
      </c>
      <c r="X283" s="208">
        <v>0</v>
      </c>
      <c r="Y283" s="208">
        <v>0</v>
      </c>
      <c r="Z283" s="208">
        <v>0</v>
      </c>
      <c r="AA283" s="208">
        <v>0</v>
      </c>
      <c r="AB283" s="208">
        <v>0</v>
      </c>
      <c r="AC283" s="208">
        <v>0</v>
      </c>
      <c r="AD283" s="208">
        <v>0</v>
      </c>
      <c r="AE283" s="208">
        <v>0</v>
      </c>
      <c r="AF283" s="208">
        <v>0</v>
      </c>
      <c r="AG283" s="208">
        <v>1960851</v>
      </c>
      <c r="AH283" s="208">
        <v>438832</v>
      </c>
      <c r="AI283" s="208">
        <v>48759</v>
      </c>
      <c r="AJ283" s="208">
        <v>2448442</v>
      </c>
      <c r="AK283" s="208">
        <v>702169</v>
      </c>
      <c r="AL283" s="208">
        <v>561734</v>
      </c>
      <c r="AM283" s="208">
        <v>126390</v>
      </c>
      <c r="AN283" s="208">
        <v>14043</v>
      </c>
      <c r="AO283" s="208">
        <v>1404336</v>
      </c>
      <c r="AP283" s="208">
        <v>-329628</v>
      </c>
      <c r="AQ283" s="208">
        <v>-263702</v>
      </c>
      <c r="AR283" s="208">
        <v>-59333</v>
      </c>
      <c r="AS283" s="208">
        <v>-6593</v>
      </c>
      <c r="AT283" s="208">
        <v>-659256</v>
      </c>
      <c r="AU283" s="208">
        <v>-371267</v>
      </c>
      <c r="AV283" s="208">
        <v>-297013</v>
      </c>
      <c r="AW283" s="208">
        <v>-66828</v>
      </c>
      <c r="AX283" s="208">
        <v>-7425</v>
      </c>
      <c r="AY283" s="208">
        <v>-742533</v>
      </c>
      <c r="AZ283" s="208">
        <v>141309</v>
      </c>
      <c r="BA283" s="208">
        <v>113046</v>
      </c>
      <c r="BB283" s="208">
        <v>25435</v>
      </c>
      <c r="BC283" s="208">
        <v>2826</v>
      </c>
      <c r="BD283" s="208">
        <v>282616</v>
      </c>
      <c r="BE283" s="208">
        <v>-348112</v>
      </c>
      <c r="BF283" s="208">
        <v>-278490</v>
      </c>
      <c r="BG283" s="208">
        <v>-62660</v>
      </c>
      <c r="BH283" s="208">
        <v>-6962</v>
      </c>
      <c r="BI283" s="208">
        <v>-696224</v>
      </c>
      <c r="BJ283" s="208">
        <v>-578070</v>
      </c>
      <c r="BK283" s="208">
        <v>-462457</v>
      </c>
      <c r="BL283" s="208">
        <v>-104053</v>
      </c>
      <c r="BM283" s="208">
        <v>-11561</v>
      </c>
      <c r="BN283" s="208">
        <v>-1156141</v>
      </c>
      <c r="BO283" s="208">
        <v>-1594132</v>
      </c>
      <c r="BP283" s="208">
        <v>-1275306</v>
      </c>
      <c r="BQ283" s="208">
        <v>-286944</v>
      </c>
      <c r="BR283" s="208">
        <v>-31883</v>
      </c>
      <c r="BS283" s="208">
        <v>-3188265</v>
      </c>
      <c r="BT283" s="208">
        <v>-308542</v>
      </c>
      <c r="BU283" s="208">
        <v>-246833</v>
      </c>
      <c r="BV283" s="208">
        <v>-55537</v>
      </c>
      <c r="BW283" s="208">
        <v>-6171</v>
      </c>
      <c r="BX283" s="208">
        <v>-617083</v>
      </c>
      <c r="BY283" s="208">
        <v>-1285591</v>
      </c>
      <c r="BZ283" s="208">
        <v>-1028473</v>
      </c>
      <c r="CA283" s="208">
        <v>-231406</v>
      </c>
      <c r="CB283" s="208">
        <v>-25712</v>
      </c>
      <c r="CC283" s="208">
        <v>-2571182</v>
      </c>
      <c r="CD283" s="208">
        <v>45314</v>
      </c>
      <c r="CE283" s="208">
        <v>36251</v>
      </c>
      <c r="CF283" s="208">
        <v>8156</v>
      </c>
      <c r="CG283" s="208">
        <v>906</v>
      </c>
      <c r="CH283" s="208">
        <v>90627</v>
      </c>
      <c r="CI283" s="208">
        <v>474846</v>
      </c>
      <c r="CJ283" s="208">
        <v>379876</v>
      </c>
      <c r="CK283" s="208">
        <v>85472</v>
      </c>
      <c r="CL283" s="208">
        <v>9497</v>
      </c>
      <c r="CM283" s="208">
        <v>949691</v>
      </c>
      <c r="CN283" s="208">
        <v>-699436</v>
      </c>
      <c r="CO283" s="208">
        <v>-559548</v>
      </c>
      <c r="CP283" s="208">
        <v>-125898</v>
      </c>
      <c r="CQ283" s="208">
        <v>-13989</v>
      </c>
      <c r="CR283" s="208">
        <v>-1398871</v>
      </c>
      <c r="CS283" s="208">
        <v>-1302138</v>
      </c>
      <c r="CT283" s="208">
        <v>-1041711</v>
      </c>
      <c r="CU283" s="208">
        <v>-234385</v>
      </c>
      <c r="CV283" s="208">
        <v>-26043</v>
      </c>
      <c r="CW283" s="208">
        <v>-2604277</v>
      </c>
      <c r="CX283" s="208">
        <v>-3075546</v>
      </c>
      <c r="CY283" s="208">
        <v>-2460438</v>
      </c>
      <c r="CZ283" s="208">
        <v>-553599</v>
      </c>
      <c r="DA283" s="208">
        <v>-61512</v>
      </c>
      <c r="DB283" s="208">
        <v>-6151095</v>
      </c>
      <c r="DC283" s="208">
        <v>-962664</v>
      </c>
      <c r="DD283" s="208">
        <v>-770130</v>
      </c>
      <c r="DE283" s="208">
        <v>-173279</v>
      </c>
      <c r="DF283" s="208">
        <v>-19254</v>
      </c>
      <c r="DG283" s="208">
        <v>-1925327</v>
      </c>
      <c r="DH283" s="208">
        <v>-2112883</v>
      </c>
      <c r="DI283" s="208">
        <v>-1690308</v>
      </c>
      <c r="DJ283" s="208">
        <v>-380319</v>
      </c>
      <c r="DK283" s="208">
        <v>-42258</v>
      </c>
      <c r="DL283" s="208">
        <v>-4225768</v>
      </c>
      <c r="DM283" s="208">
        <v>850094</v>
      </c>
      <c r="DN283" s="208">
        <v>680074</v>
      </c>
      <c r="DO283" s="208">
        <v>153017</v>
      </c>
      <c r="DP283" s="208">
        <v>17002</v>
      </c>
      <c r="DQ283" s="208">
        <v>1700187</v>
      </c>
      <c r="DR283" s="208">
        <v>509525</v>
      </c>
      <c r="DS283" s="208">
        <v>407619</v>
      </c>
      <c r="DT283" s="208">
        <v>91714</v>
      </c>
      <c r="DU283" s="208">
        <v>10190</v>
      </c>
      <c r="DV283" s="208">
        <v>1019048</v>
      </c>
      <c r="DW283" s="208">
        <v>340569</v>
      </c>
      <c r="DX283" s="208">
        <v>272455</v>
      </c>
      <c r="DY283" s="208">
        <v>61303</v>
      </c>
      <c r="DZ283" s="208">
        <v>6812</v>
      </c>
      <c r="EA283" s="208">
        <v>681139</v>
      </c>
      <c r="EB283" s="208">
        <v>27101456</v>
      </c>
      <c r="EC283" s="208">
        <v>21681165</v>
      </c>
      <c r="ED283" s="208">
        <v>4878262</v>
      </c>
      <c r="EE283" s="208">
        <v>542029</v>
      </c>
      <c r="EF283" s="208">
        <v>54202912</v>
      </c>
      <c r="EG283" s="208">
        <v>25619449</v>
      </c>
      <c r="EH283" s="208">
        <v>20495560</v>
      </c>
      <c r="EI283" s="208">
        <v>4611501</v>
      </c>
      <c r="EJ283" s="208">
        <v>512389</v>
      </c>
      <c r="EK283" s="208">
        <v>51238899</v>
      </c>
      <c r="EL283" s="208">
        <v>-1482007</v>
      </c>
      <c r="EM283" s="208">
        <v>-1185605</v>
      </c>
      <c r="EN283" s="208">
        <v>-266761</v>
      </c>
      <c r="EO283" s="208">
        <v>-29640</v>
      </c>
      <c r="EP283" s="208">
        <v>-2964013</v>
      </c>
      <c r="EQ283" s="208">
        <v>-1141438</v>
      </c>
      <c r="ER283" s="208">
        <v>-913150</v>
      </c>
      <c r="ES283" s="208">
        <v>-205458</v>
      </c>
      <c r="ET283" s="208">
        <v>-22828</v>
      </c>
      <c r="EU283" s="208">
        <v>-2282874</v>
      </c>
      <c r="EV283" s="666">
        <v>0.5</v>
      </c>
      <c r="EW283" s="666">
        <v>0.4</v>
      </c>
      <c r="EX283" s="666">
        <v>0.09</v>
      </c>
      <c r="EY283" s="666">
        <v>0.01</v>
      </c>
      <c r="EZ283" s="666">
        <v>1</v>
      </c>
      <c r="FA283" s="187" t="s">
        <v>1054</v>
      </c>
      <c r="FC283" s="187">
        <v>0</v>
      </c>
    </row>
    <row r="284" spans="2:159" s="187" customFormat="1" x14ac:dyDescent="0.2">
      <c r="B284" s="429" t="s">
        <v>646</v>
      </c>
      <c r="C284" s="429" t="s">
        <v>645</v>
      </c>
      <c r="D284" s="208">
        <v>0</v>
      </c>
      <c r="E284" s="208">
        <v>18179574</v>
      </c>
      <c r="F284" s="208">
        <v>18179574</v>
      </c>
      <c r="G284" s="208">
        <v>0</v>
      </c>
      <c r="H284" s="208">
        <v>36359148</v>
      </c>
      <c r="I284" s="208">
        <v>0</v>
      </c>
      <c r="J284" s="208">
        <v>0</v>
      </c>
      <c r="K284" s="208">
        <v>0</v>
      </c>
      <c r="L284" s="208">
        <v>123206</v>
      </c>
      <c r="M284" s="208">
        <v>123206</v>
      </c>
      <c r="N284" s="208">
        <v>0</v>
      </c>
      <c r="O284" s="208">
        <v>0</v>
      </c>
      <c r="P284" s="208">
        <v>136838</v>
      </c>
      <c r="Q284" s="208">
        <v>124192</v>
      </c>
      <c r="R284" s="208">
        <v>261030</v>
      </c>
      <c r="S284" s="208">
        <v>0</v>
      </c>
      <c r="T284" s="208">
        <v>0</v>
      </c>
      <c r="U284" s="208">
        <v>0</v>
      </c>
      <c r="V284" s="208">
        <v>0</v>
      </c>
      <c r="W284" s="208">
        <v>0</v>
      </c>
      <c r="X284" s="208">
        <v>0</v>
      </c>
      <c r="Y284" s="208">
        <v>0</v>
      </c>
      <c r="Z284" s="208">
        <v>0</v>
      </c>
      <c r="AA284" s="208">
        <v>0</v>
      </c>
      <c r="AB284" s="208">
        <v>0</v>
      </c>
      <c r="AC284" s="208">
        <v>0</v>
      </c>
      <c r="AD284" s="208">
        <v>0</v>
      </c>
      <c r="AE284" s="208">
        <v>0</v>
      </c>
      <c r="AF284" s="208">
        <v>0</v>
      </c>
      <c r="AG284" s="208">
        <v>1662894</v>
      </c>
      <c r="AH284" s="208">
        <v>1662604</v>
      </c>
      <c r="AI284" s="208">
        <v>0</v>
      </c>
      <c r="AJ284" s="208">
        <v>3325498</v>
      </c>
      <c r="AK284" s="208">
        <v>-1</v>
      </c>
      <c r="AL284" s="208">
        <v>211603</v>
      </c>
      <c r="AM284" s="208">
        <v>211603</v>
      </c>
      <c r="AN284" s="208">
        <v>0</v>
      </c>
      <c r="AO284" s="208">
        <v>423205</v>
      </c>
      <c r="AP284" s="208">
        <v>1</v>
      </c>
      <c r="AQ284" s="208">
        <v>-121050</v>
      </c>
      <c r="AR284" s="208">
        <v>-121050</v>
      </c>
      <c r="AS284" s="208">
        <v>0</v>
      </c>
      <c r="AT284" s="208">
        <v>-242099</v>
      </c>
      <c r="AU284" s="208">
        <v>0</v>
      </c>
      <c r="AV284" s="208">
        <v>-77058</v>
      </c>
      <c r="AW284" s="208">
        <v>-77058</v>
      </c>
      <c r="AX284" s="208">
        <v>0</v>
      </c>
      <c r="AY284" s="208">
        <v>-154116</v>
      </c>
      <c r="AZ284" s="208">
        <v>-1</v>
      </c>
      <c r="BA284" s="208">
        <v>64004</v>
      </c>
      <c r="BB284" s="208">
        <v>64004</v>
      </c>
      <c r="BC284" s="208">
        <v>0</v>
      </c>
      <c r="BD284" s="208">
        <v>128007</v>
      </c>
      <c r="BE284" s="208">
        <v>1</v>
      </c>
      <c r="BF284" s="208">
        <v>-79723</v>
      </c>
      <c r="BG284" s="208">
        <v>-79723</v>
      </c>
      <c r="BH284" s="208">
        <v>0</v>
      </c>
      <c r="BI284" s="208">
        <v>-159445</v>
      </c>
      <c r="BJ284" s="208">
        <v>0</v>
      </c>
      <c r="BK284" s="208">
        <v>-92777</v>
      </c>
      <c r="BL284" s="208">
        <v>-92777</v>
      </c>
      <c r="BM284" s="208">
        <v>0</v>
      </c>
      <c r="BN284" s="208">
        <v>-185554</v>
      </c>
      <c r="BO284" s="208">
        <v>0</v>
      </c>
      <c r="BP284" s="208">
        <v>-4953956</v>
      </c>
      <c r="BQ284" s="208">
        <v>-4953956</v>
      </c>
      <c r="BR284" s="208">
        <v>0</v>
      </c>
      <c r="BS284" s="208">
        <v>-9907912</v>
      </c>
      <c r="BT284" s="208">
        <v>0</v>
      </c>
      <c r="BU284" s="208">
        <v>0</v>
      </c>
      <c r="BV284" s="208">
        <v>0</v>
      </c>
      <c r="BW284" s="208">
        <v>0</v>
      </c>
      <c r="BX284" s="208">
        <v>0</v>
      </c>
      <c r="BY284" s="208">
        <v>0</v>
      </c>
      <c r="BZ284" s="208">
        <v>-4953956</v>
      </c>
      <c r="CA284" s="208">
        <v>-4953956</v>
      </c>
      <c r="CB284" s="208">
        <v>0</v>
      </c>
      <c r="CC284" s="208">
        <v>-9907912</v>
      </c>
      <c r="CD284" s="208">
        <v>-1</v>
      </c>
      <c r="CE284" s="208">
        <v>24632</v>
      </c>
      <c r="CF284" s="208">
        <v>24632</v>
      </c>
      <c r="CG284" s="208">
        <v>0</v>
      </c>
      <c r="CH284" s="208">
        <v>49263</v>
      </c>
      <c r="CI284" s="208">
        <v>0</v>
      </c>
      <c r="CJ284" s="208">
        <v>0</v>
      </c>
      <c r="CK284" s="208">
        <v>0</v>
      </c>
      <c r="CL284" s="208">
        <v>0</v>
      </c>
      <c r="CM284" s="208">
        <v>0</v>
      </c>
      <c r="CN284" s="208">
        <v>-1</v>
      </c>
      <c r="CO284" s="208">
        <v>254201</v>
      </c>
      <c r="CP284" s="208">
        <v>254201</v>
      </c>
      <c r="CQ284" s="208">
        <v>0</v>
      </c>
      <c r="CR284" s="208">
        <v>508401</v>
      </c>
      <c r="CS284" s="208">
        <v>0</v>
      </c>
      <c r="CT284" s="208">
        <v>-1692620</v>
      </c>
      <c r="CU284" s="208">
        <v>-1692620</v>
      </c>
      <c r="CV284" s="208">
        <v>0</v>
      </c>
      <c r="CW284" s="208">
        <v>-3385240</v>
      </c>
      <c r="CX284" s="208">
        <v>-2</v>
      </c>
      <c r="CY284" s="208">
        <v>-6367743</v>
      </c>
      <c r="CZ284" s="208">
        <v>-6367743</v>
      </c>
      <c r="DA284" s="208">
        <v>0</v>
      </c>
      <c r="DB284" s="208">
        <v>-12735488</v>
      </c>
      <c r="DC284" s="208">
        <v>-2</v>
      </c>
      <c r="DD284" s="208">
        <v>278833</v>
      </c>
      <c r="DE284" s="208">
        <v>278833</v>
      </c>
      <c r="DF284" s="208">
        <v>0</v>
      </c>
      <c r="DG284" s="208">
        <v>557664</v>
      </c>
      <c r="DH284" s="208">
        <v>0</v>
      </c>
      <c r="DI284" s="208">
        <v>-6646576</v>
      </c>
      <c r="DJ284" s="208">
        <v>-6646576</v>
      </c>
      <c r="DK284" s="208">
        <v>0</v>
      </c>
      <c r="DL284" s="208">
        <v>-13293152</v>
      </c>
      <c r="DM284" s="208">
        <v>-895306</v>
      </c>
      <c r="DN284" s="208">
        <v>-716244</v>
      </c>
      <c r="DO284" s="208">
        <v>-179061</v>
      </c>
      <c r="DP284" s="208">
        <v>0</v>
      </c>
      <c r="DQ284" s="208">
        <v>-1790611</v>
      </c>
      <c r="DR284" s="208">
        <v>-959773</v>
      </c>
      <c r="DS284" s="208">
        <v>-767818</v>
      </c>
      <c r="DT284" s="208">
        <v>-191955</v>
      </c>
      <c r="DU284" s="208">
        <v>0</v>
      </c>
      <c r="DV284" s="208">
        <v>-1919546</v>
      </c>
      <c r="DW284" s="208">
        <v>64467</v>
      </c>
      <c r="DX284" s="208">
        <v>51574</v>
      </c>
      <c r="DY284" s="208">
        <v>12894</v>
      </c>
      <c r="DZ284" s="208">
        <v>0</v>
      </c>
      <c r="EA284" s="208">
        <v>128935</v>
      </c>
      <c r="EB284" s="208">
        <v>0</v>
      </c>
      <c r="EC284" s="208">
        <v>17768695</v>
      </c>
      <c r="ED284" s="208">
        <v>17768695</v>
      </c>
      <c r="EE284" s="208">
        <v>0</v>
      </c>
      <c r="EF284" s="208">
        <v>35537390</v>
      </c>
      <c r="EG284" s="208">
        <v>0</v>
      </c>
      <c r="EH284" s="208">
        <v>18179574</v>
      </c>
      <c r="EI284" s="208">
        <v>18179574</v>
      </c>
      <c r="EJ284" s="208">
        <v>0</v>
      </c>
      <c r="EK284" s="208">
        <v>36359148</v>
      </c>
      <c r="EL284" s="208">
        <v>0</v>
      </c>
      <c r="EM284" s="208">
        <v>410879</v>
      </c>
      <c r="EN284" s="208">
        <v>410879</v>
      </c>
      <c r="EO284" s="208">
        <v>0</v>
      </c>
      <c r="EP284" s="208">
        <v>821758</v>
      </c>
      <c r="EQ284" s="208">
        <v>64467</v>
      </c>
      <c r="ER284" s="208">
        <v>462453</v>
      </c>
      <c r="ES284" s="208">
        <v>423773</v>
      </c>
      <c r="ET284" s="208">
        <v>0</v>
      </c>
      <c r="EU284" s="208">
        <v>950693</v>
      </c>
      <c r="EV284" s="666">
        <v>0</v>
      </c>
      <c r="EW284" s="666">
        <v>0.5</v>
      </c>
      <c r="EX284" s="666">
        <v>0.5</v>
      </c>
      <c r="EY284" s="666">
        <v>0</v>
      </c>
      <c r="EZ284" s="666">
        <v>1</v>
      </c>
      <c r="FA284" s="187" t="s">
        <v>1054</v>
      </c>
      <c r="FC284" s="187">
        <v>0</v>
      </c>
    </row>
    <row r="285" spans="2:159" s="187" customFormat="1" x14ac:dyDescent="0.2">
      <c r="B285" s="429" t="s">
        <v>648</v>
      </c>
      <c r="C285" s="429" t="s">
        <v>647</v>
      </c>
      <c r="D285" s="208">
        <v>0</v>
      </c>
      <c r="E285" s="208">
        <v>13520640</v>
      </c>
      <c r="F285" s="208">
        <v>19942944</v>
      </c>
      <c r="G285" s="208">
        <v>338016</v>
      </c>
      <c r="H285" s="208">
        <v>33801600</v>
      </c>
      <c r="I285" s="208">
        <v>0</v>
      </c>
      <c r="J285" s="208">
        <v>0</v>
      </c>
      <c r="K285" s="208">
        <v>0</v>
      </c>
      <c r="L285" s="208">
        <v>190559</v>
      </c>
      <c r="M285" s="208">
        <v>190559</v>
      </c>
      <c r="N285" s="208">
        <v>0</v>
      </c>
      <c r="O285" s="208">
        <v>0</v>
      </c>
      <c r="P285" s="208">
        <v>5397</v>
      </c>
      <c r="Q285" s="208">
        <v>0</v>
      </c>
      <c r="R285" s="208">
        <v>5397</v>
      </c>
      <c r="S285" s="208">
        <v>0</v>
      </c>
      <c r="T285" s="208">
        <v>0</v>
      </c>
      <c r="U285" s="208">
        <v>0</v>
      </c>
      <c r="V285" s="208">
        <v>0</v>
      </c>
      <c r="W285" s="208">
        <v>0</v>
      </c>
      <c r="X285" s="208">
        <v>0</v>
      </c>
      <c r="Y285" s="208">
        <v>0</v>
      </c>
      <c r="Z285" s="208">
        <v>0</v>
      </c>
      <c r="AA285" s="208">
        <v>0</v>
      </c>
      <c r="AB285" s="208">
        <v>0</v>
      </c>
      <c r="AC285" s="208">
        <v>0</v>
      </c>
      <c r="AD285" s="208">
        <v>0</v>
      </c>
      <c r="AE285" s="208">
        <v>0</v>
      </c>
      <c r="AF285" s="208">
        <v>0</v>
      </c>
      <c r="AG285" s="208">
        <v>2158118</v>
      </c>
      <c r="AH285" s="208">
        <v>3183040</v>
      </c>
      <c r="AI285" s="208">
        <v>53950</v>
      </c>
      <c r="AJ285" s="208">
        <v>5395108</v>
      </c>
      <c r="AK285" s="208">
        <v>0</v>
      </c>
      <c r="AL285" s="208">
        <v>668681</v>
      </c>
      <c r="AM285" s="208">
        <v>986305</v>
      </c>
      <c r="AN285" s="208">
        <v>16717</v>
      </c>
      <c r="AO285" s="208">
        <v>1671703</v>
      </c>
      <c r="AP285" s="208">
        <v>0</v>
      </c>
      <c r="AQ285" s="208">
        <v>-273464</v>
      </c>
      <c r="AR285" s="208">
        <v>-403359</v>
      </c>
      <c r="AS285" s="208">
        <v>-6837</v>
      </c>
      <c r="AT285" s="208">
        <v>-683660</v>
      </c>
      <c r="AU285" s="208">
        <v>0</v>
      </c>
      <c r="AV285" s="208">
        <v>-467144</v>
      </c>
      <c r="AW285" s="208">
        <v>-689038</v>
      </c>
      <c r="AX285" s="208">
        <v>-11679</v>
      </c>
      <c r="AY285" s="208">
        <v>-1167861</v>
      </c>
      <c r="AZ285" s="208">
        <v>0</v>
      </c>
      <c r="BA285" s="208">
        <v>56546</v>
      </c>
      <c r="BB285" s="208">
        <v>83406</v>
      </c>
      <c r="BC285" s="208">
        <v>1414</v>
      </c>
      <c r="BD285" s="208">
        <v>141366</v>
      </c>
      <c r="BE285" s="208">
        <v>0</v>
      </c>
      <c r="BF285" s="208">
        <v>-70351</v>
      </c>
      <c r="BG285" s="208">
        <v>-103768</v>
      </c>
      <c r="BH285" s="208">
        <v>-1759</v>
      </c>
      <c r="BI285" s="208">
        <v>-175878</v>
      </c>
      <c r="BJ285" s="208">
        <v>0</v>
      </c>
      <c r="BK285" s="208">
        <v>-480949</v>
      </c>
      <c r="BL285" s="208">
        <v>-709400</v>
      </c>
      <c r="BM285" s="208">
        <v>-12024</v>
      </c>
      <c r="BN285" s="208">
        <v>-1202373</v>
      </c>
      <c r="BO285" s="208">
        <v>0</v>
      </c>
      <c r="BP285" s="208">
        <v>-2495598</v>
      </c>
      <c r="BQ285" s="208">
        <v>-3681007</v>
      </c>
      <c r="BR285" s="208">
        <v>-62390</v>
      </c>
      <c r="BS285" s="208">
        <v>-6238995</v>
      </c>
      <c r="BT285" s="208">
        <v>0</v>
      </c>
      <c r="BU285" s="208">
        <v>-1688368</v>
      </c>
      <c r="BV285" s="208">
        <v>-2490343</v>
      </c>
      <c r="BW285" s="208">
        <v>-42209</v>
      </c>
      <c r="BX285" s="208">
        <v>-4220920</v>
      </c>
      <c r="BY285" s="208">
        <v>0</v>
      </c>
      <c r="BZ285" s="208">
        <v>-807230</v>
      </c>
      <c r="CA285" s="208">
        <v>-1190664</v>
      </c>
      <c r="CB285" s="208">
        <v>-20181</v>
      </c>
      <c r="CC285" s="208">
        <v>-2018075</v>
      </c>
      <c r="CD285" s="208">
        <v>0</v>
      </c>
      <c r="CE285" s="208">
        <v>107887</v>
      </c>
      <c r="CF285" s="208">
        <v>159133</v>
      </c>
      <c r="CG285" s="208">
        <v>2697</v>
      </c>
      <c r="CH285" s="208">
        <v>269717</v>
      </c>
      <c r="CI285" s="208">
        <v>0</v>
      </c>
      <c r="CJ285" s="208">
        <v>10897</v>
      </c>
      <c r="CK285" s="208">
        <v>16073</v>
      </c>
      <c r="CL285" s="208">
        <v>272</v>
      </c>
      <c r="CM285" s="208">
        <v>27242</v>
      </c>
      <c r="CN285" s="208">
        <v>0</v>
      </c>
      <c r="CO285" s="208">
        <v>372288</v>
      </c>
      <c r="CP285" s="208">
        <v>549124</v>
      </c>
      <c r="CQ285" s="208">
        <v>9307</v>
      </c>
      <c r="CR285" s="208">
        <v>930719</v>
      </c>
      <c r="CS285" s="208">
        <v>0</v>
      </c>
      <c r="CT285" s="208">
        <v>-444238</v>
      </c>
      <c r="CU285" s="208">
        <v>-655251</v>
      </c>
      <c r="CV285" s="208">
        <v>-11106</v>
      </c>
      <c r="CW285" s="208">
        <v>-1110595</v>
      </c>
      <c r="CX285" s="208">
        <v>0</v>
      </c>
      <c r="CY285" s="208">
        <v>-2448764</v>
      </c>
      <c r="CZ285" s="208">
        <v>-3611928</v>
      </c>
      <c r="DA285" s="208">
        <v>-61220</v>
      </c>
      <c r="DB285" s="208">
        <v>-6121912</v>
      </c>
      <c r="DC285" s="208">
        <v>0</v>
      </c>
      <c r="DD285" s="208">
        <v>-1208193</v>
      </c>
      <c r="DE285" s="208">
        <v>-1782086</v>
      </c>
      <c r="DF285" s="208">
        <v>-30205</v>
      </c>
      <c r="DG285" s="208">
        <v>-3020484</v>
      </c>
      <c r="DH285" s="208">
        <v>0</v>
      </c>
      <c r="DI285" s="208">
        <v>-1240571</v>
      </c>
      <c r="DJ285" s="208">
        <v>-1829842</v>
      </c>
      <c r="DK285" s="208">
        <v>-31015</v>
      </c>
      <c r="DL285" s="208">
        <v>-3101428</v>
      </c>
      <c r="DM285" s="208">
        <v>205534</v>
      </c>
      <c r="DN285" s="208">
        <v>164428</v>
      </c>
      <c r="DO285" s="208">
        <v>36998</v>
      </c>
      <c r="DP285" s="208">
        <v>4112</v>
      </c>
      <c r="DQ285" s="208">
        <v>411072</v>
      </c>
      <c r="DR285" s="208">
        <v>21986</v>
      </c>
      <c r="DS285" s="208">
        <v>17590</v>
      </c>
      <c r="DT285" s="208">
        <v>3958</v>
      </c>
      <c r="DU285" s="208">
        <v>440</v>
      </c>
      <c r="DV285" s="208">
        <v>43974</v>
      </c>
      <c r="DW285" s="208">
        <v>183548</v>
      </c>
      <c r="DX285" s="208">
        <v>146838</v>
      </c>
      <c r="DY285" s="208">
        <v>33040</v>
      </c>
      <c r="DZ285" s="208">
        <v>3672</v>
      </c>
      <c r="EA285" s="208">
        <v>367098</v>
      </c>
      <c r="EB285" s="208">
        <v>0</v>
      </c>
      <c r="EC285" s="208">
        <v>12975835</v>
      </c>
      <c r="ED285" s="208">
        <v>19139356</v>
      </c>
      <c r="EE285" s="208">
        <v>324396</v>
      </c>
      <c r="EF285" s="208">
        <v>32439587</v>
      </c>
      <c r="EG285" s="208">
        <v>0</v>
      </c>
      <c r="EH285" s="208">
        <v>13520640</v>
      </c>
      <c r="EI285" s="208">
        <v>19942944</v>
      </c>
      <c r="EJ285" s="208">
        <v>338016</v>
      </c>
      <c r="EK285" s="208">
        <v>33801600</v>
      </c>
      <c r="EL285" s="208">
        <v>0</v>
      </c>
      <c r="EM285" s="208">
        <v>544805</v>
      </c>
      <c r="EN285" s="208">
        <v>803588</v>
      </c>
      <c r="EO285" s="208">
        <v>13620</v>
      </c>
      <c r="EP285" s="208">
        <v>1362013</v>
      </c>
      <c r="EQ285" s="208">
        <v>183548</v>
      </c>
      <c r="ER285" s="208">
        <v>691643</v>
      </c>
      <c r="ES285" s="208">
        <v>836628</v>
      </c>
      <c r="ET285" s="208">
        <v>17292</v>
      </c>
      <c r="EU285" s="208">
        <v>1729111</v>
      </c>
      <c r="EV285" s="666">
        <v>0</v>
      </c>
      <c r="EW285" s="666">
        <v>0.4</v>
      </c>
      <c r="EX285" s="666">
        <v>0.59</v>
      </c>
      <c r="EY285" s="666">
        <v>0.01</v>
      </c>
      <c r="EZ285" s="666">
        <v>1</v>
      </c>
      <c r="FA285" s="187" t="s">
        <v>1054</v>
      </c>
      <c r="FC285" s="187">
        <v>0</v>
      </c>
    </row>
    <row r="286" spans="2:159" s="187" customFormat="1" x14ac:dyDescent="0.2">
      <c r="B286" s="429" t="s">
        <v>650</v>
      </c>
      <c r="C286" s="429" t="s">
        <v>649</v>
      </c>
      <c r="D286" s="208">
        <v>14227134</v>
      </c>
      <c r="E286" s="208">
        <v>11381707</v>
      </c>
      <c r="F286" s="208">
        <v>2845427</v>
      </c>
      <c r="G286" s="208">
        <v>0</v>
      </c>
      <c r="H286" s="208">
        <v>28454268</v>
      </c>
      <c r="I286" s="208">
        <v>0</v>
      </c>
      <c r="J286" s="208">
        <v>0</v>
      </c>
      <c r="K286" s="208">
        <v>14227134</v>
      </c>
      <c r="L286" s="208">
        <v>91690</v>
      </c>
      <c r="M286" s="208">
        <v>91690</v>
      </c>
      <c r="N286" s="208">
        <v>0</v>
      </c>
      <c r="O286" s="208">
        <v>0</v>
      </c>
      <c r="P286" s="208">
        <v>0</v>
      </c>
      <c r="Q286" s="208">
        <v>0</v>
      </c>
      <c r="R286" s="208">
        <v>0</v>
      </c>
      <c r="S286" s="208">
        <v>0</v>
      </c>
      <c r="T286" s="208">
        <v>0</v>
      </c>
      <c r="U286" s="208">
        <v>0</v>
      </c>
      <c r="V286" s="208">
        <v>0</v>
      </c>
      <c r="W286" s="208">
        <v>0</v>
      </c>
      <c r="X286" s="208">
        <v>0</v>
      </c>
      <c r="Y286" s="208">
        <v>0</v>
      </c>
      <c r="Z286" s="208">
        <v>0</v>
      </c>
      <c r="AA286" s="208">
        <v>0</v>
      </c>
      <c r="AB286" s="208">
        <v>0</v>
      </c>
      <c r="AC286" s="208">
        <v>0</v>
      </c>
      <c r="AD286" s="208">
        <v>0</v>
      </c>
      <c r="AE286" s="208">
        <v>0</v>
      </c>
      <c r="AF286" s="208">
        <v>0</v>
      </c>
      <c r="AG286" s="208">
        <v>940091</v>
      </c>
      <c r="AH286" s="208">
        <v>235023</v>
      </c>
      <c r="AI286" s="208">
        <v>0</v>
      </c>
      <c r="AJ286" s="208">
        <v>1175114</v>
      </c>
      <c r="AK286" s="208">
        <v>307207</v>
      </c>
      <c r="AL286" s="208">
        <v>245766</v>
      </c>
      <c r="AM286" s="208">
        <v>61441</v>
      </c>
      <c r="AN286" s="208">
        <v>0</v>
      </c>
      <c r="AO286" s="208">
        <v>614414</v>
      </c>
      <c r="AP286" s="208">
        <v>-205684</v>
      </c>
      <c r="AQ286" s="208">
        <v>-164548</v>
      </c>
      <c r="AR286" s="208">
        <v>-41137</v>
      </c>
      <c r="AS286" s="208">
        <v>0</v>
      </c>
      <c r="AT286" s="208">
        <v>-411369</v>
      </c>
      <c r="AU286" s="208">
        <v>-380019</v>
      </c>
      <c r="AV286" s="208">
        <v>-304016</v>
      </c>
      <c r="AW286" s="208">
        <v>-76004</v>
      </c>
      <c r="AX286" s="208">
        <v>0</v>
      </c>
      <c r="AY286" s="208">
        <v>-760039</v>
      </c>
      <c r="AZ286" s="208">
        <v>32939.850000000006</v>
      </c>
      <c r="BA286" s="208">
        <v>26352</v>
      </c>
      <c r="BB286" s="208">
        <v>6588</v>
      </c>
      <c r="BC286" s="208">
        <v>0</v>
      </c>
      <c r="BD286" s="208">
        <v>65879.850000000006</v>
      </c>
      <c r="BE286" s="208">
        <v>53195</v>
      </c>
      <c r="BF286" s="208">
        <v>42556</v>
      </c>
      <c r="BG286" s="208">
        <v>10639</v>
      </c>
      <c r="BH286" s="208">
        <v>0</v>
      </c>
      <c r="BI286" s="208">
        <v>106390</v>
      </c>
      <c r="BJ286" s="208">
        <v>-293884.15000000002</v>
      </c>
      <c r="BK286" s="208">
        <v>-235108</v>
      </c>
      <c r="BL286" s="208">
        <v>-58777</v>
      </c>
      <c r="BM286" s="208">
        <v>0</v>
      </c>
      <c r="BN286" s="208">
        <v>-587769.15</v>
      </c>
      <c r="BO286" s="208">
        <v>-2007768</v>
      </c>
      <c r="BP286" s="208">
        <v>-1606215</v>
      </c>
      <c r="BQ286" s="208">
        <v>-401554</v>
      </c>
      <c r="BR286" s="208">
        <v>0</v>
      </c>
      <c r="BS286" s="208">
        <v>-4015537</v>
      </c>
      <c r="BT286" s="208">
        <v>-957582</v>
      </c>
      <c r="BU286" s="208">
        <v>-766065</v>
      </c>
      <c r="BV286" s="208">
        <v>-191516</v>
      </c>
      <c r="BW286" s="208">
        <v>0</v>
      </c>
      <c r="BX286" s="208">
        <v>-1915163</v>
      </c>
      <c r="BY286" s="208">
        <v>-1050187</v>
      </c>
      <c r="BZ286" s="208">
        <v>-840150</v>
      </c>
      <c r="CA286" s="208">
        <v>-210037</v>
      </c>
      <c r="CB286" s="208">
        <v>0</v>
      </c>
      <c r="CC286" s="208">
        <v>-2100374</v>
      </c>
      <c r="CD286" s="208">
        <v>112066</v>
      </c>
      <c r="CE286" s="208">
        <v>89653</v>
      </c>
      <c r="CF286" s="208">
        <v>22413</v>
      </c>
      <c r="CG286" s="208">
        <v>0</v>
      </c>
      <c r="CH286" s="208">
        <v>224132</v>
      </c>
      <c r="CI286" s="208">
        <v>91316</v>
      </c>
      <c r="CJ286" s="208">
        <v>73053</v>
      </c>
      <c r="CK286" s="208">
        <v>18263</v>
      </c>
      <c r="CL286" s="208">
        <v>0</v>
      </c>
      <c r="CM286" s="208">
        <v>182632</v>
      </c>
      <c r="CN286" s="208">
        <v>-199282</v>
      </c>
      <c r="CO286" s="208">
        <v>-159426</v>
      </c>
      <c r="CP286" s="208">
        <v>-39857</v>
      </c>
      <c r="CQ286" s="208">
        <v>0</v>
      </c>
      <c r="CR286" s="208">
        <v>-398565</v>
      </c>
      <c r="CS286" s="208">
        <v>-226000</v>
      </c>
      <c r="CT286" s="208">
        <v>-180800</v>
      </c>
      <c r="CU286" s="208">
        <v>-45200</v>
      </c>
      <c r="CV286" s="208">
        <v>0</v>
      </c>
      <c r="CW286" s="208">
        <v>-452000</v>
      </c>
      <c r="CX286" s="208">
        <v>-2229668</v>
      </c>
      <c r="CY286" s="208">
        <v>-1783735</v>
      </c>
      <c r="CZ286" s="208">
        <v>-445935</v>
      </c>
      <c r="DA286" s="208">
        <v>0</v>
      </c>
      <c r="DB286" s="208">
        <v>-4459338</v>
      </c>
      <c r="DC286" s="208">
        <v>-1044798</v>
      </c>
      <c r="DD286" s="208">
        <v>-835838</v>
      </c>
      <c r="DE286" s="208">
        <v>-208960</v>
      </c>
      <c r="DF286" s="208">
        <v>0</v>
      </c>
      <c r="DG286" s="208">
        <v>-2089596</v>
      </c>
      <c r="DH286" s="208">
        <v>-1184871</v>
      </c>
      <c r="DI286" s="208">
        <v>-947897</v>
      </c>
      <c r="DJ286" s="208">
        <v>-236974</v>
      </c>
      <c r="DK286" s="208">
        <v>0</v>
      </c>
      <c r="DL286" s="208">
        <v>-2369742</v>
      </c>
      <c r="DM286" s="208">
        <v>1013950</v>
      </c>
      <c r="DN286" s="208">
        <v>811160</v>
      </c>
      <c r="DO286" s="208">
        <v>202790</v>
      </c>
      <c r="DP286" s="208">
        <v>0</v>
      </c>
      <c r="DQ286" s="208">
        <v>2027900</v>
      </c>
      <c r="DR286" s="208">
        <v>1853112</v>
      </c>
      <c r="DS286" s="208">
        <v>1482490</v>
      </c>
      <c r="DT286" s="208">
        <v>370623</v>
      </c>
      <c r="DU286" s="208">
        <v>0</v>
      </c>
      <c r="DV286" s="208">
        <v>3706225</v>
      </c>
      <c r="DW286" s="208">
        <v>-839162</v>
      </c>
      <c r="DX286" s="208">
        <v>-671330</v>
      </c>
      <c r="DY286" s="208">
        <v>-167833</v>
      </c>
      <c r="DZ286" s="208">
        <v>0</v>
      </c>
      <c r="EA286" s="208">
        <v>-1678325</v>
      </c>
      <c r="EB286" s="208">
        <v>14177081</v>
      </c>
      <c r="EC286" s="208">
        <v>11341665</v>
      </c>
      <c r="ED286" s="208">
        <v>2835416</v>
      </c>
      <c r="EE286" s="208">
        <v>0</v>
      </c>
      <c r="EF286" s="208">
        <v>28354162</v>
      </c>
      <c r="EG286" s="208">
        <v>14227134</v>
      </c>
      <c r="EH286" s="208">
        <v>11381707</v>
      </c>
      <c r="EI286" s="208">
        <v>2845427</v>
      </c>
      <c r="EJ286" s="208">
        <v>0</v>
      </c>
      <c r="EK286" s="208">
        <v>28454268</v>
      </c>
      <c r="EL286" s="208">
        <v>50053</v>
      </c>
      <c r="EM286" s="208">
        <v>40042</v>
      </c>
      <c r="EN286" s="208">
        <v>10011</v>
      </c>
      <c r="EO286" s="208">
        <v>0</v>
      </c>
      <c r="EP286" s="208">
        <v>100106</v>
      </c>
      <c r="EQ286" s="208">
        <v>-789109</v>
      </c>
      <c r="ER286" s="208">
        <v>-631288</v>
      </c>
      <c r="ES286" s="208">
        <v>-157822</v>
      </c>
      <c r="ET286" s="208">
        <v>0</v>
      </c>
      <c r="EU286" s="208">
        <v>-1578219</v>
      </c>
      <c r="EV286" s="666">
        <v>0.5</v>
      </c>
      <c r="EW286" s="666">
        <v>0.4</v>
      </c>
      <c r="EX286" s="666">
        <v>0.1</v>
      </c>
      <c r="EY286" s="666">
        <v>0</v>
      </c>
      <c r="EZ286" s="666">
        <v>1</v>
      </c>
      <c r="FA286" s="187" t="s">
        <v>1054</v>
      </c>
      <c r="FC286" s="187">
        <v>0</v>
      </c>
    </row>
    <row r="287" spans="2:159" s="187" customFormat="1" x14ac:dyDescent="0.2">
      <c r="B287" s="429" t="s">
        <v>652</v>
      </c>
      <c r="C287" s="429" t="s">
        <v>651</v>
      </c>
      <c r="D287" s="208">
        <v>60375336</v>
      </c>
      <c r="E287" s="208">
        <v>59167830</v>
      </c>
      <c r="F287" s="208">
        <v>0</v>
      </c>
      <c r="G287" s="208">
        <v>1207507</v>
      </c>
      <c r="H287" s="208">
        <v>120750673</v>
      </c>
      <c r="I287" s="208">
        <v>0</v>
      </c>
      <c r="J287" s="208">
        <v>0</v>
      </c>
      <c r="K287" s="208">
        <v>60375336</v>
      </c>
      <c r="L287" s="208">
        <v>229041</v>
      </c>
      <c r="M287" s="208">
        <v>229041</v>
      </c>
      <c r="N287" s="208">
        <v>0</v>
      </c>
      <c r="O287" s="208">
        <v>0</v>
      </c>
      <c r="P287" s="208">
        <v>0</v>
      </c>
      <c r="Q287" s="208">
        <v>0</v>
      </c>
      <c r="R287" s="208">
        <v>0</v>
      </c>
      <c r="S287" s="208">
        <v>0</v>
      </c>
      <c r="T287" s="208">
        <v>0</v>
      </c>
      <c r="U287" s="208">
        <v>0</v>
      </c>
      <c r="V287" s="208">
        <v>0</v>
      </c>
      <c r="W287" s="208">
        <v>0</v>
      </c>
      <c r="X287" s="208">
        <v>0</v>
      </c>
      <c r="Y287" s="208">
        <v>0</v>
      </c>
      <c r="Z287" s="208">
        <v>0</v>
      </c>
      <c r="AA287" s="208">
        <v>0</v>
      </c>
      <c r="AB287" s="208">
        <v>0</v>
      </c>
      <c r="AC287" s="208">
        <v>0</v>
      </c>
      <c r="AD287" s="208">
        <v>0</v>
      </c>
      <c r="AE287" s="208">
        <v>0</v>
      </c>
      <c r="AF287" s="208">
        <v>0</v>
      </c>
      <c r="AG287" s="208">
        <v>3013632</v>
      </c>
      <c r="AH287" s="208">
        <v>0</v>
      </c>
      <c r="AI287" s="208">
        <v>61502</v>
      </c>
      <c r="AJ287" s="208">
        <v>3075134</v>
      </c>
      <c r="AK287" s="208">
        <v>803849</v>
      </c>
      <c r="AL287" s="208">
        <v>787773</v>
      </c>
      <c r="AM287" s="208">
        <v>0</v>
      </c>
      <c r="AN287" s="208">
        <v>16077</v>
      </c>
      <c r="AO287" s="208">
        <v>1607699</v>
      </c>
      <c r="AP287" s="208">
        <v>-67933</v>
      </c>
      <c r="AQ287" s="208">
        <v>-66574</v>
      </c>
      <c r="AR287" s="208">
        <v>0</v>
      </c>
      <c r="AS287" s="208">
        <v>-1359</v>
      </c>
      <c r="AT287" s="208">
        <v>-135866</v>
      </c>
      <c r="AU287" s="208">
        <v>54166</v>
      </c>
      <c r="AV287" s="208">
        <v>53083</v>
      </c>
      <c r="AW287" s="208">
        <v>0</v>
      </c>
      <c r="AX287" s="208">
        <v>1083</v>
      </c>
      <c r="AY287" s="208">
        <v>108332</v>
      </c>
      <c r="AZ287" s="208">
        <v>0</v>
      </c>
      <c r="BA287" s="208">
        <v>0</v>
      </c>
      <c r="BB287" s="208">
        <v>0</v>
      </c>
      <c r="BC287" s="208">
        <v>0</v>
      </c>
      <c r="BD287" s="208">
        <v>0</v>
      </c>
      <c r="BE287" s="208">
        <v>-486749</v>
      </c>
      <c r="BF287" s="208">
        <v>-477015</v>
      </c>
      <c r="BG287" s="208">
        <v>0</v>
      </c>
      <c r="BH287" s="208">
        <v>-9735</v>
      </c>
      <c r="BI287" s="208">
        <v>-973499</v>
      </c>
      <c r="BJ287" s="208">
        <v>-432583</v>
      </c>
      <c r="BK287" s="208">
        <v>-423932</v>
      </c>
      <c r="BL287" s="208">
        <v>0</v>
      </c>
      <c r="BM287" s="208">
        <v>-8652</v>
      </c>
      <c r="BN287" s="208">
        <v>-865167</v>
      </c>
      <c r="BO287" s="208">
        <v>-6493247</v>
      </c>
      <c r="BP287" s="208">
        <v>-6363382</v>
      </c>
      <c r="BQ287" s="208">
        <v>0</v>
      </c>
      <c r="BR287" s="208">
        <v>-129865</v>
      </c>
      <c r="BS287" s="208">
        <v>-12986494</v>
      </c>
      <c r="BT287" s="208">
        <v>0</v>
      </c>
      <c r="BU287" s="208">
        <v>0</v>
      </c>
      <c r="BV287" s="208">
        <v>0</v>
      </c>
      <c r="BW287" s="208">
        <v>0</v>
      </c>
      <c r="BX287" s="208">
        <v>0</v>
      </c>
      <c r="BY287" s="208">
        <v>-6493247</v>
      </c>
      <c r="BZ287" s="208">
        <v>-6363382</v>
      </c>
      <c r="CA287" s="208">
        <v>0</v>
      </c>
      <c r="CB287" s="208">
        <v>-129865</v>
      </c>
      <c r="CC287" s="208">
        <v>-12986494</v>
      </c>
      <c r="CD287" s="208">
        <v>0</v>
      </c>
      <c r="CE287" s="208">
        <v>0</v>
      </c>
      <c r="CF287" s="208">
        <v>0</v>
      </c>
      <c r="CG287" s="208">
        <v>0</v>
      </c>
      <c r="CH287" s="208">
        <v>0</v>
      </c>
      <c r="CI287" s="208">
        <v>0</v>
      </c>
      <c r="CJ287" s="208">
        <v>0</v>
      </c>
      <c r="CK287" s="208">
        <v>0</v>
      </c>
      <c r="CL287" s="208">
        <v>0</v>
      </c>
      <c r="CM287" s="208">
        <v>0</v>
      </c>
      <c r="CN287" s="208">
        <v>-2457443</v>
      </c>
      <c r="CO287" s="208">
        <v>-2408295</v>
      </c>
      <c r="CP287" s="208">
        <v>0</v>
      </c>
      <c r="CQ287" s="208">
        <v>-49149</v>
      </c>
      <c r="CR287" s="208">
        <v>-4914887</v>
      </c>
      <c r="CS287" s="208">
        <v>3919877</v>
      </c>
      <c r="CT287" s="208">
        <v>3841479</v>
      </c>
      <c r="CU287" s="208">
        <v>0</v>
      </c>
      <c r="CV287" s="208">
        <v>78398</v>
      </c>
      <c r="CW287" s="208">
        <v>7839754</v>
      </c>
      <c r="CX287" s="208">
        <v>-5030813</v>
      </c>
      <c r="CY287" s="208">
        <v>-4930198</v>
      </c>
      <c r="CZ287" s="208">
        <v>0</v>
      </c>
      <c r="DA287" s="208">
        <v>-100616</v>
      </c>
      <c r="DB287" s="208">
        <v>-10061627</v>
      </c>
      <c r="DC287" s="208">
        <v>-2457443</v>
      </c>
      <c r="DD287" s="208">
        <v>-2408295</v>
      </c>
      <c r="DE287" s="208">
        <v>0</v>
      </c>
      <c r="DF287" s="208">
        <v>-49149</v>
      </c>
      <c r="DG287" s="208">
        <v>-4914887</v>
      </c>
      <c r="DH287" s="208">
        <v>-2573370</v>
      </c>
      <c r="DI287" s="208">
        <v>-2521903</v>
      </c>
      <c r="DJ287" s="208">
        <v>0</v>
      </c>
      <c r="DK287" s="208">
        <v>-51467</v>
      </c>
      <c r="DL287" s="208">
        <v>-5146740</v>
      </c>
      <c r="DM287" s="208">
        <v>-368535</v>
      </c>
      <c r="DN287" s="208">
        <v>-361167</v>
      </c>
      <c r="DO287" s="208">
        <v>0</v>
      </c>
      <c r="DP287" s="208">
        <v>-7371</v>
      </c>
      <c r="DQ287" s="208">
        <v>-737073</v>
      </c>
      <c r="DR287" s="208">
        <v>71428</v>
      </c>
      <c r="DS287" s="208">
        <v>70000</v>
      </c>
      <c r="DT287" s="208">
        <v>0</v>
      </c>
      <c r="DU287" s="208">
        <v>1429</v>
      </c>
      <c r="DV287" s="208">
        <v>142857</v>
      </c>
      <c r="DW287" s="208">
        <v>-439963</v>
      </c>
      <c r="DX287" s="208">
        <v>-431167</v>
      </c>
      <c r="DY287" s="208">
        <v>0</v>
      </c>
      <c r="DZ287" s="208">
        <v>-8800</v>
      </c>
      <c r="EA287" s="208">
        <v>-879930</v>
      </c>
      <c r="EB287" s="208">
        <v>58024909</v>
      </c>
      <c r="EC287" s="208">
        <v>56864411</v>
      </c>
      <c r="ED287" s="208">
        <v>0</v>
      </c>
      <c r="EE287" s="208">
        <v>1160498</v>
      </c>
      <c r="EF287" s="208">
        <v>116049818</v>
      </c>
      <c r="EG287" s="208">
        <v>60375336</v>
      </c>
      <c r="EH287" s="208">
        <v>59167830</v>
      </c>
      <c r="EI287" s="208">
        <v>0</v>
      </c>
      <c r="EJ287" s="208">
        <v>1207507</v>
      </c>
      <c r="EK287" s="208">
        <v>120750673</v>
      </c>
      <c r="EL287" s="208">
        <v>2350427</v>
      </c>
      <c r="EM287" s="208">
        <v>2303419</v>
      </c>
      <c r="EN287" s="208">
        <v>0</v>
      </c>
      <c r="EO287" s="208">
        <v>47009</v>
      </c>
      <c r="EP287" s="208">
        <v>4700855</v>
      </c>
      <c r="EQ287" s="208">
        <v>1910464</v>
      </c>
      <c r="ER287" s="208">
        <v>1872252</v>
      </c>
      <c r="ES287" s="208">
        <v>0</v>
      </c>
      <c r="ET287" s="208">
        <v>38209</v>
      </c>
      <c r="EU287" s="208">
        <v>3820925</v>
      </c>
      <c r="EV287" s="666">
        <v>0.5</v>
      </c>
      <c r="EW287" s="666">
        <v>0.49</v>
      </c>
      <c r="EX287" s="666">
        <v>0</v>
      </c>
      <c r="EY287" s="666">
        <v>0.01</v>
      </c>
      <c r="EZ287" s="666">
        <v>1</v>
      </c>
      <c r="FA287" s="187" t="s">
        <v>742</v>
      </c>
      <c r="FC287" s="187">
        <v>0</v>
      </c>
    </row>
    <row r="288" spans="2:159" s="187" customFormat="1" x14ac:dyDescent="0.2">
      <c r="B288" s="429" t="s">
        <v>654</v>
      </c>
      <c r="C288" s="429" t="s">
        <v>653</v>
      </c>
      <c r="D288" s="208">
        <v>0</v>
      </c>
      <c r="E288" s="208">
        <v>22767858</v>
      </c>
      <c r="F288" s="208">
        <v>33582591</v>
      </c>
      <c r="G288" s="208">
        <v>569196</v>
      </c>
      <c r="H288" s="208">
        <v>56919645</v>
      </c>
      <c r="I288" s="208">
        <v>0</v>
      </c>
      <c r="J288" s="208">
        <v>0</v>
      </c>
      <c r="K288" s="208">
        <v>0</v>
      </c>
      <c r="L288" s="208">
        <v>162166</v>
      </c>
      <c r="M288" s="208">
        <v>162166</v>
      </c>
      <c r="N288" s="208">
        <v>0</v>
      </c>
      <c r="O288" s="208">
        <v>0</v>
      </c>
      <c r="P288" s="208">
        <v>0</v>
      </c>
      <c r="Q288" s="208">
        <v>0</v>
      </c>
      <c r="R288" s="208">
        <v>0</v>
      </c>
      <c r="S288" s="208">
        <v>0</v>
      </c>
      <c r="T288" s="208">
        <v>0</v>
      </c>
      <c r="U288" s="208">
        <v>0</v>
      </c>
      <c r="V288" s="208">
        <v>0</v>
      </c>
      <c r="W288" s="208">
        <v>0</v>
      </c>
      <c r="X288" s="208">
        <v>0</v>
      </c>
      <c r="Y288" s="208">
        <v>0</v>
      </c>
      <c r="Z288" s="208">
        <v>0</v>
      </c>
      <c r="AA288" s="208">
        <v>0</v>
      </c>
      <c r="AB288" s="208">
        <v>0</v>
      </c>
      <c r="AC288" s="208">
        <v>0</v>
      </c>
      <c r="AD288" s="208">
        <v>0</v>
      </c>
      <c r="AE288" s="208">
        <v>0</v>
      </c>
      <c r="AF288" s="208">
        <v>0</v>
      </c>
      <c r="AG288" s="208">
        <v>1593960</v>
      </c>
      <c r="AH288" s="208">
        <v>2351093</v>
      </c>
      <c r="AI288" s="208">
        <v>39848</v>
      </c>
      <c r="AJ288" s="208">
        <v>3984901</v>
      </c>
      <c r="AK288" s="208">
        <v>1</v>
      </c>
      <c r="AL288" s="208">
        <v>396530</v>
      </c>
      <c r="AM288" s="208">
        <v>584882</v>
      </c>
      <c r="AN288" s="208">
        <v>9913</v>
      </c>
      <c r="AO288" s="208">
        <v>991326</v>
      </c>
      <c r="AP288" s="208">
        <v>0</v>
      </c>
      <c r="AQ288" s="208">
        <v>-577600</v>
      </c>
      <c r="AR288" s="208">
        <v>-851961</v>
      </c>
      <c r="AS288" s="208">
        <v>-14440</v>
      </c>
      <c r="AT288" s="208">
        <v>-1444001</v>
      </c>
      <c r="AU288" s="208">
        <v>0</v>
      </c>
      <c r="AV288" s="208">
        <v>-100000</v>
      </c>
      <c r="AW288" s="208">
        <v>-147500</v>
      </c>
      <c r="AX288" s="208">
        <v>-2500</v>
      </c>
      <c r="AY288" s="208">
        <v>-250000</v>
      </c>
      <c r="AZ288" s="208">
        <v>0</v>
      </c>
      <c r="BA288" s="208">
        <v>25050</v>
      </c>
      <c r="BB288" s="208">
        <v>36949</v>
      </c>
      <c r="BC288" s="208">
        <v>626</v>
      </c>
      <c r="BD288" s="208">
        <v>62625</v>
      </c>
      <c r="BE288" s="208">
        <v>0</v>
      </c>
      <c r="BF288" s="208">
        <v>-45050</v>
      </c>
      <c r="BG288" s="208">
        <v>-66449</v>
      </c>
      <c r="BH288" s="208">
        <v>-1126</v>
      </c>
      <c r="BI288" s="208">
        <v>-112625</v>
      </c>
      <c r="BJ288" s="208">
        <v>0</v>
      </c>
      <c r="BK288" s="208">
        <v>-120000</v>
      </c>
      <c r="BL288" s="208">
        <v>-177000</v>
      </c>
      <c r="BM288" s="208">
        <v>-3000</v>
      </c>
      <c r="BN288" s="208">
        <v>-300000</v>
      </c>
      <c r="BO288" s="208">
        <v>0</v>
      </c>
      <c r="BP288" s="208">
        <v>-2943200</v>
      </c>
      <c r="BQ288" s="208">
        <v>-4341220</v>
      </c>
      <c r="BR288" s="208">
        <v>-73580</v>
      </c>
      <c r="BS288" s="208">
        <v>-7358000</v>
      </c>
      <c r="BT288" s="208">
        <v>0</v>
      </c>
      <c r="BU288" s="208">
        <v>-1736000</v>
      </c>
      <c r="BV288" s="208">
        <v>-2560600</v>
      </c>
      <c r="BW288" s="208">
        <v>-43400</v>
      </c>
      <c r="BX288" s="208">
        <v>-4340000</v>
      </c>
      <c r="BY288" s="208">
        <v>0</v>
      </c>
      <c r="BZ288" s="208">
        <v>-1207200</v>
      </c>
      <c r="CA288" s="208">
        <v>-1780620</v>
      </c>
      <c r="CB288" s="208">
        <v>-30180</v>
      </c>
      <c r="CC288" s="208">
        <v>-3018000</v>
      </c>
      <c r="CD288" s="208">
        <v>-1</v>
      </c>
      <c r="CE288" s="208">
        <v>219025</v>
      </c>
      <c r="CF288" s="208">
        <v>323062</v>
      </c>
      <c r="CG288" s="208">
        <v>5476</v>
      </c>
      <c r="CH288" s="208">
        <v>547562</v>
      </c>
      <c r="CI288" s="208">
        <v>0</v>
      </c>
      <c r="CJ288" s="208">
        <v>0</v>
      </c>
      <c r="CK288" s="208">
        <v>0</v>
      </c>
      <c r="CL288" s="208">
        <v>0</v>
      </c>
      <c r="CM288" s="208">
        <v>0</v>
      </c>
      <c r="CN288" s="208">
        <v>1</v>
      </c>
      <c r="CO288" s="208">
        <v>317775</v>
      </c>
      <c r="CP288" s="208">
        <v>468718</v>
      </c>
      <c r="CQ288" s="208">
        <v>7944</v>
      </c>
      <c r="CR288" s="208">
        <v>794438</v>
      </c>
      <c r="CS288" s="208">
        <v>0</v>
      </c>
      <c r="CT288" s="208">
        <v>-776000</v>
      </c>
      <c r="CU288" s="208">
        <v>-1144600</v>
      </c>
      <c r="CV288" s="208">
        <v>-19400</v>
      </c>
      <c r="CW288" s="208">
        <v>-1940000</v>
      </c>
      <c r="CX288" s="208">
        <v>0</v>
      </c>
      <c r="CY288" s="208">
        <v>-3182400</v>
      </c>
      <c r="CZ288" s="208">
        <v>-4694040</v>
      </c>
      <c r="DA288" s="208">
        <v>-79560</v>
      </c>
      <c r="DB288" s="208">
        <v>-7956000</v>
      </c>
      <c r="DC288" s="208">
        <v>0</v>
      </c>
      <c r="DD288" s="208">
        <v>-1199200</v>
      </c>
      <c r="DE288" s="208">
        <v>-1768820</v>
      </c>
      <c r="DF288" s="208">
        <v>-29980</v>
      </c>
      <c r="DG288" s="208">
        <v>-2998000</v>
      </c>
      <c r="DH288" s="208">
        <v>0</v>
      </c>
      <c r="DI288" s="208">
        <v>-1983200</v>
      </c>
      <c r="DJ288" s="208">
        <v>-2925220</v>
      </c>
      <c r="DK288" s="208">
        <v>-49580</v>
      </c>
      <c r="DL288" s="208">
        <v>-4958000</v>
      </c>
      <c r="DM288" s="208">
        <v>54759</v>
      </c>
      <c r="DN288" s="208">
        <v>43807</v>
      </c>
      <c r="DO288" s="208">
        <v>9857</v>
      </c>
      <c r="DP288" s="208">
        <v>1095</v>
      </c>
      <c r="DQ288" s="208">
        <v>109518</v>
      </c>
      <c r="DR288" s="208">
        <v>7654</v>
      </c>
      <c r="DS288" s="208">
        <v>6123</v>
      </c>
      <c r="DT288" s="208">
        <v>1378</v>
      </c>
      <c r="DU288" s="208">
        <v>153</v>
      </c>
      <c r="DV288" s="208">
        <v>15308</v>
      </c>
      <c r="DW288" s="208">
        <v>47105</v>
      </c>
      <c r="DX288" s="208">
        <v>37684</v>
      </c>
      <c r="DY288" s="208">
        <v>8479</v>
      </c>
      <c r="DZ288" s="208">
        <v>942</v>
      </c>
      <c r="EA288" s="208">
        <v>94210</v>
      </c>
      <c r="EB288" s="208">
        <v>0</v>
      </c>
      <c r="EC288" s="208">
        <v>21713049</v>
      </c>
      <c r="ED288" s="208">
        <v>32026747</v>
      </c>
      <c r="EE288" s="208">
        <v>542826</v>
      </c>
      <c r="EF288" s="208">
        <v>54282622</v>
      </c>
      <c r="EG288" s="208">
        <v>0</v>
      </c>
      <c r="EH288" s="208">
        <v>22767858</v>
      </c>
      <c r="EI288" s="208">
        <v>33582591</v>
      </c>
      <c r="EJ288" s="208">
        <v>569196</v>
      </c>
      <c r="EK288" s="208">
        <v>56919645</v>
      </c>
      <c r="EL288" s="208">
        <v>0</v>
      </c>
      <c r="EM288" s="208">
        <v>1054809</v>
      </c>
      <c r="EN288" s="208">
        <v>1555844</v>
      </c>
      <c r="EO288" s="208">
        <v>26370</v>
      </c>
      <c r="EP288" s="208">
        <v>2637023</v>
      </c>
      <c r="EQ288" s="208">
        <v>47105</v>
      </c>
      <c r="ER288" s="208">
        <v>1092493</v>
      </c>
      <c r="ES288" s="208">
        <v>1564323</v>
      </c>
      <c r="ET288" s="208">
        <v>27312</v>
      </c>
      <c r="EU288" s="208">
        <v>2731233</v>
      </c>
      <c r="EV288" s="666">
        <v>0</v>
      </c>
      <c r="EW288" s="666">
        <v>0.4</v>
      </c>
      <c r="EX288" s="666">
        <v>0.59</v>
      </c>
      <c r="EY288" s="666">
        <v>0.01</v>
      </c>
      <c r="EZ288" s="666">
        <v>1</v>
      </c>
      <c r="FA288" s="187" t="s">
        <v>1054</v>
      </c>
      <c r="FC288" s="187">
        <v>0</v>
      </c>
    </row>
    <row r="289" spans="1:159" s="187" customFormat="1" x14ac:dyDescent="0.2">
      <c r="B289" s="429" t="s">
        <v>656</v>
      </c>
      <c r="C289" s="429" t="s">
        <v>655</v>
      </c>
      <c r="D289" s="208">
        <v>0</v>
      </c>
      <c r="E289" s="208">
        <v>29686957</v>
      </c>
      <c r="F289" s="208">
        <v>0</v>
      </c>
      <c r="G289" s="208">
        <v>299868</v>
      </c>
      <c r="H289" s="208">
        <v>29986825</v>
      </c>
      <c r="I289" s="208">
        <v>0</v>
      </c>
      <c r="J289" s="208">
        <v>0</v>
      </c>
      <c r="K289" s="208">
        <v>0</v>
      </c>
      <c r="L289" s="208">
        <v>196346</v>
      </c>
      <c r="M289" s="208">
        <v>196346</v>
      </c>
      <c r="N289" s="208">
        <v>0</v>
      </c>
      <c r="O289" s="208">
        <v>0</v>
      </c>
      <c r="P289" s="208">
        <v>0</v>
      </c>
      <c r="Q289" s="208">
        <v>0</v>
      </c>
      <c r="R289" s="208">
        <v>0</v>
      </c>
      <c r="S289" s="208">
        <v>0</v>
      </c>
      <c r="T289" s="208">
        <v>0</v>
      </c>
      <c r="U289" s="208">
        <v>0</v>
      </c>
      <c r="V289" s="208">
        <v>0</v>
      </c>
      <c r="W289" s="208">
        <v>0</v>
      </c>
      <c r="X289" s="208">
        <v>0</v>
      </c>
      <c r="Y289" s="208">
        <v>0</v>
      </c>
      <c r="Z289" s="208">
        <v>0</v>
      </c>
      <c r="AA289" s="208">
        <v>0</v>
      </c>
      <c r="AB289" s="208">
        <v>0</v>
      </c>
      <c r="AC289" s="208">
        <v>0</v>
      </c>
      <c r="AD289" s="208">
        <v>0</v>
      </c>
      <c r="AE289" s="208">
        <v>0</v>
      </c>
      <c r="AF289" s="208">
        <v>0</v>
      </c>
      <c r="AG289" s="208">
        <v>5731994</v>
      </c>
      <c r="AH289" s="208">
        <v>0</v>
      </c>
      <c r="AI289" s="208">
        <v>57899</v>
      </c>
      <c r="AJ289" s="208">
        <v>5789893</v>
      </c>
      <c r="AK289" s="208">
        <v>-1</v>
      </c>
      <c r="AL289" s="208">
        <v>1780565</v>
      </c>
      <c r="AM289" s="208">
        <v>0</v>
      </c>
      <c r="AN289" s="208">
        <v>17986</v>
      </c>
      <c r="AO289" s="208">
        <v>1798550</v>
      </c>
      <c r="AP289" s="208">
        <v>0</v>
      </c>
      <c r="AQ289" s="208">
        <v>-475859</v>
      </c>
      <c r="AR289" s="208">
        <v>0</v>
      </c>
      <c r="AS289" s="208">
        <v>-4807</v>
      </c>
      <c r="AT289" s="208">
        <v>-480666</v>
      </c>
      <c r="AU289" s="208">
        <v>0</v>
      </c>
      <c r="AV289" s="208">
        <v>-1020217</v>
      </c>
      <c r="AW289" s="208">
        <v>0</v>
      </c>
      <c r="AX289" s="208">
        <v>-10305</v>
      </c>
      <c r="AY289" s="208">
        <v>-1030522</v>
      </c>
      <c r="AZ289" s="208">
        <v>0</v>
      </c>
      <c r="BA289" s="208">
        <v>438699</v>
      </c>
      <c r="BB289" s="208">
        <v>0</v>
      </c>
      <c r="BC289" s="208">
        <v>4431</v>
      </c>
      <c r="BD289" s="208">
        <v>443130</v>
      </c>
      <c r="BE289" s="208">
        <v>0</v>
      </c>
      <c r="BF289" s="208">
        <v>-601565</v>
      </c>
      <c r="BG289" s="208">
        <v>0</v>
      </c>
      <c r="BH289" s="208">
        <v>-6076</v>
      </c>
      <c r="BI289" s="208">
        <v>-607641</v>
      </c>
      <c r="BJ289" s="208">
        <v>0</v>
      </c>
      <c r="BK289" s="208">
        <v>-1183083</v>
      </c>
      <c r="BL289" s="208">
        <v>0</v>
      </c>
      <c r="BM289" s="208">
        <v>-11950</v>
      </c>
      <c r="BN289" s="208">
        <v>-1195033</v>
      </c>
      <c r="BO289" s="208">
        <v>0</v>
      </c>
      <c r="BP289" s="208">
        <v>-3604635</v>
      </c>
      <c r="BQ289" s="208">
        <v>0</v>
      </c>
      <c r="BR289" s="208">
        <v>-36410</v>
      </c>
      <c r="BS289" s="208">
        <v>-3641045</v>
      </c>
      <c r="BT289" s="208">
        <v>0</v>
      </c>
      <c r="BU289" s="208">
        <v>0</v>
      </c>
      <c r="BV289" s="208">
        <v>0</v>
      </c>
      <c r="BW289" s="208">
        <v>0</v>
      </c>
      <c r="BX289" s="208">
        <v>0</v>
      </c>
      <c r="BY289" s="208">
        <v>0</v>
      </c>
      <c r="BZ289" s="208">
        <v>-3604635</v>
      </c>
      <c r="CA289" s="208">
        <v>0</v>
      </c>
      <c r="CB289" s="208">
        <v>-36410</v>
      </c>
      <c r="CC289" s="208">
        <v>-3641045</v>
      </c>
      <c r="CD289" s="208">
        <v>0</v>
      </c>
      <c r="CE289" s="208">
        <v>655373</v>
      </c>
      <c r="CF289" s="208">
        <v>0</v>
      </c>
      <c r="CG289" s="208">
        <v>6620</v>
      </c>
      <c r="CH289" s="208">
        <v>661993</v>
      </c>
      <c r="CI289" s="208">
        <v>0</v>
      </c>
      <c r="CJ289" s="208">
        <v>0</v>
      </c>
      <c r="CK289" s="208">
        <v>0</v>
      </c>
      <c r="CL289" s="208">
        <v>0</v>
      </c>
      <c r="CM289" s="208">
        <v>0</v>
      </c>
      <c r="CN289" s="208">
        <v>0</v>
      </c>
      <c r="CO289" s="208">
        <v>-744674</v>
      </c>
      <c r="CP289" s="208">
        <v>0</v>
      </c>
      <c r="CQ289" s="208">
        <v>-7522</v>
      </c>
      <c r="CR289" s="208">
        <v>-752196</v>
      </c>
      <c r="CS289" s="208">
        <v>0</v>
      </c>
      <c r="CT289" s="208">
        <v>-2151804</v>
      </c>
      <c r="CU289" s="208">
        <v>0</v>
      </c>
      <c r="CV289" s="208">
        <v>-21735</v>
      </c>
      <c r="CW289" s="208">
        <v>-2173539</v>
      </c>
      <c r="CX289" s="208">
        <v>0</v>
      </c>
      <c r="CY289" s="208">
        <v>-5845740</v>
      </c>
      <c r="CZ289" s="208">
        <v>0</v>
      </c>
      <c r="DA289" s="208">
        <v>-59047</v>
      </c>
      <c r="DB289" s="208">
        <v>-5904787</v>
      </c>
      <c r="DC289" s="208">
        <v>0</v>
      </c>
      <c r="DD289" s="208">
        <v>-89301</v>
      </c>
      <c r="DE289" s="208">
        <v>0</v>
      </c>
      <c r="DF289" s="208">
        <v>-902</v>
      </c>
      <c r="DG289" s="208">
        <v>-90203</v>
      </c>
      <c r="DH289" s="208">
        <v>0</v>
      </c>
      <c r="DI289" s="208">
        <v>-5756439</v>
      </c>
      <c r="DJ289" s="208">
        <v>0</v>
      </c>
      <c r="DK289" s="208">
        <v>-58145</v>
      </c>
      <c r="DL289" s="208">
        <v>-5814584</v>
      </c>
      <c r="DM289" s="208">
        <v>-425507</v>
      </c>
      <c r="DN289" s="208">
        <v>-416997</v>
      </c>
      <c r="DO289" s="208">
        <v>0</v>
      </c>
      <c r="DP289" s="208">
        <v>-8510</v>
      </c>
      <c r="DQ289" s="208">
        <v>-851014</v>
      </c>
      <c r="DR289" s="208">
        <v>-402572</v>
      </c>
      <c r="DS289" s="208">
        <v>-394520</v>
      </c>
      <c r="DT289" s="208">
        <v>0</v>
      </c>
      <c r="DU289" s="208">
        <v>-8051</v>
      </c>
      <c r="DV289" s="208">
        <v>-805143</v>
      </c>
      <c r="DW289" s="208">
        <v>-22935</v>
      </c>
      <c r="DX289" s="208">
        <v>-22477</v>
      </c>
      <c r="DY289" s="208">
        <v>0</v>
      </c>
      <c r="DZ289" s="208">
        <v>-459</v>
      </c>
      <c r="EA289" s="208">
        <v>-45871</v>
      </c>
      <c r="EB289" s="208">
        <v>0</v>
      </c>
      <c r="EC289" s="208">
        <v>30379734</v>
      </c>
      <c r="ED289" s="208">
        <v>0</v>
      </c>
      <c r="EE289" s="208">
        <v>306866</v>
      </c>
      <c r="EF289" s="208">
        <v>30686600</v>
      </c>
      <c r="EG289" s="208">
        <v>0</v>
      </c>
      <c r="EH289" s="208">
        <v>29686957</v>
      </c>
      <c r="EI289" s="208">
        <v>0</v>
      </c>
      <c r="EJ289" s="208">
        <v>299868</v>
      </c>
      <c r="EK289" s="208">
        <v>29986825</v>
      </c>
      <c r="EL289" s="208">
        <v>0</v>
      </c>
      <c r="EM289" s="208">
        <v>-692777</v>
      </c>
      <c r="EN289" s="208">
        <v>0</v>
      </c>
      <c r="EO289" s="208">
        <v>-6998</v>
      </c>
      <c r="EP289" s="208">
        <v>-699775</v>
      </c>
      <c r="EQ289" s="208">
        <v>-22935</v>
      </c>
      <c r="ER289" s="208">
        <v>-715254</v>
      </c>
      <c r="ES289" s="208">
        <v>0</v>
      </c>
      <c r="ET289" s="208">
        <v>-7457</v>
      </c>
      <c r="EU289" s="208">
        <v>-745646</v>
      </c>
      <c r="EV289" s="666">
        <v>0</v>
      </c>
      <c r="EW289" s="666">
        <v>0.99</v>
      </c>
      <c r="EX289" s="666">
        <v>0</v>
      </c>
      <c r="EY289" s="666">
        <v>0.01</v>
      </c>
      <c r="EZ289" s="666">
        <v>1</v>
      </c>
      <c r="FA289" s="187" t="s">
        <v>742</v>
      </c>
      <c r="FC289" s="187">
        <v>0</v>
      </c>
    </row>
    <row r="290" spans="1:159" s="187" customFormat="1" x14ac:dyDescent="0.2">
      <c r="A290" s="187" t="s">
        <v>1817</v>
      </c>
      <c r="B290" s="429" t="s">
        <v>658</v>
      </c>
      <c r="C290" s="429" t="s">
        <v>657</v>
      </c>
      <c r="D290" s="208">
        <v>0</v>
      </c>
      <c r="E290" s="208">
        <v>4483927</v>
      </c>
      <c r="F290" s="208">
        <v>6613792</v>
      </c>
      <c r="G290" s="208">
        <v>112098</v>
      </c>
      <c r="H290" s="208">
        <v>11209817</v>
      </c>
      <c r="I290" s="208">
        <v>0</v>
      </c>
      <c r="J290" s="208">
        <v>0</v>
      </c>
      <c r="K290" s="208">
        <v>0</v>
      </c>
      <c r="L290" s="208">
        <v>133640</v>
      </c>
      <c r="M290" s="208">
        <v>133640</v>
      </c>
      <c r="N290" s="208">
        <v>0</v>
      </c>
      <c r="O290" s="208">
        <v>0</v>
      </c>
      <c r="P290" s="208">
        <v>774259</v>
      </c>
      <c r="Q290" s="208">
        <v>0</v>
      </c>
      <c r="R290" s="208">
        <v>774259</v>
      </c>
      <c r="S290" s="208">
        <v>0</v>
      </c>
      <c r="T290" s="208">
        <v>0</v>
      </c>
      <c r="U290" s="208">
        <v>0</v>
      </c>
      <c r="V290" s="208">
        <v>0</v>
      </c>
      <c r="W290" s="208">
        <v>0</v>
      </c>
      <c r="X290" s="208">
        <v>0</v>
      </c>
      <c r="Y290" s="208">
        <v>0</v>
      </c>
      <c r="Z290" s="208">
        <v>0</v>
      </c>
      <c r="AA290" s="208">
        <v>0</v>
      </c>
      <c r="AB290" s="208">
        <v>0</v>
      </c>
      <c r="AC290" s="208">
        <v>0</v>
      </c>
      <c r="AD290" s="208">
        <v>0</v>
      </c>
      <c r="AE290" s="208">
        <v>0</v>
      </c>
      <c r="AF290" s="208">
        <v>0</v>
      </c>
      <c r="AG290" s="208">
        <v>1364543</v>
      </c>
      <c r="AH290" s="208">
        <v>1986527</v>
      </c>
      <c r="AI290" s="208">
        <v>33670</v>
      </c>
      <c r="AJ290" s="208">
        <v>3384740</v>
      </c>
      <c r="AK290" s="208">
        <v>0</v>
      </c>
      <c r="AL290" s="208">
        <v>169281</v>
      </c>
      <c r="AM290" s="208">
        <v>249689</v>
      </c>
      <c r="AN290" s="208">
        <v>4232</v>
      </c>
      <c r="AO290" s="208">
        <v>423202</v>
      </c>
      <c r="AP290" s="208">
        <v>0</v>
      </c>
      <c r="AQ290" s="208">
        <v>-51910</v>
      </c>
      <c r="AR290" s="208">
        <v>-76567</v>
      </c>
      <c r="AS290" s="208">
        <v>-1298</v>
      </c>
      <c r="AT290" s="208">
        <v>-129775</v>
      </c>
      <c r="AU290" s="208">
        <v>-1</v>
      </c>
      <c r="AV290" s="208">
        <v>-44932</v>
      </c>
      <c r="AW290" s="208">
        <v>-66275</v>
      </c>
      <c r="AX290" s="208">
        <v>-1123</v>
      </c>
      <c r="AY290" s="208">
        <v>-112331</v>
      </c>
      <c r="AZ290" s="208">
        <v>-1</v>
      </c>
      <c r="BA290" s="208">
        <v>7952</v>
      </c>
      <c r="BB290" s="208">
        <v>11729</v>
      </c>
      <c r="BC290" s="208">
        <v>199</v>
      </c>
      <c r="BD290" s="208">
        <v>19879</v>
      </c>
      <c r="BE290" s="208">
        <v>0</v>
      </c>
      <c r="BF290" s="208">
        <v>-4963</v>
      </c>
      <c r="BG290" s="208">
        <v>-7321</v>
      </c>
      <c r="BH290" s="208">
        <v>-124</v>
      </c>
      <c r="BI290" s="208">
        <v>-12408</v>
      </c>
      <c r="BJ290" s="208">
        <v>-2</v>
      </c>
      <c r="BK290" s="208">
        <v>-41943</v>
      </c>
      <c r="BL290" s="208">
        <v>-61867</v>
      </c>
      <c r="BM290" s="208">
        <v>-1048</v>
      </c>
      <c r="BN290" s="208">
        <v>-104860</v>
      </c>
      <c r="BO290" s="208">
        <v>1</v>
      </c>
      <c r="BP290" s="208">
        <v>-347142</v>
      </c>
      <c r="BQ290" s="208">
        <v>-512034</v>
      </c>
      <c r="BR290" s="208">
        <v>-8679</v>
      </c>
      <c r="BS290" s="208">
        <v>-867854</v>
      </c>
      <c r="BT290" s="208">
        <v>0</v>
      </c>
      <c r="BU290" s="208">
        <v>-315370</v>
      </c>
      <c r="BV290" s="208">
        <v>-465171</v>
      </c>
      <c r="BW290" s="208">
        <v>-7884</v>
      </c>
      <c r="BX290" s="208">
        <v>-788425</v>
      </c>
      <c r="BY290" s="208">
        <v>0</v>
      </c>
      <c r="BZ290" s="208">
        <v>-31772</v>
      </c>
      <c r="CA290" s="208">
        <v>-46863</v>
      </c>
      <c r="CB290" s="208">
        <v>-794</v>
      </c>
      <c r="CC290" s="208">
        <v>-79429</v>
      </c>
      <c r="CD290" s="208">
        <v>0</v>
      </c>
      <c r="CE290" s="208">
        <v>103987</v>
      </c>
      <c r="CF290" s="208">
        <v>153381</v>
      </c>
      <c r="CG290" s="208">
        <v>2600</v>
      </c>
      <c r="CH290" s="208">
        <v>259968</v>
      </c>
      <c r="CI290" s="208">
        <v>0</v>
      </c>
      <c r="CJ290" s="208">
        <v>25044</v>
      </c>
      <c r="CK290" s="208">
        <v>36939</v>
      </c>
      <c r="CL290" s="208">
        <v>626</v>
      </c>
      <c r="CM290" s="208">
        <v>62609</v>
      </c>
      <c r="CN290" s="208">
        <v>0</v>
      </c>
      <c r="CO290" s="208">
        <v>0</v>
      </c>
      <c r="CP290" s="208">
        <v>0</v>
      </c>
      <c r="CQ290" s="208">
        <v>0</v>
      </c>
      <c r="CR290" s="208">
        <v>0</v>
      </c>
      <c r="CS290" s="208">
        <v>0</v>
      </c>
      <c r="CT290" s="208">
        <v>-103785</v>
      </c>
      <c r="CU290" s="208">
        <v>-153083</v>
      </c>
      <c r="CV290" s="208">
        <v>-2595</v>
      </c>
      <c r="CW290" s="208">
        <v>-259463</v>
      </c>
      <c r="CX290" s="208">
        <v>1</v>
      </c>
      <c r="CY290" s="208">
        <v>-321896</v>
      </c>
      <c r="CZ290" s="208">
        <v>-474797</v>
      </c>
      <c r="DA290" s="208">
        <v>-8048</v>
      </c>
      <c r="DB290" s="208">
        <v>-804740</v>
      </c>
      <c r="DC290" s="208">
        <v>0</v>
      </c>
      <c r="DD290" s="208">
        <v>-211383</v>
      </c>
      <c r="DE290" s="208">
        <v>-311790</v>
      </c>
      <c r="DF290" s="208">
        <v>-5284</v>
      </c>
      <c r="DG290" s="208">
        <v>-528457</v>
      </c>
      <c r="DH290" s="208">
        <v>0</v>
      </c>
      <c r="DI290" s="208">
        <v>-110513</v>
      </c>
      <c r="DJ290" s="208">
        <v>-163007</v>
      </c>
      <c r="DK290" s="208">
        <v>-2763</v>
      </c>
      <c r="DL290" s="208">
        <v>-276283</v>
      </c>
      <c r="DM290" s="208">
        <v>578325</v>
      </c>
      <c r="DN290" s="208">
        <v>462660</v>
      </c>
      <c r="DO290" s="208">
        <v>104098</v>
      </c>
      <c r="DP290" s="208">
        <v>11566</v>
      </c>
      <c r="DQ290" s="208">
        <v>1156649</v>
      </c>
      <c r="DR290" s="208">
        <v>234920</v>
      </c>
      <c r="DS290" s="208">
        <v>187936</v>
      </c>
      <c r="DT290" s="208">
        <v>42286</v>
      </c>
      <c r="DU290" s="208">
        <v>4698</v>
      </c>
      <c r="DV290" s="208">
        <v>469840</v>
      </c>
      <c r="DW290" s="208">
        <v>343405</v>
      </c>
      <c r="DX290" s="208">
        <v>274724</v>
      </c>
      <c r="DY290" s="208">
        <v>61812</v>
      </c>
      <c r="DZ290" s="208">
        <v>6868</v>
      </c>
      <c r="EA290" s="208">
        <v>686809</v>
      </c>
      <c r="EB290" s="208">
        <v>0</v>
      </c>
      <c r="EC290" s="208">
        <v>4451278</v>
      </c>
      <c r="ED290" s="208">
        <v>6565634</v>
      </c>
      <c r="EE290" s="208">
        <v>111282</v>
      </c>
      <c r="EF290" s="208">
        <v>11128194</v>
      </c>
      <c r="EG290" s="208">
        <v>0</v>
      </c>
      <c r="EH290" s="208">
        <v>4483927</v>
      </c>
      <c r="EI290" s="208">
        <v>6613792</v>
      </c>
      <c r="EJ290" s="208">
        <v>112098</v>
      </c>
      <c r="EK290" s="208">
        <v>11209817</v>
      </c>
      <c r="EL290" s="208">
        <v>0</v>
      </c>
      <c r="EM290" s="208">
        <v>32649</v>
      </c>
      <c r="EN290" s="208">
        <v>48158</v>
      </c>
      <c r="EO290" s="208">
        <v>816</v>
      </c>
      <c r="EP290" s="208">
        <v>81623</v>
      </c>
      <c r="EQ290" s="208">
        <v>343405</v>
      </c>
      <c r="ER290" s="208">
        <v>307373</v>
      </c>
      <c r="ES290" s="208">
        <v>109970</v>
      </c>
      <c r="ET290" s="208">
        <v>7684</v>
      </c>
      <c r="EU290" s="208">
        <v>768432</v>
      </c>
      <c r="EV290" s="666">
        <v>0</v>
      </c>
      <c r="EW290" s="666">
        <v>0.4</v>
      </c>
      <c r="EX290" s="666">
        <v>0.59</v>
      </c>
      <c r="EY290" s="666">
        <v>0.01</v>
      </c>
      <c r="EZ290" s="666">
        <v>1</v>
      </c>
      <c r="FA290" s="187" t="s">
        <v>1054</v>
      </c>
      <c r="FC290" s="187">
        <v>0</v>
      </c>
    </row>
    <row r="291" spans="1:159" s="187" customFormat="1" x14ac:dyDescent="0.2">
      <c r="A291" s="187" t="s">
        <v>1811</v>
      </c>
      <c r="B291" s="429" t="s">
        <v>660</v>
      </c>
      <c r="C291" s="429" t="s">
        <v>659</v>
      </c>
      <c r="D291" s="208">
        <v>0</v>
      </c>
      <c r="E291" s="208">
        <v>281371671</v>
      </c>
      <c r="F291" s="208">
        <v>158271565</v>
      </c>
      <c r="G291" s="208">
        <v>0</v>
      </c>
      <c r="H291" s="208">
        <v>439643236</v>
      </c>
      <c r="I291" s="208">
        <v>0</v>
      </c>
      <c r="J291" s="208">
        <v>0</v>
      </c>
      <c r="K291" s="208">
        <v>0</v>
      </c>
      <c r="L291" s="208">
        <v>1029166</v>
      </c>
      <c r="M291" s="208">
        <v>1029166</v>
      </c>
      <c r="N291" s="208">
        <v>0</v>
      </c>
      <c r="O291" s="208">
        <v>0</v>
      </c>
      <c r="P291" s="208">
        <v>0</v>
      </c>
      <c r="Q291" s="208">
        <v>0</v>
      </c>
      <c r="R291" s="208">
        <v>0</v>
      </c>
      <c r="S291" s="208">
        <v>0</v>
      </c>
      <c r="T291" s="208">
        <v>0</v>
      </c>
      <c r="U291" s="208">
        <v>0</v>
      </c>
      <c r="V291" s="208">
        <v>0</v>
      </c>
      <c r="W291" s="208">
        <v>0</v>
      </c>
      <c r="X291" s="208">
        <v>0</v>
      </c>
      <c r="Y291" s="208">
        <v>0</v>
      </c>
      <c r="Z291" s="208">
        <v>0</v>
      </c>
      <c r="AA291" s="208">
        <v>0</v>
      </c>
      <c r="AB291" s="208">
        <v>0</v>
      </c>
      <c r="AC291" s="208">
        <v>0</v>
      </c>
      <c r="AD291" s="208">
        <v>0</v>
      </c>
      <c r="AE291" s="208">
        <v>0</v>
      </c>
      <c r="AF291" s="208">
        <v>0</v>
      </c>
      <c r="AG291" s="208">
        <v>12992925</v>
      </c>
      <c r="AH291" s="208">
        <v>7308522</v>
      </c>
      <c r="AI291" s="208">
        <v>0</v>
      </c>
      <c r="AJ291" s="208">
        <v>20301447</v>
      </c>
      <c r="AK291" s="208">
        <v>0</v>
      </c>
      <c r="AL291" s="208">
        <v>11750591</v>
      </c>
      <c r="AM291" s="208">
        <v>6609708</v>
      </c>
      <c r="AN291" s="208">
        <v>0</v>
      </c>
      <c r="AO291" s="208">
        <v>18360299</v>
      </c>
      <c r="AP291" s="208">
        <v>0</v>
      </c>
      <c r="AQ291" s="208">
        <v>-32154433</v>
      </c>
      <c r="AR291" s="208">
        <v>-18086868</v>
      </c>
      <c r="AS291" s="208">
        <v>0</v>
      </c>
      <c r="AT291" s="208">
        <v>-50241301</v>
      </c>
      <c r="AU291" s="208">
        <v>0</v>
      </c>
      <c r="AV291" s="208">
        <v>-4081272</v>
      </c>
      <c r="AW291" s="208">
        <v>-2295715</v>
      </c>
      <c r="AX291" s="208">
        <v>0</v>
      </c>
      <c r="AY291" s="208">
        <v>-6376987</v>
      </c>
      <c r="AZ291" s="208">
        <v>0</v>
      </c>
      <c r="BA291" s="208">
        <v>-1273350</v>
      </c>
      <c r="BB291" s="208">
        <v>-716260</v>
      </c>
      <c r="BC291" s="208">
        <v>0</v>
      </c>
      <c r="BD291" s="208">
        <v>-1989610</v>
      </c>
      <c r="BE291" s="208">
        <v>0</v>
      </c>
      <c r="BF291" s="208">
        <v>-992441</v>
      </c>
      <c r="BG291" s="208">
        <v>-558248</v>
      </c>
      <c r="BH291" s="208">
        <v>0</v>
      </c>
      <c r="BI291" s="208">
        <v>-1550689</v>
      </c>
      <c r="BJ291" s="208">
        <v>0</v>
      </c>
      <c r="BK291" s="208">
        <v>-6347063</v>
      </c>
      <c r="BL291" s="208">
        <v>-3570223</v>
      </c>
      <c r="BM291" s="208">
        <v>0</v>
      </c>
      <c r="BN291" s="208">
        <v>-9917286</v>
      </c>
      <c r="BO291" s="208">
        <v>0</v>
      </c>
      <c r="BP291" s="208">
        <v>-6364941</v>
      </c>
      <c r="BQ291" s="208">
        <v>-3580279</v>
      </c>
      <c r="BR291" s="208">
        <v>0</v>
      </c>
      <c r="BS291" s="208">
        <v>-9945220</v>
      </c>
      <c r="BT291" s="208">
        <v>0</v>
      </c>
      <c r="BU291" s="208">
        <v>-6364941</v>
      </c>
      <c r="BV291" s="208">
        <v>-3580279</v>
      </c>
      <c r="BW291" s="208">
        <v>0</v>
      </c>
      <c r="BX291" s="208">
        <v>-9945220</v>
      </c>
      <c r="BY291" s="208">
        <v>0</v>
      </c>
      <c r="BZ291" s="208">
        <v>0</v>
      </c>
      <c r="CA291" s="208">
        <v>0</v>
      </c>
      <c r="CB291" s="208">
        <v>0</v>
      </c>
      <c r="CC291" s="208">
        <v>0</v>
      </c>
      <c r="CD291" s="208">
        <v>0</v>
      </c>
      <c r="CE291" s="208">
        <v>7635384</v>
      </c>
      <c r="CF291" s="208">
        <v>4294903</v>
      </c>
      <c r="CG291" s="208">
        <v>0</v>
      </c>
      <c r="CH291" s="208">
        <v>11930287</v>
      </c>
      <c r="CI291" s="208">
        <v>0</v>
      </c>
      <c r="CJ291" s="208">
        <v>0</v>
      </c>
      <c r="CK291" s="208">
        <v>0</v>
      </c>
      <c r="CL291" s="208">
        <v>0</v>
      </c>
      <c r="CM291" s="208">
        <v>0</v>
      </c>
      <c r="CN291" s="208">
        <v>0</v>
      </c>
      <c r="CO291" s="208">
        <v>-2560000</v>
      </c>
      <c r="CP291" s="208">
        <v>-1440000</v>
      </c>
      <c r="CQ291" s="208">
        <v>0</v>
      </c>
      <c r="CR291" s="208">
        <v>-4000000</v>
      </c>
      <c r="CS291" s="208">
        <v>0</v>
      </c>
      <c r="CT291" s="208">
        <v>0</v>
      </c>
      <c r="CU291" s="208">
        <v>0</v>
      </c>
      <c r="CV291" s="208">
        <v>0</v>
      </c>
      <c r="CW291" s="208">
        <v>0</v>
      </c>
      <c r="CX291" s="208">
        <v>0</v>
      </c>
      <c r="CY291" s="208">
        <v>-1289557</v>
      </c>
      <c r="CZ291" s="208">
        <v>-725376</v>
      </c>
      <c r="DA291" s="208">
        <v>0</v>
      </c>
      <c r="DB291" s="208">
        <v>-2014933</v>
      </c>
      <c r="DC291" s="208">
        <v>0</v>
      </c>
      <c r="DD291" s="208">
        <v>-1289557</v>
      </c>
      <c r="DE291" s="208">
        <v>-725376</v>
      </c>
      <c r="DF291" s="208">
        <v>0</v>
      </c>
      <c r="DG291" s="208">
        <v>-2014933</v>
      </c>
      <c r="DH291" s="208">
        <v>0</v>
      </c>
      <c r="DI291" s="208">
        <v>0</v>
      </c>
      <c r="DJ291" s="208">
        <v>0</v>
      </c>
      <c r="DK291" s="208">
        <v>0</v>
      </c>
      <c r="DL291" s="208">
        <v>0</v>
      </c>
      <c r="DM291" s="208">
        <v>-14310499</v>
      </c>
      <c r="DN291" s="208">
        <v>-11110993</v>
      </c>
      <c r="DO291" s="208">
        <v>-11615154</v>
      </c>
      <c r="DP291" s="208">
        <v>0</v>
      </c>
      <c r="DQ291" s="208">
        <v>-37036646</v>
      </c>
      <c r="DR291" s="208">
        <v>-15028205</v>
      </c>
      <c r="DS291" s="208">
        <v>-11357416</v>
      </c>
      <c r="DT291" s="208">
        <v>-11472431</v>
      </c>
      <c r="DU291" s="208">
        <v>0</v>
      </c>
      <c r="DV291" s="208">
        <v>-37858052</v>
      </c>
      <c r="DW291" s="208">
        <v>717706</v>
      </c>
      <c r="DX291" s="208">
        <v>246423</v>
      </c>
      <c r="DY291" s="208">
        <v>-142723</v>
      </c>
      <c r="DZ291" s="208">
        <v>0</v>
      </c>
      <c r="EA291" s="208">
        <v>821406</v>
      </c>
      <c r="EB291" s="208">
        <v>0</v>
      </c>
      <c r="EC291" s="208">
        <v>292815973</v>
      </c>
      <c r="ED291" s="208">
        <v>164708985</v>
      </c>
      <c r="EE291" s="208">
        <v>0</v>
      </c>
      <c r="EF291" s="208">
        <v>457524958</v>
      </c>
      <c r="EG291" s="208">
        <v>0</v>
      </c>
      <c r="EH291" s="208">
        <v>281371671</v>
      </c>
      <c r="EI291" s="208">
        <v>158271565</v>
      </c>
      <c r="EJ291" s="208">
        <v>0</v>
      </c>
      <c r="EK291" s="208">
        <v>439643236</v>
      </c>
      <c r="EL291" s="208">
        <v>0</v>
      </c>
      <c r="EM291" s="208">
        <v>-11444302</v>
      </c>
      <c r="EN291" s="208">
        <v>-6437420</v>
      </c>
      <c r="EO291" s="208">
        <v>0</v>
      </c>
      <c r="EP291" s="208">
        <v>-17881722</v>
      </c>
      <c r="EQ291" s="208">
        <v>717706</v>
      </c>
      <c r="ER291" s="208">
        <v>-11197879</v>
      </c>
      <c r="ES291" s="208">
        <v>-6580143</v>
      </c>
      <c r="ET291" s="208">
        <v>0</v>
      </c>
      <c r="EU291" s="208">
        <v>-17060316</v>
      </c>
      <c r="EV291" s="666">
        <v>0</v>
      </c>
      <c r="EW291" s="666">
        <v>0.64</v>
      </c>
      <c r="EX291" s="666">
        <v>0.36</v>
      </c>
      <c r="EY291" s="666">
        <v>0</v>
      </c>
      <c r="EZ291" s="666">
        <v>1</v>
      </c>
      <c r="FA291" s="187" t="s">
        <v>1057</v>
      </c>
      <c r="FC291" s="187">
        <v>0</v>
      </c>
    </row>
    <row r="292" spans="1:159" s="187" customFormat="1" x14ac:dyDescent="0.2">
      <c r="B292" s="429" t="s">
        <v>662</v>
      </c>
      <c r="C292" s="429" t="s">
        <v>661</v>
      </c>
      <c r="D292" s="208">
        <v>0</v>
      </c>
      <c r="E292" s="208">
        <v>151481992</v>
      </c>
      <c r="F292" s="208">
        <v>0</v>
      </c>
      <c r="G292" s="208">
        <v>1530121</v>
      </c>
      <c r="H292" s="208">
        <v>153012113</v>
      </c>
      <c r="I292" s="208">
        <v>0</v>
      </c>
      <c r="J292" s="208">
        <v>0</v>
      </c>
      <c r="K292" s="208">
        <v>0</v>
      </c>
      <c r="L292" s="208">
        <v>443543</v>
      </c>
      <c r="M292" s="208">
        <v>443543</v>
      </c>
      <c r="N292" s="208">
        <v>0</v>
      </c>
      <c r="O292" s="208">
        <v>0</v>
      </c>
      <c r="P292" s="208">
        <v>80952</v>
      </c>
      <c r="Q292" s="208">
        <v>0</v>
      </c>
      <c r="R292" s="208">
        <v>80952</v>
      </c>
      <c r="S292" s="208">
        <v>0</v>
      </c>
      <c r="T292" s="208">
        <v>0</v>
      </c>
      <c r="U292" s="208">
        <v>0</v>
      </c>
      <c r="V292" s="208">
        <v>0</v>
      </c>
      <c r="W292" s="208">
        <v>0</v>
      </c>
      <c r="X292" s="208">
        <v>0</v>
      </c>
      <c r="Y292" s="208">
        <v>0</v>
      </c>
      <c r="Z292" s="208">
        <v>0</v>
      </c>
      <c r="AA292" s="208">
        <v>0</v>
      </c>
      <c r="AB292" s="208">
        <v>0</v>
      </c>
      <c r="AC292" s="208">
        <v>0</v>
      </c>
      <c r="AD292" s="208">
        <v>0</v>
      </c>
      <c r="AE292" s="208">
        <v>0</v>
      </c>
      <c r="AF292" s="208">
        <v>0</v>
      </c>
      <c r="AG292" s="208">
        <v>10333154</v>
      </c>
      <c r="AH292" s="208">
        <v>0</v>
      </c>
      <c r="AI292" s="208">
        <v>104356</v>
      </c>
      <c r="AJ292" s="208">
        <v>10437510</v>
      </c>
      <c r="AK292" s="208">
        <v>0</v>
      </c>
      <c r="AL292" s="208">
        <v>10504575</v>
      </c>
      <c r="AM292" s="208">
        <v>0</v>
      </c>
      <c r="AN292" s="208">
        <v>106107</v>
      </c>
      <c r="AO292" s="208">
        <v>10610682</v>
      </c>
      <c r="AP292" s="208">
        <v>0</v>
      </c>
      <c r="AQ292" s="208">
        <v>-10107401</v>
      </c>
      <c r="AR292" s="208">
        <v>0</v>
      </c>
      <c r="AS292" s="208">
        <v>-102095</v>
      </c>
      <c r="AT292" s="208">
        <v>-10209496</v>
      </c>
      <c r="AU292" s="208">
        <v>0.59999999962747097</v>
      </c>
      <c r="AV292" s="208">
        <v>-9230729</v>
      </c>
      <c r="AW292" s="208">
        <v>0</v>
      </c>
      <c r="AX292" s="208">
        <v>-93240</v>
      </c>
      <c r="AY292" s="208">
        <v>-9323968.4000000004</v>
      </c>
      <c r="AZ292" s="208">
        <v>0</v>
      </c>
      <c r="BA292" s="208">
        <v>1388143</v>
      </c>
      <c r="BB292" s="208">
        <v>0</v>
      </c>
      <c r="BC292" s="208">
        <v>14022</v>
      </c>
      <c r="BD292" s="208">
        <v>1402165</v>
      </c>
      <c r="BE292" s="208">
        <v>0</v>
      </c>
      <c r="BF292" s="208">
        <v>-1623171</v>
      </c>
      <c r="BG292" s="208">
        <v>0</v>
      </c>
      <c r="BH292" s="208">
        <v>-16396</v>
      </c>
      <c r="BI292" s="208">
        <v>-1639567</v>
      </c>
      <c r="BJ292" s="208">
        <v>0.59999999962747097</v>
      </c>
      <c r="BK292" s="208">
        <v>-9465757</v>
      </c>
      <c r="BL292" s="208">
        <v>0</v>
      </c>
      <c r="BM292" s="208">
        <v>-95614</v>
      </c>
      <c r="BN292" s="208">
        <v>-9561370.4000000004</v>
      </c>
      <c r="BO292" s="208">
        <v>0</v>
      </c>
      <c r="BP292" s="208">
        <v>-38959439</v>
      </c>
      <c r="BQ292" s="208">
        <v>0</v>
      </c>
      <c r="BR292" s="208">
        <v>-393530</v>
      </c>
      <c r="BS292" s="208">
        <v>-39352969</v>
      </c>
      <c r="BT292" s="208">
        <v>0</v>
      </c>
      <c r="BU292" s="208">
        <v>-25635690</v>
      </c>
      <c r="BV292" s="208">
        <v>0</v>
      </c>
      <c r="BW292" s="208">
        <v>-258946</v>
      </c>
      <c r="BX292" s="208">
        <v>-25894636</v>
      </c>
      <c r="BY292" s="208">
        <v>0</v>
      </c>
      <c r="BZ292" s="208">
        <v>-13323750</v>
      </c>
      <c r="CA292" s="208">
        <v>0</v>
      </c>
      <c r="CB292" s="208">
        <v>-134583</v>
      </c>
      <c r="CC292" s="208">
        <v>-13458333</v>
      </c>
      <c r="CD292" s="208">
        <v>0</v>
      </c>
      <c r="CE292" s="208">
        <v>8513177</v>
      </c>
      <c r="CF292" s="208">
        <v>0</v>
      </c>
      <c r="CG292" s="208">
        <v>85992</v>
      </c>
      <c r="CH292" s="208">
        <v>8599169</v>
      </c>
      <c r="CI292" s="208">
        <v>0</v>
      </c>
      <c r="CJ292" s="208">
        <v>0</v>
      </c>
      <c r="CK292" s="208">
        <v>0</v>
      </c>
      <c r="CL292" s="208">
        <v>0</v>
      </c>
      <c r="CM292" s="208">
        <v>0</v>
      </c>
      <c r="CN292" s="208">
        <v>0</v>
      </c>
      <c r="CO292" s="208">
        <v>1577721</v>
      </c>
      <c r="CP292" s="208">
        <v>0</v>
      </c>
      <c r="CQ292" s="208">
        <v>15937</v>
      </c>
      <c r="CR292" s="208">
        <v>1593658</v>
      </c>
      <c r="CS292" s="208">
        <v>0</v>
      </c>
      <c r="CT292" s="208">
        <v>-9911759</v>
      </c>
      <c r="CU292" s="208">
        <v>0</v>
      </c>
      <c r="CV292" s="208">
        <v>-100119</v>
      </c>
      <c r="CW292" s="208">
        <v>-10011878</v>
      </c>
      <c r="CX292" s="208">
        <v>0</v>
      </c>
      <c r="CY292" s="208">
        <v>-38780300</v>
      </c>
      <c r="CZ292" s="208">
        <v>0</v>
      </c>
      <c r="DA292" s="208">
        <v>-391720</v>
      </c>
      <c r="DB292" s="208">
        <v>-39172020</v>
      </c>
      <c r="DC292" s="208">
        <v>0</v>
      </c>
      <c r="DD292" s="208">
        <v>-15544792</v>
      </c>
      <c r="DE292" s="208">
        <v>0</v>
      </c>
      <c r="DF292" s="208">
        <v>-157017</v>
      </c>
      <c r="DG292" s="208">
        <v>-15701809</v>
      </c>
      <c r="DH292" s="208">
        <v>0</v>
      </c>
      <c r="DI292" s="208">
        <v>-23235509</v>
      </c>
      <c r="DJ292" s="208">
        <v>0</v>
      </c>
      <c r="DK292" s="208">
        <v>-234702</v>
      </c>
      <c r="DL292" s="208">
        <v>-23470211</v>
      </c>
      <c r="DM292" s="208">
        <v>-5363134</v>
      </c>
      <c r="DN292" s="208">
        <v>-4074657</v>
      </c>
      <c r="DO292" s="208">
        <v>0</v>
      </c>
      <c r="DP292" s="208">
        <v>-95332</v>
      </c>
      <c r="DQ292" s="208">
        <v>-9533123</v>
      </c>
      <c r="DR292" s="208">
        <v>-5363134</v>
      </c>
      <c r="DS292" s="208">
        <v>-5255872</v>
      </c>
      <c r="DT292" s="208">
        <v>0</v>
      </c>
      <c r="DU292" s="208">
        <v>-107263</v>
      </c>
      <c r="DV292" s="208">
        <v>-10726269</v>
      </c>
      <c r="DW292" s="208">
        <v>0</v>
      </c>
      <c r="DX292" s="208">
        <v>1181215</v>
      </c>
      <c r="DY292" s="208">
        <v>0</v>
      </c>
      <c r="DZ292" s="208">
        <v>11931</v>
      </c>
      <c r="EA292" s="208">
        <v>1193146</v>
      </c>
      <c r="EB292" s="208">
        <v>0</v>
      </c>
      <c r="EC292" s="208">
        <v>152522481</v>
      </c>
      <c r="ED292" s="208">
        <v>0</v>
      </c>
      <c r="EE292" s="208">
        <v>1540631</v>
      </c>
      <c r="EF292" s="208">
        <v>154063112</v>
      </c>
      <c r="EG292" s="208">
        <v>0</v>
      </c>
      <c r="EH292" s="208">
        <v>151481992</v>
      </c>
      <c r="EI292" s="208">
        <v>0</v>
      </c>
      <c r="EJ292" s="208">
        <v>1530121</v>
      </c>
      <c r="EK292" s="208">
        <v>153012113</v>
      </c>
      <c r="EL292" s="208">
        <v>0</v>
      </c>
      <c r="EM292" s="208">
        <v>-1040489</v>
      </c>
      <c r="EN292" s="208">
        <v>0</v>
      </c>
      <c r="EO292" s="208">
        <v>-10510</v>
      </c>
      <c r="EP292" s="208">
        <v>-1050999</v>
      </c>
      <c r="EQ292" s="208">
        <v>0</v>
      </c>
      <c r="ER292" s="208">
        <v>140726</v>
      </c>
      <c r="ES292" s="208">
        <v>0</v>
      </c>
      <c r="ET292" s="208">
        <v>1421</v>
      </c>
      <c r="EU292" s="208">
        <v>142147</v>
      </c>
      <c r="EV292" s="666">
        <v>0</v>
      </c>
      <c r="EW292" s="666">
        <v>0.99</v>
      </c>
      <c r="EX292" s="666">
        <v>0</v>
      </c>
      <c r="EY292" s="666">
        <v>0.01</v>
      </c>
      <c r="EZ292" s="666">
        <v>1</v>
      </c>
      <c r="FA292" s="187" t="s">
        <v>1056</v>
      </c>
      <c r="FC292" s="187">
        <v>0</v>
      </c>
    </row>
    <row r="293" spans="1:159" s="187" customFormat="1" x14ac:dyDescent="0.2">
      <c r="B293" s="429" t="s">
        <v>664</v>
      </c>
      <c r="C293" s="429" t="s">
        <v>663</v>
      </c>
      <c r="D293" s="208">
        <v>0</v>
      </c>
      <c r="E293" s="208">
        <v>21185374</v>
      </c>
      <c r="F293" s="208">
        <v>31248426</v>
      </c>
      <c r="G293" s="208">
        <v>529634</v>
      </c>
      <c r="H293" s="208">
        <v>52963434</v>
      </c>
      <c r="I293" s="208">
        <v>0</v>
      </c>
      <c r="J293" s="208">
        <v>0</v>
      </c>
      <c r="K293" s="208">
        <v>0</v>
      </c>
      <c r="L293" s="208">
        <v>171977</v>
      </c>
      <c r="M293" s="208">
        <v>171977</v>
      </c>
      <c r="N293" s="208">
        <v>0</v>
      </c>
      <c r="O293" s="208">
        <v>0</v>
      </c>
      <c r="P293" s="208">
        <v>114396</v>
      </c>
      <c r="Q293" s="208">
        <v>0</v>
      </c>
      <c r="R293" s="208">
        <v>114396</v>
      </c>
      <c r="S293" s="208">
        <v>0</v>
      </c>
      <c r="T293" s="208">
        <v>0</v>
      </c>
      <c r="U293" s="208">
        <v>0</v>
      </c>
      <c r="V293" s="208">
        <v>0</v>
      </c>
      <c r="W293" s="208">
        <v>0</v>
      </c>
      <c r="X293" s="208">
        <v>0</v>
      </c>
      <c r="Y293" s="208">
        <v>0</v>
      </c>
      <c r="Z293" s="208">
        <v>0</v>
      </c>
      <c r="AA293" s="208">
        <v>0</v>
      </c>
      <c r="AB293" s="208">
        <v>0</v>
      </c>
      <c r="AC293" s="208">
        <v>0</v>
      </c>
      <c r="AD293" s="208">
        <v>0</v>
      </c>
      <c r="AE293" s="208">
        <v>0</v>
      </c>
      <c r="AF293" s="208">
        <v>0</v>
      </c>
      <c r="AG293" s="208">
        <v>1878235</v>
      </c>
      <c r="AH293" s="208">
        <v>2766531</v>
      </c>
      <c r="AI293" s="208">
        <v>46891</v>
      </c>
      <c r="AJ293" s="208">
        <v>4691657</v>
      </c>
      <c r="AK293" s="208">
        <v>0</v>
      </c>
      <c r="AL293" s="208">
        <v>619582</v>
      </c>
      <c r="AM293" s="208">
        <v>913883</v>
      </c>
      <c r="AN293" s="208">
        <v>15490</v>
      </c>
      <c r="AO293" s="208">
        <v>1548955</v>
      </c>
      <c r="AP293" s="208">
        <v>0</v>
      </c>
      <c r="AQ293" s="208">
        <v>-390989</v>
      </c>
      <c r="AR293" s="208">
        <v>-576708</v>
      </c>
      <c r="AS293" s="208">
        <v>-9775</v>
      </c>
      <c r="AT293" s="208">
        <v>-977472</v>
      </c>
      <c r="AU293" s="208">
        <v>0.7099999999627471</v>
      </c>
      <c r="AV293" s="208">
        <v>-659557</v>
      </c>
      <c r="AW293" s="208">
        <v>-972846</v>
      </c>
      <c r="AX293" s="208">
        <v>-16489</v>
      </c>
      <c r="AY293" s="208">
        <v>-1648891.29</v>
      </c>
      <c r="AZ293" s="208">
        <v>0</v>
      </c>
      <c r="BA293" s="208">
        <v>0</v>
      </c>
      <c r="BB293" s="208">
        <v>0</v>
      </c>
      <c r="BC293" s="208">
        <v>0</v>
      </c>
      <c r="BD293" s="208">
        <v>0</v>
      </c>
      <c r="BE293" s="208">
        <v>0</v>
      </c>
      <c r="BF293" s="208">
        <v>89180</v>
      </c>
      <c r="BG293" s="208">
        <v>131540</v>
      </c>
      <c r="BH293" s="208">
        <v>2229</v>
      </c>
      <c r="BI293" s="208">
        <v>222949</v>
      </c>
      <c r="BJ293" s="208">
        <v>0.7099999999627471</v>
      </c>
      <c r="BK293" s="208">
        <v>-570377</v>
      </c>
      <c r="BL293" s="208">
        <v>-841306</v>
      </c>
      <c r="BM293" s="208">
        <v>-14260</v>
      </c>
      <c r="BN293" s="208">
        <v>-1425942.29</v>
      </c>
      <c r="BO293" s="208">
        <v>-7.0000000298023224E-2</v>
      </c>
      <c r="BP293" s="208">
        <v>-2639154</v>
      </c>
      <c r="BQ293" s="208">
        <v>-3892753</v>
      </c>
      <c r="BR293" s="208">
        <v>-65979</v>
      </c>
      <c r="BS293" s="208">
        <v>-6597886.0700000003</v>
      </c>
      <c r="BT293" s="208">
        <v>0</v>
      </c>
      <c r="BU293" s="208">
        <v>-585385</v>
      </c>
      <c r="BV293" s="208">
        <v>-863443</v>
      </c>
      <c r="BW293" s="208">
        <v>-14635</v>
      </c>
      <c r="BX293" s="208">
        <v>-1463463</v>
      </c>
      <c r="BY293" s="208">
        <v>-7.0000000298023224E-2</v>
      </c>
      <c r="BZ293" s="208">
        <v>-2053769</v>
      </c>
      <c r="CA293" s="208">
        <v>-3029310</v>
      </c>
      <c r="CB293" s="208">
        <v>-51344</v>
      </c>
      <c r="CC293" s="208">
        <v>-5134423.07</v>
      </c>
      <c r="CD293" s="208">
        <v>0</v>
      </c>
      <c r="CE293" s="208">
        <v>0</v>
      </c>
      <c r="CF293" s="208">
        <v>0</v>
      </c>
      <c r="CG293" s="208">
        <v>0</v>
      </c>
      <c r="CH293" s="208">
        <v>0</v>
      </c>
      <c r="CI293" s="208">
        <v>0</v>
      </c>
      <c r="CJ293" s="208">
        <v>0</v>
      </c>
      <c r="CK293" s="208">
        <v>0</v>
      </c>
      <c r="CL293" s="208">
        <v>0</v>
      </c>
      <c r="CM293" s="208">
        <v>0</v>
      </c>
      <c r="CN293" s="208">
        <v>0</v>
      </c>
      <c r="CO293" s="208">
        <v>25571</v>
      </c>
      <c r="CP293" s="208">
        <v>37717</v>
      </c>
      <c r="CQ293" s="208">
        <v>639</v>
      </c>
      <c r="CR293" s="208">
        <v>63927</v>
      </c>
      <c r="CS293" s="208">
        <v>0</v>
      </c>
      <c r="CT293" s="208">
        <v>62567</v>
      </c>
      <c r="CU293" s="208">
        <v>92287</v>
      </c>
      <c r="CV293" s="208">
        <v>1564</v>
      </c>
      <c r="CW293" s="208">
        <v>156418</v>
      </c>
      <c r="CX293" s="208">
        <v>-7.0000000298023224E-2</v>
      </c>
      <c r="CY293" s="208">
        <v>-2551016</v>
      </c>
      <c r="CZ293" s="208">
        <v>-3762749</v>
      </c>
      <c r="DA293" s="208">
        <v>-63776</v>
      </c>
      <c r="DB293" s="208">
        <v>-6377541.0700000003</v>
      </c>
      <c r="DC293" s="208">
        <v>0</v>
      </c>
      <c r="DD293" s="208">
        <v>-559814</v>
      </c>
      <c r="DE293" s="208">
        <v>-825726</v>
      </c>
      <c r="DF293" s="208">
        <v>-13996</v>
      </c>
      <c r="DG293" s="208">
        <v>-1399536</v>
      </c>
      <c r="DH293" s="208">
        <v>-7.0000000298023224E-2</v>
      </c>
      <c r="DI293" s="208">
        <v>-1991202</v>
      </c>
      <c r="DJ293" s="208">
        <v>-2937023</v>
      </c>
      <c r="DK293" s="208">
        <v>-49780</v>
      </c>
      <c r="DL293" s="208">
        <v>-4978005.07</v>
      </c>
      <c r="DM293" s="208">
        <v>-497131.0700000003</v>
      </c>
      <c r="DN293" s="208">
        <v>-397708</v>
      </c>
      <c r="DO293" s="208">
        <v>-89485</v>
      </c>
      <c r="DP293" s="208">
        <v>-9944</v>
      </c>
      <c r="DQ293" s="208">
        <v>-994268.0700000003</v>
      </c>
      <c r="DR293" s="208">
        <v>-382247</v>
      </c>
      <c r="DS293" s="208">
        <v>-305798</v>
      </c>
      <c r="DT293" s="208">
        <v>-68805</v>
      </c>
      <c r="DU293" s="208">
        <v>-7645</v>
      </c>
      <c r="DV293" s="208">
        <v>-764495</v>
      </c>
      <c r="DW293" s="208">
        <v>-114884.0700000003</v>
      </c>
      <c r="DX293" s="208">
        <v>-91910</v>
      </c>
      <c r="DY293" s="208">
        <v>-20680</v>
      </c>
      <c r="DZ293" s="208">
        <v>-2299</v>
      </c>
      <c r="EA293" s="208">
        <v>-229773.0700000003</v>
      </c>
      <c r="EB293" s="208">
        <v>0</v>
      </c>
      <c r="EC293" s="208">
        <v>21228984</v>
      </c>
      <c r="ED293" s="208">
        <v>31312753</v>
      </c>
      <c r="EE293" s="208">
        <v>530725</v>
      </c>
      <c r="EF293" s="208">
        <v>53072462</v>
      </c>
      <c r="EG293" s="208">
        <v>0</v>
      </c>
      <c r="EH293" s="208">
        <v>21185374</v>
      </c>
      <c r="EI293" s="208">
        <v>31248426</v>
      </c>
      <c r="EJ293" s="208">
        <v>529634</v>
      </c>
      <c r="EK293" s="208">
        <v>52963434</v>
      </c>
      <c r="EL293" s="208">
        <v>0</v>
      </c>
      <c r="EM293" s="208">
        <v>-43610</v>
      </c>
      <c r="EN293" s="208">
        <v>-64327</v>
      </c>
      <c r="EO293" s="208">
        <v>-1091</v>
      </c>
      <c r="EP293" s="208">
        <v>-109028</v>
      </c>
      <c r="EQ293" s="208">
        <v>-114884.0700000003</v>
      </c>
      <c r="ER293" s="208">
        <v>-135520</v>
      </c>
      <c r="ES293" s="208">
        <v>-85007</v>
      </c>
      <c r="ET293" s="208">
        <v>-3390</v>
      </c>
      <c r="EU293" s="208">
        <v>-338801.0700000003</v>
      </c>
      <c r="EV293" s="666">
        <v>0</v>
      </c>
      <c r="EW293" s="666">
        <v>0.4</v>
      </c>
      <c r="EX293" s="666">
        <v>0.59</v>
      </c>
      <c r="EY293" s="666">
        <v>0.01</v>
      </c>
      <c r="EZ293" s="666">
        <v>1</v>
      </c>
      <c r="FA293" s="187" t="s">
        <v>1054</v>
      </c>
      <c r="FC293" s="187">
        <v>0</v>
      </c>
    </row>
    <row r="294" spans="1:159" s="187" customFormat="1" x14ac:dyDescent="0.2">
      <c r="B294" s="429" t="s">
        <v>666</v>
      </c>
      <c r="C294" s="429" t="s">
        <v>665</v>
      </c>
      <c r="D294" s="208">
        <v>22825754</v>
      </c>
      <c r="E294" s="208">
        <v>18260604</v>
      </c>
      <c r="F294" s="208">
        <v>4108636</v>
      </c>
      <c r="G294" s="208">
        <v>456515</v>
      </c>
      <c r="H294" s="208">
        <v>45651509</v>
      </c>
      <c r="I294" s="208">
        <v>0</v>
      </c>
      <c r="J294" s="208">
        <v>0</v>
      </c>
      <c r="K294" s="208">
        <v>22825754</v>
      </c>
      <c r="L294" s="208">
        <v>137936</v>
      </c>
      <c r="M294" s="208">
        <v>137936</v>
      </c>
      <c r="N294" s="208">
        <v>0</v>
      </c>
      <c r="O294" s="208">
        <v>0</v>
      </c>
      <c r="P294" s="208">
        <v>126787</v>
      </c>
      <c r="Q294" s="208">
        <v>0</v>
      </c>
      <c r="R294" s="208">
        <v>126787</v>
      </c>
      <c r="S294" s="208">
        <v>0</v>
      </c>
      <c r="T294" s="208">
        <v>0</v>
      </c>
      <c r="U294" s="208">
        <v>0</v>
      </c>
      <c r="V294" s="208">
        <v>0</v>
      </c>
      <c r="W294" s="208">
        <v>0</v>
      </c>
      <c r="X294" s="208">
        <v>0</v>
      </c>
      <c r="Y294" s="208">
        <v>0</v>
      </c>
      <c r="Z294" s="208">
        <v>0</v>
      </c>
      <c r="AA294" s="208">
        <v>0</v>
      </c>
      <c r="AB294" s="208">
        <v>0</v>
      </c>
      <c r="AC294" s="208">
        <v>0</v>
      </c>
      <c r="AD294" s="208">
        <v>0</v>
      </c>
      <c r="AE294" s="208">
        <v>0</v>
      </c>
      <c r="AF294" s="208">
        <v>0</v>
      </c>
      <c r="AG294" s="208">
        <v>1614884</v>
      </c>
      <c r="AH294" s="208">
        <v>362695</v>
      </c>
      <c r="AI294" s="208">
        <v>40298</v>
      </c>
      <c r="AJ294" s="208">
        <v>2017877</v>
      </c>
      <c r="AK294" s="208">
        <v>793246</v>
      </c>
      <c r="AL294" s="208">
        <v>634597</v>
      </c>
      <c r="AM294" s="208">
        <v>142784</v>
      </c>
      <c r="AN294" s="208">
        <v>15865</v>
      </c>
      <c r="AO294" s="208">
        <v>1586492</v>
      </c>
      <c r="AP294" s="208">
        <v>-307006</v>
      </c>
      <c r="AQ294" s="208">
        <v>-245605</v>
      </c>
      <c r="AR294" s="208">
        <v>-55261</v>
      </c>
      <c r="AS294" s="208">
        <v>-6140</v>
      </c>
      <c r="AT294" s="208">
        <v>-614012</v>
      </c>
      <c r="AU294" s="208">
        <v>-369937</v>
      </c>
      <c r="AV294" s="208">
        <v>-295950</v>
      </c>
      <c r="AW294" s="208">
        <v>-66589</v>
      </c>
      <c r="AX294" s="208">
        <v>-7399</v>
      </c>
      <c r="AY294" s="208">
        <v>-739875</v>
      </c>
      <c r="AZ294" s="208">
        <v>15949</v>
      </c>
      <c r="BA294" s="208">
        <v>12760</v>
      </c>
      <c r="BB294" s="208">
        <v>2871</v>
      </c>
      <c r="BC294" s="208">
        <v>319</v>
      </c>
      <c r="BD294" s="208">
        <v>31899</v>
      </c>
      <c r="BE294" s="208">
        <v>60264</v>
      </c>
      <c r="BF294" s="208">
        <v>48210</v>
      </c>
      <c r="BG294" s="208">
        <v>10847</v>
      </c>
      <c r="BH294" s="208">
        <v>1205</v>
      </c>
      <c r="BI294" s="208">
        <v>120526</v>
      </c>
      <c r="BJ294" s="208">
        <v>-293724</v>
      </c>
      <c r="BK294" s="208">
        <v>-234980</v>
      </c>
      <c r="BL294" s="208">
        <v>-52871</v>
      </c>
      <c r="BM294" s="208">
        <v>-5875</v>
      </c>
      <c r="BN294" s="208">
        <v>-587450</v>
      </c>
      <c r="BO294" s="208">
        <v>-2106012</v>
      </c>
      <c r="BP294" s="208">
        <v>-1684809</v>
      </c>
      <c r="BQ294" s="208">
        <v>-379082</v>
      </c>
      <c r="BR294" s="208">
        <v>-42120</v>
      </c>
      <c r="BS294" s="208">
        <v>-4212023</v>
      </c>
      <c r="BT294" s="208">
        <v>-1722795</v>
      </c>
      <c r="BU294" s="208">
        <v>-1378236</v>
      </c>
      <c r="BV294" s="208">
        <v>-310103</v>
      </c>
      <c r="BW294" s="208">
        <v>-34456</v>
      </c>
      <c r="BX294" s="208">
        <v>-3445590</v>
      </c>
      <c r="BY294" s="208">
        <v>-383217</v>
      </c>
      <c r="BZ294" s="208">
        <v>-306573</v>
      </c>
      <c r="CA294" s="208">
        <v>-68979</v>
      </c>
      <c r="CB294" s="208">
        <v>-7664</v>
      </c>
      <c r="CC294" s="208">
        <v>-766433</v>
      </c>
      <c r="CD294" s="208">
        <v>1313330</v>
      </c>
      <c r="CE294" s="208">
        <v>1050665</v>
      </c>
      <c r="CF294" s="208">
        <v>236400</v>
      </c>
      <c r="CG294" s="208">
        <v>26267</v>
      </c>
      <c r="CH294" s="208">
        <v>2626662</v>
      </c>
      <c r="CI294" s="208">
        <v>49818</v>
      </c>
      <c r="CJ294" s="208">
        <v>39854</v>
      </c>
      <c r="CK294" s="208">
        <v>8967</v>
      </c>
      <c r="CL294" s="208">
        <v>996</v>
      </c>
      <c r="CM294" s="208">
        <v>99635</v>
      </c>
      <c r="CN294" s="208">
        <v>-78166</v>
      </c>
      <c r="CO294" s="208">
        <v>-62532</v>
      </c>
      <c r="CP294" s="208">
        <v>-14070</v>
      </c>
      <c r="CQ294" s="208">
        <v>-1563</v>
      </c>
      <c r="CR294" s="208">
        <v>-156331</v>
      </c>
      <c r="CS294" s="208">
        <v>-601737</v>
      </c>
      <c r="CT294" s="208">
        <v>-481390</v>
      </c>
      <c r="CU294" s="208">
        <v>-108313</v>
      </c>
      <c r="CV294" s="208">
        <v>-12035</v>
      </c>
      <c r="CW294" s="208">
        <v>-1203475</v>
      </c>
      <c r="CX294" s="208">
        <v>-1422767</v>
      </c>
      <c r="CY294" s="208">
        <v>-1138212</v>
      </c>
      <c r="CZ294" s="208">
        <v>-256098</v>
      </c>
      <c r="DA294" s="208">
        <v>-28455</v>
      </c>
      <c r="DB294" s="208">
        <v>-2845532</v>
      </c>
      <c r="DC294" s="208">
        <v>-487631</v>
      </c>
      <c r="DD294" s="208">
        <v>-390103</v>
      </c>
      <c r="DE294" s="208">
        <v>-87773</v>
      </c>
      <c r="DF294" s="208">
        <v>-9752</v>
      </c>
      <c r="DG294" s="208">
        <v>-975259</v>
      </c>
      <c r="DH294" s="208">
        <v>-935136</v>
      </c>
      <c r="DI294" s="208">
        <v>-748109</v>
      </c>
      <c r="DJ294" s="208">
        <v>-168325</v>
      </c>
      <c r="DK294" s="208">
        <v>-18703</v>
      </c>
      <c r="DL294" s="208">
        <v>-1870273</v>
      </c>
      <c r="DM294" s="208">
        <v>-503397</v>
      </c>
      <c r="DN294" s="208">
        <v>-402719</v>
      </c>
      <c r="DO294" s="208">
        <v>-90612</v>
      </c>
      <c r="DP294" s="208">
        <v>-10069</v>
      </c>
      <c r="DQ294" s="208">
        <v>-1006797</v>
      </c>
      <c r="DR294" s="208">
        <v>-480147</v>
      </c>
      <c r="DS294" s="208">
        <v>-384118</v>
      </c>
      <c r="DT294" s="208">
        <v>-86426</v>
      </c>
      <c r="DU294" s="208">
        <v>-9603</v>
      </c>
      <c r="DV294" s="208">
        <v>-960294</v>
      </c>
      <c r="DW294" s="208">
        <v>-23250</v>
      </c>
      <c r="DX294" s="208">
        <v>-18601</v>
      </c>
      <c r="DY294" s="208">
        <v>-4186</v>
      </c>
      <c r="DZ294" s="208">
        <v>-466</v>
      </c>
      <c r="EA294" s="208">
        <v>-46503</v>
      </c>
      <c r="EB294" s="208">
        <v>21332912</v>
      </c>
      <c r="EC294" s="208">
        <v>17066330</v>
      </c>
      <c r="ED294" s="208">
        <v>3839924</v>
      </c>
      <c r="EE294" s="208">
        <v>426658</v>
      </c>
      <c r="EF294" s="208">
        <v>42665824</v>
      </c>
      <c r="EG294" s="208">
        <v>22825754</v>
      </c>
      <c r="EH294" s="208">
        <v>18260604</v>
      </c>
      <c r="EI294" s="208">
        <v>4108636</v>
      </c>
      <c r="EJ294" s="208">
        <v>456515</v>
      </c>
      <c r="EK294" s="208">
        <v>45651509</v>
      </c>
      <c r="EL294" s="208">
        <v>1492842</v>
      </c>
      <c r="EM294" s="208">
        <v>1194274</v>
      </c>
      <c r="EN294" s="208">
        <v>268712</v>
      </c>
      <c r="EO294" s="208">
        <v>29857</v>
      </c>
      <c r="EP294" s="208">
        <v>2985685</v>
      </c>
      <c r="EQ294" s="208">
        <v>1469592</v>
      </c>
      <c r="ER294" s="208">
        <v>1175673</v>
      </c>
      <c r="ES294" s="208">
        <v>264526</v>
      </c>
      <c r="ET294" s="208">
        <v>29391</v>
      </c>
      <c r="EU294" s="208">
        <v>2939182</v>
      </c>
      <c r="EV294" s="666">
        <v>0.5</v>
      </c>
      <c r="EW294" s="666">
        <v>0.4</v>
      </c>
      <c r="EX294" s="666">
        <v>0.09</v>
      </c>
      <c r="EY294" s="666">
        <v>0.01</v>
      </c>
      <c r="EZ294" s="666">
        <v>1</v>
      </c>
      <c r="FA294" s="187" t="s">
        <v>1054</v>
      </c>
      <c r="FC294" s="187">
        <v>0</v>
      </c>
    </row>
    <row r="295" spans="1:159" s="187" customFormat="1" x14ac:dyDescent="0.2">
      <c r="B295" s="429" t="s">
        <v>668</v>
      </c>
      <c r="C295" s="429" t="s">
        <v>667</v>
      </c>
      <c r="D295" s="208">
        <v>25994022</v>
      </c>
      <c r="E295" s="208">
        <v>20795217</v>
      </c>
      <c r="F295" s="208">
        <v>5198804</v>
      </c>
      <c r="G295" s="208">
        <v>0</v>
      </c>
      <c r="H295" s="208">
        <v>51988043</v>
      </c>
      <c r="I295" s="208">
        <v>1384643</v>
      </c>
      <c r="J295" s="208">
        <v>1384643</v>
      </c>
      <c r="K295" s="208">
        <v>24609379</v>
      </c>
      <c r="L295" s="208">
        <v>178478</v>
      </c>
      <c r="M295" s="208">
        <v>178478</v>
      </c>
      <c r="N295" s="208">
        <v>1670513</v>
      </c>
      <c r="O295" s="208">
        <v>1670513</v>
      </c>
      <c r="P295" s="208">
        <v>235130</v>
      </c>
      <c r="Q295" s="208">
        <v>0</v>
      </c>
      <c r="R295" s="208">
        <v>235130</v>
      </c>
      <c r="S295" s="208">
        <v>0</v>
      </c>
      <c r="T295" s="208">
        <v>0</v>
      </c>
      <c r="U295" s="208">
        <v>0</v>
      </c>
      <c r="V295" s="208">
        <v>0</v>
      </c>
      <c r="W295" s="208">
        <v>1384642.5041666667</v>
      </c>
      <c r="X295" s="208">
        <v>0</v>
      </c>
      <c r="Y295" s="208">
        <v>0</v>
      </c>
      <c r="Z295" s="208">
        <v>1384642.5041666667</v>
      </c>
      <c r="AA295" s="208">
        <v>0</v>
      </c>
      <c r="AB295" s="208">
        <v>0</v>
      </c>
      <c r="AC295" s="208">
        <v>0</v>
      </c>
      <c r="AD295" s="208">
        <v>0</v>
      </c>
      <c r="AE295" s="208">
        <v>0</v>
      </c>
      <c r="AF295" s="208">
        <v>0</v>
      </c>
      <c r="AG295" s="208">
        <v>1527885</v>
      </c>
      <c r="AH295" s="208">
        <v>358445</v>
      </c>
      <c r="AI295" s="208">
        <v>0</v>
      </c>
      <c r="AJ295" s="208">
        <v>1886330</v>
      </c>
      <c r="AK295" s="208">
        <v>982432</v>
      </c>
      <c r="AL295" s="208">
        <v>785946</v>
      </c>
      <c r="AM295" s="208">
        <v>196486</v>
      </c>
      <c r="AN295" s="208">
        <v>0</v>
      </c>
      <c r="AO295" s="208">
        <v>1964864</v>
      </c>
      <c r="AP295" s="208">
        <v>-1017237</v>
      </c>
      <c r="AQ295" s="208">
        <v>-813790</v>
      </c>
      <c r="AR295" s="208">
        <v>-203447</v>
      </c>
      <c r="AS295" s="208">
        <v>0</v>
      </c>
      <c r="AT295" s="208">
        <v>-2034474</v>
      </c>
      <c r="AU295" s="208">
        <v>-720481</v>
      </c>
      <c r="AV295" s="208">
        <v>-576385</v>
      </c>
      <c r="AW295" s="208">
        <v>-144096</v>
      </c>
      <c r="AX295" s="208">
        <v>0</v>
      </c>
      <c r="AY295" s="208">
        <v>-1440962</v>
      </c>
      <c r="AZ295" s="208">
        <v>197205</v>
      </c>
      <c r="BA295" s="208">
        <v>157764</v>
      </c>
      <c r="BB295" s="208">
        <v>39441</v>
      </c>
      <c r="BC295" s="208">
        <v>0</v>
      </c>
      <c r="BD295" s="208">
        <v>394410</v>
      </c>
      <c r="BE295" s="208">
        <v>-123554</v>
      </c>
      <c r="BF295" s="208">
        <v>-98843</v>
      </c>
      <c r="BG295" s="208">
        <v>-24711</v>
      </c>
      <c r="BH295" s="208">
        <v>0</v>
      </c>
      <c r="BI295" s="208">
        <v>-247108</v>
      </c>
      <c r="BJ295" s="208">
        <v>-646830</v>
      </c>
      <c r="BK295" s="208">
        <v>-517464</v>
      </c>
      <c r="BL295" s="208">
        <v>-129366</v>
      </c>
      <c r="BM295" s="208">
        <v>0</v>
      </c>
      <c r="BN295" s="208">
        <v>-1293660</v>
      </c>
      <c r="BO295" s="208">
        <v>-3056781</v>
      </c>
      <c r="BP295" s="208">
        <v>-2445424</v>
      </c>
      <c r="BQ295" s="208">
        <v>-611356</v>
      </c>
      <c r="BR295" s="208">
        <v>0</v>
      </c>
      <c r="BS295" s="208">
        <v>-6113561</v>
      </c>
      <c r="BT295" s="208">
        <v>-1522752</v>
      </c>
      <c r="BU295" s="208">
        <v>-1218201</v>
      </c>
      <c r="BV295" s="208">
        <v>-304550</v>
      </c>
      <c r="BW295" s="208">
        <v>0</v>
      </c>
      <c r="BX295" s="208">
        <v>-3045503</v>
      </c>
      <c r="BY295" s="208">
        <v>-1534029</v>
      </c>
      <c r="BZ295" s="208">
        <v>-1227223</v>
      </c>
      <c r="CA295" s="208">
        <v>-306806</v>
      </c>
      <c r="CB295" s="208">
        <v>0</v>
      </c>
      <c r="CC295" s="208">
        <v>-3068058</v>
      </c>
      <c r="CD295" s="208">
        <v>531161</v>
      </c>
      <c r="CE295" s="208">
        <v>424928</v>
      </c>
      <c r="CF295" s="208">
        <v>106232</v>
      </c>
      <c r="CG295" s="208">
        <v>0</v>
      </c>
      <c r="CH295" s="208">
        <v>1062321</v>
      </c>
      <c r="CI295" s="208">
        <v>296138</v>
      </c>
      <c r="CJ295" s="208">
        <v>236910</v>
      </c>
      <c r="CK295" s="208">
        <v>59228</v>
      </c>
      <c r="CL295" s="208">
        <v>0</v>
      </c>
      <c r="CM295" s="208">
        <v>592276</v>
      </c>
      <c r="CN295" s="208">
        <v>-251511</v>
      </c>
      <c r="CO295" s="208">
        <v>-201208</v>
      </c>
      <c r="CP295" s="208">
        <v>-50302</v>
      </c>
      <c r="CQ295" s="208">
        <v>0</v>
      </c>
      <c r="CR295" s="208">
        <v>-503021</v>
      </c>
      <c r="CS295" s="208">
        <v>-1808230</v>
      </c>
      <c r="CT295" s="208">
        <v>-1446584</v>
      </c>
      <c r="CU295" s="208">
        <v>-361646</v>
      </c>
      <c r="CV295" s="208">
        <v>0</v>
      </c>
      <c r="CW295" s="208">
        <v>-3616460</v>
      </c>
      <c r="CX295" s="208">
        <v>-4289223</v>
      </c>
      <c r="CY295" s="208">
        <v>-3431378</v>
      </c>
      <c r="CZ295" s="208">
        <v>-857844</v>
      </c>
      <c r="DA295" s="208">
        <v>0</v>
      </c>
      <c r="DB295" s="208">
        <v>-8578445</v>
      </c>
      <c r="DC295" s="208">
        <v>-1243102</v>
      </c>
      <c r="DD295" s="208">
        <v>-994481</v>
      </c>
      <c r="DE295" s="208">
        <v>-248620</v>
      </c>
      <c r="DF295" s="208">
        <v>0</v>
      </c>
      <c r="DG295" s="208">
        <v>-2486203</v>
      </c>
      <c r="DH295" s="208">
        <v>-3046121</v>
      </c>
      <c r="DI295" s="208">
        <v>-2436897</v>
      </c>
      <c r="DJ295" s="208">
        <v>-609224</v>
      </c>
      <c r="DK295" s="208">
        <v>0</v>
      </c>
      <c r="DL295" s="208">
        <v>-6092242</v>
      </c>
      <c r="DM295" s="208">
        <v>-1160430</v>
      </c>
      <c r="DN295" s="208">
        <v>-928346</v>
      </c>
      <c r="DO295" s="208">
        <v>-232086</v>
      </c>
      <c r="DP295" s="208">
        <v>0</v>
      </c>
      <c r="DQ295" s="208">
        <v>-2320862</v>
      </c>
      <c r="DR295" s="208">
        <v>-614785</v>
      </c>
      <c r="DS295" s="208">
        <v>-491828</v>
      </c>
      <c r="DT295" s="208">
        <v>-122957</v>
      </c>
      <c r="DU295" s="208">
        <v>0</v>
      </c>
      <c r="DV295" s="208">
        <v>-1229570</v>
      </c>
      <c r="DW295" s="208">
        <v>-545645</v>
      </c>
      <c r="DX295" s="208">
        <v>-436518</v>
      </c>
      <c r="DY295" s="208">
        <v>-109129</v>
      </c>
      <c r="DZ295" s="208">
        <v>0</v>
      </c>
      <c r="EA295" s="208">
        <v>-1091292</v>
      </c>
      <c r="EB295" s="208">
        <v>26311051</v>
      </c>
      <c r="EC295" s="208">
        <v>21048841</v>
      </c>
      <c r="ED295" s="208">
        <v>5262210</v>
      </c>
      <c r="EE295" s="208">
        <v>0</v>
      </c>
      <c r="EF295" s="208">
        <v>52622102</v>
      </c>
      <c r="EG295" s="208">
        <v>25994022</v>
      </c>
      <c r="EH295" s="208">
        <v>20795217</v>
      </c>
      <c r="EI295" s="208">
        <v>5198804</v>
      </c>
      <c r="EJ295" s="208">
        <v>0</v>
      </c>
      <c r="EK295" s="208">
        <v>51988043</v>
      </c>
      <c r="EL295" s="208">
        <v>-317029</v>
      </c>
      <c r="EM295" s="208">
        <v>-253624</v>
      </c>
      <c r="EN295" s="208">
        <v>-63406</v>
      </c>
      <c r="EO295" s="208">
        <v>0</v>
      </c>
      <c r="EP295" s="208">
        <v>-634059</v>
      </c>
      <c r="EQ295" s="208">
        <v>-862674</v>
      </c>
      <c r="ER295" s="208">
        <v>-690142</v>
      </c>
      <c r="ES295" s="208">
        <v>-172535</v>
      </c>
      <c r="ET295" s="208">
        <v>0</v>
      </c>
      <c r="EU295" s="208">
        <v>-1725351</v>
      </c>
      <c r="EV295" s="666">
        <v>0.5</v>
      </c>
      <c r="EW295" s="666">
        <v>0.4</v>
      </c>
      <c r="EX295" s="666">
        <v>0.1</v>
      </c>
      <c r="EY295" s="666">
        <v>0</v>
      </c>
      <c r="EZ295" s="666">
        <v>1</v>
      </c>
      <c r="FA295" s="187" t="s">
        <v>1054</v>
      </c>
      <c r="FC295" s="187">
        <v>0</v>
      </c>
    </row>
    <row r="296" spans="1:159" s="187" customFormat="1" x14ac:dyDescent="0.2">
      <c r="B296" s="429" t="s">
        <v>670</v>
      </c>
      <c r="C296" s="429" t="s">
        <v>669</v>
      </c>
      <c r="D296" s="208">
        <v>0</v>
      </c>
      <c r="E296" s="208">
        <v>123918230</v>
      </c>
      <c r="F296" s="208">
        <v>0</v>
      </c>
      <c r="G296" s="208">
        <v>1251699</v>
      </c>
      <c r="H296" s="208">
        <v>125169929</v>
      </c>
      <c r="I296" s="208">
        <v>0</v>
      </c>
      <c r="J296" s="208">
        <v>0</v>
      </c>
      <c r="K296" s="208">
        <v>0</v>
      </c>
      <c r="L296" s="208">
        <v>449154</v>
      </c>
      <c r="M296" s="208">
        <v>449154</v>
      </c>
      <c r="N296" s="208">
        <v>18950</v>
      </c>
      <c r="O296" s="208">
        <v>18950</v>
      </c>
      <c r="P296" s="208">
        <v>520587</v>
      </c>
      <c r="Q296" s="208">
        <v>0</v>
      </c>
      <c r="R296" s="208">
        <v>520587</v>
      </c>
      <c r="S296" s="208">
        <v>0</v>
      </c>
      <c r="T296" s="208">
        <v>0</v>
      </c>
      <c r="U296" s="208">
        <v>0</v>
      </c>
      <c r="V296" s="208">
        <v>0</v>
      </c>
      <c r="W296" s="208">
        <v>0</v>
      </c>
      <c r="X296" s="208">
        <v>0</v>
      </c>
      <c r="Y296" s="208">
        <v>0</v>
      </c>
      <c r="Z296" s="208">
        <v>0</v>
      </c>
      <c r="AA296" s="208">
        <v>0</v>
      </c>
      <c r="AB296" s="208">
        <v>0</v>
      </c>
      <c r="AC296" s="208">
        <v>0</v>
      </c>
      <c r="AD296" s="208">
        <v>0</v>
      </c>
      <c r="AE296" s="208">
        <v>0</v>
      </c>
      <c r="AF296" s="208">
        <v>0</v>
      </c>
      <c r="AG296" s="208">
        <v>12560767</v>
      </c>
      <c r="AH296" s="208">
        <v>0</v>
      </c>
      <c r="AI296" s="208">
        <v>126014</v>
      </c>
      <c r="AJ296" s="208">
        <v>12686781</v>
      </c>
      <c r="AK296" s="208">
        <v>0</v>
      </c>
      <c r="AL296" s="208">
        <v>2299823</v>
      </c>
      <c r="AM296" s="208">
        <v>0</v>
      </c>
      <c r="AN296" s="208">
        <v>23231</v>
      </c>
      <c r="AO296" s="208">
        <v>2323054</v>
      </c>
      <c r="AP296" s="208">
        <v>0</v>
      </c>
      <c r="AQ296" s="208">
        <v>-1276853</v>
      </c>
      <c r="AR296" s="208">
        <v>0</v>
      </c>
      <c r="AS296" s="208">
        <v>-12898</v>
      </c>
      <c r="AT296" s="208">
        <v>-1289751</v>
      </c>
      <c r="AU296" s="208">
        <v>0</v>
      </c>
      <c r="AV296" s="208">
        <v>-1009800</v>
      </c>
      <c r="AW296" s="208">
        <v>0</v>
      </c>
      <c r="AX296" s="208">
        <v>-10200</v>
      </c>
      <c r="AY296" s="208">
        <v>-1020000</v>
      </c>
      <c r="AZ296" s="208">
        <v>0</v>
      </c>
      <c r="BA296" s="208">
        <v>906489</v>
      </c>
      <c r="BB296" s="208">
        <v>0</v>
      </c>
      <c r="BC296" s="208">
        <v>9156</v>
      </c>
      <c r="BD296" s="208">
        <v>915645</v>
      </c>
      <c r="BE296" s="208">
        <v>0</v>
      </c>
      <c r="BF296" s="208">
        <v>-906489</v>
      </c>
      <c r="BG296" s="208">
        <v>0</v>
      </c>
      <c r="BH296" s="208">
        <v>-9156</v>
      </c>
      <c r="BI296" s="208">
        <v>-915645</v>
      </c>
      <c r="BJ296" s="208">
        <v>0</v>
      </c>
      <c r="BK296" s="208">
        <v>-1009800</v>
      </c>
      <c r="BL296" s="208">
        <v>0</v>
      </c>
      <c r="BM296" s="208">
        <v>-10200</v>
      </c>
      <c r="BN296" s="208">
        <v>-1020000</v>
      </c>
      <c r="BO296" s="208">
        <v>0</v>
      </c>
      <c r="BP296" s="208">
        <v>-15977667</v>
      </c>
      <c r="BQ296" s="208">
        <v>0</v>
      </c>
      <c r="BR296" s="208">
        <v>-161391</v>
      </c>
      <c r="BS296" s="208">
        <v>-16139058</v>
      </c>
      <c r="BT296" s="208">
        <v>0</v>
      </c>
      <c r="BU296" s="208">
        <v>-10121639</v>
      </c>
      <c r="BV296" s="208">
        <v>0</v>
      </c>
      <c r="BW296" s="208">
        <v>-102239</v>
      </c>
      <c r="BX296" s="208">
        <v>-10223878</v>
      </c>
      <c r="BY296" s="208">
        <v>0</v>
      </c>
      <c r="BZ296" s="208">
        <v>-5856028</v>
      </c>
      <c r="CA296" s="208">
        <v>0</v>
      </c>
      <c r="CB296" s="208">
        <v>-59152</v>
      </c>
      <c r="CC296" s="208">
        <v>-5915180</v>
      </c>
      <c r="CD296" s="208">
        <v>0</v>
      </c>
      <c r="CE296" s="208">
        <v>0</v>
      </c>
      <c r="CF296" s="208">
        <v>0</v>
      </c>
      <c r="CG296" s="208">
        <v>0</v>
      </c>
      <c r="CH296" s="208">
        <v>0</v>
      </c>
      <c r="CI296" s="208">
        <v>0</v>
      </c>
      <c r="CJ296" s="208">
        <v>0</v>
      </c>
      <c r="CK296" s="208">
        <v>0</v>
      </c>
      <c r="CL296" s="208">
        <v>0</v>
      </c>
      <c r="CM296" s="208">
        <v>0</v>
      </c>
      <c r="CN296" s="208">
        <v>0</v>
      </c>
      <c r="CO296" s="208">
        <v>2741321</v>
      </c>
      <c r="CP296" s="208">
        <v>0</v>
      </c>
      <c r="CQ296" s="208">
        <v>27690</v>
      </c>
      <c r="CR296" s="208">
        <v>2769011</v>
      </c>
      <c r="CS296" s="208">
        <v>0</v>
      </c>
      <c r="CT296" s="208">
        <v>-6185619</v>
      </c>
      <c r="CU296" s="208">
        <v>0</v>
      </c>
      <c r="CV296" s="208">
        <v>-62481</v>
      </c>
      <c r="CW296" s="208">
        <v>-6248100</v>
      </c>
      <c r="CX296" s="208">
        <v>0</v>
      </c>
      <c r="CY296" s="208">
        <v>-19421965</v>
      </c>
      <c r="CZ296" s="208">
        <v>0</v>
      </c>
      <c r="DA296" s="208">
        <v>-196182</v>
      </c>
      <c r="DB296" s="208">
        <v>-19618147</v>
      </c>
      <c r="DC296" s="208">
        <v>0</v>
      </c>
      <c r="DD296" s="208">
        <v>-7380318</v>
      </c>
      <c r="DE296" s="208">
        <v>0</v>
      </c>
      <c r="DF296" s="208">
        <v>-74549</v>
      </c>
      <c r="DG296" s="208">
        <v>-7454867</v>
      </c>
      <c r="DH296" s="208">
        <v>0</v>
      </c>
      <c r="DI296" s="208">
        <v>-12041647</v>
      </c>
      <c r="DJ296" s="208">
        <v>0</v>
      </c>
      <c r="DK296" s="208">
        <v>-121633</v>
      </c>
      <c r="DL296" s="208">
        <v>-12163280</v>
      </c>
      <c r="DM296" s="208">
        <v>-496136</v>
      </c>
      <c r="DN296" s="208">
        <v>-486213</v>
      </c>
      <c r="DO296" s="208">
        <v>0</v>
      </c>
      <c r="DP296" s="208">
        <v>-9922</v>
      </c>
      <c r="DQ296" s="208">
        <v>-992271</v>
      </c>
      <c r="DR296" s="208">
        <v>-2434956</v>
      </c>
      <c r="DS296" s="208">
        <v>-2386256</v>
      </c>
      <c r="DT296" s="208">
        <v>0</v>
      </c>
      <c r="DU296" s="208">
        <v>-48699</v>
      </c>
      <c r="DV296" s="208">
        <v>-4869911</v>
      </c>
      <c r="DW296" s="208">
        <v>1938820</v>
      </c>
      <c r="DX296" s="208">
        <v>1900043</v>
      </c>
      <c r="DY296" s="208">
        <v>0</v>
      </c>
      <c r="DZ296" s="208">
        <v>38777</v>
      </c>
      <c r="EA296" s="208">
        <v>3877640</v>
      </c>
      <c r="EB296" s="208">
        <v>0</v>
      </c>
      <c r="EC296" s="208">
        <v>119689499</v>
      </c>
      <c r="ED296" s="208">
        <v>0</v>
      </c>
      <c r="EE296" s="208">
        <v>1208985</v>
      </c>
      <c r="EF296" s="208">
        <v>120898484</v>
      </c>
      <c r="EG296" s="208">
        <v>0</v>
      </c>
      <c r="EH296" s="208">
        <v>123918230</v>
      </c>
      <c r="EI296" s="208">
        <v>0</v>
      </c>
      <c r="EJ296" s="208">
        <v>1251699</v>
      </c>
      <c r="EK296" s="208">
        <v>125169929</v>
      </c>
      <c r="EL296" s="208">
        <v>0</v>
      </c>
      <c r="EM296" s="208">
        <v>4228731</v>
      </c>
      <c r="EN296" s="208">
        <v>0</v>
      </c>
      <c r="EO296" s="208">
        <v>42714</v>
      </c>
      <c r="EP296" s="208">
        <v>4271445</v>
      </c>
      <c r="EQ296" s="208">
        <v>1938820</v>
      </c>
      <c r="ER296" s="208">
        <v>6128774</v>
      </c>
      <c r="ES296" s="208">
        <v>0</v>
      </c>
      <c r="ET296" s="208">
        <v>81491</v>
      </c>
      <c r="EU296" s="208">
        <v>8149085</v>
      </c>
      <c r="EV296" s="666">
        <v>0</v>
      </c>
      <c r="EW296" s="666">
        <v>0.99</v>
      </c>
      <c r="EX296" s="666">
        <v>0</v>
      </c>
      <c r="EY296" s="666">
        <v>0.01</v>
      </c>
      <c r="EZ296" s="666">
        <v>1</v>
      </c>
      <c r="FA296" s="187" t="s">
        <v>1056</v>
      </c>
      <c r="FC296" s="187">
        <v>0</v>
      </c>
    </row>
    <row r="297" spans="1:159" s="187" customFormat="1" x14ac:dyDescent="0.2">
      <c r="B297" s="429" t="s">
        <v>672</v>
      </c>
      <c r="C297" s="429" t="s">
        <v>671</v>
      </c>
      <c r="D297" s="208">
        <v>0</v>
      </c>
      <c r="E297" s="208">
        <v>71719941</v>
      </c>
      <c r="F297" s="208">
        <v>0</v>
      </c>
      <c r="G297" s="208">
        <v>724444</v>
      </c>
      <c r="H297" s="208">
        <v>72444385</v>
      </c>
      <c r="I297" s="208">
        <v>0</v>
      </c>
      <c r="J297" s="208">
        <v>0</v>
      </c>
      <c r="K297" s="208">
        <v>0</v>
      </c>
      <c r="L297" s="208">
        <v>338403</v>
      </c>
      <c r="M297" s="208">
        <v>338403</v>
      </c>
      <c r="N297" s="208">
        <v>23921</v>
      </c>
      <c r="O297" s="208">
        <v>23921</v>
      </c>
      <c r="P297" s="208">
        <v>0</v>
      </c>
      <c r="Q297" s="208">
        <v>0</v>
      </c>
      <c r="R297" s="208">
        <v>0</v>
      </c>
      <c r="S297" s="208">
        <v>0</v>
      </c>
      <c r="T297" s="208">
        <v>0</v>
      </c>
      <c r="U297" s="208">
        <v>0</v>
      </c>
      <c r="V297" s="208">
        <v>0</v>
      </c>
      <c r="W297" s="208">
        <v>0</v>
      </c>
      <c r="X297" s="208">
        <v>0</v>
      </c>
      <c r="Y297" s="208">
        <v>0</v>
      </c>
      <c r="Z297" s="208">
        <v>0</v>
      </c>
      <c r="AA297" s="208">
        <v>0</v>
      </c>
      <c r="AB297" s="208">
        <v>0</v>
      </c>
      <c r="AC297" s="208">
        <v>0</v>
      </c>
      <c r="AD297" s="208">
        <v>0</v>
      </c>
      <c r="AE297" s="208">
        <v>0</v>
      </c>
      <c r="AF297" s="208">
        <v>0</v>
      </c>
      <c r="AG297" s="208">
        <v>8608044</v>
      </c>
      <c r="AH297" s="208">
        <v>0</v>
      </c>
      <c r="AI297" s="208">
        <v>86745</v>
      </c>
      <c r="AJ297" s="208">
        <v>8694789</v>
      </c>
      <c r="AK297" s="208">
        <v>0</v>
      </c>
      <c r="AL297" s="208">
        <v>6098938</v>
      </c>
      <c r="AM297" s="208">
        <v>0</v>
      </c>
      <c r="AN297" s="208">
        <v>61605</v>
      </c>
      <c r="AO297" s="208">
        <v>6160543</v>
      </c>
      <c r="AP297" s="208">
        <v>0</v>
      </c>
      <c r="AQ297" s="208">
        <v>-366982</v>
      </c>
      <c r="AR297" s="208">
        <v>0</v>
      </c>
      <c r="AS297" s="208">
        <v>-3707</v>
      </c>
      <c r="AT297" s="208">
        <v>-370689</v>
      </c>
      <c r="AU297" s="208">
        <v>0</v>
      </c>
      <c r="AV297" s="208">
        <v>-2153818</v>
      </c>
      <c r="AW297" s="208">
        <v>0</v>
      </c>
      <c r="AX297" s="208">
        <v>-21756</v>
      </c>
      <c r="AY297" s="208">
        <v>-2175574</v>
      </c>
      <c r="AZ297" s="208">
        <v>0</v>
      </c>
      <c r="BA297" s="208">
        <v>548630</v>
      </c>
      <c r="BB297" s="208">
        <v>0</v>
      </c>
      <c r="BC297" s="208">
        <v>5542</v>
      </c>
      <c r="BD297" s="208">
        <v>554172</v>
      </c>
      <c r="BE297" s="208">
        <v>0</v>
      </c>
      <c r="BF297" s="208">
        <v>-862636</v>
      </c>
      <c r="BG297" s="208">
        <v>0</v>
      </c>
      <c r="BH297" s="208">
        <v>-8713</v>
      </c>
      <c r="BI297" s="208">
        <v>-871349</v>
      </c>
      <c r="BJ297" s="208">
        <v>0</v>
      </c>
      <c r="BK297" s="208">
        <v>-2467824</v>
      </c>
      <c r="BL297" s="208">
        <v>0</v>
      </c>
      <c r="BM297" s="208">
        <v>-24927</v>
      </c>
      <c r="BN297" s="208">
        <v>-2492751</v>
      </c>
      <c r="BO297" s="208">
        <v>0</v>
      </c>
      <c r="BP297" s="208">
        <v>-7423832</v>
      </c>
      <c r="BQ297" s="208">
        <v>0</v>
      </c>
      <c r="BR297" s="208">
        <v>-74988</v>
      </c>
      <c r="BS297" s="208">
        <v>-7498820</v>
      </c>
      <c r="BT297" s="208">
        <v>0</v>
      </c>
      <c r="BU297" s="208">
        <v>0</v>
      </c>
      <c r="BV297" s="208">
        <v>0</v>
      </c>
      <c r="BW297" s="208">
        <v>0</v>
      </c>
      <c r="BX297" s="208">
        <v>0</v>
      </c>
      <c r="BY297" s="208">
        <v>0</v>
      </c>
      <c r="BZ297" s="208">
        <v>-7423832</v>
      </c>
      <c r="CA297" s="208">
        <v>0</v>
      </c>
      <c r="CB297" s="208">
        <v>-74988</v>
      </c>
      <c r="CC297" s="208">
        <v>-7498820</v>
      </c>
      <c r="CD297" s="208">
        <v>0</v>
      </c>
      <c r="CE297" s="208">
        <v>439501</v>
      </c>
      <c r="CF297" s="208">
        <v>0</v>
      </c>
      <c r="CG297" s="208">
        <v>4439</v>
      </c>
      <c r="CH297" s="208">
        <v>443940</v>
      </c>
      <c r="CI297" s="208">
        <v>0</v>
      </c>
      <c r="CJ297" s="208">
        <v>604944</v>
      </c>
      <c r="CK297" s="208">
        <v>0</v>
      </c>
      <c r="CL297" s="208">
        <v>6111</v>
      </c>
      <c r="CM297" s="208">
        <v>611055</v>
      </c>
      <c r="CN297" s="208">
        <v>0</v>
      </c>
      <c r="CO297" s="208">
        <v>-1582541</v>
      </c>
      <c r="CP297" s="208">
        <v>0</v>
      </c>
      <c r="CQ297" s="208">
        <v>-15985</v>
      </c>
      <c r="CR297" s="208">
        <v>-1598526</v>
      </c>
      <c r="CS297" s="208">
        <v>0</v>
      </c>
      <c r="CT297" s="208">
        <v>463787</v>
      </c>
      <c r="CU297" s="208">
        <v>0</v>
      </c>
      <c r="CV297" s="208">
        <v>4685</v>
      </c>
      <c r="CW297" s="208">
        <v>468472</v>
      </c>
      <c r="CX297" s="208">
        <v>0</v>
      </c>
      <c r="CY297" s="208">
        <v>-7498141</v>
      </c>
      <c r="CZ297" s="208">
        <v>0</v>
      </c>
      <c r="DA297" s="208">
        <v>-75738</v>
      </c>
      <c r="DB297" s="208">
        <v>-7573879</v>
      </c>
      <c r="DC297" s="208">
        <v>0</v>
      </c>
      <c r="DD297" s="208">
        <v>-1143040</v>
      </c>
      <c r="DE297" s="208">
        <v>0</v>
      </c>
      <c r="DF297" s="208">
        <v>-11546</v>
      </c>
      <c r="DG297" s="208">
        <v>-1154586</v>
      </c>
      <c r="DH297" s="208">
        <v>0</v>
      </c>
      <c r="DI297" s="208">
        <v>-6355101</v>
      </c>
      <c r="DJ297" s="208">
        <v>0</v>
      </c>
      <c r="DK297" s="208">
        <v>-64192</v>
      </c>
      <c r="DL297" s="208">
        <v>-6419293</v>
      </c>
      <c r="DM297" s="208">
        <v>488872</v>
      </c>
      <c r="DN297" s="208">
        <v>-2416696</v>
      </c>
      <c r="DO297" s="208">
        <v>0</v>
      </c>
      <c r="DP297" s="208">
        <v>-19473</v>
      </c>
      <c r="DQ297" s="208">
        <v>-1947297</v>
      </c>
      <c r="DR297" s="208">
        <v>572708</v>
      </c>
      <c r="DS297" s="208">
        <v>-2209862</v>
      </c>
      <c r="DT297" s="208">
        <v>0</v>
      </c>
      <c r="DU297" s="208">
        <v>-16537</v>
      </c>
      <c r="DV297" s="208">
        <v>-1653691</v>
      </c>
      <c r="DW297" s="208">
        <v>-83836</v>
      </c>
      <c r="DX297" s="208">
        <v>-206834</v>
      </c>
      <c r="DY297" s="208">
        <v>0</v>
      </c>
      <c r="DZ297" s="208">
        <v>-2936</v>
      </c>
      <c r="EA297" s="208">
        <v>-293606</v>
      </c>
      <c r="EB297" s="208">
        <v>0</v>
      </c>
      <c r="EC297" s="208">
        <v>72369398</v>
      </c>
      <c r="ED297" s="208">
        <v>0</v>
      </c>
      <c r="EE297" s="208">
        <v>731004</v>
      </c>
      <c r="EF297" s="208">
        <v>73100402</v>
      </c>
      <c r="EG297" s="208">
        <v>0</v>
      </c>
      <c r="EH297" s="208">
        <v>71719941</v>
      </c>
      <c r="EI297" s="208">
        <v>0</v>
      </c>
      <c r="EJ297" s="208">
        <v>724444</v>
      </c>
      <c r="EK297" s="208">
        <v>72444385</v>
      </c>
      <c r="EL297" s="208">
        <v>0</v>
      </c>
      <c r="EM297" s="208">
        <v>-649457</v>
      </c>
      <c r="EN297" s="208">
        <v>0</v>
      </c>
      <c r="EO297" s="208">
        <v>-6560</v>
      </c>
      <c r="EP297" s="208">
        <v>-656017</v>
      </c>
      <c r="EQ297" s="208">
        <v>-83836</v>
      </c>
      <c r="ER297" s="208">
        <v>-856291</v>
      </c>
      <c r="ES297" s="208">
        <v>0</v>
      </c>
      <c r="ET297" s="208">
        <v>-9496</v>
      </c>
      <c r="EU297" s="208">
        <v>-949623</v>
      </c>
      <c r="EV297" s="666">
        <v>0</v>
      </c>
      <c r="EW297" s="666">
        <v>0.99</v>
      </c>
      <c r="EX297" s="666">
        <v>0</v>
      </c>
      <c r="EY297" s="666">
        <v>0.01</v>
      </c>
      <c r="EZ297" s="666">
        <v>1</v>
      </c>
      <c r="FA297" s="187" t="s">
        <v>1056</v>
      </c>
      <c r="FC297" s="187">
        <v>0</v>
      </c>
    </row>
    <row r="298" spans="1:159" s="187" customFormat="1" x14ac:dyDescent="0.2">
      <c r="B298" s="429" t="s">
        <v>674</v>
      </c>
      <c r="C298" s="429" t="s">
        <v>673</v>
      </c>
      <c r="D298" s="208">
        <v>0</v>
      </c>
      <c r="E298" s="208">
        <v>42779674</v>
      </c>
      <c r="F298" s="208">
        <v>24063566</v>
      </c>
      <c r="G298" s="208">
        <v>0</v>
      </c>
      <c r="H298" s="208">
        <v>66843240</v>
      </c>
      <c r="I298" s="208">
        <v>0</v>
      </c>
      <c r="J298" s="208">
        <v>0</v>
      </c>
      <c r="K298" s="208">
        <v>0</v>
      </c>
      <c r="L298" s="208">
        <v>292555</v>
      </c>
      <c r="M298" s="208">
        <v>292555</v>
      </c>
      <c r="N298" s="208">
        <v>0</v>
      </c>
      <c r="O298" s="208">
        <v>0</v>
      </c>
      <c r="P298" s="208">
        <v>0</v>
      </c>
      <c r="Q298" s="208">
        <v>0</v>
      </c>
      <c r="R298" s="208">
        <v>0</v>
      </c>
      <c r="S298" s="208">
        <v>0</v>
      </c>
      <c r="T298" s="208">
        <v>0</v>
      </c>
      <c r="U298" s="208">
        <v>0</v>
      </c>
      <c r="V298" s="208">
        <v>0</v>
      </c>
      <c r="W298" s="208">
        <v>0</v>
      </c>
      <c r="X298" s="208">
        <v>0</v>
      </c>
      <c r="Y298" s="208">
        <v>0</v>
      </c>
      <c r="Z298" s="208">
        <v>0</v>
      </c>
      <c r="AA298" s="208">
        <v>0</v>
      </c>
      <c r="AB298" s="208">
        <v>0</v>
      </c>
      <c r="AC298" s="208">
        <v>0</v>
      </c>
      <c r="AD298" s="208">
        <v>0</v>
      </c>
      <c r="AE298" s="208">
        <v>0</v>
      </c>
      <c r="AF298" s="208">
        <v>0</v>
      </c>
      <c r="AG298" s="208">
        <v>5921143</v>
      </c>
      <c r="AH298" s="208">
        <v>3330643</v>
      </c>
      <c r="AI298" s="208">
        <v>0</v>
      </c>
      <c r="AJ298" s="208">
        <v>9251786</v>
      </c>
      <c r="AK298" s="208">
        <v>0</v>
      </c>
      <c r="AL298" s="208">
        <v>3780092</v>
      </c>
      <c r="AM298" s="208">
        <v>2126301</v>
      </c>
      <c r="AN298" s="208">
        <v>0</v>
      </c>
      <c r="AO298" s="208">
        <v>5906393</v>
      </c>
      <c r="AP298" s="208">
        <v>0</v>
      </c>
      <c r="AQ298" s="208">
        <v>-2793132</v>
      </c>
      <c r="AR298" s="208">
        <v>-1571136</v>
      </c>
      <c r="AS298" s="208">
        <v>0</v>
      </c>
      <c r="AT298" s="208">
        <v>-4364268</v>
      </c>
      <c r="AU298" s="208">
        <v>0</v>
      </c>
      <c r="AV298" s="208">
        <v>-2330630</v>
      </c>
      <c r="AW298" s="208">
        <v>-1310980</v>
      </c>
      <c r="AX298" s="208">
        <v>0</v>
      </c>
      <c r="AY298" s="208">
        <v>-3641610</v>
      </c>
      <c r="AZ298" s="208">
        <v>0</v>
      </c>
      <c r="BA298" s="208">
        <v>126242</v>
      </c>
      <c r="BB298" s="208">
        <v>71011</v>
      </c>
      <c r="BC298" s="208">
        <v>0</v>
      </c>
      <c r="BD298" s="208">
        <v>197253</v>
      </c>
      <c r="BE298" s="208">
        <v>0</v>
      </c>
      <c r="BF298" s="208">
        <v>-168121</v>
      </c>
      <c r="BG298" s="208">
        <v>-94568</v>
      </c>
      <c r="BH298" s="208">
        <v>0</v>
      </c>
      <c r="BI298" s="208">
        <v>-262689</v>
      </c>
      <c r="BJ298" s="208">
        <v>0</v>
      </c>
      <c r="BK298" s="208">
        <v>-2372509</v>
      </c>
      <c r="BL298" s="208">
        <v>-1334537</v>
      </c>
      <c r="BM298" s="208">
        <v>0</v>
      </c>
      <c r="BN298" s="208">
        <v>-3707046</v>
      </c>
      <c r="BO298" s="208">
        <v>0</v>
      </c>
      <c r="BP298" s="208">
        <v>-4405706</v>
      </c>
      <c r="BQ298" s="208">
        <v>-2478210</v>
      </c>
      <c r="BR298" s="208">
        <v>0</v>
      </c>
      <c r="BS298" s="208">
        <v>-6883916</v>
      </c>
      <c r="BT298" s="208">
        <v>0</v>
      </c>
      <c r="BU298" s="208">
        <v>-3321613</v>
      </c>
      <c r="BV298" s="208">
        <v>-1868408</v>
      </c>
      <c r="BW298" s="208">
        <v>0</v>
      </c>
      <c r="BX298" s="208">
        <v>-5190021</v>
      </c>
      <c r="BY298" s="208">
        <v>0</v>
      </c>
      <c r="BZ298" s="208">
        <v>-1084093</v>
      </c>
      <c r="CA298" s="208">
        <v>-609802</v>
      </c>
      <c r="CB298" s="208">
        <v>0</v>
      </c>
      <c r="CC298" s="208">
        <v>-1693895</v>
      </c>
      <c r="CD298" s="208">
        <v>0</v>
      </c>
      <c r="CE298" s="208">
        <v>1206718</v>
      </c>
      <c r="CF298" s="208">
        <v>678779</v>
      </c>
      <c r="CG298" s="208">
        <v>0</v>
      </c>
      <c r="CH298" s="208">
        <v>1885497</v>
      </c>
      <c r="CI298" s="208">
        <v>0</v>
      </c>
      <c r="CJ298" s="208">
        <v>1350434</v>
      </c>
      <c r="CK298" s="208">
        <v>759619</v>
      </c>
      <c r="CL298" s="208">
        <v>0</v>
      </c>
      <c r="CM298" s="208">
        <v>2110053</v>
      </c>
      <c r="CN298" s="208">
        <v>0</v>
      </c>
      <c r="CO298" s="208">
        <v>-615811</v>
      </c>
      <c r="CP298" s="208">
        <v>-346394</v>
      </c>
      <c r="CQ298" s="208">
        <v>0</v>
      </c>
      <c r="CR298" s="208">
        <v>-962205</v>
      </c>
      <c r="CS298" s="208">
        <v>0</v>
      </c>
      <c r="CT298" s="208">
        <v>-1344073</v>
      </c>
      <c r="CU298" s="208">
        <v>-756041</v>
      </c>
      <c r="CV298" s="208">
        <v>0</v>
      </c>
      <c r="CW298" s="208">
        <v>-2100114</v>
      </c>
      <c r="CX298" s="208">
        <v>0</v>
      </c>
      <c r="CY298" s="208">
        <v>-3808438</v>
      </c>
      <c r="CZ298" s="208">
        <v>-2142247</v>
      </c>
      <c r="DA298" s="208">
        <v>0</v>
      </c>
      <c r="DB298" s="208">
        <v>-5950685</v>
      </c>
      <c r="DC298" s="208">
        <v>0</v>
      </c>
      <c r="DD298" s="208">
        <v>-2730706</v>
      </c>
      <c r="DE298" s="208">
        <v>-1536023</v>
      </c>
      <c r="DF298" s="208">
        <v>0</v>
      </c>
      <c r="DG298" s="208">
        <v>-4266729</v>
      </c>
      <c r="DH298" s="208">
        <v>0</v>
      </c>
      <c r="DI298" s="208">
        <v>-1077732</v>
      </c>
      <c r="DJ298" s="208">
        <v>-606224</v>
      </c>
      <c r="DK298" s="208">
        <v>0</v>
      </c>
      <c r="DL298" s="208">
        <v>-1683956</v>
      </c>
      <c r="DM298" s="208">
        <v>2463499</v>
      </c>
      <c r="DN298" s="208">
        <v>1856105</v>
      </c>
      <c r="DO298" s="208">
        <v>1867413</v>
      </c>
      <c r="DP298" s="208">
        <v>0</v>
      </c>
      <c r="DQ298" s="208">
        <v>6187017</v>
      </c>
      <c r="DR298" s="208">
        <v>2380490</v>
      </c>
      <c r="DS298" s="208">
        <v>1780642</v>
      </c>
      <c r="DT298" s="208">
        <v>1774342</v>
      </c>
      <c r="DU298" s="208">
        <v>0</v>
      </c>
      <c r="DV298" s="208">
        <v>5935474</v>
      </c>
      <c r="DW298" s="208">
        <v>83009</v>
      </c>
      <c r="DX298" s="208">
        <v>75463</v>
      </c>
      <c r="DY298" s="208">
        <v>93071</v>
      </c>
      <c r="DZ298" s="208">
        <v>0</v>
      </c>
      <c r="EA298" s="208">
        <v>251543</v>
      </c>
      <c r="EB298" s="208">
        <v>0</v>
      </c>
      <c r="EC298" s="208">
        <v>42703266</v>
      </c>
      <c r="ED298" s="208">
        <v>24020587</v>
      </c>
      <c r="EE298" s="208">
        <v>0</v>
      </c>
      <c r="EF298" s="208">
        <v>66723853</v>
      </c>
      <c r="EG298" s="208">
        <v>0</v>
      </c>
      <c r="EH298" s="208">
        <v>42779674</v>
      </c>
      <c r="EI298" s="208">
        <v>24063566</v>
      </c>
      <c r="EJ298" s="208">
        <v>0</v>
      </c>
      <c r="EK298" s="208">
        <v>66843240</v>
      </c>
      <c r="EL298" s="208">
        <v>0</v>
      </c>
      <c r="EM298" s="208">
        <v>76408</v>
      </c>
      <c r="EN298" s="208">
        <v>42979</v>
      </c>
      <c r="EO298" s="208">
        <v>0</v>
      </c>
      <c r="EP298" s="208">
        <v>119387</v>
      </c>
      <c r="EQ298" s="208">
        <v>83009</v>
      </c>
      <c r="ER298" s="208">
        <v>151871</v>
      </c>
      <c r="ES298" s="208">
        <v>136050</v>
      </c>
      <c r="ET298" s="208">
        <v>0</v>
      </c>
      <c r="EU298" s="208">
        <v>370930</v>
      </c>
      <c r="EV298" s="666">
        <v>0</v>
      </c>
      <c r="EW298" s="666">
        <v>0.64</v>
      </c>
      <c r="EX298" s="666">
        <v>0.36</v>
      </c>
      <c r="EY298" s="666">
        <v>0</v>
      </c>
      <c r="EZ298" s="666">
        <v>1</v>
      </c>
      <c r="FA298" s="187" t="s">
        <v>1055</v>
      </c>
      <c r="FC298" s="187">
        <v>0</v>
      </c>
    </row>
    <row r="299" spans="1:159" s="187" customFormat="1" x14ac:dyDescent="0.2">
      <c r="B299" s="429" t="s">
        <v>676</v>
      </c>
      <c r="C299" s="429" t="s">
        <v>675</v>
      </c>
      <c r="D299" s="208">
        <v>0</v>
      </c>
      <c r="E299" s="208">
        <v>76766778</v>
      </c>
      <c r="F299" s="208">
        <v>43181312</v>
      </c>
      <c r="G299" s="208">
        <v>0</v>
      </c>
      <c r="H299" s="208">
        <v>119948090</v>
      </c>
      <c r="I299" s="208">
        <v>0</v>
      </c>
      <c r="J299" s="208">
        <v>0</v>
      </c>
      <c r="K299" s="208">
        <v>0</v>
      </c>
      <c r="L299" s="208">
        <v>457455</v>
      </c>
      <c r="M299" s="208">
        <v>457455</v>
      </c>
      <c r="N299" s="208">
        <v>586207</v>
      </c>
      <c r="O299" s="208">
        <v>586207</v>
      </c>
      <c r="P299" s="208">
        <v>0</v>
      </c>
      <c r="Q299" s="208">
        <v>0</v>
      </c>
      <c r="R299" s="208">
        <v>0</v>
      </c>
      <c r="S299" s="208">
        <v>0</v>
      </c>
      <c r="T299" s="208">
        <v>0</v>
      </c>
      <c r="U299" s="208">
        <v>0</v>
      </c>
      <c r="V299" s="208">
        <v>0</v>
      </c>
      <c r="W299" s="208">
        <v>0</v>
      </c>
      <c r="X299" s="208">
        <v>0</v>
      </c>
      <c r="Y299" s="208">
        <v>0</v>
      </c>
      <c r="Z299" s="208">
        <v>0</v>
      </c>
      <c r="AA299" s="208">
        <v>0</v>
      </c>
      <c r="AB299" s="208">
        <v>0</v>
      </c>
      <c r="AC299" s="208">
        <v>0</v>
      </c>
      <c r="AD299" s="208">
        <v>0</v>
      </c>
      <c r="AE299" s="208">
        <v>0</v>
      </c>
      <c r="AF299" s="208">
        <v>0</v>
      </c>
      <c r="AG299" s="208">
        <v>6337512</v>
      </c>
      <c r="AH299" s="208">
        <v>3447996</v>
      </c>
      <c r="AI299" s="208">
        <v>0</v>
      </c>
      <c r="AJ299" s="208">
        <v>9785508</v>
      </c>
      <c r="AK299" s="208">
        <v>0</v>
      </c>
      <c r="AL299" s="208">
        <v>4105327</v>
      </c>
      <c r="AM299" s="208">
        <v>2309246</v>
      </c>
      <c r="AN299" s="208">
        <v>0</v>
      </c>
      <c r="AO299" s="208">
        <v>6414573</v>
      </c>
      <c r="AP299" s="208">
        <v>0</v>
      </c>
      <c r="AQ299" s="208">
        <v>-3538579</v>
      </c>
      <c r="AR299" s="208">
        <v>-1990451</v>
      </c>
      <c r="AS299" s="208">
        <v>0</v>
      </c>
      <c r="AT299" s="208">
        <v>-5529030</v>
      </c>
      <c r="AU299" s="208">
        <v>0</v>
      </c>
      <c r="AV299" s="208">
        <v>-1829120</v>
      </c>
      <c r="AW299" s="208">
        <v>-1028880</v>
      </c>
      <c r="AX299" s="208">
        <v>0</v>
      </c>
      <c r="AY299" s="208">
        <v>-2858000</v>
      </c>
      <c r="AZ299" s="208">
        <v>0</v>
      </c>
      <c r="BA299" s="208">
        <v>5699</v>
      </c>
      <c r="BB299" s="208">
        <v>3205</v>
      </c>
      <c r="BC299" s="208">
        <v>0</v>
      </c>
      <c r="BD299" s="208">
        <v>8904</v>
      </c>
      <c r="BE299" s="208">
        <v>0</v>
      </c>
      <c r="BF299" s="208">
        <v>100541</v>
      </c>
      <c r="BG299" s="208">
        <v>56555</v>
      </c>
      <c r="BH299" s="208">
        <v>0</v>
      </c>
      <c r="BI299" s="208">
        <v>157096</v>
      </c>
      <c r="BJ299" s="208">
        <v>0</v>
      </c>
      <c r="BK299" s="208">
        <v>-1722880</v>
      </c>
      <c r="BL299" s="208">
        <v>-969120</v>
      </c>
      <c r="BM299" s="208">
        <v>0</v>
      </c>
      <c r="BN299" s="208">
        <v>-2692000</v>
      </c>
      <c r="BO299" s="208">
        <v>0</v>
      </c>
      <c r="BP299" s="208">
        <v>-3015486</v>
      </c>
      <c r="BQ299" s="208">
        <v>-1696211</v>
      </c>
      <c r="BR299" s="208">
        <v>0</v>
      </c>
      <c r="BS299" s="208">
        <v>-4711697</v>
      </c>
      <c r="BT299" s="208">
        <v>0</v>
      </c>
      <c r="BU299" s="208">
        <v>0</v>
      </c>
      <c r="BV299" s="208">
        <v>0</v>
      </c>
      <c r="BW299" s="208">
        <v>0</v>
      </c>
      <c r="BX299" s="208">
        <v>0</v>
      </c>
      <c r="BY299" s="208">
        <v>0</v>
      </c>
      <c r="BZ299" s="208">
        <v>-3015486</v>
      </c>
      <c r="CA299" s="208">
        <v>-1696211</v>
      </c>
      <c r="CB299" s="208">
        <v>0</v>
      </c>
      <c r="CC299" s="208">
        <v>-4711697</v>
      </c>
      <c r="CD299" s="208">
        <v>0</v>
      </c>
      <c r="CE299" s="208">
        <v>1316926</v>
      </c>
      <c r="CF299" s="208">
        <v>740771</v>
      </c>
      <c r="CG299" s="208">
        <v>0</v>
      </c>
      <c r="CH299" s="208">
        <v>2057697</v>
      </c>
      <c r="CI299" s="208">
        <v>0</v>
      </c>
      <c r="CJ299" s="208">
        <v>0</v>
      </c>
      <c r="CK299" s="208">
        <v>0</v>
      </c>
      <c r="CL299" s="208">
        <v>0</v>
      </c>
      <c r="CM299" s="208">
        <v>0</v>
      </c>
      <c r="CN299" s="208">
        <v>0</v>
      </c>
      <c r="CO299" s="208">
        <v>-289558</v>
      </c>
      <c r="CP299" s="208">
        <v>-162877</v>
      </c>
      <c r="CQ299" s="208">
        <v>0</v>
      </c>
      <c r="CR299" s="208">
        <v>-452435</v>
      </c>
      <c r="CS299" s="208">
        <v>0</v>
      </c>
      <c r="CT299" s="208">
        <v>0</v>
      </c>
      <c r="CU299" s="208">
        <v>0</v>
      </c>
      <c r="CV299" s="208">
        <v>0</v>
      </c>
      <c r="CW299" s="208">
        <v>0</v>
      </c>
      <c r="CX299" s="208">
        <v>0</v>
      </c>
      <c r="CY299" s="208">
        <v>-1988118</v>
      </c>
      <c r="CZ299" s="208">
        <v>-1118317</v>
      </c>
      <c r="DA299" s="208">
        <v>0</v>
      </c>
      <c r="DB299" s="208">
        <v>-3106435</v>
      </c>
      <c r="DC299" s="208">
        <v>0</v>
      </c>
      <c r="DD299" s="208">
        <v>1027368</v>
      </c>
      <c r="DE299" s="208">
        <v>577894</v>
      </c>
      <c r="DF299" s="208">
        <v>0</v>
      </c>
      <c r="DG299" s="208">
        <v>1605262</v>
      </c>
      <c r="DH299" s="208">
        <v>0</v>
      </c>
      <c r="DI299" s="208">
        <v>-3015486</v>
      </c>
      <c r="DJ299" s="208">
        <v>-1696211</v>
      </c>
      <c r="DK299" s="208">
        <v>0</v>
      </c>
      <c r="DL299" s="208">
        <v>-4711697</v>
      </c>
      <c r="DM299" s="208">
        <v>-1300839</v>
      </c>
      <c r="DN299" s="208">
        <v>-1016701</v>
      </c>
      <c r="DO299" s="208">
        <v>-1071463</v>
      </c>
      <c r="DP299" s="208">
        <v>0</v>
      </c>
      <c r="DQ299" s="208">
        <v>-3389003</v>
      </c>
      <c r="DR299" s="208">
        <v>-1796610</v>
      </c>
      <c r="DS299" s="208">
        <v>-1467300</v>
      </c>
      <c r="DT299" s="208">
        <v>-1627090</v>
      </c>
      <c r="DU299" s="208">
        <v>0</v>
      </c>
      <c r="DV299" s="208">
        <v>-4891000</v>
      </c>
      <c r="DW299" s="208">
        <v>495771</v>
      </c>
      <c r="DX299" s="208">
        <v>450599</v>
      </c>
      <c r="DY299" s="208">
        <v>555627</v>
      </c>
      <c r="DZ299" s="208">
        <v>0</v>
      </c>
      <c r="EA299" s="208">
        <v>1501997</v>
      </c>
      <c r="EB299" s="208">
        <v>0</v>
      </c>
      <c r="EC299" s="208">
        <v>75807309</v>
      </c>
      <c r="ED299" s="208">
        <v>42641611</v>
      </c>
      <c r="EE299" s="208">
        <v>0</v>
      </c>
      <c r="EF299" s="208">
        <v>118448920</v>
      </c>
      <c r="EG299" s="208">
        <v>0</v>
      </c>
      <c r="EH299" s="208">
        <v>76766778</v>
      </c>
      <c r="EI299" s="208">
        <v>43181312</v>
      </c>
      <c r="EJ299" s="208">
        <v>0</v>
      </c>
      <c r="EK299" s="208">
        <v>119948090</v>
      </c>
      <c r="EL299" s="208">
        <v>0</v>
      </c>
      <c r="EM299" s="208">
        <v>959469</v>
      </c>
      <c r="EN299" s="208">
        <v>539701</v>
      </c>
      <c r="EO299" s="208">
        <v>0</v>
      </c>
      <c r="EP299" s="208">
        <v>1499170</v>
      </c>
      <c r="EQ299" s="208">
        <v>495771</v>
      </c>
      <c r="ER299" s="208">
        <v>1410068</v>
      </c>
      <c r="ES299" s="208">
        <v>1095328</v>
      </c>
      <c r="ET299" s="208">
        <v>0</v>
      </c>
      <c r="EU299" s="208">
        <v>3001167</v>
      </c>
      <c r="EV299" s="666">
        <v>0</v>
      </c>
      <c r="EW299" s="666">
        <v>0.64</v>
      </c>
      <c r="EX299" s="666">
        <v>0.36</v>
      </c>
      <c r="EY299" s="666">
        <v>0</v>
      </c>
      <c r="EZ299" s="666">
        <v>1</v>
      </c>
      <c r="FA299" s="187" t="s">
        <v>1057</v>
      </c>
      <c r="FC299" s="187">
        <v>0</v>
      </c>
    </row>
    <row r="300" spans="1:159" s="187" customFormat="1" x14ac:dyDescent="0.2">
      <c r="B300" s="429" t="s">
        <v>678</v>
      </c>
      <c r="C300" s="429" t="s">
        <v>677</v>
      </c>
      <c r="D300" s="208">
        <v>49911103</v>
      </c>
      <c r="E300" s="208">
        <v>48912881</v>
      </c>
      <c r="F300" s="208">
        <v>0</v>
      </c>
      <c r="G300" s="208">
        <v>998222</v>
      </c>
      <c r="H300" s="208">
        <v>99822206</v>
      </c>
      <c r="I300" s="208">
        <v>256607</v>
      </c>
      <c r="J300" s="208">
        <v>256607</v>
      </c>
      <c r="K300" s="208">
        <v>49654496</v>
      </c>
      <c r="L300" s="208">
        <v>295535</v>
      </c>
      <c r="M300" s="208">
        <v>295535</v>
      </c>
      <c r="N300" s="208">
        <v>0</v>
      </c>
      <c r="O300" s="208">
        <v>0</v>
      </c>
      <c r="P300" s="208">
        <v>0</v>
      </c>
      <c r="Q300" s="208">
        <v>0</v>
      </c>
      <c r="R300" s="208">
        <v>0</v>
      </c>
      <c r="S300" s="208">
        <v>0</v>
      </c>
      <c r="T300" s="208">
        <v>0</v>
      </c>
      <c r="U300" s="208">
        <v>0</v>
      </c>
      <c r="V300" s="208">
        <v>0</v>
      </c>
      <c r="W300" s="208">
        <v>256606.82916666666</v>
      </c>
      <c r="X300" s="208">
        <v>0</v>
      </c>
      <c r="Y300" s="208">
        <v>0</v>
      </c>
      <c r="Z300" s="208">
        <v>256606.82916666666</v>
      </c>
      <c r="AA300" s="208">
        <v>0</v>
      </c>
      <c r="AB300" s="208">
        <v>0</v>
      </c>
      <c r="AC300" s="208">
        <v>0</v>
      </c>
      <c r="AD300" s="208">
        <v>0</v>
      </c>
      <c r="AE300" s="208">
        <v>0</v>
      </c>
      <c r="AF300" s="208">
        <v>0</v>
      </c>
      <c r="AG300" s="208">
        <v>3635215</v>
      </c>
      <c r="AH300" s="208">
        <v>0</v>
      </c>
      <c r="AI300" s="208">
        <v>73959</v>
      </c>
      <c r="AJ300" s="208">
        <v>3709174</v>
      </c>
      <c r="AK300" s="208">
        <v>4773224</v>
      </c>
      <c r="AL300" s="208">
        <v>4677761</v>
      </c>
      <c r="AM300" s="208">
        <v>0</v>
      </c>
      <c r="AN300" s="208">
        <v>95465</v>
      </c>
      <c r="AO300" s="208">
        <v>9546450</v>
      </c>
      <c r="AP300" s="208">
        <v>-1197204</v>
      </c>
      <c r="AQ300" s="208">
        <v>-1173260</v>
      </c>
      <c r="AR300" s="208">
        <v>0</v>
      </c>
      <c r="AS300" s="208">
        <v>-23944</v>
      </c>
      <c r="AT300" s="208">
        <v>-2394408</v>
      </c>
      <c r="AU300" s="208">
        <v>-1441011</v>
      </c>
      <c r="AV300" s="208">
        <v>-1412191</v>
      </c>
      <c r="AW300" s="208">
        <v>0</v>
      </c>
      <c r="AX300" s="208">
        <v>-28820</v>
      </c>
      <c r="AY300" s="208">
        <v>-2882022</v>
      </c>
      <c r="AZ300" s="208">
        <v>376098</v>
      </c>
      <c r="BA300" s="208">
        <v>368576</v>
      </c>
      <c r="BB300" s="208">
        <v>0</v>
      </c>
      <c r="BC300" s="208">
        <v>7522</v>
      </c>
      <c r="BD300" s="208">
        <v>752196</v>
      </c>
      <c r="BE300" s="208">
        <v>-189289</v>
      </c>
      <c r="BF300" s="208">
        <v>-185504</v>
      </c>
      <c r="BG300" s="208">
        <v>0</v>
      </c>
      <c r="BH300" s="208">
        <v>-3786</v>
      </c>
      <c r="BI300" s="208">
        <v>-378579</v>
      </c>
      <c r="BJ300" s="208">
        <v>-1254202</v>
      </c>
      <c r="BK300" s="208">
        <v>-1229119</v>
      </c>
      <c r="BL300" s="208">
        <v>0</v>
      </c>
      <c r="BM300" s="208">
        <v>-25084</v>
      </c>
      <c r="BN300" s="208">
        <v>-2508405</v>
      </c>
      <c r="BO300" s="208">
        <v>-6041415</v>
      </c>
      <c r="BP300" s="208">
        <v>-5920587</v>
      </c>
      <c r="BQ300" s="208">
        <v>0</v>
      </c>
      <c r="BR300" s="208">
        <v>-120828</v>
      </c>
      <c r="BS300" s="208">
        <v>-12082830</v>
      </c>
      <c r="BT300" s="208">
        <v>-6041415</v>
      </c>
      <c r="BU300" s="208">
        <v>-5920587</v>
      </c>
      <c r="BV300" s="208">
        <v>0</v>
      </c>
      <c r="BW300" s="208">
        <v>-120828</v>
      </c>
      <c r="BX300" s="208">
        <v>-12082830</v>
      </c>
      <c r="BY300" s="208">
        <v>0</v>
      </c>
      <c r="BZ300" s="208">
        <v>0</v>
      </c>
      <c r="CA300" s="208">
        <v>0</v>
      </c>
      <c r="CB300" s="208">
        <v>0</v>
      </c>
      <c r="CC300" s="208">
        <v>0</v>
      </c>
      <c r="CD300" s="208">
        <v>0</v>
      </c>
      <c r="CE300" s="208">
        <v>0</v>
      </c>
      <c r="CF300" s="208">
        <v>0</v>
      </c>
      <c r="CG300" s="208">
        <v>0</v>
      </c>
      <c r="CH300" s="208">
        <v>0</v>
      </c>
      <c r="CI300" s="208">
        <v>0</v>
      </c>
      <c r="CJ300" s="208">
        <v>0</v>
      </c>
      <c r="CK300" s="208">
        <v>0</v>
      </c>
      <c r="CL300" s="208">
        <v>0</v>
      </c>
      <c r="CM300" s="208">
        <v>0</v>
      </c>
      <c r="CN300" s="208">
        <v>-1189423</v>
      </c>
      <c r="CO300" s="208">
        <v>-1165635</v>
      </c>
      <c r="CP300" s="208">
        <v>0</v>
      </c>
      <c r="CQ300" s="208">
        <v>-23788</v>
      </c>
      <c r="CR300" s="208">
        <v>-2378846</v>
      </c>
      <c r="CS300" s="208">
        <v>0</v>
      </c>
      <c r="CT300" s="208">
        <v>0</v>
      </c>
      <c r="CU300" s="208">
        <v>0</v>
      </c>
      <c r="CV300" s="208">
        <v>0</v>
      </c>
      <c r="CW300" s="208">
        <v>0</v>
      </c>
      <c r="CX300" s="208">
        <v>-7230838</v>
      </c>
      <c r="CY300" s="208">
        <v>-7086222</v>
      </c>
      <c r="CZ300" s="208">
        <v>0</v>
      </c>
      <c r="DA300" s="208">
        <v>-144616</v>
      </c>
      <c r="DB300" s="208">
        <v>-14461676</v>
      </c>
      <c r="DC300" s="208">
        <v>-7230838</v>
      </c>
      <c r="DD300" s="208">
        <v>-7086222</v>
      </c>
      <c r="DE300" s="208">
        <v>0</v>
      </c>
      <c r="DF300" s="208">
        <v>-144616</v>
      </c>
      <c r="DG300" s="208">
        <v>-14461676</v>
      </c>
      <c r="DH300" s="208">
        <v>0</v>
      </c>
      <c r="DI300" s="208">
        <v>0</v>
      </c>
      <c r="DJ300" s="208">
        <v>0</v>
      </c>
      <c r="DK300" s="208">
        <v>0</v>
      </c>
      <c r="DL300" s="208">
        <v>0</v>
      </c>
      <c r="DM300" s="208">
        <v>-5253870</v>
      </c>
      <c r="DN300" s="208">
        <v>-5148793</v>
      </c>
      <c r="DO300" s="208">
        <v>0</v>
      </c>
      <c r="DP300" s="208">
        <v>-105078</v>
      </c>
      <c r="DQ300" s="208">
        <v>-10507741</v>
      </c>
      <c r="DR300" s="208">
        <v>-5302222</v>
      </c>
      <c r="DS300" s="208">
        <v>-5196177</v>
      </c>
      <c r="DT300" s="208">
        <v>0</v>
      </c>
      <c r="DU300" s="208">
        <v>-106044</v>
      </c>
      <c r="DV300" s="208">
        <v>-10604443</v>
      </c>
      <c r="DW300" s="208">
        <v>48352</v>
      </c>
      <c r="DX300" s="208">
        <v>47384</v>
      </c>
      <c r="DY300" s="208">
        <v>0</v>
      </c>
      <c r="DZ300" s="208">
        <v>966</v>
      </c>
      <c r="EA300" s="208">
        <v>96702</v>
      </c>
      <c r="EB300" s="208">
        <v>52059246</v>
      </c>
      <c r="EC300" s="208">
        <v>51018061</v>
      </c>
      <c r="ED300" s="208">
        <v>0</v>
      </c>
      <c r="EE300" s="208">
        <v>1041185</v>
      </c>
      <c r="EF300" s="208">
        <v>104118492</v>
      </c>
      <c r="EG300" s="208">
        <v>49911103</v>
      </c>
      <c r="EH300" s="208">
        <v>48912881</v>
      </c>
      <c r="EI300" s="208">
        <v>0</v>
      </c>
      <c r="EJ300" s="208">
        <v>998222</v>
      </c>
      <c r="EK300" s="208">
        <v>99822206</v>
      </c>
      <c r="EL300" s="208">
        <v>-2148143</v>
      </c>
      <c r="EM300" s="208">
        <v>-2105180</v>
      </c>
      <c r="EN300" s="208">
        <v>0</v>
      </c>
      <c r="EO300" s="208">
        <v>-42963</v>
      </c>
      <c r="EP300" s="208">
        <v>-4296286</v>
      </c>
      <c r="EQ300" s="208">
        <v>-2099791</v>
      </c>
      <c r="ER300" s="208">
        <v>-2057796</v>
      </c>
      <c r="ES300" s="208">
        <v>0</v>
      </c>
      <c r="ET300" s="208">
        <v>-41997</v>
      </c>
      <c r="EU300" s="208">
        <v>-4199584</v>
      </c>
      <c r="EV300" s="666">
        <v>0.5</v>
      </c>
      <c r="EW300" s="666">
        <v>0.49</v>
      </c>
      <c r="EX300" s="666">
        <v>0</v>
      </c>
      <c r="EY300" s="666">
        <v>0.01</v>
      </c>
      <c r="EZ300" s="666">
        <v>1</v>
      </c>
      <c r="FA300" s="187" t="s">
        <v>742</v>
      </c>
      <c r="FC300" s="187">
        <v>0</v>
      </c>
    </row>
    <row r="301" spans="1:159" s="187" customFormat="1" x14ac:dyDescent="0.2">
      <c r="B301" s="429" t="s">
        <v>680</v>
      </c>
      <c r="C301" s="429" t="s">
        <v>679</v>
      </c>
      <c r="D301" s="208">
        <v>34526877</v>
      </c>
      <c r="E301" s="208">
        <v>27621501</v>
      </c>
      <c r="F301" s="208">
        <v>6905375</v>
      </c>
      <c r="G301" s="208">
        <v>0</v>
      </c>
      <c r="H301" s="208">
        <v>69053753</v>
      </c>
      <c r="I301" s="208">
        <v>0</v>
      </c>
      <c r="J301" s="208">
        <v>0</v>
      </c>
      <c r="K301" s="208">
        <v>34526877</v>
      </c>
      <c r="L301" s="208">
        <v>212756</v>
      </c>
      <c r="M301" s="208">
        <v>212756</v>
      </c>
      <c r="N301" s="208">
        <v>0</v>
      </c>
      <c r="O301" s="208">
        <v>0</v>
      </c>
      <c r="P301" s="208">
        <v>23242</v>
      </c>
      <c r="Q301" s="208">
        <v>0</v>
      </c>
      <c r="R301" s="208">
        <v>23242</v>
      </c>
      <c r="S301" s="208">
        <v>0</v>
      </c>
      <c r="T301" s="208">
        <v>0</v>
      </c>
      <c r="U301" s="208">
        <v>0</v>
      </c>
      <c r="V301" s="208">
        <v>0</v>
      </c>
      <c r="W301" s="208">
        <v>0</v>
      </c>
      <c r="X301" s="208">
        <v>0</v>
      </c>
      <c r="Y301" s="208">
        <v>0</v>
      </c>
      <c r="Z301" s="208">
        <v>0</v>
      </c>
      <c r="AA301" s="208">
        <v>0</v>
      </c>
      <c r="AB301" s="208">
        <v>0</v>
      </c>
      <c r="AC301" s="208">
        <v>0</v>
      </c>
      <c r="AD301" s="208">
        <v>0</v>
      </c>
      <c r="AE301" s="208">
        <v>0</v>
      </c>
      <c r="AF301" s="208">
        <v>0</v>
      </c>
      <c r="AG301" s="208">
        <v>2414300</v>
      </c>
      <c r="AH301" s="208">
        <v>603442</v>
      </c>
      <c r="AI301" s="208">
        <v>0</v>
      </c>
      <c r="AJ301" s="208">
        <v>3017742</v>
      </c>
      <c r="AK301" s="208">
        <v>988809</v>
      </c>
      <c r="AL301" s="208">
        <v>791047</v>
      </c>
      <c r="AM301" s="208">
        <v>197762</v>
      </c>
      <c r="AN301" s="208">
        <v>0</v>
      </c>
      <c r="AO301" s="208">
        <v>1977618</v>
      </c>
      <c r="AP301" s="208">
        <v>-189877</v>
      </c>
      <c r="AQ301" s="208">
        <v>-151902</v>
      </c>
      <c r="AR301" s="208">
        <v>-37975</v>
      </c>
      <c r="AS301" s="208">
        <v>0</v>
      </c>
      <c r="AT301" s="208">
        <v>-379754</v>
      </c>
      <c r="AU301" s="208">
        <v>-462500</v>
      </c>
      <c r="AV301" s="208">
        <v>-370000</v>
      </c>
      <c r="AW301" s="208">
        <v>-92500</v>
      </c>
      <c r="AX301" s="208">
        <v>0</v>
      </c>
      <c r="AY301" s="208">
        <v>-925000</v>
      </c>
      <c r="AZ301" s="208">
        <v>247599</v>
      </c>
      <c r="BA301" s="208">
        <v>198080</v>
      </c>
      <c r="BB301" s="208">
        <v>49520</v>
      </c>
      <c r="BC301" s="208">
        <v>0</v>
      </c>
      <c r="BD301" s="208">
        <v>495199</v>
      </c>
      <c r="BE301" s="208">
        <v>-185099</v>
      </c>
      <c r="BF301" s="208">
        <v>-148080</v>
      </c>
      <c r="BG301" s="208">
        <v>-37020</v>
      </c>
      <c r="BH301" s="208">
        <v>0</v>
      </c>
      <c r="BI301" s="208">
        <v>-370199</v>
      </c>
      <c r="BJ301" s="208">
        <v>-400000</v>
      </c>
      <c r="BK301" s="208">
        <v>-320000</v>
      </c>
      <c r="BL301" s="208">
        <v>-80000</v>
      </c>
      <c r="BM301" s="208">
        <v>0</v>
      </c>
      <c r="BN301" s="208">
        <v>-800000</v>
      </c>
      <c r="BO301" s="208">
        <v>-4528851</v>
      </c>
      <c r="BP301" s="208">
        <v>-3623080</v>
      </c>
      <c r="BQ301" s="208">
        <v>-905770</v>
      </c>
      <c r="BR301" s="208">
        <v>0</v>
      </c>
      <c r="BS301" s="208">
        <v>-9057701</v>
      </c>
      <c r="BT301" s="208">
        <v>0</v>
      </c>
      <c r="BU301" s="208">
        <v>0</v>
      </c>
      <c r="BV301" s="208">
        <v>0</v>
      </c>
      <c r="BW301" s="208">
        <v>0</v>
      </c>
      <c r="BX301" s="208">
        <v>0</v>
      </c>
      <c r="BY301" s="208">
        <v>-4528851</v>
      </c>
      <c r="BZ301" s="208">
        <v>-3623080</v>
      </c>
      <c r="CA301" s="208">
        <v>-905770</v>
      </c>
      <c r="CB301" s="208">
        <v>0</v>
      </c>
      <c r="CC301" s="208">
        <v>-9057701</v>
      </c>
      <c r="CD301" s="208">
        <v>749547</v>
      </c>
      <c r="CE301" s="208">
        <v>599637</v>
      </c>
      <c r="CF301" s="208">
        <v>149909</v>
      </c>
      <c r="CG301" s="208">
        <v>0</v>
      </c>
      <c r="CH301" s="208">
        <v>1499093</v>
      </c>
      <c r="CI301" s="208">
        <v>509542</v>
      </c>
      <c r="CJ301" s="208">
        <v>407634</v>
      </c>
      <c r="CK301" s="208">
        <v>101909</v>
      </c>
      <c r="CL301" s="208">
        <v>0</v>
      </c>
      <c r="CM301" s="208">
        <v>1019085</v>
      </c>
      <c r="CN301" s="208">
        <v>0</v>
      </c>
      <c r="CO301" s="208">
        <v>0</v>
      </c>
      <c r="CP301" s="208">
        <v>0</v>
      </c>
      <c r="CQ301" s="208">
        <v>0</v>
      </c>
      <c r="CR301" s="208">
        <v>0</v>
      </c>
      <c r="CS301" s="208">
        <v>-2005626</v>
      </c>
      <c r="CT301" s="208">
        <v>-1604500</v>
      </c>
      <c r="CU301" s="208">
        <v>-401125</v>
      </c>
      <c r="CV301" s="208">
        <v>0</v>
      </c>
      <c r="CW301" s="208">
        <v>-4011251</v>
      </c>
      <c r="CX301" s="208">
        <v>-5275388</v>
      </c>
      <c r="CY301" s="208">
        <v>-4220309</v>
      </c>
      <c r="CZ301" s="208">
        <v>-1055077</v>
      </c>
      <c r="DA301" s="208">
        <v>0</v>
      </c>
      <c r="DB301" s="208">
        <v>-10550774</v>
      </c>
      <c r="DC301" s="208">
        <v>749547</v>
      </c>
      <c r="DD301" s="208">
        <v>599637</v>
      </c>
      <c r="DE301" s="208">
        <v>149909</v>
      </c>
      <c r="DF301" s="208">
        <v>0</v>
      </c>
      <c r="DG301" s="208">
        <v>1499093</v>
      </c>
      <c r="DH301" s="208">
        <v>-6024935</v>
      </c>
      <c r="DI301" s="208">
        <v>-4819946</v>
      </c>
      <c r="DJ301" s="208">
        <v>-1204986</v>
      </c>
      <c r="DK301" s="208">
        <v>0</v>
      </c>
      <c r="DL301" s="208">
        <v>-12049867</v>
      </c>
      <c r="DM301" s="208">
        <v>3134360</v>
      </c>
      <c r="DN301" s="208">
        <v>2507488</v>
      </c>
      <c r="DO301" s="208">
        <v>626873</v>
      </c>
      <c r="DP301" s="208">
        <v>0</v>
      </c>
      <c r="DQ301" s="208">
        <v>6268721</v>
      </c>
      <c r="DR301" s="208">
        <v>3148182</v>
      </c>
      <c r="DS301" s="208">
        <v>2518545</v>
      </c>
      <c r="DT301" s="208">
        <v>629636</v>
      </c>
      <c r="DU301" s="208">
        <v>0</v>
      </c>
      <c r="DV301" s="208">
        <v>6296363</v>
      </c>
      <c r="DW301" s="208">
        <v>-13822</v>
      </c>
      <c r="DX301" s="208">
        <v>-11057</v>
      </c>
      <c r="DY301" s="208">
        <v>-2763</v>
      </c>
      <c r="DZ301" s="208">
        <v>0</v>
      </c>
      <c r="EA301" s="208">
        <v>-27642</v>
      </c>
      <c r="EB301" s="208">
        <v>33547500</v>
      </c>
      <c r="EC301" s="208">
        <v>26838000</v>
      </c>
      <c r="ED301" s="208">
        <v>6709500</v>
      </c>
      <c r="EE301" s="208">
        <v>0</v>
      </c>
      <c r="EF301" s="208">
        <v>67095000</v>
      </c>
      <c r="EG301" s="208">
        <v>34526877</v>
      </c>
      <c r="EH301" s="208">
        <v>27621501</v>
      </c>
      <c r="EI301" s="208">
        <v>6905375</v>
      </c>
      <c r="EJ301" s="208">
        <v>0</v>
      </c>
      <c r="EK301" s="208">
        <v>69053753</v>
      </c>
      <c r="EL301" s="208">
        <v>979377</v>
      </c>
      <c r="EM301" s="208">
        <v>783501</v>
      </c>
      <c r="EN301" s="208">
        <v>195875</v>
      </c>
      <c r="EO301" s="208">
        <v>0</v>
      </c>
      <c r="EP301" s="208">
        <v>1958753</v>
      </c>
      <c r="EQ301" s="208">
        <v>965555</v>
      </c>
      <c r="ER301" s="208">
        <v>772444</v>
      </c>
      <c r="ES301" s="208">
        <v>193112</v>
      </c>
      <c r="ET301" s="208">
        <v>0</v>
      </c>
      <c r="EU301" s="208">
        <v>1931111</v>
      </c>
      <c r="EV301" s="666">
        <v>0.5</v>
      </c>
      <c r="EW301" s="666">
        <v>0.4</v>
      </c>
      <c r="EX301" s="666">
        <v>0.1</v>
      </c>
      <c r="EY301" s="666">
        <v>0</v>
      </c>
      <c r="EZ301" s="666">
        <v>1</v>
      </c>
      <c r="FA301" s="187" t="s">
        <v>1054</v>
      </c>
      <c r="FC301" s="187">
        <v>0</v>
      </c>
    </row>
    <row r="302" spans="1:159" s="187" customFormat="1" x14ac:dyDescent="0.2">
      <c r="B302" s="429" t="s">
        <v>682</v>
      </c>
      <c r="C302" s="429" t="s">
        <v>681</v>
      </c>
      <c r="D302" s="208">
        <v>30920276</v>
      </c>
      <c r="E302" s="208">
        <v>24736220</v>
      </c>
      <c r="F302" s="208">
        <v>6184055</v>
      </c>
      <c r="G302" s="208">
        <v>0</v>
      </c>
      <c r="H302" s="208">
        <v>61840551</v>
      </c>
      <c r="I302" s="208">
        <v>0</v>
      </c>
      <c r="J302" s="208">
        <v>0</v>
      </c>
      <c r="K302" s="208">
        <v>30920276</v>
      </c>
      <c r="L302" s="208">
        <v>168509</v>
      </c>
      <c r="M302" s="208">
        <v>168509</v>
      </c>
      <c r="N302" s="208">
        <v>0</v>
      </c>
      <c r="O302" s="208">
        <v>0</v>
      </c>
      <c r="P302" s="208">
        <v>0</v>
      </c>
      <c r="Q302" s="208">
        <v>0</v>
      </c>
      <c r="R302" s="208">
        <v>0</v>
      </c>
      <c r="S302" s="208">
        <v>0</v>
      </c>
      <c r="T302" s="208">
        <v>0</v>
      </c>
      <c r="U302" s="208">
        <v>0</v>
      </c>
      <c r="V302" s="208">
        <v>0</v>
      </c>
      <c r="W302" s="208">
        <v>0</v>
      </c>
      <c r="X302" s="208">
        <v>0</v>
      </c>
      <c r="Y302" s="208">
        <v>0</v>
      </c>
      <c r="Z302" s="208">
        <v>0</v>
      </c>
      <c r="AA302" s="208">
        <v>0</v>
      </c>
      <c r="AB302" s="208">
        <v>0</v>
      </c>
      <c r="AC302" s="208">
        <v>0</v>
      </c>
      <c r="AD302" s="208">
        <v>0</v>
      </c>
      <c r="AE302" s="208">
        <v>0</v>
      </c>
      <c r="AF302" s="208">
        <v>0</v>
      </c>
      <c r="AG302" s="208">
        <v>1551823</v>
      </c>
      <c r="AH302" s="208">
        <v>387954</v>
      </c>
      <c r="AI302" s="208">
        <v>0</v>
      </c>
      <c r="AJ302" s="208">
        <v>1939777</v>
      </c>
      <c r="AK302" s="208">
        <v>1187797</v>
      </c>
      <c r="AL302" s="208">
        <v>950238</v>
      </c>
      <c r="AM302" s="208">
        <v>237560</v>
      </c>
      <c r="AN302" s="208">
        <v>0</v>
      </c>
      <c r="AO302" s="208">
        <v>2375595</v>
      </c>
      <c r="AP302" s="208">
        <v>-1092129</v>
      </c>
      <c r="AQ302" s="208">
        <v>-873704</v>
      </c>
      <c r="AR302" s="208">
        <v>-218426</v>
      </c>
      <c r="AS302" s="208">
        <v>0</v>
      </c>
      <c r="AT302" s="208">
        <v>-2184259</v>
      </c>
      <c r="AU302" s="208">
        <v>-765878.35999999987</v>
      </c>
      <c r="AV302" s="208">
        <v>-612703</v>
      </c>
      <c r="AW302" s="208">
        <v>-153176</v>
      </c>
      <c r="AX302" s="208">
        <v>0</v>
      </c>
      <c r="AY302" s="208">
        <v>-1531757.3599999999</v>
      </c>
      <c r="AZ302" s="208">
        <v>521632</v>
      </c>
      <c r="BA302" s="208">
        <v>417306</v>
      </c>
      <c r="BB302" s="208">
        <v>104326</v>
      </c>
      <c r="BC302" s="208">
        <v>0</v>
      </c>
      <c r="BD302" s="208">
        <v>1043264</v>
      </c>
      <c r="BE302" s="208">
        <v>-846495</v>
      </c>
      <c r="BF302" s="208">
        <v>-677196</v>
      </c>
      <c r="BG302" s="208">
        <v>-169299</v>
      </c>
      <c r="BH302" s="208">
        <v>0</v>
      </c>
      <c r="BI302" s="208">
        <v>-1692990</v>
      </c>
      <c r="BJ302" s="208">
        <v>-1090741.3599999999</v>
      </c>
      <c r="BK302" s="208">
        <v>-872593</v>
      </c>
      <c r="BL302" s="208">
        <v>-218149</v>
      </c>
      <c r="BM302" s="208">
        <v>0</v>
      </c>
      <c r="BN302" s="208">
        <v>-2181483.36</v>
      </c>
      <c r="BO302" s="208">
        <v>-8538325</v>
      </c>
      <c r="BP302" s="208">
        <v>-6830660</v>
      </c>
      <c r="BQ302" s="208">
        <v>-1707665</v>
      </c>
      <c r="BR302" s="208">
        <v>0</v>
      </c>
      <c r="BS302" s="208">
        <v>-17076650</v>
      </c>
      <c r="BT302" s="208">
        <v>-5646828</v>
      </c>
      <c r="BU302" s="208">
        <v>-4517462</v>
      </c>
      <c r="BV302" s="208">
        <v>-1129366</v>
      </c>
      <c r="BW302" s="208">
        <v>0</v>
      </c>
      <c r="BX302" s="208">
        <v>-11293656</v>
      </c>
      <c r="BY302" s="208">
        <v>-2891497</v>
      </c>
      <c r="BZ302" s="208">
        <v>-2313198</v>
      </c>
      <c r="CA302" s="208">
        <v>-578299</v>
      </c>
      <c r="CB302" s="208">
        <v>0</v>
      </c>
      <c r="CC302" s="208">
        <v>-5782994</v>
      </c>
      <c r="CD302" s="208">
        <v>1157648</v>
      </c>
      <c r="CE302" s="208">
        <v>926118</v>
      </c>
      <c r="CF302" s="208">
        <v>231530</v>
      </c>
      <c r="CG302" s="208">
        <v>0</v>
      </c>
      <c r="CH302" s="208">
        <v>2315296</v>
      </c>
      <c r="CI302" s="208">
        <v>297153</v>
      </c>
      <c r="CJ302" s="208">
        <v>237722</v>
      </c>
      <c r="CK302" s="208">
        <v>59431</v>
      </c>
      <c r="CL302" s="208">
        <v>0</v>
      </c>
      <c r="CM302" s="208">
        <v>594306</v>
      </c>
      <c r="CN302" s="208">
        <v>-63053</v>
      </c>
      <c r="CO302" s="208">
        <v>-50443</v>
      </c>
      <c r="CP302" s="208">
        <v>-12611</v>
      </c>
      <c r="CQ302" s="208">
        <v>0</v>
      </c>
      <c r="CR302" s="208">
        <v>-126107</v>
      </c>
      <c r="CS302" s="208">
        <v>-36439</v>
      </c>
      <c r="CT302" s="208">
        <v>-29151</v>
      </c>
      <c r="CU302" s="208">
        <v>-7288</v>
      </c>
      <c r="CV302" s="208">
        <v>0</v>
      </c>
      <c r="CW302" s="208">
        <v>-72878</v>
      </c>
      <c r="CX302" s="208">
        <v>-7183016</v>
      </c>
      <c r="CY302" s="208">
        <v>-5746414</v>
      </c>
      <c r="CZ302" s="208">
        <v>-1436603</v>
      </c>
      <c r="DA302" s="208">
        <v>0</v>
      </c>
      <c r="DB302" s="208">
        <v>-14366033</v>
      </c>
      <c r="DC302" s="208">
        <v>-4552233</v>
      </c>
      <c r="DD302" s="208">
        <v>-3641787</v>
      </c>
      <c r="DE302" s="208">
        <v>-910447</v>
      </c>
      <c r="DF302" s="208">
        <v>0</v>
      </c>
      <c r="DG302" s="208">
        <v>-9104467</v>
      </c>
      <c r="DH302" s="208">
        <v>-2630783</v>
      </c>
      <c r="DI302" s="208">
        <v>-2104627</v>
      </c>
      <c r="DJ302" s="208">
        <v>-526156</v>
      </c>
      <c r="DK302" s="208">
        <v>0</v>
      </c>
      <c r="DL302" s="208">
        <v>-5261566</v>
      </c>
      <c r="DM302" s="208">
        <v>1424057.3000000007</v>
      </c>
      <c r="DN302" s="208">
        <v>1139247</v>
      </c>
      <c r="DO302" s="208">
        <v>284811</v>
      </c>
      <c r="DP302" s="208">
        <v>0</v>
      </c>
      <c r="DQ302" s="208">
        <v>2848115.3000000007</v>
      </c>
      <c r="DR302" s="208">
        <v>4228087</v>
      </c>
      <c r="DS302" s="208">
        <v>3382470</v>
      </c>
      <c r="DT302" s="208">
        <v>845618</v>
      </c>
      <c r="DU302" s="208">
        <v>0</v>
      </c>
      <c r="DV302" s="208">
        <v>8456175</v>
      </c>
      <c r="DW302" s="208">
        <v>-2804029.6999999993</v>
      </c>
      <c r="DX302" s="208">
        <v>-2243223</v>
      </c>
      <c r="DY302" s="208">
        <v>-560807</v>
      </c>
      <c r="DZ302" s="208">
        <v>0</v>
      </c>
      <c r="EA302" s="208">
        <v>-5608059.6999999993</v>
      </c>
      <c r="EB302" s="208">
        <v>31094652</v>
      </c>
      <c r="EC302" s="208">
        <v>24875722</v>
      </c>
      <c r="ED302" s="208">
        <v>6218931</v>
      </c>
      <c r="EE302" s="208">
        <v>0</v>
      </c>
      <c r="EF302" s="208">
        <v>62189305</v>
      </c>
      <c r="EG302" s="208">
        <v>30920276</v>
      </c>
      <c r="EH302" s="208">
        <v>24736220</v>
      </c>
      <c r="EI302" s="208">
        <v>6184055</v>
      </c>
      <c r="EJ302" s="208">
        <v>0</v>
      </c>
      <c r="EK302" s="208">
        <v>61840551</v>
      </c>
      <c r="EL302" s="208">
        <v>-174376</v>
      </c>
      <c r="EM302" s="208">
        <v>-139502</v>
      </c>
      <c r="EN302" s="208">
        <v>-34876</v>
      </c>
      <c r="EO302" s="208">
        <v>0</v>
      </c>
      <c r="EP302" s="208">
        <v>-348754</v>
      </c>
      <c r="EQ302" s="208">
        <v>-2978405.6999999993</v>
      </c>
      <c r="ER302" s="208">
        <v>-2382725</v>
      </c>
      <c r="ES302" s="208">
        <v>-595683</v>
      </c>
      <c r="ET302" s="208">
        <v>0</v>
      </c>
      <c r="EU302" s="208">
        <v>-5956813.6999999993</v>
      </c>
      <c r="EV302" s="666">
        <v>0.5</v>
      </c>
      <c r="EW302" s="666">
        <v>0.4</v>
      </c>
      <c r="EX302" s="666">
        <v>0.1</v>
      </c>
      <c r="EY302" s="666">
        <v>0</v>
      </c>
      <c r="EZ302" s="666">
        <v>1</v>
      </c>
      <c r="FA302" s="187" t="s">
        <v>1054</v>
      </c>
      <c r="FC302" s="187">
        <v>0</v>
      </c>
    </row>
    <row r="303" spans="1:159" s="187" customFormat="1" x14ac:dyDescent="0.2">
      <c r="B303" s="429" t="s">
        <v>684</v>
      </c>
      <c r="C303" s="429" t="s">
        <v>683</v>
      </c>
      <c r="D303" s="208">
        <v>0</v>
      </c>
      <c r="E303" s="208">
        <v>23010221</v>
      </c>
      <c r="F303" s="208">
        <v>5752555</v>
      </c>
      <c r="G303" s="208">
        <v>0</v>
      </c>
      <c r="H303" s="208">
        <v>28762776</v>
      </c>
      <c r="I303" s="208">
        <v>0</v>
      </c>
      <c r="J303" s="208">
        <v>0</v>
      </c>
      <c r="K303" s="208">
        <v>0</v>
      </c>
      <c r="L303" s="208">
        <v>199632</v>
      </c>
      <c r="M303" s="208">
        <v>199632</v>
      </c>
      <c r="N303" s="208">
        <v>253457</v>
      </c>
      <c r="O303" s="208">
        <v>253457</v>
      </c>
      <c r="P303" s="208">
        <v>394491</v>
      </c>
      <c r="Q303" s="208">
        <v>0</v>
      </c>
      <c r="R303" s="208">
        <v>394491</v>
      </c>
      <c r="S303" s="208">
        <v>0</v>
      </c>
      <c r="T303" s="208">
        <v>0</v>
      </c>
      <c r="U303" s="208">
        <v>0</v>
      </c>
      <c r="V303" s="208">
        <v>0</v>
      </c>
      <c r="W303" s="208">
        <v>0</v>
      </c>
      <c r="X303" s="208">
        <v>0</v>
      </c>
      <c r="Y303" s="208">
        <v>0</v>
      </c>
      <c r="Z303" s="208">
        <v>0</v>
      </c>
      <c r="AA303" s="208">
        <v>0</v>
      </c>
      <c r="AB303" s="208">
        <v>0</v>
      </c>
      <c r="AC303" s="208">
        <v>0</v>
      </c>
      <c r="AD303" s="208">
        <v>0</v>
      </c>
      <c r="AE303" s="208">
        <v>0</v>
      </c>
      <c r="AF303" s="208">
        <v>0</v>
      </c>
      <c r="AG303" s="208">
        <v>3641469</v>
      </c>
      <c r="AH303" s="208">
        <v>856297</v>
      </c>
      <c r="AI303" s="208">
        <v>0</v>
      </c>
      <c r="AJ303" s="208">
        <v>4497766</v>
      </c>
      <c r="AK303" s="208">
        <v>0</v>
      </c>
      <c r="AL303" s="208">
        <v>1630518</v>
      </c>
      <c r="AM303" s="208">
        <v>407630</v>
      </c>
      <c r="AN303" s="208">
        <v>0</v>
      </c>
      <c r="AO303" s="208">
        <v>2038148</v>
      </c>
      <c r="AP303" s="208">
        <v>0</v>
      </c>
      <c r="AQ303" s="208">
        <v>-394966</v>
      </c>
      <c r="AR303" s="208">
        <v>-98742</v>
      </c>
      <c r="AS303" s="208">
        <v>0</v>
      </c>
      <c r="AT303" s="208">
        <v>-493708</v>
      </c>
      <c r="AU303" s="208">
        <v>0</v>
      </c>
      <c r="AV303" s="208">
        <v>-982335</v>
      </c>
      <c r="AW303" s="208">
        <v>-245584</v>
      </c>
      <c r="AX303" s="208">
        <v>0</v>
      </c>
      <c r="AY303" s="208">
        <v>-1227919</v>
      </c>
      <c r="AZ303" s="208">
        <v>0</v>
      </c>
      <c r="BA303" s="208">
        <v>103451</v>
      </c>
      <c r="BB303" s="208">
        <v>25863</v>
      </c>
      <c r="BC303" s="208">
        <v>0</v>
      </c>
      <c r="BD303" s="208">
        <v>129314</v>
      </c>
      <c r="BE303" s="208">
        <v>0</v>
      </c>
      <c r="BF303" s="208">
        <v>-222494</v>
      </c>
      <c r="BG303" s="208">
        <v>-55624</v>
      </c>
      <c r="BH303" s="208">
        <v>0</v>
      </c>
      <c r="BI303" s="208">
        <v>-278118</v>
      </c>
      <c r="BJ303" s="208">
        <v>0</v>
      </c>
      <c r="BK303" s="208">
        <v>-1101378</v>
      </c>
      <c r="BL303" s="208">
        <v>-275345</v>
      </c>
      <c r="BM303" s="208">
        <v>0</v>
      </c>
      <c r="BN303" s="208">
        <v>-1376723</v>
      </c>
      <c r="BO303" s="208">
        <v>0</v>
      </c>
      <c r="BP303" s="208">
        <v>-3120942</v>
      </c>
      <c r="BQ303" s="208">
        <v>-780235</v>
      </c>
      <c r="BR303" s="208">
        <v>0</v>
      </c>
      <c r="BS303" s="208">
        <v>-3901177</v>
      </c>
      <c r="BT303" s="208">
        <v>0</v>
      </c>
      <c r="BU303" s="208">
        <v>-2176369</v>
      </c>
      <c r="BV303" s="208">
        <v>-544092</v>
      </c>
      <c r="BW303" s="208">
        <v>0</v>
      </c>
      <c r="BX303" s="208">
        <v>-2720461</v>
      </c>
      <c r="BY303" s="208">
        <v>0</v>
      </c>
      <c r="BZ303" s="208">
        <v>-944573</v>
      </c>
      <c r="CA303" s="208">
        <v>-236143</v>
      </c>
      <c r="CB303" s="208">
        <v>0</v>
      </c>
      <c r="CC303" s="208">
        <v>-1180716</v>
      </c>
      <c r="CD303" s="208">
        <v>0</v>
      </c>
      <c r="CE303" s="208">
        <v>256973</v>
      </c>
      <c r="CF303" s="208">
        <v>64243</v>
      </c>
      <c r="CG303" s="208">
        <v>0</v>
      </c>
      <c r="CH303" s="208">
        <v>321216</v>
      </c>
      <c r="CI303" s="208">
        <v>0</v>
      </c>
      <c r="CJ303" s="208">
        <v>0</v>
      </c>
      <c r="CK303" s="208">
        <v>0</v>
      </c>
      <c r="CL303" s="208">
        <v>0</v>
      </c>
      <c r="CM303" s="208">
        <v>0</v>
      </c>
      <c r="CN303" s="208">
        <v>0</v>
      </c>
      <c r="CO303" s="208">
        <v>235358</v>
      </c>
      <c r="CP303" s="208">
        <v>58840</v>
      </c>
      <c r="CQ303" s="208">
        <v>0</v>
      </c>
      <c r="CR303" s="208">
        <v>294198</v>
      </c>
      <c r="CS303" s="208">
        <v>0</v>
      </c>
      <c r="CT303" s="208">
        <v>641342</v>
      </c>
      <c r="CU303" s="208">
        <v>160335</v>
      </c>
      <c r="CV303" s="208">
        <v>0</v>
      </c>
      <c r="CW303" s="208">
        <v>801677</v>
      </c>
      <c r="CX303" s="208">
        <v>0</v>
      </c>
      <c r="CY303" s="208">
        <v>-1987269</v>
      </c>
      <c r="CZ303" s="208">
        <v>-496817</v>
      </c>
      <c r="DA303" s="208">
        <v>0</v>
      </c>
      <c r="DB303" s="208">
        <v>-2484086</v>
      </c>
      <c r="DC303" s="208">
        <v>0</v>
      </c>
      <c r="DD303" s="208">
        <v>-1684038</v>
      </c>
      <c r="DE303" s="208">
        <v>-421009</v>
      </c>
      <c r="DF303" s="208">
        <v>0</v>
      </c>
      <c r="DG303" s="208">
        <v>-2105047</v>
      </c>
      <c r="DH303" s="208">
        <v>0</v>
      </c>
      <c r="DI303" s="208">
        <v>-303231</v>
      </c>
      <c r="DJ303" s="208">
        <v>-75808</v>
      </c>
      <c r="DK303" s="208">
        <v>0</v>
      </c>
      <c r="DL303" s="208">
        <v>-379039</v>
      </c>
      <c r="DM303" s="208">
        <v>-739400</v>
      </c>
      <c r="DN303" s="208">
        <v>-591519</v>
      </c>
      <c r="DO303" s="208">
        <v>-147879</v>
      </c>
      <c r="DP303" s="208">
        <v>0</v>
      </c>
      <c r="DQ303" s="208">
        <v>-1478798</v>
      </c>
      <c r="DR303" s="208">
        <v>20689</v>
      </c>
      <c r="DS303" s="208">
        <v>16551</v>
      </c>
      <c r="DT303" s="208">
        <v>4138</v>
      </c>
      <c r="DU303" s="208">
        <v>0</v>
      </c>
      <c r="DV303" s="208">
        <v>41378</v>
      </c>
      <c r="DW303" s="208">
        <v>-760089</v>
      </c>
      <c r="DX303" s="208">
        <v>-608070</v>
      </c>
      <c r="DY303" s="208">
        <v>-152017</v>
      </c>
      <c r="DZ303" s="208">
        <v>0</v>
      </c>
      <c r="EA303" s="208">
        <v>-1520176</v>
      </c>
      <c r="EB303" s="208">
        <v>0</v>
      </c>
      <c r="EC303" s="208">
        <v>21443898</v>
      </c>
      <c r="ED303" s="208">
        <v>5360974</v>
      </c>
      <c r="EE303" s="208">
        <v>0</v>
      </c>
      <c r="EF303" s="208">
        <v>26804872</v>
      </c>
      <c r="EG303" s="208">
        <v>0</v>
      </c>
      <c r="EH303" s="208">
        <v>23010221</v>
      </c>
      <c r="EI303" s="208">
        <v>5752555</v>
      </c>
      <c r="EJ303" s="208">
        <v>0</v>
      </c>
      <c r="EK303" s="208">
        <v>28762776</v>
      </c>
      <c r="EL303" s="208">
        <v>0</v>
      </c>
      <c r="EM303" s="208">
        <v>1566323</v>
      </c>
      <c r="EN303" s="208">
        <v>391581</v>
      </c>
      <c r="EO303" s="208">
        <v>0</v>
      </c>
      <c r="EP303" s="208">
        <v>1957904</v>
      </c>
      <c r="EQ303" s="208">
        <v>-760089</v>
      </c>
      <c r="ER303" s="208">
        <v>958253</v>
      </c>
      <c r="ES303" s="208">
        <v>239564</v>
      </c>
      <c r="ET303" s="208">
        <v>0</v>
      </c>
      <c r="EU303" s="208">
        <v>437728</v>
      </c>
      <c r="EV303" s="666">
        <v>0</v>
      </c>
      <c r="EW303" s="666">
        <v>0.8</v>
      </c>
      <c r="EX303" s="666">
        <v>0.2</v>
      </c>
      <c r="EY303" s="666">
        <v>0</v>
      </c>
      <c r="EZ303" s="666">
        <v>1</v>
      </c>
      <c r="FA303" s="187" t="s">
        <v>1054</v>
      </c>
      <c r="FC303" s="187">
        <v>0</v>
      </c>
    </row>
    <row r="304" spans="1:159" s="187" customFormat="1" x14ac:dyDescent="0.2">
      <c r="B304" s="429" t="s">
        <v>686</v>
      </c>
      <c r="C304" s="429" t="s">
        <v>685</v>
      </c>
      <c r="D304" s="208">
        <v>4.9999997019767761E-2</v>
      </c>
      <c r="E304" s="208">
        <v>12059385</v>
      </c>
      <c r="F304" s="208">
        <v>28138564</v>
      </c>
      <c r="G304" s="208">
        <v>0</v>
      </c>
      <c r="H304" s="208">
        <v>40197949.049999997</v>
      </c>
      <c r="I304" s="208">
        <v>0</v>
      </c>
      <c r="J304" s="208">
        <v>0</v>
      </c>
      <c r="K304" s="208">
        <v>4.9999997019767761E-2</v>
      </c>
      <c r="L304" s="208">
        <v>177573</v>
      </c>
      <c r="M304" s="208">
        <v>177573</v>
      </c>
      <c r="N304" s="208">
        <v>0</v>
      </c>
      <c r="O304" s="208">
        <v>0</v>
      </c>
      <c r="P304" s="208">
        <v>0</v>
      </c>
      <c r="Q304" s="208">
        <v>0</v>
      </c>
      <c r="R304" s="208">
        <v>0</v>
      </c>
      <c r="S304" s="208">
        <v>0</v>
      </c>
      <c r="T304" s="208">
        <v>0</v>
      </c>
      <c r="U304" s="208">
        <v>0</v>
      </c>
      <c r="V304" s="208">
        <v>0</v>
      </c>
      <c r="W304" s="208">
        <v>0</v>
      </c>
      <c r="X304" s="208">
        <v>0</v>
      </c>
      <c r="Y304" s="208">
        <v>0</v>
      </c>
      <c r="Z304" s="208">
        <v>0</v>
      </c>
      <c r="AA304" s="208">
        <v>0</v>
      </c>
      <c r="AB304" s="208">
        <v>0</v>
      </c>
      <c r="AC304" s="208">
        <v>0</v>
      </c>
      <c r="AD304" s="208">
        <v>0</v>
      </c>
      <c r="AE304" s="208">
        <v>0</v>
      </c>
      <c r="AF304" s="208">
        <v>0</v>
      </c>
      <c r="AG304" s="208">
        <v>1336880</v>
      </c>
      <c r="AH304" s="208">
        <v>3119385</v>
      </c>
      <c r="AI304" s="208">
        <v>0</v>
      </c>
      <c r="AJ304" s="208">
        <v>4456265</v>
      </c>
      <c r="AK304" s="208">
        <v>0</v>
      </c>
      <c r="AL304" s="208">
        <v>724431</v>
      </c>
      <c r="AM304" s="208">
        <v>1690338</v>
      </c>
      <c r="AN304" s="208">
        <v>0</v>
      </c>
      <c r="AO304" s="208">
        <v>2414769</v>
      </c>
      <c r="AP304" s="208">
        <v>0</v>
      </c>
      <c r="AQ304" s="208">
        <v>-264611</v>
      </c>
      <c r="AR304" s="208">
        <v>-617427</v>
      </c>
      <c r="AS304" s="208">
        <v>0</v>
      </c>
      <c r="AT304" s="208">
        <v>-882038</v>
      </c>
      <c r="AU304" s="208">
        <v>0</v>
      </c>
      <c r="AV304" s="208">
        <v>-138000</v>
      </c>
      <c r="AW304" s="208">
        <v>-322000</v>
      </c>
      <c r="AX304" s="208">
        <v>0</v>
      </c>
      <c r="AY304" s="208">
        <v>-460000</v>
      </c>
      <c r="AZ304" s="208">
        <v>-4.9999999999954525E-2</v>
      </c>
      <c r="BA304" s="208">
        <v>-508</v>
      </c>
      <c r="BB304" s="208">
        <v>-1185</v>
      </c>
      <c r="BC304" s="208">
        <v>0</v>
      </c>
      <c r="BD304" s="208">
        <v>-1693.05</v>
      </c>
      <c r="BE304" s="208">
        <v>4.9999999988358468E-2</v>
      </c>
      <c r="BF304" s="208">
        <v>-41492</v>
      </c>
      <c r="BG304" s="208">
        <v>-96815</v>
      </c>
      <c r="BH304" s="208">
        <v>0</v>
      </c>
      <c r="BI304" s="208">
        <v>-138306.95000000001</v>
      </c>
      <c r="BJ304" s="208">
        <v>-1.1596057447604835E-11</v>
      </c>
      <c r="BK304" s="208">
        <v>-180000</v>
      </c>
      <c r="BL304" s="208">
        <v>-420000</v>
      </c>
      <c r="BM304" s="208">
        <v>0</v>
      </c>
      <c r="BN304" s="208">
        <v>-600000</v>
      </c>
      <c r="BO304" s="208">
        <v>0</v>
      </c>
      <c r="BP304" s="208">
        <v>-1642200</v>
      </c>
      <c r="BQ304" s="208">
        <v>-3831800</v>
      </c>
      <c r="BR304" s="208">
        <v>0</v>
      </c>
      <c r="BS304" s="208">
        <v>-5474000</v>
      </c>
      <c r="BT304" s="208">
        <v>0</v>
      </c>
      <c r="BU304" s="208">
        <v>-834544</v>
      </c>
      <c r="BV304" s="208">
        <v>-1947268</v>
      </c>
      <c r="BW304" s="208">
        <v>0</v>
      </c>
      <c r="BX304" s="208">
        <v>-2781812</v>
      </c>
      <c r="BY304" s="208">
        <v>0</v>
      </c>
      <c r="BZ304" s="208">
        <v>-807656</v>
      </c>
      <c r="CA304" s="208">
        <v>-1884532</v>
      </c>
      <c r="CB304" s="208">
        <v>0</v>
      </c>
      <c r="CC304" s="208">
        <v>-2692188</v>
      </c>
      <c r="CD304" s="208">
        <v>0</v>
      </c>
      <c r="CE304" s="208">
        <v>65222</v>
      </c>
      <c r="CF304" s="208">
        <v>152186</v>
      </c>
      <c r="CG304" s="208">
        <v>0</v>
      </c>
      <c r="CH304" s="208">
        <v>217408</v>
      </c>
      <c r="CI304" s="208">
        <v>0</v>
      </c>
      <c r="CJ304" s="208">
        <v>0</v>
      </c>
      <c r="CK304" s="208">
        <v>0</v>
      </c>
      <c r="CL304" s="208">
        <v>0</v>
      </c>
      <c r="CM304" s="208">
        <v>0</v>
      </c>
      <c r="CN304" s="208">
        <v>0</v>
      </c>
      <c r="CO304" s="208">
        <v>196921</v>
      </c>
      <c r="CP304" s="208">
        <v>459483</v>
      </c>
      <c r="CQ304" s="208">
        <v>0</v>
      </c>
      <c r="CR304" s="208">
        <v>656404</v>
      </c>
      <c r="CS304" s="208">
        <v>0</v>
      </c>
      <c r="CT304" s="208">
        <v>203456</v>
      </c>
      <c r="CU304" s="208">
        <v>474732</v>
      </c>
      <c r="CV304" s="208">
        <v>0</v>
      </c>
      <c r="CW304" s="208">
        <v>678188</v>
      </c>
      <c r="CX304" s="208">
        <v>0</v>
      </c>
      <c r="CY304" s="208">
        <v>-1176601</v>
      </c>
      <c r="CZ304" s="208">
        <v>-2745399</v>
      </c>
      <c r="DA304" s="208">
        <v>0</v>
      </c>
      <c r="DB304" s="208">
        <v>-3922000</v>
      </c>
      <c r="DC304" s="208">
        <v>0</v>
      </c>
      <c r="DD304" s="208">
        <v>-572401</v>
      </c>
      <c r="DE304" s="208">
        <v>-1335599</v>
      </c>
      <c r="DF304" s="208">
        <v>0</v>
      </c>
      <c r="DG304" s="208">
        <v>-1908000</v>
      </c>
      <c r="DH304" s="208">
        <v>0</v>
      </c>
      <c r="DI304" s="208">
        <v>-604200</v>
      </c>
      <c r="DJ304" s="208">
        <v>-1409800</v>
      </c>
      <c r="DK304" s="208">
        <v>0</v>
      </c>
      <c r="DL304" s="208">
        <v>-2014000</v>
      </c>
      <c r="DM304" s="208">
        <v>-1508761</v>
      </c>
      <c r="DN304" s="208">
        <v>-1207007</v>
      </c>
      <c r="DO304" s="208">
        <v>-301752</v>
      </c>
      <c r="DP304" s="208">
        <v>0</v>
      </c>
      <c r="DQ304" s="208">
        <v>-3017520</v>
      </c>
      <c r="DR304" s="208">
        <v>-956915</v>
      </c>
      <c r="DS304" s="208">
        <v>-765532</v>
      </c>
      <c r="DT304" s="208">
        <v>-191383</v>
      </c>
      <c r="DU304" s="208">
        <v>0</v>
      </c>
      <c r="DV304" s="208">
        <v>-1913830</v>
      </c>
      <c r="DW304" s="208">
        <v>-551846</v>
      </c>
      <c r="DX304" s="208">
        <v>-441475</v>
      </c>
      <c r="DY304" s="208">
        <v>-110369</v>
      </c>
      <c r="DZ304" s="208">
        <v>0</v>
      </c>
      <c r="EA304" s="208">
        <v>-1103690</v>
      </c>
      <c r="EB304" s="208">
        <v>0</v>
      </c>
      <c r="EC304" s="208">
        <v>11570930</v>
      </c>
      <c r="ED304" s="208">
        <v>26998837</v>
      </c>
      <c r="EE304" s="208">
        <v>0</v>
      </c>
      <c r="EF304" s="208">
        <v>38569767</v>
      </c>
      <c r="EG304" s="208">
        <v>0</v>
      </c>
      <c r="EH304" s="208">
        <v>12059385.049999997</v>
      </c>
      <c r="EI304" s="208">
        <v>28138564</v>
      </c>
      <c r="EJ304" s="208">
        <v>0</v>
      </c>
      <c r="EK304" s="208">
        <v>40197949.049999997</v>
      </c>
      <c r="EL304" s="208">
        <v>0</v>
      </c>
      <c r="EM304" s="208">
        <v>488455.04999999702</v>
      </c>
      <c r="EN304" s="208">
        <v>1139727</v>
      </c>
      <c r="EO304" s="208">
        <v>0</v>
      </c>
      <c r="EP304" s="208">
        <v>1628182.049999997</v>
      </c>
      <c r="EQ304" s="208">
        <v>-551846</v>
      </c>
      <c r="ER304" s="208">
        <v>46980.04999999702</v>
      </c>
      <c r="ES304" s="208">
        <v>1029358</v>
      </c>
      <c r="ET304" s="208">
        <v>0</v>
      </c>
      <c r="EU304" s="208">
        <v>524492.04999999702</v>
      </c>
      <c r="EV304" s="666">
        <v>0</v>
      </c>
      <c r="EW304" s="666">
        <v>0.3</v>
      </c>
      <c r="EX304" s="666">
        <v>0.7</v>
      </c>
      <c r="EY304" s="666">
        <v>0</v>
      </c>
      <c r="EZ304" s="666">
        <v>1</v>
      </c>
      <c r="FA304" s="187" t="s">
        <v>1054</v>
      </c>
      <c r="FC304" s="187">
        <v>0</v>
      </c>
    </row>
    <row r="305" spans="2:159" s="187" customFormat="1" x14ac:dyDescent="0.2">
      <c r="B305" s="429" t="s">
        <v>688</v>
      </c>
      <c r="C305" s="429" t="s">
        <v>687</v>
      </c>
      <c r="D305" s="208">
        <v>15250448</v>
      </c>
      <c r="E305" s="208">
        <v>12200358</v>
      </c>
      <c r="F305" s="208">
        <v>2745081</v>
      </c>
      <c r="G305" s="208">
        <v>305009</v>
      </c>
      <c r="H305" s="208">
        <v>30500896</v>
      </c>
      <c r="I305" s="208">
        <v>0</v>
      </c>
      <c r="J305" s="208">
        <v>0</v>
      </c>
      <c r="K305" s="208">
        <v>15250448</v>
      </c>
      <c r="L305" s="208">
        <v>219003</v>
      </c>
      <c r="M305" s="208">
        <v>219003</v>
      </c>
      <c r="N305" s="208">
        <v>0</v>
      </c>
      <c r="O305" s="208">
        <v>0</v>
      </c>
      <c r="P305" s="208">
        <v>219252</v>
      </c>
      <c r="Q305" s="208">
        <v>0</v>
      </c>
      <c r="R305" s="208">
        <v>219252</v>
      </c>
      <c r="S305" s="208">
        <v>0</v>
      </c>
      <c r="T305" s="208">
        <v>0</v>
      </c>
      <c r="U305" s="208">
        <v>0</v>
      </c>
      <c r="V305" s="208">
        <v>0</v>
      </c>
      <c r="W305" s="208">
        <v>0</v>
      </c>
      <c r="X305" s="208">
        <v>0</v>
      </c>
      <c r="Y305" s="208">
        <v>0</v>
      </c>
      <c r="Z305" s="208">
        <v>0</v>
      </c>
      <c r="AA305" s="208">
        <v>0</v>
      </c>
      <c r="AB305" s="208">
        <v>0</v>
      </c>
      <c r="AC305" s="208">
        <v>0</v>
      </c>
      <c r="AD305" s="208">
        <v>0</v>
      </c>
      <c r="AE305" s="208">
        <v>0</v>
      </c>
      <c r="AF305" s="208">
        <v>0</v>
      </c>
      <c r="AG305" s="208">
        <v>2909851</v>
      </c>
      <c r="AH305" s="208">
        <v>653587</v>
      </c>
      <c r="AI305" s="208">
        <v>72621</v>
      </c>
      <c r="AJ305" s="208">
        <v>3636059</v>
      </c>
      <c r="AK305" s="208">
        <v>608277</v>
      </c>
      <c r="AL305" s="208">
        <v>486622</v>
      </c>
      <c r="AM305" s="208">
        <v>109490</v>
      </c>
      <c r="AN305" s="208">
        <v>12166</v>
      </c>
      <c r="AO305" s="208">
        <v>1216555</v>
      </c>
      <c r="AP305" s="208">
        <v>-269335</v>
      </c>
      <c r="AQ305" s="208">
        <v>-215468</v>
      </c>
      <c r="AR305" s="208">
        <v>-48480</v>
      </c>
      <c r="AS305" s="208">
        <v>-5387</v>
      </c>
      <c r="AT305" s="208">
        <v>-538670</v>
      </c>
      <c r="AU305" s="208">
        <v>-277609</v>
      </c>
      <c r="AV305" s="208">
        <v>-222088</v>
      </c>
      <c r="AW305" s="208">
        <v>-49970</v>
      </c>
      <c r="AX305" s="208">
        <v>-5552</v>
      </c>
      <c r="AY305" s="208">
        <v>-555219</v>
      </c>
      <c r="AZ305" s="208">
        <v>72761</v>
      </c>
      <c r="BA305" s="208">
        <v>58208</v>
      </c>
      <c r="BB305" s="208">
        <v>13097</v>
      </c>
      <c r="BC305" s="208">
        <v>1455</v>
      </c>
      <c r="BD305" s="208">
        <v>145521</v>
      </c>
      <c r="BE305" s="208">
        <v>-91040</v>
      </c>
      <c r="BF305" s="208">
        <v>-72832</v>
      </c>
      <c r="BG305" s="208">
        <v>-16387</v>
      </c>
      <c r="BH305" s="208">
        <v>-1821</v>
      </c>
      <c r="BI305" s="208">
        <v>-182080</v>
      </c>
      <c r="BJ305" s="208">
        <v>-295888</v>
      </c>
      <c r="BK305" s="208">
        <v>-236712</v>
      </c>
      <c r="BL305" s="208">
        <v>-53260</v>
      </c>
      <c r="BM305" s="208">
        <v>-5918</v>
      </c>
      <c r="BN305" s="208">
        <v>-591778</v>
      </c>
      <c r="BO305" s="208">
        <v>-1768825</v>
      </c>
      <c r="BP305" s="208">
        <v>-1415060</v>
      </c>
      <c r="BQ305" s="208">
        <v>-318388</v>
      </c>
      <c r="BR305" s="208">
        <v>-35376</v>
      </c>
      <c r="BS305" s="208">
        <v>-3537649</v>
      </c>
      <c r="BT305" s="208">
        <v>-274000</v>
      </c>
      <c r="BU305" s="208">
        <v>-219200</v>
      </c>
      <c r="BV305" s="208">
        <v>-49320</v>
      </c>
      <c r="BW305" s="208">
        <v>-5480</v>
      </c>
      <c r="BX305" s="208">
        <v>-548000</v>
      </c>
      <c r="BY305" s="208">
        <v>-1494825</v>
      </c>
      <c r="BZ305" s="208">
        <v>-1195860</v>
      </c>
      <c r="CA305" s="208">
        <v>-269068</v>
      </c>
      <c r="CB305" s="208">
        <v>-29896</v>
      </c>
      <c r="CC305" s="208">
        <v>-2989649</v>
      </c>
      <c r="CD305" s="208">
        <v>121065</v>
      </c>
      <c r="CE305" s="208">
        <v>96852</v>
      </c>
      <c r="CF305" s="208">
        <v>21792</v>
      </c>
      <c r="CG305" s="208">
        <v>2421</v>
      </c>
      <c r="CH305" s="208">
        <v>242130</v>
      </c>
      <c r="CI305" s="208">
        <v>0</v>
      </c>
      <c r="CJ305" s="208">
        <v>0</v>
      </c>
      <c r="CK305" s="208">
        <v>0</v>
      </c>
      <c r="CL305" s="208">
        <v>0</v>
      </c>
      <c r="CM305" s="208">
        <v>0</v>
      </c>
      <c r="CN305" s="208">
        <v>-764565</v>
      </c>
      <c r="CO305" s="208">
        <v>-611652</v>
      </c>
      <c r="CP305" s="208">
        <v>-137622</v>
      </c>
      <c r="CQ305" s="208">
        <v>-15291</v>
      </c>
      <c r="CR305" s="208">
        <v>-1529130</v>
      </c>
      <c r="CS305" s="208">
        <v>-13175</v>
      </c>
      <c r="CT305" s="208">
        <v>-10540</v>
      </c>
      <c r="CU305" s="208">
        <v>-2372</v>
      </c>
      <c r="CV305" s="208">
        <v>-264</v>
      </c>
      <c r="CW305" s="208">
        <v>-26351</v>
      </c>
      <c r="CX305" s="208">
        <v>-2425500</v>
      </c>
      <c r="CY305" s="208">
        <v>-1940400</v>
      </c>
      <c r="CZ305" s="208">
        <v>-436590</v>
      </c>
      <c r="DA305" s="208">
        <v>-48510</v>
      </c>
      <c r="DB305" s="208">
        <v>-4851000</v>
      </c>
      <c r="DC305" s="208">
        <v>-917500</v>
      </c>
      <c r="DD305" s="208">
        <v>-734000</v>
      </c>
      <c r="DE305" s="208">
        <v>-165150</v>
      </c>
      <c r="DF305" s="208">
        <v>-18350</v>
      </c>
      <c r="DG305" s="208">
        <v>-1835000</v>
      </c>
      <c r="DH305" s="208">
        <v>-1508000</v>
      </c>
      <c r="DI305" s="208">
        <v>-1206400</v>
      </c>
      <c r="DJ305" s="208">
        <v>-271440</v>
      </c>
      <c r="DK305" s="208">
        <v>-30160</v>
      </c>
      <c r="DL305" s="208">
        <v>-3016000</v>
      </c>
      <c r="DM305" s="208">
        <v>309662</v>
      </c>
      <c r="DN305" s="208">
        <v>247731</v>
      </c>
      <c r="DO305" s="208">
        <v>55739</v>
      </c>
      <c r="DP305" s="208">
        <v>6193</v>
      </c>
      <c r="DQ305" s="208">
        <v>619325</v>
      </c>
      <c r="DR305" s="208">
        <v>92002</v>
      </c>
      <c r="DS305" s="208">
        <v>73601</v>
      </c>
      <c r="DT305" s="208">
        <v>16560</v>
      </c>
      <c r="DU305" s="208">
        <v>1840</v>
      </c>
      <c r="DV305" s="208">
        <v>184003</v>
      </c>
      <c r="DW305" s="208">
        <v>217660</v>
      </c>
      <c r="DX305" s="208">
        <v>174130</v>
      </c>
      <c r="DY305" s="208">
        <v>39179</v>
      </c>
      <c r="DZ305" s="208">
        <v>4353</v>
      </c>
      <c r="EA305" s="208">
        <v>435322</v>
      </c>
      <c r="EB305" s="208">
        <v>15362273</v>
      </c>
      <c r="EC305" s="208">
        <v>12289818</v>
      </c>
      <c r="ED305" s="208">
        <v>2765209</v>
      </c>
      <c r="EE305" s="208">
        <v>307245</v>
      </c>
      <c r="EF305" s="208">
        <v>30724545</v>
      </c>
      <c r="EG305" s="208">
        <v>15250448</v>
      </c>
      <c r="EH305" s="208">
        <v>12200358</v>
      </c>
      <c r="EI305" s="208">
        <v>2745081</v>
      </c>
      <c r="EJ305" s="208">
        <v>305009</v>
      </c>
      <c r="EK305" s="208">
        <v>30500896</v>
      </c>
      <c r="EL305" s="208">
        <v>-111825</v>
      </c>
      <c r="EM305" s="208">
        <v>-89460</v>
      </c>
      <c r="EN305" s="208">
        <v>-20128</v>
      </c>
      <c r="EO305" s="208">
        <v>-2236</v>
      </c>
      <c r="EP305" s="208">
        <v>-223649</v>
      </c>
      <c r="EQ305" s="208">
        <v>105835</v>
      </c>
      <c r="ER305" s="208">
        <v>84670</v>
      </c>
      <c r="ES305" s="208">
        <v>19051</v>
      </c>
      <c r="ET305" s="208">
        <v>2117</v>
      </c>
      <c r="EU305" s="208">
        <v>211673</v>
      </c>
      <c r="EV305" s="666">
        <v>0.5</v>
      </c>
      <c r="EW305" s="666">
        <v>0.4</v>
      </c>
      <c r="EX305" s="666">
        <v>0.09</v>
      </c>
      <c r="EY305" s="666">
        <v>0.01</v>
      </c>
      <c r="EZ305" s="666">
        <v>1</v>
      </c>
      <c r="FA305" s="187" t="s">
        <v>1054</v>
      </c>
      <c r="FC305" s="187">
        <v>0</v>
      </c>
    </row>
    <row r="306" spans="2:159" s="187" customFormat="1" x14ac:dyDescent="0.2">
      <c r="B306" s="429" t="s">
        <v>690</v>
      </c>
      <c r="C306" s="429" t="s">
        <v>689</v>
      </c>
      <c r="D306" s="208">
        <v>13854769</v>
      </c>
      <c r="E306" s="208">
        <v>11083815</v>
      </c>
      <c r="F306" s="208">
        <v>2770954</v>
      </c>
      <c r="G306" s="208">
        <v>0</v>
      </c>
      <c r="H306" s="208">
        <v>27709538</v>
      </c>
      <c r="I306" s="208">
        <v>0</v>
      </c>
      <c r="J306" s="208">
        <v>0</v>
      </c>
      <c r="K306" s="208">
        <v>13854769</v>
      </c>
      <c r="L306" s="208">
        <v>108409</v>
      </c>
      <c r="M306" s="208">
        <v>108409</v>
      </c>
      <c r="N306" s="208">
        <v>0</v>
      </c>
      <c r="O306" s="208">
        <v>0</v>
      </c>
      <c r="P306" s="208">
        <v>41727</v>
      </c>
      <c r="Q306" s="208">
        <v>0</v>
      </c>
      <c r="R306" s="208">
        <v>41727</v>
      </c>
      <c r="S306" s="208">
        <v>0</v>
      </c>
      <c r="T306" s="208">
        <v>0</v>
      </c>
      <c r="U306" s="208">
        <v>0</v>
      </c>
      <c r="V306" s="208">
        <v>0</v>
      </c>
      <c r="W306" s="208">
        <v>0</v>
      </c>
      <c r="X306" s="208">
        <v>0</v>
      </c>
      <c r="Y306" s="208">
        <v>0</v>
      </c>
      <c r="Z306" s="208">
        <v>0</v>
      </c>
      <c r="AA306" s="208">
        <v>0</v>
      </c>
      <c r="AB306" s="208">
        <v>0</v>
      </c>
      <c r="AC306" s="208">
        <v>0</v>
      </c>
      <c r="AD306" s="208">
        <v>0</v>
      </c>
      <c r="AE306" s="208">
        <v>0</v>
      </c>
      <c r="AF306" s="208">
        <v>0</v>
      </c>
      <c r="AG306" s="208">
        <v>1296563</v>
      </c>
      <c r="AH306" s="208">
        <v>323902</v>
      </c>
      <c r="AI306" s="208">
        <v>0</v>
      </c>
      <c r="AJ306" s="208">
        <v>1620465</v>
      </c>
      <c r="AK306" s="208">
        <v>290962</v>
      </c>
      <c r="AL306" s="208">
        <v>232770</v>
      </c>
      <c r="AM306" s="208">
        <v>58193</v>
      </c>
      <c r="AN306" s="208">
        <v>0</v>
      </c>
      <c r="AO306" s="208">
        <v>581925</v>
      </c>
      <c r="AP306" s="208">
        <v>-142216</v>
      </c>
      <c r="AQ306" s="208">
        <v>-113773</v>
      </c>
      <c r="AR306" s="208">
        <v>-28443</v>
      </c>
      <c r="AS306" s="208">
        <v>0</v>
      </c>
      <c r="AT306" s="208">
        <v>-284432</v>
      </c>
      <c r="AU306" s="208">
        <v>-124880</v>
      </c>
      <c r="AV306" s="208">
        <v>-99904</v>
      </c>
      <c r="AW306" s="208">
        <v>-24976</v>
      </c>
      <c r="AX306" s="208">
        <v>0</v>
      </c>
      <c r="AY306" s="208">
        <v>-249760</v>
      </c>
      <c r="AZ306" s="208">
        <v>0</v>
      </c>
      <c r="BA306" s="208">
        <v>0</v>
      </c>
      <c r="BB306" s="208">
        <v>0</v>
      </c>
      <c r="BC306" s="208">
        <v>0</v>
      </c>
      <c r="BD306" s="208">
        <v>0</v>
      </c>
      <c r="BE306" s="208">
        <v>22529</v>
      </c>
      <c r="BF306" s="208">
        <v>18023</v>
      </c>
      <c r="BG306" s="208">
        <v>4506</v>
      </c>
      <c r="BH306" s="208">
        <v>0</v>
      </c>
      <c r="BI306" s="208">
        <v>45058</v>
      </c>
      <c r="BJ306" s="208">
        <v>-102351</v>
      </c>
      <c r="BK306" s="208">
        <v>-81881</v>
      </c>
      <c r="BL306" s="208">
        <v>-20470</v>
      </c>
      <c r="BM306" s="208">
        <v>0</v>
      </c>
      <c r="BN306" s="208">
        <v>-204702</v>
      </c>
      <c r="BO306" s="208">
        <v>-1591851.7999999998</v>
      </c>
      <c r="BP306" s="208">
        <v>-1273482</v>
      </c>
      <c r="BQ306" s="208">
        <v>-318370</v>
      </c>
      <c r="BR306" s="208">
        <v>0</v>
      </c>
      <c r="BS306" s="208">
        <v>-3183703.8</v>
      </c>
      <c r="BT306" s="208">
        <v>0</v>
      </c>
      <c r="BU306" s="208">
        <v>0</v>
      </c>
      <c r="BV306" s="208">
        <v>0</v>
      </c>
      <c r="BW306" s="208">
        <v>0</v>
      </c>
      <c r="BX306" s="208">
        <v>0</v>
      </c>
      <c r="BY306" s="208">
        <v>-1591851.7999999998</v>
      </c>
      <c r="BZ306" s="208">
        <v>-1273482</v>
      </c>
      <c r="CA306" s="208">
        <v>-318370</v>
      </c>
      <c r="CB306" s="208">
        <v>0</v>
      </c>
      <c r="CC306" s="208">
        <v>-3183703.8</v>
      </c>
      <c r="CD306" s="208">
        <v>482162</v>
      </c>
      <c r="CE306" s="208">
        <v>385730</v>
      </c>
      <c r="CF306" s="208">
        <v>96433</v>
      </c>
      <c r="CG306" s="208">
        <v>0</v>
      </c>
      <c r="CH306" s="208">
        <v>964325</v>
      </c>
      <c r="CI306" s="208">
        <v>0</v>
      </c>
      <c r="CJ306" s="208">
        <v>0</v>
      </c>
      <c r="CK306" s="208">
        <v>0</v>
      </c>
      <c r="CL306" s="208">
        <v>0</v>
      </c>
      <c r="CM306" s="208">
        <v>0</v>
      </c>
      <c r="CN306" s="208">
        <v>-482162</v>
      </c>
      <c r="CO306" s="208">
        <v>-385730</v>
      </c>
      <c r="CP306" s="208">
        <v>-96433</v>
      </c>
      <c r="CQ306" s="208">
        <v>0</v>
      </c>
      <c r="CR306" s="208">
        <v>-964325</v>
      </c>
      <c r="CS306" s="208">
        <v>0</v>
      </c>
      <c r="CT306" s="208">
        <v>0</v>
      </c>
      <c r="CU306" s="208">
        <v>0</v>
      </c>
      <c r="CV306" s="208">
        <v>0</v>
      </c>
      <c r="CW306" s="208">
        <v>0</v>
      </c>
      <c r="CX306" s="208">
        <v>-1591851.7999999998</v>
      </c>
      <c r="CY306" s="208">
        <v>-1273482</v>
      </c>
      <c r="CZ306" s="208">
        <v>-318370</v>
      </c>
      <c r="DA306" s="208">
        <v>0</v>
      </c>
      <c r="DB306" s="208">
        <v>-3183703.8</v>
      </c>
      <c r="DC306" s="208">
        <v>0</v>
      </c>
      <c r="DD306" s="208">
        <v>0</v>
      </c>
      <c r="DE306" s="208">
        <v>0</v>
      </c>
      <c r="DF306" s="208">
        <v>0</v>
      </c>
      <c r="DG306" s="208">
        <v>0</v>
      </c>
      <c r="DH306" s="208">
        <v>-1591851.7999999998</v>
      </c>
      <c r="DI306" s="208">
        <v>-1273482</v>
      </c>
      <c r="DJ306" s="208">
        <v>-318370</v>
      </c>
      <c r="DK306" s="208">
        <v>0</v>
      </c>
      <c r="DL306" s="208">
        <v>-3183703.8</v>
      </c>
      <c r="DM306" s="208">
        <v>-1425013</v>
      </c>
      <c r="DN306" s="208">
        <v>-1140008</v>
      </c>
      <c r="DO306" s="208">
        <v>-285001</v>
      </c>
      <c r="DP306" s="208">
        <v>0</v>
      </c>
      <c r="DQ306" s="208">
        <v>-2850022</v>
      </c>
      <c r="DR306" s="208">
        <v>-875331</v>
      </c>
      <c r="DS306" s="208">
        <v>-700264</v>
      </c>
      <c r="DT306" s="208">
        <v>-175066</v>
      </c>
      <c r="DU306" s="208">
        <v>0</v>
      </c>
      <c r="DV306" s="208">
        <v>-1750661</v>
      </c>
      <c r="DW306" s="208">
        <v>-549682</v>
      </c>
      <c r="DX306" s="208">
        <v>-439744</v>
      </c>
      <c r="DY306" s="208">
        <v>-109935</v>
      </c>
      <c r="DZ306" s="208">
        <v>0</v>
      </c>
      <c r="EA306" s="208">
        <v>-1099361</v>
      </c>
      <c r="EB306" s="208">
        <v>14109614</v>
      </c>
      <c r="EC306" s="208">
        <v>11287692</v>
      </c>
      <c r="ED306" s="208">
        <v>2821923</v>
      </c>
      <c r="EE306" s="208">
        <v>0</v>
      </c>
      <c r="EF306" s="208">
        <v>28219229</v>
      </c>
      <c r="EG306" s="208">
        <v>13854769</v>
      </c>
      <c r="EH306" s="208">
        <v>11083815</v>
      </c>
      <c r="EI306" s="208">
        <v>2770954</v>
      </c>
      <c r="EJ306" s="208">
        <v>0</v>
      </c>
      <c r="EK306" s="208">
        <v>27709538</v>
      </c>
      <c r="EL306" s="208">
        <v>-254845</v>
      </c>
      <c r="EM306" s="208">
        <v>-203877</v>
      </c>
      <c r="EN306" s="208">
        <v>-50969</v>
      </c>
      <c r="EO306" s="208">
        <v>0</v>
      </c>
      <c r="EP306" s="208">
        <v>-509691</v>
      </c>
      <c r="EQ306" s="208">
        <v>-804527</v>
      </c>
      <c r="ER306" s="208">
        <v>-643621</v>
      </c>
      <c r="ES306" s="208">
        <v>-160904</v>
      </c>
      <c r="ET306" s="208">
        <v>0</v>
      </c>
      <c r="EU306" s="208">
        <v>-1609052</v>
      </c>
      <c r="EV306" s="666">
        <v>0.5</v>
      </c>
      <c r="EW306" s="666">
        <v>0.4</v>
      </c>
      <c r="EX306" s="666">
        <v>0.1</v>
      </c>
      <c r="EY306" s="666">
        <v>0</v>
      </c>
      <c r="EZ306" s="666">
        <v>1</v>
      </c>
      <c r="FA306" s="187" t="s">
        <v>1054</v>
      </c>
      <c r="FC306" s="187">
        <v>0</v>
      </c>
    </row>
    <row r="307" spans="2:159" s="187" customFormat="1" x14ac:dyDescent="0.2">
      <c r="B307" s="429" t="s">
        <v>692</v>
      </c>
      <c r="C307" s="429" t="s">
        <v>691</v>
      </c>
      <c r="D307" s="208">
        <v>28668592</v>
      </c>
      <c r="E307" s="208">
        <v>22934874</v>
      </c>
      <c r="F307" s="208">
        <v>5733718</v>
      </c>
      <c r="G307" s="208">
        <v>0</v>
      </c>
      <c r="H307" s="208">
        <v>57337184</v>
      </c>
      <c r="I307" s="208">
        <v>0</v>
      </c>
      <c r="J307" s="208">
        <v>0</v>
      </c>
      <c r="K307" s="208">
        <v>28668592</v>
      </c>
      <c r="L307" s="208">
        <v>152607</v>
      </c>
      <c r="M307" s="208">
        <v>152607</v>
      </c>
      <c r="N307" s="208">
        <v>0</v>
      </c>
      <c r="O307" s="208">
        <v>0</v>
      </c>
      <c r="P307" s="208">
        <v>0</v>
      </c>
      <c r="Q307" s="208">
        <v>0</v>
      </c>
      <c r="R307" s="208">
        <v>0</v>
      </c>
      <c r="S307" s="208">
        <v>0</v>
      </c>
      <c r="T307" s="208">
        <v>0</v>
      </c>
      <c r="U307" s="208">
        <v>0</v>
      </c>
      <c r="V307" s="208">
        <v>0</v>
      </c>
      <c r="W307" s="208">
        <v>0</v>
      </c>
      <c r="X307" s="208">
        <v>0</v>
      </c>
      <c r="Y307" s="208">
        <v>0</v>
      </c>
      <c r="Z307" s="208">
        <v>0</v>
      </c>
      <c r="AA307" s="208">
        <v>0</v>
      </c>
      <c r="AB307" s="208">
        <v>0</v>
      </c>
      <c r="AC307" s="208">
        <v>0</v>
      </c>
      <c r="AD307" s="208">
        <v>0</v>
      </c>
      <c r="AE307" s="208">
        <v>0</v>
      </c>
      <c r="AF307" s="208">
        <v>0</v>
      </c>
      <c r="AG307" s="208">
        <v>1364233</v>
      </c>
      <c r="AH307" s="208">
        <v>341057</v>
      </c>
      <c r="AI307" s="208">
        <v>0</v>
      </c>
      <c r="AJ307" s="208">
        <v>1705290</v>
      </c>
      <c r="AK307" s="208">
        <v>551844</v>
      </c>
      <c r="AL307" s="208">
        <v>441475</v>
      </c>
      <c r="AM307" s="208">
        <v>110369</v>
      </c>
      <c r="AN307" s="208">
        <v>0</v>
      </c>
      <c r="AO307" s="208">
        <v>1103688</v>
      </c>
      <c r="AP307" s="208">
        <v>-1335572</v>
      </c>
      <c r="AQ307" s="208">
        <v>-1068458</v>
      </c>
      <c r="AR307" s="208">
        <v>-267114</v>
      </c>
      <c r="AS307" s="208">
        <v>0</v>
      </c>
      <c r="AT307" s="208">
        <v>-2671144</v>
      </c>
      <c r="AU307" s="208">
        <v>-58751.070000000007</v>
      </c>
      <c r="AV307" s="208">
        <v>-47000</v>
      </c>
      <c r="AW307" s="208">
        <v>-11750</v>
      </c>
      <c r="AX307" s="208">
        <v>0</v>
      </c>
      <c r="AY307" s="208">
        <v>-117501.07</v>
      </c>
      <c r="AZ307" s="208">
        <v>48626</v>
      </c>
      <c r="BA307" s="208">
        <v>38900</v>
      </c>
      <c r="BB307" s="208">
        <v>9725</v>
      </c>
      <c r="BC307" s="208">
        <v>0</v>
      </c>
      <c r="BD307" s="208">
        <v>97251</v>
      </c>
      <c r="BE307" s="208">
        <v>-61034</v>
      </c>
      <c r="BF307" s="208">
        <v>-48828</v>
      </c>
      <c r="BG307" s="208">
        <v>-12207</v>
      </c>
      <c r="BH307" s="208">
        <v>0</v>
      </c>
      <c r="BI307" s="208">
        <v>-122069</v>
      </c>
      <c r="BJ307" s="208">
        <v>-71159.070000000007</v>
      </c>
      <c r="BK307" s="208">
        <v>-56928</v>
      </c>
      <c r="BL307" s="208">
        <v>-14232</v>
      </c>
      <c r="BM307" s="208">
        <v>0</v>
      </c>
      <c r="BN307" s="208">
        <v>-142319.07</v>
      </c>
      <c r="BO307" s="208">
        <v>-3551964.7</v>
      </c>
      <c r="BP307" s="208">
        <v>-2841571</v>
      </c>
      <c r="BQ307" s="208">
        <v>-710393</v>
      </c>
      <c r="BR307" s="208">
        <v>0</v>
      </c>
      <c r="BS307" s="208">
        <v>-7103928.7000000002</v>
      </c>
      <c r="BT307" s="208">
        <v>-2203457</v>
      </c>
      <c r="BU307" s="208">
        <v>-1762766</v>
      </c>
      <c r="BV307" s="208">
        <v>-440692</v>
      </c>
      <c r="BW307" s="208">
        <v>0</v>
      </c>
      <c r="BX307" s="208">
        <v>-4406915</v>
      </c>
      <c r="BY307" s="208">
        <v>-1348507.7000000002</v>
      </c>
      <c r="BZ307" s="208">
        <v>-1078805</v>
      </c>
      <c r="CA307" s="208">
        <v>-269701</v>
      </c>
      <c r="CB307" s="208">
        <v>0</v>
      </c>
      <c r="CC307" s="208">
        <v>-2697013.7</v>
      </c>
      <c r="CD307" s="208">
        <v>623793</v>
      </c>
      <c r="CE307" s="208">
        <v>499035</v>
      </c>
      <c r="CF307" s="208">
        <v>124759</v>
      </c>
      <c r="CG307" s="208">
        <v>0</v>
      </c>
      <c r="CH307" s="208">
        <v>1247587</v>
      </c>
      <c r="CI307" s="208">
        <v>385997</v>
      </c>
      <c r="CJ307" s="208">
        <v>308798</v>
      </c>
      <c r="CK307" s="208">
        <v>77199</v>
      </c>
      <c r="CL307" s="208">
        <v>0</v>
      </c>
      <c r="CM307" s="208">
        <v>771994</v>
      </c>
      <c r="CN307" s="208">
        <v>-411138</v>
      </c>
      <c r="CO307" s="208">
        <v>-328910</v>
      </c>
      <c r="CP307" s="208">
        <v>-82228</v>
      </c>
      <c r="CQ307" s="208">
        <v>0</v>
      </c>
      <c r="CR307" s="208">
        <v>-822276</v>
      </c>
      <c r="CS307" s="208">
        <v>-1345100</v>
      </c>
      <c r="CT307" s="208">
        <v>-1076080</v>
      </c>
      <c r="CU307" s="208">
        <v>-269020</v>
      </c>
      <c r="CV307" s="208">
        <v>0</v>
      </c>
      <c r="CW307" s="208">
        <v>-2690200</v>
      </c>
      <c r="CX307" s="208">
        <v>-4298412.7</v>
      </c>
      <c r="CY307" s="208">
        <v>-3438728</v>
      </c>
      <c r="CZ307" s="208">
        <v>-859683</v>
      </c>
      <c r="DA307" s="208">
        <v>0</v>
      </c>
      <c r="DB307" s="208">
        <v>-8596823.6999999993</v>
      </c>
      <c r="DC307" s="208">
        <v>-1990802</v>
      </c>
      <c r="DD307" s="208">
        <v>-1592641</v>
      </c>
      <c r="DE307" s="208">
        <v>-398161</v>
      </c>
      <c r="DF307" s="208">
        <v>0</v>
      </c>
      <c r="DG307" s="208">
        <v>-3981604</v>
      </c>
      <c r="DH307" s="208">
        <v>-2307610.7000000002</v>
      </c>
      <c r="DI307" s="208">
        <v>-1846087</v>
      </c>
      <c r="DJ307" s="208">
        <v>-461522</v>
      </c>
      <c r="DK307" s="208">
        <v>0</v>
      </c>
      <c r="DL307" s="208">
        <v>-4615219.7</v>
      </c>
      <c r="DM307" s="208">
        <v>-3407814</v>
      </c>
      <c r="DN307" s="208">
        <v>-2726251</v>
      </c>
      <c r="DO307" s="208">
        <v>-681563</v>
      </c>
      <c r="DP307" s="208">
        <v>0</v>
      </c>
      <c r="DQ307" s="208">
        <v>-6815628</v>
      </c>
      <c r="DR307" s="208">
        <v>-1160347</v>
      </c>
      <c r="DS307" s="208">
        <v>-928278</v>
      </c>
      <c r="DT307" s="208">
        <v>-232070</v>
      </c>
      <c r="DU307" s="208">
        <v>0</v>
      </c>
      <c r="DV307" s="208">
        <v>-2320695</v>
      </c>
      <c r="DW307" s="208">
        <v>-2247467</v>
      </c>
      <c r="DX307" s="208">
        <v>-1797973</v>
      </c>
      <c r="DY307" s="208">
        <v>-449493</v>
      </c>
      <c r="DZ307" s="208">
        <v>0</v>
      </c>
      <c r="EA307" s="208">
        <v>-4494933</v>
      </c>
      <c r="EB307" s="208">
        <v>30356288</v>
      </c>
      <c r="EC307" s="208">
        <v>24285030</v>
      </c>
      <c r="ED307" s="208">
        <v>6071258</v>
      </c>
      <c r="EE307" s="208">
        <v>0</v>
      </c>
      <c r="EF307" s="208">
        <v>60712576</v>
      </c>
      <c r="EG307" s="208">
        <v>28668592</v>
      </c>
      <c r="EH307" s="208">
        <v>22934874</v>
      </c>
      <c r="EI307" s="208">
        <v>5733718</v>
      </c>
      <c r="EJ307" s="208">
        <v>0</v>
      </c>
      <c r="EK307" s="208">
        <v>57337184</v>
      </c>
      <c r="EL307" s="208">
        <v>-1687696</v>
      </c>
      <c r="EM307" s="208">
        <v>-1350156</v>
      </c>
      <c r="EN307" s="208">
        <v>-337540</v>
      </c>
      <c r="EO307" s="208">
        <v>0</v>
      </c>
      <c r="EP307" s="208">
        <v>-3375392</v>
      </c>
      <c r="EQ307" s="208">
        <v>-3935163</v>
      </c>
      <c r="ER307" s="208">
        <v>-3148129</v>
      </c>
      <c r="ES307" s="208">
        <v>-787033</v>
      </c>
      <c r="ET307" s="208">
        <v>0</v>
      </c>
      <c r="EU307" s="208">
        <v>-7870325</v>
      </c>
      <c r="EV307" s="666">
        <v>0.5</v>
      </c>
      <c r="EW307" s="666">
        <v>0.4</v>
      </c>
      <c r="EX307" s="666">
        <v>0.1</v>
      </c>
      <c r="EY307" s="666">
        <v>0</v>
      </c>
      <c r="EZ307" s="666">
        <v>1</v>
      </c>
      <c r="FA307" s="187" t="s">
        <v>1054</v>
      </c>
      <c r="FC307" s="187">
        <v>0</v>
      </c>
    </row>
    <row r="308" spans="2:159" s="187" customFormat="1" x14ac:dyDescent="0.2">
      <c r="B308" s="429" t="s">
        <v>694</v>
      </c>
      <c r="C308" s="429" t="s">
        <v>693</v>
      </c>
      <c r="D308" s="208">
        <v>0</v>
      </c>
      <c r="E308" s="208">
        <v>84249142</v>
      </c>
      <c r="F308" s="208">
        <v>0</v>
      </c>
      <c r="G308" s="208">
        <v>851001</v>
      </c>
      <c r="H308" s="208">
        <v>85100143</v>
      </c>
      <c r="I308" s="208">
        <v>0</v>
      </c>
      <c r="J308" s="208">
        <v>0</v>
      </c>
      <c r="K308" s="208">
        <v>0</v>
      </c>
      <c r="L308" s="208">
        <v>254389</v>
      </c>
      <c r="M308" s="208">
        <v>254389</v>
      </c>
      <c r="N308" s="208">
        <v>0</v>
      </c>
      <c r="O308" s="208">
        <v>0</v>
      </c>
      <c r="P308" s="208">
        <v>0</v>
      </c>
      <c r="Q308" s="208">
        <v>0</v>
      </c>
      <c r="R308" s="208">
        <v>0</v>
      </c>
      <c r="S308" s="208">
        <v>0</v>
      </c>
      <c r="T308" s="208">
        <v>0</v>
      </c>
      <c r="U308" s="208">
        <v>0</v>
      </c>
      <c r="V308" s="208">
        <v>0</v>
      </c>
      <c r="W308" s="208">
        <v>0</v>
      </c>
      <c r="X308" s="208">
        <v>0</v>
      </c>
      <c r="Y308" s="208">
        <v>0</v>
      </c>
      <c r="Z308" s="208">
        <v>0</v>
      </c>
      <c r="AA308" s="208">
        <v>0</v>
      </c>
      <c r="AB308" s="208">
        <v>0</v>
      </c>
      <c r="AC308" s="208">
        <v>0</v>
      </c>
      <c r="AD308" s="208">
        <v>0</v>
      </c>
      <c r="AE308" s="208">
        <v>0</v>
      </c>
      <c r="AF308" s="208">
        <v>0</v>
      </c>
      <c r="AG308" s="208">
        <v>6408572</v>
      </c>
      <c r="AH308" s="208">
        <v>0</v>
      </c>
      <c r="AI308" s="208">
        <v>64731</v>
      </c>
      <c r="AJ308" s="208">
        <v>6473303</v>
      </c>
      <c r="AK308" s="208">
        <v>-1</v>
      </c>
      <c r="AL308" s="208">
        <v>2673545</v>
      </c>
      <c r="AM308" s="208">
        <v>0</v>
      </c>
      <c r="AN308" s="208">
        <v>27006</v>
      </c>
      <c r="AO308" s="208">
        <v>2700550</v>
      </c>
      <c r="AP308" s="208">
        <v>0</v>
      </c>
      <c r="AQ308" s="208">
        <v>-2117162</v>
      </c>
      <c r="AR308" s="208">
        <v>0</v>
      </c>
      <c r="AS308" s="208">
        <v>-21385</v>
      </c>
      <c r="AT308" s="208">
        <v>-2138547</v>
      </c>
      <c r="AU308" s="208">
        <v>0</v>
      </c>
      <c r="AV308" s="208">
        <v>-332843</v>
      </c>
      <c r="AW308" s="208">
        <v>0</v>
      </c>
      <c r="AX308" s="208">
        <v>-3362</v>
      </c>
      <c r="AY308" s="208">
        <v>-336205</v>
      </c>
      <c r="AZ308" s="208">
        <v>0</v>
      </c>
      <c r="BA308" s="208">
        <v>332843</v>
      </c>
      <c r="BB308" s="208">
        <v>0</v>
      </c>
      <c r="BC308" s="208">
        <v>3362</v>
      </c>
      <c r="BD308" s="208">
        <v>336205</v>
      </c>
      <c r="BE308" s="208">
        <v>0</v>
      </c>
      <c r="BF308" s="208">
        <v>-495000</v>
      </c>
      <c r="BG308" s="208">
        <v>0</v>
      </c>
      <c r="BH308" s="208">
        <v>-5000</v>
      </c>
      <c r="BI308" s="208">
        <v>-500000</v>
      </c>
      <c r="BJ308" s="208">
        <v>0</v>
      </c>
      <c r="BK308" s="208">
        <v>-495000</v>
      </c>
      <c r="BL308" s="208">
        <v>0</v>
      </c>
      <c r="BM308" s="208">
        <v>-5000</v>
      </c>
      <c r="BN308" s="208">
        <v>-500000</v>
      </c>
      <c r="BO308" s="208">
        <v>0</v>
      </c>
      <c r="BP308" s="208">
        <v>-4455000</v>
      </c>
      <c r="BQ308" s="208">
        <v>0</v>
      </c>
      <c r="BR308" s="208">
        <v>-45000</v>
      </c>
      <c r="BS308" s="208">
        <v>-4500000</v>
      </c>
      <c r="BT308" s="208">
        <v>0</v>
      </c>
      <c r="BU308" s="208">
        <v>0</v>
      </c>
      <c r="BV308" s="208">
        <v>0</v>
      </c>
      <c r="BW308" s="208">
        <v>0</v>
      </c>
      <c r="BX308" s="208">
        <v>0</v>
      </c>
      <c r="BY308" s="208">
        <v>0</v>
      </c>
      <c r="BZ308" s="208">
        <v>-4455000</v>
      </c>
      <c r="CA308" s="208">
        <v>0</v>
      </c>
      <c r="CB308" s="208">
        <v>-45000</v>
      </c>
      <c r="CC308" s="208">
        <v>-4500000</v>
      </c>
      <c r="CD308" s="208">
        <v>0</v>
      </c>
      <c r="CE308" s="208">
        <v>0</v>
      </c>
      <c r="CF308" s="208">
        <v>0</v>
      </c>
      <c r="CG308" s="208">
        <v>0</v>
      </c>
      <c r="CH308" s="208">
        <v>0</v>
      </c>
      <c r="CI308" s="208">
        <v>0</v>
      </c>
      <c r="CJ308" s="208">
        <v>2889604</v>
      </c>
      <c r="CK308" s="208">
        <v>0</v>
      </c>
      <c r="CL308" s="208">
        <v>29188</v>
      </c>
      <c r="CM308" s="208">
        <v>2918792</v>
      </c>
      <c r="CN308" s="208">
        <v>0</v>
      </c>
      <c r="CO308" s="208">
        <v>0</v>
      </c>
      <c r="CP308" s="208">
        <v>0</v>
      </c>
      <c r="CQ308" s="208">
        <v>0</v>
      </c>
      <c r="CR308" s="208">
        <v>0</v>
      </c>
      <c r="CS308" s="208">
        <v>0</v>
      </c>
      <c r="CT308" s="208">
        <v>0</v>
      </c>
      <c r="CU308" s="208">
        <v>0</v>
      </c>
      <c r="CV308" s="208">
        <v>0</v>
      </c>
      <c r="CW308" s="208">
        <v>0</v>
      </c>
      <c r="CX308" s="208">
        <v>0</v>
      </c>
      <c r="CY308" s="208">
        <v>-1565396</v>
      </c>
      <c r="CZ308" s="208">
        <v>0</v>
      </c>
      <c r="DA308" s="208">
        <v>-15812</v>
      </c>
      <c r="DB308" s="208">
        <v>-1581208</v>
      </c>
      <c r="DC308" s="208">
        <v>0</v>
      </c>
      <c r="DD308" s="208">
        <v>0</v>
      </c>
      <c r="DE308" s="208">
        <v>0</v>
      </c>
      <c r="DF308" s="208">
        <v>0</v>
      </c>
      <c r="DG308" s="208">
        <v>0</v>
      </c>
      <c r="DH308" s="208">
        <v>0</v>
      </c>
      <c r="DI308" s="208">
        <v>-1565396</v>
      </c>
      <c r="DJ308" s="208">
        <v>0</v>
      </c>
      <c r="DK308" s="208">
        <v>-15812</v>
      </c>
      <c r="DL308" s="208">
        <v>-1581208</v>
      </c>
      <c r="DM308" s="208">
        <v>-2872648</v>
      </c>
      <c r="DN308" s="208">
        <v>-2815194</v>
      </c>
      <c r="DO308" s="208">
        <v>0</v>
      </c>
      <c r="DP308" s="208">
        <v>-57455</v>
      </c>
      <c r="DQ308" s="208">
        <v>-5745297</v>
      </c>
      <c r="DR308" s="208">
        <v>-252534</v>
      </c>
      <c r="DS308" s="208">
        <v>-247484</v>
      </c>
      <c r="DT308" s="208">
        <v>0</v>
      </c>
      <c r="DU308" s="208">
        <v>-5051</v>
      </c>
      <c r="DV308" s="208">
        <v>-505069</v>
      </c>
      <c r="DW308" s="208">
        <v>-2620114</v>
      </c>
      <c r="DX308" s="208">
        <v>-2567710</v>
      </c>
      <c r="DY308" s="208">
        <v>0</v>
      </c>
      <c r="DZ308" s="208">
        <v>-52404</v>
      </c>
      <c r="EA308" s="208">
        <v>-5240228</v>
      </c>
      <c r="EB308" s="208">
        <v>0</v>
      </c>
      <c r="EC308" s="208">
        <v>85515702</v>
      </c>
      <c r="ED308" s="208">
        <v>0</v>
      </c>
      <c r="EE308" s="208">
        <v>863795</v>
      </c>
      <c r="EF308" s="208">
        <v>86379497</v>
      </c>
      <c r="EG308" s="208">
        <v>0</v>
      </c>
      <c r="EH308" s="208">
        <v>84249142</v>
      </c>
      <c r="EI308" s="208">
        <v>0</v>
      </c>
      <c r="EJ308" s="208">
        <v>851001</v>
      </c>
      <c r="EK308" s="208">
        <v>85100143</v>
      </c>
      <c r="EL308" s="208">
        <v>0</v>
      </c>
      <c r="EM308" s="208">
        <v>-1266560</v>
      </c>
      <c r="EN308" s="208">
        <v>0</v>
      </c>
      <c r="EO308" s="208">
        <v>-12794</v>
      </c>
      <c r="EP308" s="208">
        <v>-1279354</v>
      </c>
      <c r="EQ308" s="208">
        <v>-2620114</v>
      </c>
      <c r="ER308" s="208">
        <v>-3834270</v>
      </c>
      <c r="ES308" s="208">
        <v>0</v>
      </c>
      <c r="ET308" s="208">
        <v>-65198</v>
      </c>
      <c r="EU308" s="208">
        <v>-6519582</v>
      </c>
      <c r="EV308" s="666">
        <v>0</v>
      </c>
      <c r="EW308" s="666">
        <v>0.99</v>
      </c>
      <c r="EX308" s="666">
        <v>0</v>
      </c>
      <c r="EY308" s="666">
        <v>0.01</v>
      </c>
      <c r="EZ308" s="666">
        <v>1</v>
      </c>
      <c r="FA308" s="187" t="s">
        <v>742</v>
      </c>
      <c r="FC308" s="187">
        <v>0</v>
      </c>
    </row>
    <row r="309" spans="2:159" s="187" customFormat="1" x14ac:dyDescent="0.2">
      <c r="B309" s="429" t="s">
        <v>696</v>
      </c>
      <c r="C309" s="429" t="s">
        <v>695</v>
      </c>
      <c r="D309" s="208">
        <v>0</v>
      </c>
      <c r="E309" s="208">
        <v>4117285</v>
      </c>
      <c r="F309" s="208">
        <v>6072995</v>
      </c>
      <c r="G309" s="208">
        <v>102932</v>
      </c>
      <c r="H309" s="208">
        <v>10293212</v>
      </c>
      <c r="I309" s="208">
        <v>0</v>
      </c>
      <c r="J309" s="208">
        <v>0</v>
      </c>
      <c r="K309" s="208">
        <v>0</v>
      </c>
      <c r="L309" s="208">
        <v>84021</v>
      </c>
      <c r="M309" s="208">
        <v>84021</v>
      </c>
      <c r="N309" s="208">
        <v>0</v>
      </c>
      <c r="O309" s="208">
        <v>0</v>
      </c>
      <c r="P309" s="208">
        <v>0</v>
      </c>
      <c r="Q309" s="208">
        <v>0</v>
      </c>
      <c r="R309" s="208">
        <v>0</v>
      </c>
      <c r="S309" s="208">
        <v>0</v>
      </c>
      <c r="T309" s="208">
        <v>0</v>
      </c>
      <c r="U309" s="208">
        <v>0</v>
      </c>
      <c r="V309" s="208">
        <v>0</v>
      </c>
      <c r="W309" s="208">
        <v>0</v>
      </c>
      <c r="X309" s="208">
        <v>0</v>
      </c>
      <c r="Y309" s="208">
        <v>0</v>
      </c>
      <c r="Z309" s="208">
        <v>0</v>
      </c>
      <c r="AA309" s="208">
        <v>0</v>
      </c>
      <c r="AB309" s="208">
        <v>0</v>
      </c>
      <c r="AC309" s="208">
        <v>0</v>
      </c>
      <c r="AD309" s="208">
        <v>0</v>
      </c>
      <c r="AE309" s="208">
        <v>0</v>
      </c>
      <c r="AF309" s="208">
        <v>0</v>
      </c>
      <c r="AG309" s="208">
        <v>890696</v>
      </c>
      <c r="AH309" s="208">
        <v>1313776</v>
      </c>
      <c r="AI309" s="208">
        <v>22267</v>
      </c>
      <c r="AJ309" s="208">
        <v>2226739</v>
      </c>
      <c r="AK309" s="208">
        <v>0</v>
      </c>
      <c r="AL309" s="208">
        <v>401193</v>
      </c>
      <c r="AM309" s="208">
        <v>591759</v>
      </c>
      <c r="AN309" s="208">
        <v>10030</v>
      </c>
      <c r="AO309" s="208">
        <v>1002982</v>
      </c>
      <c r="AP309" s="208">
        <v>0</v>
      </c>
      <c r="AQ309" s="208">
        <v>-85317</v>
      </c>
      <c r="AR309" s="208">
        <v>-125843</v>
      </c>
      <c r="AS309" s="208">
        <v>-2133</v>
      </c>
      <c r="AT309" s="208">
        <v>-213293</v>
      </c>
      <c r="AU309" s="208">
        <v>-1</v>
      </c>
      <c r="AV309" s="208">
        <v>-127619</v>
      </c>
      <c r="AW309" s="208">
        <v>-188238</v>
      </c>
      <c r="AX309" s="208">
        <v>-3190</v>
      </c>
      <c r="AY309" s="208">
        <v>-319048</v>
      </c>
      <c r="AZ309" s="208">
        <v>0</v>
      </c>
      <c r="BA309" s="208">
        <v>14275</v>
      </c>
      <c r="BB309" s="208">
        <v>21055</v>
      </c>
      <c r="BC309" s="208">
        <v>357</v>
      </c>
      <c r="BD309" s="208">
        <v>35687</v>
      </c>
      <c r="BE309" s="208">
        <v>1</v>
      </c>
      <c r="BF309" s="208">
        <v>-27900</v>
      </c>
      <c r="BG309" s="208">
        <v>-41153</v>
      </c>
      <c r="BH309" s="208">
        <v>-698</v>
      </c>
      <c r="BI309" s="208">
        <v>-69750</v>
      </c>
      <c r="BJ309" s="208">
        <v>0</v>
      </c>
      <c r="BK309" s="208">
        <v>-141244</v>
      </c>
      <c r="BL309" s="208">
        <v>-208336</v>
      </c>
      <c r="BM309" s="208">
        <v>-3531</v>
      </c>
      <c r="BN309" s="208">
        <v>-353111</v>
      </c>
      <c r="BO309" s="208">
        <v>-1</v>
      </c>
      <c r="BP309" s="208">
        <v>-412699</v>
      </c>
      <c r="BQ309" s="208">
        <v>-608731</v>
      </c>
      <c r="BR309" s="208">
        <v>-10317</v>
      </c>
      <c r="BS309" s="208">
        <v>-1031748</v>
      </c>
      <c r="BT309" s="208">
        <v>0</v>
      </c>
      <c r="BU309" s="208">
        <v>-123291</v>
      </c>
      <c r="BV309" s="208">
        <v>-181855</v>
      </c>
      <c r="BW309" s="208">
        <v>-3082</v>
      </c>
      <c r="BX309" s="208">
        <v>-308228</v>
      </c>
      <c r="BY309" s="208">
        <v>0</v>
      </c>
      <c r="BZ309" s="208">
        <v>-289408</v>
      </c>
      <c r="CA309" s="208">
        <v>-426877</v>
      </c>
      <c r="CB309" s="208">
        <v>-7235</v>
      </c>
      <c r="CC309" s="208">
        <v>-723520</v>
      </c>
      <c r="CD309" s="208">
        <v>0</v>
      </c>
      <c r="CE309" s="208">
        <v>44478</v>
      </c>
      <c r="CF309" s="208">
        <v>65606</v>
      </c>
      <c r="CG309" s="208">
        <v>1112</v>
      </c>
      <c r="CH309" s="208">
        <v>111196</v>
      </c>
      <c r="CI309" s="208">
        <v>0</v>
      </c>
      <c r="CJ309" s="208">
        <v>23761</v>
      </c>
      <c r="CK309" s="208">
        <v>35048</v>
      </c>
      <c r="CL309" s="208">
        <v>594</v>
      </c>
      <c r="CM309" s="208">
        <v>59403</v>
      </c>
      <c r="CN309" s="208">
        <v>0</v>
      </c>
      <c r="CO309" s="208">
        <v>-26624</v>
      </c>
      <c r="CP309" s="208">
        <v>-39271</v>
      </c>
      <c r="CQ309" s="208">
        <v>-666</v>
      </c>
      <c r="CR309" s="208">
        <v>-66561</v>
      </c>
      <c r="CS309" s="208">
        <v>0</v>
      </c>
      <c r="CT309" s="208">
        <v>-277647</v>
      </c>
      <c r="CU309" s="208">
        <v>-409530</v>
      </c>
      <c r="CV309" s="208">
        <v>-6941</v>
      </c>
      <c r="CW309" s="208">
        <v>-694118</v>
      </c>
      <c r="CX309" s="208">
        <v>-1</v>
      </c>
      <c r="CY309" s="208">
        <v>-648731</v>
      </c>
      <c r="CZ309" s="208">
        <v>-956878</v>
      </c>
      <c r="DA309" s="208">
        <v>-16218</v>
      </c>
      <c r="DB309" s="208">
        <v>-1621828</v>
      </c>
      <c r="DC309" s="208">
        <v>0</v>
      </c>
      <c r="DD309" s="208">
        <v>-105437</v>
      </c>
      <c r="DE309" s="208">
        <v>-155520</v>
      </c>
      <c r="DF309" s="208">
        <v>-2636</v>
      </c>
      <c r="DG309" s="208">
        <v>-263593</v>
      </c>
      <c r="DH309" s="208">
        <v>0</v>
      </c>
      <c r="DI309" s="208">
        <v>-543294</v>
      </c>
      <c r="DJ309" s="208">
        <v>-801359</v>
      </c>
      <c r="DK309" s="208">
        <v>-13582</v>
      </c>
      <c r="DL309" s="208">
        <v>-1358235</v>
      </c>
      <c r="DM309" s="208">
        <v>75863</v>
      </c>
      <c r="DN309" s="208">
        <v>60687</v>
      </c>
      <c r="DO309" s="208">
        <v>13655</v>
      </c>
      <c r="DP309" s="208">
        <v>1516</v>
      </c>
      <c r="DQ309" s="208">
        <v>182559</v>
      </c>
      <c r="DR309" s="208">
        <v>52328</v>
      </c>
      <c r="DS309" s="208">
        <v>41862</v>
      </c>
      <c r="DT309" s="208">
        <v>9419</v>
      </c>
      <c r="DU309" s="208">
        <v>1047</v>
      </c>
      <c r="DV309" s="208">
        <v>104656</v>
      </c>
      <c r="DW309" s="208">
        <v>23535</v>
      </c>
      <c r="DX309" s="208">
        <v>18825</v>
      </c>
      <c r="DY309" s="208">
        <v>4236</v>
      </c>
      <c r="DZ309" s="208">
        <v>469</v>
      </c>
      <c r="EA309" s="208">
        <v>77903</v>
      </c>
      <c r="EB309" s="208">
        <v>0</v>
      </c>
      <c r="EC309" s="208">
        <v>3930255</v>
      </c>
      <c r="ED309" s="208">
        <v>5797126</v>
      </c>
      <c r="EE309" s="208">
        <v>98256</v>
      </c>
      <c r="EF309" s="208">
        <v>9825637</v>
      </c>
      <c r="EG309" s="208">
        <v>0</v>
      </c>
      <c r="EH309" s="208">
        <v>4117285</v>
      </c>
      <c r="EI309" s="208">
        <v>6072995</v>
      </c>
      <c r="EJ309" s="208">
        <v>102932</v>
      </c>
      <c r="EK309" s="208">
        <v>10293212</v>
      </c>
      <c r="EL309" s="208">
        <v>0</v>
      </c>
      <c r="EM309" s="208">
        <v>187030</v>
      </c>
      <c r="EN309" s="208">
        <v>275869</v>
      </c>
      <c r="EO309" s="208">
        <v>4676</v>
      </c>
      <c r="EP309" s="208">
        <v>467575</v>
      </c>
      <c r="EQ309" s="208">
        <v>23535</v>
      </c>
      <c r="ER309" s="208">
        <v>205855</v>
      </c>
      <c r="ES309" s="208">
        <v>280105</v>
      </c>
      <c r="ET309" s="208">
        <v>5145</v>
      </c>
      <c r="EU309" s="208">
        <v>545478</v>
      </c>
      <c r="EV309" s="666">
        <v>0</v>
      </c>
      <c r="EW309" s="666">
        <v>0.4</v>
      </c>
      <c r="EX309" s="666">
        <v>0.59</v>
      </c>
      <c r="EY309" s="666">
        <v>0.01</v>
      </c>
      <c r="EZ309" s="666">
        <v>1</v>
      </c>
      <c r="FA309" s="187" t="s">
        <v>1054</v>
      </c>
      <c r="FC309" s="187">
        <v>0</v>
      </c>
    </row>
    <row r="310" spans="2:159" s="187" customFormat="1" x14ac:dyDescent="0.2">
      <c r="B310" s="429" t="s">
        <v>698</v>
      </c>
      <c r="C310" s="429" t="s">
        <v>697</v>
      </c>
      <c r="D310" s="208">
        <v>14844030</v>
      </c>
      <c r="E310" s="208">
        <v>11875225</v>
      </c>
      <c r="F310" s="208">
        <v>2671926</v>
      </c>
      <c r="G310" s="208">
        <v>296881</v>
      </c>
      <c r="H310" s="208">
        <v>29688062</v>
      </c>
      <c r="I310" s="208">
        <v>0</v>
      </c>
      <c r="J310" s="208">
        <v>0</v>
      </c>
      <c r="K310" s="208">
        <v>14844030</v>
      </c>
      <c r="L310" s="208">
        <v>215188</v>
      </c>
      <c r="M310" s="208">
        <v>215188</v>
      </c>
      <c r="N310" s="208">
        <v>0</v>
      </c>
      <c r="O310" s="208">
        <v>0</v>
      </c>
      <c r="P310" s="208">
        <v>204239</v>
      </c>
      <c r="Q310" s="208">
        <v>2366</v>
      </c>
      <c r="R310" s="208">
        <v>206605</v>
      </c>
      <c r="S310" s="208">
        <v>0</v>
      </c>
      <c r="T310" s="208">
        <v>0</v>
      </c>
      <c r="U310" s="208">
        <v>0</v>
      </c>
      <c r="V310" s="208">
        <v>0</v>
      </c>
      <c r="W310" s="208">
        <v>0</v>
      </c>
      <c r="X310" s="208">
        <v>0</v>
      </c>
      <c r="Y310" s="208">
        <v>0</v>
      </c>
      <c r="Z310" s="208">
        <v>0</v>
      </c>
      <c r="AA310" s="208">
        <v>0</v>
      </c>
      <c r="AB310" s="208">
        <v>0</v>
      </c>
      <c r="AC310" s="208">
        <v>0</v>
      </c>
      <c r="AD310" s="208">
        <v>0</v>
      </c>
      <c r="AE310" s="208">
        <v>0</v>
      </c>
      <c r="AF310" s="208">
        <v>0</v>
      </c>
      <c r="AG310" s="208">
        <v>2286462</v>
      </c>
      <c r="AH310" s="208">
        <v>513456</v>
      </c>
      <c r="AI310" s="208">
        <v>57046</v>
      </c>
      <c r="AJ310" s="208">
        <v>2856964</v>
      </c>
      <c r="AK310" s="208">
        <v>1037139</v>
      </c>
      <c r="AL310" s="208">
        <v>829711</v>
      </c>
      <c r="AM310" s="208">
        <v>186685</v>
      </c>
      <c r="AN310" s="208">
        <v>20743</v>
      </c>
      <c r="AO310" s="208">
        <v>2074278</v>
      </c>
      <c r="AP310" s="208">
        <v>-388370</v>
      </c>
      <c r="AQ310" s="208">
        <v>-310695</v>
      </c>
      <c r="AR310" s="208">
        <v>-69906</v>
      </c>
      <c r="AS310" s="208">
        <v>-7767</v>
      </c>
      <c r="AT310" s="208">
        <v>-776738</v>
      </c>
      <c r="AU310" s="208">
        <v>-567500</v>
      </c>
      <c r="AV310" s="208">
        <v>-454000</v>
      </c>
      <c r="AW310" s="208">
        <v>-102150</v>
      </c>
      <c r="AX310" s="208">
        <v>-11350</v>
      </c>
      <c r="AY310" s="208">
        <v>-1135000</v>
      </c>
      <c r="AZ310" s="208">
        <v>129276</v>
      </c>
      <c r="BA310" s="208">
        <v>103422</v>
      </c>
      <c r="BB310" s="208">
        <v>23270</v>
      </c>
      <c r="BC310" s="208">
        <v>2586</v>
      </c>
      <c r="BD310" s="208">
        <v>258554</v>
      </c>
      <c r="BE310" s="208">
        <v>-220276</v>
      </c>
      <c r="BF310" s="208">
        <v>-176222</v>
      </c>
      <c r="BG310" s="208">
        <v>-39650</v>
      </c>
      <c r="BH310" s="208">
        <v>-4406</v>
      </c>
      <c r="BI310" s="208">
        <v>-440554</v>
      </c>
      <c r="BJ310" s="208">
        <v>-658500</v>
      </c>
      <c r="BK310" s="208">
        <v>-526800</v>
      </c>
      <c r="BL310" s="208">
        <v>-118530</v>
      </c>
      <c r="BM310" s="208">
        <v>-13170</v>
      </c>
      <c r="BN310" s="208">
        <v>-1317000</v>
      </c>
      <c r="BO310" s="208">
        <v>-6058203</v>
      </c>
      <c r="BP310" s="208">
        <v>-4846562</v>
      </c>
      <c r="BQ310" s="208">
        <v>-1090477</v>
      </c>
      <c r="BR310" s="208">
        <v>-121164</v>
      </c>
      <c r="BS310" s="208">
        <v>-12116406</v>
      </c>
      <c r="BT310" s="208">
        <v>-5249647</v>
      </c>
      <c r="BU310" s="208">
        <v>-4199717</v>
      </c>
      <c r="BV310" s="208">
        <v>-944936</v>
      </c>
      <c r="BW310" s="208">
        <v>-104993</v>
      </c>
      <c r="BX310" s="208">
        <v>-10499293</v>
      </c>
      <c r="BY310" s="208">
        <v>-808557</v>
      </c>
      <c r="BZ310" s="208">
        <v>-646845</v>
      </c>
      <c r="CA310" s="208">
        <v>-145540</v>
      </c>
      <c r="CB310" s="208">
        <v>-16171</v>
      </c>
      <c r="CC310" s="208">
        <v>-1617113</v>
      </c>
      <c r="CD310" s="208">
        <v>258559</v>
      </c>
      <c r="CE310" s="208">
        <v>206847</v>
      </c>
      <c r="CF310" s="208">
        <v>46541</v>
      </c>
      <c r="CG310" s="208">
        <v>5171</v>
      </c>
      <c r="CH310" s="208">
        <v>517118</v>
      </c>
      <c r="CI310" s="208">
        <v>0</v>
      </c>
      <c r="CJ310" s="208">
        <v>0</v>
      </c>
      <c r="CK310" s="208">
        <v>0</v>
      </c>
      <c r="CL310" s="208">
        <v>0</v>
      </c>
      <c r="CM310" s="208">
        <v>0</v>
      </c>
      <c r="CN310" s="208">
        <v>-1000000</v>
      </c>
      <c r="CO310" s="208">
        <v>-800000</v>
      </c>
      <c r="CP310" s="208">
        <v>-180000</v>
      </c>
      <c r="CQ310" s="208">
        <v>-20000</v>
      </c>
      <c r="CR310" s="208">
        <v>-2000000</v>
      </c>
      <c r="CS310" s="208">
        <v>-860529</v>
      </c>
      <c r="CT310" s="208">
        <v>-688424</v>
      </c>
      <c r="CU310" s="208">
        <v>-154895</v>
      </c>
      <c r="CV310" s="208">
        <v>-17211</v>
      </c>
      <c r="CW310" s="208">
        <v>-1721059</v>
      </c>
      <c r="CX310" s="208">
        <v>-7660173</v>
      </c>
      <c r="CY310" s="208">
        <v>-6128139</v>
      </c>
      <c r="CZ310" s="208">
        <v>-1378831</v>
      </c>
      <c r="DA310" s="208">
        <v>-153204</v>
      </c>
      <c r="DB310" s="208">
        <v>-15320347</v>
      </c>
      <c r="DC310" s="208">
        <v>-5991088</v>
      </c>
      <c r="DD310" s="208">
        <v>-4792870</v>
      </c>
      <c r="DE310" s="208">
        <v>-1078395</v>
      </c>
      <c r="DF310" s="208">
        <v>-119822</v>
      </c>
      <c r="DG310" s="208">
        <v>-11982175</v>
      </c>
      <c r="DH310" s="208">
        <v>-1669086</v>
      </c>
      <c r="DI310" s="208">
        <v>-1335269</v>
      </c>
      <c r="DJ310" s="208">
        <v>-300435</v>
      </c>
      <c r="DK310" s="208">
        <v>-33382</v>
      </c>
      <c r="DL310" s="208">
        <v>-3338172</v>
      </c>
      <c r="DM310" s="208">
        <v>-1050253</v>
      </c>
      <c r="DN310" s="208">
        <v>-840202</v>
      </c>
      <c r="DO310" s="208">
        <v>-189046</v>
      </c>
      <c r="DP310" s="208">
        <v>-21004</v>
      </c>
      <c r="DQ310" s="208">
        <v>-2100505</v>
      </c>
      <c r="DR310" s="208">
        <v>285461</v>
      </c>
      <c r="DS310" s="208">
        <v>228368</v>
      </c>
      <c r="DT310" s="208">
        <v>51383</v>
      </c>
      <c r="DU310" s="208">
        <v>5709</v>
      </c>
      <c r="DV310" s="208">
        <v>570921</v>
      </c>
      <c r="DW310" s="208">
        <v>-1335714</v>
      </c>
      <c r="DX310" s="208">
        <v>-1068570</v>
      </c>
      <c r="DY310" s="208">
        <v>-240429</v>
      </c>
      <c r="DZ310" s="208">
        <v>-26713</v>
      </c>
      <c r="EA310" s="208">
        <v>-2671426</v>
      </c>
      <c r="EB310" s="208">
        <v>14276745</v>
      </c>
      <c r="EC310" s="208">
        <v>11421396</v>
      </c>
      <c r="ED310" s="208">
        <v>2569814</v>
      </c>
      <c r="EE310" s="208">
        <v>285535</v>
      </c>
      <c r="EF310" s="208">
        <v>28553490</v>
      </c>
      <c r="EG310" s="208">
        <v>14844030</v>
      </c>
      <c r="EH310" s="208">
        <v>11875225</v>
      </c>
      <c r="EI310" s="208">
        <v>2671926</v>
      </c>
      <c r="EJ310" s="208">
        <v>296881</v>
      </c>
      <c r="EK310" s="208">
        <v>29688062</v>
      </c>
      <c r="EL310" s="208">
        <v>567285</v>
      </c>
      <c r="EM310" s="208">
        <v>453829</v>
      </c>
      <c r="EN310" s="208">
        <v>102112</v>
      </c>
      <c r="EO310" s="208">
        <v>11346</v>
      </c>
      <c r="EP310" s="208">
        <v>1134572</v>
      </c>
      <c r="EQ310" s="208">
        <v>-768429</v>
      </c>
      <c r="ER310" s="208">
        <v>-614741</v>
      </c>
      <c r="ES310" s="208">
        <v>-138317</v>
      </c>
      <c r="ET310" s="208">
        <v>-15367</v>
      </c>
      <c r="EU310" s="208">
        <v>-1536854</v>
      </c>
      <c r="EV310" s="666">
        <v>0.5</v>
      </c>
      <c r="EW310" s="666">
        <v>0.4</v>
      </c>
      <c r="EX310" s="666">
        <v>0.09</v>
      </c>
      <c r="EY310" s="666">
        <v>0.01</v>
      </c>
      <c r="EZ310" s="666">
        <v>1</v>
      </c>
      <c r="FA310" s="187" t="s">
        <v>1054</v>
      </c>
      <c r="FC310" s="187">
        <v>0</v>
      </c>
    </row>
    <row r="311" spans="2:159" s="187" customFormat="1" x14ac:dyDescent="0.2">
      <c r="B311" s="429" t="s">
        <v>700</v>
      </c>
      <c r="C311" s="429" t="s">
        <v>699</v>
      </c>
      <c r="D311" s="208">
        <v>15272001</v>
      </c>
      <c r="E311" s="208">
        <v>12217600</v>
      </c>
      <c r="F311" s="208">
        <v>2748960</v>
      </c>
      <c r="G311" s="208">
        <v>305440</v>
      </c>
      <c r="H311" s="208">
        <v>30544001</v>
      </c>
      <c r="I311" s="208">
        <v>0</v>
      </c>
      <c r="J311" s="208">
        <v>0</v>
      </c>
      <c r="K311" s="208">
        <v>15272001</v>
      </c>
      <c r="L311" s="208">
        <v>129089</v>
      </c>
      <c r="M311" s="208">
        <v>129089</v>
      </c>
      <c r="N311" s="208">
        <v>0</v>
      </c>
      <c r="O311" s="208">
        <v>0</v>
      </c>
      <c r="P311" s="208">
        <v>0</v>
      </c>
      <c r="Q311" s="208">
        <v>0</v>
      </c>
      <c r="R311" s="208">
        <v>0</v>
      </c>
      <c r="S311" s="208">
        <v>0</v>
      </c>
      <c r="T311" s="208">
        <v>0</v>
      </c>
      <c r="U311" s="208">
        <v>0</v>
      </c>
      <c r="V311" s="208">
        <v>0</v>
      </c>
      <c r="W311" s="208">
        <v>0</v>
      </c>
      <c r="X311" s="208">
        <v>0</v>
      </c>
      <c r="Y311" s="208">
        <v>0</v>
      </c>
      <c r="Z311" s="208">
        <v>0</v>
      </c>
      <c r="AA311" s="208">
        <v>0</v>
      </c>
      <c r="AB311" s="208">
        <v>0</v>
      </c>
      <c r="AC311" s="208">
        <v>0</v>
      </c>
      <c r="AD311" s="208">
        <v>0</v>
      </c>
      <c r="AE311" s="208">
        <v>0</v>
      </c>
      <c r="AF311" s="208">
        <v>0</v>
      </c>
      <c r="AG311" s="208">
        <v>1423087</v>
      </c>
      <c r="AH311" s="208">
        <v>320195</v>
      </c>
      <c r="AI311" s="208">
        <v>35578</v>
      </c>
      <c r="AJ311" s="208">
        <v>1778860</v>
      </c>
      <c r="AK311" s="208">
        <v>1958044</v>
      </c>
      <c r="AL311" s="208">
        <v>1566435</v>
      </c>
      <c r="AM311" s="208">
        <v>352448</v>
      </c>
      <c r="AN311" s="208">
        <v>39161</v>
      </c>
      <c r="AO311" s="208">
        <v>3916088</v>
      </c>
      <c r="AP311" s="208">
        <v>-441884</v>
      </c>
      <c r="AQ311" s="208">
        <v>-353508</v>
      </c>
      <c r="AR311" s="208">
        <v>-79539</v>
      </c>
      <c r="AS311" s="208">
        <v>-8838</v>
      </c>
      <c r="AT311" s="208">
        <v>-883769</v>
      </c>
      <c r="AU311" s="208">
        <v>-802154</v>
      </c>
      <c r="AV311" s="208">
        <v>-641723</v>
      </c>
      <c r="AW311" s="208">
        <v>-144388</v>
      </c>
      <c r="AX311" s="208">
        <v>-16043</v>
      </c>
      <c r="AY311" s="208">
        <v>-1604308</v>
      </c>
      <c r="AZ311" s="208">
        <v>249428</v>
      </c>
      <c r="BA311" s="208">
        <v>199542</v>
      </c>
      <c r="BB311" s="208">
        <v>44897</v>
      </c>
      <c r="BC311" s="208">
        <v>4989</v>
      </c>
      <c r="BD311" s="208">
        <v>498856</v>
      </c>
      <c r="BE311" s="208">
        <v>-310600</v>
      </c>
      <c r="BF311" s="208">
        <v>-248480</v>
      </c>
      <c r="BG311" s="208">
        <v>-55908</v>
      </c>
      <c r="BH311" s="208">
        <v>-6212</v>
      </c>
      <c r="BI311" s="208">
        <v>-621200</v>
      </c>
      <c r="BJ311" s="208">
        <v>-863326</v>
      </c>
      <c r="BK311" s="208">
        <v>-690661</v>
      </c>
      <c r="BL311" s="208">
        <v>-155399</v>
      </c>
      <c r="BM311" s="208">
        <v>-17266</v>
      </c>
      <c r="BN311" s="208">
        <v>-1726652</v>
      </c>
      <c r="BO311" s="208">
        <v>-1378613</v>
      </c>
      <c r="BP311" s="208">
        <v>-1102890</v>
      </c>
      <c r="BQ311" s="208">
        <v>-248150</v>
      </c>
      <c r="BR311" s="208">
        <v>-27572</v>
      </c>
      <c r="BS311" s="208">
        <v>-2757225</v>
      </c>
      <c r="BT311" s="208">
        <v>0</v>
      </c>
      <c r="BU311" s="208">
        <v>0</v>
      </c>
      <c r="BV311" s="208">
        <v>0</v>
      </c>
      <c r="BW311" s="208">
        <v>0</v>
      </c>
      <c r="BX311" s="208">
        <v>0</v>
      </c>
      <c r="BY311" s="208">
        <v>-1378613</v>
      </c>
      <c r="BZ311" s="208">
        <v>-1102890</v>
      </c>
      <c r="CA311" s="208">
        <v>-248150</v>
      </c>
      <c r="CB311" s="208">
        <v>-27572</v>
      </c>
      <c r="CC311" s="208">
        <v>-2757225</v>
      </c>
      <c r="CD311" s="208">
        <v>0</v>
      </c>
      <c r="CE311" s="208">
        <v>0</v>
      </c>
      <c r="CF311" s="208">
        <v>0</v>
      </c>
      <c r="CG311" s="208">
        <v>0</v>
      </c>
      <c r="CH311" s="208">
        <v>0</v>
      </c>
      <c r="CI311" s="208">
        <v>0</v>
      </c>
      <c r="CJ311" s="208">
        <v>0</v>
      </c>
      <c r="CK311" s="208">
        <v>0</v>
      </c>
      <c r="CL311" s="208">
        <v>0</v>
      </c>
      <c r="CM311" s="208">
        <v>0</v>
      </c>
      <c r="CN311" s="208">
        <v>0</v>
      </c>
      <c r="CO311" s="208">
        <v>0</v>
      </c>
      <c r="CP311" s="208">
        <v>0</v>
      </c>
      <c r="CQ311" s="208">
        <v>0</v>
      </c>
      <c r="CR311" s="208">
        <v>0</v>
      </c>
      <c r="CS311" s="208">
        <v>72595</v>
      </c>
      <c r="CT311" s="208">
        <v>58076</v>
      </c>
      <c r="CU311" s="208">
        <v>13067</v>
      </c>
      <c r="CV311" s="208">
        <v>1452</v>
      </c>
      <c r="CW311" s="208">
        <v>145190</v>
      </c>
      <c r="CX311" s="208">
        <v>-1306018</v>
      </c>
      <c r="CY311" s="208">
        <v>-1044814</v>
      </c>
      <c r="CZ311" s="208">
        <v>-235083</v>
      </c>
      <c r="DA311" s="208">
        <v>-26120</v>
      </c>
      <c r="DB311" s="208">
        <v>-2612035</v>
      </c>
      <c r="DC311" s="208">
        <v>0</v>
      </c>
      <c r="DD311" s="208">
        <v>0</v>
      </c>
      <c r="DE311" s="208">
        <v>0</v>
      </c>
      <c r="DF311" s="208">
        <v>0</v>
      </c>
      <c r="DG311" s="208">
        <v>0</v>
      </c>
      <c r="DH311" s="208">
        <v>-1306018</v>
      </c>
      <c r="DI311" s="208">
        <v>-1044814</v>
      </c>
      <c r="DJ311" s="208">
        <v>-235083</v>
      </c>
      <c r="DK311" s="208">
        <v>-26120</v>
      </c>
      <c r="DL311" s="208">
        <v>-2612035</v>
      </c>
      <c r="DM311" s="208">
        <v>299411</v>
      </c>
      <c r="DN311" s="208">
        <v>239532</v>
      </c>
      <c r="DO311" s="208">
        <v>53894</v>
      </c>
      <c r="DP311" s="208">
        <v>5989</v>
      </c>
      <c r="DQ311" s="208">
        <v>598826</v>
      </c>
      <c r="DR311" s="208">
        <v>46811</v>
      </c>
      <c r="DS311" s="208">
        <v>37449</v>
      </c>
      <c r="DT311" s="208">
        <v>8426</v>
      </c>
      <c r="DU311" s="208">
        <v>936</v>
      </c>
      <c r="DV311" s="208">
        <v>93622</v>
      </c>
      <c r="DW311" s="208">
        <v>252600</v>
      </c>
      <c r="DX311" s="208">
        <v>202083</v>
      </c>
      <c r="DY311" s="208">
        <v>45468</v>
      </c>
      <c r="DZ311" s="208">
        <v>5053</v>
      </c>
      <c r="EA311" s="208">
        <v>505204</v>
      </c>
      <c r="EB311" s="208">
        <v>14427797</v>
      </c>
      <c r="EC311" s="208">
        <v>11542238</v>
      </c>
      <c r="ED311" s="208">
        <v>2597003</v>
      </c>
      <c r="EE311" s="208">
        <v>288556</v>
      </c>
      <c r="EF311" s="208">
        <v>28855594</v>
      </c>
      <c r="EG311" s="208">
        <v>15272001</v>
      </c>
      <c r="EH311" s="208">
        <v>12217600</v>
      </c>
      <c r="EI311" s="208">
        <v>2748960</v>
      </c>
      <c r="EJ311" s="208">
        <v>305440</v>
      </c>
      <c r="EK311" s="208">
        <v>30544001</v>
      </c>
      <c r="EL311" s="208">
        <v>844204</v>
      </c>
      <c r="EM311" s="208">
        <v>675362</v>
      </c>
      <c r="EN311" s="208">
        <v>151957</v>
      </c>
      <c r="EO311" s="208">
        <v>16884</v>
      </c>
      <c r="EP311" s="208">
        <v>1688407</v>
      </c>
      <c r="EQ311" s="208">
        <v>1096804</v>
      </c>
      <c r="ER311" s="208">
        <v>877445</v>
      </c>
      <c r="ES311" s="208">
        <v>197425</v>
      </c>
      <c r="ET311" s="208">
        <v>21937</v>
      </c>
      <c r="EU311" s="208">
        <v>2193611</v>
      </c>
      <c r="EV311" s="666">
        <v>0.5</v>
      </c>
      <c r="EW311" s="666">
        <v>0.4</v>
      </c>
      <c r="EX311" s="666">
        <v>0.09</v>
      </c>
      <c r="EY311" s="666">
        <v>0.01</v>
      </c>
      <c r="EZ311" s="666">
        <v>1</v>
      </c>
      <c r="FA311" s="187" t="s">
        <v>1054</v>
      </c>
      <c r="FC311" s="187">
        <v>0</v>
      </c>
    </row>
    <row r="312" spans="2:159" s="187" customFormat="1" x14ac:dyDescent="0.2">
      <c r="B312" s="429" t="s">
        <v>702</v>
      </c>
      <c r="C312" s="429" t="s">
        <v>701</v>
      </c>
      <c r="D312" s="208">
        <v>0</v>
      </c>
      <c r="E312" s="208">
        <v>10640259</v>
      </c>
      <c r="F312" s="208">
        <v>7093506</v>
      </c>
      <c r="G312" s="208">
        <v>0</v>
      </c>
      <c r="H312" s="208">
        <v>17733765</v>
      </c>
      <c r="I312" s="208">
        <v>0</v>
      </c>
      <c r="J312" s="208">
        <v>0</v>
      </c>
      <c r="K312" s="208">
        <v>0</v>
      </c>
      <c r="L312" s="208">
        <v>104774</v>
      </c>
      <c r="M312" s="208">
        <v>104774</v>
      </c>
      <c r="N312" s="208">
        <v>0</v>
      </c>
      <c r="O312" s="208">
        <v>0</v>
      </c>
      <c r="P312" s="208">
        <v>49909</v>
      </c>
      <c r="Q312" s="208">
        <v>145567</v>
      </c>
      <c r="R312" s="208">
        <v>195476</v>
      </c>
      <c r="S312" s="208">
        <v>0</v>
      </c>
      <c r="T312" s="208">
        <v>0</v>
      </c>
      <c r="U312" s="208">
        <v>0</v>
      </c>
      <c r="V312" s="208">
        <v>0</v>
      </c>
      <c r="W312" s="208">
        <v>0</v>
      </c>
      <c r="X312" s="208">
        <v>0</v>
      </c>
      <c r="Y312" s="208">
        <v>0</v>
      </c>
      <c r="Z312" s="208">
        <v>0</v>
      </c>
      <c r="AA312" s="208">
        <v>0</v>
      </c>
      <c r="AB312" s="208">
        <v>0</v>
      </c>
      <c r="AC312" s="208">
        <v>0</v>
      </c>
      <c r="AD312" s="208">
        <v>0</v>
      </c>
      <c r="AE312" s="208">
        <v>0</v>
      </c>
      <c r="AF312" s="208">
        <v>0</v>
      </c>
      <c r="AG312" s="208">
        <v>1462023</v>
      </c>
      <c r="AH312" s="208">
        <v>977253</v>
      </c>
      <c r="AI312" s="208">
        <v>0</v>
      </c>
      <c r="AJ312" s="208">
        <v>2439276</v>
      </c>
      <c r="AK312" s="208">
        <v>0</v>
      </c>
      <c r="AL312" s="208">
        <v>630059</v>
      </c>
      <c r="AM312" s="208">
        <v>420039</v>
      </c>
      <c r="AN312" s="208">
        <v>0</v>
      </c>
      <c r="AO312" s="208">
        <v>1050098</v>
      </c>
      <c r="AP312" s="208">
        <v>0</v>
      </c>
      <c r="AQ312" s="208">
        <v>-458434</v>
      </c>
      <c r="AR312" s="208">
        <v>-305623</v>
      </c>
      <c r="AS312" s="208">
        <v>0</v>
      </c>
      <c r="AT312" s="208">
        <v>-764057</v>
      </c>
      <c r="AU312" s="208">
        <v>0</v>
      </c>
      <c r="AV312" s="208">
        <v>-209842</v>
      </c>
      <c r="AW312" s="208">
        <v>-139894</v>
      </c>
      <c r="AX312" s="208">
        <v>0</v>
      </c>
      <c r="AY312" s="208">
        <v>-349736</v>
      </c>
      <c r="AZ312" s="208">
        <v>0</v>
      </c>
      <c r="BA312" s="208">
        <v>39706</v>
      </c>
      <c r="BB312" s="208">
        <v>26471</v>
      </c>
      <c r="BC312" s="208">
        <v>0</v>
      </c>
      <c r="BD312" s="208">
        <v>66177</v>
      </c>
      <c r="BE312" s="208">
        <v>0</v>
      </c>
      <c r="BF312" s="208">
        <v>-113779</v>
      </c>
      <c r="BG312" s="208">
        <v>-75853</v>
      </c>
      <c r="BH312" s="208">
        <v>0</v>
      </c>
      <c r="BI312" s="208">
        <v>-189632</v>
      </c>
      <c r="BJ312" s="208">
        <v>0</v>
      </c>
      <c r="BK312" s="208">
        <v>-283915</v>
      </c>
      <c r="BL312" s="208">
        <v>-189276</v>
      </c>
      <c r="BM312" s="208">
        <v>0</v>
      </c>
      <c r="BN312" s="208">
        <v>-473191</v>
      </c>
      <c r="BO312" s="208">
        <v>0</v>
      </c>
      <c r="BP312" s="208">
        <v>-1164027</v>
      </c>
      <c r="BQ312" s="208">
        <v>-776018</v>
      </c>
      <c r="BR312" s="208">
        <v>0</v>
      </c>
      <c r="BS312" s="208">
        <v>-1940045</v>
      </c>
      <c r="BT312" s="208">
        <v>0</v>
      </c>
      <c r="BU312" s="208">
        <v>-707272</v>
      </c>
      <c r="BV312" s="208">
        <v>-471514</v>
      </c>
      <c r="BW312" s="208">
        <v>0</v>
      </c>
      <c r="BX312" s="208">
        <v>-1178786</v>
      </c>
      <c r="BY312" s="208">
        <v>0</v>
      </c>
      <c r="BZ312" s="208">
        <v>-456755</v>
      </c>
      <c r="CA312" s="208">
        <v>-304504</v>
      </c>
      <c r="CB312" s="208">
        <v>0</v>
      </c>
      <c r="CC312" s="208">
        <v>-761259</v>
      </c>
      <c r="CD312" s="208">
        <v>0</v>
      </c>
      <c r="CE312" s="208">
        <v>34256</v>
      </c>
      <c r="CF312" s="208">
        <v>22838</v>
      </c>
      <c r="CG312" s="208">
        <v>0</v>
      </c>
      <c r="CH312" s="208">
        <v>57094</v>
      </c>
      <c r="CI312" s="208">
        <v>0</v>
      </c>
      <c r="CJ312" s="208">
        <v>0</v>
      </c>
      <c r="CK312" s="208">
        <v>0</v>
      </c>
      <c r="CL312" s="208">
        <v>0</v>
      </c>
      <c r="CM312" s="208">
        <v>0</v>
      </c>
      <c r="CN312" s="208">
        <v>0</v>
      </c>
      <c r="CO312" s="208">
        <v>72326</v>
      </c>
      <c r="CP312" s="208">
        <v>48218</v>
      </c>
      <c r="CQ312" s="208">
        <v>0</v>
      </c>
      <c r="CR312" s="208">
        <v>120544</v>
      </c>
      <c r="CS312" s="208">
        <v>0</v>
      </c>
      <c r="CT312" s="208">
        <v>62495</v>
      </c>
      <c r="CU312" s="208">
        <v>41663</v>
      </c>
      <c r="CV312" s="208">
        <v>0</v>
      </c>
      <c r="CW312" s="208">
        <v>104158</v>
      </c>
      <c r="CX312" s="208">
        <v>0</v>
      </c>
      <c r="CY312" s="208">
        <v>-994950</v>
      </c>
      <c r="CZ312" s="208">
        <v>-663299</v>
      </c>
      <c r="DA312" s="208">
        <v>0</v>
      </c>
      <c r="DB312" s="208">
        <v>-1658249</v>
      </c>
      <c r="DC312" s="208">
        <v>0</v>
      </c>
      <c r="DD312" s="208">
        <v>-600690</v>
      </c>
      <c r="DE312" s="208">
        <v>-400458</v>
      </c>
      <c r="DF312" s="208">
        <v>0</v>
      </c>
      <c r="DG312" s="208">
        <v>-1001148</v>
      </c>
      <c r="DH312" s="208">
        <v>0</v>
      </c>
      <c r="DI312" s="208">
        <v>-394260</v>
      </c>
      <c r="DJ312" s="208">
        <v>-262841</v>
      </c>
      <c r="DK312" s="208">
        <v>0</v>
      </c>
      <c r="DL312" s="208">
        <v>-657101</v>
      </c>
      <c r="DM312" s="208">
        <v>-181181</v>
      </c>
      <c r="DN312" s="208">
        <v>-144946</v>
      </c>
      <c r="DO312" s="208">
        <v>-36237</v>
      </c>
      <c r="DP312" s="208">
        <v>0</v>
      </c>
      <c r="DQ312" s="208">
        <v>-362364</v>
      </c>
      <c r="DR312" s="208">
        <v>0</v>
      </c>
      <c r="DS312" s="208">
        <v>0</v>
      </c>
      <c r="DT312" s="208">
        <v>0</v>
      </c>
      <c r="DU312" s="208">
        <v>0</v>
      </c>
      <c r="DV312" s="208">
        <v>0</v>
      </c>
      <c r="DW312" s="208">
        <v>-181181</v>
      </c>
      <c r="DX312" s="208">
        <v>-144946</v>
      </c>
      <c r="DY312" s="208">
        <v>-36237</v>
      </c>
      <c r="DZ312" s="208">
        <v>0</v>
      </c>
      <c r="EA312" s="208">
        <v>-362364</v>
      </c>
      <c r="EB312" s="208">
        <v>0</v>
      </c>
      <c r="EC312" s="208">
        <v>10430641</v>
      </c>
      <c r="ED312" s="208">
        <v>6953761</v>
      </c>
      <c r="EE312" s="208">
        <v>0</v>
      </c>
      <c r="EF312" s="208">
        <v>17384402</v>
      </c>
      <c r="EG312" s="208">
        <v>0</v>
      </c>
      <c r="EH312" s="208">
        <v>10640259</v>
      </c>
      <c r="EI312" s="208">
        <v>7093506</v>
      </c>
      <c r="EJ312" s="208">
        <v>0</v>
      </c>
      <c r="EK312" s="208">
        <v>17733765</v>
      </c>
      <c r="EL312" s="208">
        <v>0</v>
      </c>
      <c r="EM312" s="208">
        <v>209618</v>
      </c>
      <c r="EN312" s="208">
        <v>139745</v>
      </c>
      <c r="EO312" s="208">
        <v>0</v>
      </c>
      <c r="EP312" s="208">
        <v>349363</v>
      </c>
      <c r="EQ312" s="208">
        <v>-181181</v>
      </c>
      <c r="ER312" s="208">
        <v>64672</v>
      </c>
      <c r="ES312" s="208">
        <v>103508</v>
      </c>
      <c r="ET312" s="208">
        <v>0</v>
      </c>
      <c r="EU312" s="208">
        <v>-13001</v>
      </c>
      <c r="EV312" s="666">
        <v>0</v>
      </c>
      <c r="EW312" s="666">
        <v>0.6</v>
      </c>
      <c r="EX312" s="666">
        <v>0.4</v>
      </c>
      <c r="EY312" s="666">
        <v>0</v>
      </c>
      <c r="EZ312" s="666">
        <v>1</v>
      </c>
      <c r="FA312" s="187" t="s">
        <v>1054</v>
      </c>
      <c r="FC312" s="187">
        <v>0</v>
      </c>
    </row>
    <row r="313" spans="2:159" s="187" customFormat="1" x14ac:dyDescent="0.2">
      <c r="B313" s="429" t="s">
        <v>704</v>
      </c>
      <c r="C313" s="429" t="s">
        <v>703</v>
      </c>
      <c r="D313" s="208">
        <v>18486657</v>
      </c>
      <c r="E313" s="208">
        <v>14789326</v>
      </c>
      <c r="F313" s="208">
        <v>3697331</v>
      </c>
      <c r="G313" s="208">
        <v>0</v>
      </c>
      <c r="H313" s="208">
        <v>36973314</v>
      </c>
      <c r="I313" s="208">
        <v>0</v>
      </c>
      <c r="J313" s="208">
        <v>0</v>
      </c>
      <c r="K313" s="208">
        <v>18486657</v>
      </c>
      <c r="L313" s="208">
        <v>162472</v>
      </c>
      <c r="M313" s="208">
        <v>162472</v>
      </c>
      <c r="N313" s="208">
        <v>0</v>
      </c>
      <c r="O313" s="208">
        <v>0</v>
      </c>
      <c r="P313" s="208">
        <v>228415</v>
      </c>
      <c r="Q313" s="208">
        <v>0</v>
      </c>
      <c r="R313" s="208">
        <v>228415</v>
      </c>
      <c r="S313" s="208">
        <v>0</v>
      </c>
      <c r="T313" s="208">
        <v>0</v>
      </c>
      <c r="U313" s="208">
        <v>0</v>
      </c>
      <c r="V313" s="208">
        <v>0</v>
      </c>
      <c r="W313" s="208">
        <v>0</v>
      </c>
      <c r="X313" s="208">
        <v>0</v>
      </c>
      <c r="Y313" s="208">
        <v>0</v>
      </c>
      <c r="Z313" s="208">
        <v>0</v>
      </c>
      <c r="AA313" s="208">
        <v>0</v>
      </c>
      <c r="AB313" s="208">
        <v>0</v>
      </c>
      <c r="AC313" s="208">
        <v>0</v>
      </c>
      <c r="AD313" s="208">
        <v>0</v>
      </c>
      <c r="AE313" s="208">
        <v>0</v>
      </c>
      <c r="AF313" s="208">
        <v>0</v>
      </c>
      <c r="AG313" s="208">
        <v>1714854</v>
      </c>
      <c r="AH313" s="208">
        <v>427405</v>
      </c>
      <c r="AI313" s="208">
        <v>0</v>
      </c>
      <c r="AJ313" s="208">
        <v>2142259</v>
      </c>
      <c r="AK313" s="208">
        <v>481058</v>
      </c>
      <c r="AL313" s="208">
        <v>384846</v>
      </c>
      <c r="AM313" s="208">
        <v>96212</v>
      </c>
      <c r="AN313" s="208">
        <v>0</v>
      </c>
      <c r="AO313" s="208">
        <v>962116</v>
      </c>
      <c r="AP313" s="208">
        <v>-137081</v>
      </c>
      <c r="AQ313" s="208">
        <v>-109664</v>
      </c>
      <c r="AR313" s="208">
        <v>-27416</v>
      </c>
      <c r="AS313" s="208">
        <v>0</v>
      </c>
      <c r="AT313" s="208">
        <v>-274161</v>
      </c>
      <c r="AU313" s="208">
        <v>-201577</v>
      </c>
      <c r="AV313" s="208">
        <v>-161262</v>
      </c>
      <c r="AW313" s="208">
        <v>-40315</v>
      </c>
      <c r="AX313" s="208">
        <v>0</v>
      </c>
      <c r="AY313" s="208">
        <v>-403154</v>
      </c>
      <c r="AZ313" s="208">
        <v>172808</v>
      </c>
      <c r="BA313" s="208">
        <v>138247</v>
      </c>
      <c r="BB313" s="208">
        <v>34562</v>
      </c>
      <c r="BC313" s="208">
        <v>0</v>
      </c>
      <c r="BD313" s="208">
        <v>345617</v>
      </c>
      <c r="BE313" s="208">
        <v>-112042</v>
      </c>
      <c r="BF313" s="208">
        <v>-89634</v>
      </c>
      <c r="BG313" s="208">
        <v>-22408</v>
      </c>
      <c r="BH313" s="208">
        <v>0</v>
      </c>
      <c r="BI313" s="208">
        <v>-224084</v>
      </c>
      <c r="BJ313" s="208">
        <v>-140811</v>
      </c>
      <c r="BK313" s="208">
        <v>-112649</v>
      </c>
      <c r="BL313" s="208">
        <v>-28161</v>
      </c>
      <c r="BM313" s="208">
        <v>0</v>
      </c>
      <c r="BN313" s="208">
        <v>-281621</v>
      </c>
      <c r="BO313" s="208">
        <v>-1925244</v>
      </c>
      <c r="BP313" s="208">
        <v>-1540195</v>
      </c>
      <c r="BQ313" s="208">
        <v>-385049</v>
      </c>
      <c r="BR313" s="208">
        <v>0</v>
      </c>
      <c r="BS313" s="208">
        <v>-3850488</v>
      </c>
      <c r="BT313" s="208">
        <v>-1076534</v>
      </c>
      <c r="BU313" s="208">
        <v>-861227</v>
      </c>
      <c r="BV313" s="208">
        <v>-215307</v>
      </c>
      <c r="BW313" s="208">
        <v>0</v>
      </c>
      <c r="BX313" s="208">
        <v>-2153068</v>
      </c>
      <c r="BY313" s="208">
        <v>-848710</v>
      </c>
      <c r="BZ313" s="208">
        <v>-678968</v>
      </c>
      <c r="CA313" s="208">
        <v>-169742</v>
      </c>
      <c r="CB313" s="208">
        <v>0</v>
      </c>
      <c r="CC313" s="208">
        <v>-1697420</v>
      </c>
      <c r="CD313" s="208">
        <v>748037</v>
      </c>
      <c r="CE313" s="208">
        <v>598430</v>
      </c>
      <c r="CF313" s="208">
        <v>149608</v>
      </c>
      <c r="CG313" s="208">
        <v>0</v>
      </c>
      <c r="CH313" s="208">
        <v>1496075</v>
      </c>
      <c r="CI313" s="208">
        <v>0</v>
      </c>
      <c r="CJ313" s="208">
        <v>0</v>
      </c>
      <c r="CK313" s="208">
        <v>0</v>
      </c>
      <c r="CL313" s="208">
        <v>0</v>
      </c>
      <c r="CM313" s="208">
        <v>0</v>
      </c>
      <c r="CN313" s="208">
        <v>-82679</v>
      </c>
      <c r="CO313" s="208">
        <v>-66144</v>
      </c>
      <c r="CP313" s="208">
        <v>-16536</v>
      </c>
      <c r="CQ313" s="208">
        <v>0</v>
      </c>
      <c r="CR313" s="208">
        <v>-165359</v>
      </c>
      <c r="CS313" s="208">
        <v>-842567</v>
      </c>
      <c r="CT313" s="208">
        <v>-674054</v>
      </c>
      <c r="CU313" s="208">
        <v>-168513</v>
      </c>
      <c r="CV313" s="208">
        <v>0</v>
      </c>
      <c r="CW313" s="208">
        <v>-1685134</v>
      </c>
      <c r="CX313" s="208">
        <v>-2102453</v>
      </c>
      <c r="CY313" s="208">
        <v>-1681963</v>
      </c>
      <c r="CZ313" s="208">
        <v>-420490</v>
      </c>
      <c r="DA313" s="208">
        <v>0</v>
      </c>
      <c r="DB313" s="208">
        <v>-4204906</v>
      </c>
      <c r="DC313" s="208">
        <v>-411176</v>
      </c>
      <c r="DD313" s="208">
        <v>-328941</v>
      </c>
      <c r="DE313" s="208">
        <v>-82235</v>
      </c>
      <c r="DF313" s="208">
        <v>0</v>
      </c>
      <c r="DG313" s="208">
        <v>-822352</v>
      </c>
      <c r="DH313" s="208">
        <v>-1691277</v>
      </c>
      <c r="DI313" s="208">
        <v>-1353022</v>
      </c>
      <c r="DJ313" s="208">
        <v>-338255</v>
      </c>
      <c r="DK313" s="208">
        <v>0</v>
      </c>
      <c r="DL313" s="208">
        <v>-3382554</v>
      </c>
      <c r="DM313" s="208">
        <v>-271732</v>
      </c>
      <c r="DN313" s="208">
        <v>-217387</v>
      </c>
      <c r="DO313" s="208">
        <v>-54347</v>
      </c>
      <c r="DP313" s="208">
        <v>0</v>
      </c>
      <c r="DQ313" s="208">
        <v>-543466</v>
      </c>
      <c r="DR313" s="208">
        <v>-82731</v>
      </c>
      <c r="DS313" s="208">
        <v>-66184</v>
      </c>
      <c r="DT313" s="208">
        <v>-16546</v>
      </c>
      <c r="DU313" s="208">
        <v>0</v>
      </c>
      <c r="DV313" s="208">
        <v>-165461</v>
      </c>
      <c r="DW313" s="208">
        <v>-189001</v>
      </c>
      <c r="DX313" s="208">
        <v>-151203</v>
      </c>
      <c r="DY313" s="208">
        <v>-37801</v>
      </c>
      <c r="DZ313" s="208">
        <v>0</v>
      </c>
      <c r="EA313" s="208">
        <v>-378005</v>
      </c>
      <c r="EB313" s="208">
        <v>18955808</v>
      </c>
      <c r="EC313" s="208">
        <v>15164646</v>
      </c>
      <c r="ED313" s="208">
        <v>3791162</v>
      </c>
      <c r="EE313" s="208">
        <v>0</v>
      </c>
      <c r="EF313" s="208">
        <v>37911616</v>
      </c>
      <c r="EG313" s="208">
        <v>18486657</v>
      </c>
      <c r="EH313" s="208">
        <v>14789326</v>
      </c>
      <c r="EI313" s="208">
        <v>3697331</v>
      </c>
      <c r="EJ313" s="208">
        <v>0</v>
      </c>
      <c r="EK313" s="208">
        <v>36973314</v>
      </c>
      <c r="EL313" s="208">
        <v>-469151</v>
      </c>
      <c r="EM313" s="208">
        <v>-375320</v>
      </c>
      <c r="EN313" s="208">
        <v>-93831</v>
      </c>
      <c r="EO313" s="208">
        <v>0</v>
      </c>
      <c r="EP313" s="208">
        <v>-938302</v>
      </c>
      <c r="EQ313" s="208">
        <v>-658152</v>
      </c>
      <c r="ER313" s="208">
        <v>-526523</v>
      </c>
      <c r="ES313" s="208">
        <v>-131632</v>
      </c>
      <c r="ET313" s="208">
        <v>0</v>
      </c>
      <c r="EU313" s="208">
        <v>-1316307</v>
      </c>
      <c r="EV313" s="666">
        <v>0.5</v>
      </c>
      <c r="EW313" s="666">
        <v>0.4</v>
      </c>
      <c r="EX313" s="666">
        <v>0.1</v>
      </c>
      <c r="EY313" s="666">
        <v>0</v>
      </c>
      <c r="EZ313" s="666">
        <v>1</v>
      </c>
      <c r="FA313" s="187" t="s">
        <v>1054</v>
      </c>
      <c r="FC313" s="187">
        <v>0</v>
      </c>
    </row>
    <row r="314" spans="2:159" s="187" customFormat="1" x14ac:dyDescent="0.2">
      <c r="B314" s="429" t="s">
        <v>706</v>
      </c>
      <c r="C314" s="429" t="s">
        <v>705</v>
      </c>
      <c r="D314" s="208">
        <v>8723849</v>
      </c>
      <c r="E314" s="208">
        <v>6979080</v>
      </c>
      <c r="F314" s="208">
        <v>1570293</v>
      </c>
      <c r="G314" s="208">
        <v>174477</v>
      </c>
      <c r="H314" s="208">
        <v>17447699</v>
      </c>
      <c r="I314" s="208">
        <v>0</v>
      </c>
      <c r="J314" s="208">
        <v>0</v>
      </c>
      <c r="K314" s="208">
        <v>8723849</v>
      </c>
      <c r="L314" s="208">
        <v>76910</v>
      </c>
      <c r="M314" s="208">
        <v>76910</v>
      </c>
      <c r="N314" s="208">
        <v>0</v>
      </c>
      <c r="O314" s="208">
        <v>0</v>
      </c>
      <c r="P314" s="208">
        <v>29490</v>
      </c>
      <c r="Q314" s="208">
        <v>0</v>
      </c>
      <c r="R314" s="208">
        <v>29490</v>
      </c>
      <c r="S314" s="208">
        <v>0</v>
      </c>
      <c r="T314" s="208">
        <v>0</v>
      </c>
      <c r="U314" s="208">
        <v>0</v>
      </c>
      <c r="V314" s="208">
        <v>0</v>
      </c>
      <c r="W314" s="208">
        <v>0</v>
      </c>
      <c r="X314" s="208">
        <v>0</v>
      </c>
      <c r="Y314" s="208">
        <v>0</v>
      </c>
      <c r="Z314" s="208">
        <v>0</v>
      </c>
      <c r="AA314" s="208">
        <v>0</v>
      </c>
      <c r="AB314" s="208">
        <v>0</v>
      </c>
      <c r="AC314" s="208">
        <v>0</v>
      </c>
      <c r="AD314" s="208">
        <v>0</v>
      </c>
      <c r="AE314" s="208">
        <v>0</v>
      </c>
      <c r="AF314" s="208">
        <v>0</v>
      </c>
      <c r="AG314" s="208">
        <v>832891</v>
      </c>
      <c r="AH314" s="208">
        <v>187248</v>
      </c>
      <c r="AI314" s="208">
        <v>20804</v>
      </c>
      <c r="AJ314" s="208">
        <v>1040943</v>
      </c>
      <c r="AK314" s="208">
        <v>558764</v>
      </c>
      <c r="AL314" s="208">
        <v>447011</v>
      </c>
      <c r="AM314" s="208">
        <v>100577</v>
      </c>
      <c r="AN314" s="208">
        <v>11175</v>
      </c>
      <c r="AO314" s="208">
        <v>1117527</v>
      </c>
      <c r="AP314" s="208">
        <v>-108531</v>
      </c>
      <c r="AQ314" s="208">
        <v>-86826</v>
      </c>
      <c r="AR314" s="208">
        <v>-19536</v>
      </c>
      <c r="AS314" s="208">
        <v>-2171</v>
      </c>
      <c r="AT314" s="208">
        <v>-217064</v>
      </c>
      <c r="AU314" s="208">
        <v>-66492</v>
      </c>
      <c r="AV314" s="208">
        <v>-53194</v>
      </c>
      <c r="AW314" s="208">
        <v>-11969</v>
      </c>
      <c r="AX314" s="208">
        <v>-1330</v>
      </c>
      <c r="AY314" s="208">
        <v>-132985</v>
      </c>
      <c r="AZ314" s="208">
        <v>66492</v>
      </c>
      <c r="BA314" s="208">
        <v>53194</v>
      </c>
      <c r="BB314" s="208">
        <v>11969</v>
      </c>
      <c r="BC314" s="208">
        <v>1330</v>
      </c>
      <c r="BD314" s="208">
        <v>132985</v>
      </c>
      <c r="BE314" s="208">
        <v>-132653</v>
      </c>
      <c r="BF314" s="208">
        <v>-106122</v>
      </c>
      <c r="BG314" s="208">
        <v>-23877</v>
      </c>
      <c r="BH314" s="208">
        <v>-2653</v>
      </c>
      <c r="BI314" s="208">
        <v>-265305</v>
      </c>
      <c r="BJ314" s="208">
        <v>-132653</v>
      </c>
      <c r="BK314" s="208">
        <v>-106122</v>
      </c>
      <c r="BL314" s="208">
        <v>-23877</v>
      </c>
      <c r="BM314" s="208">
        <v>-2653</v>
      </c>
      <c r="BN314" s="208">
        <v>-265305</v>
      </c>
      <c r="BO314" s="208">
        <v>-1068134</v>
      </c>
      <c r="BP314" s="208">
        <v>-854508</v>
      </c>
      <c r="BQ314" s="208">
        <v>-192264</v>
      </c>
      <c r="BR314" s="208">
        <v>-21363</v>
      </c>
      <c r="BS314" s="208">
        <v>-2136269</v>
      </c>
      <c r="BT314" s="208">
        <v>-399947</v>
      </c>
      <c r="BU314" s="208">
        <v>-319958</v>
      </c>
      <c r="BV314" s="208">
        <v>-71991</v>
      </c>
      <c r="BW314" s="208">
        <v>-7999</v>
      </c>
      <c r="BX314" s="208">
        <v>-799895</v>
      </c>
      <c r="BY314" s="208">
        <v>-668186</v>
      </c>
      <c r="BZ314" s="208">
        <v>-534550</v>
      </c>
      <c r="CA314" s="208">
        <v>-120274</v>
      </c>
      <c r="CB314" s="208">
        <v>-13364</v>
      </c>
      <c r="CC314" s="208">
        <v>-1336374</v>
      </c>
      <c r="CD314" s="208">
        <v>13951</v>
      </c>
      <c r="CE314" s="208">
        <v>11161</v>
      </c>
      <c r="CF314" s="208">
        <v>2511</v>
      </c>
      <c r="CG314" s="208">
        <v>279</v>
      </c>
      <c r="CH314" s="208">
        <v>27902</v>
      </c>
      <c r="CI314" s="208">
        <v>1731</v>
      </c>
      <c r="CJ314" s="208">
        <v>1384</v>
      </c>
      <c r="CK314" s="208">
        <v>311</v>
      </c>
      <c r="CL314" s="208">
        <v>35</v>
      </c>
      <c r="CM314" s="208">
        <v>3461</v>
      </c>
      <c r="CN314" s="208">
        <v>55986</v>
      </c>
      <c r="CO314" s="208">
        <v>44789</v>
      </c>
      <c r="CP314" s="208">
        <v>10078</v>
      </c>
      <c r="CQ314" s="208">
        <v>1120</v>
      </c>
      <c r="CR314" s="208">
        <v>111973</v>
      </c>
      <c r="CS314" s="208">
        <v>-837798</v>
      </c>
      <c r="CT314" s="208">
        <v>-670239</v>
      </c>
      <c r="CU314" s="208">
        <v>-150804</v>
      </c>
      <c r="CV314" s="208">
        <v>-16756</v>
      </c>
      <c r="CW314" s="208">
        <v>-1675597</v>
      </c>
      <c r="CX314" s="208">
        <v>-1834264</v>
      </c>
      <c r="CY314" s="208">
        <v>-1467413</v>
      </c>
      <c r="CZ314" s="208">
        <v>-330168</v>
      </c>
      <c r="DA314" s="208">
        <v>-36685</v>
      </c>
      <c r="DB314" s="208">
        <v>-3668530</v>
      </c>
      <c r="DC314" s="208">
        <v>-330010</v>
      </c>
      <c r="DD314" s="208">
        <v>-264008</v>
      </c>
      <c r="DE314" s="208">
        <v>-59402</v>
      </c>
      <c r="DF314" s="208">
        <v>-6600</v>
      </c>
      <c r="DG314" s="208">
        <v>-660020</v>
      </c>
      <c r="DH314" s="208">
        <v>-1504253</v>
      </c>
      <c r="DI314" s="208">
        <v>-1203405</v>
      </c>
      <c r="DJ314" s="208">
        <v>-270767</v>
      </c>
      <c r="DK314" s="208">
        <v>-30085</v>
      </c>
      <c r="DL314" s="208">
        <v>-3008510</v>
      </c>
      <c r="DM314" s="208">
        <v>526402</v>
      </c>
      <c r="DN314" s="208">
        <v>421120</v>
      </c>
      <c r="DO314" s="208">
        <v>94751</v>
      </c>
      <c r="DP314" s="208">
        <v>10528</v>
      </c>
      <c r="DQ314" s="208">
        <v>1052801</v>
      </c>
      <c r="DR314" s="208">
        <v>494689</v>
      </c>
      <c r="DS314" s="208">
        <v>395751</v>
      </c>
      <c r="DT314" s="208">
        <v>89044</v>
      </c>
      <c r="DU314" s="208">
        <v>9894</v>
      </c>
      <c r="DV314" s="208">
        <v>989378</v>
      </c>
      <c r="DW314" s="208">
        <v>31713</v>
      </c>
      <c r="DX314" s="208">
        <v>25369</v>
      </c>
      <c r="DY314" s="208">
        <v>5707</v>
      </c>
      <c r="DZ314" s="208">
        <v>634</v>
      </c>
      <c r="EA314" s="208">
        <v>63423</v>
      </c>
      <c r="EB314" s="208">
        <v>8327994</v>
      </c>
      <c r="EC314" s="208">
        <v>6662395</v>
      </c>
      <c r="ED314" s="208">
        <v>1499039</v>
      </c>
      <c r="EE314" s="208">
        <v>166560</v>
      </c>
      <c r="EF314" s="208">
        <v>16655988</v>
      </c>
      <c r="EG314" s="208">
        <v>8723849</v>
      </c>
      <c r="EH314" s="208">
        <v>6979080</v>
      </c>
      <c r="EI314" s="208">
        <v>1570293</v>
      </c>
      <c r="EJ314" s="208">
        <v>174477</v>
      </c>
      <c r="EK314" s="208">
        <v>17447699</v>
      </c>
      <c r="EL314" s="208">
        <v>395855</v>
      </c>
      <c r="EM314" s="208">
        <v>316685</v>
      </c>
      <c r="EN314" s="208">
        <v>71254</v>
      </c>
      <c r="EO314" s="208">
        <v>7917</v>
      </c>
      <c r="EP314" s="208">
        <v>791711</v>
      </c>
      <c r="EQ314" s="208">
        <v>427568</v>
      </c>
      <c r="ER314" s="208">
        <v>342054</v>
      </c>
      <c r="ES314" s="208">
        <v>76961</v>
      </c>
      <c r="ET314" s="208">
        <v>8551</v>
      </c>
      <c r="EU314" s="208">
        <v>855134</v>
      </c>
      <c r="EV314" s="666">
        <v>0.5</v>
      </c>
      <c r="EW314" s="666">
        <v>0.4</v>
      </c>
      <c r="EX314" s="666">
        <v>0.09</v>
      </c>
      <c r="EY314" s="666">
        <v>0.01</v>
      </c>
      <c r="EZ314" s="666">
        <v>1</v>
      </c>
      <c r="FA314" s="187" t="s">
        <v>1054</v>
      </c>
      <c r="FC314" s="187">
        <v>0</v>
      </c>
    </row>
    <row r="315" spans="2:159" s="187" customFormat="1" x14ac:dyDescent="0.2">
      <c r="B315" s="429" t="s">
        <v>708</v>
      </c>
      <c r="C315" s="429" t="s">
        <v>707</v>
      </c>
      <c r="D315" s="208">
        <v>0</v>
      </c>
      <c r="E315" s="208">
        <v>1415703436</v>
      </c>
      <c r="F315" s="208">
        <v>796333182</v>
      </c>
      <c r="G315" s="208">
        <v>0</v>
      </c>
      <c r="H315" s="208">
        <v>2212036618</v>
      </c>
      <c r="I315" s="208">
        <v>0</v>
      </c>
      <c r="J315" s="208">
        <v>0</v>
      </c>
      <c r="K315" s="208">
        <v>0</v>
      </c>
      <c r="L315" s="208">
        <v>3310431</v>
      </c>
      <c r="M315" s="208">
        <v>3310431</v>
      </c>
      <c r="N315" s="208">
        <v>0</v>
      </c>
      <c r="O315" s="208">
        <v>0</v>
      </c>
      <c r="P315" s="208">
        <v>0</v>
      </c>
      <c r="Q315" s="208">
        <v>0</v>
      </c>
      <c r="R315" s="208">
        <v>0</v>
      </c>
      <c r="S315" s="208">
        <v>0</v>
      </c>
      <c r="T315" s="208">
        <v>0</v>
      </c>
      <c r="U315" s="208">
        <v>0</v>
      </c>
      <c r="V315" s="208">
        <v>0</v>
      </c>
      <c r="W315" s="208">
        <v>0</v>
      </c>
      <c r="X315" s="208">
        <v>0</v>
      </c>
      <c r="Y315" s="208">
        <v>0</v>
      </c>
      <c r="Z315" s="208">
        <v>0</v>
      </c>
      <c r="AA315" s="208">
        <v>0</v>
      </c>
      <c r="AB315" s="208">
        <v>0</v>
      </c>
      <c r="AC315" s="208">
        <v>0</v>
      </c>
      <c r="AD315" s="208">
        <v>0</v>
      </c>
      <c r="AE315" s="208">
        <v>0</v>
      </c>
      <c r="AF315" s="208">
        <v>0</v>
      </c>
      <c r="AG315" s="208">
        <v>40658084</v>
      </c>
      <c r="AH315" s="208">
        <v>22870170</v>
      </c>
      <c r="AI315" s="208">
        <v>0</v>
      </c>
      <c r="AJ315" s="208">
        <v>63528254</v>
      </c>
      <c r="AK315" s="208">
        <v>0</v>
      </c>
      <c r="AL315" s="208">
        <v>42144887</v>
      </c>
      <c r="AM315" s="208">
        <v>23706499</v>
      </c>
      <c r="AN315" s="208">
        <v>0</v>
      </c>
      <c r="AO315" s="208">
        <v>65851386</v>
      </c>
      <c r="AP315" s="208">
        <v>0</v>
      </c>
      <c r="AQ315" s="208">
        <v>-80967914</v>
      </c>
      <c r="AR315" s="208">
        <v>-45544452</v>
      </c>
      <c r="AS315" s="208">
        <v>0</v>
      </c>
      <c r="AT315" s="208">
        <v>-126512366</v>
      </c>
      <c r="AU315" s="208">
        <v>0</v>
      </c>
      <c r="AV315" s="208">
        <v>-18239773</v>
      </c>
      <c r="AW315" s="208">
        <v>-10259872</v>
      </c>
      <c r="AX315" s="208">
        <v>0</v>
      </c>
      <c r="AY315" s="208">
        <v>-28499645</v>
      </c>
      <c r="AZ315" s="208">
        <v>0</v>
      </c>
      <c r="BA315" s="208">
        <v>0</v>
      </c>
      <c r="BB315" s="208">
        <v>0</v>
      </c>
      <c r="BC315" s="208">
        <v>0</v>
      </c>
      <c r="BD315" s="208">
        <v>0</v>
      </c>
      <c r="BE315" s="208">
        <v>0</v>
      </c>
      <c r="BF315" s="208">
        <v>-1536000</v>
      </c>
      <c r="BG315" s="208">
        <v>-864000</v>
      </c>
      <c r="BH315" s="208">
        <v>0</v>
      </c>
      <c r="BI315" s="208">
        <v>-2400000</v>
      </c>
      <c r="BJ315" s="208">
        <v>0</v>
      </c>
      <c r="BK315" s="208">
        <v>-19775773</v>
      </c>
      <c r="BL315" s="208">
        <v>-11123872</v>
      </c>
      <c r="BM315" s="208">
        <v>0</v>
      </c>
      <c r="BN315" s="208">
        <v>-30899645</v>
      </c>
      <c r="BO315" s="208">
        <v>0</v>
      </c>
      <c r="BP315" s="208">
        <v>-140800000</v>
      </c>
      <c r="BQ315" s="208">
        <v>-79200000</v>
      </c>
      <c r="BR315" s="208">
        <v>0</v>
      </c>
      <c r="BS315" s="208">
        <v>-220000000</v>
      </c>
      <c r="BT315" s="208">
        <v>0</v>
      </c>
      <c r="BU315" s="208">
        <v>-67200000</v>
      </c>
      <c r="BV315" s="208">
        <v>-37800000</v>
      </c>
      <c r="BW315" s="208">
        <v>0</v>
      </c>
      <c r="BX315" s="208">
        <v>-105000000</v>
      </c>
      <c r="BY315" s="208">
        <v>0</v>
      </c>
      <c r="BZ315" s="208">
        <v>-73600000</v>
      </c>
      <c r="CA315" s="208">
        <v>-41400000</v>
      </c>
      <c r="CB315" s="208">
        <v>0</v>
      </c>
      <c r="CC315" s="208">
        <v>-115000000</v>
      </c>
      <c r="CD315" s="208">
        <v>0</v>
      </c>
      <c r="CE315" s="208">
        <v>0</v>
      </c>
      <c r="CF315" s="208">
        <v>0</v>
      </c>
      <c r="CG315" s="208">
        <v>0</v>
      </c>
      <c r="CH315" s="208">
        <v>0</v>
      </c>
      <c r="CI315" s="208">
        <v>0</v>
      </c>
      <c r="CJ315" s="208">
        <v>0</v>
      </c>
      <c r="CK315" s="208">
        <v>0</v>
      </c>
      <c r="CL315" s="208">
        <v>0</v>
      </c>
      <c r="CM315" s="208">
        <v>0</v>
      </c>
      <c r="CN315" s="208">
        <v>0</v>
      </c>
      <c r="CO315" s="208">
        <v>53504000</v>
      </c>
      <c r="CP315" s="208">
        <v>30096000</v>
      </c>
      <c r="CQ315" s="208">
        <v>0</v>
      </c>
      <c r="CR315" s="208">
        <v>83600000</v>
      </c>
      <c r="CS315" s="208">
        <v>0</v>
      </c>
      <c r="CT315" s="208">
        <v>-38784000</v>
      </c>
      <c r="CU315" s="208">
        <v>-21816000</v>
      </c>
      <c r="CV315" s="208">
        <v>0</v>
      </c>
      <c r="CW315" s="208">
        <v>-60600000</v>
      </c>
      <c r="CX315" s="208">
        <v>0</v>
      </c>
      <c r="CY315" s="208">
        <v>-126080000</v>
      </c>
      <c r="CZ315" s="208">
        <v>-70920000</v>
      </c>
      <c r="DA315" s="208">
        <v>0</v>
      </c>
      <c r="DB315" s="208">
        <v>-197000000</v>
      </c>
      <c r="DC315" s="208">
        <v>0</v>
      </c>
      <c r="DD315" s="208">
        <v>-13696000</v>
      </c>
      <c r="DE315" s="208">
        <v>-7704000</v>
      </c>
      <c r="DF315" s="208">
        <v>0</v>
      </c>
      <c r="DG315" s="208">
        <v>-21400000</v>
      </c>
      <c r="DH315" s="208">
        <v>0</v>
      </c>
      <c r="DI315" s="208">
        <v>-112384000</v>
      </c>
      <c r="DJ315" s="208">
        <v>-63216000</v>
      </c>
      <c r="DK315" s="208">
        <v>0</v>
      </c>
      <c r="DL315" s="208">
        <v>-175600000</v>
      </c>
      <c r="DM315" s="208">
        <v>111683593</v>
      </c>
      <c r="DN315" s="208">
        <v>75456608</v>
      </c>
      <c r="DO315" s="208">
        <v>64381831</v>
      </c>
      <c r="DP315" s="208">
        <v>0</v>
      </c>
      <c r="DQ315" s="208">
        <v>251522032</v>
      </c>
      <c r="DR315" s="208">
        <v>123125850</v>
      </c>
      <c r="DS315" s="208">
        <v>85858663</v>
      </c>
      <c r="DT315" s="208">
        <v>77211030</v>
      </c>
      <c r="DU315" s="208">
        <v>0</v>
      </c>
      <c r="DV315" s="208">
        <v>286195543</v>
      </c>
      <c r="DW315" s="208">
        <v>-11442257</v>
      </c>
      <c r="DX315" s="208">
        <v>-10402055</v>
      </c>
      <c r="DY315" s="208">
        <v>-12829199</v>
      </c>
      <c r="DZ315" s="208">
        <v>0</v>
      </c>
      <c r="EA315" s="208">
        <v>-34673511</v>
      </c>
      <c r="EB315" s="208">
        <v>0</v>
      </c>
      <c r="EC315" s="208">
        <v>1388483057</v>
      </c>
      <c r="ED315" s="208">
        <v>781021719</v>
      </c>
      <c r="EE315" s="208">
        <v>0</v>
      </c>
      <c r="EF315" s="208">
        <v>2169504776</v>
      </c>
      <c r="EG315" s="208">
        <v>0</v>
      </c>
      <c r="EH315" s="208">
        <v>1415703436</v>
      </c>
      <c r="EI315" s="208">
        <v>796333182</v>
      </c>
      <c r="EJ315" s="208">
        <v>0</v>
      </c>
      <c r="EK315" s="208">
        <v>2212036618</v>
      </c>
      <c r="EL315" s="208">
        <v>0</v>
      </c>
      <c r="EM315" s="208">
        <v>27220379</v>
      </c>
      <c r="EN315" s="208">
        <v>15311463</v>
      </c>
      <c r="EO315" s="208">
        <v>0</v>
      </c>
      <c r="EP315" s="208">
        <v>42531842</v>
      </c>
      <c r="EQ315" s="208">
        <v>-11442257</v>
      </c>
      <c r="ER315" s="208">
        <v>16818324</v>
      </c>
      <c r="ES315" s="208">
        <v>2482264</v>
      </c>
      <c r="ET315" s="208">
        <v>0</v>
      </c>
      <c r="EU315" s="208">
        <v>7858331</v>
      </c>
      <c r="EV315" s="666">
        <v>0</v>
      </c>
      <c r="EW315" s="666">
        <v>0.64</v>
      </c>
      <c r="EX315" s="666">
        <v>0.36</v>
      </c>
      <c r="EY315" s="666">
        <v>0</v>
      </c>
      <c r="EZ315" s="666">
        <v>1</v>
      </c>
      <c r="FA315" s="187" t="s">
        <v>1057</v>
      </c>
      <c r="FC315" s="187">
        <v>0</v>
      </c>
    </row>
    <row r="316" spans="2:159" s="187" customFormat="1" x14ac:dyDescent="0.2">
      <c r="B316" s="429" t="s">
        <v>710</v>
      </c>
      <c r="C316" s="429" t="s">
        <v>709</v>
      </c>
      <c r="D316" s="208">
        <v>7492257</v>
      </c>
      <c r="E316" s="208">
        <v>5993805</v>
      </c>
      <c r="F316" s="208">
        <v>1348606</v>
      </c>
      <c r="G316" s="208">
        <v>149845</v>
      </c>
      <c r="H316" s="208">
        <v>14984513</v>
      </c>
      <c r="I316" s="208">
        <v>0</v>
      </c>
      <c r="J316" s="208">
        <v>0</v>
      </c>
      <c r="K316" s="208">
        <v>7492257</v>
      </c>
      <c r="L316" s="208">
        <v>104342</v>
      </c>
      <c r="M316" s="208">
        <v>104342</v>
      </c>
      <c r="N316" s="208">
        <v>0</v>
      </c>
      <c r="O316" s="208">
        <v>0</v>
      </c>
      <c r="P316" s="208">
        <v>322</v>
      </c>
      <c r="Q316" s="208">
        <v>0</v>
      </c>
      <c r="R316" s="208">
        <v>322</v>
      </c>
      <c r="S316" s="208">
        <v>0</v>
      </c>
      <c r="T316" s="208">
        <v>0</v>
      </c>
      <c r="U316" s="208">
        <v>0</v>
      </c>
      <c r="V316" s="208">
        <v>0</v>
      </c>
      <c r="W316" s="208">
        <v>0</v>
      </c>
      <c r="X316" s="208">
        <v>0</v>
      </c>
      <c r="Y316" s="208">
        <v>0</v>
      </c>
      <c r="Z316" s="208">
        <v>0</v>
      </c>
      <c r="AA316" s="208">
        <v>0</v>
      </c>
      <c r="AB316" s="208">
        <v>0</v>
      </c>
      <c r="AC316" s="208">
        <v>0</v>
      </c>
      <c r="AD316" s="208">
        <v>0</v>
      </c>
      <c r="AE316" s="208">
        <v>0</v>
      </c>
      <c r="AF316" s="208">
        <v>0</v>
      </c>
      <c r="AG316" s="208">
        <v>950214</v>
      </c>
      <c r="AH316" s="208">
        <v>213797</v>
      </c>
      <c r="AI316" s="208">
        <v>23755</v>
      </c>
      <c r="AJ316" s="208">
        <v>1187766</v>
      </c>
      <c r="AK316" s="208">
        <v>796195</v>
      </c>
      <c r="AL316" s="208">
        <v>636956</v>
      </c>
      <c r="AM316" s="208">
        <v>143315</v>
      </c>
      <c r="AN316" s="208">
        <v>15924</v>
      </c>
      <c r="AO316" s="208">
        <v>1592390</v>
      </c>
      <c r="AP316" s="208">
        <v>-55424</v>
      </c>
      <c r="AQ316" s="208">
        <v>-44338</v>
      </c>
      <c r="AR316" s="208">
        <v>-9976</v>
      </c>
      <c r="AS316" s="208">
        <v>-1108</v>
      </c>
      <c r="AT316" s="208">
        <v>-110846</v>
      </c>
      <c r="AU316" s="208">
        <v>-756500</v>
      </c>
      <c r="AV316" s="208">
        <v>-605200</v>
      </c>
      <c r="AW316" s="208">
        <v>-136170</v>
      </c>
      <c r="AX316" s="208">
        <v>-15130</v>
      </c>
      <c r="AY316" s="208">
        <v>-1513000</v>
      </c>
      <c r="AZ316" s="208">
        <v>204761</v>
      </c>
      <c r="BA316" s="208">
        <v>163808</v>
      </c>
      <c r="BB316" s="208">
        <v>36857</v>
      </c>
      <c r="BC316" s="208">
        <v>4095</v>
      </c>
      <c r="BD316" s="208">
        <v>409521</v>
      </c>
      <c r="BE316" s="208">
        <v>-192261</v>
      </c>
      <c r="BF316" s="208">
        <v>-153808</v>
      </c>
      <c r="BG316" s="208">
        <v>-34607</v>
      </c>
      <c r="BH316" s="208">
        <v>-3845</v>
      </c>
      <c r="BI316" s="208">
        <v>-384521</v>
      </c>
      <c r="BJ316" s="208">
        <v>-744000</v>
      </c>
      <c r="BK316" s="208">
        <v>-595200</v>
      </c>
      <c r="BL316" s="208">
        <v>-133920</v>
      </c>
      <c r="BM316" s="208">
        <v>-14880</v>
      </c>
      <c r="BN316" s="208">
        <v>-1488000</v>
      </c>
      <c r="BO316" s="208">
        <v>-3416414</v>
      </c>
      <c r="BP316" s="208">
        <v>-2733130</v>
      </c>
      <c r="BQ316" s="208">
        <v>-614954</v>
      </c>
      <c r="BR316" s="208">
        <v>-68328</v>
      </c>
      <c r="BS316" s="208">
        <v>-6832826</v>
      </c>
      <c r="BT316" s="208">
        <v>-2965424</v>
      </c>
      <c r="BU316" s="208">
        <v>-2372338</v>
      </c>
      <c r="BV316" s="208">
        <v>-533776</v>
      </c>
      <c r="BW316" s="208">
        <v>-59308</v>
      </c>
      <c r="BX316" s="208">
        <v>-5930846</v>
      </c>
      <c r="BY316" s="208">
        <v>-450990</v>
      </c>
      <c r="BZ316" s="208">
        <v>-360792</v>
      </c>
      <c r="CA316" s="208">
        <v>-81178</v>
      </c>
      <c r="CB316" s="208">
        <v>-9020</v>
      </c>
      <c r="CC316" s="208">
        <v>-901980</v>
      </c>
      <c r="CD316" s="208">
        <v>157144</v>
      </c>
      <c r="CE316" s="208">
        <v>125716</v>
      </c>
      <c r="CF316" s="208">
        <v>28286</v>
      </c>
      <c r="CG316" s="208">
        <v>3143</v>
      </c>
      <c r="CH316" s="208">
        <v>314289</v>
      </c>
      <c r="CI316" s="208">
        <v>0</v>
      </c>
      <c r="CJ316" s="208">
        <v>0</v>
      </c>
      <c r="CK316" s="208">
        <v>0</v>
      </c>
      <c r="CL316" s="208">
        <v>0</v>
      </c>
      <c r="CM316" s="208">
        <v>0</v>
      </c>
      <c r="CN316" s="208">
        <v>-800000</v>
      </c>
      <c r="CO316" s="208">
        <v>-640000</v>
      </c>
      <c r="CP316" s="208">
        <v>-144000</v>
      </c>
      <c r="CQ316" s="208">
        <v>-16000</v>
      </c>
      <c r="CR316" s="208">
        <v>-1600000</v>
      </c>
      <c r="CS316" s="208">
        <v>-472776</v>
      </c>
      <c r="CT316" s="208">
        <v>-378221</v>
      </c>
      <c r="CU316" s="208">
        <v>-85100</v>
      </c>
      <c r="CV316" s="208">
        <v>-9456</v>
      </c>
      <c r="CW316" s="208">
        <v>-945553</v>
      </c>
      <c r="CX316" s="208">
        <v>-4532046</v>
      </c>
      <c r="CY316" s="208">
        <v>-3625635</v>
      </c>
      <c r="CZ316" s="208">
        <v>-815768</v>
      </c>
      <c r="DA316" s="208">
        <v>-90641</v>
      </c>
      <c r="DB316" s="208">
        <v>-9064090</v>
      </c>
      <c r="DC316" s="208">
        <v>-3608280</v>
      </c>
      <c r="DD316" s="208">
        <v>-2886622</v>
      </c>
      <c r="DE316" s="208">
        <v>-649490</v>
      </c>
      <c r="DF316" s="208">
        <v>-72165</v>
      </c>
      <c r="DG316" s="208">
        <v>-7216557</v>
      </c>
      <c r="DH316" s="208">
        <v>-923766</v>
      </c>
      <c r="DI316" s="208">
        <v>-739013</v>
      </c>
      <c r="DJ316" s="208">
        <v>-166278</v>
      </c>
      <c r="DK316" s="208">
        <v>-18476</v>
      </c>
      <c r="DL316" s="208">
        <v>-1847533</v>
      </c>
      <c r="DM316" s="208">
        <v>-433723</v>
      </c>
      <c r="DN316" s="208">
        <v>-346978</v>
      </c>
      <c r="DO316" s="208">
        <v>-78070</v>
      </c>
      <c r="DP316" s="208">
        <v>-8673</v>
      </c>
      <c r="DQ316" s="208">
        <v>-867444</v>
      </c>
      <c r="DR316" s="208">
        <v>-80286</v>
      </c>
      <c r="DS316" s="208">
        <v>-64228</v>
      </c>
      <c r="DT316" s="208">
        <v>-14451</v>
      </c>
      <c r="DU316" s="208">
        <v>-1606</v>
      </c>
      <c r="DV316" s="208">
        <v>-160571</v>
      </c>
      <c r="DW316" s="208">
        <v>-353437</v>
      </c>
      <c r="DX316" s="208">
        <v>-282750</v>
      </c>
      <c r="DY316" s="208">
        <v>-63619</v>
      </c>
      <c r="DZ316" s="208">
        <v>-7067</v>
      </c>
      <c r="EA316" s="208">
        <v>-706873</v>
      </c>
      <c r="EB316" s="208">
        <v>7180729</v>
      </c>
      <c r="EC316" s="208">
        <v>5744583</v>
      </c>
      <c r="ED316" s="208">
        <v>1292531</v>
      </c>
      <c r="EE316" s="208">
        <v>143615</v>
      </c>
      <c r="EF316" s="208">
        <v>14361458</v>
      </c>
      <c r="EG316" s="208">
        <v>7492257</v>
      </c>
      <c r="EH316" s="208">
        <v>5993805</v>
      </c>
      <c r="EI316" s="208">
        <v>1348606</v>
      </c>
      <c r="EJ316" s="208">
        <v>149845</v>
      </c>
      <c r="EK316" s="208">
        <v>14984513</v>
      </c>
      <c r="EL316" s="208">
        <v>311528</v>
      </c>
      <c r="EM316" s="208">
        <v>249222</v>
      </c>
      <c r="EN316" s="208">
        <v>56075</v>
      </c>
      <c r="EO316" s="208">
        <v>6230</v>
      </c>
      <c r="EP316" s="208">
        <v>623055</v>
      </c>
      <c r="EQ316" s="208">
        <v>-41909</v>
      </c>
      <c r="ER316" s="208">
        <v>-33528</v>
      </c>
      <c r="ES316" s="208">
        <v>-7544</v>
      </c>
      <c r="ET316" s="208">
        <v>-837</v>
      </c>
      <c r="EU316" s="208">
        <v>-83818</v>
      </c>
      <c r="EV316" s="666">
        <v>0.5</v>
      </c>
      <c r="EW316" s="666">
        <v>0.4</v>
      </c>
      <c r="EX316" s="666">
        <v>0.09</v>
      </c>
      <c r="EY316" s="666">
        <v>0.01</v>
      </c>
      <c r="EZ316" s="666">
        <v>1</v>
      </c>
      <c r="FA316" s="187" t="s">
        <v>1054</v>
      </c>
      <c r="FC316" s="187">
        <v>0</v>
      </c>
    </row>
    <row r="317" spans="2:159" s="187" customFormat="1" x14ac:dyDescent="0.2">
      <c r="B317" s="429" t="s">
        <v>712</v>
      </c>
      <c r="C317" s="429" t="s">
        <v>711</v>
      </c>
      <c r="D317" s="208">
        <v>0</v>
      </c>
      <c r="E317" s="208">
        <v>80516974</v>
      </c>
      <c r="F317" s="208">
        <v>0</v>
      </c>
      <c r="G317" s="208">
        <v>813303</v>
      </c>
      <c r="H317" s="208">
        <v>81330277</v>
      </c>
      <c r="I317" s="208">
        <v>0</v>
      </c>
      <c r="J317" s="208">
        <v>0</v>
      </c>
      <c r="K317" s="208">
        <v>0</v>
      </c>
      <c r="L317" s="208">
        <v>379713</v>
      </c>
      <c r="M317" s="208">
        <v>379713</v>
      </c>
      <c r="N317" s="208">
        <v>0</v>
      </c>
      <c r="O317" s="208">
        <v>0</v>
      </c>
      <c r="P317" s="208">
        <v>0</v>
      </c>
      <c r="Q317" s="208">
        <v>0</v>
      </c>
      <c r="R317" s="208">
        <v>0</v>
      </c>
      <c r="S317" s="208">
        <v>0</v>
      </c>
      <c r="T317" s="208">
        <v>0</v>
      </c>
      <c r="U317" s="208">
        <v>0</v>
      </c>
      <c r="V317" s="208">
        <v>0</v>
      </c>
      <c r="W317" s="208">
        <v>0</v>
      </c>
      <c r="X317" s="208">
        <v>0</v>
      </c>
      <c r="Y317" s="208">
        <v>0</v>
      </c>
      <c r="Z317" s="208">
        <v>0</v>
      </c>
      <c r="AA317" s="208">
        <v>0</v>
      </c>
      <c r="AB317" s="208">
        <v>0</v>
      </c>
      <c r="AC317" s="208">
        <v>0</v>
      </c>
      <c r="AD317" s="208">
        <v>0</v>
      </c>
      <c r="AE317" s="208">
        <v>0</v>
      </c>
      <c r="AF317" s="208">
        <v>0</v>
      </c>
      <c r="AG317" s="208">
        <v>9947401</v>
      </c>
      <c r="AH317" s="208">
        <v>0</v>
      </c>
      <c r="AI317" s="208">
        <v>100479</v>
      </c>
      <c r="AJ317" s="208">
        <v>10047880</v>
      </c>
      <c r="AK317" s="208">
        <v>0</v>
      </c>
      <c r="AL317" s="208">
        <v>7247490</v>
      </c>
      <c r="AM317" s="208">
        <v>0</v>
      </c>
      <c r="AN317" s="208">
        <v>73207</v>
      </c>
      <c r="AO317" s="208">
        <v>7320697</v>
      </c>
      <c r="AP317" s="208">
        <v>0</v>
      </c>
      <c r="AQ317" s="208">
        <v>-470734</v>
      </c>
      <c r="AR317" s="208">
        <v>0</v>
      </c>
      <c r="AS317" s="208">
        <v>-4755</v>
      </c>
      <c r="AT317" s="208">
        <v>-475489</v>
      </c>
      <c r="AU317" s="208">
        <v>0</v>
      </c>
      <c r="AV317" s="208">
        <v>-6613257</v>
      </c>
      <c r="AW317" s="208">
        <v>0</v>
      </c>
      <c r="AX317" s="208">
        <v>-66801</v>
      </c>
      <c r="AY317" s="208">
        <v>-6680058</v>
      </c>
      <c r="AZ317" s="208">
        <v>0</v>
      </c>
      <c r="BA317" s="208">
        <v>627044</v>
      </c>
      <c r="BB317" s="208">
        <v>0</v>
      </c>
      <c r="BC317" s="208">
        <v>6334</v>
      </c>
      <c r="BD317" s="208">
        <v>633378</v>
      </c>
      <c r="BE317" s="208">
        <v>0</v>
      </c>
      <c r="BF317" s="208">
        <v>-421418</v>
      </c>
      <c r="BG317" s="208">
        <v>0</v>
      </c>
      <c r="BH317" s="208">
        <v>-4257</v>
      </c>
      <c r="BI317" s="208">
        <v>-425675</v>
      </c>
      <c r="BJ317" s="208">
        <v>0</v>
      </c>
      <c r="BK317" s="208">
        <v>-6407631</v>
      </c>
      <c r="BL317" s="208">
        <v>0</v>
      </c>
      <c r="BM317" s="208">
        <v>-64724</v>
      </c>
      <c r="BN317" s="208">
        <v>-6472355</v>
      </c>
      <c r="BO317" s="208">
        <v>0</v>
      </c>
      <c r="BP317" s="208">
        <v>-4652366</v>
      </c>
      <c r="BQ317" s="208">
        <v>0</v>
      </c>
      <c r="BR317" s="208">
        <v>-46994</v>
      </c>
      <c r="BS317" s="208">
        <v>-4699360</v>
      </c>
      <c r="BT317" s="208">
        <v>0</v>
      </c>
      <c r="BU317" s="208">
        <v>-1979042</v>
      </c>
      <c r="BV317" s="208">
        <v>0</v>
      </c>
      <c r="BW317" s="208">
        <v>-19990</v>
      </c>
      <c r="BX317" s="208">
        <v>-1999032</v>
      </c>
      <c r="BY317" s="208">
        <v>0</v>
      </c>
      <c r="BZ317" s="208">
        <v>-2673325</v>
      </c>
      <c r="CA317" s="208">
        <v>0</v>
      </c>
      <c r="CB317" s="208">
        <v>-27003</v>
      </c>
      <c r="CC317" s="208">
        <v>-2700328</v>
      </c>
      <c r="CD317" s="208">
        <v>0</v>
      </c>
      <c r="CE317" s="208">
        <v>1697799</v>
      </c>
      <c r="CF317" s="208">
        <v>0</v>
      </c>
      <c r="CG317" s="208">
        <v>17149</v>
      </c>
      <c r="CH317" s="208">
        <v>1714948</v>
      </c>
      <c r="CI317" s="208">
        <v>0</v>
      </c>
      <c r="CJ317" s="208">
        <v>1232117</v>
      </c>
      <c r="CK317" s="208">
        <v>0</v>
      </c>
      <c r="CL317" s="208">
        <v>12446</v>
      </c>
      <c r="CM317" s="208">
        <v>1244563</v>
      </c>
      <c r="CN317" s="208">
        <v>0</v>
      </c>
      <c r="CO317" s="208">
        <v>-2092186</v>
      </c>
      <c r="CP317" s="208">
        <v>0</v>
      </c>
      <c r="CQ317" s="208">
        <v>-21133</v>
      </c>
      <c r="CR317" s="208">
        <v>-2113319</v>
      </c>
      <c r="CS317" s="208">
        <v>0</v>
      </c>
      <c r="CT317" s="208">
        <v>-914663</v>
      </c>
      <c r="CU317" s="208">
        <v>0</v>
      </c>
      <c r="CV317" s="208">
        <v>-9239</v>
      </c>
      <c r="CW317" s="208">
        <v>-923902</v>
      </c>
      <c r="CX317" s="208">
        <v>0</v>
      </c>
      <c r="CY317" s="208">
        <v>-4729299</v>
      </c>
      <c r="CZ317" s="208">
        <v>0</v>
      </c>
      <c r="DA317" s="208">
        <v>-47771</v>
      </c>
      <c r="DB317" s="208">
        <v>-4777070</v>
      </c>
      <c r="DC317" s="208">
        <v>0</v>
      </c>
      <c r="DD317" s="208">
        <v>-2373429</v>
      </c>
      <c r="DE317" s="208">
        <v>0</v>
      </c>
      <c r="DF317" s="208">
        <v>-23974</v>
      </c>
      <c r="DG317" s="208">
        <v>-2397403</v>
      </c>
      <c r="DH317" s="208">
        <v>0</v>
      </c>
      <c r="DI317" s="208">
        <v>-2355871</v>
      </c>
      <c r="DJ317" s="208">
        <v>0</v>
      </c>
      <c r="DK317" s="208">
        <v>-23796</v>
      </c>
      <c r="DL317" s="208">
        <v>-2379667</v>
      </c>
      <c r="DM317" s="208">
        <v>-201569</v>
      </c>
      <c r="DN317" s="208">
        <v>3198648</v>
      </c>
      <c r="DO317" s="208">
        <v>0</v>
      </c>
      <c r="DP317" s="208">
        <v>30275</v>
      </c>
      <c r="DQ317" s="208">
        <v>3027354</v>
      </c>
      <c r="DR317" s="208">
        <v>-201568</v>
      </c>
      <c r="DS317" s="208">
        <v>-2246044</v>
      </c>
      <c r="DT317" s="208">
        <v>0</v>
      </c>
      <c r="DU317" s="208">
        <v>-24723</v>
      </c>
      <c r="DV317" s="208">
        <v>-2472335</v>
      </c>
      <c r="DW317" s="208">
        <v>-1</v>
      </c>
      <c r="DX317" s="208">
        <v>5444692</v>
      </c>
      <c r="DY317" s="208">
        <v>0</v>
      </c>
      <c r="DZ317" s="208">
        <v>54998</v>
      </c>
      <c r="EA317" s="208">
        <v>5499689</v>
      </c>
      <c r="EB317" s="208">
        <v>0</v>
      </c>
      <c r="EC317" s="208">
        <v>74872618</v>
      </c>
      <c r="ED317" s="208">
        <v>0</v>
      </c>
      <c r="EE317" s="208">
        <v>756289</v>
      </c>
      <c r="EF317" s="208">
        <v>75628907</v>
      </c>
      <c r="EG317" s="208">
        <v>0</v>
      </c>
      <c r="EH317" s="208">
        <v>80516974</v>
      </c>
      <c r="EI317" s="208">
        <v>0</v>
      </c>
      <c r="EJ317" s="208">
        <v>813303</v>
      </c>
      <c r="EK317" s="208">
        <v>81330277</v>
      </c>
      <c r="EL317" s="208">
        <v>0</v>
      </c>
      <c r="EM317" s="208">
        <v>5644356</v>
      </c>
      <c r="EN317" s="208">
        <v>0</v>
      </c>
      <c r="EO317" s="208">
        <v>57014</v>
      </c>
      <c r="EP317" s="208">
        <v>5701370</v>
      </c>
      <c r="EQ317" s="208">
        <v>-1</v>
      </c>
      <c r="ER317" s="208">
        <v>11089048</v>
      </c>
      <c r="ES317" s="208">
        <v>0</v>
      </c>
      <c r="ET317" s="208">
        <v>112012</v>
      </c>
      <c r="EU317" s="208">
        <v>11201059</v>
      </c>
      <c r="EV317" s="666">
        <v>0</v>
      </c>
      <c r="EW317" s="666">
        <v>0.99</v>
      </c>
      <c r="EX317" s="666">
        <v>0</v>
      </c>
      <c r="EY317" s="666">
        <v>0.01</v>
      </c>
      <c r="EZ317" s="666">
        <v>1</v>
      </c>
      <c r="FA317" s="187" t="s">
        <v>1056</v>
      </c>
      <c r="FC317" s="187">
        <v>0</v>
      </c>
    </row>
    <row r="318" spans="2:159" s="187" customFormat="1" x14ac:dyDescent="0.2">
      <c r="B318" s="429" t="s">
        <v>714</v>
      </c>
      <c r="C318" s="429" t="s">
        <v>713</v>
      </c>
      <c r="D318" s="208">
        <v>74429626</v>
      </c>
      <c r="E318" s="208">
        <v>72941033</v>
      </c>
      <c r="F318" s="208">
        <v>0</v>
      </c>
      <c r="G318" s="208">
        <v>1488593</v>
      </c>
      <c r="H318" s="208">
        <v>148859252</v>
      </c>
      <c r="I318" s="208">
        <v>0</v>
      </c>
      <c r="J318" s="208">
        <v>0</v>
      </c>
      <c r="K318" s="208">
        <v>74429626</v>
      </c>
      <c r="L318" s="208">
        <v>620988</v>
      </c>
      <c r="M318" s="208">
        <v>620988</v>
      </c>
      <c r="N318" s="208">
        <v>0</v>
      </c>
      <c r="O318" s="208">
        <v>0</v>
      </c>
      <c r="P318" s="208">
        <v>1623696</v>
      </c>
      <c r="Q318" s="208">
        <v>0</v>
      </c>
      <c r="R318" s="208">
        <v>1623696</v>
      </c>
      <c r="S318" s="208">
        <v>0</v>
      </c>
      <c r="T318" s="208">
        <v>0</v>
      </c>
      <c r="U318" s="208">
        <v>0</v>
      </c>
      <c r="V318" s="208">
        <v>0</v>
      </c>
      <c r="W318" s="208">
        <v>0</v>
      </c>
      <c r="X318" s="208">
        <v>0</v>
      </c>
      <c r="Y318" s="208">
        <v>0</v>
      </c>
      <c r="Z318" s="208">
        <v>0</v>
      </c>
      <c r="AA318" s="208">
        <v>0</v>
      </c>
      <c r="AB318" s="208">
        <v>0</v>
      </c>
      <c r="AC318" s="208">
        <v>0</v>
      </c>
      <c r="AD318" s="208">
        <v>0</v>
      </c>
      <c r="AE318" s="208">
        <v>0</v>
      </c>
      <c r="AF318" s="208">
        <v>0</v>
      </c>
      <c r="AG318" s="208">
        <v>8461595</v>
      </c>
      <c r="AH318" s="208">
        <v>0</v>
      </c>
      <c r="AI318" s="208">
        <v>171928</v>
      </c>
      <c r="AJ318" s="208">
        <v>8633523</v>
      </c>
      <c r="AK318" s="208">
        <v>1815604</v>
      </c>
      <c r="AL318" s="208">
        <v>1779291</v>
      </c>
      <c r="AM318" s="208">
        <v>0</v>
      </c>
      <c r="AN318" s="208">
        <v>36312</v>
      </c>
      <c r="AO318" s="208">
        <v>3631207</v>
      </c>
      <c r="AP318" s="208">
        <v>-1609211</v>
      </c>
      <c r="AQ318" s="208">
        <v>-1577026</v>
      </c>
      <c r="AR318" s="208">
        <v>0</v>
      </c>
      <c r="AS318" s="208">
        <v>-32184</v>
      </c>
      <c r="AT318" s="208">
        <v>-3218421</v>
      </c>
      <c r="AU318" s="208">
        <v>-357800</v>
      </c>
      <c r="AV318" s="208">
        <v>-350644</v>
      </c>
      <c r="AW318" s="208">
        <v>0</v>
      </c>
      <c r="AX318" s="208">
        <v>-7156</v>
      </c>
      <c r="AY318" s="208">
        <v>-715600</v>
      </c>
      <c r="AZ318" s="208">
        <v>313698</v>
      </c>
      <c r="BA318" s="208">
        <v>307424</v>
      </c>
      <c r="BB318" s="208">
        <v>0</v>
      </c>
      <c r="BC318" s="208">
        <v>6274</v>
      </c>
      <c r="BD318" s="208">
        <v>627396</v>
      </c>
      <c r="BE318" s="208">
        <v>-206098</v>
      </c>
      <c r="BF318" s="208">
        <v>-201976</v>
      </c>
      <c r="BG318" s="208">
        <v>0</v>
      </c>
      <c r="BH318" s="208">
        <v>-4122</v>
      </c>
      <c r="BI318" s="208">
        <v>-412196</v>
      </c>
      <c r="BJ318" s="208">
        <v>-250200</v>
      </c>
      <c r="BK318" s="208">
        <v>-245196</v>
      </c>
      <c r="BL318" s="208">
        <v>0</v>
      </c>
      <c r="BM318" s="208">
        <v>-5004</v>
      </c>
      <c r="BN318" s="208">
        <v>-500400</v>
      </c>
      <c r="BO318" s="208">
        <v>-1840700</v>
      </c>
      <c r="BP318" s="208">
        <v>-1803886</v>
      </c>
      <c r="BQ318" s="208">
        <v>0</v>
      </c>
      <c r="BR318" s="208">
        <v>-36814</v>
      </c>
      <c r="BS318" s="208">
        <v>-3681400</v>
      </c>
      <c r="BT318" s="208">
        <v>0</v>
      </c>
      <c r="BU318" s="208">
        <v>0</v>
      </c>
      <c r="BV318" s="208">
        <v>0</v>
      </c>
      <c r="BW318" s="208">
        <v>0</v>
      </c>
      <c r="BX318" s="208">
        <v>0</v>
      </c>
      <c r="BY318" s="208">
        <v>-1840700</v>
      </c>
      <c r="BZ318" s="208">
        <v>-1803886</v>
      </c>
      <c r="CA318" s="208">
        <v>0</v>
      </c>
      <c r="CB318" s="208">
        <v>-36814</v>
      </c>
      <c r="CC318" s="208">
        <v>-3681400</v>
      </c>
      <c r="CD318" s="208">
        <v>1840700</v>
      </c>
      <c r="CE318" s="208">
        <v>1803886</v>
      </c>
      <c r="CF318" s="208">
        <v>0</v>
      </c>
      <c r="CG318" s="208">
        <v>36814</v>
      </c>
      <c r="CH318" s="208">
        <v>3681400</v>
      </c>
      <c r="CI318" s="208">
        <v>0</v>
      </c>
      <c r="CJ318" s="208">
        <v>0</v>
      </c>
      <c r="CK318" s="208">
        <v>0</v>
      </c>
      <c r="CL318" s="208">
        <v>0</v>
      </c>
      <c r="CM318" s="208">
        <v>0</v>
      </c>
      <c r="CN318" s="208">
        <v>0</v>
      </c>
      <c r="CO318" s="208">
        <v>0</v>
      </c>
      <c r="CP318" s="208">
        <v>0</v>
      </c>
      <c r="CQ318" s="208">
        <v>0</v>
      </c>
      <c r="CR318" s="208">
        <v>0</v>
      </c>
      <c r="CS318" s="208">
        <v>-1922450</v>
      </c>
      <c r="CT318" s="208">
        <v>-1884001</v>
      </c>
      <c r="CU318" s="208">
        <v>0</v>
      </c>
      <c r="CV318" s="208">
        <v>-38449</v>
      </c>
      <c r="CW318" s="208">
        <v>-3844900</v>
      </c>
      <c r="CX318" s="208">
        <v>-1922450</v>
      </c>
      <c r="CY318" s="208">
        <v>-1884001</v>
      </c>
      <c r="CZ318" s="208">
        <v>0</v>
      </c>
      <c r="DA318" s="208">
        <v>-38449</v>
      </c>
      <c r="DB318" s="208">
        <v>-3844900</v>
      </c>
      <c r="DC318" s="208">
        <v>1840700</v>
      </c>
      <c r="DD318" s="208">
        <v>1803886</v>
      </c>
      <c r="DE318" s="208">
        <v>0</v>
      </c>
      <c r="DF318" s="208">
        <v>36814</v>
      </c>
      <c r="DG318" s="208">
        <v>3681400</v>
      </c>
      <c r="DH318" s="208">
        <v>-3763150</v>
      </c>
      <c r="DI318" s="208">
        <v>-3687887</v>
      </c>
      <c r="DJ318" s="208">
        <v>0</v>
      </c>
      <c r="DK318" s="208">
        <v>-75263</v>
      </c>
      <c r="DL318" s="208">
        <v>-7526300</v>
      </c>
      <c r="DM318" s="208">
        <v>-4110094</v>
      </c>
      <c r="DN318" s="208">
        <v>-4027892</v>
      </c>
      <c r="DO318" s="208">
        <v>0</v>
      </c>
      <c r="DP318" s="208">
        <v>-82202</v>
      </c>
      <c r="DQ318" s="208">
        <v>-8220188</v>
      </c>
      <c r="DR318" s="208">
        <v>-1274794</v>
      </c>
      <c r="DS318" s="208">
        <v>-1249299</v>
      </c>
      <c r="DT318" s="208">
        <v>0</v>
      </c>
      <c r="DU318" s="208">
        <v>-25496</v>
      </c>
      <c r="DV318" s="208">
        <v>-2549589</v>
      </c>
      <c r="DW318" s="208">
        <v>-2835300</v>
      </c>
      <c r="DX318" s="208">
        <v>-2778593</v>
      </c>
      <c r="DY318" s="208">
        <v>0</v>
      </c>
      <c r="DZ318" s="208">
        <v>-56706</v>
      </c>
      <c r="EA318" s="208">
        <v>-5670599</v>
      </c>
      <c r="EB318" s="208">
        <v>74735126</v>
      </c>
      <c r="EC318" s="208">
        <v>73240424</v>
      </c>
      <c r="ED318" s="208">
        <v>0</v>
      </c>
      <c r="EE318" s="208">
        <v>1494703</v>
      </c>
      <c r="EF318" s="208">
        <v>149470253</v>
      </c>
      <c r="EG318" s="208">
        <v>74429626</v>
      </c>
      <c r="EH318" s="208">
        <v>72941033</v>
      </c>
      <c r="EI318" s="208">
        <v>0</v>
      </c>
      <c r="EJ318" s="208">
        <v>1488593</v>
      </c>
      <c r="EK318" s="208">
        <v>148859252</v>
      </c>
      <c r="EL318" s="208">
        <v>-305500</v>
      </c>
      <c r="EM318" s="208">
        <v>-299391</v>
      </c>
      <c r="EN318" s="208">
        <v>0</v>
      </c>
      <c r="EO318" s="208">
        <v>-6110</v>
      </c>
      <c r="EP318" s="208">
        <v>-611001</v>
      </c>
      <c r="EQ318" s="208">
        <v>-3140800</v>
      </c>
      <c r="ER318" s="208">
        <v>-3077984</v>
      </c>
      <c r="ES318" s="208">
        <v>0</v>
      </c>
      <c r="ET318" s="208">
        <v>-62816</v>
      </c>
      <c r="EU318" s="208">
        <v>-6281600</v>
      </c>
      <c r="EV318" s="666">
        <v>0.5</v>
      </c>
      <c r="EW318" s="666">
        <v>0.49</v>
      </c>
      <c r="EX318" s="666">
        <v>0</v>
      </c>
      <c r="EY318" s="666">
        <v>0.01</v>
      </c>
      <c r="EZ318" s="666">
        <v>1</v>
      </c>
      <c r="FA318" s="187" t="s">
        <v>742</v>
      </c>
      <c r="FC318" s="187">
        <v>0</v>
      </c>
    </row>
    <row r="319" spans="2:159" s="187" customFormat="1" x14ac:dyDescent="0.2">
      <c r="B319" s="429" t="s">
        <v>716</v>
      </c>
      <c r="C319" s="429" t="s">
        <v>715</v>
      </c>
      <c r="D319" s="208">
        <v>30479487</v>
      </c>
      <c r="E319" s="208">
        <v>24383590</v>
      </c>
      <c r="F319" s="208">
        <v>5486308</v>
      </c>
      <c r="G319" s="208">
        <v>609590</v>
      </c>
      <c r="H319" s="208">
        <v>60958975</v>
      </c>
      <c r="I319" s="208">
        <v>0</v>
      </c>
      <c r="J319" s="208">
        <v>0</v>
      </c>
      <c r="K319" s="208">
        <v>30479487</v>
      </c>
      <c r="L319" s="208">
        <v>198098</v>
      </c>
      <c r="M319" s="208">
        <v>198098</v>
      </c>
      <c r="N319" s="208">
        <v>0</v>
      </c>
      <c r="O319" s="208">
        <v>0</v>
      </c>
      <c r="P319" s="208">
        <v>320303</v>
      </c>
      <c r="Q319" s="208">
        <v>0</v>
      </c>
      <c r="R319" s="208">
        <v>320303</v>
      </c>
      <c r="S319" s="208">
        <v>0</v>
      </c>
      <c r="T319" s="208">
        <v>0</v>
      </c>
      <c r="U319" s="208">
        <v>0</v>
      </c>
      <c r="V319" s="208">
        <v>0</v>
      </c>
      <c r="W319" s="208">
        <v>0</v>
      </c>
      <c r="X319" s="208">
        <v>0</v>
      </c>
      <c r="Y319" s="208">
        <v>0</v>
      </c>
      <c r="Z319" s="208">
        <v>0</v>
      </c>
      <c r="AA319" s="208">
        <v>0</v>
      </c>
      <c r="AB319" s="208">
        <v>0</v>
      </c>
      <c r="AC319" s="208">
        <v>0</v>
      </c>
      <c r="AD319" s="208">
        <v>0</v>
      </c>
      <c r="AE319" s="208">
        <v>0</v>
      </c>
      <c r="AF319" s="208">
        <v>0</v>
      </c>
      <c r="AG319" s="208">
        <v>2149849</v>
      </c>
      <c r="AH319" s="208">
        <v>482064</v>
      </c>
      <c r="AI319" s="208">
        <v>53563</v>
      </c>
      <c r="AJ319" s="208">
        <v>2685476</v>
      </c>
      <c r="AK319" s="208">
        <v>1308941</v>
      </c>
      <c r="AL319" s="208">
        <v>1047154</v>
      </c>
      <c r="AM319" s="208">
        <v>235610</v>
      </c>
      <c r="AN319" s="208">
        <v>26179</v>
      </c>
      <c r="AO319" s="208">
        <v>2617884</v>
      </c>
      <c r="AP319" s="208">
        <v>-660506</v>
      </c>
      <c r="AQ319" s="208">
        <v>-528404</v>
      </c>
      <c r="AR319" s="208">
        <v>-118891</v>
      </c>
      <c r="AS319" s="208">
        <v>-13210</v>
      </c>
      <c r="AT319" s="208">
        <v>-1321011</v>
      </c>
      <c r="AU319" s="208">
        <v>-601444</v>
      </c>
      <c r="AV319" s="208">
        <v>-481156</v>
      </c>
      <c r="AW319" s="208">
        <v>-108260</v>
      </c>
      <c r="AX319" s="208">
        <v>-12029</v>
      </c>
      <c r="AY319" s="208">
        <v>-1202889</v>
      </c>
      <c r="AZ319" s="208">
        <v>65193</v>
      </c>
      <c r="BA319" s="208">
        <v>52155</v>
      </c>
      <c r="BB319" s="208">
        <v>11735</v>
      </c>
      <c r="BC319" s="208">
        <v>1304</v>
      </c>
      <c r="BD319" s="208">
        <v>130387</v>
      </c>
      <c r="BE319" s="208">
        <v>-168034</v>
      </c>
      <c r="BF319" s="208">
        <v>-134427</v>
      </c>
      <c r="BG319" s="208">
        <v>-30246</v>
      </c>
      <c r="BH319" s="208">
        <v>-3361</v>
      </c>
      <c r="BI319" s="208">
        <v>-336068</v>
      </c>
      <c r="BJ319" s="208">
        <v>-704285</v>
      </c>
      <c r="BK319" s="208">
        <v>-563428</v>
      </c>
      <c r="BL319" s="208">
        <v>-126771</v>
      </c>
      <c r="BM319" s="208">
        <v>-14086</v>
      </c>
      <c r="BN319" s="208">
        <v>-1408570</v>
      </c>
      <c r="BO319" s="208">
        <v>-2772176</v>
      </c>
      <c r="BP319" s="208">
        <v>-2217742</v>
      </c>
      <c r="BQ319" s="208">
        <v>-498992</v>
      </c>
      <c r="BR319" s="208">
        <v>-55444</v>
      </c>
      <c r="BS319" s="208">
        <v>-5544354</v>
      </c>
      <c r="BT319" s="208">
        <v>-1407359</v>
      </c>
      <c r="BU319" s="208">
        <v>-1125887</v>
      </c>
      <c r="BV319" s="208">
        <v>-253325</v>
      </c>
      <c r="BW319" s="208">
        <v>-28147</v>
      </c>
      <c r="BX319" s="208">
        <v>-2814718</v>
      </c>
      <c r="BY319" s="208">
        <v>-1364819</v>
      </c>
      <c r="BZ319" s="208">
        <v>-1091854</v>
      </c>
      <c r="CA319" s="208">
        <v>-245667</v>
      </c>
      <c r="CB319" s="208">
        <v>-27296</v>
      </c>
      <c r="CC319" s="208">
        <v>-2729636</v>
      </c>
      <c r="CD319" s="208">
        <v>742186</v>
      </c>
      <c r="CE319" s="208">
        <v>593750</v>
      </c>
      <c r="CF319" s="208">
        <v>133594</v>
      </c>
      <c r="CG319" s="208">
        <v>14844</v>
      </c>
      <c r="CH319" s="208">
        <v>1484374</v>
      </c>
      <c r="CI319" s="208">
        <v>0</v>
      </c>
      <c r="CJ319" s="208">
        <v>0</v>
      </c>
      <c r="CK319" s="208">
        <v>0</v>
      </c>
      <c r="CL319" s="208">
        <v>0</v>
      </c>
      <c r="CM319" s="208">
        <v>0</v>
      </c>
      <c r="CN319" s="208">
        <v>-220104</v>
      </c>
      <c r="CO319" s="208">
        <v>-176084</v>
      </c>
      <c r="CP319" s="208">
        <v>-39619</v>
      </c>
      <c r="CQ319" s="208">
        <v>-4402</v>
      </c>
      <c r="CR319" s="208">
        <v>-440209</v>
      </c>
      <c r="CS319" s="208">
        <v>-1469312</v>
      </c>
      <c r="CT319" s="208">
        <v>-1175449</v>
      </c>
      <c r="CU319" s="208">
        <v>-264476</v>
      </c>
      <c r="CV319" s="208">
        <v>-29386</v>
      </c>
      <c r="CW319" s="208">
        <v>-2938623</v>
      </c>
      <c r="CX319" s="208">
        <v>-3719406</v>
      </c>
      <c r="CY319" s="208">
        <v>-2975525</v>
      </c>
      <c r="CZ319" s="208">
        <v>-669493</v>
      </c>
      <c r="DA319" s="208">
        <v>-74388</v>
      </c>
      <c r="DB319" s="208">
        <v>-7438812</v>
      </c>
      <c r="DC319" s="208">
        <v>-885277</v>
      </c>
      <c r="DD319" s="208">
        <v>-708221</v>
      </c>
      <c r="DE319" s="208">
        <v>-159350</v>
      </c>
      <c r="DF319" s="208">
        <v>-17705</v>
      </c>
      <c r="DG319" s="208">
        <v>-1770553</v>
      </c>
      <c r="DH319" s="208">
        <v>-2834131</v>
      </c>
      <c r="DI319" s="208">
        <v>-2267303</v>
      </c>
      <c r="DJ319" s="208">
        <v>-510143</v>
      </c>
      <c r="DK319" s="208">
        <v>-56682</v>
      </c>
      <c r="DL319" s="208">
        <v>-5668259</v>
      </c>
      <c r="DM319" s="208">
        <v>-854774</v>
      </c>
      <c r="DN319" s="208">
        <v>-683817</v>
      </c>
      <c r="DO319" s="208">
        <v>-153860</v>
      </c>
      <c r="DP319" s="208">
        <v>-17096</v>
      </c>
      <c r="DQ319" s="208">
        <v>-1709547</v>
      </c>
      <c r="DR319" s="208">
        <v>-483036</v>
      </c>
      <c r="DS319" s="208">
        <v>-386428</v>
      </c>
      <c r="DT319" s="208">
        <v>-86946</v>
      </c>
      <c r="DU319" s="208">
        <v>-9661</v>
      </c>
      <c r="DV319" s="208">
        <v>-966071</v>
      </c>
      <c r="DW319" s="208">
        <v>-371738</v>
      </c>
      <c r="DX319" s="208">
        <v>-297389</v>
      </c>
      <c r="DY319" s="208">
        <v>-66914</v>
      </c>
      <c r="DZ319" s="208">
        <v>-7435</v>
      </c>
      <c r="EA319" s="208">
        <v>-743476</v>
      </c>
      <c r="EB319" s="208">
        <v>29611508</v>
      </c>
      <c r="EC319" s="208">
        <v>23689206</v>
      </c>
      <c r="ED319" s="208">
        <v>5330071</v>
      </c>
      <c r="EE319" s="208">
        <v>592230</v>
      </c>
      <c r="EF319" s="208">
        <v>59223015</v>
      </c>
      <c r="EG319" s="208">
        <v>30479487</v>
      </c>
      <c r="EH319" s="208">
        <v>24383590</v>
      </c>
      <c r="EI319" s="208">
        <v>5486308</v>
      </c>
      <c r="EJ319" s="208">
        <v>609590</v>
      </c>
      <c r="EK319" s="208">
        <v>60958975</v>
      </c>
      <c r="EL319" s="208">
        <v>867979</v>
      </c>
      <c r="EM319" s="208">
        <v>694384</v>
      </c>
      <c r="EN319" s="208">
        <v>156237</v>
      </c>
      <c r="EO319" s="208">
        <v>17360</v>
      </c>
      <c r="EP319" s="208">
        <v>1735960</v>
      </c>
      <c r="EQ319" s="208">
        <v>496241</v>
      </c>
      <c r="ER319" s="208">
        <v>396995</v>
      </c>
      <c r="ES319" s="208">
        <v>89323</v>
      </c>
      <c r="ET319" s="208">
        <v>9925</v>
      </c>
      <c r="EU319" s="208">
        <v>992484</v>
      </c>
      <c r="EV319" s="666">
        <v>0.5</v>
      </c>
      <c r="EW319" s="666">
        <v>0.4</v>
      </c>
      <c r="EX319" s="666">
        <v>0.09</v>
      </c>
      <c r="EY319" s="666">
        <v>0.01</v>
      </c>
      <c r="EZ319" s="666">
        <v>1</v>
      </c>
      <c r="FA319" s="187" t="s">
        <v>1054</v>
      </c>
      <c r="FC319" s="187">
        <v>0</v>
      </c>
    </row>
    <row r="320" spans="2:159" s="187" customFormat="1" x14ac:dyDescent="0.2">
      <c r="B320" s="429" t="s">
        <v>718</v>
      </c>
      <c r="C320" s="429" t="s">
        <v>717</v>
      </c>
      <c r="D320" s="208">
        <v>0</v>
      </c>
      <c r="E320" s="208">
        <v>92367708</v>
      </c>
      <c r="F320" s="208">
        <v>0</v>
      </c>
      <c r="G320" s="208">
        <v>933007</v>
      </c>
      <c r="H320" s="208">
        <v>93300715</v>
      </c>
      <c r="I320" s="208">
        <v>0</v>
      </c>
      <c r="J320" s="208">
        <v>0</v>
      </c>
      <c r="K320" s="208">
        <v>0</v>
      </c>
      <c r="L320" s="208">
        <v>244862</v>
      </c>
      <c r="M320" s="208">
        <v>244862</v>
      </c>
      <c r="N320" s="208">
        <v>0</v>
      </c>
      <c r="O320" s="208">
        <v>0</v>
      </c>
      <c r="P320" s="208">
        <v>11036</v>
      </c>
      <c r="Q320" s="208">
        <v>0</v>
      </c>
      <c r="R320" s="208">
        <v>11036</v>
      </c>
      <c r="S320" s="208">
        <v>0</v>
      </c>
      <c r="T320" s="208">
        <v>0</v>
      </c>
      <c r="U320" s="208">
        <v>0</v>
      </c>
      <c r="V320" s="208">
        <v>0</v>
      </c>
      <c r="W320" s="208">
        <v>0</v>
      </c>
      <c r="X320" s="208">
        <v>0</v>
      </c>
      <c r="Y320" s="208">
        <v>0</v>
      </c>
      <c r="Z320" s="208">
        <v>0</v>
      </c>
      <c r="AA320" s="208">
        <v>0</v>
      </c>
      <c r="AB320" s="208">
        <v>0</v>
      </c>
      <c r="AC320" s="208">
        <v>0</v>
      </c>
      <c r="AD320" s="208">
        <v>0</v>
      </c>
      <c r="AE320" s="208">
        <v>0</v>
      </c>
      <c r="AF320" s="208">
        <v>0</v>
      </c>
      <c r="AG320" s="208">
        <v>5653643</v>
      </c>
      <c r="AH320" s="208">
        <v>0</v>
      </c>
      <c r="AI320" s="208">
        <v>57103</v>
      </c>
      <c r="AJ320" s="208">
        <v>5710746</v>
      </c>
      <c r="AK320" s="208">
        <v>0</v>
      </c>
      <c r="AL320" s="208">
        <v>6071041</v>
      </c>
      <c r="AM320" s="208">
        <v>0</v>
      </c>
      <c r="AN320" s="208">
        <v>61324</v>
      </c>
      <c r="AO320" s="208">
        <v>6132365</v>
      </c>
      <c r="AP320" s="208">
        <v>0</v>
      </c>
      <c r="AQ320" s="208">
        <v>-3432315</v>
      </c>
      <c r="AR320" s="208">
        <v>0</v>
      </c>
      <c r="AS320" s="208">
        <v>-34670</v>
      </c>
      <c r="AT320" s="208">
        <v>-3466985</v>
      </c>
      <c r="AU320" s="208">
        <v>-0.10000000009313226</v>
      </c>
      <c r="AV320" s="208">
        <v>-1018224</v>
      </c>
      <c r="AW320" s="208">
        <v>0</v>
      </c>
      <c r="AX320" s="208">
        <v>-10285</v>
      </c>
      <c r="AY320" s="208">
        <v>-1028509.1000000001</v>
      </c>
      <c r="AZ320" s="208">
        <v>0</v>
      </c>
      <c r="BA320" s="208">
        <v>0</v>
      </c>
      <c r="BB320" s="208">
        <v>0</v>
      </c>
      <c r="BC320" s="208">
        <v>0</v>
      </c>
      <c r="BD320" s="208">
        <v>0</v>
      </c>
      <c r="BE320" s="208">
        <v>0</v>
      </c>
      <c r="BF320" s="208">
        <v>-10203</v>
      </c>
      <c r="BG320" s="208">
        <v>0</v>
      </c>
      <c r="BH320" s="208">
        <v>-103</v>
      </c>
      <c r="BI320" s="208">
        <v>-10306</v>
      </c>
      <c r="BJ320" s="208">
        <v>-0.10000000009313226</v>
      </c>
      <c r="BK320" s="208">
        <v>-1028427</v>
      </c>
      <c r="BL320" s="208">
        <v>0</v>
      </c>
      <c r="BM320" s="208">
        <v>-10388</v>
      </c>
      <c r="BN320" s="208">
        <v>-1038815.1000000001</v>
      </c>
      <c r="BO320" s="208">
        <v>0</v>
      </c>
      <c r="BP320" s="208">
        <v>-3873093</v>
      </c>
      <c r="BQ320" s="208">
        <v>0</v>
      </c>
      <c r="BR320" s="208">
        <v>-39122</v>
      </c>
      <c r="BS320" s="208">
        <v>-3912215</v>
      </c>
      <c r="BT320" s="208">
        <v>0</v>
      </c>
      <c r="BU320" s="208">
        <v>0</v>
      </c>
      <c r="BV320" s="208">
        <v>0</v>
      </c>
      <c r="BW320" s="208">
        <v>0</v>
      </c>
      <c r="BX320" s="208">
        <v>0</v>
      </c>
      <c r="BY320" s="208">
        <v>0</v>
      </c>
      <c r="BZ320" s="208">
        <v>-3873093</v>
      </c>
      <c r="CA320" s="208">
        <v>0</v>
      </c>
      <c r="CB320" s="208">
        <v>-39122</v>
      </c>
      <c r="CC320" s="208">
        <v>-3912215</v>
      </c>
      <c r="CD320" s="208">
        <v>0</v>
      </c>
      <c r="CE320" s="208">
        <v>110023</v>
      </c>
      <c r="CF320" s="208">
        <v>0</v>
      </c>
      <c r="CG320" s="208">
        <v>1111</v>
      </c>
      <c r="CH320" s="208">
        <v>111134</v>
      </c>
      <c r="CI320" s="208">
        <v>0</v>
      </c>
      <c r="CJ320" s="208">
        <v>0</v>
      </c>
      <c r="CK320" s="208">
        <v>0</v>
      </c>
      <c r="CL320" s="208">
        <v>0</v>
      </c>
      <c r="CM320" s="208">
        <v>0</v>
      </c>
      <c r="CN320" s="208">
        <v>0</v>
      </c>
      <c r="CO320" s="208">
        <v>1464253</v>
      </c>
      <c r="CP320" s="208">
        <v>0</v>
      </c>
      <c r="CQ320" s="208">
        <v>14790</v>
      </c>
      <c r="CR320" s="208">
        <v>1479043</v>
      </c>
      <c r="CS320" s="208">
        <v>0</v>
      </c>
      <c r="CT320" s="208">
        <v>0</v>
      </c>
      <c r="CU320" s="208">
        <v>0</v>
      </c>
      <c r="CV320" s="208">
        <v>0</v>
      </c>
      <c r="CW320" s="208">
        <v>0</v>
      </c>
      <c r="CX320" s="208">
        <v>0</v>
      </c>
      <c r="CY320" s="208">
        <v>-2298817</v>
      </c>
      <c r="CZ320" s="208">
        <v>0</v>
      </c>
      <c r="DA320" s="208">
        <v>-23221</v>
      </c>
      <c r="DB320" s="208">
        <v>-2322038</v>
      </c>
      <c r="DC320" s="208">
        <v>0</v>
      </c>
      <c r="DD320" s="208">
        <v>1574276</v>
      </c>
      <c r="DE320" s="208">
        <v>0</v>
      </c>
      <c r="DF320" s="208">
        <v>15901</v>
      </c>
      <c r="DG320" s="208">
        <v>1590177</v>
      </c>
      <c r="DH320" s="208">
        <v>0</v>
      </c>
      <c r="DI320" s="208">
        <v>-3873093</v>
      </c>
      <c r="DJ320" s="208">
        <v>0</v>
      </c>
      <c r="DK320" s="208">
        <v>-39122</v>
      </c>
      <c r="DL320" s="208">
        <v>-3912215</v>
      </c>
      <c r="DM320" s="208">
        <v>-5872612</v>
      </c>
      <c r="DN320" s="208">
        <v>-5755160</v>
      </c>
      <c r="DO320" s="208">
        <v>0</v>
      </c>
      <c r="DP320" s="208">
        <v>-117452</v>
      </c>
      <c r="DQ320" s="208">
        <v>-11745224</v>
      </c>
      <c r="DR320" s="208">
        <v>-3003140</v>
      </c>
      <c r="DS320" s="208">
        <v>-2943077</v>
      </c>
      <c r="DT320" s="208">
        <v>0</v>
      </c>
      <c r="DU320" s="208">
        <v>-60063</v>
      </c>
      <c r="DV320" s="208">
        <v>-6006280</v>
      </c>
      <c r="DW320" s="208">
        <v>-2869472</v>
      </c>
      <c r="DX320" s="208">
        <v>-2812083</v>
      </c>
      <c r="DY320" s="208">
        <v>0</v>
      </c>
      <c r="DZ320" s="208">
        <v>-57389</v>
      </c>
      <c r="EA320" s="208">
        <v>-5738944</v>
      </c>
      <c r="EB320" s="208">
        <v>0</v>
      </c>
      <c r="EC320" s="208">
        <v>90659309</v>
      </c>
      <c r="ED320" s="208">
        <v>0</v>
      </c>
      <c r="EE320" s="208">
        <v>915751</v>
      </c>
      <c r="EF320" s="208">
        <v>91575060</v>
      </c>
      <c r="EG320" s="208">
        <v>0</v>
      </c>
      <c r="EH320" s="208">
        <v>92367708</v>
      </c>
      <c r="EI320" s="208">
        <v>0</v>
      </c>
      <c r="EJ320" s="208">
        <v>933007</v>
      </c>
      <c r="EK320" s="208">
        <v>93300715</v>
      </c>
      <c r="EL320" s="208">
        <v>0</v>
      </c>
      <c r="EM320" s="208">
        <v>1708399</v>
      </c>
      <c r="EN320" s="208">
        <v>0</v>
      </c>
      <c r="EO320" s="208">
        <v>17256</v>
      </c>
      <c r="EP320" s="208">
        <v>1725655</v>
      </c>
      <c r="EQ320" s="208">
        <v>-2869472</v>
      </c>
      <c r="ER320" s="208">
        <v>-1103684</v>
      </c>
      <c r="ES320" s="208">
        <v>0</v>
      </c>
      <c r="ET320" s="208">
        <v>-40133</v>
      </c>
      <c r="EU320" s="208">
        <v>-4013289</v>
      </c>
      <c r="EV320" s="666">
        <v>0</v>
      </c>
      <c r="EW320" s="666">
        <v>0.99</v>
      </c>
      <c r="EX320" s="666">
        <v>0</v>
      </c>
      <c r="EY320" s="666">
        <v>0.01</v>
      </c>
      <c r="EZ320" s="666">
        <v>1</v>
      </c>
      <c r="FA320" s="187" t="s">
        <v>742</v>
      </c>
      <c r="FC320" s="187">
        <v>0</v>
      </c>
    </row>
    <row r="321" spans="1:159" s="187" customFormat="1" x14ac:dyDescent="0.2">
      <c r="B321" s="429" t="s">
        <v>720</v>
      </c>
      <c r="C321" s="429" t="s">
        <v>719</v>
      </c>
      <c r="D321" s="208">
        <v>0</v>
      </c>
      <c r="E321" s="208">
        <v>71507173</v>
      </c>
      <c r="F321" s="208">
        <v>0</v>
      </c>
      <c r="G321" s="208">
        <v>722295</v>
      </c>
      <c r="H321" s="208">
        <v>72229468</v>
      </c>
      <c r="I321" s="208">
        <v>0</v>
      </c>
      <c r="J321" s="208">
        <v>0</v>
      </c>
      <c r="K321" s="208">
        <v>0</v>
      </c>
      <c r="L321" s="208">
        <v>333350</v>
      </c>
      <c r="M321" s="208">
        <v>333350</v>
      </c>
      <c r="N321" s="208">
        <v>0</v>
      </c>
      <c r="O321" s="208">
        <v>0</v>
      </c>
      <c r="P321" s="208">
        <v>0</v>
      </c>
      <c r="Q321" s="208">
        <v>0</v>
      </c>
      <c r="R321" s="208">
        <v>0</v>
      </c>
      <c r="S321" s="208">
        <v>0</v>
      </c>
      <c r="T321" s="208">
        <v>0</v>
      </c>
      <c r="U321" s="208">
        <v>0</v>
      </c>
      <c r="V321" s="208">
        <v>0</v>
      </c>
      <c r="W321" s="208">
        <v>0</v>
      </c>
      <c r="X321" s="208">
        <v>0</v>
      </c>
      <c r="Y321" s="208">
        <v>0</v>
      </c>
      <c r="Z321" s="208">
        <v>0</v>
      </c>
      <c r="AA321" s="208">
        <v>0</v>
      </c>
      <c r="AB321" s="208">
        <v>0</v>
      </c>
      <c r="AC321" s="208">
        <v>0</v>
      </c>
      <c r="AD321" s="208">
        <v>0</v>
      </c>
      <c r="AE321" s="208">
        <v>0</v>
      </c>
      <c r="AF321" s="208">
        <v>0</v>
      </c>
      <c r="AG321" s="208">
        <v>9041561</v>
      </c>
      <c r="AH321" s="208">
        <v>0</v>
      </c>
      <c r="AI321" s="208">
        <v>90346</v>
      </c>
      <c r="AJ321" s="208">
        <v>9131907</v>
      </c>
      <c r="AK321" s="208">
        <v>0</v>
      </c>
      <c r="AL321" s="208">
        <v>4624597</v>
      </c>
      <c r="AM321" s="208">
        <v>0</v>
      </c>
      <c r="AN321" s="208">
        <v>46713</v>
      </c>
      <c r="AO321" s="208">
        <v>4671310</v>
      </c>
      <c r="AP321" s="208">
        <v>0</v>
      </c>
      <c r="AQ321" s="208">
        <v>-2131432</v>
      </c>
      <c r="AR321" s="208">
        <v>0</v>
      </c>
      <c r="AS321" s="208">
        <v>-21530</v>
      </c>
      <c r="AT321" s="208">
        <v>-2152962</v>
      </c>
      <c r="AU321" s="208">
        <v>0</v>
      </c>
      <c r="AV321" s="208">
        <v>-3082748</v>
      </c>
      <c r="AW321" s="208">
        <v>0</v>
      </c>
      <c r="AX321" s="208">
        <v>-31139</v>
      </c>
      <c r="AY321" s="208">
        <v>-3113887</v>
      </c>
      <c r="AZ321" s="208">
        <v>0</v>
      </c>
      <c r="BA321" s="208">
        <v>753518</v>
      </c>
      <c r="BB321" s="208">
        <v>0</v>
      </c>
      <c r="BC321" s="208">
        <v>7611</v>
      </c>
      <c r="BD321" s="208">
        <v>761129</v>
      </c>
      <c r="BE321" s="208">
        <v>0</v>
      </c>
      <c r="BF321" s="208">
        <v>-752237</v>
      </c>
      <c r="BG321" s="208">
        <v>0</v>
      </c>
      <c r="BH321" s="208">
        <v>-7598</v>
      </c>
      <c r="BI321" s="208">
        <v>-759835</v>
      </c>
      <c r="BJ321" s="208">
        <v>0</v>
      </c>
      <c r="BK321" s="208">
        <v>-3081467</v>
      </c>
      <c r="BL321" s="208">
        <v>0</v>
      </c>
      <c r="BM321" s="208">
        <v>-31126</v>
      </c>
      <c r="BN321" s="208">
        <v>-3112593</v>
      </c>
      <c r="BO321" s="208">
        <v>0</v>
      </c>
      <c r="BP321" s="208">
        <v>-10505118</v>
      </c>
      <c r="BQ321" s="208">
        <v>0</v>
      </c>
      <c r="BR321" s="208">
        <v>-106112</v>
      </c>
      <c r="BS321" s="208">
        <v>-10611230</v>
      </c>
      <c r="BT321" s="208">
        <v>0</v>
      </c>
      <c r="BU321" s="208">
        <v>0</v>
      </c>
      <c r="BV321" s="208">
        <v>0</v>
      </c>
      <c r="BW321" s="208">
        <v>0</v>
      </c>
      <c r="BX321" s="208">
        <v>0</v>
      </c>
      <c r="BY321" s="208">
        <v>0</v>
      </c>
      <c r="BZ321" s="208">
        <v>-10505118</v>
      </c>
      <c r="CA321" s="208">
        <v>0</v>
      </c>
      <c r="CB321" s="208">
        <v>-106112</v>
      </c>
      <c r="CC321" s="208">
        <v>-10611230</v>
      </c>
      <c r="CD321" s="208">
        <v>0</v>
      </c>
      <c r="CE321" s="208">
        <v>0</v>
      </c>
      <c r="CF321" s="208">
        <v>0</v>
      </c>
      <c r="CG321" s="208">
        <v>0</v>
      </c>
      <c r="CH321" s="208">
        <v>0</v>
      </c>
      <c r="CI321" s="208">
        <v>0</v>
      </c>
      <c r="CJ321" s="208">
        <v>394835</v>
      </c>
      <c r="CK321" s="208">
        <v>0</v>
      </c>
      <c r="CL321" s="208">
        <v>3988</v>
      </c>
      <c r="CM321" s="208">
        <v>398823</v>
      </c>
      <c r="CN321" s="208">
        <v>0</v>
      </c>
      <c r="CO321" s="208">
        <v>0</v>
      </c>
      <c r="CP321" s="208">
        <v>0</v>
      </c>
      <c r="CQ321" s="208">
        <v>0</v>
      </c>
      <c r="CR321" s="208">
        <v>0</v>
      </c>
      <c r="CS321" s="208">
        <v>0</v>
      </c>
      <c r="CT321" s="208">
        <v>1678720</v>
      </c>
      <c r="CU321" s="208">
        <v>0</v>
      </c>
      <c r="CV321" s="208">
        <v>16957</v>
      </c>
      <c r="CW321" s="208">
        <v>1695677</v>
      </c>
      <c r="CX321" s="208">
        <v>0</v>
      </c>
      <c r="CY321" s="208">
        <v>-8431563</v>
      </c>
      <c r="CZ321" s="208">
        <v>0</v>
      </c>
      <c r="DA321" s="208">
        <v>-85167</v>
      </c>
      <c r="DB321" s="208">
        <v>-8516730</v>
      </c>
      <c r="DC321" s="208">
        <v>0</v>
      </c>
      <c r="DD321" s="208">
        <v>0</v>
      </c>
      <c r="DE321" s="208">
        <v>0</v>
      </c>
      <c r="DF321" s="208">
        <v>0</v>
      </c>
      <c r="DG321" s="208">
        <v>0</v>
      </c>
      <c r="DH321" s="208">
        <v>0</v>
      </c>
      <c r="DI321" s="208">
        <v>-8431563</v>
      </c>
      <c r="DJ321" s="208">
        <v>0</v>
      </c>
      <c r="DK321" s="208">
        <v>-85167</v>
      </c>
      <c r="DL321" s="208">
        <v>-8516730</v>
      </c>
      <c r="DM321" s="208">
        <v>-10662</v>
      </c>
      <c r="DN321" s="208">
        <v>-3059210</v>
      </c>
      <c r="DO321" s="208">
        <v>0</v>
      </c>
      <c r="DP321" s="208">
        <v>-31010</v>
      </c>
      <c r="DQ321" s="208">
        <v>-3100882</v>
      </c>
      <c r="DR321" s="208">
        <v>-10662</v>
      </c>
      <c r="DS321" s="208">
        <v>-1945182</v>
      </c>
      <c r="DT321" s="208">
        <v>0</v>
      </c>
      <c r="DU321" s="208">
        <v>-19756</v>
      </c>
      <c r="DV321" s="208">
        <v>-1975600</v>
      </c>
      <c r="DW321" s="208">
        <v>0</v>
      </c>
      <c r="DX321" s="208">
        <v>-1114028</v>
      </c>
      <c r="DY321" s="208">
        <v>0</v>
      </c>
      <c r="DZ321" s="208">
        <v>-11254</v>
      </c>
      <c r="EA321" s="208">
        <v>-1125282</v>
      </c>
      <c r="EB321" s="208">
        <v>0</v>
      </c>
      <c r="EC321" s="208">
        <v>70710326</v>
      </c>
      <c r="ED321" s="208">
        <v>0</v>
      </c>
      <c r="EE321" s="208">
        <v>714246</v>
      </c>
      <c r="EF321" s="208">
        <v>71424572</v>
      </c>
      <c r="EG321" s="208">
        <v>0</v>
      </c>
      <c r="EH321" s="208">
        <v>71507173</v>
      </c>
      <c r="EI321" s="208">
        <v>0</v>
      </c>
      <c r="EJ321" s="208">
        <v>722295</v>
      </c>
      <c r="EK321" s="208">
        <v>72229468</v>
      </c>
      <c r="EL321" s="208">
        <v>0</v>
      </c>
      <c r="EM321" s="208">
        <v>796847</v>
      </c>
      <c r="EN321" s="208">
        <v>0</v>
      </c>
      <c r="EO321" s="208">
        <v>8049</v>
      </c>
      <c r="EP321" s="208">
        <v>804896</v>
      </c>
      <c r="EQ321" s="208">
        <v>0</v>
      </c>
      <c r="ER321" s="208">
        <v>-317181</v>
      </c>
      <c r="ES321" s="208">
        <v>0</v>
      </c>
      <c r="ET321" s="208">
        <v>-3205</v>
      </c>
      <c r="EU321" s="208">
        <v>-320386</v>
      </c>
      <c r="EV321" s="666">
        <v>0</v>
      </c>
      <c r="EW321" s="666">
        <v>0.99</v>
      </c>
      <c r="EX321" s="666">
        <v>0</v>
      </c>
      <c r="EY321" s="666">
        <v>0.01</v>
      </c>
      <c r="EZ321" s="666">
        <v>1</v>
      </c>
      <c r="FA321" s="187" t="s">
        <v>1056</v>
      </c>
      <c r="FC321" s="187">
        <v>0</v>
      </c>
    </row>
    <row r="322" spans="1:159" s="187" customFormat="1" x14ac:dyDescent="0.2">
      <c r="B322" s="429" t="s">
        <v>722</v>
      </c>
      <c r="C322" s="429" t="s">
        <v>721</v>
      </c>
      <c r="D322" s="208">
        <v>0</v>
      </c>
      <c r="E322" s="208">
        <v>16015681</v>
      </c>
      <c r="F322" s="208">
        <v>37369921</v>
      </c>
      <c r="G322" s="208">
        <v>0</v>
      </c>
      <c r="H322" s="208">
        <v>53385602</v>
      </c>
      <c r="I322" s="208">
        <v>0</v>
      </c>
      <c r="J322" s="208">
        <v>0</v>
      </c>
      <c r="K322" s="208">
        <v>0</v>
      </c>
      <c r="L322" s="208">
        <v>135455</v>
      </c>
      <c r="M322" s="208">
        <v>135455</v>
      </c>
      <c r="N322" s="208">
        <v>0</v>
      </c>
      <c r="O322" s="208">
        <v>0</v>
      </c>
      <c r="P322" s="208">
        <v>0</v>
      </c>
      <c r="Q322" s="208">
        <v>0</v>
      </c>
      <c r="R322" s="208">
        <v>0</v>
      </c>
      <c r="S322" s="208">
        <v>0</v>
      </c>
      <c r="T322" s="208">
        <v>0</v>
      </c>
      <c r="U322" s="208">
        <v>0</v>
      </c>
      <c r="V322" s="208">
        <v>0</v>
      </c>
      <c r="W322" s="208">
        <v>0</v>
      </c>
      <c r="X322" s="208">
        <v>0</v>
      </c>
      <c r="Y322" s="208">
        <v>0</v>
      </c>
      <c r="Z322" s="208">
        <v>0</v>
      </c>
      <c r="AA322" s="208">
        <v>0</v>
      </c>
      <c r="AB322" s="208">
        <v>0</v>
      </c>
      <c r="AC322" s="208">
        <v>0</v>
      </c>
      <c r="AD322" s="208">
        <v>0</v>
      </c>
      <c r="AE322" s="208">
        <v>0</v>
      </c>
      <c r="AF322" s="208">
        <v>0</v>
      </c>
      <c r="AG322" s="208">
        <v>991356</v>
      </c>
      <c r="AH322" s="208">
        <v>2313164</v>
      </c>
      <c r="AI322" s="208">
        <v>0</v>
      </c>
      <c r="AJ322" s="208">
        <v>3304520</v>
      </c>
      <c r="AK322" s="208">
        <v>0</v>
      </c>
      <c r="AL322" s="208">
        <v>668126</v>
      </c>
      <c r="AM322" s="208">
        <v>1558961</v>
      </c>
      <c r="AN322" s="208">
        <v>0</v>
      </c>
      <c r="AO322" s="208">
        <v>2227087</v>
      </c>
      <c r="AP322" s="208">
        <v>0</v>
      </c>
      <c r="AQ322" s="208">
        <v>-633462</v>
      </c>
      <c r="AR322" s="208">
        <v>-1478079</v>
      </c>
      <c r="AS322" s="208">
        <v>0</v>
      </c>
      <c r="AT322" s="208">
        <v>-2111541</v>
      </c>
      <c r="AU322" s="208">
        <v>0</v>
      </c>
      <c r="AV322" s="208">
        <v>-203400</v>
      </c>
      <c r="AW322" s="208">
        <v>-474600</v>
      </c>
      <c r="AX322" s="208">
        <v>0</v>
      </c>
      <c r="AY322" s="208">
        <v>-678000</v>
      </c>
      <c r="AZ322" s="208">
        <v>0</v>
      </c>
      <c r="BA322" s="208">
        <v>0</v>
      </c>
      <c r="BB322" s="208">
        <v>0</v>
      </c>
      <c r="BC322" s="208">
        <v>0</v>
      </c>
      <c r="BD322" s="208">
        <v>0</v>
      </c>
      <c r="BE322" s="208">
        <v>0</v>
      </c>
      <c r="BF322" s="208">
        <v>-67500</v>
      </c>
      <c r="BG322" s="208">
        <v>-157500</v>
      </c>
      <c r="BH322" s="208">
        <v>0</v>
      </c>
      <c r="BI322" s="208">
        <v>-225000</v>
      </c>
      <c r="BJ322" s="208">
        <v>0</v>
      </c>
      <c r="BK322" s="208">
        <v>-270900</v>
      </c>
      <c r="BL322" s="208">
        <v>-632100</v>
      </c>
      <c r="BM322" s="208">
        <v>0</v>
      </c>
      <c r="BN322" s="208">
        <v>-903000</v>
      </c>
      <c r="BO322" s="208">
        <v>0</v>
      </c>
      <c r="BP322" s="208">
        <v>-2958900</v>
      </c>
      <c r="BQ322" s="208">
        <v>-6904100</v>
      </c>
      <c r="BR322" s="208">
        <v>0</v>
      </c>
      <c r="BS322" s="208">
        <v>-9863000</v>
      </c>
      <c r="BT322" s="208">
        <v>0</v>
      </c>
      <c r="BU322" s="208">
        <v>-1786800</v>
      </c>
      <c r="BV322" s="208">
        <v>-4169200</v>
      </c>
      <c r="BW322" s="208">
        <v>0</v>
      </c>
      <c r="BX322" s="208">
        <v>-5956000</v>
      </c>
      <c r="BY322" s="208">
        <v>0</v>
      </c>
      <c r="BZ322" s="208">
        <v>-1172100</v>
      </c>
      <c r="CA322" s="208">
        <v>-2734900</v>
      </c>
      <c r="CB322" s="208">
        <v>0</v>
      </c>
      <c r="CC322" s="208">
        <v>-3907000</v>
      </c>
      <c r="CD322" s="208">
        <v>0</v>
      </c>
      <c r="CE322" s="208">
        <v>180643</v>
      </c>
      <c r="CF322" s="208">
        <v>421500</v>
      </c>
      <c r="CG322" s="208">
        <v>0</v>
      </c>
      <c r="CH322" s="208">
        <v>602143</v>
      </c>
      <c r="CI322" s="208">
        <v>0</v>
      </c>
      <c r="CJ322" s="208">
        <v>126724</v>
      </c>
      <c r="CK322" s="208">
        <v>295688</v>
      </c>
      <c r="CL322" s="208">
        <v>0</v>
      </c>
      <c r="CM322" s="208">
        <v>422412</v>
      </c>
      <c r="CN322" s="208">
        <v>0</v>
      </c>
      <c r="CO322" s="208">
        <v>1117757</v>
      </c>
      <c r="CP322" s="208">
        <v>2608100</v>
      </c>
      <c r="CQ322" s="208">
        <v>0</v>
      </c>
      <c r="CR322" s="208">
        <v>3725857</v>
      </c>
      <c r="CS322" s="208">
        <v>0</v>
      </c>
      <c r="CT322" s="208">
        <v>367757</v>
      </c>
      <c r="CU322" s="208">
        <v>858100</v>
      </c>
      <c r="CV322" s="208">
        <v>0</v>
      </c>
      <c r="CW322" s="208">
        <v>1225857</v>
      </c>
      <c r="CX322" s="208">
        <v>0</v>
      </c>
      <c r="CY322" s="208">
        <v>-1166019</v>
      </c>
      <c r="CZ322" s="208">
        <v>-2720712</v>
      </c>
      <c r="DA322" s="208">
        <v>0</v>
      </c>
      <c r="DB322" s="208">
        <v>-3886731</v>
      </c>
      <c r="DC322" s="208">
        <v>0</v>
      </c>
      <c r="DD322" s="208">
        <v>-488400</v>
      </c>
      <c r="DE322" s="208">
        <v>-1139600</v>
      </c>
      <c r="DF322" s="208">
        <v>0</v>
      </c>
      <c r="DG322" s="208">
        <v>-1628000</v>
      </c>
      <c r="DH322" s="208">
        <v>0</v>
      </c>
      <c r="DI322" s="208">
        <v>-677619</v>
      </c>
      <c r="DJ322" s="208">
        <v>-1581112</v>
      </c>
      <c r="DK322" s="208">
        <v>0</v>
      </c>
      <c r="DL322" s="208">
        <v>-2258731</v>
      </c>
      <c r="DM322" s="208">
        <v>-4270961</v>
      </c>
      <c r="DN322" s="208">
        <v>-3416768</v>
      </c>
      <c r="DO322" s="208">
        <v>-854192</v>
      </c>
      <c r="DP322" s="208">
        <v>0</v>
      </c>
      <c r="DQ322" s="208">
        <v>-8541921</v>
      </c>
      <c r="DR322" s="208">
        <v>-4258557</v>
      </c>
      <c r="DS322" s="208">
        <v>-3406846</v>
      </c>
      <c r="DT322" s="208">
        <v>-851712</v>
      </c>
      <c r="DU322" s="208">
        <v>0</v>
      </c>
      <c r="DV322" s="208">
        <v>-8517115</v>
      </c>
      <c r="DW322" s="208">
        <v>-12404</v>
      </c>
      <c r="DX322" s="208">
        <v>-9922</v>
      </c>
      <c r="DY322" s="208">
        <v>-2480</v>
      </c>
      <c r="DZ322" s="208">
        <v>0</v>
      </c>
      <c r="EA322" s="208">
        <v>-24806</v>
      </c>
      <c r="EB322" s="208">
        <v>0</v>
      </c>
      <c r="EC322" s="208">
        <v>13978408</v>
      </c>
      <c r="ED322" s="208">
        <v>32616286</v>
      </c>
      <c r="EE322" s="208">
        <v>0</v>
      </c>
      <c r="EF322" s="208">
        <v>46594694</v>
      </c>
      <c r="EG322" s="208">
        <v>0</v>
      </c>
      <c r="EH322" s="208">
        <v>16015681</v>
      </c>
      <c r="EI322" s="208">
        <v>37369921</v>
      </c>
      <c r="EJ322" s="208">
        <v>0</v>
      </c>
      <c r="EK322" s="208">
        <v>53385602</v>
      </c>
      <c r="EL322" s="208">
        <v>0</v>
      </c>
      <c r="EM322" s="208">
        <v>2037273</v>
      </c>
      <c r="EN322" s="208">
        <v>4753635</v>
      </c>
      <c r="EO322" s="208">
        <v>0</v>
      </c>
      <c r="EP322" s="208">
        <v>6790908</v>
      </c>
      <c r="EQ322" s="208">
        <v>-12404</v>
      </c>
      <c r="ER322" s="208">
        <v>2027351</v>
      </c>
      <c r="ES322" s="208">
        <v>4751155</v>
      </c>
      <c r="ET322" s="208">
        <v>0</v>
      </c>
      <c r="EU322" s="208">
        <v>6766102</v>
      </c>
      <c r="EV322" s="666">
        <v>0</v>
      </c>
      <c r="EW322" s="666">
        <v>0.3</v>
      </c>
      <c r="EX322" s="666">
        <v>0.7</v>
      </c>
      <c r="EY322" s="666">
        <v>0</v>
      </c>
      <c r="EZ322" s="666">
        <v>1</v>
      </c>
      <c r="FA322" s="187" t="s">
        <v>1054</v>
      </c>
      <c r="FC322" s="187">
        <v>0</v>
      </c>
    </row>
    <row r="323" spans="1:159" s="187" customFormat="1" x14ac:dyDescent="0.2">
      <c r="B323" s="429" t="s">
        <v>724</v>
      </c>
      <c r="C323" s="429" t="s">
        <v>723</v>
      </c>
      <c r="D323" s="208">
        <v>0</v>
      </c>
      <c r="E323" s="208">
        <v>70052566</v>
      </c>
      <c r="F323" s="208">
        <v>0</v>
      </c>
      <c r="G323" s="208">
        <v>707602</v>
      </c>
      <c r="H323" s="208">
        <v>70760168</v>
      </c>
      <c r="I323" s="208">
        <v>0</v>
      </c>
      <c r="J323" s="208">
        <v>0</v>
      </c>
      <c r="K323" s="208">
        <v>0</v>
      </c>
      <c r="L323" s="208">
        <v>196438</v>
      </c>
      <c r="M323" s="208">
        <v>196438</v>
      </c>
      <c r="N323" s="208">
        <v>0</v>
      </c>
      <c r="O323" s="208">
        <v>0</v>
      </c>
      <c r="P323" s="208">
        <v>15560</v>
      </c>
      <c r="Q323" s="208">
        <v>0</v>
      </c>
      <c r="R323" s="208">
        <v>15560</v>
      </c>
      <c r="S323" s="208">
        <v>0</v>
      </c>
      <c r="T323" s="208">
        <v>0</v>
      </c>
      <c r="U323" s="208">
        <v>0</v>
      </c>
      <c r="V323" s="208">
        <v>0</v>
      </c>
      <c r="W323" s="208">
        <v>0</v>
      </c>
      <c r="X323" s="208">
        <v>0</v>
      </c>
      <c r="Y323" s="208">
        <v>0</v>
      </c>
      <c r="Z323" s="208">
        <v>0</v>
      </c>
      <c r="AA323" s="208">
        <v>0</v>
      </c>
      <c r="AB323" s="208">
        <v>0</v>
      </c>
      <c r="AC323" s="208">
        <v>0</v>
      </c>
      <c r="AD323" s="208">
        <v>0</v>
      </c>
      <c r="AE323" s="208">
        <v>0</v>
      </c>
      <c r="AF323" s="208">
        <v>0</v>
      </c>
      <c r="AG323" s="208">
        <v>4591802</v>
      </c>
      <c r="AH323" s="208">
        <v>0</v>
      </c>
      <c r="AI323" s="208">
        <v>46379</v>
      </c>
      <c r="AJ323" s="208">
        <v>4638181</v>
      </c>
      <c r="AK323" s="208">
        <v>0</v>
      </c>
      <c r="AL323" s="208">
        <v>3202081</v>
      </c>
      <c r="AM323" s="208">
        <v>0</v>
      </c>
      <c r="AN323" s="208">
        <v>32344</v>
      </c>
      <c r="AO323" s="208">
        <v>3234425</v>
      </c>
      <c r="AP323" s="208">
        <v>0</v>
      </c>
      <c r="AQ323" s="208">
        <v>-3372060</v>
      </c>
      <c r="AR323" s="208">
        <v>0</v>
      </c>
      <c r="AS323" s="208">
        <v>-34061</v>
      </c>
      <c r="AT323" s="208">
        <v>-3406121</v>
      </c>
      <c r="AU323" s="208">
        <v>0</v>
      </c>
      <c r="AV323" s="208">
        <v>-762095</v>
      </c>
      <c r="AW323" s="208">
        <v>0</v>
      </c>
      <c r="AX323" s="208">
        <v>-7698</v>
      </c>
      <c r="AY323" s="208">
        <v>-769793</v>
      </c>
      <c r="AZ323" s="208">
        <v>0</v>
      </c>
      <c r="BA323" s="208">
        <v>481660</v>
      </c>
      <c r="BB323" s="208">
        <v>0</v>
      </c>
      <c r="BC323" s="208">
        <v>4865</v>
      </c>
      <c r="BD323" s="208">
        <v>486525</v>
      </c>
      <c r="BE323" s="208">
        <v>0</v>
      </c>
      <c r="BF323" s="208">
        <v>-594000</v>
      </c>
      <c r="BG323" s="208">
        <v>0</v>
      </c>
      <c r="BH323" s="208">
        <v>-6000</v>
      </c>
      <c r="BI323" s="208">
        <v>-600000</v>
      </c>
      <c r="BJ323" s="208">
        <v>0</v>
      </c>
      <c r="BK323" s="208">
        <v>-874435</v>
      </c>
      <c r="BL323" s="208">
        <v>0</v>
      </c>
      <c r="BM323" s="208">
        <v>-8833</v>
      </c>
      <c r="BN323" s="208">
        <v>-883268</v>
      </c>
      <c r="BO323" s="208">
        <v>0</v>
      </c>
      <c r="BP323" s="208">
        <v>-4734131</v>
      </c>
      <c r="BQ323" s="208">
        <v>0</v>
      </c>
      <c r="BR323" s="208">
        <v>-47820</v>
      </c>
      <c r="BS323" s="208">
        <v>-4781951</v>
      </c>
      <c r="BT323" s="208">
        <v>0</v>
      </c>
      <c r="BU323" s="208">
        <v>0</v>
      </c>
      <c r="BV323" s="208">
        <v>0</v>
      </c>
      <c r="BW323" s="208">
        <v>0</v>
      </c>
      <c r="BX323" s="208">
        <v>0</v>
      </c>
      <c r="BY323" s="208">
        <v>0</v>
      </c>
      <c r="BZ323" s="208">
        <v>-4734131</v>
      </c>
      <c r="CA323" s="208">
        <v>0</v>
      </c>
      <c r="CB323" s="208">
        <v>-47820</v>
      </c>
      <c r="CC323" s="208">
        <v>-4781951</v>
      </c>
      <c r="CD323" s="208">
        <v>0</v>
      </c>
      <c r="CE323" s="208">
        <v>421138</v>
      </c>
      <c r="CF323" s="208">
        <v>0</v>
      </c>
      <c r="CG323" s="208">
        <v>4254</v>
      </c>
      <c r="CH323" s="208">
        <v>425392</v>
      </c>
      <c r="CI323" s="208">
        <v>0</v>
      </c>
      <c r="CJ323" s="208">
        <v>119637</v>
      </c>
      <c r="CK323" s="208">
        <v>0</v>
      </c>
      <c r="CL323" s="208">
        <v>1208</v>
      </c>
      <c r="CM323" s="208">
        <v>120845</v>
      </c>
      <c r="CN323" s="208">
        <v>0</v>
      </c>
      <c r="CO323" s="208">
        <v>0</v>
      </c>
      <c r="CP323" s="208">
        <v>0</v>
      </c>
      <c r="CQ323" s="208">
        <v>0</v>
      </c>
      <c r="CR323" s="208">
        <v>0</v>
      </c>
      <c r="CS323" s="208">
        <v>0</v>
      </c>
      <c r="CT323" s="208">
        <v>0</v>
      </c>
      <c r="CU323" s="208">
        <v>0</v>
      </c>
      <c r="CV323" s="208">
        <v>0</v>
      </c>
      <c r="CW323" s="208">
        <v>0</v>
      </c>
      <c r="CX323" s="208">
        <v>0</v>
      </c>
      <c r="CY323" s="208">
        <v>-4193356</v>
      </c>
      <c r="CZ323" s="208">
        <v>0</v>
      </c>
      <c r="DA323" s="208">
        <v>-42358</v>
      </c>
      <c r="DB323" s="208">
        <v>-4235714</v>
      </c>
      <c r="DC323" s="208">
        <v>0</v>
      </c>
      <c r="DD323" s="208">
        <v>421138</v>
      </c>
      <c r="DE323" s="208">
        <v>0</v>
      </c>
      <c r="DF323" s="208">
        <v>4254</v>
      </c>
      <c r="DG323" s="208">
        <v>425392</v>
      </c>
      <c r="DH323" s="208">
        <v>0</v>
      </c>
      <c r="DI323" s="208">
        <v>-4614494</v>
      </c>
      <c r="DJ323" s="208">
        <v>0</v>
      </c>
      <c r="DK323" s="208">
        <v>-46612</v>
      </c>
      <c r="DL323" s="208">
        <v>-4661106</v>
      </c>
      <c r="DM323" s="208">
        <v>5236829</v>
      </c>
      <c r="DN323" s="208">
        <v>5132092</v>
      </c>
      <c r="DO323" s="208">
        <v>0</v>
      </c>
      <c r="DP323" s="208">
        <v>104737</v>
      </c>
      <c r="DQ323" s="208">
        <v>10473658</v>
      </c>
      <c r="DR323" s="208">
        <v>5698015</v>
      </c>
      <c r="DS323" s="208">
        <v>5584054</v>
      </c>
      <c r="DT323" s="208">
        <v>0</v>
      </c>
      <c r="DU323" s="208">
        <v>113960</v>
      </c>
      <c r="DV323" s="208">
        <v>11396029</v>
      </c>
      <c r="DW323" s="208">
        <v>-461186</v>
      </c>
      <c r="DX323" s="208">
        <v>-451962</v>
      </c>
      <c r="DY323" s="208">
        <v>0</v>
      </c>
      <c r="DZ323" s="208">
        <v>-9223</v>
      </c>
      <c r="EA323" s="208">
        <v>-922371</v>
      </c>
      <c r="EB323" s="208">
        <v>0</v>
      </c>
      <c r="EC323" s="208">
        <v>71276446</v>
      </c>
      <c r="ED323" s="208">
        <v>0</v>
      </c>
      <c r="EE323" s="208">
        <v>719964</v>
      </c>
      <c r="EF323" s="208">
        <v>71996410</v>
      </c>
      <c r="EG323" s="208">
        <v>0</v>
      </c>
      <c r="EH323" s="208">
        <v>70052566</v>
      </c>
      <c r="EI323" s="208">
        <v>0</v>
      </c>
      <c r="EJ323" s="208">
        <v>707602</v>
      </c>
      <c r="EK323" s="208">
        <v>70760168</v>
      </c>
      <c r="EL323" s="208">
        <v>0</v>
      </c>
      <c r="EM323" s="208">
        <v>-1223880</v>
      </c>
      <c r="EN323" s="208">
        <v>0</v>
      </c>
      <c r="EO323" s="208">
        <v>-12362</v>
      </c>
      <c r="EP323" s="208">
        <v>-1236242</v>
      </c>
      <c r="EQ323" s="208">
        <v>-461186</v>
      </c>
      <c r="ER323" s="208">
        <v>-1675842</v>
      </c>
      <c r="ES323" s="208">
        <v>0</v>
      </c>
      <c r="ET323" s="208">
        <v>-21585</v>
      </c>
      <c r="EU323" s="208">
        <v>-2158613</v>
      </c>
      <c r="EV323" s="666">
        <v>0</v>
      </c>
      <c r="EW323" s="666">
        <v>0.99</v>
      </c>
      <c r="EX323" s="666">
        <v>0</v>
      </c>
      <c r="EY323" s="666">
        <v>0.01</v>
      </c>
      <c r="EZ323" s="666">
        <v>1</v>
      </c>
      <c r="FA323" s="187" t="s">
        <v>742</v>
      </c>
      <c r="FC323" s="187">
        <v>0</v>
      </c>
    </row>
    <row r="324" spans="1:159" s="187" customFormat="1" x14ac:dyDescent="0.2">
      <c r="B324" s="429" t="s">
        <v>726</v>
      </c>
      <c r="C324" s="429" t="s">
        <v>725</v>
      </c>
      <c r="D324" s="208">
        <v>0</v>
      </c>
      <c r="E324" s="208">
        <v>71689503</v>
      </c>
      <c r="F324" s="208">
        <v>0</v>
      </c>
      <c r="G324" s="208">
        <v>724136</v>
      </c>
      <c r="H324" s="208">
        <v>72413639</v>
      </c>
      <c r="I324" s="208">
        <v>0</v>
      </c>
      <c r="J324" s="208">
        <v>0</v>
      </c>
      <c r="K324" s="208">
        <v>0</v>
      </c>
      <c r="L324" s="208">
        <v>335978</v>
      </c>
      <c r="M324" s="208">
        <v>335978</v>
      </c>
      <c r="N324" s="208">
        <v>83611</v>
      </c>
      <c r="O324" s="208">
        <v>83611</v>
      </c>
      <c r="P324" s="208">
        <v>4920</v>
      </c>
      <c r="Q324" s="208">
        <v>0</v>
      </c>
      <c r="R324" s="208">
        <v>4920</v>
      </c>
      <c r="S324" s="208">
        <v>0</v>
      </c>
      <c r="T324" s="208">
        <v>0</v>
      </c>
      <c r="U324" s="208">
        <v>0</v>
      </c>
      <c r="V324" s="208">
        <v>0</v>
      </c>
      <c r="W324" s="208">
        <v>0</v>
      </c>
      <c r="X324" s="208">
        <v>0</v>
      </c>
      <c r="Y324" s="208">
        <v>0</v>
      </c>
      <c r="Z324" s="208">
        <v>0</v>
      </c>
      <c r="AA324" s="208">
        <v>0</v>
      </c>
      <c r="AB324" s="208">
        <v>0</v>
      </c>
      <c r="AC324" s="208">
        <v>0</v>
      </c>
      <c r="AD324" s="208">
        <v>0</v>
      </c>
      <c r="AE324" s="208">
        <v>0</v>
      </c>
      <c r="AF324" s="208">
        <v>0</v>
      </c>
      <c r="AG324" s="208">
        <v>8707976</v>
      </c>
      <c r="AH324" s="208">
        <v>0</v>
      </c>
      <c r="AI324" s="208">
        <v>87852</v>
      </c>
      <c r="AJ324" s="208">
        <v>8795828</v>
      </c>
      <c r="AK324" s="208">
        <v>0</v>
      </c>
      <c r="AL324" s="208">
        <v>6642248</v>
      </c>
      <c r="AM324" s="208">
        <v>0</v>
      </c>
      <c r="AN324" s="208">
        <v>67093</v>
      </c>
      <c r="AO324" s="208">
        <v>6709341</v>
      </c>
      <c r="AP324" s="208">
        <v>0</v>
      </c>
      <c r="AQ324" s="208">
        <v>-1252105</v>
      </c>
      <c r="AR324" s="208">
        <v>0</v>
      </c>
      <c r="AS324" s="208">
        <v>-12648</v>
      </c>
      <c r="AT324" s="208">
        <v>-1264753</v>
      </c>
      <c r="AU324" s="208">
        <v>0</v>
      </c>
      <c r="AV324" s="208">
        <v>-4824093</v>
      </c>
      <c r="AW324" s="208">
        <v>0</v>
      </c>
      <c r="AX324" s="208">
        <v>-48728</v>
      </c>
      <c r="AY324" s="208">
        <v>-4872821</v>
      </c>
      <c r="AZ324" s="208">
        <v>0</v>
      </c>
      <c r="BA324" s="208">
        <v>1258293</v>
      </c>
      <c r="BB324" s="208">
        <v>0</v>
      </c>
      <c r="BC324" s="208">
        <v>12710</v>
      </c>
      <c r="BD324" s="208">
        <v>1271003</v>
      </c>
      <c r="BE324" s="208">
        <v>0</v>
      </c>
      <c r="BF324" s="208">
        <v>-1086415</v>
      </c>
      <c r="BG324" s="208">
        <v>0</v>
      </c>
      <c r="BH324" s="208">
        <v>-10974</v>
      </c>
      <c r="BI324" s="208">
        <v>-1097389</v>
      </c>
      <c r="BJ324" s="208">
        <v>0</v>
      </c>
      <c r="BK324" s="208">
        <v>-4652215</v>
      </c>
      <c r="BL324" s="208">
        <v>0</v>
      </c>
      <c r="BM324" s="208">
        <v>-46992</v>
      </c>
      <c r="BN324" s="208">
        <v>-4699207</v>
      </c>
      <c r="BO324" s="208">
        <v>0</v>
      </c>
      <c r="BP324" s="208">
        <v>-7383107</v>
      </c>
      <c r="BQ324" s="208">
        <v>0</v>
      </c>
      <c r="BR324" s="208">
        <v>-74577</v>
      </c>
      <c r="BS324" s="208">
        <v>-7457684</v>
      </c>
      <c r="BT324" s="208">
        <v>0</v>
      </c>
      <c r="BU324" s="208">
        <v>-5879583</v>
      </c>
      <c r="BV324" s="208">
        <v>0</v>
      </c>
      <c r="BW324" s="208">
        <v>-59390</v>
      </c>
      <c r="BX324" s="208">
        <v>-5938973</v>
      </c>
      <c r="BY324" s="208">
        <v>0</v>
      </c>
      <c r="BZ324" s="208">
        <v>-1503524</v>
      </c>
      <c r="CA324" s="208">
        <v>0</v>
      </c>
      <c r="CB324" s="208">
        <v>-15187</v>
      </c>
      <c r="CC324" s="208">
        <v>-1518711</v>
      </c>
      <c r="CD324" s="208">
        <v>0</v>
      </c>
      <c r="CE324" s="208">
        <v>1481304</v>
      </c>
      <c r="CF324" s="208">
        <v>0</v>
      </c>
      <c r="CG324" s="208">
        <v>14963</v>
      </c>
      <c r="CH324" s="208">
        <v>1496267</v>
      </c>
      <c r="CI324" s="208">
        <v>0</v>
      </c>
      <c r="CJ324" s="208">
        <v>1057401</v>
      </c>
      <c r="CK324" s="208">
        <v>0</v>
      </c>
      <c r="CL324" s="208">
        <v>10681</v>
      </c>
      <c r="CM324" s="208">
        <v>1068082</v>
      </c>
      <c r="CN324" s="208">
        <v>0</v>
      </c>
      <c r="CO324" s="208">
        <v>804979</v>
      </c>
      <c r="CP324" s="208">
        <v>0</v>
      </c>
      <c r="CQ324" s="208">
        <v>8131</v>
      </c>
      <c r="CR324" s="208">
        <v>813110</v>
      </c>
      <c r="CS324" s="208">
        <v>0</v>
      </c>
      <c r="CT324" s="208">
        <v>-1473875</v>
      </c>
      <c r="CU324" s="208">
        <v>0</v>
      </c>
      <c r="CV324" s="208">
        <v>-14888</v>
      </c>
      <c r="CW324" s="208">
        <v>-1488763</v>
      </c>
      <c r="CX324" s="208">
        <v>0</v>
      </c>
      <c r="CY324" s="208">
        <v>-5513298</v>
      </c>
      <c r="CZ324" s="208">
        <v>0</v>
      </c>
      <c r="DA324" s="208">
        <v>-55690</v>
      </c>
      <c r="DB324" s="208">
        <v>-5568988</v>
      </c>
      <c r="DC324" s="208">
        <v>0</v>
      </c>
      <c r="DD324" s="208">
        <v>-3593300</v>
      </c>
      <c r="DE324" s="208">
        <v>0</v>
      </c>
      <c r="DF324" s="208">
        <v>-36296</v>
      </c>
      <c r="DG324" s="208">
        <v>-3629596</v>
      </c>
      <c r="DH324" s="208">
        <v>0</v>
      </c>
      <c r="DI324" s="208">
        <v>-1919998</v>
      </c>
      <c r="DJ324" s="208">
        <v>0</v>
      </c>
      <c r="DK324" s="208">
        <v>-19394</v>
      </c>
      <c r="DL324" s="208">
        <v>-1939392</v>
      </c>
      <c r="DM324" s="208">
        <v>-2920673.6999999993</v>
      </c>
      <c r="DN324" s="208">
        <v>1809639</v>
      </c>
      <c r="DO324" s="208">
        <v>0</v>
      </c>
      <c r="DP324" s="208">
        <v>-11222</v>
      </c>
      <c r="DQ324" s="208">
        <v>-1122256.6999999993</v>
      </c>
      <c r="DR324" s="208">
        <v>-2660127</v>
      </c>
      <c r="DS324" s="208">
        <v>936363</v>
      </c>
      <c r="DT324" s="208">
        <v>0</v>
      </c>
      <c r="DU324" s="208">
        <v>-17412</v>
      </c>
      <c r="DV324" s="208">
        <v>-1741176</v>
      </c>
      <c r="DW324" s="208">
        <v>-260546.69999999925</v>
      </c>
      <c r="DX324" s="208">
        <v>873276</v>
      </c>
      <c r="DY324" s="208">
        <v>0</v>
      </c>
      <c r="DZ324" s="208">
        <v>6190</v>
      </c>
      <c r="EA324" s="208">
        <v>618919.30000000075</v>
      </c>
      <c r="EB324" s="208">
        <v>0</v>
      </c>
      <c r="EC324" s="208">
        <v>72835649</v>
      </c>
      <c r="ED324" s="208">
        <v>0</v>
      </c>
      <c r="EE324" s="208">
        <v>735714</v>
      </c>
      <c r="EF324" s="208">
        <v>73571363</v>
      </c>
      <c r="EG324" s="208">
        <v>0</v>
      </c>
      <c r="EH324" s="208">
        <v>71689503</v>
      </c>
      <c r="EI324" s="208">
        <v>0</v>
      </c>
      <c r="EJ324" s="208">
        <v>724136</v>
      </c>
      <c r="EK324" s="208">
        <v>72413639</v>
      </c>
      <c r="EL324" s="208">
        <v>0</v>
      </c>
      <c r="EM324" s="208">
        <v>-1146146</v>
      </c>
      <c r="EN324" s="208">
        <v>0</v>
      </c>
      <c r="EO324" s="208">
        <v>-11578</v>
      </c>
      <c r="EP324" s="208">
        <v>-1157724</v>
      </c>
      <c r="EQ324" s="208">
        <v>-260546.69999999925</v>
      </c>
      <c r="ER324" s="208">
        <v>-272870</v>
      </c>
      <c r="ES324" s="208">
        <v>0</v>
      </c>
      <c r="ET324" s="208">
        <v>-5388</v>
      </c>
      <c r="EU324" s="208">
        <v>-538804.69999999925</v>
      </c>
      <c r="EV324" s="666">
        <v>0</v>
      </c>
      <c r="EW324" s="666">
        <v>0.99</v>
      </c>
      <c r="EX324" s="666">
        <v>0</v>
      </c>
      <c r="EY324" s="666">
        <v>0.01</v>
      </c>
      <c r="EZ324" s="666">
        <v>1</v>
      </c>
      <c r="FA324" s="187" t="s">
        <v>1056</v>
      </c>
      <c r="FC324" s="187">
        <v>0</v>
      </c>
    </row>
    <row r="325" spans="1:159" s="187" customFormat="1" x14ac:dyDescent="0.2">
      <c r="B325" s="429" t="s">
        <v>728</v>
      </c>
      <c r="C325" s="429" t="s">
        <v>727</v>
      </c>
      <c r="D325" s="208">
        <v>19839348</v>
      </c>
      <c r="E325" s="208">
        <v>15871479</v>
      </c>
      <c r="F325" s="208">
        <v>3571083</v>
      </c>
      <c r="G325" s="208">
        <v>396787</v>
      </c>
      <c r="H325" s="208">
        <v>39678697</v>
      </c>
      <c r="I325" s="208">
        <v>0</v>
      </c>
      <c r="J325" s="208">
        <v>0</v>
      </c>
      <c r="K325" s="208">
        <v>19839348</v>
      </c>
      <c r="L325" s="208">
        <v>133147</v>
      </c>
      <c r="M325" s="208">
        <v>133147</v>
      </c>
      <c r="N325" s="208">
        <v>0</v>
      </c>
      <c r="O325" s="208">
        <v>0</v>
      </c>
      <c r="P325" s="208">
        <v>3984</v>
      </c>
      <c r="Q325" s="208">
        <v>0</v>
      </c>
      <c r="R325" s="208">
        <v>3984</v>
      </c>
      <c r="S325" s="208">
        <v>0</v>
      </c>
      <c r="T325" s="208">
        <v>0</v>
      </c>
      <c r="U325" s="208">
        <v>0</v>
      </c>
      <c r="V325" s="208">
        <v>0</v>
      </c>
      <c r="W325" s="208">
        <v>0</v>
      </c>
      <c r="X325" s="208">
        <v>0</v>
      </c>
      <c r="Y325" s="208">
        <v>0</v>
      </c>
      <c r="Z325" s="208">
        <v>0</v>
      </c>
      <c r="AA325" s="208">
        <v>0</v>
      </c>
      <c r="AB325" s="208">
        <v>0</v>
      </c>
      <c r="AC325" s="208">
        <v>0</v>
      </c>
      <c r="AD325" s="208">
        <v>0</v>
      </c>
      <c r="AE325" s="208">
        <v>0</v>
      </c>
      <c r="AF325" s="208">
        <v>0</v>
      </c>
      <c r="AG325" s="208">
        <v>1448493</v>
      </c>
      <c r="AH325" s="208">
        <v>325890</v>
      </c>
      <c r="AI325" s="208">
        <v>36210</v>
      </c>
      <c r="AJ325" s="208">
        <v>1810593</v>
      </c>
      <c r="AK325" s="208">
        <v>277060</v>
      </c>
      <c r="AL325" s="208">
        <v>221648</v>
      </c>
      <c r="AM325" s="208">
        <v>49871</v>
      </c>
      <c r="AN325" s="208">
        <v>5541</v>
      </c>
      <c r="AO325" s="208">
        <v>554120</v>
      </c>
      <c r="AP325" s="208">
        <v>-485700</v>
      </c>
      <c r="AQ325" s="208">
        <v>-388560</v>
      </c>
      <c r="AR325" s="208">
        <v>-87426</v>
      </c>
      <c r="AS325" s="208">
        <v>-9714</v>
      </c>
      <c r="AT325" s="208">
        <v>-971400</v>
      </c>
      <c r="AU325" s="208">
        <v>-147384</v>
      </c>
      <c r="AV325" s="208">
        <v>-117907</v>
      </c>
      <c r="AW325" s="208">
        <v>-26529</v>
      </c>
      <c r="AX325" s="208">
        <v>-2948</v>
      </c>
      <c r="AY325" s="208">
        <v>-294768</v>
      </c>
      <c r="AZ325" s="208">
        <v>147384</v>
      </c>
      <c r="BA325" s="208">
        <v>117907</v>
      </c>
      <c r="BB325" s="208">
        <v>26529</v>
      </c>
      <c r="BC325" s="208">
        <v>2948</v>
      </c>
      <c r="BD325" s="208">
        <v>294768</v>
      </c>
      <c r="BE325" s="208">
        <v>-147384</v>
      </c>
      <c r="BF325" s="208">
        <v>-117907</v>
      </c>
      <c r="BG325" s="208">
        <v>-26529</v>
      </c>
      <c r="BH325" s="208">
        <v>-2948</v>
      </c>
      <c r="BI325" s="208">
        <v>-294768</v>
      </c>
      <c r="BJ325" s="208">
        <v>-147384</v>
      </c>
      <c r="BK325" s="208">
        <v>-117907</v>
      </c>
      <c r="BL325" s="208">
        <v>-26529</v>
      </c>
      <c r="BM325" s="208">
        <v>-2948</v>
      </c>
      <c r="BN325" s="208">
        <v>-294768</v>
      </c>
      <c r="BO325" s="208">
        <v>-2527660</v>
      </c>
      <c r="BP325" s="208">
        <v>-2022128</v>
      </c>
      <c r="BQ325" s="208">
        <v>-454979</v>
      </c>
      <c r="BR325" s="208">
        <v>-50553</v>
      </c>
      <c r="BS325" s="208">
        <v>-5055320</v>
      </c>
      <c r="BT325" s="208">
        <v>-1547138</v>
      </c>
      <c r="BU325" s="208">
        <v>-1237711</v>
      </c>
      <c r="BV325" s="208">
        <v>-278485</v>
      </c>
      <c r="BW325" s="208">
        <v>-30943</v>
      </c>
      <c r="BX325" s="208">
        <v>-3094277</v>
      </c>
      <c r="BY325" s="208">
        <v>-980522</v>
      </c>
      <c r="BZ325" s="208">
        <v>-784417</v>
      </c>
      <c r="CA325" s="208">
        <v>-176494</v>
      </c>
      <c r="CB325" s="208">
        <v>-19610</v>
      </c>
      <c r="CC325" s="208">
        <v>-1961043</v>
      </c>
      <c r="CD325" s="208">
        <v>120118</v>
      </c>
      <c r="CE325" s="208">
        <v>96094</v>
      </c>
      <c r="CF325" s="208">
        <v>21621</v>
      </c>
      <c r="CG325" s="208">
        <v>2402</v>
      </c>
      <c r="CH325" s="208">
        <v>240235</v>
      </c>
      <c r="CI325" s="208">
        <v>24191</v>
      </c>
      <c r="CJ325" s="208">
        <v>19353</v>
      </c>
      <c r="CK325" s="208">
        <v>4354</v>
      </c>
      <c r="CL325" s="208">
        <v>484</v>
      </c>
      <c r="CM325" s="208">
        <v>48382</v>
      </c>
      <c r="CN325" s="208">
        <v>160613</v>
      </c>
      <c r="CO325" s="208">
        <v>128490</v>
      </c>
      <c r="CP325" s="208">
        <v>28910</v>
      </c>
      <c r="CQ325" s="208">
        <v>3212</v>
      </c>
      <c r="CR325" s="208">
        <v>321225</v>
      </c>
      <c r="CS325" s="208">
        <v>-1129874</v>
      </c>
      <c r="CT325" s="208">
        <v>-903898</v>
      </c>
      <c r="CU325" s="208">
        <v>-203377</v>
      </c>
      <c r="CV325" s="208">
        <v>-22597</v>
      </c>
      <c r="CW325" s="208">
        <v>-2259746</v>
      </c>
      <c r="CX325" s="208">
        <v>-3352612</v>
      </c>
      <c r="CY325" s="208">
        <v>-2682089</v>
      </c>
      <c r="CZ325" s="208">
        <v>-603471</v>
      </c>
      <c r="DA325" s="208">
        <v>-67052</v>
      </c>
      <c r="DB325" s="208">
        <v>-6705224</v>
      </c>
      <c r="DC325" s="208">
        <v>-1266407</v>
      </c>
      <c r="DD325" s="208">
        <v>-1013127</v>
      </c>
      <c r="DE325" s="208">
        <v>-227954</v>
      </c>
      <c r="DF325" s="208">
        <v>-25329</v>
      </c>
      <c r="DG325" s="208">
        <v>-2532817</v>
      </c>
      <c r="DH325" s="208">
        <v>-2086205</v>
      </c>
      <c r="DI325" s="208">
        <v>-1668962</v>
      </c>
      <c r="DJ325" s="208">
        <v>-375517</v>
      </c>
      <c r="DK325" s="208">
        <v>-41723</v>
      </c>
      <c r="DL325" s="208">
        <v>-4172407</v>
      </c>
      <c r="DM325" s="208">
        <v>-155841</v>
      </c>
      <c r="DN325" s="208">
        <v>-124674</v>
      </c>
      <c r="DO325" s="208">
        <v>-28052</v>
      </c>
      <c r="DP325" s="208">
        <v>-3116</v>
      </c>
      <c r="DQ325" s="208">
        <v>-311683</v>
      </c>
      <c r="DR325" s="208">
        <v>-81251</v>
      </c>
      <c r="DS325" s="208">
        <v>-65001</v>
      </c>
      <c r="DT325" s="208">
        <v>-14625</v>
      </c>
      <c r="DU325" s="208">
        <v>-1625</v>
      </c>
      <c r="DV325" s="208">
        <v>-162502</v>
      </c>
      <c r="DW325" s="208">
        <v>-74590</v>
      </c>
      <c r="DX325" s="208">
        <v>-59673</v>
      </c>
      <c r="DY325" s="208">
        <v>-13427</v>
      </c>
      <c r="DZ325" s="208">
        <v>-1491</v>
      </c>
      <c r="EA325" s="208">
        <v>-149181</v>
      </c>
      <c r="EB325" s="208">
        <v>19519884</v>
      </c>
      <c r="EC325" s="208">
        <v>15615908</v>
      </c>
      <c r="ED325" s="208">
        <v>3513579</v>
      </c>
      <c r="EE325" s="208">
        <v>390398</v>
      </c>
      <c r="EF325" s="208">
        <v>39039769</v>
      </c>
      <c r="EG325" s="208">
        <v>19839348</v>
      </c>
      <c r="EH325" s="208">
        <v>15871479</v>
      </c>
      <c r="EI325" s="208">
        <v>3571083</v>
      </c>
      <c r="EJ325" s="208">
        <v>396787</v>
      </c>
      <c r="EK325" s="208">
        <v>39678697</v>
      </c>
      <c r="EL325" s="208">
        <v>319464</v>
      </c>
      <c r="EM325" s="208">
        <v>255571</v>
      </c>
      <c r="EN325" s="208">
        <v>57504</v>
      </c>
      <c r="EO325" s="208">
        <v>6389</v>
      </c>
      <c r="EP325" s="208">
        <v>638928</v>
      </c>
      <c r="EQ325" s="208">
        <v>244874</v>
      </c>
      <c r="ER325" s="208">
        <v>195898</v>
      </c>
      <c r="ES325" s="208">
        <v>44077</v>
      </c>
      <c r="ET325" s="208">
        <v>4898</v>
      </c>
      <c r="EU325" s="208">
        <v>489747</v>
      </c>
      <c r="EV325" s="666">
        <v>0.5</v>
      </c>
      <c r="EW325" s="666">
        <v>0.4</v>
      </c>
      <c r="EX325" s="666">
        <v>0.09</v>
      </c>
      <c r="EY325" s="666">
        <v>0.01</v>
      </c>
      <c r="EZ325" s="666">
        <v>1</v>
      </c>
      <c r="FA325" s="187" t="s">
        <v>1054</v>
      </c>
      <c r="FC325" s="187">
        <v>0</v>
      </c>
    </row>
    <row r="326" spans="1:159" s="187" customFormat="1" x14ac:dyDescent="0.2">
      <c r="B326" s="429" t="s">
        <v>730</v>
      </c>
      <c r="C326" s="429" t="s">
        <v>729</v>
      </c>
      <c r="D326" s="208">
        <v>15657473</v>
      </c>
      <c r="E326" s="208">
        <v>12525979</v>
      </c>
      <c r="F326" s="208">
        <v>3131495</v>
      </c>
      <c r="G326" s="208">
        <v>0</v>
      </c>
      <c r="H326" s="208">
        <v>31314947</v>
      </c>
      <c r="I326" s="208">
        <v>0</v>
      </c>
      <c r="J326" s="208">
        <v>0</v>
      </c>
      <c r="K326" s="208">
        <v>15657473</v>
      </c>
      <c r="L326" s="208">
        <v>130246</v>
      </c>
      <c r="M326" s="208">
        <v>130246</v>
      </c>
      <c r="N326" s="208">
        <v>0</v>
      </c>
      <c r="O326" s="208">
        <v>0</v>
      </c>
      <c r="P326" s="208">
        <v>0</v>
      </c>
      <c r="Q326" s="208">
        <v>0</v>
      </c>
      <c r="R326" s="208">
        <v>0</v>
      </c>
      <c r="S326" s="208">
        <v>0</v>
      </c>
      <c r="T326" s="208">
        <v>0</v>
      </c>
      <c r="U326" s="208">
        <v>0</v>
      </c>
      <c r="V326" s="208">
        <v>0</v>
      </c>
      <c r="W326" s="208">
        <v>0</v>
      </c>
      <c r="X326" s="208">
        <v>0</v>
      </c>
      <c r="Y326" s="208">
        <v>0</v>
      </c>
      <c r="Z326" s="208">
        <v>0</v>
      </c>
      <c r="AA326" s="208">
        <v>0</v>
      </c>
      <c r="AB326" s="208">
        <v>0</v>
      </c>
      <c r="AC326" s="208">
        <v>0</v>
      </c>
      <c r="AD326" s="208">
        <v>0</v>
      </c>
      <c r="AE326" s="208">
        <v>0</v>
      </c>
      <c r="AF326" s="208">
        <v>0</v>
      </c>
      <c r="AG326" s="208">
        <v>1369683</v>
      </c>
      <c r="AH326" s="208">
        <v>342420</v>
      </c>
      <c r="AI326" s="208">
        <v>0</v>
      </c>
      <c r="AJ326" s="208">
        <v>1712103</v>
      </c>
      <c r="AK326" s="208">
        <v>1123632</v>
      </c>
      <c r="AL326" s="208">
        <v>898905</v>
      </c>
      <c r="AM326" s="208">
        <v>224726</v>
      </c>
      <c r="AN326" s="208">
        <v>0</v>
      </c>
      <c r="AO326" s="208">
        <v>2247263</v>
      </c>
      <c r="AP326" s="208">
        <v>-803408</v>
      </c>
      <c r="AQ326" s="208">
        <v>-642726</v>
      </c>
      <c r="AR326" s="208">
        <v>-160682</v>
      </c>
      <c r="AS326" s="208">
        <v>0</v>
      </c>
      <c r="AT326" s="208">
        <v>-1606816</v>
      </c>
      <c r="AU326" s="208">
        <v>-759885.35000000009</v>
      </c>
      <c r="AV326" s="208">
        <v>-607908</v>
      </c>
      <c r="AW326" s="208">
        <v>-151977</v>
      </c>
      <c r="AX326" s="208">
        <v>0</v>
      </c>
      <c r="AY326" s="208">
        <v>-1519770.35</v>
      </c>
      <c r="AZ326" s="208">
        <v>166334</v>
      </c>
      <c r="BA326" s="208">
        <v>133067</v>
      </c>
      <c r="BB326" s="208">
        <v>33267</v>
      </c>
      <c r="BC326" s="208">
        <v>0</v>
      </c>
      <c r="BD326" s="208">
        <v>332668</v>
      </c>
      <c r="BE326" s="208">
        <v>-138832</v>
      </c>
      <c r="BF326" s="208">
        <v>-111065</v>
      </c>
      <c r="BG326" s="208">
        <v>-27766</v>
      </c>
      <c r="BH326" s="208">
        <v>0</v>
      </c>
      <c r="BI326" s="208">
        <v>-277663</v>
      </c>
      <c r="BJ326" s="208">
        <v>-732383.35000000009</v>
      </c>
      <c r="BK326" s="208">
        <v>-585906</v>
      </c>
      <c r="BL326" s="208">
        <v>-146476</v>
      </c>
      <c r="BM326" s="208">
        <v>0</v>
      </c>
      <c r="BN326" s="208">
        <v>-1464765.35</v>
      </c>
      <c r="BO326" s="208">
        <v>-952067</v>
      </c>
      <c r="BP326" s="208">
        <v>-761654</v>
      </c>
      <c r="BQ326" s="208">
        <v>-190414</v>
      </c>
      <c r="BR326" s="208">
        <v>0</v>
      </c>
      <c r="BS326" s="208">
        <v>-1904135</v>
      </c>
      <c r="BT326" s="208">
        <v>-865468</v>
      </c>
      <c r="BU326" s="208">
        <v>-692374</v>
      </c>
      <c r="BV326" s="208">
        <v>-173094</v>
      </c>
      <c r="BW326" s="208">
        <v>0</v>
      </c>
      <c r="BX326" s="208">
        <v>-1730936</v>
      </c>
      <c r="BY326" s="208">
        <v>-86599</v>
      </c>
      <c r="BZ326" s="208">
        <v>-69280</v>
      </c>
      <c r="CA326" s="208">
        <v>-17320</v>
      </c>
      <c r="CB326" s="208">
        <v>0</v>
      </c>
      <c r="CC326" s="208">
        <v>-173199</v>
      </c>
      <c r="CD326" s="208">
        <v>0</v>
      </c>
      <c r="CE326" s="208">
        <v>0</v>
      </c>
      <c r="CF326" s="208">
        <v>0</v>
      </c>
      <c r="CG326" s="208">
        <v>0</v>
      </c>
      <c r="CH326" s="208">
        <v>0</v>
      </c>
      <c r="CI326" s="208">
        <v>17912</v>
      </c>
      <c r="CJ326" s="208">
        <v>14330</v>
      </c>
      <c r="CK326" s="208">
        <v>3583</v>
      </c>
      <c r="CL326" s="208">
        <v>0</v>
      </c>
      <c r="CM326" s="208">
        <v>35825</v>
      </c>
      <c r="CN326" s="208">
        <v>2736</v>
      </c>
      <c r="CO326" s="208">
        <v>2189</v>
      </c>
      <c r="CP326" s="208">
        <v>547</v>
      </c>
      <c r="CQ326" s="208">
        <v>0</v>
      </c>
      <c r="CR326" s="208">
        <v>5472</v>
      </c>
      <c r="CS326" s="208">
        <v>0</v>
      </c>
      <c r="CT326" s="208">
        <v>0</v>
      </c>
      <c r="CU326" s="208">
        <v>0</v>
      </c>
      <c r="CV326" s="208">
        <v>0</v>
      </c>
      <c r="CW326" s="208">
        <v>0</v>
      </c>
      <c r="CX326" s="208">
        <v>-931419</v>
      </c>
      <c r="CY326" s="208">
        <v>-745135</v>
      </c>
      <c r="CZ326" s="208">
        <v>-186284</v>
      </c>
      <c r="DA326" s="208">
        <v>0</v>
      </c>
      <c r="DB326" s="208">
        <v>-1862838</v>
      </c>
      <c r="DC326" s="208">
        <v>-862732</v>
      </c>
      <c r="DD326" s="208">
        <v>-690185</v>
      </c>
      <c r="DE326" s="208">
        <v>-172547</v>
      </c>
      <c r="DF326" s="208">
        <v>0</v>
      </c>
      <c r="DG326" s="208">
        <v>-1725464</v>
      </c>
      <c r="DH326" s="208">
        <v>-68687</v>
      </c>
      <c r="DI326" s="208">
        <v>-54950</v>
      </c>
      <c r="DJ326" s="208">
        <v>-13737</v>
      </c>
      <c r="DK326" s="208">
        <v>0</v>
      </c>
      <c r="DL326" s="208">
        <v>-137374</v>
      </c>
      <c r="DM326" s="208">
        <v>-212417</v>
      </c>
      <c r="DN326" s="208">
        <v>-169935</v>
      </c>
      <c r="DO326" s="208">
        <v>-42486</v>
      </c>
      <c r="DP326" s="208">
        <v>0</v>
      </c>
      <c r="DQ326" s="208">
        <v>-424838</v>
      </c>
      <c r="DR326" s="208">
        <v>379068</v>
      </c>
      <c r="DS326" s="208">
        <v>303255</v>
      </c>
      <c r="DT326" s="208">
        <v>75814</v>
      </c>
      <c r="DU326" s="208">
        <v>0</v>
      </c>
      <c r="DV326" s="208">
        <v>758137</v>
      </c>
      <c r="DW326" s="208">
        <v>-591485</v>
      </c>
      <c r="DX326" s="208">
        <v>-473190</v>
      </c>
      <c r="DY326" s="208">
        <v>-118300</v>
      </c>
      <c r="DZ326" s="208">
        <v>0</v>
      </c>
      <c r="EA326" s="208">
        <v>-1182975</v>
      </c>
      <c r="EB326" s="208">
        <v>16003587</v>
      </c>
      <c r="EC326" s="208">
        <v>12802870</v>
      </c>
      <c r="ED326" s="208">
        <v>3200718</v>
      </c>
      <c r="EE326" s="208">
        <v>0</v>
      </c>
      <c r="EF326" s="208">
        <v>32007175</v>
      </c>
      <c r="EG326" s="208">
        <v>15657473</v>
      </c>
      <c r="EH326" s="208">
        <v>12525979</v>
      </c>
      <c r="EI326" s="208">
        <v>3131495</v>
      </c>
      <c r="EJ326" s="208">
        <v>0</v>
      </c>
      <c r="EK326" s="208">
        <v>31314947</v>
      </c>
      <c r="EL326" s="208">
        <v>-346114</v>
      </c>
      <c r="EM326" s="208">
        <v>-276891</v>
      </c>
      <c r="EN326" s="208">
        <v>-69223</v>
      </c>
      <c r="EO326" s="208">
        <v>0</v>
      </c>
      <c r="EP326" s="208">
        <v>-692228</v>
      </c>
      <c r="EQ326" s="208">
        <v>-937599</v>
      </c>
      <c r="ER326" s="208">
        <v>-750081</v>
      </c>
      <c r="ES326" s="208">
        <v>-187523</v>
      </c>
      <c r="ET326" s="208">
        <v>0</v>
      </c>
      <c r="EU326" s="208">
        <v>-1875203</v>
      </c>
      <c r="EV326" s="666">
        <v>0.5</v>
      </c>
      <c r="EW326" s="666">
        <v>0.4</v>
      </c>
      <c r="EX326" s="666">
        <v>0.1</v>
      </c>
      <c r="EY326" s="666">
        <v>0</v>
      </c>
      <c r="EZ326" s="666">
        <v>1</v>
      </c>
      <c r="FA326" s="187" t="s">
        <v>1054</v>
      </c>
      <c r="FC326" s="187">
        <v>0</v>
      </c>
    </row>
    <row r="327" spans="1:159" s="187" customFormat="1" x14ac:dyDescent="0.2">
      <c r="B327" s="429" t="s">
        <v>732</v>
      </c>
      <c r="C327" s="429" t="s">
        <v>731</v>
      </c>
      <c r="D327" s="208">
        <v>20612514</v>
      </c>
      <c r="E327" s="208">
        <v>16490012</v>
      </c>
      <c r="F327" s="208">
        <v>3710253</v>
      </c>
      <c r="G327" s="208">
        <v>412250</v>
      </c>
      <c r="H327" s="208">
        <v>41225029</v>
      </c>
      <c r="I327" s="208">
        <v>0</v>
      </c>
      <c r="J327" s="208">
        <v>0</v>
      </c>
      <c r="K327" s="208">
        <v>20612514</v>
      </c>
      <c r="L327" s="208">
        <v>186031</v>
      </c>
      <c r="M327" s="208">
        <v>186031</v>
      </c>
      <c r="N327" s="208">
        <v>0</v>
      </c>
      <c r="O327" s="208">
        <v>0</v>
      </c>
      <c r="P327" s="208">
        <v>224140</v>
      </c>
      <c r="Q327" s="208">
        <v>169376</v>
      </c>
      <c r="R327" s="208">
        <v>393516</v>
      </c>
      <c r="S327" s="208">
        <v>0</v>
      </c>
      <c r="T327" s="208">
        <v>0</v>
      </c>
      <c r="U327" s="208">
        <v>0</v>
      </c>
      <c r="V327" s="208">
        <v>0</v>
      </c>
      <c r="W327" s="208">
        <v>0</v>
      </c>
      <c r="X327" s="208">
        <v>0</v>
      </c>
      <c r="Y327" s="208">
        <v>0</v>
      </c>
      <c r="Z327" s="208">
        <v>0</v>
      </c>
      <c r="AA327" s="208">
        <v>0</v>
      </c>
      <c r="AB327" s="208">
        <v>0</v>
      </c>
      <c r="AC327" s="208">
        <v>0</v>
      </c>
      <c r="AD327" s="208">
        <v>0</v>
      </c>
      <c r="AE327" s="208">
        <v>0</v>
      </c>
      <c r="AF327" s="208">
        <v>0</v>
      </c>
      <c r="AG327" s="208">
        <v>2095823</v>
      </c>
      <c r="AH327" s="208">
        <v>474286</v>
      </c>
      <c r="AI327" s="208">
        <v>52266</v>
      </c>
      <c r="AJ327" s="208">
        <v>2622375</v>
      </c>
      <c r="AK327" s="208">
        <v>98322</v>
      </c>
      <c r="AL327" s="208">
        <v>78658</v>
      </c>
      <c r="AM327" s="208">
        <v>17698</v>
      </c>
      <c r="AN327" s="208">
        <v>1966</v>
      </c>
      <c r="AO327" s="208">
        <v>196644</v>
      </c>
      <c r="AP327" s="208">
        <v>-297666</v>
      </c>
      <c r="AQ327" s="208">
        <v>-238132</v>
      </c>
      <c r="AR327" s="208">
        <v>-53580</v>
      </c>
      <c r="AS327" s="208">
        <v>-5953</v>
      </c>
      <c r="AT327" s="208">
        <v>-595331</v>
      </c>
      <c r="AU327" s="208">
        <v>-127500</v>
      </c>
      <c r="AV327" s="208">
        <v>-102000</v>
      </c>
      <c r="AW327" s="208">
        <v>-22950</v>
      </c>
      <c r="AX327" s="208">
        <v>-2550</v>
      </c>
      <c r="AY327" s="208">
        <v>-255000</v>
      </c>
      <c r="AZ327" s="208">
        <v>126899</v>
      </c>
      <c r="BA327" s="208">
        <v>101519</v>
      </c>
      <c r="BB327" s="208">
        <v>22842</v>
      </c>
      <c r="BC327" s="208">
        <v>2538</v>
      </c>
      <c r="BD327" s="208">
        <v>253798</v>
      </c>
      <c r="BE327" s="208">
        <v>-126899</v>
      </c>
      <c r="BF327" s="208">
        <v>-101519</v>
      </c>
      <c r="BG327" s="208">
        <v>-22842</v>
      </c>
      <c r="BH327" s="208">
        <v>-2538</v>
      </c>
      <c r="BI327" s="208">
        <v>-253798</v>
      </c>
      <c r="BJ327" s="208">
        <v>-127500</v>
      </c>
      <c r="BK327" s="208">
        <v>-102000</v>
      </c>
      <c r="BL327" s="208">
        <v>-22950</v>
      </c>
      <c r="BM327" s="208">
        <v>-2550</v>
      </c>
      <c r="BN327" s="208">
        <v>-255000</v>
      </c>
      <c r="BO327" s="208">
        <v>-2059286</v>
      </c>
      <c r="BP327" s="208">
        <v>-1647428</v>
      </c>
      <c r="BQ327" s="208">
        <v>-370671</v>
      </c>
      <c r="BR327" s="208">
        <v>-41186</v>
      </c>
      <c r="BS327" s="208">
        <v>-4118571</v>
      </c>
      <c r="BT327" s="208">
        <v>-1087792</v>
      </c>
      <c r="BU327" s="208">
        <v>-870233</v>
      </c>
      <c r="BV327" s="208">
        <v>-195802</v>
      </c>
      <c r="BW327" s="208">
        <v>-21756</v>
      </c>
      <c r="BX327" s="208">
        <v>-2175583</v>
      </c>
      <c r="BY327" s="208">
        <v>-971494</v>
      </c>
      <c r="BZ327" s="208">
        <v>-777195</v>
      </c>
      <c r="CA327" s="208">
        <v>-174869</v>
      </c>
      <c r="CB327" s="208">
        <v>-19430</v>
      </c>
      <c r="CC327" s="208">
        <v>-1942988</v>
      </c>
      <c r="CD327" s="208">
        <v>44031</v>
      </c>
      <c r="CE327" s="208">
        <v>35224</v>
      </c>
      <c r="CF327" s="208">
        <v>7925</v>
      </c>
      <c r="CG327" s="208">
        <v>881</v>
      </c>
      <c r="CH327" s="208">
        <v>88061</v>
      </c>
      <c r="CI327" s="208">
        <v>15604</v>
      </c>
      <c r="CJ327" s="208">
        <v>12483</v>
      </c>
      <c r="CK327" s="208">
        <v>2809</v>
      </c>
      <c r="CL327" s="208">
        <v>312</v>
      </c>
      <c r="CM327" s="208">
        <v>31208</v>
      </c>
      <c r="CN327" s="208">
        <v>361647</v>
      </c>
      <c r="CO327" s="208">
        <v>289318</v>
      </c>
      <c r="CP327" s="208">
        <v>65096</v>
      </c>
      <c r="CQ327" s="208">
        <v>7233</v>
      </c>
      <c r="CR327" s="208">
        <v>723294</v>
      </c>
      <c r="CS327" s="208">
        <v>-1027862</v>
      </c>
      <c r="CT327" s="208">
        <v>-822290</v>
      </c>
      <c r="CU327" s="208">
        <v>-185015</v>
      </c>
      <c r="CV327" s="208">
        <v>-20557</v>
      </c>
      <c r="CW327" s="208">
        <v>-2055724</v>
      </c>
      <c r="CX327" s="208">
        <v>-2665866</v>
      </c>
      <c r="CY327" s="208">
        <v>-2132693</v>
      </c>
      <c r="CZ327" s="208">
        <v>-479856</v>
      </c>
      <c r="DA327" s="208">
        <v>-53317</v>
      </c>
      <c r="DB327" s="208">
        <v>-5331732</v>
      </c>
      <c r="DC327" s="208">
        <v>-682114</v>
      </c>
      <c r="DD327" s="208">
        <v>-545691</v>
      </c>
      <c r="DE327" s="208">
        <v>-122781</v>
      </c>
      <c r="DF327" s="208">
        <v>-13642</v>
      </c>
      <c r="DG327" s="208">
        <v>-1364228</v>
      </c>
      <c r="DH327" s="208">
        <v>-1983752</v>
      </c>
      <c r="DI327" s="208">
        <v>-1587002</v>
      </c>
      <c r="DJ327" s="208">
        <v>-357075</v>
      </c>
      <c r="DK327" s="208">
        <v>-39675</v>
      </c>
      <c r="DL327" s="208">
        <v>-3967504</v>
      </c>
      <c r="DM327" s="208">
        <v>-131126</v>
      </c>
      <c r="DN327" s="208">
        <v>-104901</v>
      </c>
      <c r="DO327" s="208">
        <v>-23603</v>
      </c>
      <c r="DP327" s="208">
        <v>-2623</v>
      </c>
      <c r="DQ327" s="208">
        <v>-262252.52479200065</v>
      </c>
      <c r="DR327" s="208">
        <v>0</v>
      </c>
      <c r="DS327" s="208">
        <v>0</v>
      </c>
      <c r="DT327" s="208">
        <v>0</v>
      </c>
      <c r="DU327" s="208">
        <v>0</v>
      </c>
      <c r="DV327" s="208">
        <v>0</v>
      </c>
      <c r="DW327" s="208">
        <v>-131126</v>
      </c>
      <c r="DX327" s="208">
        <v>-104901</v>
      </c>
      <c r="DY327" s="208">
        <v>-23603</v>
      </c>
      <c r="DZ327" s="208">
        <v>-2623</v>
      </c>
      <c r="EA327" s="208">
        <v>-262252.52479200065</v>
      </c>
      <c r="EB327" s="208">
        <v>19635797</v>
      </c>
      <c r="EC327" s="208">
        <v>15708638</v>
      </c>
      <c r="ED327" s="208">
        <v>3534444</v>
      </c>
      <c r="EE327" s="208">
        <v>392716</v>
      </c>
      <c r="EF327" s="208">
        <v>39271595</v>
      </c>
      <c r="EG327" s="208">
        <v>20612514</v>
      </c>
      <c r="EH327" s="208">
        <v>16490012</v>
      </c>
      <c r="EI327" s="208">
        <v>3710253</v>
      </c>
      <c r="EJ327" s="208">
        <v>412250</v>
      </c>
      <c r="EK327" s="208">
        <v>41225029</v>
      </c>
      <c r="EL327" s="208">
        <v>976717</v>
      </c>
      <c r="EM327" s="208">
        <v>781374</v>
      </c>
      <c r="EN327" s="208">
        <v>175809</v>
      </c>
      <c r="EO327" s="208">
        <v>19534</v>
      </c>
      <c r="EP327" s="208">
        <v>1953434</v>
      </c>
      <c r="EQ327" s="208">
        <v>845591</v>
      </c>
      <c r="ER327" s="208">
        <v>676473</v>
      </c>
      <c r="ES327" s="208">
        <v>152206</v>
      </c>
      <c r="ET327" s="208">
        <v>16911</v>
      </c>
      <c r="EU327" s="208">
        <v>1691181.4752079993</v>
      </c>
      <c r="EV327" s="666">
        <v>0.5</v>
      </c>
      <c r="EW327" s="666">
        <v>0.4</v>
      </c>
      <c r="EX327" s="666">
        <v>0.09</v>
      </c>
      <c r="EY327" s="666">
        <v>0.01</v>
      </c>
      <c r="EZ327" s="666">
        <v>1</v>
      </c>
      <c r="FA327" s="187" t="s">
        <v>1054</v>
      </c>
      <c r="FC327" s="187">
        <v>0</v>
      </c>
    </row>
    <row r="328" spans="1:159" s="187" customFormat="1" x14ac:dyDescent="0.2">
      <c r="B328" s="429" t="s">
        <v>734</v>
      </c>
      <c r="C328" s="429" t="s">
        <v>733</v>
      </c>
      <c r="D328" s="208">
        <v>35427235</v>
      </c>
      <c r="E328" s="208">
        <v>28341788</v>
      </c>
      <c r="F328" s="208">
        <v>6376902</v>
      </c>
      <c r="G328" s="208">
        <v>708545</v>
      </c>
      <c r="H328" s="208">
        <v>70854470</v>
      </c>
      <c r="I328" s="208">
        <v>0</v>
      </c>
      <c r="J328" s="208">
        <v>0</v>
      </c>
      <c r="K328" s="208">
        <v>35427235</v>
      </c>
      <c r="L328" s="208">
        <v>231550</v>
      </c>
      <c r="M328" s="208">
        <v>231550</v>
      </c>
      <c r="N328" s="208">
        <v>0</v>
      </c>
      <c r="O328" s="208">
        <v>0</v>
      </c>
      <c r="P328" s="208">
        <v>0</v>
      </c>
      <c r="Q328" s="208">
        <v>0</v>
      </c>
      <c r="R328" s="208">
        <v>0</v>
      </c>
      <c r="S328" s="208">
        <v>0</v>
      </c>
      <c r="T328" s="208">
        <v>0</v>
      </c>
      <c r="U328" s="208">
        <v>0</v>
      </c>
      <c r="V328" s="208">
        <v>0</v>
      </c>
      <c r="W328" s="208">
        <v>0</v>
      </c>
      <c r="X328" s="208">
        <v>0</v>
      </c>
      <c r="Y328" s="208">
        <v>0</v>
      </c>
      <c r="Z328" s="208">
        <v>0</v>
      </c>
      <c r="AA328" s="208">
        <v>0</v>
      </c>
      <c r="AB328" s="208">
        <v>0</v>
      </c>
      <c r="AC328" s="208">
        <v>0</v>
      </c>
      <c r="AD328" s="208">
        <v>0</v>
      </c>
      <c r="AE328" s="208">
        <v>0</v>
      </c>
      <c r="AF328" s="208">
        <v>0</v>
      </c>
      <c r="AG328" s="208">
        <v>2208698</v>
      </c>
      <c r="AH328" s="208">
        <v>496957</v>
      </c>
      <c r="AI328" s="208">
        <v>55218</v>
      </c>
      <c r="AJ328" s="208">
        <v>2760873</v>
      </c>
      <c r="AK328" s="208">
        <v>2362847</v>
      </c>
      <c r="AL328" s="208">
        <v>1890278</v>
      </c>
      <c r="AM328" s="208">
        <v>425313</v>
      </c>
      <c r="AN328" s="208">
        <v>47257</v>
      </c>
      <c r="AO328" s="208">
        <v>4725695</v>
      </c>
      <c r="AP328" s="208">
        <v>-1539333</v>
      </c>
      <c r="AQ328" s="208">
        <v>-1231466</v>
      </c>
      <c r="AR328" s="208">
        <v>-277080</v>
      </c>
      <c r="AS328" s="208">
        <v>-30787</v>
      </c>
      <c r="AT328" s="208">
        <v>-3078666</v>
      </c>
      <c r="AU328" s="208">
        <v>-1160776</v>
      </c>
      <c r="AV328" s="208">
        <v>-928622</v>
      </c>
      <c r="AW328" s="208">
        <v>-208940</v>
      </c>
      <c r="AX328" s="208">
        <v>-23216</v>
      </c>
      <c r="AY328" s="208">
        <v>-2321554</v>
      </c>
      <c r="AZ328" s="208">
        <v>198697</v>
      </c>
      <c r="BA328" s="208">
        <v>158957</v>
      </c>
      <c r="BB328" s="208">
        <v>35765</v>
      </c>
      <c r="BC328" s="208">
        <v>3974</v>
      </c>
      <c r="BD328" s="208">
        <v>397393</v>
      </c>
      <c r="BE328" s="208">
        <v>-66425</v>
      </c>
      <c r="BF328" s="208">
        <v>-53139</v>
      </c>
      <c r="BG328" s="208">
        <v>-11956</v>
      </c>
      <c r="BH328" s="208">
        <v>-1328</v>
      </c>
      <c r="BI328" s="208">
        <v>-132848</v>
      </c>
      <c r="BJ328" s="208">
        <v>-1028504</v>
      </c>
      <c r="BK328" s="208">
        <v>-822804</v>
      </c>
      <c r="BL328" s="208">
        <v>-185131</v>
      </c>
      <c r="BM328" s="208">
        <v>-20570</v>
      </c>
      <c r="BN328" s="208">
        <v>-2057009</v>
      </c>
      <c r="BO328" s="208">
        <v>-4220741</v>
      </c>
      <c r="BP328" s="208">
        <v>-3376592</v>
      </c>
      <c r="BQ328" s="208">
        <v>-759733</v>
      </c>
      <c r="BR328" s="208">
        <v>-84415</v>
      </c>
      <c r="BS328" s="208">
        <v>-8441481</v>
      </c>
      <c r="BT328" s="208">
        <v>0</v>
      </c>
      <c r="BU328" s="208">
        <v>0</v>
      </c>
      <c r="BV328" s="208">
        <v>0</v>
      </c>
      <c r="BW328" s="208">
        <v>0</v>
      </c>
      <c r="BX328" s="208">
        <v>0</v>
      </c>
      <c r="BY328" s="208">
        <v>-4220741</v>
      </c>
      <c r="BZ328" s="208">
        <v>-3376592</v>
      </c>
      <c r="CA328" s="208">
        <v>-759733</v>
      </c>
      <c r="CB328" s="208">
        <v>-84415</v>
      </c>
      <c r="CC328" s="208">
        <v>-8441481</v>
      </c>
      <c r="CD328" s="208">
        <v>122030</v>
      </c>
      <c r="CE328" s="208">
        <v>97625</v>
      </c>
      <c r="CF328" s="208">
        <v>21966</v>
      </c>
      <c r="CG328" s="208">
        <v>2441</v>
      </c>
      <c r="CH328" s="208">
        <v>244062</v>
      </c>
      <c r="CI328" s="208">
        <v>0</v>
      </c>
      <c r="CJ328" s="208">
        <v>0</v>
      </c>
      <c r="CK328" s="208">
        <v>0</v>
      </c>
      <c r="CL328" s="208">
        <v>0</v>
      </c>
      <c r="CM328" s="208">
        <v>0</v>
      </c>
      <c r="CN328" s="208">
        <v>344029</v>
      </c>
      <c r="CO328" s="208">
        <v>275224</v>
      </c>
      <c r="CP328" s="208">
        <v>61925</v>
      </c>
      <c r="CQ328" s="208">
        <v>6881</v>
      </c>
      <c r="CR328" s="208">
        <v>688059</v>
      </c>
      <c r="CS328" s="208">
        <v>0</v>
      </c>
      <c r="CT328" s="208">
        <v>0</v>
      </c>
      <c r="CU328" s="208">
        <v>0</v>
      </c>
      <c r="CV328" s="208">
        <v>0</v>
      </c>
      <c r="CW328" s="208">
        <v>0</v>
      </c>
      <c r="CX328" s="208">
        <v>-3754682</v>
      </c>
      <c r="CY328" s="208">
        <v>-3003743</v>
      </c>
      <c r="CZ328" s="208">
        <v>-675842</v>
      </c>
      <c r="DA328" s="208">
        <v>-75093</v>
      </c>
      <c r="DB328" s="208">
        <v>-7509360</v>
      </c>
      <c r="DC328" s="208">
        <v>466059</v>
      </c>
      <c r="DD328" s="208">
        <v>372849</v>
      </c>
      <c r="DE328" s="208">
        <v>83891</v>
      </c>
      <c r="DF328" s="208">
        <v>9322</v>
      </c>
      <c r="DG328" s="208">
        <v>932121</v>
      </c>
      <c r="DH328" s="208">
        <v>-4220741</v>
      </c>
      <c r="DI328" s="208">
        <v>-3376592</v>
      </c>
      <c r="DJ328" s="208">
        <v>-759733</v>
      </c>
      <c r="DK328" s="208">
        <v>-84415</v>
      </c>
      <c r="DL328" s="208">
        <v>-8441481</v>
      </c>
      <c r="DM328" s="208">
        <v>-1253510</v>
      </c>
      <c r="DN328" s="208">
        <v>-1002806</v>
      </c>
      <c r="DO328" s="208">
        <v>-225631</v>
      </c>
      <c r="DP328" s="208">
        <v>-25070</v>
      </c>
      <c r="DQ328" s="208">
        <v>-2507017</v>
      </c>
      <c r="DR328" s="208">
        <v>1875206</v>
      </c>
      <c r="DS328" s="208">
        <v>1500165</v>
      </c>
      <c r="DT328" s="208">
        <v>337537</v>
      </c>
      <c r="DU328" s="208">
        <v>37504</v>
      </c>
      <c r="DV328" s="208">
        <v>3750412</v>
      </c>
      <c r="DW328" s="208">
        <v>-3128716</v>
      </c>
      <c r="DX328" s="208">
        <v>-2502971</v>
      </c>
      <c r="DY328" s="208">
        <v>-563168</v>
      </c>
      <c r="DZ328" s="208">
        <v>-62574</v>
      </c>
      <c r="EA328" s="208">
        <v>-6257429</v>
      </c>
      <c r="EB328" s="208">
        <v>35849972</v>
      </c>
      <c r="EC328" s="208">
        <v>28679978</v>
      </c>
      <c r="ED328" s="208">
        <v>6452995</v>
      </c>
      <c r="EE328" s="208">
        <v>716999</v>
      </c>
      <c r="EF328" s="208">
        <v>71699944</v>
      </c>
      <c r="EG328" s="208">
        <v>35427235</v>
      </c>
      <c r="EH328" s="208">
        <v>28341788</v>
      </c>
      <c r="EI328" s="208">
        <v>6376902</v>
      </c>
      <c r="EJ328" s="208">
        <v>708545</v>
      </c>
      <c r="EK328" s="208">
        <v>70854470</v>
      </c>
      <c r="EL328" s="208">
        <v>-422737</v>
      </c>
      <c r="EM328" s="208">
        <v>-338190</v>
      </c>
      <c r="EN328" s="208">
        <v>-76093</v>
      </c>
      <c r="EO328" s="208">
        <v>-8454</v>
      </c>
      <c r="EP328" s="208">
        <v>-845474</v>
      </c>
      <c r="EQ328" s="208">
        <v>-3551453</v>
      </c>
      <c r="ER328" s="208">
        <v>-2841161</v>
      </c>
      <c r="ES328" s="208">
        <v>-639261</v>
      </c>
      <c r="ET328" s="208">
        <v>-71028</v>
      </c>
      <c r="EU328" s="208">
        <v>-7102903</v>
      </c>
      <c r="EV328" s="666">
        <v>0.5</v>
      </c>
      <c r="EW328" s="666">
        <v>0.4</v>
      </c>
      <c r="EX328" s="666">
        <v>0.09</v>
      </c>
      <c r="EY328" s="666">
        <v>0.01</v>
      </c>
      <c r="EZ328" s="666">
        <v>1</v>
      </c>
      <c r="FA328" s="187" t="s">
        <v>1054</v>
      </c>
      <c r="FC328" s="187">
        <v>0</v>
      </c>
    </row>
    <row r="329" spans="1:159" s="187" customFormat="1" x14ac:dyDescent="0.2">
      <c r="B329" s="429" t="s">
        <v>736</v>
      </c>
      <c r="C329" s="429" t="s">
        <v>735</v>
      </c>
      <c r="D329" s="208">
        <v>12107924</v>
      </c>
      <c r="E329" s="208">
        <v>9686340</v>
      </c>
      <c r="F329" s="208">
        <v>2179427</v>
      </c>
      <c r="G329" s="208">
        <v>242159</v>
      </c>
      <c r="H329" s="208">
        <v>24215850</v>
      </c>
      <c r="I329" s="208">
        <v>0</v>
      </c>
      <c r="J329" s="208">
        <v>0</v>
      </c>
      <c r="K329" s="208">
        <v>12107924</v>
      </c>
      <c r="L329" s="208">
        <v>150613</v>
      </c>
      <c r="M329" s="208">
        <v>150613</v>
      </c>
      <c r="N329" s="208">
        <v>888149</v>
      </c>
      <c r="O329" s="208">
        <v>888149</v>
      </c>
      <c r="P329" s="208">
        <v>0</v>
      </c>
      <c r="Q329" s="208">
        <v>0</v>
      </c>
      <c r="R329" s="208">
        <v>0</v>
      </c>
      <c r="S329" s="208">
        <v>0</v>
      </c>
      <c r="T329" s="208">
        <v>0</v>
      </c>
      <c r="U329" s="208">
        <v>0</v>
      </c>
      <c r="V329" s="208">
        <v>0</v>
      </c>
      <c r="W329" s="208">
        <v>0</v>
      </c>
      <c r="X329" s="208">
        <v>0</v>
      </c>
      <c r="Y329" s="208">
        <v>0</v>
      </c>
      <c r="Z329" s="208">
        <v>0</v>
      </c>
      <c r="AA329" s="208">
        <v>0</v>
      </c>
      <c r="AB329" s="208">
        <v>0</v>
      </c>
      <c r="AC329" s="208">
        <v>0</v>
      </c>
      <c r="AD329" s="208">
        <v>0</v>
      </c>
      <c r="AE329" s="208">
        <v>0</v>
      </c>
      <c r="AF329" s="208">
        <v>0</v>
      </c>
      <c r="AG329" s="208">
        <v>1698250</v>
      </c>
      <c r="AH329" s="208">
        <v>369693</v>
      </c>
      <c r="AI329" s="208">
        <v>41077</v>
      </c>
      <c r="AJ329" s="208">
        <v>2109020</v>
      </c>
      <c r="AK329" s="208">
        <v>522752</v>
      </c>
      <c r="AL329" s="208">
        <v>418202</v>
      </c>
      <c r="AM329" s="208">
        <v>94095</v>
      </c>
      <c r="AN329" s="208">
        <v>10455</v>
      </c>
      <c r="AO329" s="208">
        <v>1045504</v>
      </c>
      <c r="AP329" s="208">
        <v>-323375</v>
      </c>
      <c r="AQ329" s="208">
        <v>-258701</v>
      </c>
      <c r="AR329" s="208">
        <v>-58208</v>
      </c>
      <c r="AS329" s="208">
        <v>-6468</v>
      </c>
      <c r="AT329" s="208">
        <v>-646752</v>
      </c>
      <c r="AU329" s="208">
        <v>-254990.84999999998</v>
      </c>
      <c r="AV329" s="208">
        <v>-203993</v>
      </c>
      <c r="AW329" s="208">
        <v>-45898</v>
      </c>
      <c r="AX329" s="208">
        <v>-5100</v>
      </c>
      <c r="AY329" s="208">
        <v>-509981.85</v>
      </c>
      <c r="AZ329" s="208">
        <v>94147</v>
      </c>
      <c r="BA329" s="208">
        <v>75317</v>
      </c>
      <c r="BB329" s="208">
        <v>16946</v>
      </c>
      <c r="BC329" s="208">
        <v>1883</v>
      </c>
      <c r="BD329" s="208">
        <v>188293</v>
      </c>
      <c r="BE329" s="208">
        <v>-30409</v>
      </c>
      <c r="BF329" s="208">
        <v>-24326</v>
      </c>
      <c r="BG329" s="208">
        <v>-5473</v>
      </c>
      <c r="BH329" s="208">
        <v>-608</v>
      </c>
      <c r="BI329" s="208">
        <v>-60816</v>
      </c>
      <c r="BJ329" s="208">
        <v>-191252.84999999998</v>
      </c>
      <c r="BK329" s="208">
        <v>-153002</v>
      </c>
      <c r="BL329" s="208">
        <v>-34425</v>
      </c>
      <c r="BM329" s="208">
        <v>-3825</v>
      </c>
      <c r="BN329" s="208">
        <v>-382504.85</v>
      </c>
      <c r="BO329" s="208">
        <v>-2228790.5999999996</v>
      </c>
      <c r="BP329" s="208">
        <v>-1783032</v>
      </c>
      <c r="BQ329" s="208">
        <v>-401182</v>
      </c>
      <c r="BR329" s="208">
        <v>-44576</v>
      </c>
      <c r="BS329" s="208">
        <v>-4457580.5999999996</v>
      </c>
      <c r="BT329" s="208">
        <v>0</v>
      </c>
      <c r="BU329" s="208">
        <v>0</v>
      </c>
      <c r="BV329" s="208">
        <v>0</v>
      </c>
      <c r="BW329" s="208">
        <v>0</v>
      </c>
      <c r="BX329" s="208">
        <v>0</v>
      </c>
      <c r="BY329" s="208">
        <v>-2228790.5999999996</v>
      </c>
      <c r="BZ329" s="208">
        <v>-1783032</v>
      </c>
      <c r="CA329" s="208">
        <v>-401182</v>
      </c>
      <c r="CB329" s="208">
        <v>-44576</v>
      </c>
      <c r="CC329" s="208">
        <v>-4457580.5999999996</v>
      </c>
      <c r="CD329" s="208">
        <v>0</v>
      </c>
      <c r="CE329" s="208">
        <v>0</v>
      </c>
      <c r="CF329" s="208">
        <v>0</v>
      </c>
      <c r="CG329" s="208">
        <v>0</v>
      </c>
      <c r="CH329" s="208">
        <v>0</v>
      </c>
      <c r="CI329" s="208">
        <v>0</v>
      </c>
      <c r="CJ329" s="208">
        <v>0</v>
      </c>
      <c r="CK329" s="208">
        <v>0</v>
      </c>
      <c r="CL329" s="208">
        <v>0</v>
      </c>
      <c r="CM329" s="208">
        <v>0</v>
      </c>
      <c r="CN329" s="208">
        <v>0</v>
      </c>
      <c r="CO329" s="208">
        <v>0</v>
      </c>
      <c r="CP329" s="208">
        <v>0</v>
      </c>
      <c r="CQ329" s="208">
        <v>0</v>
      </c>
      <c r="CR329" s="208">
        <v>0</v>
      </c>
      <c r="CS329" s="208">
        <v>-223203</v>
      </c>
      <c r="CT329" s="208">
        <v>-178562</v>
      </c>
      <c r="CU329" s="208">
        <v>-40176</v>
      </c>
      <c r="CV329" s="208">
        <v>-4464</v>
      </c>
      <c r="CW329" s="208">
        <v>-446405</v>
      </c>
      <c r="CX329" s="208">
        <v>-2451993.5999999996</v>
      </c>
      <c r="CY329" s="208">
        <v>-1961594</v>
      </c>
      <c r="CZ329" s="208">
        <v>-441358</v>
      </c>
      <c r="DA329" s="208">
        <v>-49040</v>
      </c>
      <c r="DB329" s="208">
        <v>-4903985.5999999996</v>
      </c>
      <c r="DC329" s="208">
        <v>0</v>
      </c>
      <c r="DD329" s="208">
        <v>0</v>
      </c>
      <c r="DE329" s="208">
        <v>0</v>
      </c>
      <c r="DF329" s="208">
        <v>0</v>
      </c>
      <c r="DG329" s="208">
        <v>0</v>
      </c>
      <c r="DH329" s="208">
        <v>-2451993.5999999996</v>
      </c>
      <c r="DI329" s="208">
        <v>-1961594</v>
      </c>
      <c r="DJ329" s="208">
        <v>-441358</v>
      </c>
      <c r="DK329" s="208">
        <v>-49040</v>
      </c>
      <c r="DL329" s="208">
        <v>-4903985.5999999996</v>
      </c>
      <c r="DM329" s="208">
        <v>-650471</v>
      </c>
      <c r="DN329" s="208">
        <v>-520375</v>
      </c>
      <c r="DO329" s="208">
        <v>-117084</v>
      </c>
      <c r="DP329" s="208">
        <v>-13009</v>
      </c>
      <c r="DQ329" s="208">
        <v>-1300939</v>
      </c>
      <c r="DR329" s="208">
        <v>-433188</v>
      </c>
      <c r="DS329" s="208">
        <v>-346550</v>
      </c>
      <c r="DT329" s="208">
        <v>-77974</v>
      </c>
      <c r="DU329" s="208">
        <v>-8664</v>
      </c>
      <c r="DV329" s="208">
        <v>-866376</v>
      </c>
      <c r="DW329" s="208">
        <v>-217283</v>
      </c>
      <c r="DX329" s="208">
        <v>-173825</v>
      </c>
      <c r="DY329" s="208">
        <v>-39110</v>
      </c>
      <c r="DZ329" s="208">
        <v>-4345</v>
      </c>
      <c r="EA329" s="208">
        <v>-434563</v>
      </c>
      <c r="EB329" s="208">
        <v>12416257</v>
      </c>
      <c r="EC329" s="208">
        <v>9933005</v>
      </c>
      <c r="ED329" s="208">
        <v>2234926</v>
      </c>
      <c r="EE329" s="208">
        <v>248325</v>
      </c>
      <c r="EF329" s="208">
        <v>24832513</v>
      </c>
      <c r="EG329" s="208">
        <v>12107924</v>
      </c>
      <c r="EH329" s="208">
        <v>9686340</v>
      </c>
      <c r="EI329" s="208">
        <v>2179427</v>
      </c>
      <c r="EJ329" s="208">
        <v>242159</v>
      </c>
      <c r="EK329" s="208">
        <v>24215850</v>
      </c>
      <c r="EL329" s="208">
        <v>-308333</v>
      </c>
      <c r="EM329" s="208">
        <v>-246665</v>
      </c>
      <c r="EN329" s="208">
        <v>-55499</v>
      </c>
      <c r="EO329" s="208">
        <v>-6166</v>
      </c>
      <c r="EP329" s="208">
        <v>-616663</v>
      </c>
      <c r="EQ329" s="208">
        <v>-525616</v>
      </c>
      <c r="ER329" s="208">
        <v>-420490</v>
      </c>
      <c r="ES329" s="208">
        <v>-94609</v>
      </c>
      <c r="ET329" s="208">
        <v>-10511</v>
      </c>
      <c r="EU329" s="208">
        <v>-1051226</v>
      </c>
      <c r="EV329" s="666">
        <v>0.5</v>
      </c>
      <c r="EW329" s="666">
        <v>0.4</v>
      </c>
      <c r="EX329" s="666">
        <v>0.09</v>
      </c>
      <c r="EY329" s="666">
        <v>0.01</v>
      </c>
      <c r="EZ329" s="666">
        <v>1</v>
      </c>
      <c r="FA329" s="187" t="s">
        <v>1054</v>
      </c>
      <c r="FC329" s="187">
        <v>0</v>
      </c>
    </row>
    <row r="330" spans="1:159" s="187" customFormat="1" x14ac:dyDescent="0.2">
      <c r="A330" s="188"/>
      <c r="B330" s="429" t="s">
        <v>738</v>
      </c>
      <c r="C330" s="429" t="s">
        <v>737</v>
      </c>
      <c r="D330" s="208">
        <v>13095434</v>
      </c>
      <c r="E330" s="208">
        <v>10476347</v>
      </c>
      <c r="F330" s="208">
        <v>2357178</v>
      </c>
      <c r="G330" s="208">
        <v>261909</v>
      </c>
      <c r="H330" s="208">
        <v>26190868</v>
      </c>
      <c r="I330" s="208">
        <v>0</v>
      </c>
      <c r="J330" s="208">
        <v>0</v>
      </c>
      <c r="K330" s="208">
        <v>13095434</v>
      </c>
      <c r="L330" s="208">
        <v>134280</v>
      </c>
      <c r="M330" s="208">
        <v>134280</v>
      </c>
      <c r="N330" s="208">
        <v>0</v>
      </c>
      <c r="O330" s="208">
        <v>0</v>
      </c>
      <c r="P330" s="208">
        <v>5040</v>
      </c>
      <c r="Q330" s="208">
        <v>0</v>
      </c>
      <c r="R330" s="208">
        <v>5040</v>
      </c>
      <c r="S330" s="208">
        <v>0</v>
      </c>
      <c r="T330" s="208">
        <v>0</v>
      </c>
      <c r="U330" s="208">
        <v>0</v>
      </c>
      <c r="V330" s="208">
        <v>0</v>
      </c>
      <c r="W330" s="208">
        <v>0</v>
      </c>
      <c r="X330" s="208">
        <v>0</v>
      </c>
      <c r="Y330" s="208">
        <v>0</v>
      </c>
      <c r="Z330" s="208">
        <v>0</v>
      </c>
      <c r="AA330" s="208">
        <v>0</v>
      </c>
      <c r="AB330" s="208">
        <v>0</v>
      </c>
      <c r="AC330" s="208">
        <v>0</v>
      </c>
      <c r="AD330" s="208">
        <v>0</v>
      </c>
      <c r="AE330" s="208">
        <v>0</v>
      </c>
      <c r="AF330" s="208">
        <v>0</v>
      </c>
      <c r="AG330" s="208">
        <v>1381352</v>
      </c>
      <c r="AH330" s="208">
        <v>310778</v>
      </c>
      <c r="AI330" s="208">
        <v>34530</v>
      </c>
      <c r="AJ330" s="208">
        <v>1726660</v>
      </c>
      <c r="AK330" s="208">
        <v>731222</v>
      </c>
      <c r="AL330" s="208">
        <v>584977</v>
      </c>
      <c r="AM330" s="208">
        <v>131620</v>
      </c>
      <c r="AN330" s="208">
        <v>14624</v>
      </c>
      <c r="AO330" s="208">
        <v>1462443</v>
      </c>
      <c r="AP330" s="208">
        <v>-418419</v>
      </c>
      <c r="AQ330" s="208">
        <v>-334735</v>
      </c>
      <c r="AR330" s="208">
        <v>-75315</v>
      </c>
      <c r="AS330" s="208">
        <v>-8368</v>
      </c>
      <c r="AT330" s="208">
        <v>-836837</v>
      </c>
      <c r="AU330" s="208">
        <v>-553903</v>
      </c>
      <c r="AV330" s="208">
        <v>-443122</v>
      </c>
      <c r="AW330" s="208">
        <v>-99703</v>
      </c>
      <c r="AX330" s="208">
        <v>-11078</v>
      </c>
      <c r="AY330" s="208">
        <v>-1107806</v>
      </c>
      <c r="AZ330" s="208">
        <v>264914</v>
      </c>
      <c r="BA330" s="208">
        <v>211931</v>
      </c>
      <c r="BB330" s="208">
        <v>47685</v>
      </c>
      <c r="BC330" s="208">
        <v>5298</v>
      </c>
      <c r="BD330" s="208">
        <v>529828</v>
      </c>
      <c r="BE330" s="208">
        <v>-158041</v>
      </c>
      <c r="BF330" s="208">
        <v>-126433</v>
      </c>
      <c r="BG330" s="208">
        <v>-28447</v>
      </c>
      <c r="BH330" s="208">
        <v>-3161</v>
      </c>
      <c r="BI330" s="208">
        <v>-316082</v>
      </c>
      <c r="BJ330" s="208">
        <v>-447030</v>
      </c>
      <c r="BK330" s="208">
        <v>-357624</v>
      </c>
      <c r="BL330" s="208">
        <v>-80465</v>
      </c>
      <c r="BM330" s="208">
        <v>-8941</v>
      </c>
      <c r="BN330" s="208">
        <v>-894060</v>
      </c>
      <c r="BO330" s="208">
        <v>-2042424</v>
      </c>
      <c r="BP330" s="208">
        <v>-1633939</v>
      </c>
      <c r="BQ330" s="208">
        <v>-367636</v>
      </c>
      <c r="BR330" s="208">
        <v>-40848</v>
      </c>
      <c r="BS330" s="208">
        <v>-4084847</v>
      </c>
      <c r="BT330" s="208">
        <v>-1352436</v>
      </c>
      <c r="BU330" s="208">
        <v>-1081949</v>
      </c>
      <c r="BV330" s="208">
        <v>-243438</v>
      </c>
      <c r="BW330" s="208">
        <v>-27049</v>
      </c>
      <c r="BX330" s="208">
        <v>-2704872</v>
      </c>
      <c r="BY330" s="208">
        <v>-689987</v>
      </c>
      <c r="BZ330" s="208">
        <v>-551990</v>
      </c>
      <c r="CA330" s="208">
        <v>-124198</v>
      </c>
      <c r="CB330" s="208">
        <v>-13800</v>
      </c>
      <c r="CC330" s="208">
        <v>-1379975</v>
      </c>
      <c r="CD330" s="208">
        <v>267647</v>
      </c>
      <c r="CE330" s="208">
        <v>214118</v>
      </c>
      <c r="CF330" s="208">
        <v>48177</v>
      </c>
      <c r="CG330" s="208">
        <v>5353</v>
      </c>
      <c r="CH330" s="208">
        <v>535295</v>
      </c>
      <c r="CI330" s="208">
        <v>5016</v>
      </c>
      <c r="CJ330" s="208">
        <v>4012</v>
      </c>
      <c r="CK330" s="208">
        <v>903</v>
      </c>
      <c r="CL330" s="208">
        <v>100</v>
      </c>
      <c r="CM330" s="208">
        <v>10031</v>
      </c>
      <c r="CN330" s="208">
        <v>-206467</v>
      </c>
      <c r="CO330" s="208">
        <v>-165174</v>
      </c>
      <c r="CP330" s="208">
        <v>-37164</v>
      </c>
      <c r="CQ330" s="208">
        <v>-4129</v>
      </c>
      <c r="CR330" s="208">
        <v>-412934</v>
      </c>
      <c r="CS330" s="208">
        <v>-749940</v>
      </c>
      <c r="CT330" s="208">
        <v>-599952</v>
      </c>
      <c r="CU330" s="208">
        <v>-134989</v>
      </c>
      <c r="CV330" s="208">
        <v>-14999</v>
      </c>
      <c r="CW330" s="208">
        <v>-1499880</v>
      </c>
      <c r="CX330" s="208">
        <v>-2726168</v>
      </c>
      <c r="CY330" s="208">
        <v>-2180935</v>
      </c>
      <c r="CZ330" s="208">
        <v>-490709</v>
      </c>
      <c r="DA330" s="208">
        <v>-54523</v>
      </c>
      <c r="DB330" s="208">
        <v>-5452335</v>
      </c>
      <c r="DC330" s="208">
        <v>-1291256</v>
      </c>
      <c r="DD330" s="208">
        <v>-1033005</v>
      </c>
      <c r="DE330" s="208">
        <v>-232425</v>
      </c>
      <c r="DF330" s="208">
        <v>-25825</v>
      </c>
      <c r="DG330" s="208">
        <v>-2582511</v>
      </c>
      <c r="DH330" s="208">
        <v>-1434911</v>
      </c>
      <c r="DI330" s="208">
        <v>-1147930</v>
      </c>
      <c r="DJ330" s="208">
        <v>-258284</v>
      </c>
      <c r="DK330" s="208">
        <v>-28699</v>
      </c>
      <c r="DL330" s="208">
        <v>-2869824</v>
      </c>
      <c r="DM330" s="208">
        <v>-126477</v>
      </c>
      <c r="DN330" s="208">
        <v>-101182</v>
      </c>
      <c r="DO330" s="208">
        <v>-22766</v>
      </c>
      <c r="DP330" s="208">
        <v>-2530</v>
      </c>
      <c r="DQ330" s="208">
        <v>-252955</v>
      </c>
      <c r="DR330" s="208">
        <v>-12361</v>
      </c>
      <c r="DS330" s="208">
        <v>-9888</v>
      </c>
      <c r="DT330" s="208">
        <v>-2225</v>
      </c>
      <c r="DU330" s="208">
        <v>-247</v>
      </c>
      <c r="DV330" s="208">
        <v>-24721</v>
      </c>
      <c r="DW330" s="208">
        <v>-114116</v>
      </c>
      <c r="DX330" s="208">
        <v>-91294</v>
      </c>
      <c r="DY330" s="208">
        <v>-20541</v>
      </c>
      <c r="DZ330" s="208">
        <v>-2283</v>
      </c>
      <c r="EA330" s="208">
        <v>-228234</v>
      </c>
      <c r="EB330" s="208">
        <v>13565082</v>
      </c>
      <c r="EC330" s="208">
        <v>10852066</v>
      </c>
      <c r="ED330" s="208">
        <v>2441715</v>
      </c>
      <c r="EE330" s="208">
        <v>271302</v>
      </c>
      <c r="EF330" s="208">
        <v>27130165</v>
      </c>
      <c r="EG330" s="208">
        <v>13095434</v>
      </c>
      <c r="EH330" s="208">
        <v>10476347</v>
      </c>
      <c r="EI330" s="208">
        <v>2357178</v>
      </c>
      <c r="EJ330" s="208">
        <v>261909</v>
      </c>
      <c r="EK330" s="208">
        <v>26190868</v>
      </c>
      <c r="EL330" s="208">
        <v>-469648</v>
      </c>
      <c r="EM330" s="208">
        <v>-375719</v>
      </c>
      <c r="EN330" s="208">
        <v>-84537</v>
      </c>
      <c r="EO330" s="208">
        <v>-9393</v>
      </c>
      <c r="EP330" s="208">
        <v>-939297</v>
      </c>
      <c r="EQ330" s="208">
        <v>-583764</v>
      </c>
      <c r="ER330" s="208">
        <v>-467013</v>
      </c>
      <c r="ES330" s="208">
        <v>-105078</v>
      </c>
      <c r="ET330" s="208">
        <v>-11676</v>
      </c>
      <c r="EU330" s="208">
        <v>-1167531</v>
      </c>
      <c r="EV330" s="666">
        <v>0.5</v>
      </c>
      <c r="EW330" s="666">
        <v>0.4</v>
      </c>
      <c r="EX330" s="666">
        <v>0.09</v>
      </c>
      <c r="EY330" s="666">
        <v>0.01</v>
      </c>
      <c r="EZ330" s="666">
        <v>1</v>
      </c>
      <c r="FA330" s="187" t="s">
        <v>1054</v>
      </c>
      <c r="FC330" s="187">
        <v>0</v>
      </c>
    </row>
    <row r="331" spans="1:159" s="187" customFormat="1" x14ac:dyDescent="0.2">
      <c r="B331" s="429" t="s">
        <v>740</v>
      </c>
      <c r="C331" s="429" t="s">
        <v>739</v>
      </c>
      <c r="D331" s="208">
        <v>0</v>
      </c>
      <c r="E331" s="208">
        <v>101656776</v>
      </c>
      <c r="F331" s="208">
        <v>0</v>
      </c>
      <c r="G331" s="208">
        <v>1026836</v>
      </c>
      <c r="H331" s="208">
        <v>102683612</v>
      </c>
      <c r="I331" s="208">
        <v>0</v>
      </c>
      <c r="J331" s="208">
        <v>0</v>
      </c>
      <c r="K331" s="208">
        <v>0</v>
      </c>
      <c r="L331" s="208">
        <v>289905</v>
      </c>
      <c r="M331" s="208">
        <v>289905</v>
      </c>
      <c r="N331" s="208">
        <v>383738</v>
      </c>
      <c r="O331" s="208">
        <v>383738</v>
      </c>
      <c r="P331" s="208">
        <v>0</v>
      </c>
      <c r="Q331" s="208">
        <v>0</v>
      </c>
      <c r="R331" s="208">
        <v>0</v>
      </c>
      <c r="S331" s="208">
        <v>0</v>
      </c>
      <c r="T331" s="208">
        <v>0</v>
      </c>
      <c r="U331" s="208">
        <v>0</v>
      </c>
      <c r="V331" s="208">
        <v>0</v>
      </c>
      <c r="W331" s="208">
        <v>0</v>
      </c>
      <c r="X331" s="208">
        <v>0</v>
      </c>
      <c r="Y331" s="208">
        <v>0</v>
      </c>
      <c r="Z331" s="208">
        <v>0</v>
      </c>
      <c r="AA331" s="208">
        <v>0</v>
      </c>
      <c r="AB331" s="208">
        <v>0</v>
      </c>
      <c r="AC331" s="208">
        <v>0</v>
      </c>
      <c r="AD331" s="208">
        <v>0</v>
      </c>
      <c r="AE331" s="208">
        <v>0</v>
      </c>
      <c r="AF331" s="208">
        <v>0</v>
      </c>
      <c r="AG331" s="208">
        <v>7643861</v>
      </c>
      <c r="AH331" s="208">
        <v>0</v>
      </c>
      <c r="AI331" s="208">
        <v>77011</v>
      </c>
      <c r="AJ331" s="208">
        <v>7720872</v>
      </c>
      <c r="AK331" s="208">
        <v>0</v>
      </c>
      <c r="AL331" s="208">
        <v>3054658</v>
      </c>
      <c r="AM331" s="208">
        <v>0</v>
      </c>
      <c r="AN331" s="208">
        <v>30855</v>
      </c>
      <c r="AO331" s="208">
        <v>3085513</v>
      </c>
      <c r="AP331" s="208">
        <v>0</v>
      </c>
      <c r="AQ331" s="208">
        <v>-1804101</v>
      </c>
      <c r="AR331" s="208">
        <v>0</v>
      </c>
      <c r="AS331" s="208">
        <v>-18223</v>
      </c>
      <c r="AT331" s="208">
        <v>-1822324</v>
      </c>
      <c r="AU331" s="208">
        <v>0</v>
      </c>
      <c r="AV331" s="208">
        <v>-2190928</v>
      </c>
      <c r="AW331" s="208">
        <v>0</v>
      </c>
      <c r="AX331" s="208">
        <v>-22131</v>
      </c>
      <c r="AY331" s="208">
        <v>-2213059</v>
      </c>
      <c r="AZ331" s="208">
        <v>0</v>
      </c>
      <c r="BA331" s="208">
        <v>272474</v>
      </c>
      <c r="BB331" s="208">
        <v>0</v>
      </c>
      <c r="BC331" s="208">
        <v>2752</v>
      </c>
      <c r="BD331" s="208">
        <v>275226</v>
      </c>
      <c r="BE331" s="208">
        <v>0</v>
      </c>
      <c r="BF331" s="208">
        <v>-62521</v>
      </c>
      <c r="BG331" s="208">
        <v>0</v>
      </c>
      <c r="BH331" s="208">
        <v>-632</v>
      </c>
      <c r="BI331" s="208">
        <v>-63153</v>
      </c>
      <c r="BJ331" s="208">
        <v>0</v>
      </c>
      <c r="BK331" s="208">
        <v>-1980975</v>
      </c>
      <c r="BL331" s="208">
        <v>0</v>
      </c>
      <c r="BM331" s="208">
        <v>-20011</v>
      </c>
      <c r="BN331" s="208">
        <v>-2000986</v>
      </c>
      <c r="BO331" s="208">
        <v>0</v>
      </c>
      <c r="BP331" s="208">
        <v>-3209580</v>
      </c>
      <c r="BQ331" s="208">
        <v>0</v>
      </c>
      <c r="BR331" s="208">
        <v>-32420</v>
      </c>
      <c r="BS331" s="208">
        <v>-3242000</v>
      </c>
      <c r="BT331" s="208">
        <v>0</v>
      </c>
      <c r="BU331" s="208">
        <v>-3209580</v>
      </c>
      <c r="BV331" s="208">
        <v>0</v>
      </c>
      <c r="BW331" s="208">
        <v>-32420</v>
      </c>
      <c r="BX331" s="208">
        <v>-3242000</v>
      </c>
      <c r="BY331" s="208">
        <v>0</v>
      </c>
      <c r="BZ331" s="208">
        <v>0</v>
      </c>
      <c r="CA331" s="208">
        <v>0</v>
      </c>
      <c r="CB331" s="208">
        <v>0</v>
      </c>
      <c r="CC331" s="208">
        <v>0</v>
      </c>
      <c r="CD331" s="208">
        <v>0</v>
      </c>
      <c r="CE331" s="208">
        <v>2558936</v>
      </c>
      <c r="CF331" s="208">
        <v>0</v>
      </c>
      <c r="CG331" s="208">
        <v>25848</v>
      </c>
      <c r="CH331" s="208">
        <v>2584784</v>
      </c>
      <c r="CI331" s="208">
        <v>0</v>
      </c>
      <c r="CJ331" s="208">
        <v>0</v>
      </c>
      <c r="CK331" s="208">
        <v>0</v>
      </c>
      <c r="CL331" s="208">
        <v>0</v>
      </c>
      <c r="CM331" s="208">
        <v>0</v>
      </c>
      <c r="CN331" s="208">
        <v>0</v>
      </c>
      <c r="CO331" s="208">
        <v>-735356</v>
      </c>
      <c r="CP331" s="208">
        <v>0</v>
      </c>
      <c r="CQ331" s="208">
        <v>-7428</v>
      </c>
      <c r="CR331" s="208">
        <v>-742784</v>
      </c>
      <c r="CS331" s="208">
        <v>0</v>
      </c>
      <c r="CT331" s="208">
        <v>0</v>
      </c>
      <c r="CU331" s="208">
        <v>0</v>
      </c>
      <c r="CV331" s="208">
        <v>0</v>
      </c>
      <c r="CW331" s="208">
        <v>0</v>
      </c>
      <c r="CX331" s="208">
        <v>0</v>
      </c>
      <c r="CY331" s="208">
        <v>-1386000</v>
      </c>
      <c r="CZ331" s="208">
        <v>0</v>
      </c>
      <c r="DA331" s="208">
        <v>-14000</v>
      </c>
      <c r="DB331" s="208">
        <v>-1400000</v>
      </c>
      <c r="DC331" s="208">
        <v>0</v>
      </c>
      <c r="DD331" s="208">
        <v>-1386000</v>
      </c>
      <c r="DE331" s="208">
        <v>0</v>
      </c>
      <c r="DF331" s="208">
        <v>-14000</v>
      </c>
      <c r="DG331" s="208">
        <v>-1400000</v>
      </c>
      <c r="DH331" s="208">
        <v>0</v>
      </c>
      <c r="DI331" s="208">
        <v>0</v>
      </c>
      <c r="DJ331" s="208">
        <v>0</v>
      </c>
      <c r="DK331" s="208">
        <v>0</v>
      </c>
      <c r="DL331" s="208">
        <v>0</v>
      </c>
      <c r="DM331" s="208">
        <v>-384483</v>
      </c>
      <c r="DN331" s="208">
        <v>-376792</v>
      </c>
      <c r="DO331" s="208">
        <v>0</v>
      </c>
      <c r="DP331" s="208">
        <v>-7690</v>
      </c>
      <c r="DQ331" s="208">
        <v>-768965</v>
      </c>
      <c r="DR331" s="208">
        <v>-327939</v>
      </c>
      <c r="DS331" s="208">
        <v>-321380</v>
      </c>
      <c r="DT331" s="208">
        <v>0</v>
      </c>
      <c r="DU331" s="208">
        <v>-6559</v>
      </c>
      <c r="DV331" s="208">
        <v>-655878</v>
      </c>
      <c r="DW331" s="208">
        <v>-56544</v>
      </c>
      <c r="DX331" s="208">
        <v>-55412</v>
      </c>
      <c r="DY331" s="208">
        <v>0</v>
      </c>
      <c r="DZ331" s="208">
        <v>-1131</v>
      </c>
      <c r="EA331" s="208">
        <v>-113087</v>
      </c>
      <c r="EB331" s="208">
        <v>0</v>
      </c>
      <c r="EC331" s="208">
        <v>99398451</v>
      </c>
      <c r="ED331" s="208">
        <v>0</v>
      </c>
      <c r="EE331" s="208">
        <v>1004025</v>
      </c>
      <c r="EF331" s="208">
        <v>100402476</v>
      </c>
      <c r="EG331" s="208">
        <v>0</v>
      </c>
      <c r="EH331" s="208">
        <v>101656776</v>
      </c>
      <c r="EI331" s="208">
        <v>0</v>
      </c>
      <c r="EJ331" s="208">
        <v>1026836</v>
      </c>
      <c r="EK331" s="208">
        <v>102683612</v>
      </c>
      <c r="EL331" s="208">
        <v>0</v>
      </c>
      <c r="EM331" s="208">
        <v>2258325</v>
      </c>
      <c r="EN331" s="208">
        <v>0</v>
      </c>
      <c r="EO331" s="208">
        <v>22811</v>
      </c>
      <c r="EP331" s="208">
        <v>2281136</v>
      </c>
      <c r="EQ331" s="208">
        <v>-56544</v>
      </c>
      <c r="ER331" s="208">
        <v>2202913</v>
      </c>
      <c r="ES331" s="208">
        <v>0</v>
      </c>
      <c r="ET331" s="208">
        <v>21680</v>
      </c>
      <c r="EU331" s="208">
        <v>2168049</v>
      </c>
      <c r="EV331" s="666">
        <v>0</v>
      </c>
      <c r="EW331" s="666">
        <v>0.99</v>
      </c>
      <c r="EX331" s="666">
        <v>0</v>
      </c>
      <c r="EY331" s="666">
        <v>0.01</v>
      </c>
      <c r="EZ331" s="666">
        <v>1</v>
      </c>
      <c r="FA331" s="187" t="s">
        <v>742</v>
      </c>
      <c r="FC331" s="187">
        <v>0</v>
      </c>
    </row>
    <row r="332" spans="1:159" s="187" customFormat="1" x14ac:dyDescent="0.2">
      <c r="A332" s="187" t="s">
        <v>1827</v>
      </c>
      <c r="B332" s="429" t="s">
        <v>1046</v>
      </c>
      <c r="C332" s="429" t="s">
        <v>1040</v>
      </c>
      <c r="D332" s="208">
        <v>4532978283.5900002</v>
      </c>
      <c r="E332" s="208">
        <v>15518395200</v>
      </c>
      <c r="F332" s="208">
        <v>4799329486</v>
      </c>
      <c r="G332" s="208">
        <v>128473632</v>
      </c>
      <c r="H332" s="208">
        <v>24979176601.59</v>
      </c>
      <c r="I332" s="208">
        <v>12620678</v>
      </c>
      <c r="J332" s="208">
        <v>12620678</v>
      </c>
      <c r="K332" s="208">
        <v>4520357605.5900002</v>
      </c>
      <c r="L332" s="208">
        <v>84012718</v>
      </c>
      <c r="M332" s="208">
        <v>84012718</v>
      </c>
      <c r="N332" s="208">
        <v>52398872</v>
      </c>
      <c r="O332" s="208">
        <v>52398872</v>
      </c>
      <c r="P332" s="208">
        <v>61765120</v>
      </c>
      <c r="Q332" s="208">
        <v>3068772.74</v>
      </c>
      <c r="R332" s="208">
        <v>64833892.739999995</v>
      </c>
      <c r="S332" s="208">
        <v>25390</v>
      </c>
      <c r="T332" s="208">
        <v>10156.000000000002</v>
      </c>
      <c r="U332" s="208">
        <v>14980.099999999999</v>
      </c>
      <c r="V332" s="208">
        <v>25390</v>
      </c>
      <c r="W332" s="208">
        <v>9022946.0440624971</v>
      </c>
      <c r="X332" s="208">
        <v>0</v>
      </c>
      <c r="Y332" s="208">
        <v>1903.4944791666667</v>
      </c>
      <c r="Z332" s="208">
        <v>9024849.5385416653</v>
      </c>
      <c r="AA332" s="208">
        <v>3149317.22</v>
      </c>
      <c r="AB332" s="208">
        <v>0</v>
      </c>
      <c r="AC332" s="208">
        <v>64271.78</v>
      </c>
      <c r="AD332" s="208">
        <v>3213589</v>
      </c>
      <c r="AE332" s="208">
        <v>382238</v>
      </c>
      <c r="AF332" s="208">
        <v>382238</v>
      </c>
      <c r="AG332" s="208">
        <v>1300617434</v>
      </c>
      <c r="AH332" s="208">
        <v>331443435</v>
      </c>
      <c r="AI332" s="208">
        <v>13056253</v>
      </c>
      <c r="AJ332" s="208">
        <v>1645117122</v>
      </c>
      <c r="AK332" s="208">
        <v>201971742.10000053</v>
      </c>
      <c r="AL332" s="208">
        <v>859787055</v>
      </c>
      <c r="AM332" s="208">
        <v>198717600</v>
      </c>
      <c r="AN332" s="208">
        <v>7633970</v>
      </c>
      <c r="AO332" s="208">
        <v>1268110367.1000004</v>
      </c>
      <c r="AP332" s="208">
        <v>-97088953.230644405</v>
      </c>
      <c r="AQ332" s="208">
        <v>-595257995</v>
      </c>
      <c r="AR332" s="208">
        <v>-234902423</v>
      </c>
      <c r="AS332" s="208">
        <v>-3071963</v>
      </c>
      <c r="AT332" s="208">
        <v>-930321334.23064446</v>
      </c>
      <c r="AU332" s="208">
        <v>-105107135.57000002</v>
      </c>
      <c r="AV332" s="208">
        <v>-498869220</v>
      </c>
      <c r="AW332" s="208">
        <v>-105559433</v>
      </c>
      <c r="AX332" s="208">
        <v>-4515693</v>
      </c>
      <c r="AY332" s="208">
        <v>-714051481.57000005</v>
      </c>
      <c r="AZ332" s="208">
        <v>31068296.98</v>
      </c>
      <c r="BA332" s="208">
        <v>133632676</v>
      </c>
      <c r="BB332" s="208">
        <v>17098252</v>
      </c>
      <c r="BC332" s="208">
        <v>1368573</v>
      </c>
      <c r="BD332" s="208">
        <v>183167797.97999999</v>
      </c>
      <c r="BE332" s="208">
        <v>-33201344.629999999</v>
      </c>
      <c r="BF332" s="208">
        <v>-115433850</v>
      </c>
      <c r="BG332" s="208">
        <v>-14327137</v>
      </c>
      <c r="BH332" s="208">
        <v>-1211586</v>
      </c>
      <c r="BI332" s="208">
        <v>-164173917.63</v>
      </c>
      <c r="BJ332" s="208">
        <v>-107240183.22000001</v>
      </c>
      <c r="BK332" s="208">
        <v>-480670394</v>
      </c>
      <c r="BL332" s="208">
        <v>-102788318</v>
      </c>
      <c r="BM332" s="208">
        <v>-4358706</v>
      </c>
      <c r="BN332" s="208">
        <v>-695057601.22000015</v>
      </c>
      <c r="BO332" s="208">
        <v>-531401874.47188902</v>
      </c>
      <c r="BP332" s="208">
        <v>-1754245437</v>
      </c>
      <c r="BQ332" s="208">
        <v>-511931021</v>
      </c>
      <c r="BR332" s="208">
        <v>-15327533</v>
      </c>
      <c r="BS332" s="208">
        <v>-2812905865.471889</v>
      </c>
      <c r="BT332" s="208">
        <v>-233467520.47</v>
      </c>
      <c r="BU332" s="208">
        <v>-818349301</v>
      </c>
      <c r="BV332" s="208">
        <v>-205933762</v>
      </c>
      <c r="BW332" s="208">
        <v>-7552047</v>
      </c>
      <c r="BX332" s="208">
        <v>-1265302630.47</v>
      </c>
      <c r="BY332" s="208">
        <v>-297934358.00188905</v>
      </c>
      <c r="BZ332" s="208">
        <v>-935896151</v>
      </c>
      <c r="CA332" s="208">
        <v>-305997248</v>
      </c>
      <c r="CB332" s="208">
        <v>-7775478</v>
      </c>
      <c r="CC332" s="208">
        <v>-1547603235.0018888</v>
      </c>
      <c r="CD332" s="208">
        <v>88390998</v>
      </c>
      <c r="CE332" s="208">
        <v>288608985</v>
      </c>
      <c r="CF332" s="208">
        <v>76066529</v>
      </c>
      <c r="CG332" s="208">
        <v>2450282</v>
      </c>
      <c r="CH332" s="208">
        <v>455516794</v>
      </c>
      <c r="CI332" s="208">
        <v>18224280</v>
      </c>
      <c r="CJ332" s="208">
        <v>120238044</v>
      </c>
      <c r="CK332" s="208">
        <v>42374579</v>
      </c>
      <c r="CL332" s="208">
        <v>675357</v>
      </c>
      <c r="CM332" s="208">
        <v>181512260</v>
      </c>
      <c r="CN332" s="208">
        <v>-39515019.990000002</v>
      </c>
      <c r="CO332" s="208">
        <v>35921455</v>
      </c>
      <c r="CP332" s="208">
        <v>27339412</v>
      </c>
      <c r="CQ332" s="208">
        <v>-400257</v>
      </c>
      <c r="CR332" s="208">
        <v>23345590.009999998</v>
      </c>
      <c r="CS332" s="208">
        <v>-168528363.36000001</v>
      </c>
      <c r="CT332" s="208">
        <v>-476297379</v>
      </c>
      <c r="CU332" s="208">
        <v>-111893347</v>
      </c>
      <c r="CV332" s="208">
        <v>-4472366</v>
      </c>
      <c r="CW332" s="208">
        <v>-761191455.36000001</v>
      </c>
      <c r="CX332" s="208">
        <v>-632829979.82188916</v>
      </c>
      <c r="CY332" s="208">
        <v>-1785774332</v>
      </c>
      <c r="CZ332" s="208">
        <v>-478043848</v>
      </c>
      <c r="DA332" s="208">
        <v>-17074517</v>
      </c>
      <c r="DB332" s="208">
        <v>-2913722676.8218894</v>
      </c>
      <c r="DC332" s="208">
        <v>-184591542.46000001</v>
      </c>
      <c r="DD332" s="208">
        <v>-493818861</v>
      </c>
      <c r="DE332" s="208">
        <v>-102527821</v>
      </c>
      <c r="DF332" s="208">
        <v>-5502022</v>
      </c>
      <c r="DG332" s="208">
        <v>-786440246.46000004</v>
      </c>
      <c r="DH332" s="208">
        <v>-448238441.36188906</v>
      </c>
      <c r="DI332" s="208">
        <v>-1291955486</v>
      </c>
      <c r="DJ332" s="208">
        <v>-375516016</v>
      </c>
      <c r="DK332" s="208">
        <v>-11572487</v>
      </c>
      <c r="DL332" s="208">
        <v>-2127282430.3618889</v>
      </c>
      <c r="DM332" s="208">
        <v>-24901280.911889043</v>
      </c>
      <c r="DN332" s="208">
        <v>-32417216.229999989</v>
      </c>
      <c r="DO332" s="208">
        <v>62510016.149999999</v>
      </c>
      <c r="DP332" s="208">
        <v>-1497177.8</v>
      </c>
      <c r="DQ332" s="208">
        <v>3286689.4033189751</v>
      </c>
      <c r="DR332" s="208">
        <v>77925146</v>
      </c>
      <c r="DS332" s="208">
        <v>45823475</v>
      </c>
      <c r="DT332" s="208">
        <v>74204970</v>
      </c>
      <c r="DU332" s="208">
        <v>-544220</v>
      </c>
      <c r="DV332" s="208">
        <v>197409371.24000001</v>
      </c>
      <c r="DW332" s="208">
        <v>-102826426.91188902</v>
      </c>
      <c r="DX332" s="208">
        <v>-78240691.229999989</v>
      </c>
      <c r="DY332" s="208">
        <v>-11694953.85</v>
      </c>
      <c r="DZ332" s="208">
        <v>-952957.8</v>
      </c>
      <c r="EA332" s="208">
        <v>-194122681.83668101</v>
      </c>
      <c r="EB332" s="208">
        <v>4539117718</v>
      </c>
      <c r="EC332" s="208">
        <v>15368118520</v>
      </c>
      <c r="ED332" s="208">
        <v>4726514452</v>
      </c>
      <c r="EE332" s="208">
        <v>127607426</v>
      </c>
      <c r="EF332" s="208">
        <v>24761358116</v>
      </c>
      <c r="EG332" s="208">
        <v>4532978283.539999</v>
      </c>
      <c r="EH332" s="208">
        <v>15518395200.049999</v>
      </c>
      <c r="EI332" s="208">
        <v>4799329486</v>
      </c>
      <c r="EJ332" s="208">
        <v>128473632</v>
      </c>
      <c r="EK332" s="208">
        <v>24979176601.59</v>
      </c>
      <c r="EL332" s="208">
        <v>-6139434.4600000083</v>
      </c>
      <c r="EM332" s="208">
        <v>150276680.04999995</v>
      </c>
      <c r="EN332" s="208">
        <v>72815034</v>
      </c>
      <c r="EO332" s="208">
        <v>866206</v>
      </c>
      <c r="EP332" s="208">
        <v>217818485.58999997</v>
      </c>
      <c r="EQ332" s="208">
        <v>-108965861.37188905</v>
      </c>
      <c r="ER332" s="208">
        <v>72035988.819999978</v>
      </c>
      <c r="ES332" s="208">
        <v>61120080.149999999</v>
      </c>
      <c r="ET332" s="208">
        <v>-86751.800000000047</v>
      </c>
      <c r="EU332" s="208">
        <v>23695803.753318954</v>
      </c>
      <c r="EV332" s="208"/>
      <c r="EW332" s="208"/>
      <c r="EX332" s="208"/>
      <c r="EY332" s="208"/>
      <c r="EZ332" s="208"/>
      <c r="FC332" s="208">
        <v>0</v>
      </c>
    </row>
    <row r="333" spans="1:159" s="185" customFormat="1" x14ac:dyDescent="0.2">
      <c r="A333" s="187"/>
      <c r="B333" s="672" t="s">
        <v>1820</v>
      </c>
      <c r="C333" s="672"/>
      <c r="D333" s="677"/>
      <c r="E333" s="678"/>
      <c r="F333" s="678"/>
      <c r="G333" s="679" t="s">
        <v>1822</v>
      </c>
      <c r="H333" s="678"/>
      <c r="I333" s="678"/>
      <c r="J333" s="678"/>
      <c r="K333" s="670"/>
      <c r="L333" s="670"/>
      <c r="M333" s="670"/>
      <c r="N333" s="670"/>
      <c r="O333" s="670"/>
      <c r="P333" s="670"/>
      <c r="Q333" s="670"/>
    </row>
    <row r="334" spans="1:159" s="185" customFormat="1" x14ac:dyDescent="0.2">
      <c r="A334" s="674"/>
      <c r="B334" s="672" t="s">
        <v>1826</v>
      </c>
      <c r="C334" s="672"/>
      <c r="D334" s="677"/>
      <c r="E334" s="678"/>
      <c r="F334" s="678"/>
      <c r="G334" s="675" t="s">
        <v>1825</v>
      </c>
      <c r="H334" s="678"/>
      <c r="I334" s="678"/>
      <c r="J334" s="678"/>
      <c r="K334" s="670"/>
      <c r="L334" s="670"/>
      <c r="M334" s="670"/>
      <c r="N334" s="670"/>
      <c r="O334" s="670"/>
      <c r="P334" s="670"/>
      <c r="Q334" s="670"/>
    </row>
    <row r="335" spans="1:159" x14ac:dyDescent="0.2">
      <c r="A335" s="674"/>
      <c r="B335" s="185"/>
    </row>
    <row r="336" spans="1:159" x14ac:dyDescent="0.2">
      <c r="A336" s="671"/>
    </row>
  </sheetData>
  <autoFilter ref="A5:FC334" xr:uid="{BA5214F7-FDF3-4649-8FDC-501F7D242510}"/>
  <mergeCells count="34">
    <mergeCell ref="AP2:AT2"/>
    <mergeCell ref="D2:H2"/>
    <mergeCell ref="I2:J2"/>
    <mergeCell ref="L2:M2"/>
    <mergeCell ref="N2:O2"/>
    <mergeCell ref="P2:R2"/>
    <mergeCell ref="S2:V2"/>
    <mergeCell ref="W2:Z2"/>
    <mergeCell ref="AA2:AD2"/>
    <mergeCell ref="AE2:AF2"/>
    <mergeCell ref="AG2:AJ2"/>
    <mergeCell ref="AK2:AO2"/>
    <mergeCell ref="CX2:DB2"/>
    <mergeCell ref="AU2:AY2"/>
    <mergeCell ref="AZ2:BD2"/>
    <mergeCell ref="BE2:BI2"/>
    <mergeCell ref="BJ2:BN2"/>
    <mergeCell ref="BO2:BS2"/>
    <mergeCell ref="BT2:BX2"/>
    <mergeCell ref="BY2:CC2"/>
    <mergeCell ref="CD2:CH2"/>
    <mergeCell ref="CI2:CM2"/>
    <mergeCell ref="CN2:CR2"/>
    <mergeCell ref="CS2:CW2"/>
    <mergeCell ref="EG2:EK2"/>
    <mergeCell ref="EL2:EP2"/>
    <mergeCell ref="EQ2:EU2"/>
    <mergeCell ref="EV2:EZ2"/>
    <mergeCell ref="DC2:DG2"/>
    <mergeCell ref="DH2:DL2"/>
    <mergeCell ref="DM2:DQ2"/>
    <mergeCell ref="DR2:DV2"/>
    <mergeCell ref="DW2:EA2"/>
    <mergeCell ref="EB2:EF2"/>
  </mergeCells>
  <conditionalFormatting sqref="CM332">
    <cfRule type="cellIs" dxfId="0" priority="1" operator="greaterThan">
      <formula>"SUM(CJ:CK)"</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59"/>
  <sheetViews>
    <sheetView showGridLines="0" zoomScale="80" zoomScaleNormal="80" zoomScaleSheetLayoutView="90" workbookViewId="0">
      <selection activeCell="A8" sqref="A8:Y8"/>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24"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1" x14ac:dyDescent="0.2">
      <c r="A1" s="11"/>
      <c r="B1" s="12"/>
      <c r="C1" s="12" t="s">
        <v>894</v>
      </c>
      <c r="D1" s="12"/>
      <c r="E1" s="12"/>
      <c r="F1" s="300">
        <v>327</v>
      </c>
      <c r="G1" s="12"/>
      <c r="H1" s="12"/>
      <c r="I1" s="12"/>
      <c r="J1" s="12"/>
      <c r="K1" s="12"/>
      <c r="L1" s="12"/>
      <c r="M1" s="12"/>
      <c r="N1" s="12"/>
      <c r="O1" s="12"/>
      <c r="P1" s="12"/>
      <c r="Q1" s="12"/>
      <c r="R1" s="703"/>
      <c r="S1" s="703"/>
      <c r="T1" s="12"/>
      <c r="U1" s="12"/>
      <c r="V1" s="12"/>
      <c r="W1" s="12"/>
      <c r="X1" s="12"/>
      <c r="Y1" s="13"/>
    </row>
    <row r="2" spans="1:31" ht="15.75" x14ac:dyDescent="0.25">
      <c r="A2" s="704" t="s">
        <v>39</v>
      </c>
      <c r="B2" s="705"/>
      <c r="C2" s="705"/>
      <c r="D2" s="705"/>
      <c r="E2" s="705"/>
      <c r="F2" s="705"/>
      <c r="G2" s="705"/>
      <c r="H2" s="705"/>
      <c r="I2" s="705"/>
      <c r="J2" s="705"/>
      <c r="K2" s="705"/>
      <c r="L2" s="705"/>
      <c r="M2" s="705"/>
      <c r="N2" s="705"/>
      <c r="O2" s="705"/>
      <c r="P2" s="705"/>
      <c r="Q2" s="705"/>
      <c r="R2" s="705"/>
      <c r="S2" s="705"/>
      <c r="T2" s="705"/>
      <c r="U2" s="705"/>
      <c r="V2" s="705"/>
      <c r="W2" s="705"/>
      <c r="X2" s="705"/>
      <c r="Y2" s="706"/>
    </row>
    <row r="3" spans="1:31" ht="15.75" x14ac:dyDescent="0.25">
      <c r="A3" s="704" t="s">
        <v>1379</v>
      </c>
      <c r="B3" s="705"/>
      <c r="C3" s="705"/>
      <c r="D3" s="705"/>
      <c r="E3" s="705"/>
      <c r="F3" s="705"/>
      <c r="G3" s="705"/>
      <c r="H3" s="705"/>
      <c r="I3" s="705"/>
      <c r="J3" s="705"/>
      <c r="K3" s="705"/>
      <c r="L3" s="705"/>
      <c r="M3" s="705"/>
      <c r="N3" s="705"/>
      <c r="O3" s="705"/>
      <c r="P3" s="705"/>
      <c r="Q3" s="705"/>
      <c r="R3" s="705"/>
      <c r="S3" s="705"/>
      <c r="T3" s="705"/>
      <c r="U3" s="705"/>
      <c r="V3" s="705"/>
      <c r="W3" s="705"/>
      <c r="X3" s="705"/>
      <c r="Y3" s="706"/>
    </row>
    <row r="4" spans="1:31" x14ac:dyDescent="0.2">
      <c r="A4" s="707"/>
      <c r="B4" s="708"/>
      <c r="C4" s="708"/>
      <c r="D4" s="708"/>
      <c r="E4" s="708"/>
      <c r="F4" s="708"/>
      <c r="G4" s="708"/>
      <c r="H4" s="708"/>
      <c r="I4" s="708"/>
      <c r="J4" s="708"/>
      <c r="K4" s="708"/>
      <c r="L4" s="708"/>
      <c r="M4" s="708"/>
      <c r="N4" s="708"/>
      <c r="O4" s="708"/>
      <c r="P4" s="708"/>
      <c r="Q4" s="708"/>
      <c r="R4" s="708"/>
      <c r="S4" s="708"/>
      <c r="T4" s="708"/>
      <c r="U4" s="708"/>
      <c r="V4" s="708"/>
      <c r="W4" s="708"/>
      <c r="X4" s="708"/>
      <c r="Y4" s="709"/>
    </row>
    <row r="5" spans="1:31" x14ac:dyDescent="0.2">
      <c r="A5" s="707"/>
      <c r="B5" s="708"/>
      <c r="C5" s="708"/>
      <c r="D5" s="708"/>
      <c r="E5" s="708"/>
      <c r="F5" s="708"/>
      <c r="G5" s="708"/>
      <c r="H5" s="708"/>
      <c r="I5" s="708"/>
      <c r="J5" s="708"/>
      <c r="K5" s="708"/>
      <c r="L5" s="708"/>
      <c r="M5" s="708"/>
      <c r="N5" s="708"/>
      <c r="O5" s="708"/>
      <c r="P5" s="708"/>
      <c r="Q5" s="708"/>
      <c r="R5" s="708"/>
      <c r="S5" s="708"/>
      <c r="T5" s="708"/>
      <c r="U5" s="708"/>
      <c r="V5" s="708"/>
      <c r="W5" s="708"/>
      <c r="X5" s="708"/>
      <c r="Y5" s="709"/>
    </row>
    <row r="6" spans="1:31" s="186"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25"/>
      <c r="AA6" s="223"/>
    </row>
    <row r="7" spans="1:31" ht="15.75" x14ac:dyDescent="0.25">
      <c r="A7" s="710"/>
      <c r="B7" s="711"/>
      <c r="C7" s="711"/>
      <c r="D7" s="711"/>
      <c r="E7" s="711"/>
      <c r="F7" s="711"/>
      <c r="G7" s="711"/>
      <c r="H7" s="711"/>
      <c r="I7" s="711"/>
      <c r="J7" s="711"/>
      <c r="K7" s="711"/>
      <c r="L7" s="711"/>
      <c r="M7" s="711"/>
      <c r="N7" s="711"/>
      <c r="O7" s="711"/>
      <c r="P7" s="711"/>
      <c r="Q7" s="711"/>
      <c r="R7" s="711"/>
      <c r="S7" s="711"/>
      <c r="T7" s="711"/>
      <c r="U7" s="711"/>
      <c r="V7" s="711"/>
      <c r="W7" s="711"/>
      <c r="X7" s="711"/>
      <c r="Y7" s="712"/>
    </row>
    <row r="8" spans="1:31" ht="15.75" thickBot="1" x14ac:dyDescent="0.25">
      <c r="A8" s="713"/>
      <c r="B8" s="714"/>
      <c r="C8" s="714"/>
      <c r="D8" s="714"/>
      <c r="E8" s="714"/>
      <c r="F8" s="714"/>
      <c r="G8" s="714"/>
      <c r="H8" s="714"/>
      <c r="I8" s="714"/>
      <c r="J8" s="714"/>
      <c r="K8" s="714"/>
      <c r="L8" s="714"/>
      <c r="M8" s="714"/>
      <c r="N8" s="714"/>
      <c r="O8" s="714"/>
      <c r="P8" s="714"/>
      <c r="Q8" s="714"/>
      <c r="R8" s="714"/>
      <c r="S8" s="714"/>
      <c r="T8" s="714"/>
      <c r="U8" s="714"/>
      <c r="V8" s="714"/>
      <c r="W8" s="714"/>
      <c r="X8" s="714"/>
      <c r="Y8" s="715"/>
      <c r="AB8" s="5" t="str">
        <f>VLOOKUP(F1,Datasheet1!B6:D332,2,FALSE)</f>
        <v>E0000</v>
      </c>
      <c r="AC8" s="5" t="str">
        <f>VLOOKUP(F1,Datasheet1!B6:D332,3,FALSE)</f>
        <v>England</v>
      </c>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53"/>
      <c r="B10" s="33"/>
      <c r="C10" s="33"/>
      <c r="D10" s="33"/>
      <c r="E10" s="716" t="s">
        <v>43</v>
      </c>
      <c r="F10" s="716"/>
      <c r="G10" s="716"/>
      <c r="H10" s="716"/>
      <c r="I10" s="716"/>
      <c r="J10" s="716"/>
      <c r="K10" s="33"/>
      <c r="L10" s="30"/>
      <c r="M10" s="30"/>
      <c r="N10" s="30"/>
      <c r="O10" s="30"/>
      <c r="P10" s="33"/>
      <c r="Q10" s="33"/>
      <c r="R10" s="33"/>
      <c r="S10" s="33"/>
      <c r="T10" s="33"/>
      <c r="U10" s="33"/>
      <c r="V10" s="33"/>
      <c r="W10" s="33"/>
      <c r="X10" s="33"/>
      <c r="Y10" s="34"/>
      <c r="AE10" s="219"/>
    </row>
    <row r="11" spans="1:31" ht="15.75" x14ac:dyDescent="0.25">
      <c r="A11" s="253"/>
      <c r="B11" s="33"/>
      <c r="C11" s="33"/>
      <c r="D11" s="33"/>
      <c r="E11" s="33"/>
      <c r="F11" s="30"/>
      <c r="G11" s="30"/>
      <c r="H11" s="30"/>
      <c r="I11" s="30"/>
      <c r="J11" s="30"/>
      <c r="K11" s="30"/>
      <c r="L11" s="30"/>
      <c r="M11" s="30"/>
      <c r="N11" s="30"/>
      <c r="O11" s="30"/>
      <c r="P11" s="33"/>
      <c r="Q11" s="33"/>
      <c r="R11" s="33"/>
      <c r="S11" s="33"/>
      <c r="T11" s="33"/>
      <c r="U11" s="33"/>
      <c r="V11" s="33"/>
      <c r="W11" s="33"/>
      <c r="X11" s="33"/>
      <c r="Y11" s="34"/>
      <c r="Z11" s="229"/>
      <c r="AE11" s="219"/>
    </row>
    <row r="12" spans="1:31" x14ac:dyDescent="0.2">
      <c r="A12" s="253"/>
      <c r="B12" s="33"/>
      <c r="C12" s="33"/>
      <c r="D12" s="33"/>
      <c r="E12" s="33"/>
      <c r="F12" s="31"/>
      <c r="G12" s="31"/>
      <c r="H12" s="31"/>
      <c r="I12" s="31"/>
      <c r="J12" s="31"/>
      <c r="K12" s="31"/>
      <c r="L12" s="31"/>
      <c r="M12" s="31"/>
      <c r="N12" s="31"/>
      <c r="O12" s="31"/>
      <c r="P12" s="33"/>
      <c r="Q12" s="33"/>
      <c r="R12" s="33"/>
      <c r="S12" s="33"/>
      <c r="T12" s="33"/>
      <c r="U12" s="33"/>
      <c r="V12" s="33"/>
      <c r="W12" s="33"/>
      <c r="X12" s="33"/>
      <c r="Y12" s="34"/>
      <c r="AE12" s="220"/>
    </row>
    <row r="13" spans="1:31" x14ac:dyDescent="0.2">
      <c r="A13" s="253"/>
      <c r="B13" s="33"/>
      <c r="C13" s="33"/>
      <c r="D13" s="33"/>
      <c r="E13" s="33"/>
      <c r="F13" s="31"/>
      <c r="G13" s="31"/>
      <c r="H13" s="31"/>
      <c r="I13" s="31"/>
      <c r="J13" s="31"/>
      <c r="K13" s="31"/>
      <c r="L13" s="31"/>
      <c r="M13" s="31"/>
      <c r="N13" s="31"/>
      <c r="O13" s="31"/>
      <c r="P13" s="33"/>
      <c r="Q13" s="33"/>
      <c r="R13" s="33"/>
      <c r="S13" s="33"/>
      <c r="T13" s="33"/>
      <c r="U13" s="33"/>
      <c r="V13" s="33"/>
      <c r="W13" s="33"/>
      <c r="X13" s="33"/>
      <c r="Y13" s="34"/>
      <c r="AE13" s="219"/>
    </row>
    <row r="14" spans="1:31" x14ac:dyDescent="0.2">
      <c r="A14" s="253"/>
      <c r="B14" s="33"/>
      <c r="C14" s="33"/>
      <c r="D14" s="33"/>
      <c r="E14" s="33"/>
      <c r="F14" s="31"/>
      <c r="G14" s="31"/>
      <c r="H14" s="31"/>
      <c r="I14" s="31"/>
      <c r="J14" s="31"/>
      <c r="K14" s="31"/>
      <c r="L14" s="31"/>
      <c r="M14" s="31"/>
      <c r="N14" s="31"/>
      <c r="O14" s="31"/>
      <c r="P14" s="33"/>
      <c r="Q14" s="33"/>
      <c r="R14" s="33"/>
      <c r="S14" s="33"/>
      <c r="T14" s="33"/>
      <c r="U14" s="33"/>
      <c r="V14" s="33"/>
      <c r="W14" s="33"/>
      <c r="X14" s="33"/>
      <c r="Y14" s="34"/>
      <c r="AE14" s="219"/>
    </row>
    <row r="15" spans="1:31" hidden="1" x14ac:dyDescent="0.2">
      <c r="A15" s="253"/>
      <c r="B15" s="33"/>
      <c r="C15" s="33"/>
      <c r="D15" s="33"/>
      <c r="E15" s="32"/>
      <c r="F15" s="31"/>
      <c r="G15" s="33"/>
      <c r="H15" s="31"/>
      <c r="I15" s="33"/>
      <c r="J15" s="31"/>
      <c r="K15" s="31"/>
      <c r="L15" s="717" t="str">
        <f>VLOOKUP(F1,Data!$A$8:$B$335,2,FALSE)</f>
        <v>England</v>
      </c>
      <c r="M15" s="717"/>
      <c r="N15" s="717"/>
      <c r="O15" s="717"/>
      <c r="P15" s="717"/>
      <c r="Q15" s="718"/>
      <c r="R15" s="33"/>
      <c r="S15" s="33"/>
      <c r="T15" s="33"/>
      <c r="U15" s="33"/>
      <c r="V15" s="33"/>
      <c r="W15" s="33"/>
      <c r="X15" s="33"/>
      <c r="Y15" s="34"/>
      <c r="AE15" s="219"/>
    </row>
    <row r="16" spans="1:31" hidden="1" x14ac:dyDescent="0.2">
      <c r="A16" s="253"/>
      <c r="B16" s="33"/>
      <c r="C16" s="33"/>
      <c r="D16" s="33"/>
      <c r="E16" s="32"/>
      <c r="F16" s="31"/>
      <c r="G16" s="33"/>
      <c r="H16" s="31"/>
      <c r="I16" s="33"/>
      <c r="J16" s="31"/>
      <c r="K16" s="31"/>
      <c r="L16" s="717" t="str">
        <f>VLOOKUP(F1,datar,3,FALSE)</f>
        <v>E0000</v>
      </c>
      <c r="M16" s="719"/>
      <c r="N16" s="719"/>
      <c r="O16" s="719"/>
      <c r="P16" s="719"/>
      <c r="Q16" s="720"/>
      <c r="R16" s="33"/>
      <c r="S16" s="33"/>
      <c r="T16" s="33"/>
      <c r="U16" s="33"/>
      <c r="V16" s="33"/>
      <c r="W16" s="33"/>
      <c r="X16" s="33"/>
      <c r="Y16" s="34"/>
      <c r="AE16" s="220"/>
    </row>
    <row r="17" spans="1:34" ht="15.75" thickBot="1" x14ac:dyDescent="0.25">
      <c r="A17" s="35"/>
      <c r="B17" s="36"/>
      <c r="C17" s="36"/>
      <c r="D17" s="36"/>
      <c r="E17" s="36"/>
      <c r="F17" s="36"/>
      <c r="G17" s="36"/>
      <c r="H17" s="36"/>
      <c r="I17" s="36"/>
      <c r="J17" s="36"/>
      <c r="K17" s="36"/>
      <c r="L17" s="36"/>
      <c r="M17" s="36"/>
      <c r="N17" s="36"/>
      <c r="O17" s="36"/>
      <c r="P17" s="36"/>
      <c r="Q17" s="36"/>
      <c r="R17" s="36"/>
      <c r="S17" s="36"/>
      <c r="T17" s="36"/>
      <c r="U17" s="36"/>
      <c r="V17" s="36"/>
      <c r="W17" s="410"/>
      <c r="X17" s="412"/>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726" t="s">
        <v>40</v>
      </c>
      <c r="D19" s="726"/>
      <c r="E19" s="726"/>
      <c r="F19" s="726"/>
      <c r="G19" s="726"/>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5"/>
      <c r="D20" s="125"/>
      <c r="E20" s="125"/>
      <c r="F20" s="125"/>
      <c r="G20" s="125"/>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47</v>
      </c>
      <c r="D21" s="61"/>
      <c r="E21" s="61"/>
      <c r="F21" s="61"/>
      <c r="G21" s="61"/>
      <c r="H21" s="61"/>
      <c r="I21" s="61"/>
      <c r="J21" s="6"/>
      <c r="K21" s="727" t="s">
        <v>20</v>
      </c>
      <c r="L21" s="727"/>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723" t="s">
        <v>878</v>
      </c>
      <c r="D22" s="724"/>
      <c r="E22" s="724"/>
      <c r="F22" s="724"/>
      <c r="G22" s="724"/>
      <c r="H22" s="724"/>
      <c r="I22" s="724"/>
      <c r="J22" s="6"/>
      <c r="K22" s="721">
        <f>VLOOKUP($L$16,Datasheet1!$C$6:$T$332,3,FALSE)</f>
        <v>25187509376.329998</v>
      </c>
      <c r="L22" s="722"/>
      <c r="M22" s="52"/>
      <c r="N22" s="52"/>
      <c r="O22" s="6"/>
      <c r="P22" s="53"/>
      <c r="Q22" s="53"/>
      <c r="R22" s="54"/>
      <c r="S22" s="52"/>
      <c r="T22" s="52"/>
      <c r="U22" s="52"/>
      <c r="V22" s="52"/>
      <c r="W22" s="52"/>
      <c r="X22" s="52"/>
      <c r="Y22" s="8"/>
      <c r="AB22" s="178"/>
      <c r="AC22" s="83"/>
      <c r="AD22" s="83"/>
      <c r="AE22" s="24"/>
      <c r="AF22" s="24"/>
    </row>
    <row r="23" spans="1:34" ht="15.75" x14ac:dyDescent="0.2">
      <c r="A23" s="7"/>
      <c r="B23" s="6"/>
      <c r="C23" s="723"/>
      <c r="D23" s="724"/>
      <c r="E23" s="724"/>
      <c r="F23" s="724"/>
      <c r="G23" s="724"/>
      <c r="H23" s="724"/>
      <c r="I23" s="724"/>
      <c r="J23" s="52"/>
      <c r="K23" s="52"/>
      <c r="L23" s="52"/>
      <c r="M23" s="52"/>
      <c r="N23" s="52"/>
      <c r="O23" s="6"/>
      <c r="P23" s="53"/>
      <c r="Q23" s="53"/>
      <c r="R23" s="54"/>
      <c r="S23" s="52"/>
      <c r="T23" s="52"/>
      <c r="U23" s="52"/>
      <c r="V23" s="52"/>
      <c r="W23" s="52"/>
      <c r="X23" s="52"/>
      <c r="Y23" s="8"/>
      <c r="Z23" s="226"/>
      <c r="AB23" s="178"/>
      <c r="AC23" s="82"/>
      <c r="AD23" s="83"/>
      <c r="AE23" s="85"/>
      <c r="AF23" s="24"/>
    </row>
    <row r="24" spans="1:34" x14ac:dyDescent="0.2">
      <c r="A24" s="7"/>
      <c r="B24" s="6"/>
      <c r="C24" s="724"/>
      <c r="D24" s="724"/>
      <c r="E24" s="724"/>
      <c r="F24" s="724"/>
      <c r="G24" s="724"/>
      <c r="H24" s="724"/>
      <c r="I24" s="724"/>
      <c r="J24" s="6"/>
      <c r="K24" s="52"/>
      <c r="L24" s="52"/>
      <c r="M24" s="52"/>
      <c r="N24" s="52"/>
      <c r="O24" s="6"/>
      <c r="P24" s="53"/>
      <c r="Q24" s="53"/>
      <c r="R24" s="53"/>
      <c r="S24" s="52"/>
      <c r="T24" s="52"/>
      <c r="U24" s="52"/>
      <c r="V24" s="52"/>
      <c r="W24" s="52"/>
      <c r="X24" s="52"/>
      <c r="Y24" s="8"/>
      <c r="AC24" s="82"/>
      <c r="AD24" s="24"/>
      <c r="AE24" s="85"/>
      <c r="AF24" s="24"/>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4"/>
      <c r="AE25" s="85"/>
      <c r="AF25" s="24"/>
    </row>
    <row r="26" spans="1:34" ht="16.5" thickBot="1" x14ac:dyDescent="0.25">
      <c r="A26" s="7"/>
      <c r="B26" s="6"/>
      <c r="C26" s="725" t="s">
        <v>15</v>
      </c>
      <c r="D26" s="725"/>
      <c r="E26" s="725"/>
      <c r="F26" s="725"/>
      <c r="G26" s="725"/>
      <c r="H26" s="725"/>
      <c r="I26" s="725"/>
      <c r="J26" s="6"/>
      <c r="K26" s="52"/>
      <c r="L26" s="52"/>
      <c r="M26" s="52"/>
      <c r="N26" s="52"/>
      <c r="O26" s="6"/>
      <c r="P26" s="53"/>
      <c r="Q26" s="53"/>
      <c r="R26" s="53"/>
      <c r="S26" s="52"/>
      <c r="T26" s="52"/>
      <c r="U26" s="52"/>
      <c r="V26" s="52"/>
      <c r="W26" s="52"/>
      <c r="X26" s="52"/>
      <c r="Y26" s="8"/>
      <c r="AC26" s="82"/>
      <c r="AD26" s="24"/>
      <c r="AE26" s="85"/>
      <c r="AF26" s="24"/>
    </row>
    <row r="27" spans="1:34" ht="16.5" thickBot="1" x14ac:dyDescent="0.25">
      <c r="A27" s="7"/>
      <c r="B27" s="6"/>
      <c r="C27" s="61" t="s">
        <v>879</v>
      </c>
      <c r="D27" s="61"/>
      <c r="E27" s="61"/>
      <c r="F27" s="61"/>
      <c r="G27" s="61"/>
      <c r="H27" s="61"/>
      <c r="I27" s="61"/>
      <c r="J27" s="6"/>
      <c r="K27" s="721">
        <f>VLOOKUP($L$16,Datasheet1!$C$6:$T$332,4,FALSE)</f>
        <v>305102100</v>
      </c>
      <c r="L27" s="722"/>
      <c r="M27" s="52"/>
      <c r="N27" s="52"/>
      <c r="O27" s="6"/>
      <c r="P27" s="53"/>
      <c r="Q27" s="53"/>
      <c r="R27" s="53"/>
      <c r="S27" s="52"/>
      <c r="T27" s="52"/>
      <c r="U27" s="52"/>
      <c r="V27" s="52"/>
      <c r="W27" s="52"/>
      <c r="X27" s="52"/>
      <c r="Y27" s="8"/>
      <c r="AC27" s="82"/>
      <c r="AD27" s="24"/>
      <c r="AE27" s="24"/>
      <c r="AF27" s="24"/>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880</v>
      </c>
      <c r="D29" s="61"/>
      <c r="E29" s="61"/>
      <c r="F29" s="61"/>
      <c r="G29" s="61"/>
      <c r="H29" s="61"/>
      <c r="I29" s="61"/>
      <c r="J29" s="6"/>
      <c r="K29" s="721">
        <f>VLOOKUP($L$16,Datasheet1!$C$6:$T$332,5,FALSE)</f>
        <v>300559002</v>
      </c>
      <c r="L29" s="722"/>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48</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30</v>
      </c>
      <c r="D32" s="61"/>
      <c r="E32" s="61"/>
      <c r="F32" s="61"/>
      <c r="G32" s="61"/>
      <c r="H32" s="61"/>
      <c r="I32" s="61"/>
      <c r="J32" s="6"/>
      <c r="K32" s="721">
        <f>VLOOKUP($L$16,Datasheet1!$C$6:$T$332,6,FALSE)</f>
        <v>84000002</v>
      </c>
      <c r="L32" s="722"/>
      <c r="M32" s="52"/>
      <c r="N32" s="52"/>
      <c r="O32" s="62"/>
      <c r="P32" s="53"/>
      <c r="Q32" s="53"/>
      <c r="R32" s="53"/>
      <c r="S32" s="52"/>
      <c r="T32" s="52"/>
      <c r="U32" s="52"/>
      <c r="V32" s="52"/>
      <c r="W32" s="52"/>
      <c r="X32" s="52"/>
      <c r="Y32" s="8"/>
      <c r="Z32" s="229"/>
      <c r="AA32" s="228"/>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79" t="s">
        <v>950</v>
      </c>
    </row>
    <row r="34" spans="1:33" ht="16.5" thickBot="1" x14ac:dyDescent="0.25">
      <c r="A34" s="7"/>
      <c r="B34" s="6"/>
      <c r="C34" s="61" t="s">
        <v>881</v>
      </c>
      <c r="D34" s="61"/>
      <c r="E34" s="61"/>
      <c r="F34" s="61"/>
      <c r="G34" s="61"/>
      <c r="H34" s="61"/>
      <c r="I34" s="61"/>
      <c r="J34" s="6"/>
      <c r="K34" s="721">
        <f>VLOOKUP($L$16,Datasheet1!$C$6:$T$332,7,FALSE)</f>
        <v>12716</v>
      </c>
      <c r="L34" s="722"/>
      <c r="M34" s="52"/>
      <c r="N34" s="52"/>
      <c r="O34" s="55"/>
      <c r="P34" s="53"/>
      <c r="Q34" s="53"/>
      <c r="R34" s="53"/>
      <c r="S34" s="52"/>
      <c r="T34" s="52"/>
      <c r="U34" s="52"/>
      <c r="V34" s="52"/>
      <c r="W34" s="52"/>
      <c r="X34" s="52"/>
      <c r="Y34" s="8"/>
      <c r="AA34" s="403">
        <f>ROUND(K34,0)</f>
        <v>12716</v>
      </c>
      <c r="AB34" s="223"/>
      <c r="AC34" s="404">
        <f>K34</f>
        <v>12716</v>
      </c>
      <c r="AD34" s="186"/>
      <c r="AE34" s="404">
        <f>AC34-AA34</f>
        <v>0</v>
      </c>
      <c r="AF34" s="186"/>
      <c r="AG34" s="186"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223"/>
      <c r="AB35" s="186"/>
      <c r="AC35" s="186"/>
      <c r="AD35" s="186"/>
      <c r="AE35" s="186"/>
      <c r="AF35" s="186"/>
      <c r="AG35" s="186"/>
    </row>
    <row r="36" spans="1:33" ht="16.5" thickBot="1" x14ac:dyDescent="0.25">
      <c r="A36" s="7"/>
      <c r="B36" s="6"/>
      <c r="C36" s="61" t="s">
        <v>882</v>
      </c>
      <c r="D36" s="61"/>
      <c r="E36" s="61"/>
      <c r="F36" s="61"/>
      <c r="G36" s="61"/>
      <c r="H36" s="61"/>
      <c r="I36" s="61"/>
      <c r="J36" s="6"/>
      <c r="K36" s="721">
        <f>VLOOKUP($L$16,Datasheet1!$C$6:$T$332,8,FALSE)</f>
        <v>84012718</v>
      </c>
      <c r="L36" s="722"/>
      <c r="M36" s="52"/>
      <c r="N36" s="52"/>
      <c r="O36" s="55"/>
      <c r="P36" s="53"/>
      <c r="Q36" s="53"/>
      <c r="R36" s="53"/>
      <c r="S36" s="52"/>
      <c r="T36" s="52"/>
      <c r="U36" s="52"/>
      <c r="V36" s="52"/>
      <c r="W36" s="52"/>
      <c r="X36" s="52"/>
      <c r="Y36" s="8"/>
      <c r="AA36" s="223"/>
      <c r="AB36" s="186"/>
      <c r="AC36" s="186"/>
      <c r="AD36" s="186"/>
      <c r="AE36" s="186"/>
      <c r="AF36" s="186"/>
      <c r="AG36" s="186"/>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223"/>
      <c r="AB37" s="186"/>
      <c r="AC37" s="186"/>
      <c r="AD37" s="186"/>
      <c r="AE37" s="186"/>
      <c r="AF37" s="186"/>
      <c r="AG37" s="186"/>
    </row>
    <row r="38" spans="1:33" ht="16.5" thickBot="1" x14ac:dyDescent="0.25">
      <c r="A38" s="7"/>
      <c r="B38" s="6"/>
      <c r="C38" s="96" t="s">
        <v>31</v>
      </c>
      <c r="D38" s="61"/>
      <c r="E38" s="61"/>
      <c r="F38" s="61"/>
      <c r="G38" s="61"/>
      <c r="H38" s="61"/>
      <c r="I38" s="61"/>
      <c r="J38" s="6"/>
      <c r="K38" s="63"/>
      <c r="L38" s="52"/>
      <c r="M38" s="52"/>
      <c r="N38" s="52"/>
      <c r="O38" s="55"/>
      <c r="P38" s="53"/>
      <c r="Q38" s="53"/>
      <c r="R38" s="53"/>
      <c r="S38" s="52"/>
      <c r="T38" s="52"/>
      <c r="U38" s="52"/>
      <c r="V38" s="52"/>
      <c r="W38" s="52"/>
      <c r="X38" s="52"/>
      <c r="Y38" s="8"/>
      <c r="AA38" s="223"/>
      <c r="AB38" s="186"/>
      <c r="AC38" s="186"/>
      <c r="AD38" s="186"/>
      <c r="AE38" s="186"/>
      <c r="AF38" s="186"/>
      <c r="AG38" s="186"/>
    </row>
    <row r="39" spans="1:33" ht="16.5" thickBot="1" x14ac:dyDescent="0.3">
      <c r="A39" s="7"/>
      <c r="B39" s="6"/>
      <c r="C39" s="61" t="s">
        <v>1041</v>
      </c>
      <c r="D39" s="61"/>
      <c r="E39" s="61"/>
      <c r="F39" s="61"/>
      <c r="G39" s="61"/>
      <c r="H39" s="61"/>
      <c r="I39" s="61"/>
      <c r="J39" s="6"/>
      <c r="K39" s="721">
        <f>VLOOKUP($L$16,Datasheet1!$C$6:$T$332,9,FALSE)</f>
        <v>11605000</v>
      </c>
      <c r="L39" s="722"/>
      <c r="M39" s="52"/>
      <c r="N39" s="52"/>
      <c r="O39" s="55"/>
      <c r="P39" s="53"/>
      <c r="Q39" s="53"/>
      <c r="R39" s="53"/>
      <c r="S39" s="52"/>
      <c r="T39" s="52"/>
      <c r="U39" s="52"/>
      <c r="V39" s="52"/>
      <c r="W39" s="52"/>
      <c r="X39" s="52"/>
      <c r="Y39" s="8"/>
      <c r="Z39" s="229"/>
      <c r="AA39" s="228"/>
      <c r="AB39" s="186"/>
      <c r="AC39" s="186"/>
      <c r="AD39" s="186"/>
      <c r="AE39" s="186"/>
      <c r="AF39" s="186"/>
      <c r="AG39" s="186"/>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223"/>
      <c r="AB40" s="186"/>
      <c r="AC40" s="186"/>
      <c r="AD40" s="186"/>
      <c r="AE40" s="186"/>
      <c r="AF40" s="186"/>
      <c r="AG40" s="186"/>
    </row>
    <row r="41" spans="1:33" ht="16.5" thickBot="1" x14ac:dyDescent="0.25">
      <c r="A41" s="7"/>
      <c r="B41" s="6"/>
      <c r="C41" s="96" t="s">
        <v>38</v>
      </c>
      <c r="D41" s="61"/>
      <c r="E41" s="61"/>
      <c r="F41" s="61"/>
      <c r="G41" s="61"/>
      <c r="H41" s="61"/>
      <c r="I41" s="61"/>
      <c r="J41" s="6"/>
      <c r="K41" s="52"/>
      <c r="L41" s="52"/>
      <c r="M41" s="52"/>
      <c r="N41" s="52"/>
      <c r="O41" s="55"/>
      <c r="P41" s="53"/>
      <c r="Q41" s="53"/>
      <c r="R41" s="53"/>
      <c r="S41" s="52"/>
      <c r="T41" s="52"/>
      <c r="U41" s="52"/>
      <c r="V41" s="52"/>
      <c r="W41" s="52"/>
      <c r="X41" s="52"/>
      <c r="Y41" s="8"/>
      <c r="AA41" s="223"/>
      <c r="AB41" s="186"/>
      <c r="AC41" s="186"/>
      <c r="AD41" s="186"/>
      <c r="AE41" s="186"/>
      <c r="AF41" s="186"/>
      <c r="AG41" s="186"/>
    </row>
    <row r="42" spans="1:33" ht="16.5" thickBot="1" x14ac:dyDescent="0.25">
      <c r="A42" s="7"/>
      <c r="B42" s="6"/>
      <c r="C42" s="61" t="s">
        <v>883</v>
      </c>
      <c r="D42" s="61"/>
      <c r="E42" s="61"/>
      <c r="F42" s="61"/>
      <c r="G42" s="61"/>
      <c r="H42" s="61"/>
      <c r="I42" s="61"/>
      <c r="J42" s="6"/>
      <c r="K42" s="721">
        <f>VLOOKUP($L$16,Datasheet1!$C$6:$T$332,10,FALSE)</f>
        <v>52398872</v>
      </c>
      <c r="L42" s="722"/>
      <c r="M42" s="52"/>
      <c r="N42" s="52"/>
      <c r="O42" s="55"/>
      <c r="P42" s="53"/>
      <c r="Q42" s="53"/>
      <c r="R42" s="53"/>
      <c r="S42" s="52"/>
      <c r="T42" s="52"/>
      <c r="U42" s="52"/>
      <c r="V42" s="52"/>
      <c r="W42" s="52"/>
      <c r="X42" s="52"/>
      <c r="Y42" s="8"/>
      <c r="AA42" s="223"/>
      <c r="AB42" s="186"/>
      <c r="AC42" s="186"/>
      <c r="AD42" s="186"/>
      <c r="AE42" s="186"/>
      <c r="AF42" s="186"/>
      <c r="AG42" s="186"/>
    </row>
    <row r="43" spans="1:33" ht="15.75" thickBot="1" x14ac:dyDescent="0.25">
      <c r="A43" s="7"/>
      <c r="B43" s="6"/>
      <c r="C43" s="61"/>
      <c r="D43" s="61"/>
      <c r="E43" s="61"/>
      <c r="F43" s="61"/>
      <c r="G43" s="61"/>
      <c r="H43" s="61"/>
      <c r="I43" s="61"/>
      <c r="J43" s="6"/>
      <c r="K43" s="52"/>
      <c r="L43" s="52"/>
      <c r="M43" s="52"/>
      <c r="N43" s="52"/>
      <c r="O43" s="55"/>
      <c r="P43" s="53"/>
      <c r="Q43" s="728"/>
      <c r="R43" s="728"/>
      <c r="S43" s="728"/>
      <c r="T43" s="728"/>
      <c r="U43" s="728"/>
      <c r="V43" s="728"/>
      <c r="W43" s="728"/>
      <c r="X43" s="52"/>
      <c r="Y43" s="8"/>
      <c r="AA43" s="223"/>
      <c r="AB43" s="186"/>
      <c r="AC43" s="186"/>
      <c r="AD43" s="186"/>
      <c r="AE43" s="186"/>
      <c r="AF43" s="186"/>
      <c r="AG43" s="186"/>
    </row>
    <row r="44" spans="1:33" ht="16.5" thickBot="1" x14ac:dyDescent="0.25">
      <c r="A44" s="7"/>
      <c r="B44" s="6"/>
      <c r="C44" s="723" t="s">
        <v>884</v>
      </c>
      <c r="D44" s="723"/>
      <c r="E44" s="723"/>
      <c r="F44" s="723"/>
      <c r="G44" s="723"/>
      <c r="H44" s="723"/>
      <c r="I44" s="723"/>
      <c r="J44" s="6"/>
      <c r="K44" s="721">
        <f>VLOOKUP($L$16,Datasheet1!$C$6:$T$332,11,FALSE)</f>
        <v>64833892.739999995</v>
      </c>
      <c r="L44" s="722"/>
      <c r="M44" s="52"/>
      <c r="N44" s="52"/>
      <c r="O44" s="55"/>
      <c r="P44" s="53"/>
      <c r="Q44" s="53"/>
      <c r="R44" s="53"/>
      <c r="S44" s="52"/>
      <c r="T44" s="52"/>
      <c r="U44" s="52"/>
      <c r="V44" s="52"/>
      <c r="W44" s="52"/>
      <c r="X44" s="52"/>
      <c r="Y44" s="8"/>
      <c r="AA44" s="223"/>
      <c r="AB44" s="186"/>
      <c r="AC44" s="186"/>
      <c r="AD44" s="186"/>
      <c r="AE44" s="186"/>
      <c r="AF44" s="186"/>
      <c r="AG44" s="186"/>
    </row>
    <row r="45" spans="1:33" x14ac:dyDescent="0.2">
      <c r="A45" s="7"/>
      <c r="B45" s="6"/>
      <c r="C45" s="723"/>
      <c r="D45" s="723"/>
      <c r="E45" s="723"/>
      <c r="F45" s="723"/>
      <c r="G45" s="723"/>
      <c r="H45" s="723"/>
      <c r="I45" s="723"/>
      <c r="J45" s="6"/>
      <c r="K45" s="52"/>
      <c r="L45" s="52"/>
      <c r="M45" s="52"/>
      <c r="N45" s="52"/>
      <c r="O45" s="55"/>
      <c r="P45" s="53"/>
      <c r="Q45" s="53"/>
      <c r="R45" s="53"/>
      <c r="S45" s="52"/>
      <c r="T45" s="52"/>
      <c r="U45" s="52"/>
      <c r="V45" s="52"/>
      <c r="W45" s="52"/>
      <c r="X45" s="52"/>
      <c r="Y45" s="8"/>
      <c r="AA45" s="223"/>
      <c r="AB45" s="186"/>
      <c r="AC45" s="186"/>
      <c r="AD45" s="186"/>
      <c r="AE45" s="186"/>
      <c r="AF45" s="186"/>
      <c r="AG45" s="186"/>
    </row>
    <row r="46" spans="1:33" x14ac:dyDescent="0.2">
      <c r="A46" s="7"/>
      <c r="B46" s="6"/>
      <c r="C46" s="127"/>
      <c r="D46" s="127"/>
      <c r="E46" s="127"/>
      <c r="F46" s="127"/>
      <c r="G46" s="127"/>
      <c r="H46" s="127"/>
      <c r="I46" s="127"/>
      <c r="J46" s="6"/>
      <c r="K46" s="52"/>
      <c r="L46" s="52"/>
      <c r="M46" s="52"/>
      <c r="N46" s="52"/>
      <c r="O46" s="55"/>
      <c r="P46" s="53"/>
      <c r="Q46" s="53"/>
      <c r="R46" s="53"/>
      <c r="S46" s="52"/>
      <c r="T46" s="52"/>
      <c r="U46" s="52"/>
      <c r="V46" s="52"/>
      <c r="W46" s="52"/>
      <c r="X46" s="52"/>
      <c r="Y46" s="8"/>
      <c r="AA46" s="223"/>
      <c r="AB46" s="186"/>
      <c r="AC46" s="186"/>
      <c r="AD46" s="186"/>
      <c r="AE46" s="186"/>
      <c r="AF46" s="186"/>
      <c r="AG46" s="186"/>
    </row>
    <row r="47" spans="1:33" ht="15.75" thickBot="1" x14ac:dyDescent="0.25">
      <c r="A47" s="7"/>
      <c r="B47" s="6"/>
      <c r="C47" s="61" t="s">
        <v>42</v>
      </c>
      <c r="D47" s="61"/>
      <c r="E47" s="61"/>
      <c r="F47" s="61"/>
      <c r="G47" s="61"/>
      <c r="H47" s="61"/>
      <c r="I47" s="61"/>
      <c r="J47" s="6"/>
      <c r="K47" s="52"/>
      <c r="L47" s="52"/>
      <c r="M47" s="52"/>
      <c r="N47" s="52"/>
      <c r="O47" s="55"/>
      <c r="P47" s="53"/>
      <c r="Q47" s="53"/>
      <c r="R47" s="53"/>
      <c r="S47" s="52"/>
      <c r="T47" s="52"/>
      <c r="U47" s="52"/>
      <c r="V47" s="52"/>
      <c r="W47" s="52"/>
      <c r="X47" s="52"/>
      <c r="Y47" s="8"/>
      <c r="AA47" s="223"/>
      <c r="AB47" s="186"/>
      <c r="AC47" s="186"/>
      <c r="AD47" s="186"/>
      <c r="AE47" s="186"/>
      <c r="AF47" s="186"/>
      <c r="AG47" s="186"/>
    </row>
    <row r="48" spans="1:33" ht="16.5" thickBot="1" x14ac:dyDescent="0.25">
      <c r="A48" s="7"/>
      <c r="B48" s="6"/>
      <c r="C48" s="61" t="s">
        <v>65</v>
      </c>
      <c r="D48" s="61"/>
      <c r="E48" s="61"/>
      <c r="F48" s="61"/>
      <c r="G48" s="61"/>
      <c r="H48" s="61"/>
      <c r="I48" s="61"/>
      <c r="J48" s="6"/>
      <c r="K48" s="721">
        <f>VLOOKUP($L$16,Datasheet1!$C$6:$T$332,12,FALSE)</f>
        <v>61765120</v>
      </c>
      <c r="L48" s="722"/>
      <c r="M48" s="52"/>
      <c r="N48" s="52"/>
      <c r="O48" s="55"/>
      <c r="P48" s="53"/>
      <c r="Q48" s="53"/>
      <c r="R48" s="53"/>
      <c r="S48" s="52"/>
      <c r="T48" s="52"/>
      <c r="U48" s="52"/>
      <c r="V48" s="52"/>
      <c r="W48" s="52"/>
      <c r="X48" s="52"/>
      <c r="Y48" s="8"/>
      <c r="AA48" s="403">
        <f>ROUND(K48,0)</f>
        <v>61765120</v>
      </c>
      <c r="AB48" s="223"/>
      <c r="AC48" s="404">
        <f>K48</f>
        <v>61765120</v>
      </c>
      <c r="AD48" s="186"/>
      <c r="AE48" s="404">
        <f>AC48-AA48</f>
        <v>0</v>
      </c>
      <c r="AF48" s="186"/>
      <c r="AG48" s="186"/>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66</v>
      </c>
      <c r="D50" s="61"/>
      <c r="E50" s="61"/>
      <c r="F50" s="61"/>
      <c r="G50" s="61"/>
      <c r="H50" s="61"/>
      <c r="I50" s="61"/>
      <c r="J50" s="6"/>
      <c r="K50" s="721">
        <f>VLOOKUP($L$16,Datasheet1!$C$6:$T$332,13,FALSE)</f>
        <v>3068772.74</v>
      </c>
      <c r="L50" s="722"/>
      <c r="M50" s="52"/>
      <c r="N50" s="52"/>
      <c r="O50" s="55"/>
      <c r="P50" s="53"/>
      <c r="Q50" s="53"/>
      <c r="R50" s="53"/>
      <c r="S50" s="52"/>
      <c r="T50" s="52"/>
      <c r="U50" s="52"/>
      <c r="V50" s="52"/>
      <c r="W50" s="52"/>
      <c r="X50" s="52"/>
      <c r="Y50" s="8"/>
    </row>
    <row r="51" spans="1:27" ht="16.5" thickBot="1" x14ac:dyDescent="0.25">
      <c r="A51" s="7"/>
      <c r="B51" s="6"/>
      <c r="C51" s="61"/>
      <c r="D51" s="61"/>
      <c r="E51" s="61"/>
      <c r="F51" s="61"/>
      <c r="G51" s="61"/>
      <c r="H51" s="61"/>
      <c r="I51" s="61"/>
      <c r="J51" s="6"/>
      <c r="K51" s="729"/>
      <c r="L51" s="730"/>
      <c r="M51" s="730"/>
      <c r="N51" s="730"/>
      <c r="O51" s="730"/>
      <c r="P51" s="730"/>
      <c r="Q51" s="730"/>
      <c r="R51" s="730"/>
      <c r="S51" s="730"/>
      <c r="T51" s="730"/>
      <c r="U51" s="730"/>
      <c r="V51" s="730"/>
      <c r="W51" s="730"/>
      <c r="X51" s="52"/>
      <c r="Y51" s="8"/>
    </row>
    <row r="52" spans="1:27" ht="16.5" thickBot="1" x14ac:dyDescent="0.25">
      <c r="A52" s="7"/>
      <c r="B52" s="6"/>
      <c r="C52" s="61" t="s">
        <v>1529</v>
      </c>
      <c r="D52" s="61"/>
      <c r="E52" s="61"/>
      <c r="F52" s="61"/>
      <c r="G52" s="61"/>
      <c r="H52" s="61"/>
      <c r="I52" s="61"/>
      <c r="J52" s="6"/>
      <c r="K52" s="734">
        <f>VLOOKUP($L$16,Datasheet1!$C$6:$T$332,14,FALSE)</f>
        <v>25390</v>
      </c>
      <c r="L52" s="735"/>
      <c r="M52" s="617"/>
      <c r="N52" s="617"/>
      <c r="O52" s="617"/>
      <c r="P52" s="617"/>
      <c r="Q52" s="617"/>
      <c r="R52" s="617"/>
      <c r="S52" s="617"/>
      <c r="T52" s="617"/>
      <c r="U52" s="617"/>
      <c r="V52" s="617"/>
      <c r="W52" s="617"/>
      <c r="X52" s="52"/>
      <c r="Y52" s="8"/>
    </row>
    <row r="53" spans="1:27" ht="15.75" x14ac:dyDescent="0.2">
      <c r="A53" s="7"/>
      <c r="B53" s="6"/>
      <c r="C53" s="61"/>
      <c r="D53" s="61"/>
      <c r="E53" s="61"/>
      <c r="F53" s="61"/>
      <c r="G53" s="61"/>
      <c r="H53" s="61"/>
      <c r="I53" s="61"/>
      <c r="J53" s="6"/>
      <c r="K53" s="616"/>
      <c r="L53" s="617"/>
      <c r="M53" s="617"/>
      <c r="N53" s="617"/>
      <c r="O53" s="617"/>
      <c r="P53" s="617"/>
      <c r="Q53" s="617"/>
      <c r="R53" s="617"/>
      <c r="S53" s="617"/>
      <c r="T53" s="617"/>
      <c r="U53" s="617"/>
      <c r="V53" s="617"/>
      <c r="W53" s="617"/>
      <c r="X53" s="52"/>
      <c r="Y53" s="8"/>
    </row>
    <row r="54" spans="1:27" ht="16.5" thickBot="1" x14ac:dyDescent="0.25">
      <c r="A54" s="7"/>
      <c r="B54" s="6"/>
      <c r="C54" s="96" t="s">
        <v>37</v>
      </c>
      <c r="D54" s="96"/>
      <c r="E54" s="96"/>
      <c r="F54" s="96"/>
      <c r="G54" s="96"/>
      <c r="H54" s="61"/>
      <c r="I54" s="61"/>
      <c r="J54" s="6"/>
      <c r="K54" s="52"/>
      <c r="L54" s="52"/>
      <c r="M54" s="52"/>
      <c r="N54" s="52"/>
      <c r="O54" s="55"/>
      <c r="P54" s="53"/>
      <c r="Q54" s="53"/>
      <c r="R54" s="53"/>
      <c r="S54" s="52"/>
      <c r="T54" s="52"/>
      <c r="U54" s="52"/>
      <c r="V54" s="52"/>
      <c r="W54" s="52"/>
      <c r="X54" s="52"/>
      <c r="Y54" s="8"/>
    </row>
    <row r="55" spans="1:27" ht="16.5" thickBot="1" x14ac:dyDescent="0.25">
      <c r="A55" s="7"/>
      <c r="B55" s="6"/>
      <c r="C55" s="61" t="s">
        <v>1528</v>
      </c>
      <c r="D55" s="61"/>
      <c r="E55" s="61"/>
      <c r="F55" s="61"/>
      <c r="G55" s="61"/>
      <c r="H55" s="61"/>
      <c r="I55" s="61"/>
      <c r="J55" s="6"/>
      <c r="K55" s="721">
        <f>VLOOKUP($L$16,Datasheet1!$C$6:$T$332,15,FALSE)</f>
        <v>24979176601.59</v>
      </c>
      <c r="L55" s="722"/>
      <c r="M55" s="52"/>
      <c r="N55" s="732"/>
      <c r="O55" s="733"/>
      <c r="P55" s="731"/>
      <c r="Q55" s="731"/>
      <c r="R55" s="731"/>
      <c r="S55" s="62"/>
      <c r="T55" s="56"/>
      <c r="U55" s="56"/>
      <c r="V55" s="56"/>
      <c r="W55" s="56"/>
      <c r="X55" s="52"/>
      <c r="Y55" s="8"/>
    </row>
    <row r="56" spans="1:27" ht="15.75" thickBot="1" x14ac:dyDescent="0.25">
      <c r="A56" s="98"/>
      <c r="B56" s="97"/>
      <c r="C56" s="97"/>
      <c r="D56" s="97"/>
      <c r="E56" s="97"/>
      <c r="F56" s="97"/>
      <c r="G56" s="97"/>
      <c r="H56" s="97"/>
      <c r="I56" s="97"/>
      <c r="J56" s="97"/>
      <c r="K56" s="97"/>
      <c r="L56" s="97"/>
      <c r="M56" s="97"/>
      <c r="N56" s="97"/>
      <c r="O56" s="97"/>
      <c r="P56" s="97"/>
      <c r="Q56" s="97"/>
      <c r="R56" s="97"/>
      <c r="S56" s="97"/>
      <c r="T56" s="97"/>
      <c r="U56" s="97"/>
      <c r="V56" s="97"/>
      <c r="W56" s="97"/>
      <c r="X56" s="97"/>
      <c r="Y56" s="99"/>
    </row>
    <row r="57" spans="1:27" s="394" customFormat="1" ht="15.75" x14ac:dyDescent="0.25">
      <c r="A57" s="395"/>
      <c r="C57" s="396"/>
      <c r="D57" s="396"/>
      <c r="E57" s="396"/>
      <c r="F57" s="396"/>
      <c r="G57" s="396"/>
      <c r="H57" s="396"/>
      <c r="I57" s="396"/>
      <c r="J57" s="396"/>
      <c r="K57" s="396"/>
      <c r="L57" s="396"/>
      <c r="M57" s="396"/>
      <c r="N57" s="396"/>
      <c r="O57" s="396"/>
      <c r="P57" s="396"/>
      <c r="Q57" s="396"/>
      <c r="R57" s="396"/>
      <c r="S57" s="396"/>
      <c r="T57" s="396"/>
      <c r="U57" s="396"/>
      <c r="V57" s="396"/>
      <c r="W57" s="396"/>
      <c r="X57" s="396"/>
      <c r="Y57" s="397"/>
      <c r="Z57" s="393"/>
    </row>
    <row r="58" spans="1:27" s="394" customFormat="1" x14ac:dyDescent="0.2">
      <c r="A58" s="398"/>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400"/>
      <c r="Z58" s="393"/>
    </row>
    <row r="59" spans="1:27" s="392" customFormat="1" x14ac:dyDescent="0.2">
      <c r="Z59" s="390"/>
      <c r="AA59" s="391"/>
    </row>
  </sheetData>
  <mergeCells count="32">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R1:S1"/>
    <mergeCell ref="A2:Y2"/>
    <mergeCell ref="A5:Y5"/>
    <mergeCell ref="A3:Y3"/>
    <mergeCell ref="A7:Y7"/>
    <mergeCell ref="A4:Y4"/>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89" zoomScaleNormal="89" zoomScaleSheetLayoutView="100" workbookViewId="0"/>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24" width="9.140625" style="24"/>
    <col min="25" max="25" width="14.85546875" style="24" bestFit="1" customWidth="1"/>
    <col min="26" max="16384" width="9.140625" style="24"/>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52" t="s">
        <v>39</v>
      </c>
      <c r="B2" s="753"/>
      <c r="C2" s="753"/>
      <c r="D2" s="753"/>
      <c r="E2" s="753"/>
      <c r="F2" s="753"/>
      <c r="G2" s="753"/>
      <c r="H2" s="753"/>
      <c r="I2" s="753"/>
      <c r="J2" s="753"/>
      <c r="K2" s="753"/>
      <c r="L2" s="753"/>
      <c r="M2" s="753"/>
      <c r="N2" s="753"/>
      <c r="O2" s="753"/>
      <c r="P2" s="753"/>
      <c r="Q2" s="753"/>
      <c r="R2" s="753"/>
      <c r="S2" s="753"/>
      <c r="T2" s="753"/>
      <c r="U2" s="753"/>
      <c r="V2" s="754"/>
    </row>
    <row r="3" spans="1:22" ht="15.75" x14ac:dyDescent="0.25">
      <c r="A3" s="704" t="s">
        <v>1379</v>
      </c>
      <c r="B3" s="753"/>
      <c r="C3" s="753"/>
      <c r="D3" s="753"/>
      <c r="E3" s="753"/>
      <c r="F3" s="753"/>
      <c r="G3" s="753"/>
      <c r="H3" s="753"/>
      <c r="I3" s="753"/>
      <c r="J3" s="753"/>
      <c r="K3" s="753"/>
      <c r="L3" s="753"/>
      <c r="M3" s="753"/>
      <c r="N3" s="753"/>
      <c r="O3" s="753"/>
      <c r="P3" s="753"/>
      <c r="Q3" s="753"/>
      <c r="R3" s="753"/>
      <c r="S3" s="753"/>
      <c r="T3" s="753"/>
      <c r="U3" s="753"/>
      <c r="V3" s="754"/>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707"/>
      <c r="B5" s="708"/>
      <c r="C5" s="708"/>
      <c r="D5" s="708"/>
      <c r="E5" s="708"/>
      <c r="F5" s="708"/>
      <c r="G5" s="708"/>
      <c r="H5" s="708"/>
      <c r="I5" s="708"/>
      <c r="J5" s="708"/>
      <c r="K5" s="708"/>
      <c r="L5" s="708"/>
      <c r="M5" s="708"/>
      <c r="N5" s="708"/>
      <c r="O5" s="708"/>
      <c r="P5" s="708"/>
      <c r="Q5" s="708"/>
      <c r="R5" s="708"/>
      <c r="S5" s="708"/>
      <c r="T5" s="708"/>
      <c r="U5" s="708"/>
      <c r="V5" s="709"/>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707"/>
      <c r="B7" s="708"/>
      <c r="C7" s="708"/>
      <c r="D7" s="708"/>
      <c r="E7" s="708"/>
      <c r="F7" s="708"/>
      <c r="G7" s="708"/>
      <c r="H7" s="708"/>
      <c r="I7" s="708"/>
      <c r="J7" s="708"/>
      <c r="K7" s="708"/>
      <c r="L7" s="708"/>
      <c r="M7" s="708"/>
      <c r="N7" s="708"/>
      <c r="O7" s="708"/>
      <c r="P7" s="708"/>
      <c r="Q7" s="708"/>
      <c r="R7" s="708"/>
      <c r="S7" s="708"/>
      <c r="T7" s="708"/>
      <c r="U7" s="708"/>
      <c r="V7" s="709"/>
    </row>
    <row r="8" spans="1:22" ht="15.75" thickBot="1" x14ac:dyDescent="0.25">
      <c r="A8" s="35"/>
      <c r="B8" s="36"/>
      <c r="C8" s="36"/>
      <c r="D8" s="36"/>
      <c r="E8" s="36"/>
      <c r="F8" s="36"/>
      <c r="G8" s="36"/>
      <c r="H8" s="36"/>
      <c r="I8" s="36"/>
      <c r="J8" s="36"/>
      <c r="K8" s="36"/>
      <c r="L8" s="36"/>
      <c r="M8" s="36"/>
      <c r="N8" s="36"/>
      <c r="O8" s="36"/>
      <c r="P8" s="36"/>
      <c r="Q8" s="36"/>
      <c r="R8" s="36"/>
      <c r="S8" s="413"/>
      <c r="T8" s="411"/>
      <c r="U8" s="45"/>
      <c r="V8" s="37"/>
    </row>
    <row r="9" spans="1:22" ht="15.75" customHeight="1" x14ac:dyDescent="0.2">
      <c r="A9" s="14"/>
      <c r="B9" s="2"/>
      <c r="C9" s="756"/>
      <c r="D9" s="756"/>
      <c r="E9" s="756"/>
      <c r="F9" s="756"/>
      <c r="G9" s="756"/>
      <c r="H9" s="2"/>
      <c r="I9" s="2"/>
      <c r="J9" s="2"/>
      <c r="K9" s="2"/>
      <c r="L9" s="2"/>
      <c r="M9" s="2"/>
      <c r="N9" s="2"/>
      <c r="O9" s="2"/>
      <c r="P9" s="2"/>
      <c r="Q9" s="2"/>
      <c r="R9" s="2"/>
      <c r="S9" s="2"/>
      <c r="T9" s="2"/>
      <c r="U9" s="2"/>
      <c r="V9" s="41"/>
    </row>
    <row r="10" spans="1:22" ht="18" x14ac:dyDescent="0.25">
      <c r="A10" s="29"/>
      <c r="B10" s="18"/>
      <c r="C10" s="86" t="str">
        <f>+CONCATENATE("Local Authority : ",+'Part 1'!$L$15)</f>
        <v>Local Authority : England</v>
      </c>
      <c r="D10" s="51"/>
      <c r="E10" s="257"/>
      <c r="F10" s="257"/>
      <c r="G10" s="257"/>
      <c r="H10" s="18"/>
      <c r="I10" s="18"/>
      <c r="J10" s="18"/>
      <c r="K10" s="18"/>
      <c r="L10" s="18"/>
      <c r="M10" s="18"/>
      <c r="N10" s="18"/>
      <c r="O10" s="18"/>
      <c r="P10" s="18"/>
      <c r="Q10" s="18"/>
      <c r="R10" s="18"/>
      <c r="S10" s="18"/>
      <c r="T10" s="18"/>
      <c r="U10" s="18"/>
      <c r="V10" s="19"/>
    </row>
    <row r="11" spans="1:22" ht="15.75" x14ac:dyDescent="0.25">
      <c r="A11" s="28"/>
      <c r="B11" s="257"/>
      <c r="C11" s="257"/>
      <c r="D11" s="257"/>
      <c r="E11" s="18"/>
      <c r="F11" s="17"/>
      <c r="G11" s="17"/>
      <c r="H11" s="17"/>
      <c r="I11" s="17"/>
      <c r="J11" s="18"/>
      <c r="K11" s="18"/>
      <c r="L11" s="18"/>
      <c r="M11" s="18"/>
      <c r="N11" s="18"/>
      <c r="O11" s="18"/>
      <c r="P11" s="18"/>
      <c r="Q11" s="18"/>
      <c r="R11" s="18"/>
      <c r="S11" s="18"/>
      <c r="T11" s="18"/>
      <c r="U11" s="18"/>
      <c r="V11" s="19"/>
    </row>
    <row r="12" spans="1:22" ht="15.75" x14ac:dyDescent="0.25">
      <c r="A12" s="28"/>
      <c r="B12" s="257"/>
      <c r="C12" s="257" t="s">
        <v>0</v>
      </c>
      <c r="D12" s="257"/>
      <c r="E12" s="18"/>
      <c r="F12" s="17"/>
      <c r="G12" s="17"/>
      <c r="H12" s="17"/>
      <c r="I12" s="17"/>
      <c r="J12" s="18"/>
      <c r="K12" s="18"/>
      <c r="L12" s="18"/>
      <c r="M12" s="18"/>
      <c r="N12" s="18"/>
      <c r="O12" s="18"/>
      <c r="P12" s="18"/>
      <c r="Q12" s="18"/>
      <c r="R12" s="18"/>
      <c r="S12" s="18"/>
      <c r="T12" s="18"/>
      <c r="U12" s="18"/>
      <c r="V12" s="19"/>
    </row>
    <row r="13" spans="1:22" ht="15.75" x14ac:dyDescent="0.2">
      <c r="A13" s="29"/>
      <c r="B13" s="18"/>
      <c r="C13" s="765"/>
      <c r="D13" s="765"/>
      <c r="E13" s="765"/>
      <c r="F13" s="765"/>
      <c r="G13" s="765"/>
      <c r="H13" s="765"/>
      <c r="I13" s="47"/>
      <c r="J13" s="47"/>
      <c r="K13" s="761" t="s">
        <v>22</v>
      </c>
      <c r="L13" s="762"/>
      <c r="M13" s="47"/>
      <c r="N13" s="47"/>
      <c r="O13" s="761" t="s">
        <v>23</v>
      </c>
      <c r="P13" s="762"/>
      <c r="Q13" s="18"/>
      <c r="R13" s="18"/>
      <c r="S13" s="761" t="s">
        <v>24</v>
      </c>
      <c r="T13" s="762"/>
      <c r="U13" s="47"/>
      <c r="V13" s="19"/>
    </row>
    <row r="14" spans="1:22" ht="15.75" customHeight="1" x14ac:dyDescent="0.25">
      <c r="A14" s="29"/>
      <c r="B14" s="18"/>
      <c r="C14" s="18"/>
      <c r="D14" s="18"/>
      <c r="E14" s="18"/>
      <c r="F14" s="18"/>
      <c r="G14" s="760"/>
      <c r="H14" s="768"/>
      <c r="I14" s="380"/>
      <c r="J14" s="44"/>
      <c r="K14" s="763" t="s">
        <v>52</v>
      </c>
      <c r="L14" s="763"/>
      <c r="M14" s="44"/>
      <c r="N14" s="44"/>
      <c r="O14" s="760" t="s">
        <v>50</v>
      </c>
      <c r="P14" s="760"/>
      <c r="Q14" s="18"/>
      <c r="R14" s="44"/>
      <c r="S14" s="760" t="s">
        <v>867</v>
      </c>
      <c r="T14" s="768"/>
      <c r="U14" s="44"/>
      <c r="V14" s="19"/>
    </row>
    <row r="15" spans="1:22" ht="31.5" customHeight="1" x14ac:dyDescent="0.25">
      <c r="A15" s="29"/>
      <c r="B15" s="18"/>
      <c r="C15" s="18"/>
      <c r="D15" s="18"/>
      <c r="E15" s="18"/>
      <c r="F15" s="18"/>
      <c r="G15" s="769"/>
      <c r="H15" s="769"/>
      <c r="I15" s="380"/>
      <c r="J15" s="44"/>
      <c r="K15" s="763"/>
      <c r="L15" s="763"/>
      <c r="M15" s="44"/>
      <c r="N15" s="44"/>
      <c r="O15" s="760"/>
      <c r="P15" s="760"/>
      <c r="Q15" s="18"/>
      <c r="R15" s="18"/>
      <c r="S15" s="768"/>
      <c r="T15" s="768"/>
      <c r="U15" s="18"/>
      <c r="V15" s="19"/>
    </row>
    <row r="16" spans="1:22" ht="30" customHeight="1" x14ac:dyDescent="0.25">
      <c r="A16" s="29"/>
      <c r="B16" s="18"/>
      <c r="C16" s="18"/>
      <c r="D16" s="18"/>
      <c r="E16" s="18"/>
      <c r="F16" s="18"/>
      <c r="G16" s="764"/>
      <c r="H16" s="764"/>
      <c r="I16" s="380"/>
      <c r="J16" s="44"/>
      <c r="K16" s="766"/>
      <c r="L16" s="766"/>
      <c r="M16" s="18"/>
      <c r="N16" s="18"/>
      <c r="O16" s="766"/>
      <c r="P16" s="766"/>
      <c r="Q16" s="18"/>
      <c r="R16" s="770"/>
      <c r="S16" s="770"/>
      <c r="T16" s="770"/>
      <c r="U16" s="770"/>
      <c r="V16" s="19"/>
    </row>
    <row r="17" spans="1:25" ht="16.5" thickBot="1" x14ac:dyDescent="0.3">
      <c r="A17" s="29"/>
      <c r="B17" s="125" t="s">
        <v>61</v>
      </c>
      <c r="C17" s="18"/>
      <c r="D17" s="118"/>
      <c r="E17" s="43"/>
      <c r="F17" s="18"/>
      <c r="G17" s="764"/>
      <c r="H17" s="764"/>
      <c r="I17" s="380"/>
      <c r="J17" s="18"/>
      <c r="K17" s="771" t="s">
        <v>20</v>
      </c>
      <c r="L17" s="771"/>
      <c r="M17" s="18"/>
      <c r="N17" s="18"/>
      <c r="O17" s="764" t="s">
        <v>20</v>
      </c>
      <c r="P17" s="764"/>
      <c r="Q17" s="18"/>
      <c r="R17" s="232"/>
      <c r="S17" s="755" t="s">
        <v>20</v>
      </c>
      <c r="T17" s="755"/>
      <c r="U17" s="232"/>
      <c r="V17" s="19"/>
    </row>
    <row r="18" spans="1:25" ht="16.5" thickBot="1" x14ac:dyDescent="0.3">
      <c r="A18" s="29"/>
      <c r="B18" s="18"/>
      <c r="C18" s="757" t="s">
        <v>885</v>
      </c>
      <c r="D18" s="757"/>
      <c r="E18" s="757"/>
      <c r="F18" s="18"/>
      <c r="G18" s="767"/>
      <c r="H18" s="767"/>
      <c r="I18" s="380"/>
      <c r="J18" s="48"/>
      <c r="K18" s="737">
        <f>VLOOKUP('Part 1'!$L$16,Datasheet2!$B$6:$BP$332,3,FALSE)</f>
        <v>25226289939.610001</v>
      </c>
      <c r="L18" s="738"/>
      <c r="M18" s="60"/>
      <c r="N18" s="60"/>
      <c r="O18" s="737">
        <f>VLOOKUP('Part 1'!$L$16,Datasheet2!$B$6:$BP$332,4,FALSE)</f>
        <v>243361453</v>
      </c>
      <c r="P18" s="738"/>
      <c r="Q18" s="18"/>
      <c r="R18" s="230"/>
      <c r="S18" s="743">
        <f>VLOOKUP('Part 1'!$L$16,Datasheet2!$B$6:$BP$332,5,FALSE)</f>
        <v>25469651392.610001</v>
      </c>
      <c r="T18" s="744"/>
      <c r="U18" s="232"/>
      <c r="V18" s="19"/>
    </row>
    <row r="19" spans="1:25" x14ac:dyDescent="0.2">
      <c r="A19" s="29"/>
      <c r="B19" s="18"/>
      <c r="C19" s="757"/>
      <c r="D19" s="757"/>
      <c r="E19" s="757"/>
      <c r="F19" s="18"/>
      <c r="G19" s="105"/>
      <c r="H19" s="105"/>
      <c r="I19" s="48"/>
      <c r="J19" s="48"/>
      <c r="K19" s="48"/>
      <c r="L19" s="48"/>
      <c r="M19" s="48"/>
      <c r="N19" s="48"/>
      <c r="O19" s="48"/>
      <c r="P19" s="48"/>
      <c r="Q19" s="18"/>
      <c r="R19" s="230"/>
      <c r="S19" s="230"/>
      <c r="T19" s="230"/>
      <c r="U19" s="232"/>
      <c r="V19" s="19"/>
    </row>
    <row r="20" spans="1:25" x14ac:dyDescent="0.2">
      <c r="A20" s="29"/>
      <c r="B20" s="18"/>
      <c r="C20" s="739"/>
      <c r="D20" s="739"/>
      <c r="E20" s="739"/>
      <c r="F20" s="18"/>
      <c r="G20" s="105"/>
      <c r="H20" s="105"/>
      <c r="I20" s="48"/>
      <c r="J20" s="48"/>
      <c r="K20" s="48"/>
      <c r="L20" s="48"/>
      <c r="M20" s="48"/>
      <c r="N20" s="48"/>
      <c r="O20" s="48"/>
      <c r="P20" s="48"/>
      <c r="Q20" s="48"/>
      <c r="R20" s="230"/>
      <c r="S20" s="230"/>
      <c r="T20" s="230"/>
      <c r="U20" s="232"/>
      <c r="V20" s="19"/>
    </row>
    <row r="21" spans="1:25" x14ac:dyDescent="0.2">
      <c r="A21" s="29"/>
      <c r="B21" s="18"/>
      <c r="C21" s="116"/>
      <c r="D21" s="116"/>
      <c r="E21" s="116"/>
      <c r="F21" s="104"/>
      <c r="G21" s="105"/>
      <c r="H21" s="105"/>
      <c r="I21" s="48"/>
      <c r="J21" s="48"/>
      <c r="K21" s="48"/>
      <c r="L21" s="48"/>
      <c r="M21" s="48"/>
      <c r="N21" s="48"/>
      <c r="O21" s="48"/>
      <c r="P21" s="48"/>
      <c r="Q21" s="48"/>
      <c r="R21" s="230"/>
      <c r="S21" s="230"/>
      <c r="T21" s="230"/>
      <c r="U21" s="232"/>
      <c r="V21" s="19"/>
    </row>
    <row r="22" spans="1:25" ht="15" customHeight="1" thickBot="1" x14ac:dyDescent="0.25">
      <c r="A22" s="29"/>
      <c r="B22" s="758" t="s">
        <v>82</v>
      </c>
      <c r="C22" s="758"/>
      <c r="D22" s="116"/>
      <c r="E22" s="116"/>
      <c r="F22" s="104"/>
      <c r="G22" s="105"/>
      <c r="H22" s="105"/>
      <c r="I22" s="48"/>
      <c r="J22" s="48"/>
      <c r="K22" s="48"/>
      <c r="L22" s="48"/>
      <c r="M22" s="48"/>
      <c r="N22" s="48"/>
      <c r="O22" s="48"/>
      <c r="P22" s="48"/>
      <c r="Q22" s="48"/>
      <c r="R22" s="230"/>
      <c r="S22" s="230"/>
      <c r="T22" s="230"/>
      <c r="U22" s="232"/>
      <c r="V22" s="19"/>
    </row>
    <row r="23" spans="1:25" ht="16.5" thickBot="1" x14ac:dyDescent="0.25">
      <c r="A23" s="29"/>
      <c r="B23" s="18"/>
      <c r="C23" s="759" t="s">
        <v>886</v>
      </c>
      <c r="D23" s="759"/>
      <c r="E23" s="759"/>
      <c r="F23" s="104"/>
      <c r="G23" s="767"/>
      <c r="H23" s="767"/>
      <c r="I23" s="48"/>
      <c r="J23" s="48"/>
      <c r="K23" s="737">
        <f>VLOOKUP('Part 1'!$L$16,Datasheet2!$B$6:$BP$332,6,FALSE)</f>
        <v>-276659</v>
      </c>
      <c r="L23" s="738"/>
      <c r="M23" s="60"/>
      <c r="N23" s="60"/>
      <c r="O23" s="737">
        <f>VLOOKUP('Part 1'!$L$16,Datasheet2!$B$6:$BP$332,7,FALSE)</f>
        <v>0</v>
      </c>
      <c r="P23" s="738"/>
      <c r="Q23" s="18"/>
      <c r="R23" s="230"/>
      <c r="S23" s="743">
        <f>VLOOKUP('Part 1'!$L$16,Datasheet2!$B$6:$BP$332,8,FALSE)</f>
        <v>-276659</v>
      </c>
      <c r="T23" s="744"/>
      <c r="U23" s="232"/>
      <c r="V23" s="19"/>
    </row>
    <row r="24" spans="1:25" x14ac:dyDescent="0.2">
      <c r="A24" s="29"/>
      <c r="B24" s="18"/>
      <c r="C24" s="116"/>
      <c r="D24" s="116"/>
      <c r="E24" s="116"/>
      <c r="F24" s="104"/>
      <c r="G24" s="105"/>
      <c r="H24" s="105"/>
      <c r="I24" s="48"/>
      <c r="J24" s="48"/>
      <c r="K24" s="48"/>
      <c r="L24" s="48"/>
      <c r="M24" s="48"/>
      <c r="N24" s="48"/>
      <c r="O24" s="48"/>
      <c r="P24" s="48"/>
      <c r="Q24" s="48"/>
      <c r="R24" s="230"/>
      <c r="S24" s="230"/>
      <c r="T24" s="230"/>
      <c r="U24" s="232"/>
      <c r="V24" s="19"/>
    </row>
    <row r="25" spans="1:25" ht="15.75" x14ac:dyDescent="0.2">
      <c r="A25" s="29"/>
      <c r="B25" s="96" t="s">
        <v>63</v>
      </c>
      <c r="C25" s="116"/>
      <c r="D25" s="43"/>
      <c r="E25" s="43"/>
      <c r="F25" s="18"/>
      <c r="G25" s="105"/>
      <c r="H25" s="105"/>
      <c r="I25" s="48"/>
      <c r="J25" s="48"/>
      <c r="K25" s="48"/>
      <c r="L25" s="48"/>
      <c r="M25" s="48"/>
      <c r="N25" s="48"/>
      <c r="O25" s="48"/>
      <c r="P25" s="48"/>
      <c r="Q25" s="48"/>
      <c r="R25" s="230"/>
      <c r="S25" s="230"/>
      <c r="T25" s="230"/>
      <c r="U25" s="232"/>
      <c r="V25" s="19"/>
    </row>
    <row r="26" spans="1:25" ht="14.25" customHeight="1" thickBot="1" x14ac:dyDescent="0.3">
      <c r="A26" s="29"/>
      <c r="B26" s="17"/>
      <c r="C26" s="96" t="s">
        <v>64</v>
      </c>
      <c r="D26" s="104"/>
      <c r="E26" s="43"/>
      <c r="F26" s="18"/>
      <c r="G26" s="105"/>
      <c r="H26" s="105"/>
      <c r="I26" s="48"/>
      <c r="J26" s="48"/>
      <c r="K26" s="48"/>
      <c r="L26" s="48"/>
      <c r="M26" s="48"/>
      <c r="N26" s="48"/>
      <c r="O26" s="48"/>
      <c r="P26" s="48"/>
      <c r="Q26" s="48"/>
      <c r="R26" s="230"/>
      <c r="S26" s="230"/>
      <c r="T26" s="230"/>
      <c r="U26" s="232"/>
      <c r="V26" s="19"/>
    </row>
    <row r="27" spans="1:25" ht="16.5" thickBot="1" x14ac:dyDescent="0.25">
      <c r="A27" s="29"/>
      <c r="B27" s="6"/>
      <c r="C27" s="681" t="s">
        <v>915</v>
      </c>
      <c r="D27" s="587"/>
      <c r="E27" s="681"/>
      <c r="F27" s="587"/>
      <c r="G27" s="337"/>
      <c r="H27" s="337"/>
      <c r="I27" s="337"/>
      <c r="J27" s="337"/>
      <c r="K27" s="737">
        <f>VLOOKUP('Part 1'!$L$16,Datasheet2!$B$6:$BP$332,9,FALSE)</f>
        <v>-180094842.97999999</v>
      </c>
      <c r="L27" s="738"/>
      <c r="M27" s="105"/>
      <c r="N27" s="105"/>
      <c r="O27" s="737">
        <f>VLOOKUP('Part 1'!$L$16,Datasheet2!$B$6:$BP$332,10,FALSE)</f>
        <v>-3072955</v>
      </c>
      <c r="P27" s="738"/>
      <c r="Q27" s="105"/>
      <c r="R27" s="230"/>
      <c r="S27" s="743">
        <f>VLOOKUP('Part 1'!$L$16,Datasheet2!$B$6:$BP$332,11,FALSE)</f>
        <v>-183167797.97999999</v>
      </c>
      <c r="T27" s="744"/>
      <c r="U27" s="244">
        <f>+S27</f>
        <v>-183167797.97999999</v>
      </c>
      <c r="V27" s="19"/>
    </row>
    <row r="28" spans="1:25" ht="16.5" thickBot="1" x14ac:dyDescent="0.25">
      <c r="A28" s="29"/>
      <c r="B28" s="18"/>
      <c r="C28" s="61"/>
      <c r="D28" s="117"/>
      <c r="E28" s="117"/>
      <c r="F28" s="104"/>
      <c r="G28" s="326"/>
      <c r="H28" s="326"/>
      <c r="I28" s="326"/>
      <c r="J28" s="105"/>
      <c r="K28" s="105"/>
      <c r="L28" s="105"/>
      <c r="M28" s="105"/>
      <c r="N28" s="105"/>
      <c r="O28" s="105"/>
      <c r="P28" s="105"/>
      <c r="Q28" s="326"/>
      <c r="R28" s="230"/>
      <c r="S28" s="233"/>
      <c r="T28" s="230"/>
      <c r="U28" s="245"/>
      <c r="V28" s="19"/>
      <c r="Y28" s="254"/>
    </row>
    <row r="29" spans="1:25" ht="16.5" thickBot="1" x14ac:dyDescent="0.25">
      <c r="A29" s="29"/>
      <c r="B29" s="18"/>
      <c r="C29" s="723" t="s">
        <v>916</v>
      </c>
      <c r="D29" s="739"/>
      <c r="E29" s="739"/>
      <c r="F29" s="740"/>
      <c r="G29" s="740"/>
      <c r="H29" s="296"/>
      <c r="I29" s="326"/>
      <c r="J29" s="48"/>
      <c r="K29" s="737">
        <f>VLOOKUP('Part 1'!$L$16,Datasheet2!$B$6:$BP$332,12,FALSE)</f>
        <v>-17171570.300000001</v>
      </c>
      <c r="L29" s="738"/>
      <c r="M29" s="60"/>
      <c r="N29" s="60"/>
      <c r="O29" s="737">
        <f>VLOOKUP('Part 1'!$L$16,Datasheet2!$B$6:$BP$332,13,FALSE)</f>
        <v>296942</v>
      </c>
      <c r="P29" s="738"/>
      <c r="Q29" s="18"/>
      <c r="R29" s="230"/>
      <c r="S29" s="743">
        <f>VLOOKUP('Part 1'!$L$16,Datasheet2!$B$6:$BP$332,14,FALSE)</f>
        <v>-16874628.300000001</v>
      </c>
      <c r="T29" s="744"/>
      <c r="U29" s="232"/>
      <c r="V29" s="19"/>
    </row>
    <row r="30" spans="1:25" ht="15.75" x14ac:dyDescent="0.2">
      <c r="A30" s="29"/>
      <c r="B30" s="18"/>
      <c r="C30" s="739"/>
      <c r="D30" s="739"/>
      <c r="E30" s="739"/>
      <c r="F30" s="740"/>
      <c r="G30" s="740"/>
      <c r="H30" s="296"/>
      <c r="I30" s="326"/>
      <c r="J30" s="48"/>
      <c r="K30" s="326"/>
      <c r="L30" s="48"/>
      <c r="M30" s="326"/>
      <c r="N30" s="105"/>
      <c r="O30" s="105"/>
      <c r="P30" s="105"/>
      <c r="Q30" s="48"/>
      <c r="R30" s="230"/>
      <c r="S30" s="233"/>
      <c r="T30" s="230"/>
      <c r="U30" s="232"/>
      <c r="V30" s="19"/>
    </row>
    <row r="31" spans="1:25" ht="16.5" thickBot="1" x14ac:dyDescent="0.25">
      <c r="A31" s="29"/>
      <c r="B31" s="18"/>
      <c r="C31" s="117"/>
      <c r="D31" s="117"/>
      <c r="E31" s="117"/>
      <c r="F31" s="104"/>
      <c r="G31" s="105"/>
      <c r="H31" s="105"/>
      <c r="I31" s="326"/>
      <c r="J31" s="105"/>
      <c r="K31" s="105"/>
      <c r="L31" s="105"/>
      <c r="M31" s="105"/>
      <c r="N31" s="105"/>
      <c r="O31" s="105"/>
      <c r="P31" s="105"/>
      <c r="Q31" s="326"/>
      <c r="R31" s="230"/>
      <c r="S31" s="230"/>
      <c r="T31" s="230"/>
      <c r="U31" s="232"/>
      <c r="V31" s="19"/>
    </row>
    <row r="32" spans="1:25" ht="16.5" customHeight="1" thickBot="1" x14ac:dyDescent="0.25">
      <c r="A32" s="29"/>
      <c r="B32" s="18"/>
      <c r="C32" s="61" t="s">
        <v>917</v>
      </c>
      <c r="D32" s="117"/>
      <c r="E32" s="43"/>
      <c r="F32" s="18"/>
      <c r="G32" s="767"/>
      <c r="H32" s="767"/>
      <c r="I32" s="326"/>
      <c r="J32" s="48"/>
      <c r="K32" s="737">
        <f>VLOOKUP('Part 1'!$L$16,Datasheet2!$B$6:$BP$332,15,FALSE)</f>
        <v>-162409385.63</v>
      </c>
      <c r="L32" s="738"/>
      <c r="M32" s="60"/>
      <c r="N32" s="60"/>
      <c r="O32" s="737">
        <f>VLOOKUP('Part 1'!$L$16,Datasheet2!$B$6:$BP$332,16,FALSE)</f>
        <v>-1764532</v>
      </c>
      <c r="P32" s="738"/>
      <c r="Q32" s="18"/>
      <c r="R32" s="230"/>
      <c r="S32" s="743">
        <f>VLOOKUP('Part 1'!$L$16,Datasheet2!$B$6:$BP$332,17,FALSE)</f>
        <v>-164173917.63</v>
      </c>
      <c r="T32" s="744"/>
      <c r="U32" s="245"/>
      <c r="V32" s="19"/>
    </row>
    <row r="33" spans="1:25" ht="15.75" x14ac:dyDescent="0.2">
      <c r="A33" s="29"/>
      <c r="B33" s="18"/>
      <c r="C33" s="43"/>
      <c r="D33" s="117"/>
      <c r="E33" s="43"/>
      <c r="F33" s="18"/>
      <c r="G33" s="326"/>
      <c r="H33" s="326"/>
      <c r="I33" s="326"/>
      <c r="J33" s="48"/>
      <c r="K33" s="48"/>
      <c r="L33" s="48"/>
      <c r="M33" s="48"/>
      <c r="N33" s="48"/>
      <c r="O33" s="48"/>
      <c r="P33" s="48"/>
      <c r="Q33" s="326"/>
      <c r="R33" s="230"/>
      <c r="S33" s="233"/>
      <c r="T33" s="230"/>
      <c r="U33" s="245"/>
      <c r="V33" s="19"/>
    </row>
    <row r="34" spans="1:25" ht="16.5" thickBot="1" x14ac:dyDescent="0.25">
      <c r="A34" s="29"/>
      <c r="B34" s="18"/>
      <c r="C34" s="96" t="s">
        <v>1532</v>
      </c>
      <c r="D34" s="104"/>
      <c r="E34" s="43"/>
      <c r="F34" s="18"/>
      <c r="G34" s="105"/>
      <c r="H34" s="105"/>
      <c r="I34" s="326"/>
      <c r="J34" s="48"/>
      <c r="K34" s="48"/>
      <c r="L34" s="48"/>
      <c r="M34" s="48"/>
      <c r="N34" s="48"/>
      <c r="O34" s="48"/>
      <c r="P34" s="48"/>
      <c r="Q34" s="326"/>
      <c r="R34" s="230"/>
      <c r="S34" s="230"/>
      <c r="T34" s="230"/>
      <c r="U34" s="245"/>
      <c r="V34" s="19"/>
    </row>
    <row r="35" spans="1:25" ht="16.5" thickBot="1" x14ac:dyDescent="0.25">
      <c r="A35" s="29"/>
      <c r="B35" s="18"/>
      <c r="C35" s="61" t="s">
        <v>1381</v>
      </c>
      <c r="D35" s="104"/>
      <c r="E35" s="43"/>
      <c r="F35" s="18"/>
      <c r="G35" s="296"/>
      <c r="H35" s="296"/>
      <c r="I35" s="326"/>
      <c r="J35" s="48"/>
      <c r="K35" s="737">
        <f>VLOOKUP('Part 1'!$L$16,Datasheet2!$B$6:$BP$332,18,FALSE)</f>
        <v>451666157</v>
      </c>
      <c r="L35" s="738"/>
      <c r="M35" s="60"/>
      <c r="N35" s="60"/>
      <c r="O35" s="737">
        <f>VLOOKUP('Part 1'!$L$16,Datasheet2!$B$6:$BP$332,19,FALSE)</f>
        <v>3850637</v>
      </c>
      <c r="P35" s="738"/>
      <c r="Q35" s="18"/>
      <c r="R35" s="230"/>
      <c r="S35" s="743">
        <f>VLOOKUP('Part 1'!$L$16,Datasheet2!$B$6:$BP$332,20,FALSE)</f>
        <v>455516794</v>
      </c>
      <c r="T35" s="744"/>
      <c r="U35" s="245"/>
      <c r="V35" s="19"/>
      <c r="Y35" s="254"/>
    </row>
    <row r="36" spans="1:25" ht="15.75" x14ac:dyDescent="0.2">
      <c r="A36" s="29"/>
      <c r="B36" s="18"/>
      <c r="C36" s="61" t="s">
        <v>1380</v>
      </c>
      <c r="D36" s="104"/>
      <c r="E36" s="43"/>
      <c r="F36" s="18"/>
      <c r="G36" s="105"/>
      <c r="H36" s="105"/>
      <c r="I36" s="326"/>
      <c r="J36" s="48"/>
      <c r="K36" s="48"/>
      <c r="L36" s="48"/>
      <c r="M36" s="48"/>
      <c r="N36" s="48"/>
      <c r="O36" s="48"/>
      <c r="P36" s="48"/>
      <c r="Q36" s="326"/>
      <c r="R36" s="230"/>
      <c r="S36" s="230"/>
      <c r="T36" s="230"/>
      <c r="U36" s="245"/>
      <c r="V36" s="19"/>
    </row>
    <row r="37" spans="1:25" ht="16.5" thickBot="1" x14ac:dyDescent="0.25">
      <c r="A37" s="29"/>
      <c r="B37" s="18"/>
      <c r="C37" s="61"/>
      <c r="D37" s="104"/>
      <c r="E37" s="43"/>
      <c r="F37" s="18"/>
      <c r="G37" s="105"/>
      <c r="H37" s="105"/>
      <c r="I37" s="326"/>
      <c r="J37" s="48"/>
      <c r="K37" s="48"/>
      <c r="L37" s="48"/>
      <c r="M37" s="48"/>
      <c r="N37" s="48"/>
      <c r="O37" s="48"/>
      <c r="P37" s="48"/>
      <c r="Q37" s="326"/>
      <c r="R37" s="230"/>
      <c r="S37" s="230"/>
      <c r="T37" s="230"/>
      <c r="U37" s="245"/>
      <c r="V37" s="19"/>
    </row>
    <row r="38" spans="1:25" ht="16.5" thickBot="1" x14ac:dyDescent="0.25">
      <c r="A38" s="29"/>
      <c r="B38" s="18"/>
      <c r="C38" s="106" t="s">
        <v>1382</v>
      </c>
      <c r="D38" s="104"/>
      <c r="E38" s="43"/>
      <c r="F38" s="18"/>
      <c r="G38" s="105"/>
      <c r="H38" s="105"/>
      <c r="I38" s="326"/>
      <c r="J38" s="48"/>
      <c r="K38" s="746">
        <f>VLOOKUP('Part 1'!$L$16,Datasheet2!$B$6:$BP$332,21,FALSE)</f>
        <v>179802077</v>
      </c>
      <c r="L38" s="747"/>
      <c r="M38" s="48"/>
      <c r="N38" s="48"/>
      <c r="O38" s="746">
        <f>VLOOKUP('Part 1'!$L$16,Datasheet2!$B$6:$BP$332,22,FALSE)</f>
        <v>1710183</v>
      </c>
      <c r="P38" s="747"/>
      <c r="Q38" s="326"/>
      <c r="R38" s="230"/>
      <c r="S38" s="748">
        <f>VLOOKUP('Part 1'!$L$16,Datasheet2!$B$6:$BP$332,23,FALSE)</f>
        <v>181512260</v>
      </c>
      <c r="T38" s="749"/>
      <c r="U38" s="245"/>
      <c r="V38" s="19"/>
    </row>
    <row r="39" spans="1:25" ht="15.75" x14ac:dyDescent="0.2">
      <c r="A39" s="29"/>
      <c r="B39" s="18"/>
      <c r="C39" s="61" t="s">
        <v>1380</v>
      </c>
      <c r="D39" s="104"/>
      <c r="E39" s="43"/>
      <c r="F39" s="18"/>
      <c r="G39" s="105"/>
      <c r="H39" s="105"/>
      <c r="I39" s="326"/>
      <c r="J39" s="48"/>
      <c r="K39" s="48"/>
      <c r="L39" s="48"/>
      <c r="M39" s="48"/>
      <c r="N39" s="48"/>
      <c r="O39" s="48"/>
      <c r="P39" s="48"/>
      <c r="Q39" s="326"/>
      <c r="R39" s="230"/>
      <c r="S39" s="230"/>
      <c r="T39" s="230"/>
      <c r="U39" s="245"/>
      <c r="V39" s="19"/>
    </row>
    <row r="40" spans="1:25" ht="16.5" thickBot="1" x14ac:dyDescent="0.25">
      <c r="A40" s="29"/>
      <c r="B40" s="18"/>
      <c r="C40" s="61"/>
      <c r="D40" s="104"/>
      <c r="E40" s="43"/>
      <c r="F40" s="18"/>
      <c r="G40" s="105"/>
      <c r="H40" s="105"/>
      <c r="I40" s="326"/>
      <c r="J40" s="48"/>
      <c r="K40" s="48"/>
      <c r="L40" s="48"/>
      <c r="M40" s="48"/>
      <c r="N40" s="48"/>
      <c r="O40" s="48"/>
      <c r="P40" s="48"/>
      <c r="Q40" s="326"/>
      <c r="R40" s="230"/>
      <c r="S40" s="230"/>
      <c r="T40" s="230"/>
      <c r="U40" s="245"/>
      <c r="V40" s="19"/>
    </row>
    <row r="41" spans="1:25" ht="16.5" thickBot="1" x14ac:dyDescent="0.25">
      <c r="A41" s="29"/>
      <c r="B41" s="18"/>
      <c r="C41" s="61" t="s">
        <v>1530</v>
      </c>
      <c r="D41" s="104"/>
      <c r="E41" s="43"/>
      <c r="F41" s="18"/>
      <c r="G41" s="105"/>
      <c r="H41" s="105"/>
      <c r="I41" s="326"/>
      <c r="J41" s="48"/>
      <c r="K41" s="746">
        <f>VLOOKUP('Part 1'!$L$16,Datasheet2!$B$6:$BP$332,24,FALSE)</f>
        <v>22848962.009999998</v>
      </c>
      <c r="L41" s="747"/>
      <c r="M41" s="48"/>
      <c r="N41" s="48"/>
      <c r="O41" s="750">
        <f>VLOOKUP('Part 1'!$L$16,Datasheet2!$B$6:$BP$332,25,FALSE)</f>
        <v>496628</v>
      </c>
      <c r="P41" s="751"/>
      <c r="Q41" s="326"/>
      <c r="R41" s="230"/>
      <c r="S41" s="748">
        <f>VLOOKUP('Part 1'!$L$16,Datasheet2!$B$6:$BP$332,26,FALSE)</f>
        <v>23345590.009999998</v>
      </c>
      <c r="T41" s="749"/>
      <c r="U41" s="245"/>
      <c r="V41" s="19"/>
    </row>
    <row r="42" spans="1:25" ht="16.5" thickBot="1" x14ac:dyDescent="0.25">
      <c r="A42" s="29"/>
      <c r="B42" s="18"/>
      <c r="C42" s="61"/>
      <c r="D42" s="104"/>
      <c r="E42" s="43"/>
      <c r="F42" s="18"/>
      <c r="G42" s="105"/>
      <c r="H42" s="105"/>
      <c r="I42" s="326"/>
      <c r="J42" s="48"/>
      <c r="K42" s="48"/>
      <c r="L42" s="48"/>
      <c r="M42" s="48"/>
      <c r="N42" s="48"/>
      <c r="O42" s="48"/>
      <c r="P42" s="48"/>
      <c r="Q42" s="326"/>
      <c r="R42" s="230"/>
      <c r="S42" s="230"/>
      <c r="T42" s="230"/>
      <c r="U42" s="245"/>
      <c r="V42" s="19"/>
    </row>
    <row r="43" spans="1:25" ht="16.5" thickBot="1" x14ac:dyDescent="0.25">
      <c r="A43" s="29"/>
      <c r="B43" s="18"/>
      <c r="C43" s="61" t="s">
        <v>1531</v>
      </c>
      <c r="D43" s="104"/>
      <c r="E43" s="43"/>
      <c r="F43" s="18"/>
      <c r="G43" s="105"/>
      <c r="H43" s="105"/>
      <c r="I43" s="326"/>
      <c r="J43" s="48"/>
      <c r="K43" s="746">
        <f>VLOOKUP('Part 1'!$L$16,Datasheet2!$B$6:$BP$332,27,FALSE)</f>
        <v>-756822130.36000001</v>
      </c>
      <c r="L43" s="747"/>
      <c r="M43" s="48"/>
      <c r="N43" s="48"/>
      <c r="O43" s="746">
        <f>VLOOKUP('Part 1'!$L$16,Datasheet2!$B$6:$BP$332,28,FALSE)</f>
        <v>-4369325</v>
      </c>
      <c r="P43" s="747"/>
      <c r="Q43" s="326"/>
      <c r="R43" s="230"/>
      <c r="S43" s="748">
        <f>VLOOKUP('Part 1'!$L$16,Datasheet2!$B$6:$BP$332,29,FALSE)</f>
        <v>-761191455.36000001</v>
      </c>
      <c r="T43" s="749"/>
      <c r="U43" s="245"/>
      <c r="V43" s="19"/>
    </row>
    <row r="44" spans="1:25" ht="16.5" thickBot="1" x14ac:dyDescent="0.25">
      <c r="A44" s="29"/>
      <c r="B44" s="18"/>
      <c r="C44" s="43"/>
      <c r="D44" s="43"/>
      <c r="E44" s="43"/>
      <c r="F44" s="18"/>
      <c r="G44" s="326"/>
      <c r="H44" s="326"/>
      <c r="I44" s="49"/>
      <c r="J44" s="48"/>
      <c r="K44" s="48"/>
      <c r="L44" s="48"/>
      <c r="M44" s="48"/>
      <c r="N44" s="48"/>
      <c r="O44" s="49"/>
      <c r="P44" s="49"/>
      <c r="Q44" s="326"/>
      <c r="R44" s="230"/>
      <c r="S44" s="233"/>
      <c r="T44" s="230"/>
      <c r="U44" s="245"/>
      <c r="V44" s="19"/>
    </row>
    <row r="45" spans="1:25" ht="15.75" x14ac:dyDescent="0.2">
      <c r="A45" s="29"/>
      <c r="B45" s="73"/>
      <c r="C45" s="119"/>
      <c r="D45" s="119"/>
      <c r="E45" s="119"/>
      <c r="F45" s="74"/>
      <c r="G45" s="179"/>
      <c r="H45" s="179"/>
      <c r="I45" s="75"/>
      <c r="J45" s="76"/>
      <c r="K45" s="76"/>
      <c r="L45" s="76"/>
      <c r="M45" s="76"/>
      <c r="N45" s="76"/>
      <c r="O45" s="75"/>
      <c r="P45" s="75"/>
      <c r="Q45" s="75"/>
      <c r="R45" s="385"/>
      <c r="S45" s="386"/>
      <c r="T45" s="385"/>
      <c r="U45" s="246"/>
      <c r="V45" s="19"/>
    </row>
    <row r="46" spans="1:25" ht="16.5" thickBot="1" x14ac:dyDescent="0.25">
      <c r="A46" s="29"/>
      <c r="B46" s="77"/>
      <c r="C46" s="96" t="s">
        <v>62</v>
      </c>
      <c r="D46" s="43"/>
      <c r="E46" s="43"/>
      <c r="F46" s="18"/>
      <c r="G46" s="105"/>
      <c r="H46" s="105"/>
      <c r="I46" s="48"/>
      <c r="J46" s="48"/>
      <c r="K46" s="48"/>
      <c r="L46" s="48"/>
      <c r="M46" s="48"/>
      <c r="N46" s="48"/>
      <c r="O46" s="48"/>
      <c r="P46" s="48"/>
      <c r="Q46" s="48"/>
      <c r="R46" s="230"/>
      <c r="S46" s="230"/>
      <c r="T46" s="230"/>
      <c r="U46" s="247"/>
      <c r="V46" s="19"/>
    </row>
    <row r="47" spans="1:25" ht="16.5" thickBot="1" x14ac:dyDescent="0.3">
      <c r="A47" s="29"/>
      <c r="B47" s="78"/>
      <c r="C47" s="61" t="s">
        <v>1383</v>
      </c>
      <c r="D47" s="43"/>
      <c r="E47" s="43"/>
      <c r="F47" s="18"/>
      <c r="G47" s="741"/>
      <c r="H47" s="742"/>
      <c r="I47" s="326"/>
      <c r="J47" s="48"/>
      <c r="K47" s="737">
        <f>VLOOKUP('Part 1'!$L$16,Datasheet2!$B$6:$BP$332,30,FALSE)</f>
        <v>24943927390.329998</v>
      </c>
      <c r="L47" s="738"/>
      <c r="M47" s="48"/>
      <c r="N47" s="48"/>
      <c r="O47" s="737">
        <f>VLOOKUP('Part 1'!$L$16,Datasheet2!$B$6:$BP$332,31,FALSE)</f>
        <v>243581986</v>
      </c>
      <c r="P47" s="738"/>
      <c r="Q47" s="48"/>
      <c r="R47" s="230"/>
      <c r="S47" s="743">
        <f>VLOOKUP('Part 1'!$L$16,Datasheet2!$B$6:$BP$332,32,FALSE)</f>
        <v>25187509376.329998</v>
      </c>
      <c r="T47" s="744"/>
      <c r="U47" s="248"/>
      <c r="V47" s="19"/>
    </row>
    <row r="48" spans="1:25" ht="15.75" thickBot="1" x14ac:dyDescent="0.25">
      <c r="A48" s="29"/>
      <c r="B48" s="79"/>
      <c r="C48" s="120"/>
      <c r="D48" s="120"/>
      <c r="E48" s="120"/>
      <c r="F48" s="80"/>
      <c r="G48" s="180"/>
      <c r="H48" s="180"/>
      <c r="I48" s="81"/>
      <c r="J48" s="81"/>
      <c r="K48" s="81"/>
      <c r="L48" s="81"/>
      <c r="M48" s="81"/>
      <c r="N48" s="81"/>
      <c r="O48" s="81"/>
      <c r="P48" s="81"/>
      <c r="Q48" s="81"/>
      <c r="R48" s="649"/>
      <c r="S48" s="650"/>
      <c r="T48" s="388"/>
      <c r="U48" s="249"/>
      <c r="V48" s="19"/>
    </row>
    <row r="49" spans="1:22" ht="15.75" thickBot="1" x14ac:dyDescent="0.25">
      <c r="A49" s="29"/>
      <c r="B49" s="18"/>
      <c r="C49" s="43"/>
      <c r="D49" s="43"/>
      <c r="E49" s="43"/>
      <c r="F49" s="18"/>
      <c r="G49" s="48"/>
      <c r="H49" s="48"/>
      <c r="I49" s="48"/>
      <c r="J49" s="48"/>
      <c r="K49" s="48"/>
      <c r="L49" s="48"/>
      <c r="M49" s="48"/>
      <c r="N49" s="48"/>
      <c r="O49" s="48"/>
      <c r="P49" s="48"/>
      <c r="Q49" s="48"/>
      <c r="R49" s="48"/>
      <c r="S49" s="48"/>
      <c r="T49" s="48"/>
      <c r="U49" s="18"/>
      <c r="V49" s="19"/>
    </row>
    <row r="50" spans="1:22" x14ac:dyDescent="0.2">
      <c r="A50" s="181"/>
      <c r="B50" s="182"/>
      <c r="C50" s="183"/>
      <c r="D50" s="183"/>
      <c r="E50" s="183"/>
      <c r="F50" s="182"/>
      <c r="G50" s="387"/>
      <c r="H50" s="387"/>
      <c r="I50" s="387"/>
      <c r="J50" s="387"/>
      <c r="K50" s="387"/>
      <c r="L50" s="387"/>
      <c r="M50" s="387"/>
      <c r="N50" s="387"/>
      <c r="O50" s="387"/>
      <c r="P50" s="387"/>
      <c r="Q50" s="387"/>
      <c r="R50" s="387"/>
      <c r="S50" s="387"/>
      <c r="T50" s="387"/>
      <c r="U50" s="182"/>
      <c r="V50" s="184"/>
    </row>
    <row r="51" spans="1:22" ht="15.75" x14ac:dyDescent="0.2">
      <c r="A51" s="29"/>
      <c r="B51" s="18"/>
      <c r="C51" s="96" t="s">
        <v>83</v>
      </c>
      <c r="D51" s="43"/>
      <c r="E51" s="43"/>
      <c r="F51" s="18"/>
      <c r="G51" s="48"/>
      <c r="H51" s="48"/>
      <c r="I51" s="48"/>
      <c r="J51" s="48"/>
      <c r="K51" s="48"/>
      <c r="L51" s="48"/>
      <c r="M51" s="48"/>
      <c r="N51" s="48"/>
      <c r="O51" s="48"/>
      <c r="P51" s="48"/>
      <c r="Q51" s="48"/>
      <c r="R51" s="48"/>
      <c r="S51" s="48"/>
      <c r="T51" s="48"/>
      <c r="U51" s="18"/>
      <c r="V51" s="19"/>
    </row>
    <row r="52" spans="1:22" ht="15.75" x14ac:dyDescent="0.2">
      <c r="A52" s="29"/>
      <c r="B52" s="18"/>
      <c r="C52" s="252"/>
      <c r="D52" s="43"/>
      <c r="E52" s="43"/>
      <c r="F52" s="18"/>
      <c r="G52" s="736"/>
      <c r="H52" s="736"/>
      <c r="I52" s="48"/>
      <c r="J52" s="48"/>
      <c r="K52" s="736" t="s">
        <v>22</v>
      </c>
      <c r="L52" s="736"/>
      <c r="M52" s="48"/>
      <c r="N52" s="48"/>
      <c r="O52" s="736" t="s">
        <v>23</v>
      </c>
      <c r="P52" s="745"/>
      <c r="Q52" s="48"/>
      <c r="R52" s="48"/>
      <c r="S52" s="736" t="s">
        <v>24</v>
      </c>
      <c r="T52" s="745"/>
      <c r="U52" s="18"/>
      <c r="V52" s="19"/>
    </row>
    <row r="53" spans="1:22" ht="15.75" customHeight="1" x14ac:dyDescent="0.2">
      <c r="A53" s="29"/>
      <c r="B53" s="18"/>
      <c r="C53" s="96"/>
      <c r="D53" s="43"/>
      <c r="E53" s="43"/>
      <c r="F53" s="18"/>
      <c r="G53" s="48"/>
      <c r="H53" s="48"/>
      <c r="I53" s="48"/>
      <c r="J53" s="48"/>
      <c r="K53" s="763" t="s">
        <v>52</v>
      </c>
      <c r="L53" s="763"/>
      <c r="M53" s="48"/>
      <c r="N53" s="48"/>
      <c r="O53" s="760" t="s">
        <v>50</v>
      </c>
      <c r="P53" s="760"/>
      <c r="Q53" s="48"/>
      <c r="R53" s="230"/>
      <c r="S53" s="795" t="s">
        <v>7</v>
      </c>
      <c r="T53" s="795"/>
      <c r="U53" s="232"/>
      <c r="V53" s="19"/>
    </row>
    <row r="54" spans="1:22" ht="32.25" customHeight="1" x14ac:dyDescent="0.2">
      <c r="A54" s="29"/>
      <c r="B54" s="18"/>
      <c r="C54" s="96"/>
      <c r="D54" s="43"/>
      <c r="E54" s="43"/>
      <c r="F54" s="18"/>
      <c r="G54" s="48"/>
      <c r="H54" s="48"/>
      <c r="I54" s="48"/>
      <c r="J54" s="48"/>
      <c r="K54" s="763"/>
      <c r="L54" s="763"/>
      <c r="M54" s="48"/>
      <c r="N54" s="48"/>
      <c r="O54" s="760"/>
      <c r="P54" s="760"/>
      <c r="Q54" s="48"/>
      <c r="R54" s="230"/>
      <c r="S54" s="795"/>
      <c r="T54" s="795"/>
      <c r="U54" s="232"/>
      <c r="V54" s="19"/>
    </row>
    <row r="55" spans="1:22" ht="32.25" customHeight="1" thickBot="1" x14ac:dyDescent="0.3">
      <c r="A55" s="29"/>
      <c r="B55" s="18"/>
      <c r="C55" s="92" t="s">
        <v>47</v>
      </c>
      <c r="D55" s="43"/>
      <c r="E55" s="43"/>
      <c r="F55" s="18"/>
      <c r="G55" s="48"/>
      <c r="H55" s="48"/>
      <c r="I55" s="48"/>
      <c r="J55" s="48"/>
      <c r="K55" s="766"/>
      <c r="L55" s="766"/>
      <c r="M55" s="48"/>
      <c r="N55" s="48"/>
      <c r="O55" s="766"/>
      <c r="P55" s="766"/>
      <c r="Q55" s="48"/>
      <c r="R55" s="230"/>
      <c r="S55" s="795" t="s">
        <v>1073</v>
      </c>
      <c r="T55" s="795"/>
      <c r="U55" s="232"/>
      <c r="V55" s="19"/>
    </row>
    <row r="56" spans="1:22" ht="16.5" thickBot="1" x14ac:dyDescent="0.25">
      <c r="A56" s="29"/>
      <c r="B56" s="18"/>
      <c r="C56" s="61" t="s">
        <v>1384</v>
      </c>
      <c r="D56" s="43"/>
      <c r="E56" s="43"/>
      <c r="F56" s="18"/>
      <c r="G56" s="48"/>
      <c r="H56" s="48"/>
      <c r="I56" s="48"/>
      <c r="J56" s="48"/>
      <c r="K56" s="766"/>
      <c r="L56" s="766"/>
      <c r="M56" s="48"/>
      <c r="N56" s="48"/>
      <c r="O56" s="737">
        <f>VLOOKUP('Part 1'!$L$16,Datasheet2!$B$6:$BP$332,33,FALSE)</f>
        <v>243581986</v>
      </c>
      <c r="P56" s="738"/>
      <c r="Q56" s="48"/>
      <c r="R56" s="230"/>
      <c r="S56" s="780">
        <f>VLOOKUP('Part 1'!$L$16,Datasheet2!$B$6:$BP$332,34,FALSE)</f>
        <v>243581986</v>
      </c>
      <c r="T56" s="781"/>
      <c r="U56" s="232"/>
      <c r="V56" s="19"/>
    </row>
    <row r="57" spans="1:22" ht="15.75" x14ac:dyDescent="0.2">
      <c r="A57" s="29"/>
      <c r="B57" s="18"/>
      <c r="C57" s="96"/>
      <c r="D57" s="43"/>
      <c r="E57" s="43"/>
      <c r="F57" s="18"/>
      <c r="G57" s="389"/>
      <c r="H57" s="48"/>
      <c r="I57" s="389"/>
      <c r="J57" s="48"/>
      <c r="K57" s="389"/>
      <c r="L57" s="389"/>
      <c r="M57" s="389"/>
      <c r="N57" s="389"/>
      <c r="O57" s="389"/>
      <c r="P57" s="389"/>
      <c r="Q57" s="48"/>
      <c r="R57" s="230"/>
      <c r="S57" s="230"/>
      <c r="T57" s="230"/>
      <c r="U57" s="232"/>
      <c r="V57" s="19"/>
    </row>
    <row r="58" spans="1:22" ht="15.75" x14ac:dyDescent="0.2">
      <c r="A58" s="29"/>
      <c r="B58" s="18"/>
      <c r="C58" s="96"/>
      <c r="D58" s="43"/>
      <c r="E58" s="43"/>
      <c r="F58" s="18"/>
      <c r="G58" s="48"/>
      <c r="H58" s="48"/>
      <c r="I58" s="389"/>
      <c r="J58" s="48"/>
      <c r="K58" s="48"/>
      <c r="L58" s="48"/>
      <c r="M58" s="48"/>
      <c r="N58" s="48"/>
      <c r="O58" s="48"/>
      <c r="P58" s="48"/>
      <c r="Q58" s="48"/>
      <c r="R58" s="230"/>
      <c r="S58" s="230"/>
      <c r="T58" s="230"/>
      <c r="U58" s="232"/>
      <c r="V58" s="19"/>
    </row>
    <row r="59" spans="1:22" ht="15" customHeight="1" x14ac:dyDescent="0.2">
      <c r="A59" s="29"/>
      <c r="B59" s="18"/>
      <c r="C59" s="107"/>
      <c r="D59" s="43"/>
      <c r="E59" s="43"/>
      <c r="F59" s="18"/>
      <c r="G59" s="792"/>
      <c r="H59" s="792"/>
      <c r="I59" s="48"/>
      <c r="J59" s="48"/>
      <c r="K59" s="48"/>
      <c r="L59" s="48"/>
      <c r="M59" s="48"/>
      <c r="N59" s="48"/>
      <c r="O59" s="48"/>
      <c r="P59" s="48"/>
      <c r="Q59" s="48"/>
      <c r="R59" s="230"/>
      <c r="S59" s="796" t="s">
        <v>867</v>
      </c>
      <c r="T59" s="797"/>
      <c r="U59" s="232"/>
      <c r="V59" s="19"/>
    </row>
    <row r="60" spans="1:22" ht="16.5" customHeight="1" thickBot="1" x14ac:dyDescent="0.3">
      <c r="A60" s="29"/>
      <c r="B60" s="17"/>
      <c r="C60" s="96" t="s">
        <v>1044</v>
      </c>
      <c r="D60" s="43"/>
      <c r="E60" s="43"/>
      <c r="F60" s="18"/>
      <c r="G60" s="792"/>
      <c r="H60" s="792"/>
      <c r="I60" s="48"/>
      <c r="J60" s="48"/>
      <c r="K60" s="48"/>
      <c r="L60" s="48"/>
      <c r="M60" s="48"/>
      <c r="N60" s="48"/>
      <c r="O60" s="48"/>
      <c r="P60" s="48"/>
      <c r="Q60" s="48"/>
      <c r="R60" s="230"/>
      <c r="S60" s="797"/>
      <c r="T60" s="797"/>
      <c r="U60" s="331"/>
      <c r="V60" s="19"/>
    </row>
    <row r="61" spans="1:22" ht="16.5" thickBot="1" x14ac:dyDescent="0.25">
      <c r="A61" s="29"/>
      <c r="B61" s="18"/>
      <c r="C61" s="61" t="s">
        <v>1385</v>
      </c>
      <c r="D61" s="43"/>
      <c r="E61" s="43"/>
      <c r="F61" s="18"/>
      <c r="G61" s="792"/>
      <c r="H61" s="792"/>
      <c r="I61" s="48"/>
      <c r="J61" s="48"/>
      <c r="K61" s="737">
        <f>VLOOKUP('Part 1'!$L$16,Datasheet2!$B$6:$BP$332,35,FALSE)</f>
        <v>64338544.739999995</v>
      </c>
      <c r="L61" s="738"/>
      <c r="M61" s="48"/>
      <c r="N61" s="48"/>
      <c r="O61" s="737">
        <f>VLOOKUP('Part 1'!$L$16,Datasheet2!$B$6:$BP$332,36,FALSE)</f>
        <v>495348</v>
      </c>
      <c r="P61" s="738"/>
      <c r="Q61" s="18"/>
      <c r="R61" s="230"/>
      <c r="S61" s="780">
        <f>VLOOKUP('Part 1'!$L$16,Datasheet2!$B$6:$BP$332,37,FALSE)</f>
        <v>64833892.739999995</v>
      </c>
      <c r="T61" s="781"/>
      <c r="U61" s="245"/>
      <c r="V61" s="19"/>
    </row>
    <row r="62" spans="1:22" ht="16.5" thickBot="1" x14ac:dyDescent="0.25">
      <c r="A62" s="29"/>
      <c r="B62" s="18"/>
      <c r="C62" s="61"/>
      <c r="D62" s="43"/>
      <c r="E62" s="43"/>
      <c r="F62" s="18"/>
      <c r="G62" s="792"/>
      <c r="H62" s="792"/>
      <c r="I62" s="48"/>
      <c r="J62" s="48"/>
      <c r="K62" s="620"/>
      <c r="L62" s="621"/>
      <c r="M62" s="105"/>
      <c r="N62" s="105"/>
      <c r="O62" s="620"/>
      <c r="P62" s="621"/>
      <c r="Q62" s="18"/>
      <c r="R62" s="230"/>
      <c r="S62" s="618"/>
      <c r="T62" s="619"/>
      <c r="U62" s="245"/>
      <c r="V62" s="19"/>
    </row>
    <row r="63" spans="1:22" ht="16.5" thickBot="1" x14ac:dyDescent="0.25">
      <c r="A63" s="29"/>
      <c r="B63" s="18"/>
      <c r="C63" s="61" t="s">
        <v>1389</v>
      </c>
      <c r="D63" s="43"/>
      <c r="E63" s="43"/>
      <c r="F63" s="18"/>
      <c r="G63" s="792"/>
      <c r="H63" s="792"/>
      <c r="I63" s="48"/>
      <c r="J63" s="48"/>
      <c r="K63" s="782">
        <f>VLOOKUP('Part 1'!$L$16,Datasheet2!$B$6:$BP$332,38,FALSE)</f>
        <v>25390</v>
      </c>
      <c r="L63" s="783"/>
      <c r="M63" s="48"/>
      <c r="N63" s="48"/>
      <c r="O63" s="782">
        <f>VLOOKUP('Part 1'!$L$16,Datasheet2!$B$6:$BP$332,39,FALSE)</f>
        <v>0</v>
      </c>
      <c r="P63" s="783"/>
      <c r="Q63" s="18"/>
      <c r="R63" s="230"/>
      <c r="S63" s="784">
        <f>VLOOKUP('Part 1'!$L$16,Datasheet2!$B$6:$BP$332,40,FALSE)</f>
        <v>25390</v>
      </c>
      <c r="T63" s="783"/>
      <c r="U63" s="245"/>
      <c r="V63" s="19"/>
    </row>
    <row r="64" spans="1:22" ht="15.75" thickBot="1" x14ac:dyDescent="0.25">
      <c r="A64" s="29"/>
      <c r="B64" s="18"/>
      <c r="C64" s="43"/>
      <c r="D64" s="43"/>
      <c r="E64" s="43"/>
      <c r="F64" s="18"/>
      <c r="G64" s="792"/>
      <c r="H64" s="792"/>
      <c r="I64" s="48"/>
      <c r="J64" s="48"/>
      <c r="K64" s="48"/>
      <c r="L64" s="48"/>
      <c r="M64" s="48"/>
      <c r="N64" s="48"/>
      <c r="O64" s="48"/>
      <c r="P64" s="48"/>
      <c r="Q64" s="48"/>
      <c r="R64" s="230"/>
      <c r="S64" s="230"/>
      <c r="T64" s="230"/>
      <c r="U64" s="232"/>
      <c r="V64" s="19"/>
    </row>
    <row r="65" spans="1:30" ht="16.5" thickBot="1" x14ac:dyDescent="0.25">
      <c r="A65" s="29"/>
      <c r="B65" s="18"/>
      <c r="C65" s="61" t="s">
        <v>1386</v>
      </c>
      <c r="D65" s="43"/>
      <c r="E65" s="43"/>
      <c r="F65" s="18"/>
      <c r="G65" s="48"/>
      <c r="H65" s="48"/>
      <c r="I65" s="48"/>
      <c r="J65" s="48"/>
      <c r="K65" s="48"/>
      <c r="L65" s="48"/>
      <c r="M65" s="48"/>
      <c r="N65" s="48"/>
      <c r="O65" s="737">
        <f>VLOOKUP('Part 1'!$L$16,Datasheet2!$B$6:$BP$332,41,FALSE)</f>
        <v>-4430177</v>
      </c>
      <c r="P65" s="738"/>
      <c r="Q65" s="48"/>
      <c r="R65" s="230"/>
      <c r="S65" s="780">
        <f>VLOOKUP('Part 1'!$L$16,Datasheet2!$B$6:$BP$332,42,FALSE)</f>
        <v>-4430177</v>
      </c>
      <c r="T65" s="781"/>
      <c r="U65" s="232"/>
      <c r="V65" s="19"/>
    </row>
    <row r="66" spans="1:30" ht="15.75" thickBot="1" x14ac:dyDescent="0.25">
      <c r="A66" s="29"/>
      <c r="B66" s="18"/>
      <c r="C66" s="43"/>
      <c r="D66" s="43"/>
      <c r="E66" s="43"/>
      <c r="F66" s="18"/>
      <c r="G66" s="48"/>
      <c r="H66" s="48"/>
      <c r="I66" s="48"/>
      <c r="J66" s="48"/>
      <c r="K66" s="48"/>
      <c r="L66" s="48"/>
      <c r="M66" s="48"/>
      <c r="N66" s="48"/>
      <c r="O66" s="48"/>
      <c r="P66" s="48"/>
      <c r="Q66" s="48"/>
      <c r="R66" s="230"/>
      <c r="S66" s="230"/>
      <c r="T66" s="230"/>
      <c r="U66" s="232"/>
      <c r="V66" s="19"/>
    </row>
    <row r="67" spans="1:30" ht="16.5" thickBot="1" x14ac:dyDescent="0.25">
      <c r="A67" s="29"/>
      <c r="B67" s="18"/>
      <c r="C67" s="61" t="s">
        <v>1387</v>
      </c>
      <c r="D67" s="43"/>
      <c r="E67" s="43"/>
      <c r="F67" s="18"/>
      <c r="G67" s="48"/>
      <c r="H67" s="48"/>
      <c r="I67" s="48"/>
      <c r="J67" s="48"/>
      <c r="K67" s="48"/>
      <c r="L67" s="48"/>
      <c r="M67" s="48"/>
      <c r="N67" s="48"/>
      <c r="O67" s="737">
        <f>VLOOKUP('Part 1'!$L$16,Datasheet2!$B$6:$BP$332,43,FALSE)</f>
        <v>209217080</v>
      </c>
      <c r="P67" s="738"/>
      <c r="Q67" s="48"/>
      <c r="R67" s="230"/>
      <c r="S67" s="793">
        <f>VLOOKUP('Part 1'!$L$16,Datasheet2!$B$6:$BP$332,44,FALSE)</f>
        <v>209217080</v>
      </c>
      <c r="T67" s="794"/>
      <c r="U67" s="232"/>
      <c r="V67" s="19"/>
    </row>
    <row r="68" spans="1:30" ht="16.5" thickBot="1" x14ac:dyDescent="0.25">
      <c r="A68" s="29"/>
      <c r="B68" s="18"/>
      <c r="C68" s="43"/>
      <c r="D68" s="43"/>
      <c r="E68" s="43"/>
      <c r="F68" s="18"/>
      <c r="G68" s="48"/>
      <c r="H68" s="48"/>
      <c r="I68" s="48"/>
      <c r="J68" s="48"/>
      <c r="K68" s="48"/>
      <c r="L68" s="48"/>
      <c r="M68" s="48"/>
      <c r="N68" s="48"/>
      <c r="O68" s="49"/>
      <c r="P68" s="48"/>
      <c r="Q68" s="48"/>
      <c r="R68" s="230"/>
      <c r="S68" s="230"/>
      <c r="T68" s="230"/>
      <c r="U68" s="232"/>
      <c r="V68" s="19"/>
    </row>
    <row r="69" spans="1:30" x14ac:dyDescent="0.2">
      <c r="A69" s="29"/>
      <c r="B69" s="25"/>
      <c r="C69" s="121"/>
      <c r="D69" s="121"/>
      <c r="E69" s="121"/>
      <c r="F69" s="20"/>
      <c r="G69" s="332"/>
      <c r="H69" s="332"/>
      <c r="I69" s="332"/>
      <c r="J69" s="332"/>
      <c r="K69" s="332"/>
      <c r="L69" s="332"/>
      <c r="M69" s="332"/>
      <c r="N69" s="332"/>
      <c r="O69" s="332"/>
      <c r="P69" s="332"/>
      <c r="Q69" s="332"/>
      <c r="R69" s="332"/>
      <c r="S69" s="332"/>
      <c r="T69" s="332"/>
      <c r="U69" s="333"/>
      <c r="V69" s="19"/>
    </row>
    <row r="70" spans="1:30" ht="15.75" x14ac:dyDescent="0.2">
      <c r="A70" s="29"/>
      <c r="B70" s="26"/>
      <c r="C70" s="123"/>
      <c r="D70" s="123"/>
      <c r="E70" s="123"/>
      <c r="F70" s="21"/>
      <c r="G70" s="50"/>
      <c r="H70" s="50"/>
      <c r="I70" s="50"/>
      <c r="J70" s="50"/>
      <c r="K70" s="330"/>
      <c r="L70" s="330"/>
      <c r="M70" s="330"/>
      <c r="N70" s="330"/>
      <c r="O70" s="330"/>
      <c r="P70" s="330"/>
      <c r="Q70" s="50"/>
      <c r="R70" s="778" t="s">
        <v>67</v>
      </c>
      <c r="S70" s="778"/>
      <c r="T70" s="778"/>
      <c r="U70" s="779"/>
      <c r="V70" s="19"/>
    </row>
    <row r="71" spans="1:30" ht="16.5" thickBot="1" x14ac:dyDescent="0.25">
      <c r="A71" s="29"/>
      <c r="B71" s="26"/>
      <c r="C71" s="122" t="s">
        <v>38</v>
      </c>
      <c r="D71" s="123"/>
      <c r="E71" s="123"/>
      <c r="F71" s="21"/>
      <c r="G71" s="50"/>
      <c r="H71" s="50"/>
      <c r="I71" s="50"/>
      <c r="J71" s="50"/>
      <c r="K71" s="330"/>
      <c r="L71" s="330"/>
      <c r="M71" s="330"/>
      <c r="N71" s="330"/>
      <c r="O71" s="774"/>
      <c r="P71" s="774"/>
      <c r="Q71" s="177"/>
      <c r="R71" s="334"/>
      <c r="S71" s="777" t="s">
        <v>20</v>
      </c>
      <c r="T71" s="777"/>
      <c r="U71" s="335"/>
      <c r="V71" s="19"/>
    </row>
    <row r="72" spans="1:30" ht="16.5" thickBot="1" x14ac:dyDescent="0.25">
      <c r="A72" s="29"/>
      <c r="B72" s="26"/>
      <c r="C72" s="126" t="s">
        <v>1388</v>
      </c>
      <c r="D72" s="123"/>
      <c r="E72" s="123"/>
      <c r="F72" s="21"/>
      <c r="G72" s="50"/>
      <c r="H72" s="50"/>
      <c r="I72" s="50"/>
      <c r="J72" s="50"/>
      <c r="K72" s="330"/>
      <c r="L72" s="330"/>
      <c r="M72" s="330"/>
      <c r="N72" s="330"/>
      <c r="O72" s="774"/>
      <c r="P72" s="774"/>
      <c r="Q72" s="177"/>
      <c r="R72" s="334"/>
      <c r="S72" s="775">
        <f>VLOOKUP('Part 1'!$L$16,Datasheet2!$B$6:$BP$332,45,FALSE)</f>
        <v>52398872</v>
      </c>
      <c r="T72" s="776"/>
      <c r="U72" s="335"/>
      <c r="V72" s="19"/>
    </row>
    <row r="73" spans="1:30" ht="15.75" thickBot="1" x14ac:dyDescent="0.25">
      <c r="A73" s="29"/>
      <c r="B73" s="27"/>
      <c r="C73" s="124"/>
      <c r="D73" s="124"/>
      <c r="E73" s="124"/>
      <c r="F73" s="22"/>
      <c r="G73" s="93"/>
      <c r="H73" s="93"/>
      <c r="I73" s="93"/>
      <c r="J73" s="93"/>
      <c r="K73" s="93"/>
      <c r="L73" s="93"/>
      <c r="M73" s="93"/>
      <c r="N73" s="93"/>
      <c r="O73" s="93"/>
      <c r="P73" s="93"/>
      <c r="Q73" s="93"/>
      <c r="R73" s="93"/>
      <c r="S73" s="93"/>
      <c r="T73" s="93"/>
      <c r="U73" s="23"/>
      <c r="V73" s="19"/>
    </row>
    <row r="74" spans="1:30" x14ac:dyDescent="0.2">
      <c r="A74" s="29"/>
      <c r="B74" s="18"/>
      <c r="C74" s="43"/>
      <c r="D74" s="43"/>
      <c r="E74" s="43"/>
      <c r="F74" s="18"/>
      <c r="G74" s="94"/>
      <c r="H74" s="94"/>
      <c r="I74" s="94"/>
      <c r="J74" s="94"/>
      <c r="K74" s="94"/>
      <c r="L74" s="94"/>
      <c r="M74" s="94"/>
      <c r="N74" s="94"/>
      <c r="O74" s="94"/>
      <c r="P74" s="94"/>
      <c r="Q74" s="94"/>
      <c r="R74" s="94"/>
      <c r="S74" s="94"/>
      <c r="T74" s="94"/>
      <c r="U74" s="18"/>
      <c r="V74" s="19"/>
    </row>
    <row r="75" spans="1:30" s="5" customFormat="1" ht="15.75" x14ac:dyDescent="0.25">
      <c r="A75" s="7"/>
      <c r="B75" s="6"/>
      <c r="C75" s="96" t="s">
        <v>1247</v>
      </c>
      <c r="D75" s="61"/>
      <c r="E75" s="52"/>
      <c r="F75" s="52"/>
      <c r="G75" s="52"/>
      <c r="H75" s="52"/>
      <c r="I75" s="52"/>
      <c r="J75" s="52"/>
      <c r="K75" s="52"/>
      <c r="L75" s="52"/>
      <c r="M75" s="52"/>
      <c r="N75" s="52"/>
      <c r="O75" s="52"/>
      <c r="P75" s="52"/>
      <c r="Q75" s="52"/>
      <c r="R75" s="548"/>
      <c r="S75" s="549"/>
      <c r="T75" s="548"/>
      <c r="U75" s="550"/>
      <c r="V75" s="8"/>
      <c r="W75" s="229"/>
      <c r="X75" s="186"/>
      <c r="Y75" s="186"/>
      <c r="Z75" s="186"/>
      <c r="AA75" s="186"/>
      <c r="AB75" s="186"/>
      <c r="AC75" s="186"/>
      <c r="AD75" s="186"/>
    </row>
    <row r="76" spans="1:30" s="5" customFormat="1" ht="16.5" thickBot="1" x14ac:dyDescent="0.3">
      <c r="A76" s="7"/>
      <c r="B76" s="6"/>
      <c r="C76" s="61"/>
      <c r="D76" s="61"/>
      <c r="E76" s="52"/>
      <c r="F76" s="52"/>
      <c r="G76" s="52"/>
      <c r="H76" s="52"/>
      <c r="I76" s="52"/>
      <c r="J76" s="52"/>
      <c r="K76" s="546"/>
      <c r="L76" s="389"/>
      <c r="M76" s="52"/>
      <c r="N76" s="52"/>
      <c r="O76" s="52"/>
      <c r="P76" s="52"/>
      <c r="Q76" s="52"/>
      <c r="R76" s="548"/>
      <c r="S76" s="549"/>
      <c r="T76" s="548"/>
      <c r="U76" s="550"/>
      <c r="V76" s="8"/>
      <c r="W76" s="229"/>
      <c r="X76" s="186"/>
      <c r="Y76" s="186"/>
      <c r="Z76" s="186"/>
      <c r="AA76" s="186"/>
      <c r="AB76" s="186"/>
      <c r="AC76" s="186"/>
      <c r="AD76" s="186"/>
    </row>
    <row r="77" spans="1:30" s="5" customFormat="1" ht="16.5" thickBot="1" x14ac:dyDescent="0.3">
      <c r="A77" s="7"/>
      <c r="B77" s="6"/>
      <c r="C77" s="61" t="s">
        <v>1390</v>
      </c>
      <c r="D77" s="61"/>
      <c r="E77" s="52"/>
      <c r="F77" s="52"/>
      <c r="G77" s="52"/>
      <c r="H77" s="52"/>
      <c r="I77" s="52"/>
      <c r="J77" s="52"/>
      <c r="K77" s="785">
        <f>VLOOKUP('Part 1'!$L$16,Datasheet2!$B$6:$BP$332,46,FALSE)</f>
        <v>2933152</v>
      </c>
      <c r="L77" s="786"/>
      <c r="M77" s="52"/>
      <c r="N77" s="546"/>
      <c r="O77" s="785">
        <f>VLOOKUP('Part 1'!$L$16,Datasheet2!$B$6:$BP$332,47,FALSE)</f>
        <v>7681803</v>
      </c>
      <c r="P77" s="786"/>
      <c r="Q77" s="546"/>
      <c r="R77" s="548"/>
      <c r="S77" s="748">
        <f>VLOOKUP('Part 1'!$L$16,Datasheet2!$B$6:$BP$332,48,FALSE)</f>
        <v>10614955</v>
      </c>
      <c r="T77" s="787"/>
      <c r="U77" s="550"/>
      <c r="V77" s="8"/>
      <c r="W77" s="229"/>
      <c r="X77" s="403"/>
      <c r="Y77" s="223"/>
      <c r="Z77" s="404"/>
      <c r="AA77" s="186"/>
      <c r="AB77" s="404"/>
      <c r="AC77" s="186"/>
      <c r="AD77" s="186"/>
    </row>
    <row r="78" spans="1:30" s="5" customFormat="1" ht="15.75" x14ac:dyDescent="0.25">
      <c r="A78" s="7"/>
      <c r="B78" s="6"/>
      <c r="C78" s="61"/>
      <c r="D78" s="61"/>
      <c r="E78" s="52"/>
      <c r="F78" s="52"/>
      <c r="G78" s="52"/>
      <c r="H78" s="52"/>
      <c r="I78" s="52"/>
      <c r="J78" s="52"/>
      <c r="K78" s="546"/>
      <c r="L78" s="389"/>
      <c r="M78" s="389"/>
      <c r="N78" s="389"/>
      <c r="O78" s="52"/>
      <c r="P78" s="546"/>
      <c r="Q78" s="52"/>
      <c r="R78" s="548"/>
      <c r="S78" s="549"/>
      <c r="T78" s="549"/>
      <c r="U78" s="550"/>
      <c r="V78" s="8"/>
      <c r="W78" s="229"/>
      <c r="X78" s="186"/>
      <c r="Y78" s="186"/>
      <c r="Z78" s="186"/>
      <c r="AA78" s="186"/>
      <c r="AB78" s="186"/>
      <c r="AC78" s="186"/>
      <c r="AD78" s="186"/>
    </row>
    <row r="79" spans="1:30" s="5" customFormat="1" ht="15.75" x14ac:dyDescent="0.25">
      <c r="A79" s="7"/>
      <c r="B79" s="6"/>
      <c r="C79" s="96" t="s">
        <v>1248</v>
      </c>
      <c r="D79" s="61"/>
      <c r="E79" s="52"/>
      <c r="F79" s="52"/>
      <c r="G79" s="52"/>
      <c r="H79" s="52"/>
      <c r="I79" s="52"/>
      <c r="J79" s="52"/>
      <c r="K79" s="546"/>
      <c r="L79" s="389"/>
      <c r="M79" s="52"/>
      <c r="N79" s="52"/>
      <c r="O79" s="52"/>
      <c r="P79" s="546"/>
      <c r="Q79" s="52"/>
      <c r="R79" s="548"/>
      <c r="S79" s="549"/>
      <c r="T79" s="549"/>
      <c r="U79" s="550"/>
      <c r="V79" s="8"/>
      <c r="W79" s="229"/>
      <c r="X79" s="186"/>
      <c r="Y79" s="186"/>
      <c r="Z79" s="186"/>
      <c r="AA79" s="186"/>
      <c r="AB79" s="186"/>
      <c r="AC79" s="186"/>
      <c r="AD79" s="186"/>
    </row>
    <row r="80" spans="1:30" s="5" customFormat="1" ht="16.5" thickBot="1" x14ac:dyDescent="0.3">
      <c r="A80" s="7"/>
      <c r="B80" s="6"/>
      <c r="C80" s="61"/>
      <c r="D80" s="61"/>
      <c r="E80" s="52"/>
      <c r="F80" s="52"/>
      <c r="G80" s="52"/>
      <c r="H80" s="52"/>
      <c r="I80" s="52"/>
      <c r="J80" s="52"/>
      <c r="K80" s="546"/>
      <c r="L80" s="389"/>
      <c r="M80" s="389"/>
      <c r="N80" s="389"/>
      <c r="O80" s="52"/>
      <c r="P80" s="546"/>
      <c r="Q80" s="52"/>
      <c r="R80" s="548"/>
      <c r="S80" s="549"/>
      <c r="T80" s="549"/>
      <c r="U80" s="550"/>
      <c r="V80" s="8"/>
      <c r="W80" s="229"/>
      <c r="X80" s="186"/>
      <c r="Y80" s="186"/>
      <c r="Z80" s="186"/>
      <c r="AA80" s="186"/>
      <c r="AB80" s="186"/>
      <c r="AC80" s="186"/>
      <c r="AD80" s="186"/>
    </row>
    <row r="81" spans="1:30" s="5" customFormat="1" ht="16.5" thickBot="1" x14ac:dyDescent="0.3">
      <c r="A81" s="7"/>
      <c r="B81" s="6"/>
      <c r="C81" s="61" t="s">
        <v>1391</v>
      </c>
      <c r="D81" s="61"/>
      <c r="E81" s="52"/>
      <c r="F81" s="52"/>
      <c r="G81" s="52"/>
      <c r="H81" s="52"/>
      <c r="I81" s="52"/>
      <c r="J81" s="52"/>
      <c r="K81" s="788">
        <f>VLOOKUP('Part 1'!$L$16,Datasheet2!$B$6:$BP$332,49,FALSE)</f>
        <v>95175</v>
      </c>
      <c r="L81" s="789"/>
      <c r="M81" s="52"/>
      <c r="N81" s="546"/>
      <c r="O81" s="788">
        <f>VLOOKUP('Part 1'!$L$16,Datasheet2!$B$6:$BP$332,50,FALSE)</f>
        <v>8929676</v>
      </c>
      <c r="P81" s="789"/>
      <c r="Q81" s="52"/>
      <c r="R81" s="548"/>
      <c r="S81" s="790">
        <f>VLOOKUP('Part 1'!$L$16,Datasheet2!$B$6:$BP$332,51,FALSE)</f>
        <v>9024851</v>
      </c>
      <c r="T81" s="791"/>
      <c r="U81" s="550"/>
      <c r="V81" s="8"/>
      <c r="W81" s="229"/>
      <c r="X81" s="186"/>
      <c r="Y81" s="186"/>
      <c r="Z81" s="186"/>
      <c r="AA81" s="186"/>
      <c r="AB81" s="186"/>
      <c r="AC81" s="186"/>
      <c r="AD81" s="186"/>
    </row>
    <row r="82" spans="1:30" s="5" customFormat="1" ht="15.75" x14ac:dyDescent="0.25">
      <c r="A82" s="7"/>
      <c r="B82" s="6"/>
      <c r="C82" s="61"/>
      <c r="D82" s="61"/>
      <c r="E82" s="52"/>
      <c r="F82" s="52"/>
      <c r="G82" s="52"/>
      <c r="H82" s="52"/>
      <c r="I82" s="52"/>
      <c r="J82" s="52"/>
      <c r="K82" s="546"/>
      <c r="L82" s="389"/>
      <c r="M82" s="389"/>
      <c r="N82" s="389"/>
      <c r="O82" s="389"/>
      <c r="P82" s="52"/>
      <c r="Q82" s="52"/>
      <c r="R82" s="548"/>
      <c r="S82" s="549"/>
      <c r="T82" s="548"/>
      <c r="U82" s="550"/>
      <c r="V82" s="8"/>
      <c r="W82" s="229"/>
      <c r="X82" s="186"/>
      <c r="Y82" s="186"/>
      <c r="Z82" s="186"/>
      <c r="AA82" s="186"/>
      <c r="AB82" s="186"/>
      <c r="AC82" s="186"/>
      <c r="AD82" s="186"/>
    </row>
    <row r="83" spans="1:30" s="5" customFormat="1" ht="15.75" x14ac:dyDescent="0.25">
      <c r="A83" s="7"/>
      <c r="B83" s="6"/>
      <c r="C83" s="96" t="s">
        <v>1249</v>
      </c>
      <c r="D83" s="61"/>
      <c r="E83" s="52"/>
      <c r="F83" s="52"/>
      <c r="G83" s="52"/>
      <c r="H83" s="52"/>
      <c r="I83" s="52"/>
      <c r="J83" s="52"/>
      <c r="K83" s="546"/>
      <c r="L83" s="389"/>
      <c r="M83" s="389"/>
      <c r="N83" s="389"/>
      <c r="O83" s="389"/>
      <c r="P83" s="389"/>
      <c r="Q83" s="52"/>
      <c r="R83" s="548"/>
      <c r="S83" s="549"/>
      <c r="T83" s="548"/>
      <c r="U83" s="550"/>
      <c r="V83" s="8"/>
      <c r="W83" s="229"/>
      <c r="X83" s="186"/>
      <c r="Y83" s="186"/>
      <c r="Z83" s="186"/>
      <c r="AA83" s="186"/>
      <c r="AB83" s="186"/>
      <c r="AC83" s="186"/>
      <c r="AD83" s="186"/>
    </row>
    <row r="84" spans="1:30" s="5" customFormat="1" ht="16.5" thickBot="1" x14ac:dyDescent="0.3">
      <c r="A84" s="7"/>
      <c r="B84" s="6"/>
      <c r="C84" s="61"/>
      <c r="D84" s="61"/>
      <c r="E84" s="52"/>
      <c r="F84" s="52"/>
      <c r="G84" s="52"/>
      <c r="H84" s="52"/>
      <c r="I84" s="52"/>
      <c r="J84" s="52"/>
      <c r="K84" s="546"/>
      <c r="L84" s="389"/>
      <c r="M84" s="389"/>
      <c r="N84" s="389"/>
      <c r="O84" s="389"/>
      <c r="P84" s="389"/>
      <c r="Q84" s="52"/>
      <c r="R84" s="548"/>
      <c r="S84" s="549"/>
      <c r="T84" s="548"/>
      <c r="U84" s="550"/>
      <c r="V84" s="8"/>
      <c r="W84" s="229"/>
      <c r="X84" s="186"/>
      <c r="Y84" s="186"/>
      <c r="Z84" s="186"/>
      <c r="AA84" s="186"/>
      <c r="AB84" s="186"/>
      <c r="AC84" s="186"/>
      <c r="AD84" s="186"/>
    </row>
    <row r="85" spans="1:30" s="5" customFormat="1" ht="16.5" thickBot="1" x14ac:dyDescent="0.3">
      <c r="A85" s="7"/>
      <c r="B85" s="6"/>
      <c r="C85" s="802" t="s">
        <v>1392</v>
      </c>
      <c r="D85" s="802"/>
      <c r="E85" s="802"/>
      <c r="F85" s="802"/>
      <c r="G85" s="547"/>
      <c r="H85" s="547"/>
      <c r="I85" s="52"/>
      <c r="J85" s="52"/>
      <c r="K85" s="803">
        <f>VLOOKUP('Part 1'!$L$16,Datasheet2!$B$6:$BP$332,52,FALSE)</f>
        <v>225062818</v>
      </c>
      <c r="L85" s="804"/>
      <c r="M85" s="546"/>
      <c r="N85" s="389"/>
      <c r="O85" s="389"/>
      <c r="P85" s="52"/>
      <c r="Q85" s="52"/>
      <c r="R85" s="548"/>
      <c r="S85" s="790">
        <f>VLOOKUP('Part 1'!$L$16,Datasheet2!$B$6:$BP$332,53,FALSE)</f>
        <v>225062818</v>
      </c>
      <c r="T85" s="791"/>
      <c r="U85" s="548"/>
      <c r="V85" s="8"/>
      <c r="W85" s="229"/>
      <c r="X85" s="186"/>
      <c r="Y85" s="186"/>
      <c r="Z85" s="186"/>
      <c r="AA85" s="186"/>
      <c r="AB85" s="186"/>
      <c r="AC85" s="186"/>
      <c r="AD85" s="186"/>
    </row>
    <row r="86" spans="1:30" s="5" customFormat="1" ht="15.75" x14ac:dyDescent="0.25">
      <c r="A86" s="7"/>
      <c r="B86" s="6"/>
      <c r="C86" s="802"/>
      <c r="D86" s="802"/>
      <c r="E86" s="802"/>
      <c r="F86" s="802"/>
      <c r="G86" s="547"/>
      <c r="H86" s="547"/>
      <c r="I86" s="52"/>
      <c r="J86" s="52"/>
      <c r="K86" s="61"/>
      <c r="L86" s="61"/>
      <c r="M86" s="546"/>
      <c r="N86" s="389"/>
      <c r="O86" s="389"/>
      <c r="P86" s="52"/>
      <c r="Q86" s="52"/>
      <c r="R86" s="548"/>
      <c r="S86" s="549"/>
      <c r="T86" s="548"/>
      <c r="U86" s="548"/>
      <c r="V86" s="8"/>
      <c r="W86" s="229"/>
      <c r="X86" s="186"/>
      <c r="Y86" s="186"/>
      <c r="Z86" s="186"/>
      <c r="AA86" s="186"/>
      <c r="AB86" s="186"/>
      <c r="AC86" s="186"/>
      <c r="AD86" s="186"/>
    </row>
    <row r="87" spans="1:30" s="5" customFormat="1" ht="16.5" thickBot="1" x14ac:dyDescent="0.3">
      <c r="A87" s="7"/>
      <c r="B87" s="6"/>
      <c r="C87" s="61"/>
      <c r="D87" s="61"/>
      <c r="E87" s="52"/>
      <c r="F87" s="52"/>
      <c r="G87" s="52"/>
      <c r="H87" s="52"/>
      <c r="I87" s="52"/>
      <c r="J87" s="52"/>
      <c r="K87" s="52"/>
      <c r="L87" s="52"/>
      <c r="M87" s="546"/>
      <c r="N87" s="389"/>
      <c r="O87" s="389"/>
      <c r="P87" s="52"/>
      <c r="Q87" s="52"/>
      <c r="R87" s="548"/>
      <c r="S87" s="549"/>
      <c r="T87" s="548"/>
      <c r="U87" s="548"/>
      <c r="V87" s="8"/>
      <c r="W87" s="229"/>
      <c r="X87" s="186"/>
      <c r="Y87" s="186"/>
      <c r="Z87" s="186"/>
      <c r="AA87" s="186"/>
      <c r="AB87" s="186"/>
      <c r="AC87" s="186"/>
      <c r="AD87" s="186"/>
    </row>
    <row r="88" spans="1:30" s="5" customFormat="1" ht="16.5" thickBot="1" x14ac:dyDescent="0.3">
      <c r="A88" s="7"/>
      <c r="B88" s="6"/>
      <c r="C88" s="61" t="s">
        <v>1393</v>
      </c>
      <c r="D88" s="61"/>
      <c r="E88" s="52"/>
      <c r="F88" s="52"/>
      <c r="G88" s="52"/>
      <c r="H88" s="52"/>
      <c r="I88" s="52"/>
      <c r="J88" s="52"/>
      <c r="K88" s="805">
        <f>VLOOKUP('Part 1'!$L$16,Datasheet2!$B$6:$BP$332,54,FALSE)</f>
        <v>220836157</v>
      </c>
      <c r="L88" s="806"/>
      <c r="M88" s="546"/>
      <c r="N88" s="389"/>
      <c r="O88" s="389"/>
      <c r="P88" s="52"/>
      <c r="Q88" s="52"/>
      <c r="R88" s="548"/>
      <c r="S88" s="790">
        <f>VLOOKUP('Part 1'!$L$16,Datasheet2!$B$6:$BP$332,55,FALSE)</f>
        <v>220836157</v>
      </c>
      <c r="T88" s="791"/>
      <c r="U88" s="548"/>
      <c r="V88" s="8"/>
      <c r="W88" s="229"/>
      <c r="X88" s="186"/>
      <c r="Y88" s="186"/>
      <c r="Z88" s="186"/>
      <c r="AA88" s="186"/>
      <c r="AB88" s="186"/>
      <c r="AC88" s="186"/>
      <c r="AD88" s="186"/>
    </row>
    <row r="89" spans="1:30" s="5" customFormat="1" ht="16.5" thickBot="1" x14ac:dyDescent="0.3">
      <c r="A89" s="7"/>
      <c r="B89" s="6"/>
      <c r="C89" s="61"/>
      <c r="D89" s="61"/>
      <c r="E89" s="52"/>
      <c r="F89" s="52"/>
      <c r="G89" s="52"/>
      <c r="H89" s="52"/>
      <c r="I89" s="52"/>
      <c r="J89" s="52"/>
      <c r="K89" s="52"/>
      <c r="L89" s="52"/>
      <c r="M89" s="546"/>
      <c r="N89" s="389"/>
      <c r="O89" s="389"/>
      <c r="P89" s="52"/>
      <c r="Q89" s="52"/>
      <c r="R89" s="548"/>
      <c r="S89" s="549"/>
      <c r="T89" s="548"/>
      <c r="U89" s="548"/>
      <c r="V89" s="8"/>
      <c r="W89" s="229"/>
      <c r="X89" s="186"/>
      <c r="Y89" s="186"/>
      <c r="Z89" s="186"/>
      <c r="AA89" s="186"/>
      <c r="AB89" s="186"/>
      <c r="AC89" s="186"/>
      <c r="AD89" s="186"/>
    </row>
    <row r="90" spans="1:30" s="5" customFormat="1" ht="16.5" thickBot="1" x14ac:dyDescent="0.3">
      <c r="A90" s="7"/>
      <c r="B90" s="6"/>
      <c r="C90" s="61" t="s">
        <v>1394</v>
      </c>
      <c r="D90" s="61"/>
      <c r="E90" s="52"/>
      <c r="F90" s="52"/>
      <c r="G90" s="52"/>
      <c r="H90" s="52"/>
      <c r="I90" s="52"/>
      <c r="J90" s="52"/>
      <c r="K90" s="785">
        <f>VLOOKUP('Part 1'!$L$16,Datasheet2!$B$6:$BP$332,56,FALSE)</f>
        <v>3213589</v>
      </c>
      <c r="L90" s="786"/>
      <c r="M90" s="546"/>
      <c r="N90" s="389"/>
      <c r="O90" s="389"/>
      <c r="P90" s="52"/>
      <c r="Q90" s="52"/>
      <c r="R90" s="548"/>
      <c r="S90" s="790">
        <f>VLOOKUP('Part 1'!$L$16,Datasheet2!$B$6:$BP$332,57,FALSE)</f>
        <v>3213589</v>
      </c>
      <c r="T90" s="791"/>
      <c r="U90" s="548"/>
      <c r="V90" s="8"/>
      <c r="W90" s="229"/>
      <c r="X90" s="186"/>
      <c r="Y90" s="186"/>
      <c r="Z90" s="186"/>
      <c r="AA90" s="186"/>
      <c r="AB90" s="186"/>
      <c r="AC90" s="186"/>
      <c r="AD90" s="186"/>
    </row>
    <row r="91" spans="1:30" s="5" customFormat="1" ht="15.75" x14ac:dyDescent="0.25">
      <c r="A91" s="7"/>
      <c r="B91" s="6"/>
      <c r="C91" s="61"/>
      <c r="D91" s="61"/>
      <c r="E91" s="52"/>
      <c r="F91" s="52"/>
      <c r="G91" s="52"/>
      <c r="H91" s="52"/>
      <c r="I91" s="52"/>
      <c r="J91" s="52"/>
      <c r="K91" s="52"/>
      <c r="L91" s="52"/>
      <c r="M91" s="546"/>
      <c r="N91" s="389"/>
      <c r="O91" s="389"/>
      <c r="P91" s="52"/>
      <c r="Q91" s="52"/>
      <c r="R91" s="548"/>
      <c r="S91" s="549"/>
      <c r="T91" s="548"/>
      <c r="U91" s="548"/>
      <c r="V91" s="8"/>
      <c r="W91" s="229"/>
      <c r="X91" s="186"/>
      <c r="Y91" s="186"/>
      <c r="Z91" s="186"/>
      <c r="AA91" s="186"/>
      <c r="AB91" s="186"/>
      <c r="AC91" s="186"/>
      <c r="AD91" s="186"/>
    </row>
    <row r="92" spans="1:30" s="5" customFormat="1" ht="15.75" x14ac:dyDescent="0.25">
      <c r="A92" s="7"/>
      <c r="B92" s="6"/>
      <c r="C92" s="96" t="s">
        <v>1250</v>
      </c>
      <c r="D92" s="61"/>
      <c r="E92" s="52"/>
      <c r="F92" s="52"/>
      <c r="G92" s="52"/>
      <c r="H92" s="52"/>
      <c r="I92" s="52"/>
      <c r="J92" s="52"/>
      <c r="K92" s="52"/>
      <c r="L92" s="52"/>
      <c r="M92" s="546"/>
      <c r="N92" s="389"/>
      <c r="O92" s="389"/>
      <c r="P92" s="52"/>
      <c r="Q92" s="52"/>
      <c r="R92" s="548"/>
      <c r="S92" s="549"/>
      <c r="T92" s="548"/>
      <c r="U92" s="548"/>
      <c r="V92" s="8"/>
      <c r="W92" s="229"/>
      <c r="X92" s="186"/>
      <c r="Y92" s="186"/>
      <c r="Z92" s="186"/>
      <c r="AA92" s="186"/>
      <c r="AB92" s="186"/>
      <c r="AC92" s="186"/>
      <c r="AD92" s="186"/>
    </row>
    <row r="93" spans="1:30" s="5" customFormat="1" ht="16.5" thickBot="1" x14ac:dyDescent="0.3">
      <c r="A93" s="7"/>
      <c r="B93" s="6"/>
      <c r="C93" s="96"/>
      <c r="D93" s="61"/>
      <c r="E93" s="52"/>
      <c r="F93" s="52"/>
      <c r="G93" s="52"/>
      <c r="H93" s="52"/>
      <c r="I93" s="52"/>
      <c r="J93" s="52"/>
      <c r="K93" s="52"/>
      <c r="L93" s="52"/>
      <c r="M93" s="546"/>
      <c r="N93" s="389"/>
      <c r="O93" s="389"/>
      <c r="P93" s="52"/>
      <c r="Q93" s="52"/>
      <c r="R93" s="548"/>
      <c r="S93" s="549"/>
      <c r="T93" s="548"/>
      <c r="U93" s="548"/>
      <c r="V93" s="8"/>
      <c r="W93" s="229"/>
      <c r="X93" s="186"/>
      <c r="Y93" s="186"/>
      <c r="Z93" s="186"/>
      <c r="AA93" s="186"/>
      <c r="AB93" s="186"/>
      <c r="AC93" s="186"/>
      <c r="AD93" s="186"/>
    </row>
    <row r="94" spans="1:30" s="5" customFormat="1" ht="16.5" thickBot="1" x14ac:dyDescent="0.3">
      <c r="A94" s="7"/>
      <c r="B94" s="6"/>
      <c r="C94" s="61" t="s">
        <v>1395</v>
      </c>
      <c r="D94" s="61"/>
      <c r="E94" s="52"/>
      <c r="F94" s="52"/>
      <c r="G94" s="52"/>
      <c r="H94" s="52"/>
      <c r="I94" s="52"/>
      <c r="J94" s="52"/>
      <c r="K94" s="798">
        <f>VLOOKUP('Part 1'!$L$16,Datasheet2!$B$6:$BP$332,58,FALSE)</f>
        <v>749487</v>
      </c>
      <c r="L94" s="799"/>
      <c r="M94" s="546"/>
      <c r="N94" s="389"/>
      <c r="O94" s="389"/>
      <c r="P94" s="52"/>
      <c r="Q94" s="52"/>
      <c r="R94" s="548"/>
      <c r="S94" s="790">
        <f>VLOOKUP('Part 1'!$L$16,Datasheet2!$B$6:$BP$332,59,FALSE)</f>
        <v>382238</v>
      </c>
      <c r="T94" s="791"/>
      <c r="U94" s="548"/>
      <c r="V94" s="8"/>
      <c r="W94" s="229"/>
      <c r="X94" s="186"/>
      <c r="Y94" s="186"/>
      <c r="Z94" s="186"/>
      <c r="AA94" s="186"/>
      <c r="AB94" s="186"/>
      <c r="AC94" s="186"/>
      <c r="AD94" s="186"/>
    </row>
    <row r="95" spans="1:30" s="5" customFormat="1" ht="16.5" thickBot="1" x14ac:dyDescent="0.3">
      <c r="A95" s="7"/>
      <c r="B95" s="6"/>
      <c r="C95" s="61"/>
      <c r="D95" s="61"/>
      <c r="E95" s="52"/>
      <c r="F95" s="52"/>
      <c r="G95" s="52"/>
      <c r="H95" s="52"/>
      <c r="I95" s="52"/>
      <c r="J95" s="52"/>
      <c r="K95" s="52"/>
      <c r="L95" s="52"/>
      <c r="M95" s="546"/>
      <c r="N95" s="389"/>
      <c r="O95" s="389"/>
      <c r="P95" s="52"/>
      <c r="Q95" s="52"/>
      <c r="R95" s="548"/>
      <c r="S95" s="549"/>
      <c r="T95" s="548"/>
      <c r="U95" s="548"/>
      <c r="V95" s="8"/>
      <c r="W95" s="229"/>
      <c r="X95" s="186"/>
      <c r="Y95" s="186"/>
      <c r="Z95" s="186"/>
      <c r="AA95" s="186"/>
      <c r="AB95" s="186"/>
      <c r="AC95" s="186"/>
      <c r="AD95" s="186"/>
    </row>
    <row r="96" spans="1:30" s="5" customFormat="1" ht="15.75" x14ac:dyDescent="0.25">
      <c r="A96" s="7"/>
      <c r="B96" s="6"/>
      <c r="C96" s="551"/>
      <c r="D96" s="552"/>
      <c r="E96" s="553"/>
      <c r="F96" s="553"/>
      <c r="G96" s="553"/>
      <c r="H96" s="553"/>
      <c r="I96" s="553"/>
      <c r="J96" s="553"/>
      <c r="K96" s="553"/>
      <c r="L96" s="553"/>
      <c r="M96" s="554"/>
      <c r="N96" s="555"/>
      <c r="O96" s="555"/>
      <c r="P96" s="553"/>
      <c r="Q96" s="553"/>
      <c r="R96" s="557"/>
      <c r="S96" s="557"/>
      <c r="T96" s="556"/>
      <c r="U96" s="558"/>
      <c r="V96" s="8"/>
      <c r="W96" s="229"/>
      <c r="X96" s="186"/>
      <c r="Y96" s="186"/>
      <c r="Z96" s="186"/>
      <c r="AA96" s="186"/>
      <c r="AB96" s="186"/>
      <c r="AC96" s="186"/>
      <c r="AD96" s="186"/>
    </row>
    <row r="97" spans="1:30" s="5" customFormat="1" ht="19.5" customHeight="1" thickBot="1" x14ac:dyDescent="0.3">
      <c r="A97" s="7"/>
      <c r="B97" s="6"/>
      <c r="C97" s="559" t="s">
        <v>1248</v>
      </c>
      <c r="D97" s="560"/>
      <c r="E97" s="561"/>
      <c r="F97" s="561"/>
      <c r="G97" s="561"/>
      <c r="H97" s="561"/>
      <c r="I97" s="561"/>
      <c r="J97" s="561"/>
      <c r="K97" s="561"/>
      <c r="L97" s="561"/>
      <c r="M97" s="562"/>
      <c r="N97" s="563"/>
      <c r="O97" s="563"/>
      <c r="P97" s="561"/>
      <c r="Q97" s="561"/>
      <c r="R97" s="548"/>
      <c r="S97" s="549"/>
      <c r="T97" s="548"/>
      <c r="U97" s="564"/>
      <c r="V97" s="8"/>
      <c r="W97" s="229"/>
      <c r="X97" s="186"/>
      <c r="Y97" s="186"/>
      <c r="Z97" s="186"/>
      <c r="AA97" s="186"/>
      <c r="AB97" s="186"/>
      <c r="AC97" s="186"/>
      <c r="AD97" s="186"/>
    </row>
    <row r="98" spans="1:30" s="5" customFormat="1" ht="16.5" thickBot="1" x14ac:dyDescent="0.3">
      <c r="A98" s="7"/>
      <c r="B98" s="6"/>
      <c r="C98" s="565" t="s">
        <v>1396</v>
      </c>
      <c r="D98" s="560"/>
      <c r="E98" s="561"/>
      <c r="F98" s="561"/>
      <c r="G98" s="561"/>
      <c r="H98" s="561"/>
      <c r="I98" s="561"/>
      <c r="J98" s="561"/>
      <c r="K98" s="746">
        <f>VLOOKUP('Part 1'!$L$16,Datasheet2!$B$6:$BP$332,60,FALSE)</f>
        <v>3691002</v>
      </c>
      <c r="L98" s="800"/>
      <c r="M98" s="561"/>
      <c r="N98" s="562"/>
      <c r="O98" s="746">
        <f>VLOOKUP('Part 1'!$L$16,Datasheet2!$B$6:$BP$332,61,FALSE)</f>
        <v>8929676</v>
      </c>
      <c r="P98" s="800"/>
      <c r="Q98" s="561"/>
      <c r="R98" s="548"/>
      <c r="S98" s="748">
        <f>VLOOKUP('Part 1'!$L$16,Datasheet2!$B$6:$BP$332,62,FALSE)</f>
        <v>12620678</v>
      </c>
      <c r="T98" s="801"/>
      <c r="U98" s="566"/>
      <c r="V98" s="8"/>
      <c r="W98" s="229"/>
      <c r="X98" s="186"/>
      <c r="Y98" s="186"/>
      <c r="Z98" s="186"/>
      <c r="AA98" s="186"/>
      <c r="AB98" s="186"/>
      <c r="AC98" s="186"/>
      <c r="AD98" s="186"/>
    </row>
    <row r="99" spans="1:30" s="5" customFormat="1" ht="16.5" thickBot="1" x14ac:dyDescent="0.3">
      <c r="A99" s="7"/>
      <c r="B99" s="6"/>
      <c r="C99" s="567"/>
      <c r="D99" s="568"/>
      <c r="E99" s="569"/>
      <c r="F99" s="569"/>
      <c r="G99" s="569"/>
      <c r="H99" s="569"/>
      <c r="I99" s="569"/>
      <c r="J99" s="569"/>
      <c r="K99" s="569"/>
      <c r="L99" s="569"/>
      <c r="M99" s="570"/>
      <c r="N99" s="571"/>
      <c r="O99" s="571"/>
      <c r="P99" s="569"/>
      <c r="Q99" s="569"/>
      <c r="R99" s="572"/>
      <c r="S99" s="572"/>
      <c r="T99" s="572"/>
      <c r="U99" s="573"/>
      <c r="V99" s="8"/>
      <c r="W99" s="229"/>
      <c r="X99" s="186"/>
      <c r="Y99" s="186"/>
      <c r="Z99" s="186"/>
      <c r="AA99" s="186"/>
      <c r="AB99" s="186"/>
      <c r="AC99" s="186"/>
      <c r="AD99" s="186"/>
    </row>
    <row r="100" spans="1:30" s="5" customFormat="1" x14ac:dyDescent="0.2">
      <c r="A100" s="7"/>
      <c r="B100" s="6"/>
      <c r="C100" s="61"/>
      <c r="D100" s="61"/>
      <c r="E100" s="61"/>
      <c r="F100" s="6"/>
      <c r="G100" s="574"/>
      <c r="H100" s="574"/>
      <c r="I100" s="574"/>
      <c r="J100" s="574"/>
      <c r="K100" s="574"/>
      <c r="L100" s="574"/>
      <c r="M100" s="574"/>
      <c r="N100" s="574"/>
      <c r="O100" s="574"/>
      <c r="P100" s="574"/>
      <c r="Q100" s="574"/>
      <c r="R100" s="6"/>
      <c r="S100" s="6"/>
      <c r="T100" s="6"/>
      <c r="U100" s="6"/>
      <c r="V100" s="8"/>
      <c r="W100" s="224"/>
    </row>
    <row r="101" spans="1:30" ht="15.75" thickBot="1" x14ac:dyDescent="0.25">
      <c r="A101" s="29"/>
      <c r="B101" s="18"/>
      <c r="C101" s="43"/>
      <c r="D101" s="43"/>
      <c r="E101" s="43"/>
      <c r="F101" s="18"/>
      <c r="G101" s="94"/>
      <c r="H101" s="94"/>
      <c r="I101" s="94"/>
      <c r="J101" s="94"/>
      <c r="K101" s="94"/>
      <c r="L101" s="94"/>
      <c r="M101" s="94"/>
      <c r="N101" s="94"/>
      <c r="O101" s="94"/>
      <c r="P101" s="94"/>
      <c r="Q101" s="94"/>
      <c r="R101" s="94"/>
      <c r="S101" s="94"/>
      <c r="T101" s="94"/>
      <c r="U101" s="18"/>
      <c r="V101" s="19"/>
    </row>
    <row r="102" spans="1:30" x14ac:dyDescent="0.2">
      <c r="A102" s="29"/>
      <c r="B102" s="164"/>
      <c r="C102" s="165"/>
      <c r="D102" s="165"/>
      <c r="E102" s="165"/>
      <c r="F102" s="166"/>
      <c r="G102" s="166"/>
      <c r="H102" s="167"/>
      <c r="I102" s="167"/>
      <c r="J102" s="167"/>
      <c r="K102" s="167"/>
      <c r="L102" s="167"/>
      <c r="M102" s="167"/>
      <c r="N102" s="167"/>
      <c r="O102" s="167"/>
      <c r="P102" s="167"/>
      <c r="Q102" s="167"/>
      <c r="R102" s="167"/>
      <c r="S102" s="167"/>
      <c r="T102" s="167"/>
      <c r="U102" s="168"/>
      <c r="V102" s="19"/>
    </row>
    <row r="103" spans="1:30" ht="16.5" thickBot="1" x14ac:dyDescent="0.25">
      <c r="A103" s="29"/>
      <c r="B103" s="169"/>
      <c r="C103" s="170" t="s">
        <v>49</v>
      </c>
      <c r="D103" s="156"/>
      <c r="E103" s="156"/>
      <c r="F103" s="163"/>
      <c r="G103" s="163"/>
      <c r="H103" s="163"/>
      <c r="I103" s="163"/>
      <c r="J103" s="163"/>
      <c r="K103" s="163"/>
      <c r="L103" s="163"/>
      <c r="M103" s="163"/>
      <c r="N103" s="163"/>
      <c r="O103" s="163"/>
      <c r="P103" s="163"/>
      <c r="Q103" s="163"/>
      <c r="R103" s="163"/>
      <c r="S103" s="171"/>
      <c r="T103" s="171"/>
      <c r="U103" s="172"/>
      <c r="V103" s="19"/>
    </row>
    <row r="104" spans="1:30" ht="16.5" thickBot="1" x14ac:dyDescent="0.25">
      <c r="A104" s="29"/>
      <c r="B104" s="169"/>
      <c r="C104" s="157" t="s">
        <v>1397</v>
      </c>
      <c r="D104" s="156"/>
      <c r="E104" s="156"/>
      <c r="F104" s="163"/>
      <c r="G104" s="163"/>
      <c r="H104" s="163"/>
      <c r="I104" s="163"/>
      <c r="J104" s="163"/>
      <c r="K104" s="163"/>
      <c r="L104" s="163"/>
      <c r="M104" s="163"/>
      <c r="N104" s="163"/>
      <c r="O104" s="163"/>
      <c r="P104" s="163"/>
      <c r="Q104" s="163"/>
      <c r="R104" s="163"/>
      <c r="S104" s="772">
        <f>VLOOKUP('Part 1'!$L$16,Datasheet2!$B$6:$BP$332,63,FALSE)</f>
        <v>1268110367.1000004</v>
      </c>
      <c r="T104" s="773"/>
      <c r="U104" s="173"/>
      <c r="V104" s="19"/>
    </row>
    <row r="105" spans="1:30" ht="15.75" thickBot="1" x14ac:dyDescent="0.25">
      <c r="A105" s="29"/>
      <c r="B105" s="169"/>
      <c r="C105" s="156"/>
      <c r="D105" s="156"/>
      <c r="E105" s="156"/>
      <c r="F105" s="163"/>
      <c r="G105" s="163"/>
      <c r="H105" s="163"/>
      <c r="I105" s="163"/>
      <c r="J105" s="163"/>
      <c r="K105" s="163"/>
      <c r="L105" s="163"/>
      <c r="M105" s="163"/>
      <c r="N105" s="163"/>
      <c r="O105" s="163"/>
      <c r="P105" s="163"/>
      <c r="Q105" s="163"/>
      <c r="R105" s="163"/>
      <c r="S105" s="158"/>
      <c r="T105" s="158"/>
      <c r="U105" s="173"/>
      <c r="V105" s="19"/>
    </row>
    <row r="106" spans="1:30" ht="16.5" thickBot="1" x14ac:dyDescent="0.25">
      <c r="A106" s="29"/>
      <c r="B106" s="169"/>
      <c r="C106" s="157" t="s">
        <v>1398</v>
      </c>
      <c r="D106" s="156"/>
      <c r="E106" s="156"/>
      <c r="F106" s="163"/>
      <c r="G106" s="163"/>
      <c r="H106" s="163"/>
      <c r="I106" s="163"/>
      <c r="J106" s="163"/>
      <c r="K106" s="163"/>
      <c r="L106" s="163"/>
      <c r="M106" s="163"/>
      <c r="N106" s="163"/>
      <c r="O106" s="163"/>
      <c r="P106" s="163"/>
      <c r="Q106" s="163"/>
      <c r="R106" s="163"/>
      <c r="S106" s="772">
        <f>VLOOKUP('Part 1'!$L$16,Datasheet2!$B$6:$BP$332,64,FALSE)</f>
        <v>-930321334.23064446</v>
      </c>
      <c r="T106" s="773"/>
      <c r="U106" s="173"/>
      <c r="V106" s="19"/>
    </row>
    <row r="107" spans="1:30" ht="15.75" thickBot="1" x14ac:dyDescent="0.25">
      <c r="A107" s="29"/>
      <c r="B107" s="174"/>
      <c r="C107" s="175"/>
      <c r="D107" s="175"/>
      <c r="E107" s="175"/>
      <c r="F107" s="175"/>
      <c r="G107" s="175"/>
      <c r="H107" s="175"/>
      <c r="I107" s="175"/>
      <c r="J107" s="175"/>
      <c r="K107" s="175"/>
      <c r="L107" s="175"/>
      <c r="M107" s="175"/>
      <c r="N107" s="175"/>
      <c r="O107" s="175"/>
      <c r="P107" s="175"/>
      <c r="Q107" s="175"/>
      <c r="R107" s="175"/>
      <c r="S107" s="175"/>
      <c r="T107" s="175"/>
      <c r="U107" s="176"/>
      <c r="V107" s="19"/>
    </row>
    <row r="108" spans="1:30" ht="15.75" thickBot="1" x14ac:dyDescent="0.25">
      <c r="A108" s="421"/>
      <c r="B108" s="58"/>
      <c r="C108" s="58"/>
      <c r="D108" s="58"/>
      <c r="E108" s="58"/>
      <c r="F108" s="58"/>
      <c r="G108" s="58"/>
      <c r="H108" s="58"/>
      <c r="I108" s="58"/>
      <c r="J108" s="58"/>
      <c r="K108" s="58"/>
      <c r="L108" s="58"/>
      <c r="M108" s="58"/>
      <c r="N108" s="58"/>
      <c r="O108" s="58"/>
      <c r="P108" s="58"/>
      <c r="Q108" s="58"/>
      <c r="R108" s="58"/>
      <c r="S108" s="58"/>
      <c r="T108" s="58"/>
      <c r="U108" s="58"/>
      <c r="V108" s="422"/>
    </row>
    <row r="110" spans="1:30" x14ac:dyDescent="0.2">
      <c r="G110" s="254"/>
    </row>
    <row r="111" spans="1:30" x14ac:dyDescent="0.2">
      <c r="G111" s="254"/>
    </row>
    <row r="112" spans="1:30" x14ac:dyDescent="0.2">
      <c r="G112" s="254"/>
    </row>
    <row r="113" spans="3:22" x14ac:dyDescent="0.2">
      <c r="E113" s="254"/>
      <c r="G113" s="254"/>
      <c r="I113" s="254"/>
    </row>
    <row r="114" spans="3:22" x14ac:dyDescent="0.2">
      <c r="G114" s="254"/>
    </row>
    <row r="115" spans="3:22" x14ac:dyDescent="0.2">
      <c r="G115" s="254"/>
    </row>
    <row r="116" spans="3:22" x14ac:dyDescent="0.2">
      <c r="G116" s="254"/>
    </row>
    <row r="117" spans="3:22" x14ac:dyDescent="0.2">
      <c r="C117" s="254"/>
      <c r="D117" s="254"/>
      <c r="E117" s="254"/>
      <c r="F117" s="254"/>
      <c r="G117" s="254"/>
      <c r="H117" s="254"/>
      <c r="I117" s="254"/>
      <c r="J117" s="254"/>
      <c r="K117" s="254"/>
      <c r="L117" s="254"/>
      <c r="M117" s="254"/>
      <c r="N117" s="254"/>
      <c r="O117" s="254"/>
      <c r="P117" s="254"/>
      <c r="Q117" s="254"/>
      <c r="R117" s="254"/>
      <c r="S117" s="254"/>
      <c r="T117" s="254"/>
      <c r="U117" s="254"/>
      <c r="V117" s="254"/>
    </row>
    <row r="118" spans="3:22" x14ac:dyDescent="0.2">
      <c r="G118" s="254"/>
    </row>
    <row r="119" spans="3:22" x14ac:dyDescent="0.2">
      <c r="G119" s="254"/>
    </row>
    <row r="120" spans="3:22" x14ac:dyDescent="0.2">
      <c r="G120" s="254"/>
    </row>
    <row r="121" spans="3:22" x14ac:dyDescent="0.2">
      <c r="G121" s="254"/>
    </row>
    <row r="122" spans="3:22" x14ac:dyDescent="0.2">
      <c r="G122" s="254"/>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6" type="noConversion"/>
  <conditionalFormatting sqref="K85:L85 K88:L88 K90:L90">
    <cfRule type="expression" dxfId="19" priority="21">
      <formula>#REF!=1</formula>
    </cfRule>
  </conditionalFormatting>
  <conditionalFormatting sqref="K94:L94 K98:M98">
    <cfRule type="expression" dxfId="18" priority="19">
      <formula>#REF!=0</formula>
    </cfRule>
  </conditionalFormatting>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9" id="{7C96B781-6833-425E-91AE-D45A0EA9D73F}">
            <xm:f>'\\desktop21.dclg.gov.uk\DCLGDFS\LGF3Data\NNDR 1 - 3\NNDR3\2017-18\Form to LA\[NNDR3 2017-18 to LAs v1.1a.xlsx]Part 1'!#REF!=""</xm:f>
            <x14:dxf>
              <fill>
                <patternFill>
                  <bgColor theme="0" tint="-0.24994659260841701"/>
                </patternFill>
              </fill>
            </x14:dxf>
          </x14:cfRule>
          <xm:sqref>K78:L80</xm:sqref>
        </x14:conditionalFormatting>
        <x14:conditionalFormatting xmlns:xm="http://schemas.microsoft.com/office/excel/2006/main">
          <x14:cfRule type="expression" priority="10" id="{794CD042-AA7D-48E9-8CBC-B0A4A03F1803}">
            <xm:f>'\\desktop21.dclg.gov.uk\DCLGDFS\LGF3Data\NNDR 1 - 3\NNDR3\2017-18\Form to LA\[NNDR3 2017-18 to LAs v1.1a.xlsx]Part 1'!#REF!=""</xm:f>
            <x14:dxf>
              <fill>
                <patternFill>
                  <bgColor theme="0" tint="-0.24994659260841701"/>
                </patternFill>
              </fill>
            </x14:dxf>
          </x14:cfRule>
          <xm:sqref>K75:N75 O75:Q76 K76:L76 N76 M76:M77 N77:Q77 K78:Q80 M81:Q81 K82:Q84 M85:P97 Q85:Q98 N98:P98 M99:Q99</xm:sqref>
        </x14:conditionalFormatting>
        <x14:conditionalFormatting xmlns:xm="http://schemas.microsoft.com/office/excel/2006/main">
          <x14:cfRule type="expression" priority="8" id="{28597DE6-1AE5-4A15-A055-1A8E3D49D4AE}">
            <xm:f>'\\desktop21.dclg.gov.uk\DCLGDFS\LGF3Data\NNDR 1 - 3\NNDR3\2017-18\Form to LA\[NNDR3 2017-18 to LAs v1.1a.xlsx]Part 1'!#REF!=""</xm:f>
            <x14:dxf>
              <fill>
                <patternFill>
                  <bgColor theme="0" tint="-0.24994659260841701"/>
                </patternFill>
              </fill>
            </x14:dxf>
          </x14:cfRule>
          <xm:sqref>N77</xm:sqref>
        </x14:conditionalFormatting>
        <x14:conditionalFormatting xmlns:xm="http://schemas.microsoft.com/office/excel/2006/main">
          <x14:cfRule type="expression" priority="5" id="{DCB299DB-9C3F-482C-88CF-AB6D85C0D540}">
            <xm:f>'\\desktop21.dclg.gov.uk\DCLGDFS\LGF3Data\NNDR 1 - 3\NNDR3\2017-18\Form to LA\[NNDR3 2017-18 to LAs v1.1a.xlsx]Part 1'!#REF!=""</xm:f>
            <x14:dxf>
              <fill>
                <patternFill>
                  <bgColor theme="0" tint="-0.24994659260841701"/>
                </patternFill>
              </fill>
            </x14:dxf>
          </x14:cfRule>
          <xm:sqref>N81</xm:sqref>
        </x14:conditionalFormatting>
        <x14:conditionalFormatting xmlns:xm="http://schemas.microsoft.com/office/excel/2006/main">
          <x14:cfRule type="expression" priority="6" id="{CE94FBC4-A2DB-4189-95E3-ED908C732599}">
            <xm:f>'\\desktop21.dclg.gov.uk\DCLGDFS\LGF3Data\NNDR 1 - 3\NNDR3\2017-18\Form to LA\[NNDR3 2017-18 to LAs v1.1a.xlsx]Part 1'!#REF!=""</xm:f>
            <x14:dxf>
              <fill>
                <patternFill>
                  <bgColor theme="0" tint="-0.24994659260841701"/>
                </patternFill>
              </fill>
            </x14:dxf>
          </x14:cfRule>
          <xm:sqref>N98</xm:sqref>
        </x14:conditionalFormatting>
        <x14:conditionalFormatting xmlns:xm="http://schemas.microsoft.com/office/excel/2006/main">
          <x14:cfRule type="expression" priority="7" id="{559C3A05-A702-4817-B4C6-20EDBD016C0C}">
            <xm:f>'\\desktop21.dclg.gov.uk\DCLGDFS\LGF3Data\NNDR 1 - 3\NNDR3\2017-18\Form to LA\[NNDR3 2017-18 to LAs v1.1a.xlsx]Part 1'!#REF!=""</xm:f>
            <x14:dxf>
              <fill>
                <patternFill>
                  <bgColor theme="0" tint="-0.24994659260841701"/>
                </patternFill>
              </fill>
            </x14:dxf>
          </x14:cfRule>
          <xm:sqref>Q77</xm:sqref>
        </x14:conditionalFormatting>
        <x14:conditionalFormatting xmlns:xm="http://schemas.microsoft.com/office/excel/2006/main">
          <x14:cfRule type="expression" priority="3" id="{4D0C9A36-3594-4A6B-A4AB-BCEEA49F8814}">
            <xm:f>'\\desktop21.dclg.gov.uk\DCLGDFS\LGF3Data\NNDR 1 - 3\NNDR3\2017-18\Form to LA\[NNDR3 2017-18 to LAs v1.1a.xlsx]Part 1'!#REF!=""</xm:f>
            <x14:dxf>
              <fill>
                <patternFill>
                  <bgColor theme="0" tint="-0.24994659260841701"/>
                </patternFill>
              </fill>
            </x14:dxf>
          </x14:cfRule>
          <xm:sqref>Q81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9"/>
  <sheetViews>
    <sheetView zoomScale="78" zoomScaleNormal="90" workbookViewId="0">
      <selection activeCell="H24" sqref="H24"/>
    </sheetView>
  </sheetViews>
  <sheetFormatPr defaultColWidth="9.28515625" defaultRowHeight="15" x14ac:dyDescent="0.2"/>
  <cols>
    <col min="1" max="1" width="1.28515625" style="454" customWidth="1"/>
    <col min="2" max="2" width="28.28515625" style="454" hidden="1" customWidth="1"/>
    <col min="3" max="3" width="62.42578125" style="454" customWidth="1"/>
    <col min="4" max="4" width="1.42578125" style="454" customWidth="1"/>
    <col min="5" max="5" width="26.42578125" style="454" customWidth="1"/>
    <col min="6" max="6" width="1.140625" style="454" customWidth="1"/>
    <col min="7" max="7" width="1.42578125" style="454" customWidth="1"/>
    <col min="8" max="8" width="17.140625" style="454" customWidth="1"/>
    <col min="9" max="9" width="1.28515625" style="633" customWidth="1"/>
    <col min="10" max="10" width="17.140625" style="454" customWidth="1"/>
    <col min="11" max="11" width="1.28515625" style="454" customWidth="1"/>
    <col min="12" max="12" width="17.140625" style="454" customWidth="1"/>
    <col min="13" max="13" width="1.140625" style="454" customWidth="1"/>
    <col min="14" max="14" width="17.140625" style="454" customWidth="1"/>
    <col min="15" max="15" width="1.140625" style="454" customWidth="1"/>
    <col min="16" max="16" width="17.140625" style="454" customWidth="1"/>
    <col min="17" max="17" width="1" style="454" customWidth="1"/>
    <col min="18" max="18" width="17.140625" style="454" customWidth="1"/>
    <col min="19" max="19" width="1.140625" style="454" customWidth="1"/>
    <col min="20" max="20" width="17.140625" style="454" customWidth="1"/>
    <col min="21" max="21" width="2.7109375" style="454" customWidth="1"/>
    <col min="22" max="22" width="9.5703125" style="449" customWidth="1"/>
    <col min="23" max="23" width="12.28515625" style="450" customWidth="1"/>
    <col min="24" max="24" width="11" style="451" bestFit="1" customWidth="1"/>
    <col min="25" max="25" width="32.28515625" style="452" bestFit="1" customWidth="1"/>
    <col min="26" max="52" width="9.28515625" style="453"/>
    <col min="53" max="16384" width="9.28515625" style="454"/>
  </cols>
  <sheetData>
    <row r="1" spans="1:52" ht="18" x14ac:dyDescent="0.25">
      <c r="A1" s="809" t="s">
        <v>50</v>
      </c>
      <c r="B1" s="810"/>
      <c r="C1" s="810"/>
      <c r="D1" s="810"/>
      <c r="E1" s="810"/>
      <c r="F1" s="810"/>
      <c r="G1" s="810"/>
      <c r="H1" s="810"/>
      <c r="I1" s="810"/>
      <c r="J1" s="810"/>
      <c r="K1" s="810"/>
      <c r="L1" s="810"/>
      <c r="M1" s="810"/>
      <c r="N1" s="810"/>
      <c r="O1" s="810"/>
      <c r="P1" s="810"/>
      <c r="Q1" s="810"/>
      <c r="R1" s="810"/>
      <c r="S1" s="810"/>
      <c r="T1" s="810"/>
      <c r="U1" s="811"/>
    </row>
    <row r="2" spans="1:52" ht="15.75" customHeight="1" x14ac:dyDescent="0.2">
      <c r="A2" s="455"/>
      <c r="B2" s="456"/>
      <c r="C2" s="457"/>
      <c r="D2" s="457"/>
      <c r="E2" s="457"/>
      <c r="F2" s="457"/>
      <c r="G2" s="458"/>
      <c r="H2" s="457"/>
      <c r="I2" s="622"/>
      <c r="J2" s="457"/>
      <c r="K2" s="457"/>
      <c r="L2" s="459"/>
      <c r="M2" s="460"/>
      <c r="N2" s="461"/>
      <c r="O2" s="462"/>
      <c r="P2" s="463"/>
      <c r="Q2" s="463"/>
      <c r="R2" s="457"/>
      <c r="S2" s="457"/>
      <c r="T2" s="461"/>
      <c r="U2" s="464"/>
      <c r="V2" s="465"/>
    </row>
    <row r="3" spans="1:52" ht="18" customHeight="1" x14ac:dyDescent="0.25">
      <c r="A3" s="455"/>
      <c r="B3" s="456"/>
      <c r="C3" s="466" t="str">
        <f>IF(ISERROR(VLOOKUP($E3,DatasheetDA!$B$4:$D$156,3,FALSE)),'Part 1'!AC8,VLOOKUP($E3,DatasheetDA!$B$4:$D$156,3,FALSE))</f>
        <v>England</v>
      </c>
      <c r="D3" s="466"/>
      <c r="E3" s="646" t="str">
        <f>'Part 1'!AB8</f>
        <v>E0000</v>
      </c>
      <c r="F3" s="460"/>
      <c r="G3" s="466"/>
      <c r="H3" s="461"/>
      <c r="I3" s="623"/>
      <c r="J3" s="461"/>
      <c r="K3" s="460"/>
      <c r="L3" s="461"/>
      <c r="M3" s="462"/>
      <c r="N3" s="463"/>
      <c r="O3" s="463"/>
      <c r="P3" s="466"/>
      <c r="Q3" s="466"/>
      <c r="R3" s="461"/>
      <c r="S3" s="460"/>
      <c r="T3" s="463"/>
      <c r="U3" s="464"/>
      <c r="V3" s="451"/>
      <c r="W3" s="467"/>
      <c r="X3" s="453"/>
      <c r="Y3" s="468"/>
    </row>
    <row r="4" spans="1:52" ht="18" customHeight="1" x14ac:dyDescent="0.25">
      <c r="A4" s="455"/>
      <c r="B4" s="466"/>
      <c r="C4" s="469"/>
      <c r="D4" s="466"/>
      <c r="E4" s="533" t="s">
        <v>1078</v>
      </c>
      <c r="F4" s="460"/>
      <c r="G4" s="458"/>
      <c r="H4" s="812" t="s">
        <v>1079</v>
      </c>
      <c r="I4" s="813"/>
      <c r="J4" s="813"/>
      <c r="K4" s="814"/>
      <c r="L4" s="814"/>
      <c r="M4" s="814"/>
      <c r="N4" s="814"/>
      <c r="O4" s="814"/>
      <c r="P4" s="815"/>
      <c r="Q4" s="463"/>
      <c r="R4" s="812" t="s">
        <v>1080</v>
      </c>
      <c r="S4" s="816"/>
      <c r="T4" s="817"/>
      <c r="U4" s="464"/>
      <c r="Y4" s="228"/>
    </row>
    <row r="5" spans="1:52" ht="14.25" customHeight="1" thickBot="1" x14ac:dyDescent="0.3">
      <c r="A5" s="455"/>
      <c r="B5" s="470"/>
      <c r="C5" s="470"/>
      <c r="D5" s="471"/>
      <c r="E5" s="472"/>
      <c r="F5" s="473"/>
      <c r="G5" s="458"/>
      <c r="H5" s="474"/>
      <c r="I5" s="624"/>
      <c r="J5" s="471"/>
      <c r="K5" s="473"/>
      <c r="L5" s="473"/>
      <c r="M5" s="473"/>
      <c r="N5" s="473"/>
      <c r="O5" s="473"/>
      <c r="P5" s="475"/>
      <c r="Q5" s="476"/>
      <c r="R5" s="474"/>
      <c r="S5" s="473"/>
      <c r="T5" s="477"/>
      <c r="U5" s="464"/>
      <c r="Y5" s="228"/>
    </row>
    <row r="6" spans="1:52" ht="17.25" customHeight="1" thickBot="1" x14ac:dyDescent="0.25">
      <c r="A6" s="455"/>
      <c r="B6" s="470"/>
      <c r="C6" s="456" t="s">
        <v>1081</v>
      </c>
      <c r="D6" s="471"/>
      <c r="E6" s="534">
        <f>SUM(E13:E53)</f>
        <v>0</v>
      </c>
      <c r="F6" s="535"/>
      <c r="G6" s="536"/>
      <c r="H6" s="537">
        <f>SUM(H13:H53)</f>
        <v>0</v>
      </c>
      <c r="I6" s="625"/>
      <c r="J6" s="538">
        <f>SUM(J13:J53)</f>
        <v>0</v>
      </c>
      <c r="K6" s="535"/>
      <c r="L6" s="538">
        <f>SUM(L13:L53)</f>
        <v>0</v>
      </c>
      <c r="M6" s="539"/>
      <c r="N6" s="538">
        <f>SUM(N13:N53)</f>
        <v>0</v>
      </c>
      <c r="O6" s="539"/>
      <c r="P6" s="540">
        <f>SUM(P13:P53)</f>
        <v>0</v>
      </c>
      <c r="Q6" s="539"/>
      <c r="R6" s="537">
        <f>SUM(R13:R53)</f>
        <v>0</v>
      </c>
      <c r="S6" s="535"/>
      <c r="T6" s="540">
        <f>SUM(T13:T53)</f>
        <v>0</v>
      </c>
      <c r="U6" s="464"/>
      <c r="Y6" s="467"/>
    </row>
    <row r="7" spans="1:52" s="489" customFormat="1" ht="15" customHeight="1" x14ac:dyDescent="0.25">
      <c r="A7" s="478"/>
      <c r="B7" s="470"/>
      <c r="C7" s="470"/>
      <c r="D7" s="457"/>
      <c r="E7" s="479"/>
      <c r="F7" s="457"/>
      <c r="G7" s="480"/>
      <c r="H7" s="481"/>
      <c r="I7" s="622"/>
      <c r="J7" s="457"/>
      <c r="K7" s="457"/>
      <c r="L7" s="470"/>
      <c r="M7" s="482"/>
      <c r="N7" s="482"/>
      <c r="O7" s="482"/>
      <c r="P7" s="483"/>
      <c r="Q7" s="484"/>
      <c r="R7" s="485"/>
      <c r="S7" s="457"/>
      <c r="T7" s="483"/>
      <c r="U7" s="486"/>
      <c r="V7" s="449"/>
      <c r="W7" s="487"/>
      <c r="X7" s="449"/>
      <c r="Y7" s="22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row>
    <row r="8" spans="1:52" s="489" customFormat="1" ht="18.75" customHeight="1" x14ac:dyDescent="0.2">
      <c r="A8" s="478"/>
      <c r="B8" s="470"/>
      <c r="C8" s="470"/>
      <c r="D8" s="457"/>
      <c r="E8" s="490"/>
      <c r="F8" s="457"/>
      <c r="G8" s="482"/>
      <c r="H8" s="481"/>
      <c r="I8" s="622"/>
      <c r="J8" s="457"/>
      <c r="K8" s="457"/>
      <c r="L8" s="482"/>
      <c r="M8" s="482"/>
      <c r="N8" s="482"/>
      <c r="O8" s="482"/>
      <c r="P8" s="483"/>
      <c r="Q8" s="482"/>
      <c r="R8" s="485"/>
      <c r="S8" s="482"/>
      <c r="T8" s="483"/>
      <c r="U8" s="486"/>
      <c r="V8" s="449"/>
      <c r="W8" s="487"/>
      <c r="X8" s="449"/>
      <c r="Y8" s="467"/>
      <c r="Z8" s="488"/>
      <c r="AA8" s="488"/>
      <c r="AB8" s="488"/>
      <c r="AC8" s="488"/>
      <c r="AD8" s="488"/>
      <c r="AE8" s="488"/>
      <c r="AF8" s="488"/>
      <c r="AG8" s="488"/>
      <c r="AH8" s="488"/>
      <c r="AI8" s="488"/>
      <c r="AJ8" s="488"/>
      <c r="AK8" s="488"/>
      <c r="AL8" s="488"/>
      <c r="AM8" s="488"/>
      <c r="AN8" s="488"/>
      <c r="AO8" s="488"/>
      <c r="AP8" s="488"/>
      <c r="AQ8" s="488"/>
      <c r="AR8" s="488"/>
      <c r="AS8" s="488"/>
      <c r="AT8" s="488"/>
      <c r="AU8" s="488"/>
      <c r="AV8" s="488"/>
      <c r="AW8" s="488"/>
      <c r="AX8" s="488"/>
      <c r="AY8" s="488"/>
      <c r="AZ8" s="488"/>
    </row>
    <row r="9" spans="1:52" ht="43.5" customHeight="1" x14ac:dyDescent="0.2">
      <c r="A9" s="455"/>
      <c r="B9" s="470"/>
      <c r="C9" s="532" t="s">
        <v>1082</v>
      </c>
      <c r="D9" s="457"/>
      <c r="E9" s="491" t="s">
        <v>1078</v>
      </c>
      <c r="F9" s="492"/>
      <c r="G9" s="493"/>
      <c r="H9" s="818" t="s">
        <v>1079</v>
      </c>
      <c r="I9" s="819"/>
      <c r="J9" s="819"/>
      <c r="K9" s="820"/>
      <c r="L9" s="820"/>
      <c r="M9" s="820"/>
      <c r="N9" s="820"/>
      <c r="O9" s="821"/>
      <c r="P9" s="822"/>
      <c r="Q9" s="493"/>
      <c r="R9" s="823"/>
      <c r="S9" s="820"/>
      <c r="T9" s="494"/>
      <c r="U9" s="464"/>
      <c r="Y9" s="467"/>
    </row>
    <row r="10" spans="1:52" ht="21" customHeight="1" x14ac:dyDescent="0.2">
      <c r="A10" s="455"/>
      <c r="B10" s="470"/>
      <c r="C10" s="470"/>
      <c r="D10" s="457"/>
      <c r="E10" s="491">
        <v>1</v>
      </c>
      <c r="F10" s="495"/>
      <c r="G10" s="496"/>
      <c r="H10" s="497">
        <v>2</v>
      </c>
      <c r="I10" s="626"/>
      <c r="J10" s="495">
        <v>3</v>
      </c>
      <c r="K10" s="495"/>
      <c r="L10" s="496">
        <v>4</v>
      </c>
      <c r="M10" s="496"/>
      <c r="N10" s="496">
        <v>5</v>
      </c>
      <c r="O10" s="496"/>
      <c r="P10" s="498">
        <v>6</v>
      </c>
      <c r="Q10" s="496"/>
      <c r="R10" s="499" t="s">
        <v>1083</v>
      </c>
      <c r="S10" s="496"/>
      <c r="T10" s="498" t="s">
        <v>1084</v>
      </c>
      <c r="U10" s="464"/>
      <c r="Y10" s="467"/>
    </row>
    <row r="11" spans="1:52" ht="120" customHeight="1" x14ac:dyDescent="0.2">
      <c r="A11" s="455"/>
      <c r="B11" s="457"/>
      <c r="C11" s="456" t="s">
        <v>864</v>
      </c>
      <c r="D11" s="457"/>
      <c r="E11" s="529" t="s">
        <v>1085</v>
      </c>
      <c r="F11" s="457"/>
      <c r="G11" s="458"/>
      <c r="H11" s="500" t="s">
        <v>1086</v>
      </c>
      <c r="I11" s="627"/>
      <c r="J11" s="501" t="s">
        <v>1399</v>
      </c>
      <c r="K11" s="501"/>
      <c r="L11" s="501" t="s">
        <v>1087</v>
      </c>
      <c r="M11" s="501"/>
      <c r="N11" s="501" t="s">
        <v>1088</v>
      </c>
      <c r="O11" s="502"/>
      <c r="P11" s="503" t="s">
        <v>980</v>
      </c>
      <c r="Q11" s="476"/>
      <c r="R11" s="504" t="s">
        <v>1089</v>
      </c>
      <c r="S11" s="505"/>
      <c r="T11" s="528" t="s">
        <v>1090</v>
      </c>
      <c r="U11" s="464"/>
      <c r="Y11" s="467"/>
    </row>
    <row r="12" spans="1:52" ht="49.5" customHeight="1" thickBot="1" x14ac:dyDescent="0.3">
      <c r="A12" s="455"/>
      <c r="B12" s="824"/>
      <c r="C12" s="825"/>
      <c r="D12" s="457"/>
      <c r="E12" s="506">
        <v>4</v>
      </c>
      <c r="F12" s="507"/>
      <c r="G12" s="508"/>
      <c r="H12" s="506">
        <v>5</v>
      </c>
      <c r="I12" s="628"/>
      <c r="J12" s="506">
        <v>6</v>
      </c>
      <c r="K12" s="507"/>
      <c r="L12" s="527">
        <v>7</v>
      </c>
      <c r="M12" s="509"/>
      <c r="N12" s="527">
        <v>8</v>
      </c>
      <c r="O12" s="510"/>
      <c r="P12" s="506">
        <v>9</v>
      </c>
      <c r="Q12" s="506"/>
      <c r="R12" s="506">
        <v>10</v>
      </c>
      <c r="S12" s="507"/>
      <c r="T12" s="506">
        <v>11</v>
      </c>
      <c r="U12" s="464"/>
      <c r="Y12" s="467"/>
    </row>
    <row r="13" spans="1:52" s="518" customFormat="1" ht="21" customHeight="1" thickBot="1" x14ac:dyDescent="0.25">
      <c r="A13" s="511">
        <v>1</v>
      </c>
      <c r="B13" s="470" t="str">
        <f>CONCATENATE($E$3,"EZ",A13)</f>
        <v>E0000EZ1</v>
      </c>
      <c r="C13" s="530" t="str">
        <f>IFERROR(VLOOKUP(B13,DatasheetDA!$C$4:$E$237,3,0),"")</f>
        <v/>
      </c>
      <c r="D13" s="512"/>
      <c r="E13" s="541" t="str">
        <f>IFERROR(VLOOKUP($B13,DatasheetDA!$C$4:$M$237,E$12,FALSE),"")</f>
        <v/>
      </c>
      <c r="F13" s="542"/>
      <c r="G13" s="543"/>
      <c r="H13" s="541" t="str">
        <f>IFERROR(VLOOKUP($B13,DatasheetDA!$C$4:$M$237,H$12,FALSE),"")</f>
        <v/>
      </c>
      <c r="I13" s="629"/>
      <c r="J13" s="541" t="str">
        <f>IFERROR(VLOOKUP($B13,DatasheetDA!$C$4:$M$237,J$12,FALSE),"")</f>
        <v/>
      </c>
      <c r="K13" s="542"/>
      <c r="L13" s="541" t="str">
        <f>IFERROR(VLOOKUP($B13,DatasheetDA!$C$4:$M$237,L$12,FALSE),"")</f>
        <v/>
      </c>
      <c r="M13" s="544"/>
      <c r="N13" s="541" t="str">
        <f>IFERROR(VLOOKUP($B13,DatasheetDA!$C$4:$M$237,N$12,FALSE),"")</f>
        <v/>
      </c>
      <c r="O13" s="544"/>
      <c r="P13" s="541" t="str">
        <f>IFERROR(VLOOKUP($B13,DatasheetDA!$C$4:$M$237,P$12,FALSE),"")</f>
        <v/>
      </c>
      <c r="Q13" s="544"/>
      <c r="R13" s="541" t="str">
        <f>IFERROR(VLOOKUP($B13,DatasheetDA!$C$4:$M$237,R$12,FALSE),"")</f>
        <v/>
      </c>
      <c r="S13" s="542"/>
      <c r="T13" s="541" t="str">
        <f>IFERROR(VLOOKUP($B13,DatasheetDA!$C$4:$N$237,T$12,FALSE),"")</f>
        <v/>
      </c>
      <c r="U13" s="513"/>
      <c r="V13" s="514"/>
      <c r="W13" s="515"/>
      <c r="X13" s="516"/>
      <c r="Y13" s="46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row>
    <row r="14" spans="1:52" s="518" customFormat="1" ht="19.5" customHeight="1" thickBot="1" x14ac:dyDescent="0.25">
      <c r="A14" s="511">
        <v>2</v>
      </c>
      <c r="B14" s="470" t="str">
        <f t="shared" ref="B14:B53" si="0">CONCATENATE($E$3,"EZ",A14)</f>
        <v>E0000EZ2</v>
      </c>
      <c r="C14" s="530" t="str">
        <f>IFERROR(VLOOKUP(B14,DatasheetDA!$C$4:$E$237,3,0),"")</f>
        <v/>
      </c>
      <c r="D14" s="512"/>
      <c r="E14" s="541" t="str">
        <f>IFERROR(VLOOKUP($B14,DatasheetDA!$C$4:$M$237,E$12,FALSE),"")</f>
        <v/>
      </c>
      <c r="F14" s="542"/>
      <c r="G14" s="543"/>
      <c r="H14" s="541" t="str">
        <f>IFERROR(VLOOKUP($B14,DatasheetDA!$C$4:$M$237,H$12,FALSE),"")</f>
        <v/>
      </c>
      <c r="I14" s="629"/>
      <c r="J14" s="541" t="str">
        <f>IFERROR(VLOOKUP($B14,DatasheetDA!$C$4:$M$237,J$12,FALSE),"")</f>
        <v/>
      </c>
      <c r="K14" s="542"/>
      <c r="L14" s="541" t="str">
        <f>IFERROR(VLOOKUP($B14,DatasheetDA!$C$4:$M$237,L$12,FALSE),"")</f>
        <v/>
      </c>
      <c r="M14" s="544"/>
      <c r="N14" s="541" t="str">
        <f>IFERROR(VLOOKUP($B14,DatasheetDA!$C$4:$M$237,N$12,FALSE),"")</f>
        <v/>
      </c>
      <c r="O14" s="544"/>
      <c r="P14" s="541" t="str">
        <f>IFERROR(VLOOKUP($B14,DatasheetDA!$C$4:$M$237,P$12,FALSE),"")</f>
        <v/>
      </c>
      <c r="Q14" s="544"/>
      <c r="R14" s="541" t="str">
        <f>IFERROR(VLOOKUP($B14,DatasheetDA!$C$4:$M$237,R$12,FALSE),"")</f>
        <v/>
      </c>
      <c r="S14" s="542"/>
      <c r="T14" s="541" t="str">
        <f>IFERROR(VLOOKUP($B14,DatasheetDA!$C$4:$N$237,T$12,FALSE),"")</f>
        <v/>
      </c>
      <c r="U14" s="513"/>
      <c r="V14" s="514"/>
      <c r="W14" s="515"/>
      <c r="X14" s="516"/>
      <c r="Y14" s="46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row>
    <row r="15" spans="1:52" s="518" customFormat="1" ht="21" customHeight="1" thickBot="1" x14ac:dyDescent="0.25">
      <c r="A15" s="511">
        <v>3</v>
      </c>
      <c r="B15" s="470" t="str">
        <f t="shared" si="0"/>
        <v>E0000EZ3</v>
      </c>
      <c r="C15" s="530" t="str">
        <f>IFERROR(VLOOKUP(B15,DatasheetDA!$C$4:$E$237,3,0),"")</f>
        <v/>
      </c>
      <c r="D15" s="512"/>
      <c r="E15" s="541" t="str">
        <f>IFERROR(VLOOKUP($B15,DatasheetDA!$C$4:$M$237,E$12,FALSE),"")</f>
        <v/>
      </c>
      <c r="F15" s="542"/>
      <c r="G15" s="543"/>
      <c r="H15" s="541" t="str">
        <f>IFERROR(VLOOKUP($B15,DatasheetDA!$C$4:$M$237,H$12,FALSE),"")</f>
        <v/>
      </c>
      <c r="I15" s="629"/>
      <c r="J15" s="541" t="str">
        <f>IFERROR(VLOOKUP($B15,DatasheetDA!$C$4:$M$237,J$12,FALSE),"")</f>
        <v/>
      </c>
      <c r="K15" s="542"/>
      <c r="L15" s="541" t="str">
        <f>IFERROR(VLOOKUP($B15,DatasheetDA!$C$4:$M$237,L$12,FALSE),"")</f>
        <v/>
      </c>
      <c r="M15" s="544"/>
      <c r="N15" s="541" t="str">
        <f>IFERROR(VLOOKUP($B15,DatasheetDA!$C$4:$M$237,N$12,FALSE),"")</f>
        <v/>
      </c>
      <c r="O15" s="544"/>
      <c r="P15" s="541" t="str">
        <f>IFERROR(VLOOKUP($B15,DatasheetDA!$C$4:$M$237,P$12,FALSE),"")</f>
        <v/>
      </c>
      <c r="Q15" s="544"/>
      <c r="R15" s="541" t="str">
        <f>IFERROR(VLOOKUP($B15,DatasheetDA!$C$4:$M$237,R$12,FALSE),"")</f>
        <v/>
      </c>
      <c r="S15" s="542"/>
      <c r="T15" s="541" t="str">
        <f>IFERROR(VLOOKUP($B15,DatasheetDA!$C$4:$N$237,T$12,FALSE),"")</f>
        <v/>
      </c>
      <c r="U15" s="513"/>
      <c r="V15" s="514"/>
      <c r="W15" s="515"/>
      <c r="X15" s="516"/>
      <c r="Y15" s="46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row>
    <row r="16" spans="1:52" s="518" customFormat="1" ht="21" customHeight="1" thickBot="1" x14ac:dyDescent="0.25">
      <c r="A16" s="511">
        <v>4</v>
      </c>
      <c r="B16" s="470" t="str">
        <f t="shared" si="0"/>
        <v>E0000EZ4</v>
      </c>
      <c r="C16" s="530" t="str">
        <f>IFERROR(VLOOKUP(B16,DatasheetDA!$C$4:$E$237,3,0),"")</f>
        <v/>
      </c>
      <c r="D16" s="512"/>
      <c r="E16" s="541" t="str">
        <f>IFERROR(VLOOKUP($B16,DatasheetDA!$C$4:$M$237,E$12,FALSE),"")</f>
        <v/>
      </c>
      <c r="F16" s="542"/>
      <c r="G16" s="543"/>
      <c r="H16" s="541" t="str">
        <f>IFERROR(VLOOKUP($B16,DatasheetDA!$C$4:$M$237,H$12,FALSE),"")</f>
        <v/>
      </c>
      <c r="I16" s="629"/>
      <c r="J16" s="541" t="str">
        <f>IFERROR(VLOOKUP($B16,DatasheetDA!$C$4:$M$237,J$12,FALSE),"")</f>
        <v/>
      </c>
      <c r="K16" s="542"/>
      <c r="L16" s="541" t="str">
        <f>IFERROR(VLOOKUP($B16,DatasheetDA!$C$4:$M$237,L$12,FALSE),"")</f>
        <v/>
      </c>
      <c r="M16" s="544"/>
      <c r="N16" s="541" t="str">
        <f>IFERROR(VLOOKUP($B16,DatasheetDA!$C$4:$M$237,N$12,FALSE),"")</f>
        <v/>
      </c>
      <c r="O16" s="544"/>
      <c r="P16" s="541" t="str">
        <f>IFERROR(VLOOKUP($B16,DatasheetDA!$C$4:$M$237,P$12,FALSE),"")</f>
        <v/>
      </c>
      <c r="Q16" s="544"/>
      <c r="R16" s="541" t="str">
        <f>IFERROR(VLOOKUP($B16,DatasheetDA!$C$4:$M$237,R$12,FALSE),"")</f>
        <v/>
      </c>
      <c r="S16" s="542"/>
      <c r="T16" s="541" t="str">
        <f>IFERROR(VLOOKUP($B16,DatasheetDA!$C$4:$N$237,T$12,FALSE),"")</f>
        <v/>
      </c>
      <c r="U16" s="513"/>
      <c r="V16" s="514"/>
      <c r="W16" s="515"/>
      <c r="X16" s="516"/>
      <c r="Y16" s="46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row>
    <row r="17" spans="1:52" s="518" customFormat="1" ht="21" customHeight="1" thickBot="1" x14ac:dyDescent="0.25">
      <c r="A17" s="511">
        <v>5</v>
      </c>
      <c r="B17" s="470" t="str">
        <f t="shared" si="0"/>
        <v>E0000EZ5</v>
      </c>
      <c r="C17" s="530" t="str">
        <f>IFERROR(VLOOKUP(B17,DatasheetDA!$C$4:$E$237,3,0),"")</f>
        <v/>
      </c>
      <c r="D17" s="512"/>
      <c r="E17" s="541" t="str">
        <f>IFERROR(VLOOKUP($B17,DatasheetDA!$C$4:$M$237,E$12,FALSE),"")</f>
        <v/>
      </c>
      <c r="F17" s="542"/>
      <c r="G17" s="543"/>
      <c r="H17" s="541" t="str">
        <f>IFERROR(VLOOKUP($B17,DatasheetDA!$C$4:$M$237,H$12,FALSE),"")</f>
        <v/>
      </c>
      <c r="I17" s="629"/>
      <c r="J17" s="541" t="str">
        <f>IFERROR(VLOOKUP($B17,DatasheetDA!$C$4:$M$237,J$12,FALSE),"")</f>
        <v/>
      </c>
      <c r="K17" s="542"/>
      <c r="L17" s="541" t="str">
        <f>IFERROR(VLOOKUP($B17,DatasheetDA!$C$4:$M$237,L$12,FALSE),"")</f>
        <v/>
      </c>
      <c r="M17" s="544"/>
      <c r="N17" s="541" t="str">
        <f>IFERROR(VLOOKUP($B17,DatasheetDA!$C$4:$M$237,N$12,FALSE),"")</f>
        <v/>
      </c>
      <c r="O17" s="544"/>
      <c r="P17" s="541" t="str">
        <f>IFERROR(VLOOKUP($B17,DatasheetDA!$C$4:$M$237,P$12,FALSE),"")</f>
        <v/>
      </c>
      <c r="Q17" s="544"/>
      <c r="R17" s="541" t="str">
        <f>IFERROR(VLOOKUP($B17,DatasheetDA!$C$4:$M$237,R$12,FALSE),"")</f>
        <v/>
      </c>
      <c r="S17" s="542"/>
      <c r="T17" s="541" t="str">
        <f>IFERROR(VLOOKUP($B17,DatasheetDA!$C$4:$N$237,T$12,FALSE),"")</f>
        <v/>
      </c>
      <c r="U17" s="513"/>
      <c r="V17" s="514"/>
      <c r="W17" s="515"/>
      <c r="X17" s="516"/>
      <c r="Y17" s="46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row>
    <row r="18" spans="1:52" s="518" customFormat="1" ht="21" customHeight="1" thickBot="1" x14ac:dyDescent="0.25">
      <c r="A18" s="511">
        <v>6</v>
      </c>
      <c r="B18" s="470" t="str">
        <f t="shared" si="0"/>
        <v>E0000EZ6</v>
      </c>
      <c r="C18" s="530" t="str">
        <f>IFERROR(VLOOKUP(B18,DatasheetDA!$C$4:$E$237,3,0),"")</f>
        <v/>
      </c>
      <c r="D18" s="512"/>
      <c r="E18" s="541" t="str">
        <f>IFERROR(VLOOKUP($B18,DatasheetDA!$C$4:$M$237,E$12,FALSE),"")</f>
        <v/>
      </c>
      <c r="F18" s="542"/>
      <c r="G18" s="543"/>
      <c r="H18" s="541" t="str">
        <f>IFERROR(VLOOKUP($B18,DatasheetDA!$C$4:$M$237,H$12,FALSE),"")</f>
        <v/>
      </c>
      <c r="I18" s="629"/>
      <c r="J18" s="541" t="str">
        <f>IFERROR(VLOOKUP($B18,DatasheetDA!$C$4:$M$237,J$12,FALSE),"")</f>
        <v/>
      </c>
      <c r="K18" s="542"/>
      <c r="L18" s="541" t="str">
        <f>IFERROR(VLOOKUP($B18,DatasheetDA!$C$4:$M$237,L$12,FALSE),"")</f>
        <v/>
      </c>
      <c r="M18" s="544"/>
      <c r="N18" s="541" t="str">
        <f>IFERROR(VLOOKUP($B18,DatasheetDA!$C$4:$M$237,N$12,FALSE),"")</f>
        <v/>
      </c>
      <c r="O18" s="544"/>
      <c r="P18" s="541" t="str">
        <f>IFERROR(VLOOKUP($B18,DatasheetDA!$C$4:$M$237,P$12,FALSE),"")</f>
        <v/>
      </c>
      <c r="Q18" s="544"/>
      <c r="R18" s="541" t="str">
        <f>IFERROR(VLOOKUP($B18,DatasheetDA!$C$4:$M$237,R$12,FALSE),"")</f>
        <v/>
      </c>
      <c r="S18" s="542"/>
      <c r="T18" s="541" t="str">
        <f>IFERROR(VLOOKUP($B18,DatasheetDA!$C$4:$N$237,T$12,FALSE),"")</f>
        <v/>
      </c>
      <c r="U18" s="513"/>
      <c r="V18" s="514"/>
      <c r="W18" s="515"/>
      <c r="X18" s="516"/>
      <c r="Y18" s="46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row>
    <row r="19" spans="1:52" s="518" customFormat="1" ht="21" customHeight="1" thickBot="1" x14ac:dyDescent="0.25">
      <c r="A19" s="511">
        <v>7</v>
      </c>
      <c r="B19" s="470" t="str">
        <f t="shared" si="0"/>
        <v>E0000EZ7</v>
      </c>
      <c r="C19" s="530" t="str">
        <f>IFERROR(VLOOKUP(B19,DatasheetDA!$C$4:$E$237,3,0),"")</f>
        <v/>
      </c>
      <c r="D19" s="512"/>
      <c r="E19" s="541" t="str">
        <f>IFERROR(VLOOKUP($B19,DatasheetDA!$C$4:$M$237,E$12,FALSE),"")</f>
        <v/>
      </c>
      <c r="F19" s="542"/>
      <c r="G19" s="543"/>
      <c r="H19" s="541" t="str">
        <f>IFERROR(VLOOKUP($B19,DatasheetDA!$C$4:$M$237,H$12,FALSE),"")</f>
        <v/>
      </c>
      <c r="I19" s="629"/>
      <c r="J19" s="541" t="str">
        <f>IFERROR(VLOOKUP($B19,DatasheetDA!$C$4:$M$237,J$12,FALSE),"")</f>
        <v/>
      </c>
      <c r="K19" s="542"/>
      <c r="L19" s="541" t="str">
        <f>IFERROR(VLOOKUP($B19,DatasheetDA!$C$4:$M$237,L$12,FALSE),"")</f>
        <v/>
      </c>
      <c r="M19" s="544"/>
      <c r="N19" s="541" t="str">
        <f>IFERROR(VLOOKUP($B19,DatasheetDA!$C$4:$M$237,N$12,FALSE),"")</f>
        <v/>
      </c>
      <c r="O19" s="544"/>
      <c r="P19" s="541" t="str">
        <f>IFERROR(VLOOKUP($B19,DatasheetDA!$C$4:$M$237,P$12,FALSE),"")</f>
        <v/>
      </c>
      <c r="Q19" s="544"/>
      <c r="R19" s="541" t="str">
        <f>IFERROR(VLOOKUP($B19,DatasheetDA!$C$4:$M$237,R$12,FALSE),"")</f>
        <v/>
      </c>
      <c r="S19" s="542"/>
      <c r="T19" s="541" t="str">
        <f>IFERROR(VLOOKUP($B19,DatasheetDA!$C$4:$N$237,T$12,FALSE),"")</f>
        <v/>
      </c>
      <c r="U19" s="513"/>
      <c r="V19" s="514"/>
      <c r="W19" s="515"/>
      <c r="X19" s="516"/>
      <c r="Y19" s="46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row>
    <row r="20" spans="1:52" s="518" customFormat="1" ht="21" customHeight="1" thickBot="1" x14ac:dyDescent="0.25">
      <c r="A20" s="511">
        <v>8</v>
      </c>
      <c r="B20" s="470" t="str">
        <f t="shared" si="0"/>
        <v>E0000EZ8</v>
      </c>
      <c r="C20" s="530" t="str">
        <f>IFERROR(VLOOKUP(B20,DatasheetDA!$C$4:$E$237,3,0),"")</f>
        <v/>
      </c>
      <c r="D20" s="512"/>
      <c r="E20" s="541" t="str">
        <f>IFERROR(VLOOKUP($B20,DatasheetDA!$C$4:$M$237,E$12,FALSE),"")</f>
        <v/>
      </c>
      <c r="F20" s="542"/>
      <c r="G20" s="543"/>
      <c r="H20" s="541" t="str">
        <f>IFERROR(VLOOKUP($B20,DatasheetDA!$C$4:$M$237,H$12,FALSE),"")</f>
        <v/>
      </c>
      <c r="I20" s="629"/>
      <c r="J20" s="541" t="str">
        <f>IFERROR(VLOOKUP($B20,DatasheetDA!$C$4:$M$237,J$12,FALSE),"")</f>
        <v/>
      </c>
      <c r="K20" s="542"/>
      <c r="L20" s="541" t="str">
        <f>IFERROR(VLOOKUP($B20,DatasheetDA!$C$4:$M$237,L$12,FALSE),"")</f>
        <v/>
      </c>
      <c r="M20" s="544"/>
      <c r="N20" s="541" t="str">
        <f>IFERROR(VLOOKUP($B20,DatasheetDA!$C$4:$M$237,N$12,FALSE),"")</f>
        <v/>
      </c>
      <c r="O20" s="544"/>
      <c r="P20" s="541" t="str">
        <f>IFERROR(VLOOKUP($B20,DatasheetDA!$C$4:$M$237,P$12,FALSE),"")</f>
        <v/>
      </c>
      <c r="Q20" s="544"/>
      <c r="R20" s="541" t="str">
        <f>IFERROR(VLOOKUP($B20,DatasheetDA!$C$4:$M$237,R$12,FALSE),"")</f>
        <v/>
      </c>
      <c r="S20" s="542"/>
      <c r="T20" s="541" t="str">
        <f>IFERROR(VLOOKUP($B20,DatasheetDA!$C$4:$N$237,T$12,FALSE),"")</f>
        <v/>
      </c>
      <c r="U20" s="513"/>
      <c r="V20" s="514"/>
      <c r="W20" s="515"/>
      <c r="X20" s="516"/>
      <c r="Y20" s="46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row>
    <row r="21" spans="1:52" s="518" customFormat="1" ht="21" customHeight="1" thickBot="1" x14ac:dyDescent="0.25">
      <c r="A21" s="511">
        <v>9</v>
      </c>
      <c r="B21" s="470" t="str">
        <f t="shared" si="0"/>
        <v>E0000EZ9</v>
      </c>
      <c r="C21" s="530" t="str">
        <f>IFERROR(VLOOKUP(B21,DatasheetDA!$C$4:$E$237,3,0),"")</f>
        <v/>
      </c>
      <c r="D21" s="512"/>
      <c r="E21" s="541" t="str">
        <f>IFERROR(VLOOKUP($B21,DatasheetDA!$C$4:$M$237,E$12,FALSE),"")</f>
        <v/>
      </c>
      <c r="F21" s="542"/>
      <c r="G21" s="543"/>
      <c r="H21" s="541" t="str">
        <f>IFERROR(VLOOKUP($B21,DatasheetDA!$C$4:$M$237,H$12,FALSE),"")</f>
        <v/>
      </c>
      <c r="I21" s="629"/>
      <c r="J21" s="541" t="str">
        <f>IFERROR(VLOOKUP($B21,DatasheetDA!$C$4:$M$237,J$12,FALSE),"")</f>
        <v/>
      </c>
      <c r="K21" s="542"/>
      <c r="L21" s="541" t="str">
        <f>IFERROR(VLOOKUP($B21,DatasheetDA!$C$4:$M$237,L$12,FALSE),"")</f>
        <v/>
      </c>
      <c r="M21" s="544"/>
      <c r="N21" s="541" t="str">
        <f>IFERROR(VLOOKUP($B21,DatasheetDA!$C$4:$M$237,N$12,FALSE),"")</f>
        <v/>
      </c>
      <c r="O21" s="544"/>
      <c r="P21" s="541" t="str">
        <f>IFERROR(VLOOKUP($B21,DatasheetDA!$C$4:$M$237,P$12,FALSE),"")</f>
        <v/>
      </c>
      <c r="Q21" s="544"/>
      <c r="R21" s="541" t="str">
        <f>IFERROR(VLOOKUP($B21,DatasheetDA!$C$4:$M$237,R$12,FALSE),"")</f>
        <v/>
      </c>
      <c r="S21" s="542"/>
      <c r="T21" s="541" t="str">
        <f>IFERROR(VLOOKUP($B21,DatasheetDA!$C$4:$N$237,T$12,FALSE),"")</f>
        <v/>
      </c>
      <c r="U21" s="513"/>
      <c r="V21" s="514"/>
      <c r="W21" s="515"/>
      <c r="X21" s="516"/>
      <c r="Y21" s="46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row>
    <row r="22" spans="1:52" s="518" customFormat="1" ht="21" customHeight="1" thickBot="1" x14ac:dyDescent="0.25">
      <c r="A22" s="511">
        <v>10</v>
      </c>
      <c r="B22" s="470" t="str">
        <f t="shared" si="0"/>
        <v>E0000EZ10</v>
      </c>
      <c r="C22" s="530" t="str">
        <f>IFERROR(VLOOKUP(B22,DatasheetDA!$C$4:$E$237,3,0),"")</f>
        <v/>
      </c>
      <c r="D22" s="512"/>
      <c r="E22" s="541" t="str">
        <f>IFERROR(VLOOKUP($B22,DatasheetDA!$C$4:$M$237,E$12,FALSE),"")</f>
        <v/>
      </c>
      <c r="F22" s="542"/>
      <c r="G22" s="543"/>
      <c r="H22" s="541" t="str">
        <f>IFERROR(VLOOKUP($B22,DatasheetDA!$C$4:$M$237,H$12,FALSE),"")</f>
        <v/>
      </c>
      <c r="I22" s="629"/>
      <c r="J22" s="541" t="str">
        <f>IFERROR(VLOOKUP($B22,DatasheetDA!$C$4:$M$237,J$12,FALSE),"")</f>
        <v/>
      </c>
      <c r="K22" s="542"/>
      <c r="L22" s="541" t="str">
        <f>IFERROR(VLOOKUP($B22,DatasheetDA!$C$4:$M$237,L$12,FALSE),"")</f>
        <v/>
      </c>
      <c r="M22" s="544"/>
      <c r="N22" s="541" t="str">
        <f>IFERROR(VLOOKUP($B22,DatasheetDA!$C$4:$M$237,N$12,FALSE),"")</f>
        <v/>
      </c>
      <c r="O22" s="544"/>
      <c r="P22" s="541" t="str">
        <f>IFERROR(VLOOKUP($B22,DatasheetDA!$C$4:$M$237,P$12,FALSE),"")</f>
        <v/>
      </c>
      <c r="Q22" s="544"/>
      <c r="R22" s="541" t="str">
        <f>IFERROR(VLOOKUP($B22,DatasheetDA!$C$4:$M$237,R$12,FALSE),"")</f>
        <v/>
      </c>
      <c r="S22" s="542"/>
      <c r="T22" s="541" t="str">
        <f>IFERROR(VLOOKUP($B22,DatasheetDA!$C$4:$N$237,T$12,FALSE),"")</f>
        <v/>
      </c>
      <c r="U22" s="513"/>
      <c r="V22" s="514"/>
      <c r="W22" s="515"/>
      <c r="X22" s="516"/>
      <c r="Y22" s="46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row>
    <row r="23" spans="1:52" s="518" customFormat="1" ht="21" customHeight="1" thickBot="1" x14ac:dyDescent="0.25">
      <c r="A23" s="511">
        <v>11</v>
      </c>
      <c r="B23" s="470" t="str">
        <f t="shared" si="0"/>
        <v>E0000EZ11</v>
      </c>
      <c r="C23" s="530" t="str">
        <f>IFERROR(VLOOKUP(B23,DatasheetDA!$C$4:$E$237,3,0),"")</f>
        <v/>
      </c>
      <c r="D23" s="512"/>
      <c r="E23" s="541" t="str">
        <f>IFERROR(VLOOKUP($B23,DatasheetDA!$C$4:$M$237,E$12,FALSE),"")</f>
        <v/>
      </c>
      <c r="F23" s="542"/>
      <c r="G23" s="543"/>
      <c r="H23" s="541" t="str">
        <f>IFERROR(VLOOKUP($B23,DatasheetDA!$C$4:$M$237,H$12,FALSE),"")</f>
        <v/>
      </c>
      <c r="I23" s="629"/>
      <c r="J23" s="541" t="str">
        <f>IFERROR(VLOOKUP($B23,DatasheetDA!$C$4:$M$237,J$12,FALSE),"")</f>
        <v/>
      </c>
      <c r="K23" s="542"/>
      <c r="L23" s="541" t="str">
        <f>IFERROR(VLOOKUP($B23,DatasheetDA!$C$4:$M$237,L$12,FALSE),"")</f>
        <v/>
      </c>
      <c r="M23" s="544"/>
      <c r="N23" s="541" t="str">
        <f>IFERROR(VLOOKUP($B23,DatasheetDA!$C$4:$M$237,N$12,FALSE),"")</f>
        <v/>
      </c>
      <c r="O23" s="544"/>
      <c r="P23" s="541" t="str">
        <f>IFERROR(VLOOKUP($B23,DatasheetDA!$C$4:$M$237,P$12,FALSE),"")</f>
        <v/>
      </c>
      <c r="Q23" s="544"/>
      <c r="R23" s="541" t="str">
        <f>IFERROR(VLOOKUP($B23,DatasheetDA!$C$4:$M$237,R$12,FALSE),"")</f>
        <v/>
      </c>
      <c r="S23" s="542"/>
      <c r="T23" s="541" t="str">
        <f>IFERROR(VLOOKUP($B23,DatasheetDA!$C$4:$N$237,T$12,FALSE),"")</f>
        <v/>
      </c>
      <c r="U23" s="513"/>
      <c r="V23" s="514"/>
      <c r="W23" s="515"/>
      <c r="X23" s="516"/>
      <c r="Y23" s="46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row>
    <row r="24" spans="1:52" s="518" customFormat="1" ht="21" customHeight="1" thickBot="1" x14ac:dyDescent="0.25">
      <c r="A24" s="511">
        <v>12</v>
      </c>
      <c r="B24" s="470" t="str">
        <f t="shared" si="0"/>
        <v>E0000EZ12</v>
      </c>
      <c r="C24" s="530" t="str">
        <f>IFERROR(VLOOKUP(B24,DatasheetDA!$C$4:$E$237,3,0),"")</f>
        <v/>
      </c>
      <c r="D24" s="512"/>
      <c r="E24" s="541" t="str">
        <f>IFERROR(VLOOKUP($B24,DatasheetDA!$C$4:$M$237,E$12,FALSE),"")</f>
        <v/>
      </c>
      <c r="F24" s="542"/>
      <c r="G24" s="543"/>
      <c r="H24" s="541" t="str">
        <f>IFERROR(VLOOKUP($B24,DatasheetDA!$C$4:$M$237,H$12,FALSE),"")</f>
        <v/>
      </c>
      <c r="I24" s="629"/>
      <c r="J24" s="541" t="str">
        <f>IFERROR(VLOOKUP($B24,DatasheetDA!$C$4:$M$237,J$12,FALSE),"")</f>
        <v/>
      </c>
      <c r="K24" s="542"/>
      <c r="L24" s="541" t="str">
        <f>IFERROR(VLOOKUP($B24,DatasheetDA!$C$4:$M$237,L$12,FALSE),"")</f>
        <v/>
      </c>
      <c r="M24" s="544"/>
      <c r="N24" s="541" t="str">
        <f>IFERROR(VLOOKUP($B24,DatasheetDA!$C$4:$M$237,N$12,FALSE),"")</f>
        <v/>
      </c>
      <c r="O24" s="544"/>
      <c r="P24" s="541" t="str">
        <f>IFERROR(VLOOKUP($B24,DatasheetDA!$C$4:$M$237,P$12,FALSE),"")</f>
        <v/>
      </c>
      <c r="Q24" s="544"/>
      <c r="R24" s="541" t="str">
        <f>IFERROR(VLOOKUP($B24,DatasheetDA!$C$4:$M$237,R$12,FALSE),"")</f>
        <v/>
      </c>
      <c r="S24" s="542"/>
      <c r="T24" s="541" t="str">
        <f>IFERROR(VLOOKUP($B24,DatasheetDA!$C$4:$N$237,T$12,FALSE),"")</f>
        <v/>
      </c>
      <c r="U24" s="513"/>
      <c r="V24" s="514"/>
      <c r="W24" s="515"/>
      <c r="X24" s="516"/>
      <c r="Y24" s="46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row>
    <row r="25" spans="1:52" s="518" customFormat="1" ht="21" customHeight="1" thickBot="1" x14ac:dyDescent="0.25">
      <c r="A25" s="511">
        <v>13</v>
      </c>
      <c r="B25" s="470" t="str">
        <f t="shared" si="0"/>
        <v>E0000EZ13</v>
      </c>
      <c r="C25" s="530" t="str">
        <f>IFERROR(VLOOKUP(B25,DatasheetDA!$C$4:$E$237,3,0),"")</f>
        <v/>
      </c>
      <c r="D25" s="512"/>
      <c r="E25" s="541" t="str">
        <f>IFERROR(VLOOKUP($B25,DatasheetDA!$C$4:$M$237,E$12,FALSE),"")</f>
        <v/>
      </c>
      <c r="F25" s="542"/>
      <c r="G25" s="543"/>
      <c r="H25" s="541" t="str">
        <f>IFERROR(VLOOKUP($B25,DatasheetDA!$C$4:$M$237,H$12,FALSE),"")</f>
        <v/>
      </c>
      <c r="I25" s="629"/>
      <c r="J25" s="541" t="str">
        <f>IFERROR(VLOOKUP($B25,DatasheetDA!$C$4:$M$237,J$12,FALSE),"")</f>
        <v/>
      </c>
      <c r="K25" s="542"/>
      <c r="L25" s="541" t="str">
        <f>IFERROR(VLOOKUP($B25,DatasheetDA!$C$4:$M$237,L$12,FALSE),"")</f>
        <v/>
      </c>
      <c r="M25" s="544"/>
      <c r="N25" s="541" t="str">
        <f>IFERROR(VLOOKUP($B25,DatasheetDA!$C$4:$M$237,N$12,FALSE),"")</f>
        <v/>
      </c>
      <c r="O25" s="544"/>
      <c r="P25" s="541" t="str">
        <f>IFERROR(VLOOKUP($B25,DatasheetDA!$C$4:$M$237,P$12,FALSE),"")</f>
        <v/>
      </c>
      <c r="Q25" s="544"/>
      <c r="R25" s="541" t="str">
        <f>IFERROR(VLOOKUP($B25,DatasheetDA!$C$4:$M$237,R$12,FALSE),"")</f>
        <v/>
      </c>
      <c r="S25" s="542"/>
      <c r="T25" s="541" t="str">
        <f>IFERROR(VLOOKUP($B25,DatasheetDA!$C$4:$N$237,T$12,FALSE),"")</f>
        <v/>
      </c>
      <c r="U25" s="513"/>
      <c r="V25" s="514"/>
      <c r="W25" s="515"/>
      <c r="X25" s="516"/>
      <c r="Y25" s="46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row>
    <row r="26" spans="1:52" s="518" customFormat="1" ht="21" customHeight="1" thickBot="1" x14ac:dyDescent="0.25">
      <c r="A26" s="511">
        <v>14</v>
      </c>
      <c r="B26" s="470" t="str">
        <f t="shared" si="0"/>
        <v>E0000EZ14</v>
      </c>
      <c r="C26" s="530" t="str">
        <f>IFERROR(VLOOKUP(B26,DatasheetDA!$C$4:$E$237,3,0),"")</f>
        <v/>
      </c>
      <c r="D26" s="512"/>
      <c r="E26" s="541" t="str">
        <f>IFERROR(VLOOKUP($B26,DatasheetDA!$C$4:$M$237,E$12,FALSE),"")</f>
        <v/>
      </c>
      <c r="F26" s="542"/>
      <c r="G26" s="543"/>
      <c r="H26" s="541" t="str">
        <f>IFERROR(VLOOKUP($B26,DatasheetDA!$C$4:$M$237,H$12,FALSE),"")</f>
        <v/>
      </c>
      <c r="I26" s="629"/>
      <c r="J26" s="541" t="str">
        <f>IFERROR(VLOOKUP($B26,DatasheetDA!$C$4:$M$237,J$12,FALSE),"")</f>
        <v/>
      </c>
      <c r="K26" s="542"/>
      <c r="L26" s="541" t="str">
        <f>IFERROR(VLOOKUP($B26,DatasheetDA!$C$4:$M$237,L$12,FALSE),"")</f>
        <v/>
      </c>
      <c r="M26" s="544"/>
      <c r="N26" s="541" t="str">
        <f>IFERROR(VLOOKUP($B26,DatasheetDA!$C$4:$M$237,N$12,FALSE),"")</f>
        <v/>
      </c>
      <c r="O26" s="544"/>
      <c r="P26" s="541" t="str">
        <f>IFERROR(VLOOKUP($B26,DatasheetDA!$C$4:$M$237,P$12,FALSE),"")</f>
        <v/>
      </c>
      <c r="Q26" s="544"/>
      <c r="R26" s="541" t="str">
        <f>IFERROR(VLOOKUP($B26,DatasheetDA!$C$4:$M$237,R$12,FALSE),"")</f>
        <v/>
      </c>
      <c r="S26" s="542"/>
      <c r="T26" s="541" t="str">
        <f>IFERROR(VLOOKUP($B26,DatasheetDA!$C$4:$N$237,T$12,FALSE),"")</f>
        <v/>
      </c>
      <c r="U26" s="513"/>
      <c r="V26" s="514"/>
      <c r="W26" s="515"/>
      <c r="X26" s="516"/>
      <c r="Y26" s="46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row>
    <row r="27" spans="1:52" s="518" customFormat="1" ht="21" customHeight="1" thickBot="1" x14ac:dyDescent="0.25">
      <c r="A27" s="511">
        <v>15</v>
      </c>
      <c r="B27" s="470" t="str">
        <f t="shared" si="0"/>
        <v>E0000EZ15</v>
      </c>
      <c r="C27" s="530" t="str">
        <f>IFERROR(VLOOKUP(B27,DatasheetDA!$C$4:$E$237,3,0),"")</f>
        <v/>
      </c>
      <c r="D27" s="512"/>
      <c r="E27" s="541" t="str">
        <f>IFERROR(VLOOKUP($B27,DatasheetDA!$C$4:$M$237,E$12,FALSE),"")</f>
        <v/>
      </c>
      <c r="F27" s="542"/>
      <c r="G27" s="543"/>
      <c r="H27" s="541" t="str">
        <f>IFERROR(VLOOKUP($B27,DatasheetDA!$C$4:$M$237,H$12,FALSE),"")</f>
        <v/>
      </c>
      <c r="I27" s="629"/>
      <c r="J27" s="541" t="str">
        <f>IFERROR(VLOOKUP($B27,DatasheetDA!$C$4:$M$237,J$12,FALSE),"")</f>
        <v/>
      </c>
      <c r="K27" s="542"/>
      <c r="L27" s="541" t="str">
        <f>IFERROR(VLOOKUP($B27,DatasheetDA!$C$4:$M$237,L$12,FALSE),"")</f>
        <v/>
      </c>
      <c r="M27" s="544"/>
      <c r="N27" s="541" t="str">
        <f>IFERROR(VLOOKUP($B27,DatasheetDA!$C$4:$M$237,N$12,FALSE),"")</f>
        <v/>
      </c>
      <c r="O27" s="544"/>
      <c r="P27" s="541" t="str">
        <f>IFERROR(VLOOKUP($B27,DatasheetDA!$C$4:$M$237,P$12,FALSE),"")</f>
        <v/>
      </c>
      <c r="Q27" s="544"/>
      <c r="R27" s="541" t="str">
        <f>IFERROR(VLOOKUP($B27,DatasheetDA!$C$4:$M$237,R$12,FALSE),"")</f>
        <v/>
      </c>
      <c r="S27" s="542"/>
      <c r="T27" s="541" t="str">
        <f>IFERROR(VLOOKUP($B27,DatasheetDA!$C$4:$N$237,T$12,FALSE),"")</f>
        <v/>
      </c>
      <c r="U27" s="513"/>
      <c r="V27" s="514"/>
      <c r="W27" s="515"/>
      <c r="X27" s="516"/>
      <c r="Y27" s="46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row>
    <row r="28" spans="1:52" s="518" customFormat="1" ht="21" customHeight="1" thickBot="1" x14ac:dyDescent="0.25">
      <c r="A28" s="511">
        <v>16</v>
      </c>
      <c r="B28" s="470" t="str">
        <f t="shared" si="0"/>
        <v>E0000EZ16</v>
      </c>
      <c r="C28" s="530" t="str">
        <f>IFERROR(VLOOKUP(B28,DatasheetDA!$C$4:$E$237,3,0),"")</f>
        <v/>
      </c>
      <c r="D28" s="512"/>
      <c r="E28" s="541" t="str">
        <f>IFERROR(VLOOKUP($B28,DatasheetDA!$C$4:$M$237,E$12,FALSE),"")</f>
        <v/>
      </c>
      <c r="F28" s="542"/>
      <c r="G28" s="543"/>
      <c r="H28" s="541" t="str">
        <f>IFERROR(VLOOKUP($B28,DatasheetDA!$C$4:$M$237,H$12,FALSE),"")</f>
        <v/>
      </c>
      <c r="I28" s="629"/>
      <c r="J28" s="541" t="str">
        <f>IFERROR(VLOOKUP($B28,DatasheetDA!$C$4:$M$237,J$12,FALSE),"")</f>
        <v/>
      </c>
      <c r="K28" s="542"/>
      <c r="L28" s="541" t="str">
        <f>IFERROR(VLOOKUP($B28,DatasheetDA!$C$4:$M$237,L$12,FALSE),"")</f>
        <v/>
      </c>
      <c r="M28" s="544"/>
      <c r="N28" s="541" t="str">
        <f>IFERROR(VLOOKUP($B28,DatasheetDA!$C$4:$M$237,N$12,FALSE),"")</f>
        <v/>
      </c>
      <c r="O28" s="544"/>
      <c r="P28" s="541" t="str">
        <f>IFERROR(VLOOKUP($B28,DatasheetDA!$C$4:$M$237,P$12,FALSE),"")</f>
        <v/>
      </c>
      <c r="Q28" s="544"/>
      <c r="R28" s="541" t="str">
        <f>IFERROR(VLOOKUP($B28,DatasheetDA!$C$4:$M$237,R$12,FALSE),"")</f>
        <v/>
      </c>
      <c r="S28" s="542"/>
      <c r="T28" s="541" t="str">
        <f>IFERROR(VLOOKUP($B28,DatasheetDA!$C$4:$N$237,T$12,FALSE),"")</f>
        <v/>
      </c>
      <c r="U28" s="513"/>
      <c r="V28" s="514"/>
      <c r="W28" s="515"/>
      <c r="X28" s="516"/>
      <c r="Y28" s="467"/>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row>
    <row r="29" spans="1:52" s="518" customFormat="1" ht="21" customHeight="1" thickBot="1" x14ac:dyDescent="0.25">
      <c r="A29" s="511">
        <v>17</v>
      </c>
      <c r="B29" s="470" t="str">
        <f t="shared" si="0"/>
        <v>E0000EZ17</v>
      </c>
      <c r="C29" s="530" t="str">
        <f>IFERROR(VLOOKUP(B29,DatasheetDA!$C$4:$E$237,3,0),"")</f>
        <v/>
      </c>
      <c r="D29" s="512"/>
      <c r="E29" s="541" t="str">
        <f>IFERROR(VLOOKUP($B29,DatasheetDA!$C$4:$M$237,E$12,FALSE),"")</f>
        <v/>
      </c>
      <c r="F29" s="542"/>
      <c r="G29" s="543"/>
      <c r="H29" s="541" t="str">
        <f>IFERROR(VLOOKUP($B29,DatasheetDA!$C$4:$M$237,H$12,FALSE),"")</f>
        <v/>
      </c>
      <c r="I29" s="629"/>
      <c r="J29" s="541" t="str">
        <f>IFERROR(VLOOKUP($B29,DatasheetDA!$C$4:$M$237,J$12,FALSE),"")</f>
        <v/>
      </c>
      <c r="K29" s="542"/>
      <c r="L29" s="541" t="str">
        <f>IFERROR(VLOOKUP($B29,DatasheetDA!$C$4:$M$237,L$12,FALSE),"")</f>
        <v/>
      </c>
      <c r="M29" s="544"/>
      <c r="N29" s="541" t="str">
        <f>IFERROR(VLOOKUP($B29,DatasheetDA!$C$4:$M$237,N$12,FALSE),"")</f>
        <v/>
      </c>
      <c r="O29" s="544"/>
      <c r="P29" s="541" t="str">
        <f>IFERROR(VLOOKUP($B29,DatasheetDA!$C$4:$M$237,P$12,FALSE),"")</f>
        <v/>
      </c>
      <c r="Q29" s="544"/>
      <c r="R29" s="541" t="str">
        <f>IFERROR(VLOOKUP($B29,DatasheetDA!$C$4:$M$237,R$12,FALSE),"")</f>
        <v/>
      </c>
      <c r="S29" s="542"/>
      <c r="T29" s="541" t="str">
        <f>IFERROR(VLOOKUP($B29,DatasheetDA!$C$4:$N$237,T$12,FALSE),"")</f>
        <v/>
      </c>
      <c r="U29" s="513"/>
      <c r="V29" s="514"/>
      <c r="W29" s="515"/>
      <c r="X29" s="516"/>
      <c r="Y29" s="46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row>
    <row r="30" spans="1:52" s="518" customFormat="1" ht="21" customHeight="1" thickBot="1" x14ac:dyDescent="0.25">
      <c r="A30" s="511">
        <v>18</v>
      </c>
      <c r="B30" s="470" t="str">
        <f t="shared" si="0"/>
        <v>E0000EZ18</v>
      </c>
      <c r="C30" s="530" t="str">
        <f>IFERROR(VLOOKUP(B30,DatasheetDA!$C$4:$E$237,3,0),"")</f>
        <v/>
      </c>
      <c r="D30" s="512"/>
      <c r="E30" s="541" t="str">
        <f>IFERROR(VLOOKUP($B30,DatasheetDA!$C$4:$M$237,E$12,FALSE),"")</f>
        <v/>
      </c>
      <c r="F30" s="542"/>
      <c r="G30" s="543"/>
      <c r="H30" s="541" t="str">
        <f>IFERROR(VLOOKUP($B30,DatasheetDA!$C$4:$M$237,H$12,FALSE),"")</f>
        <v/>
      </c>
      <c r="I30" s="629"/>
      <c r="J30" s="541" t="str">
        <f>IFERROR(VLOOKUP($B30,DatasheetDA!$C$4:$M$237,J$12,FALSE),"")</f>
        <v/>
      </c>
      <c r="K30" s="542"/>
      <c r="L30" s="541" t="str">
        <f>IFERROR(VLOOKUP($B30,DatasheetDA!$C$4:$M$237,L$12,FALSE),"")</f>
        <v/>
      </c>
      <c r="M30" s="544"/>
      <c r="N30" s="541" t="str">
        <f>IFERROR(VLOOKUP($B30,DatasheetDA!$C$4:$M$237,N$12,FALSE),"")</f>
        <v/>
      </c>
      <c r="O30" s="544"/>
      <c r="P30" s="541" t="str">
        <f>IFERROR(VLOOKUP($B30,DatasheetDA!$C$4:$M$237,P$12,FALSE),"")</f>
        <v/>
      </c>
      <c r="Q30" s="544"/>
      <c r="R30" s="541" t="str">
        <f>IFERROR(VLOOKUP($B30,DatasheetDA!$C$4:$M$237,R$12,FALSE),"")</f>
        <v/>
      </c>
      <c r="S30" s="542"/>
      <c r="T30" s="541" t="str">
        <f>IFERROR(VLOOKUP($B30,DatasheetDA!$C$4:$N$237,T$12,FALSE),"")</f>
        <v/>
      </c>
      <c r="U30" s="513"/>
      <c r="V30" s="514"/>
      <c r="W30" s="515"/>
      <c r="X30" s="516"/>
      <c r="Y30" s="46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row>
    <row r="31" spans="1:52" s="518" customFormat="1" ht="21" customHeight="1" thickBot="1" x14ac:dyDescent="0.25">
      <c r="A31" s="511">
        <v>19</v>
      </c>
      <c r="B31" s="470" t="str">
        <f t="shared" si="0"/>
        <v>E0000EZ19</v>
      </c>
      <c r="C31" s="530" t="str">
        <f>IFERROR(VLOOKUP(B31,DatasheetDA!$C$4:$E$237,3,0),"")</f>
        <v/>
      </c>
      <c r="D31" s="512"/>
      <c r="E31" s="541" t="str">
        <f>IFERROR(VLOOKUP($B31,DatasheetDA!$C$4:$M$237,E$12,FALSE),"")</f>
        <v/>
      </c>
      <c r="F31" s="542"/>
      <c r="G31" s="543"/>
      <c r="H31" s="541" t="str">
        <f>IFERROR(VLOOKUP($B31,DatasheetDA!$C$4:$M$237,H$12,FALSE),"")</f>
        <v/>
      </c>
      <c r="I31" s="629"/>
      <c r="J31" s="541" t="str">
        <f>IFERROR(VLOOKUP($B31,DatasheetDA!$C$4:$M$237,J$12,FALSE),"")</f>
        <v/>
      </c>
      <c r="K31" s="542"/>
      <c r="L31" s="541" t="str">
        <f>IFERROR(VLOOKUP($B31,DatasheetDA!$C$4:$M$237,L$12,FALSE),"")</f>
        <v/>
      </c>
      <c r="M31" s="544"/>
      <c r="N31" s="541" t="str">
        <f>IFERROR(VLOOKUP($B31,DatasheetDA!$C$4:$M$237,N$12,FALSE),"")</f>
        <v/>
      </c>
      <c r="O31" s="544"/>
      <c r="P31" s="541" t="str">
        <f>IFERROR(VLOOKUP($B31,DatasheetDA!$C$4:$M$237,P$12,FALSE),"")</f>
        <v/>
      </c>
      <c r="Q31" s="544"/>
      <c r="R31" s="541" t="str">
        <f>IFERROR(VLOOKUP($B31,DatasheetDA!$C$4:$M$237,R$12,FALSE),"")</f>
        <v/>
      </c>
      <c r="S31" s="542"/>
      <c r="T31" s="541" t="str">
        <f>IFERROR(VLOOKUP($B31,DatasheetDA!$C$4:$N$237,T$12,FALSE),"")</f>
        <v/>
      </c>
      <c r="U31" s="513"/>
      <c r="V31" s="514"/>
      <c r="W31" s="515"/>
      <c r="X31" s="516"/>
      <c r="Y31" s="46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row>
    <row r="32" spans="1:52" s="518" customFormat="1" ht="21" customHeight="1" thickBot="1" x14ac:dyDescent="0.25">
      <c r="A32" s="511">
        <v>20</v>
      </c>
      <c r="B32" s="470" t="str">
        <f t="shared" si="0"/>
        <v>E0000EZ20</v>
      </c>
      <c r="C32" s="530" t="str">
        <f>IFERROR(VLOOKUP(B32,DatasheetDA!$C$4:$E$237,3,0),"")</f>
        <v/>
      </c>
      <c r="D32" s="512"/>
      <c r="E32" s="541" t="str">
        <f>IFERROR(VLOOKUP($B32,DatasheetDA!$C$4:$M$237,E$12,FALSE),"")</f>
        <v/>
      </c>
      <c r="F32" s="542"/>
      <c r="G32" s="543"/>
      <c r="H32" s="541" t="str">
        <f>IFERROR(VLOOKUP($B32,DatasheetDA!$C$4:$M$237,H$12,FALSE),"")</f>
        <v/>
      </c>
      <c r="I32" s="629"/>
      <c r="J32" s="541" t="str">
        <f>IFERROR(VLOOKUP($B32,DatasheetDA!$C$4:$M$237,J$12,FALSE),"")</f>
        <v/>
      </c>
      <c r="K32" s="542"/>
      <c r="L32" s="541" t="str">
        <f>IFERROR(VLOOKUP($B32,DatasheetDA!$C$4:$M$237,L$12,FALSE),"")</f>
        <v/>
      </c>
      <c r="M32" s="544"/>
      <c r="N32" s="541" t="str">
        <f>IFERROR(VLOOKUP($B32,DatasheetDA!$C$4:$M$237,N$12,FALSE),"")</f>
        <v/>
      </c>
      <c r="O32" s="544"/>
      <c r="P32" s="541" t="str">
        <f>IFERROR(VLOOKUP($B32,DatasheetDA!$C$4:$M$237,P$12,FALSE),"")</f>
        <v/>
      </c>
      <c r="Q32" s="544"/>
      <c r="R32" s="541" t="str">
        <f>IFERROR(VLOOKUP($B32,DatasheetDA!$C$4:$M$237,R$12,FALSE),"")</f>
        <v/>
      </c>
      <c r="S32" s="542"/>
      <c r="T32" s="541" t="str">
        <f>IFERROR(VLOOKUP($B32,DatasheetDA!$C$4:$N$237,T$12,FALSE),"")</f>
        <v/>
      </c>
      <c r="U32" s="513"/>
      <c r="V32" s="514"/>
      <c r="W32" s="515"/>
      <c r="X32" s="516"/>
      <c r="Y32" s="46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row>
    <row r="33" spans="1:52" s="518" customFormat="1" ht="21" customHeight="1" thickBot="1" x14ac:dyDescent="0.25">
      <c r="A33" s="511">
        <v>21</v>
      </c>
      <c r="B33" s="470" t="str">
        <f t="shared" si="0"/>
        <v>E0000EZ21</v>
      </c>
      <c r="C33" s="530" t="str">
        <f>IFERROR(VLOOKUP(B33,DatasheetDA!$C$4:$E$237,3,0),"")</f>
        <v/>
      </c>
      <c r="D33" s="512"/>
      <c r="E33" s="541" t="str">
        <f>IFERROR(VLOOKUP($B33,DatasheetDA!$C$4:$M$237,E$12,FALSE),"")</f>
        <v/>
      </c>
      <c r="F33" s="542"/>
      <c r="G33" s="543"/>
      <c r="H33" s="541" t="str">
        <f>IFERROR(VLOOKUP($B33,DatasheetDA!$C$4:$M$237,H$12,FALSE),"")</f>
        <v/>
      </c>
      <c r="I33" s="629"/>
      <c r="J33" s="541" t="str">
        <f>IFERROR(VLOOKUP($B33,DatasheetDA!$C$4:$M$237,J$12,FALSE),"")</f>
        <v/>
      </c>
      <c r="K33" s="542"/>
      <c r="L33" s="541" t="str">
        <f>IFERROR(VLOOKUP($B33,DatasheetDA!$C$4:$M$237,L$12,FALSE),"")</f>
        <v/>
      </c>
      <c r="M33" s="544"/>
      <c r="N33" s="541" t="str">
        <f>IFERROR(VLOOKUP($B33,DatasheetDA!$C$4:$M$237,N$12,FALSE),"")</f>
        <v/>
      </c>
      <c r="O33" s="544"/>
      <c r="P33" s="541" t="str">
        <f>IFERROR(VLOOKUP($B33,DatasheetDA!$C$4:$M$237,P$12,FALSE),"")</f>
        <v/>
      </c>
      <c r="Q33" s="544"/>
      <c r="R33" s="541" t="str">
        <f>IFERROR(VLOOKUP($B33,DatasheetDA!$C$4:$M$237,R$12,FALSE),"")</f>
        <v/>
      </c>
      <c r="S33" s="542"/>
      <c r="T33" s="541" t="str">
        <f>IFERROR(VLOOKUP($B33,DatasheetDA!$C$4:$N$237,T$12,FALSE),"")</f>
        <v/>
      </c>
      <c r="U33" s="513"/>
      <c r="V33" s="514"/>
      <c r="W33" s="515"/>
      <c r="X33" s="516"/>
      <c r="Y33" s="467"/>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517"/>
      <c r="AV33" s="517"/>
      <c r="AW33" s="517"/>
      <c r="AX33" s="517"/>
      <c r="AY33" s="517"/>
      <c r="AZ33" s="517"/>
    </row>
    <row r="34" spans="1:52" s="518" customFormat="1" ht="21" customHeight="1" thickBot="1" x14ac:dyDescent="0.25">
      <c r="A34" s="511">
        <v>22</v>
      </c>
      <c r="B34" s="470" t="str">
        <f t="shared" si="0"/>
        <v>E0000EZ22</v>
      </c>
      <c r="C34" s="530" t="str">
        <f>IFERROR(VLOOKUP(B34,DatasheetDA!$C$4:$E$237,3,0),"")</f>
        <v/>
      </c>
      <c r="D34" s="512"/>
      <c r="E34" s="541" t="str">
        <f>IFERROR(VLOOKUP($B34,DatasheetDA!$C$4:$M$237,E$12,FALSE),"")</f>
        <v/>
      </c>
      <c r="F34" s="542"/>
      <c r="G34" s="543"/>
      <c r="H34" s="541" t="str">
        <f>IFERROR(VLOOKUP($B34,DatasheetDA!$C$4:$M$237,H$12,FALSE),"")</f>
        <v/>
      </c>
      <c r="I34" s="629"/>
      <c r="J34" s="541" t="str">
        <f>IFERROR(VLOOKUP($B34,DatasheetDA!$C$4:$M$237,J$12,FALSE),"")</f>
        <v/>
      </c>
      <c r="K34" s="542"/>
      <c r="L34" s="541" t="str">
        <f>IFERROR(VLOOKUP($B34,DatasheetDA!$C$4:$M$237,L$12,FALSE),"")</f>
        <v/>
      </c>
      <c r="M34" s="544"/>
      <c r="N34" s="541" t="str">
        <f>IFERROR(VLOOKUP($B34,DatasheetDA!$C$4:$M$237,N$12,FALSE),"")</f>
        <v/>
      </c>
      <c r="O34" s="544"/>
      <c r="P34" s="541" t="str">
        <f>IFERROR(VLOOKUP($B34,DatasheetDA!$C$4:$M$237,P$12,FALSE),"")</f>
        <v/>
      </c>
      <c r="Q34" s="544"/>
      <c r="R34" s="541" t="str">
        <f>IFERROR(VLOOKUP($B34,DatasheetDA!$C$4:$M$237,R$12,FALSE),"")</f>
        <v/>
      </c>
      <c r="S34" s="542"/>
      <c r="T34" s="541" t="str">
        <f>IFERROR(VLOOKUP($B34,DatasheetDA!$C$4:$N$237,T$12,FALSE),"")</f>
        <v/>
      </c>
      <c r="U34" s="513"/>
      <c r="V34" s="514"/>
      <c r="W34" s="515"/>
      <c r="X34" s="516"/>
      <c r="Y34" s="46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row>
    <row r="35" spans="1:52" s="518" customFormat="1" ht="21" customHeight="1" thickBot="1" x14ac:dyDescent="0.25">
      <c r="A35" s="511">
        <v>23</v>
      </c>
      <c r="B35" s="470" t="str">
        <f t="shared" si="0"/>
        <v>E0000EZ23</v>
      </c>
      <c r="C35" s="530" t="str">
        <f>IFERROR(VLOOKUP(B35,DatasheetDA!$C$4:$E$237,3,0),"")</f>
        <v/>
      </c>
      <c r="D35" s="512"/>
      <c r="E35" s="541" t="str">
        <f>IFERROR(VLOOKUP($B35,DatasheetDA!$C$4:$M$237,E$12,FALSE),"")</f>
        <v/>
      </c>
      <c r="F35" s="542"/>
      <c r="G35" s="543"/>
      <c r="H35" s="541" t="str">
        <f>IFERROR(VLOOKUP($B35,DatasheetDA!$C$4:$M$237,H$12,FALSE),"")</f>
        <v/>
      </c>
      <c r="I35" s="629"/>
      <c r="J35" s="541" t="str">
        <f>IFERROR(VLOOKUP($B35,DatasheetDA!$C$4:$M$237,J$12,FALSE),"")</f>
        <v/>
      </c>
      <c r="K35" s="542"/>
      <c r="L35" s="541" t="str">
        <f>IFERROR(VLOOKUP($B35,DatasheetDA!$C$4:$M$237,L$12,FALSE),"")</f>
        <v/>
      </c>
      <c r="M35" s="544"/>
      <c r="N35" s="541" t="str">
        <f>IFERROR(VLOOKUP($B35,DatasheetDA!$C$4:$M$237,N$12,FALSE),"")</f>
        <v/>
      </c>
      <c r="O35" s="544"/>
      <c r="P35" s="541" t="str">
        <f>IFERROR(VLOOKUP($B35,DatasheetDA!$C$4:$M$237,P$12,FALSE),"")</f>
        <v/>
      </c>
      <c r="Q35" s="544"/>
      <c r="R35" s="541" t="str">
        <f>IFERROR(VLOOKUP($B35,DatasheetDA!$C$4:$M$237,R$12,FALSE),"")</f>
        <v/>
      </c>
      <c r="S35" s="542"/>
      <c r="T35" s="541" t="str">
        <f>IFERROR(VLOOKUP($B35,DatasheetDA!$C$4:$N$237,T$12,FALSE),"")</f>
        <v/>
      </c>
      <c r="U35" s="513"/>
      <c r="V35" s="514"/>
      <c r="W35" s="515"/>
      <c r="X35" s="516"/>
      <c r="Y35" s="46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517"/>
      <c r="AV35" s="517"/>
      <c r="AW35" s="517"/>
      <c r="AX35" s="517"/>
      <c r="AY35" s="517"/>
      <c r="AZ35" s="517"/>
    </row>
    <row r="36" spans="1:52" s="518" customFormat="1" ht="21" customHeight="1" thickBot="1" x14ac:dyDescent="0.25">
      <c r="A36" s="511">
        <v>24</v>
      </c>
      <c r="B36" s="470" t="str">
        <f t="shared" si="0"/>
        <v>E0000EZ24</v>
      </c>
      <c r="C36" s="530" t="str">
        <f>IFERROR(VLOOKUP(B36,DatasheetDA!$C$4:$E$237,3,0),"")</f>
        <v/>
      </c>
      <c r="D36" s="512"/>
      <c r="E36" s="541" t="str">
        <f>IFERROR(VLOOKUP($B36,DatasheetDA!$C$4:$M$237,E$12,FALSE),"")</f>
        <v/>
      </c>
      <c r="F36" s="542"/>
      <c r="G36" s="543"/>
      <c r="H36" s="541" t="str">
        <f>IFERROR(VLOOKUP($B36,DatasheetDA!$C$4:$M$237,H$12,FALSE),"")</f>
        <v/>
      </c>
      <c r="I36" s="629"/>
      <c r="J36" s="541" t="str">
        <f>IFERROR(VLOOKUP($B36,DatasheetDA!$C$4:$M$237,J$12,FALSE),"")</f>
        <v/>
      </c>
      <c r="K36" s="542"/>
      <c r="L36" s="541" t="str">
        <f>IFERROR(VLOOKUP($B36,DatasheetDA!$C$4:$M$237,L$12,FALSE),"")</f>
        <v/>
      </c>
      <c r="M36" s="544"/>
      <c r="N36" s="541" t="str">
        <f>IFERROR(VLOOKUP($B36,DatasheetDA!$C$4:$M$237,N$12,FALSE),"")</f>
        <v/>
      </c>
      <c r="O36" s="544"/>
      <c r="P36" s="541" t="str">
        <f>IFERROR(VLOOKUP($B36,DatasheetDA!$C$4:$M$237,P$12,FALSE),"")</f>
        <v/>
      </c>
      <c r="Q36" s="544"/>
      <c r="R36" s="541" t="str">
        <f>IFERROR(VLOOKUP($B36,DatasheetDA!$C$4:$M$237,R$12,FALSE),"")</f>
        <v/>
      </c>
      <c r="S36" s="542"/>
      <c r="T36" s="541" t="str">
        <f>IFERROR(VLOOKUP($B36,DatasheetDA!$C$4:$N$237,T$12,FALSE),"")</f>
        <v/>
      </c>
      <c r="U36" s="513"/>
      <c r="V36" s="514"/>
      <c r="W36" s="515"/>
      <c r="X36" s="514"/>
      <c r="Y36" s="46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7"/>
      <c r="AY36" s="517"/>
      <c r="AZ36" s="517"/>
    </row>
    <row r="37" spans="1:52" s="518" customFormat="1" ht="21" customHeight="1" thickBot="1" x14ac:dyDescent="0.25">
      <c r="A37" s="511">
        <v>25</v>
      </c>
      <c r="B37" s="470" t="str">
        <f t="shared" si="0"/>
        <v>E0000EZ25</v>
      </c>
      <c r="C37" s="530" t="str">
        <f>IFERROR(VLOOKUP(B37,DatasheetDA!$C$4:$E$237,3,0),"")</f>
        <v/>
      </c>
      <c r="D37" s="512"/>
      <c r="E37" s="541" t="str">
        <f>IFERROR(VLOOKUP($B37,DatasheetDA!$C$4:$M$237,E$12,FALSE),"")</f>
        <v/>
      </c>
      <c r="F37" s="542"/>
      <c r="G37" s="543"/>
      <c r="H37" s="541" t="str">
        <f>IFERROR(VLOOKUP($B37,DatasheetDA!$C$4:$M$237,H$12,FALSE),"")</f>
        <v/>
      </c>
      <c r="I37" s="629"/>
      <c r="J37" s="541" t="str">
        <f>IFERROR(VLOOKUP($B37,DatasheetDA!$C$4:$M$237,J$12,FALSE),"")</f>
        <v/>
      </c>
      <c r="K37" s="542"/>
      <c r="L37" s="541" t="str">
        <f>IFERROR(VLOOKUP($B37,DatasheetDA!$C$4:$M$237,L$12,FALSE),"")</f>
        <v/>
      </c>
      <c r="M37" s="544"/>
      <c r="N37" s="541" t="str">
        <f>IFERROR(VLOOKUP($B37,DatasheetDA!$C$4:$M$237,N$12,FALSE),"")</f>
        <v/>
      </c>
      <c r="O37" s="544"/>
      <c r="P37" s="541" t="str">
        <f>IFERROR(VLOOKUP($B37,DatasheetDA!$C$4:$M$237,P$12,FALSE),"")</f>
        <v/>
      </c>
      <c r="Q37" s="544"/>
      <c r="R37" s="541" t="str">
        <f>IFERROR(VLOOKUP($B37,DatasheetDA!$C$4:$M$237,R$12,FALSE),"")</f>
        <v/>
      </c>
      <c r="S37" s="542"/>
      <c r="T37" s="541" t="str">
        <f>IFERROR(VLOOKUP($B37,DatasheetDA!$C$4:$N$237,T$12,FALSE),"")</f>
        <v/>
      </c>
      <c r="U37" s="513"/>
      <c r="V37" s="514"/>
      <c r="W37" s="515"/>
      <c r="X37" s="514"/>
      <c r="Y37" s="46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row>
    <row r="38" spans="1:52" s="518" customFormat="1" ht="21" customHeight="1" thickBot="1" x14ac:dyDescent="0.25">
      <c r="A38" s="511">
        <v>26</v>
      </c>
      <c r="B38" s="470" t="str">
        <f t="shared" si="0"/>
        <v>E0000EZ26</v>
      </c>
      <c r="C38" s="530" t="str">
        <f>IFERROR(VLOOKUP(B38,DatasheetDA!$C$4:$E$237,3,0),"")</f>
        <v/>
      </c>
      <c r="D38" s="512"/>
      <c r="E38" s="541" t="str">
        <f>IFERROR(VLOOKUP($B38,DatasheetDA!$C$4:$M$237,E$12,FALSE),"")</f>
        <v/>
      </c>
      <c r="F38" s="542"/>
      <c r="G38" s="543"/>
      <c r="H38" s="541" t="str">
        <f>IFERROR(VLOOKUP($B38,DatasheetDA!$C$4:$M$237,H$12,FALSE),"")</f>
        <v/>
      </c>
      <c r="I38" s="629"/>
      <c r="J38" s="541" t="str">
        <f>IFERROR(VLOOKUP($B38,DatasheetDA!$C$4:$M$237,J$12,FALSE),"")</f>
        <v/>
      </c>
      <c r="K38" s="542"/>
      <c r="L38" s="541" t="str">
        <f>IFERROR(VLOOKUP($B38,DatasheetDA!$C$4:$M$237,L$12,FALSE),"")</f>
        <v/>
      </c>
      <c r="M38" s="544"/>
      <c r="N38" s="541" t="str">
        <f>IFERROR(VLOOKUP($B38,DatasheetDA!$C$4:$M$237,N$12,FALSE),"")</f>
        <v/>
      </c>
      <c r="O38" s="544"/>
      <c r="P38" s="541" t="str">
        <f>IFERROR(VLOOKUP($B38,DatasheetDA!$C$4:$M$237,P$12,FALSE),"")</f>
        <v/>
      </c>
      <c r="Q38" s="544"/>
      <c r="R38" s="541" t="str">
        <f>IFERROR(VLOOKUP($B38,DatasheetDA!$C$4:$M$237,R$12,FALSE),"")</f>
        <v/>
      </c>
      <c r="S38" s="542"/>
      <c r="T38" s="541" t="str">
        <f>IFERROR(VLOOKUP($B38,DatasheetDA!$C$4:$N$237,T$12,FALSE),"")</f>
        <v/>
      </c>
      <c r="U38" s="513"/>
      <c r="V38" s="514"/>
      <c r="W38" s="515"/>
      <c r="X38" s="514"/>
      <c r="Y38" s="46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row>
    <row r="39" spans="1:52" s="518" customFormat="1" ht="21" customHeight="1" thickBot="1" x14ac:dyDescent="0.25">
      <c r="A39" s="511">
        <v>27</v>
      </c>
      <c r="B39" s="470" t="str">
        <f t="shared" si="0"/>
        <v>E0000EZ27</v>
      </c>
      <c r="C39" s="530" t="str">
        <f>IFERROR(VLOOKUP(B39,DatasheetDA!$C$4:$E$237,3,0),"")</f>
        <v/>
      </c>
      <c r="D39" s="512"/>
      <c r="E39" s="541" t="str">
        <f>IFERROR(VLOOKUP($B39,DatasheetDA!$C$4:$M$237,E$12,FALSE),"")</f>
        <v/>
      </c>
      <c r="F39" s="542"/>
      <c r="G39" s="543"/>
      <c r="H39" s="541" t="str">
        <f>IFERROR(VLOOKUP($B39,DatasheetDA!$C$4:$M$237,H$12,FALSE),"")</f>
        <v/>
      </c>
      <c r="I39" s="629"/>
      <c r="J39" s="541" t="str">
        <f>IFERROR(VLOOKUP($B39,DatasheetDA!$C$4:$M$237,J$12,FALSE),"")</f>
        <v/>
      </c>
      <c r="K39" s="542"/>
      <c r="L39" s="541" t="str">
        <f>IFERROR(VLOOKUP($B39,DatasheetDA!$C$4:$M$237,L$12,FALSE),"")</f>
        <v/>
      </c>
      <c r="M39" s="544"/>
      <c r="N39" s="541" t="str">
        <f>IFERROR(VLOOKUP($B39,DatasheetDA!$C$4:$M$237,N$12,FALSE),"")</f>
        <v/>
      </c>
      <c r="O39" s="544"/>
      <c r="P39" s="541" t="str">
        <f>IFERROR(VLOOKUP($B39,DatasheetDA!$C$4:$M$237,P$12,FALSE),"")</f>
        <v/>
      </c>
      <c r="Q39" s="544"/>
      <c r="R39" s="541" t="str">
        <f>IFERROR(VLOOKUP($B39,DatasheetDA!$C$4:$M$237,R$12,FALSE),"")</f>
        <v/>
      </c>
      <c r="S39" s="542"/>
      <c r="T39" s="541" t="str">
        <f>IFERROR(VLOOKUP($B39,DatasheetDA!$C$4:$N$237,T$12,FALSE),"")</f>
        <v/>
      </c>
      <c r="U39" s="513"/>
      <c r="V39" s="514"/>
      <c r="W39" s="515"/>
      <c r="X39" s="514"/>
      <c r="Y39" s="46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row>
    <row r="40" spans="1:52" s="518" customFormat="1" ht="21" customHeight="1" thickBot="1" x14ac:dyDescent="0.25">
      <c r="A40" s="511">
        <v>28</v>
      </c>
      <c r="B40" s="470" t="str">
        <f t="shared" si="0"/>
        <v>E0000EZ28</v>
      </c>
      <c r="C40" s="530" t="str">
        <f>IFERROR(VLOOKUP(B40,DatasheetDA!$C$4:$E$237,3,0),"")</f>
        <v/>
      </c>
      <c r="D40" s="512"/>
      <c r="E40" s="541" t="str">
        <f>IFERROR(VLOOKUP($B40,DatasheetDA!$C$4:$M$237,E$12,FALSE),"")</f>
        <v/>
      </c>
      <c r="F40" s="542"/>
      <c r="G40" s="543"/>
      <c r="H40" s="541" t="str">
        <f>IFERROR(VLOOKUP($B40,DatasheetDA!$C$4:$M$237,H$12,FALSE),"")</f>
        <v/>
      </c>
      <c r="I40" s="629"/>
      <c r="J40" s="541" t="str">
        <f>IFERROR(VLOOKUP($B40,DatasheetDA!$C$4:$M$237,J$12,FALSE),"")</f>
        <v/>
      </c>
      <c r="K40" s="542"/>
      <c r="L40" s="541" t="str">
        <f>IFERROR(VLOOKUP($B40,DatasheetDA!$C$4:$M$237,L$12,FALSE),"")</f>
        <v/>
      </c>
      <c r="M40" s="544"/>
      <c r="N40" s="541" t="str">
        <f>IFERROR(VLOOKUP($B40,DatasheetDA!$C$4:$M$237,N$12,FALSE),"")</f>
        <v/>
      </c>
      <c r="O40" s="544"/>
      <c r="P40" s="541" t="str">
        <f>IFERROR(VLOOKUP($B40,DatasheetDA!$C$4:$M$237,P$12,FALSE),"")</f>
        <v/>
      </c>
      <c r="Q40" s="544"/>
      <c r="R40" s="541" t="str">
        <f>IFERROR(VLOOKUP($B40,DatasheetDA!$C$4:$M$237,R$12,FALSE),"")</f>
        <v/>
      </c>
      <c r="S40" s="542"/>
      <c r="T40" s="541" t="str">
        <f>IFERROR(VLOOKUP($B40,DatasheetDA!$C$4:$N$237,T$12,FALSE),"")</f>
        <v/>
      </c>
      <c r="U40" s="513"/>
      <c r="V40" s="514"/>
      <c r="W40" s="515"/>
      <c r="X40" s="514"/>
      <c r="Y40" s="46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517"/>
      <c r="AV40" s="517"/>
      <c r="AW40" s="517"/>
      <c r="AX40" s="517"/>
      <c r="AY40" s="517"/>
      <c r="AZ40" s="517"/>
    </row>
    <row r="41" spans="1:52" s="518" customFormat="1" ht="21" customHeight="1" thickBot="1" x14ac:dyDescent="0.25">
      <c r="A41" s="511">
        <v>29</v>
      </c>
      <c r="B41" s="470" t="str">
        <f t="shared" si="0"/>
        <v>E0000EZ29</v>
      </c>
      <c r="C41" s="530" t="str">
        <f>IFERROR(VLOOKUP(B41,DatasheetDA!$C$4:$E$237,3,0),"")</f>
        <v/>
      </c>
      <c r="D41" s="512"/>
      <c r="E41" s="541" t="str">
        <f>IFERROR(VLOOKUP($B41,DatasheetDA!$C$4:$M$237,E$12,FALSE),"")</f>
        <v/>
      </c>
      <c r="F41" s="542"/>
      <c r="G41" s="543"/>
      <c r="H41" s="541" t="str">
        <f>IFERROR(VLOOKUP($B41,DatasheetDA!$C$4:$M$237,H$12,FALSE),"")</f>
        <v/>
      </c>
      <c r="I41" s="629"/>
      <c r="J41" s="541" t="str">
        <f>IFERROR(VLOOKUP($B41,DatasheetDA!$C$4:$M$237,J$12,FALSE),"")</f>
        <v/>
      </c>
      <c r="K41" s="542"/>
      <c r="L41" s="541" t="str">
        <f>IFERROR(VLOOKUP($B41,DatasheetDA!$C$4:$M$237,L$12,FALSE),"")</f>
        <v/>
      </c>
      <c r="M41" s="544"/>
      <c r="N41" s="541" t="str">
        <f>IFERROR(VLOOKUP($B41,DatasheetDA!$C$4:$M$237,N$12,FALSE),"")</f>
        <v/>
      </c>
      <c r="O41" s="544"/>
      <c r="P41" s="541" t="str">
        <f>IFERROR(VLOOKUP($B41,DatasheetDA!$C$4:$M$237,P$12,FALSE),"")</f>
        <v/>
      </c>
      <c r="Q41" s="544"/>
      <c r="R41" s="541" t="str">
        <f>IFERROR(VLOOKUP($B41,DatasheetDA!$C$4:$M$237,R$12,FALSE),"")</f>
        <v/>
      </c>
      <c r="S41" s="542"/>
      <c r="T41" s="541" t="str">
        <f>IFERROR(VLOOKUP($B41,DatasheetDA!$C$4:$N$237,T$12,FALSE),"")</f>
        <v/>
      </c>
      <c r="U41" s="513"/>
      <c r="V41" s="514"/>
      <c r="W41" s="515"/>
      <c r="X41" s="514"/>
      <c r="Y41" s="46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row>
    <row r="42" spans="1:52" s="518" customFormat="1" ht="21" customHeight="1" thickBot="1" x14ac:dyDescent="0.25">
      <c r="A42" s="511">
        <v>30</v>
      </c>
      <c r="B42" s="470" t="str">
        <f t="shared" si="0"/>
        <v>E0000EZ30</v>
      </c>
      <c r="C42" s="530" t="str">
        <f>IFERROR(VLOOKUP(B42,DatasheetDA!$C$4:$E$237,3,0),"")</f>
        <v/>
      </c>
      <c r="D42" s="512"/>
      <c r="E42" s="541" t="str">
        <f>IFERROR(VLOOKUP($B42,DatasheetDA!$C$4:$M$237,E$12,FALSE),"")</f>
        <v/>
      </c>
      <c r="F42" s="542"/>
      <c r="G42" s="543"/>
      <c r="H42" s="541" t="str">
        <f>IFERROR(VLOOKUP($B42,DatasheetDA!$C$4:$M$237,H$12,FALSE),"")</f>
        <v/>
      </c>
      <c r="I42" s="629"/>
      <c r="J42" s="541" t="str">
        <f>IFERROR(VLOOKUP($B42,DatasheetDA!$C$4:$M$237,J$12,FALSE),"")</f>
        <v/>
      </c>
      <c r="K42" s="542"/>
      <c r="L42" s="541" t="str">
        <f>IFERROR(VLOOKUP($B42,DatasheetDA!$C$4:$M$237,L$12,FALSE),"")</f>
        <v/>
      </c>
      <c r="M42" s="544"/>
      <c r="N42" s="541" t="str">
        <f>IFERROR(VLOOKUP($B42,DatasheetDA!$C$4:$M$237,N$12,FALSE),"")</f>
        <v/>
      </c>
      <c r="O42" s="544"/>
      <c r="P42" s="541" t="str">
        <f>IFERROR(VLOOKUP($B42,DatasheetDA!$C$4:$M$237,P$12,FALSE),"")</f>
        <v/>
      </c>
      <c r="Q42" s="544"/>
      <c r="R42" s="541" t="str">
        <f>IFERROR(VLOOKUP($B42,DatasheetDA!$C$4:$M$237,R$12,FALSE),"")</f>
        <v/>
      </c>
      <c r="S42" s="542"/>
      <c r="T42" s="541" t="str">
        <f>IFERROR(VLOOKUP($B42,DatasheetDA!$C$4:$N$237,T$12,FALSE),"")</f>
        <v/>
      </c>
      <c r="U42" s="513"/>
      <c r="V42" s="514"/>
      <c r="W42" s="515"/>
      <c r="X42" s="514"/>
      <c r="Y42" s="46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row>
    <row r="43" spans="1:52" s="518" customFormat="1" ht="21" customHeight="1" thickBot="1" x14ac:dyDescent="0.25">
      <c r="A43" s="511">
        <v>31</v>
      </c>
      <c r="B43" s="470" t="str">
        <f t="shared" si="0"/>
        <v>E0000EZ31</v>
      </c>
      <c r="C43" s="530" t="str">
        <f>IFERROR(VLOOKUP(B43,DatasheetDA!$C$4:$E$237,3,0),"")</f>
        <v/>
      </c>
      <c r="D43" s="512"/>
      <c r="E43" s="541" t="str">
        <f>IFERROR(VLOOKUP($B43,DatasheetDA!$C$4:$M$237,E$12,FALSE),"")</f>
        <v/>
      </c>
      <c r="F43" s="542"/>
      <c r="G43" s="543"/>
      <c r="H43" s="541" t="str">
        <f>IFERROR(VLOOKUP($B43,DatasheetDA!$C$4:$M$237,H$12,FALSE),"")</f>
        <v/>
      </c>
      <c r="I43" s="629"/>
      <c r="J43" s="541" t="str">
        <f>IFERROR(VLOOKUP($B43,DatasheetDA!$C$4:$M$237,J$12,FALSE),"")</f>
        <v/>
      </c>
      <c r="K43" s="542"/>
      <c r="L43" s="541" t="str">
        <f>IFERROR(VLOOKUP($B43,DatasheetDA!$C$4:$M$237,L$12,FALSE),"")</f>
        <v/>
      </c>
      <c r="M43" s="544"/>
      <c r="N43" s="541" t="str">
        <f>IFERROR(VLOOKUP($B43,DatasheetDA!$C$4:$M$237,N$12,FALSE),"")</f>
        <v/>
      </c>
      <c r="O43" s="544"/>
      <c r="P43" s="541" t="str">
        <f>IFERROR(VLOOKUP($B43,DatasheetDA!$C$4:$M$237,P$12,FALSE),"")</f>
        <v/>
      </c>
      <c r="Q43" s="544"/>
      <c r="R43" s="541" t="str">
        <f>IFERROR(VLOOKUP($B43,DatasheetDA!$C$4:$M$237,R$12,FALSE),"")</f>
        <v/>
      </c>
      <c r="S43" s="542"/>
      <c r="T43" s="541" t="str">
        <f>IFERROR(VLOOKUP($B43,DatasheetDA!$C$4:$N$237,T$12,FALSE),"")</f>
        <v/>
      </c>
      <c r="U43" s="513"/>
      <c r="V43" s="514"/>
      <c r="W43" s="515"/>
      <c r="X43" s="514"/>
      <c r="Y43" s="46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row>
    <row r="44" spans="1:52" s="518" customFormat="1" ht="21" customHeight="1" thickBot="1" x14ac:dyDescent="0.25">
      <c r="A44" s="511">
        <v>32</v>
      </c>
      <c r="B44" s="470" t="str">
        <f t="shared" si="0"/>
        <v>E0000EZ32</v>
      </c>
      <c r="C44" s="530" t="str">
        <f>IFERROR(VLOOKUP(B44,DatasheetDA!$C$4:$E$237,3,0),"")</f>
        <v/>
      </c>
      <c r="D44" s="512"/>
      <c r="E44" s="541" t="str">
        <f>IFERROR(VLOOKUP($B44,DatasheetDA!$C$4:$M$237,E$12,FALSE),"")</f>
        <v/>
      </c>
      <c r="F44" s="542"/>
      <c r="G44" s="543"/>
      <c r="H44" s="541" t="str">
        <f>IFERROR(VLOOKUP($B44,DatasheetDA!$C$4:$M$237,H$12,FALSE),"")</f>
        <v/>
      </c>
      <c r="I44" s="629"/>
      <c r="J44" s="541" t="str">
        <f>IFERROR(VLOOKUP($B44,DatasheetDA!$C$4:$M$237,J$12,FALSE),"")</f>
        <v/>
      </c>
      <c r="K44" s="542"/>
      <c r="L44" s="541" t="str">
        <f>IFERROR(VLOOKUP($B44,DatasheetDA!$C$4:$M$237,L$12,FALSE),"")</f>
        <v/>
      </c>
      <c r="M44" s="544"/>
      <c r="N44" s="541" t="str">
        <f>IFERROR(VLOOKUP($B44,DatasheetDA!$C$4:$M$237,N$12,FALSE),"")</f>
        <v/>
      </c>
      <c r="O44" s="544"/>
      <c r="P44" s="541" t="str">
        <f>IFERROR(VLOOKUP($B44,DatasheetDA!$C$4:$M$237,P$12,FALSE),"")</f>
        <v/>
      </c>
      <c r="Q44" s="544"/>
      <c r="R44" s="541" t="str">
        <f>IFERROR(VLOOKUP($B44,DatasheetDA!$C$4:$M$237,R$12,FALSE),"")</f>
        <v/>
      </c>
      <c r="S44" s="542"/>
      <c r="T44" s="541" t="str">
        <f>IFERROR(VLOOKUP($B44,DatasheetDA!$C$4:$N$237,T$12,FALSE),"")</f>
        <v/>
      </c>
      <c r="U44" s="513"/>
      <c r="V44" s="514"/>
      <c r="W44" s="515"/>
      <c r="X44" s="514"/>
      <c r="Y44" s="46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row>
    <row r="45" spans="1:52" s="518" customFormat="1" ht="21" customHeight="1" thickBot="1" x14ac:dyDescent="0.25">
      <c r="A45" s="511">
        <v>33</v>
      </c>
      <c r="B45" s="470" t="str">
        <f t="shared" si="0"/>
        <v>E0000EZ33</v>
      </c>
      <c r="C45" s="530" t="str">
        <f>IFERROR(VLOOKUP(B45,DatasheetDA!$C$4:$E$237,3,0),"")</f>
        <v/>
      </c>
      <c r="D45" s="512"/>
      <c r="E45" s="541" t="str">
        <f>IFERROR(VLOOKUP($B45,DatasheetDA!$C$4:$M$237,E$12,FALSE),"")</f>
        <v/>
      </c>
      <c r="F45" s="542"/>
      <c r="G45" s="543"/>
      <c r="H45" s="541" t="str">
        <f>IFERROR(VLOOKUP($B45,DatasheetDA!$C$4:$M$237,H$12,FALSE),"")</f>
        <v/>
      </c>
      <c r="I45" s="629"/>
      <c r="J45" s="541" t="str">
        <f>IFERROR(VLOOKUP($B45,DatasheetDA!$C$4:$M$237,J$12,FALSE),"")</f>
        <v/>
      </c>
      <c r="K45" s="542"/>
      <c r="L45" s="541" t="str">
        <f>IFERROR(VLOOKUP($B45,DatasheetDA!$C$4:$M$237,L$12,FALSE),"")</f>
        <v/>
      </c>
      <c r="M45" s="544"/>
      <c r="N45" s="541" t="str">
        <f>IFERROR(VLOOKUP($B45,DatasheetDA!$C$4:$M$237,N$12,FALSE),"")</f>
        <v/>
      </c>
      <c r="O45" s="544"/>
      <c r="P45" s="541" t="str">
        <f>IFERROR(VLOOKUP($B45,DatasheetDA!$C$4:$M$237,P$12,FALSE),"")</f>
        <v/>
      </c>
      <c r="Q45" s="544"/>
      <c r="R45" s="541" t="str">
        <f>IFERROR(VLOOKUP($B45,DatasheetDA!$C$4:$M$237,R$12,FALSE),"")</f>
        <v/>
      </c>
      <c r="S45" s="542"/>
      <c r="T45" s="541" t="str">
        <f>IFERROR(VLOOKUP($B45,DatasheetDA!$C$4:$N$237,T$12,FALSE),"")</f>
        <v/>
      </c>
      <c r="U45" s="513"/>
      <c r="V45" s="514"/>
      <c r="W45" s="515"/>
      <c r="X45" s="514"/>
      <c r="Y45" s="46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517"/>
      <c r="AV45" s="517"/>
      <c r="AW45" s="517"/>
      <c r="AX45" s="517"/>
      <c r="AY45" s="517"/>
      <c r="AZ45" s="517"/>
    </row>
    <row r="46" spans="1:52" s="518" customFormat="1" ht="21" customHeight="1" thickBot="1" x14ac:dyDescent="0.25">
      <c r="A46" s="511">
        <v>34</v>
      </c>
      <c r="B46" s="470" t="str">
        <f t="shared" si="0"/>
        <v>E0000EZ34</v>
      </c>
      <c r="C46" s="530" t="str">
        <f>IFERROR(VLOOKUP(B46,DatasheetDA!$C$4:$E$237,3,0),"")</f>
        <v/>
      </c>
      <c r="D46" s="512"/>
      <c r="E46" s="541" t="str">
        <f>IFERROR(VLOOKUP($B46,DatasheetDA!$C$4:$M$237,E$12,FALSE),"")</f>
        <v/>
      </c>
      <c r="F46" s="542"/>
      <c r="G46" s="543"/>
      <c r="H46" s="541" t="str">
        <f>IFERROR(VLOOKUP($B46,DatasheetDA!$C$4:$M$237,H$12,FALSE),"")</f>
        <v/>
      </c>
      <c r="I46" s="629"/>
      <c r="J46" s="541" t="str">
        <f>IFERROR(VLOOKUP($B46,DatasheetDA!$C$4:$M$237,J$12,FALSE),"")</f>
        <v/>
      </c>
      <c r="K46" s="542"/>
      <c r="L46" s="541" t="str">
        <f>IFERROR(VLOOKUP($B46,DatasheetDA!$C$4:$M$237,L$12,FALSE),"")</f>
        <v/>
      </c>
      <c r="M46" s="544"/>
      <c r="N46" s="541" t="str">
        <f>IFERROR(VLOOKUP($B46,DatasheetDA!$C$4:$M$237,N$12,FALSE),"")</f>
        <v/>
      </c>
      <c r="O46" s="544"/>
      <c r="P46" s="541" t="str">
        <f>IFERROR(VLOOKUP($B46,DatasheetDA!$C$4:$M$237,P$12,FALSE),"")</f>
        <v/>
      </c>
      <c r="Q46" s="544"/>
      <c r="R46" s="541" t="str">
        <f>IFERROR(VLOOKUP($B46,DatasheetDA!$C$4:$M$237,R$12,FALSE),"")</f>
        <v/>
      </c>
      <c r="S46" s="542"/>
      <c r="T46" s="541" t="str">
        <f>IFERROR(VLOOKUP($B46,DatasheetDA!$C$4:$N$237,T$12,FALSE),"")</f>
        <v/>
      </c>
      <c r="U46" s="513"/>
      <c r="V46" s="514"/>
      <c r="W46" s="515"/>
      <c r="X46" s="514"/>
      <c r="Y46" s="467"/>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517"/>
      <c r="AV46" s="517"/>
      <c r="AW46" s="517"/>
      <c r="AX46" s="517"/>
      <c r="AY46" s="517"/>
      <c r="AZ46" s="517"/>
    </row>
    <row r="47" spans="1:52" s="518" customFormat="1" ht="21" customHeight="1" thickBot="1" x14ac:dyDescent="0.25">
      <c r="A47" s="511">
        <v>35</v>
      </c>
      <c r="B47" s="470" t="str">
        <f t="shared" si="0"/>
        <v>E0000EZ35</v>
      </c>
      <c r="C47" s="530" t="str">
        <f>IFERROR(VLOOKUP(B47,DatasheetDA!$C$4:$E$237,3,0),"")</f>
        <v/>
      </c>
      <c r="D47" s="512"/>
      <c r="E47" s="541" t="str">
        <f>IFERROR(VLOOKUP($B47,DatasheetDA!$C$4:$M$237,E$12,FALSE),"")</f>
        <v/>
      </c>
      <c r="F47" s="542"/>
      <c r="G47" s="543"/>
      <c r="H47" s="541" t="str">
        <f>IFERROR(VLOOKUP($B47,DatasheetDA!$C$4:$M$237,H$12,FALSE),"")</f>
        <v/>
      </c>
      <c r="I47" s="629"/>
      <c r="J47" s="541" t="str">
        <f>IFERROR(VLOOKUP($B47,DatasheetDA!$C$4:$M$237,J$12,FALSE),"")</f>
        <v/>
      </c>
      <c r="K47" s="542"/>
      <c r="L47" s="541" t="str">
        <f>IFERROR(VLOOKUP($B47,DatasheetDA!$C$4:$M$237,L$12,FALSE),"")</f>
        <v/>
      </c>
      <c r="M47" s="544"/>
      <c r="N47" s="541" t="str">
        <f>IFERROR(VLOOKUP($B47,DatasheetDA!$C$4:$M$237,N$12,FALSE),"")</f>
        <v/>
      </c>
      <c r="O47" s="544"/>
      <c r="P47" s="541" t="str">
        <f>IFERROR(VLOOKUP($B47,DatasheetDA!$C$4:$M$237,P$12,FALSE),"")</f>
        <v/>
      </c>
      <c r="Q47" s="544"/>
      <c r="R47" s="541" t="str">
        <f>IFERROR(VLOOKUP($B47,DatasheetDA!$C$4:$M$237,R$12,FALSE),"")</f>
        <v/>
      </c>
      <c r="S47" s="542"/>
      <c r="T47" s="541" t="str">
        <f>IFERROR(VLOOKUP($B47,DatasheetDA!$C$4:$N$237,T$12,FALSE),"")</f>
        <v/>
      </c>
      <c r="U47" s="513"/>
      <c r="V47" s="514"/>
      <c r="W47" s="515"/>
      <c r="X47" s="514"/>
      <c r="Y47" s="467"/>
      <c r="Z47" s="517"/>
      <c r="AA47" s="517"/>
      <c r="AB47" s="517"/>
      <c r="AC47" s="517"/>
      <c r="AD47" s="517"/>
      <c r="AE47" s="517"/>
      <c r="AF47" s="517"/>
      <c r="AG47" s="517"/>
      <c r="AH47" s="517"/>
      <c r="AI47" s="517"/>
      <c r="AJ47" s="517"/>
      <c r="AK47" s="517"/>
      <c r="AL47" s="517"/>
      <c r="AM47" s="517"/>
      <c r="AN47" s="517"/>
      <c r="AO47" s="517"/>
      <c r="AP47" s="517"/>
      <c r="AQ47" s="517"/>
      <c r="AR47" s="517"/>
      <c r="AS47" s="517"/>
      <c r="AT47" s="517"/>
      <c r="AU47" s="517"/>
      <c r="AV47" s="517"/>
      <c r="AW47" s="517"/>
      <c r="AX47" s="517"/>
      <c r="AY47" s="517"/>
      <c r="AZ47" s="517"/>
    </row>
    <row r="48" spans="1:52" s="518" customFormat="1" ht="21" customHeight="1" thickBot="1" x14ac:dyDescent="0.25">
      <c r="A48" s="511">
        <v>36</v>
      </c>
      <c r="B48" s="470" t="str">
        <f t="shared" si="0"/>
        <v>E0000EZ36</v>
      </c>
      <c r="C48" s="530" t="str">
        <f>IFERROR(VLOOKUP(B48,DatasheetDA!$C$4:$E$237,3,0),"")</f>
        <v/>
      </c>
      <c r="D48" s="512"/>
      <c r="E48" s="541" t="str">
        <f>IFERROR(VLOOKUP($B48,DatasheetDA!$C$4:$M$237,E$12,FALSE),"")</f>
        <v/>
      </c>
      <c r="F48" s="542"/>
      <c r="G48" s="543"/>
      <c r="H48" s="541" t="str">
        <f>IFERROR(VLOOKUP($B48,DatasheetDA!$C$4:$M$237,H$12,FALSE),"")</f>
        <v/>
      </c>
      <c r="I48" s="629"/>
      <c r="J48" s="541" t="str">
        <f>IFERROR(VLOOKUP($B48,DatasheetDA!$C$4:$M$237,J$12,FALSE),"")</f>
        <v/>
      </c>
      <c r="K48" s="542"/>
      <c r="L48" s="541" t="str">
        <f>IFERROR(VLOOKUP($B48,DatasheetDA!$C$4:$M$237,L$12,FALSE),"")</f>
        <v/>
      </c>
      <c r="M48" s="544"/>
      <c r="N48" s="541" t="str">
        <f>IFERROR(VLOOKUP($B48,DatasheetDA!$C$4:$M$237,N$12,FALSE),"")</f>
        <v/>
      </c>
      <c r="O48" s="544"/>
      <c r="P48" s="541" t="str">
        <f>IFERROR(VLOOKUP($B48,DatasheetDA!$C$4:$M$237,P$12,FALSE),"")</f>
        <v/>
      </c>
      <c r="Q48" s="544"/>
      <c r="R48" s="541" t="str">
        <f>IFERROR(VLOOKUP($B48,DatasheetDA!$C$4:$M$237,R$12,FALSE),"")</f>
        <v/>
      </c>
      <c r="S48" s="542"/>
      <c r="T48" s="541" t="str">
        <f>IFERROR(VLOOKUP($B48,DatasheetDA!$C$4:$N$237,T$12,FALSE),"")</f>
        <v/>
      </c>
      <c r="U48" s="513"/>
      <c r="V48" s="514"/>
      <c r="W48" s="515"/>
      <c r="X48" s="514"/>
      <c r="Y48" s="46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row>
    <row r="49" spans="1:52" s="518" customFormat="1" ht="18.75" thickBot="1" x14ac:dyDescent="0.25">
      <c r="A49" s="511">
        <v>37</v>
      </c>
      <c r="B49" s="470" t="str">
        <f t="shared" si="0"/>
        <v>E0000EZ37</v>
      </c>
      <c r="C49" s="530" t="str">
        <f>IFERROR(VLOOKUP(B49,DatasheetDA!$C$4:$E$237,3,0),"")</f>
        <v/>
      </c>
      <c r="D49" s="512"/>
      <c r="E49" s="541" t="str">
        <f>IFERROR(VLOOKUP($B49,DatasheetDA!$C$4:$M$237,E$12,FALSE),"")</f>
        <v/>
      </c>
      <c r="F49" s="542"/>
      <c r="G49" s="543"/>
      <c r="H49" s="541" t="str">
        <f>IFERROR(VLOOKUP($B49,DatasheetDA!$C$4:$M$237,H$12,FALSE),"")</f>
        <v/>
      </c>
      <c r="I49" s="629"/>
      <c r="J49" s="541" t="str">
        <f>IFERROR(VLOOKUP($B49,DatasheetDA!$C$4:$M$237,J$12,FALSE),"")</f>
        <v/>
      </c>
      <c r="K49" s="542"/>
      <c r="L49" s="541" t="str">
        <f>IFERROR(VLOOKUP($B49,DatasheetDA!$C$4:$M$237,L$12,FALSE),"")</f>
        <v/>
      </c>
      <c r="M49" s="544"/>
      <c r="N49" s="541" t="str">
        <f>IFERROR(VLOOKUP($B49,DatasheetDA!$C$4:$M$237,N$12,FALSE),"")</f>
        <v/>
      </c>
      <c r="O49" s="544"/>
      <c r="P49" s="541" t="str">
        <f>IFERROR(VLOOKUP($B49,DatasheetDA!$C$4:$M$237,P$12,FALSE),"")</f>
        <v/>
      </c>
      <c r="Q49" s="544"/>
      <c r="R49" s="541" t="str">
        <f>IFERROR(VLOOKUP($B49,DatasheetDA!$C$4:$M$237,R$12,FALSE),"")</f>
        <v/>
      </c>
      <c r="S49" s="542"/>
      <c r="T49" s="541" t="str">
        <f>IFERROR(VLOOKUP($B49,DatasheetDA!$C$4:$N$237,T$12,FALSE),"")</f>
        <v/>
      </c>
      <c r="U49" s="513"/>
      <c r="V49" s="514"/>
      <c r="W49" s="515"/>
      <c r="X49" s="514"/>
      <c r="Y49" s="46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row>
    <row r="50" spans="1:52" s="518" customFormat="1" ht="18.75" thickBot="1" x14ac:dyDescent="0.25">
      <c r="A50" s="511">
        <v>38</v>
      </c>
      <c r="B50" s="470" t="str">
        <f t="shared" si="0"/>
        <v>E0000EZ38</v>
      </c>
      <c r="C50" s="530" t="str">
        <f>IFERROR(VLOOKUP(B50,DatasheetDA!$C$4:$E$237,3,0),"")</f>
        <v/>
      </c>
      <c r="D50" s="512"/>
      <c r="E50" s="541" t="str">
        <f>IFERROR(VLOOKUP($B50,DatasheetDA!$C$4:$M$237,E$12,FALSE),"")</f>
        <v/>
      </c>
      <c r="F50" s="542"/>
      <c r="G50" s="543"/>
      <c r="H50" s="541" t="str">
        <f>IFERROR(VLOOKUP($B50,DatasheetDA!$C$4:$M$237,H$12,FALSE),"")</f>
        <v/>
      </c>
      <c r="I50" s="629"/>
      <c r="J50" s="541" t="str">
        <f>IFERROR(VLOOKUP($B50,DatasheetDA!$C$4:$M$237,J$12,FALSE),"")</f>
        <v/>
      </c>
      <c r="K50" s="542"/>
      <c r="L50" s="541" t="str">
        <f>IFERROR(VLOOKUP($B50,DatasheetDA!$C$4:$M$237,L$12,FALSE),"")</f>
        <v/>
      </c>
      <c r="M50" s="544"/>
      <c r="N50" s="541" t="str">
        <f>IFERROR(VLOOKUP($B50,DatasheetDA!$C$4:$M$237,N$12,FALSE),"")</f>
        <v/>
      </c>
      <c r="O50" s="544"/>
      <c r="P50" s="541" t="str">
        <f>IFERROR(VLOOKUP($B50,DatasheetDA!$C$4:$M$237,P$12,FALSE),"")</f>
        <v/>
      </c>
      <c r="Q50" s="544"/>
      <c r="R50" s="541" t="str">
        <f>IFERROR(VLOOKUP($B50,DatasheetDA!$C$4:$M$237,R$12,FALSE),"")</f>
        <v/>
      </c>
      <c r="S50" s="542"/>
      <c r="T50" s="541" t="str">
        <f>IFERROR(VLOOKUP($B50,DatasheetDA!$C$4:$N$237,T$12,FALSE),"")</f>
        <v/>
      </c>
      <c r="U50" s="513"/>
      <c r="V50" s="514"/>
      <c r="W50" s="515"/>
      <c r="X50" s="514"/>
      <c r="Y50" s="46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row>
    <row r="51" spans="1:52" s="518" customFormat="1" ht="18.75" thickBot="1" x14ac:dyDescent="0.25">
      <c r="A51" s="511">
        <v>39</v>
      </c>
      <c r="B51" s="470" t="str">
        <f t="shared" si="0"/>
        <v>E0000EZ39</v>
      </c>
      <c r="C51" s="530" t="str">
        <f>IFERROR(VLOOKUP(B51,DatasheetDA!$C$4:$E$237,3,0),"")</f>
        <v/>
      </c>
      <c r="D51" s="512"/>
      <c r="E51" s="541" t="str">
        <f>IFERROR(VLOOKUP($B51,DatasheetDA!$C$4:$M$237,E$12,FALSE),"")</f>
        <v/>
      </c>
      <c r="F51" s="542"/>
      <c r="G51" s="543"/>
      <c r="H51" s="541" t="str">
        <f>IFERROR(VLOOKUP($B51,DatasheetDA!$C$4:$M$237,H$12,FALSE),"")</f>
        <v/>
      </c>
      <c r="I51" s="629"/>
      <c r="J51" s="541" t="str">
        <f>IFERROR(VLOOKUP($B51,DatasheetDA!$C$4:$M$237,J$12,FALSE),"")</f>
        <v/>
      </c>
      <c r="K51" s="542"/>
      <c r="L51" s="541" t="str">
        <f>IFERROR(VLOOKUP($B51,DatasheetDA!$C$4:$M$237,L$12,FALSE),"")</f>
        <v/>
      </c>
      <c r="M51" s="544"/>
      <c r="N51" s="541" t="str">
        <f>IFERROR(VLOOKUP($B51,DatasheetDA!$C$4:$M$237,N$12,FALSE),"")</f>
        <v/>
      </c>
      <c r="O51" s="544"/>
      <c r="P51" s="541" t="str">
        <f>IFERROR(VLOOKUP($B51,DatasheetDA!$C$4:$M$237,P$12,FALSE),"")</f>
        <v/>
      </c>
      <c r="Q51" s="544"/>
      <c r="R51" s="541" t="str">
        <f>IFERROR(VLOOKUP($B51,DatasheetDA!$C$4:$M$237,R$12,FALSE),"")</f>
        <v/>
      </c>
      <c r="S51" s="542"/>
      <c r="T51" s="541" t="str">
        <f>IFERROR(VLOOKUP($B51,DatasheetDA!$C$4:$N$237,T$12,FALSE),"")</f>
        <v/>
      </c>
      <c r="U51" s="513"/>
      <c r="V51" s="514"/>
      <c r="W51" s="515"/>
      <c r="X51" s="514"/>
      <c r="Y51" s="46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row>
    <row r="52" spans="1:52" s="518" customFormat="1" ht="18.75" thickBot="1" x14ac:dyDescent="0.25">
      <c r="A52" s="511">
        <v>40</v>
      </c>
      <c r="B52" s="470" t="str">
        <f t="shared" si="0"/>
        <v>E0000EZ40</v>
      </c>
      <c r="C52" s="530" t="str">
        <f>IFERROR(VLOOKUP(B52,DatasheetDA!$C$4:$E$237,3,0),"")</f>
        <v/>
      </c>
      <c r="D52" s="512"/>
      <c r="E52" s="541" t="str">
        <f>IFERROR(VLOOKUP($B52,DatasheetDA!$C$4:$M$237,E$12,FALSE),"")</f>
        <v/>
      </c>
      <c r="F52" s="542"/>
      <c r="G52" s="543"/>
      <c r="H52" s="541" t="str">
        <f>IFERROR(VLOOKUP($B52,DatasheetDA!$C$4:$M$237,H$12,FALSE),"")</f>
        <v/>
      </c>
      <c r="I52" s="629"/>
      <c r="J52" s="541" t="str">
        <f>IFERROR(VLOOKUP($B52,DatasheetDA!$C$4:$M$237,J$12,FALSE),"")</f>
        <v/>
      </c>
      <c r="K52" s="542"/>
      <c r="L52" s="541" t="str">
        <f>IFERROR(VLOOKUP($B52,DatasheetDA!$C$4:$M$237,L$12,FALSE),"")</f>
        <v/>
      </c>
      <c r="M52" s="544"/>
      <c r="N52" s="541" t="str">
        <f>IFERROR(VLOOKUP($B52,DatasheetDA!$C$4:$M$237,N$12,FALSE),"")</f>
        <v/>
      </c>
      <c r="O52" s="544"/>
      <c r="P52" s="541" t="str">
        <f>IFERROR(VLOOKUP($B52,DatasheetDA!$C$4:$M$237,P$12,FALSE),"")</f>
        <v/>
      </c>
      <c r="Q52" s="544"/>
      <c r="R52" s="541" t="str">
        <f>IFERROR(VLOOKUP($B52,DatasheetDA!$C$4:$M$237,R$12,FALSE),"")</f>
        <v/>
      </c>
      <c r="S52" s="542"/>
      <c r="T52" s="541" t="str">
        <f>IFERROR(VLOOKUP($B52,DatasheetDA!$C$4:$N$237,T$12,FALSE),"")</f>
        <v/>
      </c>
      <c r="U52" s="513"/>
      <c r="V52" s="514"/>
      <c r="W52" s="515"/>
      <c r="X52" s="514"/>
      <c r="Y52" s="46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row>
    <row r="53" spans="1:52" s="518" customFormat="1" ht="18.75" thickBot="1" x14ac:dyDescent="0.25">
      <c r="A53" s="511">
        <v>41</v>
      </c>
      <c r="B53" s="470" t="str">
        <f t="shared" si="0"/>
        <v>E0000EZ41</v>
      </c>
      <c r="C53" s="530" t="str">
        <f>IFERROR(VLOOKUP(B53,DatasheetDA!$C$4:$E$237,3,0),"")</f>
        <v/>
      </c>
      <c r="D53" s="512"/>
      <c r="E53" s="541" t="str">
        <f>IFERROR(VLOOKUP($B53,DatasheetDA!$C$4:$M$237,E$12,FALSE),"")</f>
        <v/>
      </c>
      <c r="F53" s="542"/>
      <c r="G53" s="543"/>
      <c r="H53" s="541" t="str">
        <f>IFERROR(VLOOKUP($B53,DatasheetDA!$C$4:$M$237,H$12,FALSE),"")</f>
        <v/>
      </c>
      <c r="I53" s="629"/>
      <c r="J53" s="541" t="str">
        <f>IFERROR(VLOOKUP($B53,DatasheetDA!$C$4:$M$237,J$12,FALSE),"")</f>
        <v/>
      </c>
      <c r="K53" s="542"/>
      <c r="L53" s="541" t="str">
        <f>IFERROR(VLOOKUP($B53,DatasheetDA!$C$4:$M$237,L$12,FALSE),"")</f>
        <v/>
      </c>
      <c r="M53" s="544"/>
      <c r="N53" s="541" t="str">
        <f>IFERROR(VLOOKUP($B53,DatasheetDA!$C$4:$M$237,N$12,FALSE),"")</f>
        <v/>
      </c>
      <c r="O53" s="544"/>
      <c r="P53" s="541" t="str">
        <f>IFERROR(VLOOKUP($B53,DatasheetDA!$C$4:$M$237,P$12,FALSE),"")</f>
        <v/>
      </c>
      <c r="Q53" s="544"/>
      <c r="R53" s="541" t="str">
        <f>IFERROR(VLOOKUP($B53,DatasheetDA!$C$4:$M$237,R$12,FALSE),"")</f>
        <v/>
      </c>
      <c r="S53" s="542"/>
      <c r="T53" s="541" t="str">
        <f>IFERROR(VLOOKUP($B53,DatasheetDA!$C$4:$N$237,T$12,FALSE),"")</f>
        <v/>
      </c>
      <c r="U53" s="513"/>
      <c r="V53" s="514"/>
      <c r="W53" s="515"/>
      <c r="X53" s="514"/>
      <c r="Y53" s="46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row>
    <row r="54" spans="1:52" ht="18.75" thickBot="1" x14ac:dyDescent="0.25">
      <c r="A54" s="519"/>
      <c r="B54" s="520"/>
      <c r="C54" s="520"/>
      <c r="D54" s="520"/>
      <c r="E54" s="520"/>
      <c r="F54" s="520"/>
      <c r="G54" s="520"/>
      <c r="H54" s="520"/>
      <c r="I54" s="630"/>
      <c r="J54" s="520"/>
      <c r="K54" s="520"/>
      <c r="L54" s="520"/>
      <c r="M54" s="520"/>
      <c r="N54" s="520"/>
      <c r="O54" s="520"/>
      <c r="P54" s="520"/>
      <c r="Q54" s="520"/>
      <c r="R54" s="520"/>
      <c r="S54" s="520"/>
      <c r="T54" s="520"/>
      <c r="U54" s="521"/>
    </row>
    <row r="55" spans="1:52" ht="18" x14ac:dyDescent="0.2">
      <c r="A55" s="470"/>
      <c r="B55" s="470"/>
      <c r="C55" s="470"/>
      <c r="D55" s="470"/>
      <c r="E55" s="470"/>
      <c r="F55" s="470"/>
      <c r="G55" s="470"/>
      <c r="H55" s="470"/>
      <c r="I55" s="631"/>
      <c r="J55" s="470"/>
      <c r="K55" s="470"/>
      <c r="L55" s="470"/>
      <c r="M55" s="470"/>
      <c r="N55" s="470"/>
      <c r="O55" s="470"/>
      <c r="P55" s="470"/>
      <c r="Q55" s="470"/>
      <c r="R55" s="470"/>
      <c r="S55" s="470"/>
      <c r="T55" s="470"/>
      <c r="U55" s="522"/>
    </row>
    <row r="56" spans="1:52" x14ac:dyDescent="0.2">
      <c r="A56" s="470"/>
      <c r="B56" s="470"/>
      <c r="C56" s="470"/>
      <c r="D56" s="470"/>
      <c r="E56" s="470"/>
      <c r="F56" s="470"/>
      <c r="G56" s="470"/>
      <c r="H56" s="470"/>
      <c r="I56" s="631"/>
      <c r="J56" s="470"/>
      <c r="K56" s="470"/>
      <c r="L56" s="470"/>
      <c r="M56" s="470"/>
      <c r="N56" s="470"/>
      <c r="O56" s="470"/>
      <c r="P56" s="470"/>
      <c r="Q56" s="470"/>
      <c r="R56" s="470"/>
      <c r="S56" s="470"/>
      <c r="T56" s="470"/>
      <c r="U56" s="470"/>
    </row>
    <row r="57" spans="1:52" x14ac:dyDescent="0.2">
      <c r="B57" s="523"/>
      <c r="C57" s="524"/>
      <c r="D57" s="524"/>
      <c r="E57" s="524"/>
      <c r="F57" s="524"/>
      <c r="H57" s="524"/>
      <c r="I57" s="632"/>
      <c r="J57" s="524"/>
      <c r="K57" s="524"/>
      <c r="L57" s="524"/>
      <c r="M57" s="524"/>
      <c r="N57" s="525"/>
      <c r="R57" s="524"/>
      <c r="S57" s="524"/>
      <c r="T57" s="525"/>
    </row>
    <row r="58" spans="1:52" x14ac:dyDescent="0.2">
      <c r="B58" s="526"/>
      <c r="C58" s="526"/>
      <c r="D58" s="526"/>
      <c r="E58" s="526"/>
      <c r="F58" s="526"/>
      <c r="H58" s="526"/>
      <c r="J58" s="526"/>
      <c r="K58" s="526"/>
      <c r="L58" s="526"/>
      <c r="M58" s="526"/>
      <c r="N58" s="526"/>
      <c r="R58" s="526"/>
      <c r="S58" s="526"/>
      <c r="T58" s="526"/>
    </row>
    <row r="59" spans="1:52" x14ac:dyDescent="0.2">
      <c r="B59" s="807"/>
      <c r="C59" s="808"/>
      <c r="D59" s="808"/>
      <c r="E59" s="808"/>
      <c r="F59" s="808"/>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A253"/>
  <sheetViews>
    <sheetView showGridLines="0" zoomScaleNormal="100" zoomScaleSheetLayoutView="84" workbookViewId="0"/>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25" style="187" customWidth="1"/>
    <col min="23" max="23" width="11.7109375" bestFit="1" customWidth="1"/>
    <col min="27" max="27" width="13.42578125" bestFit="1" customWidth="1"/>
  </cols>
  <sheetData>
    <row r="1" spans="1:22" ht="15" x14ac:dyDescent="0.2">
      <c r="A1" s="306"/>
      <c r="B1" s="307"/>
      <c r="C1" s="307"/>
      <c r="D1" s="307"/>
      <c r="E1" s="307"/>
      <c r="F1" s="307"/>
      <c r="G1" s="307"/>
      <c r="H1" s="307"/>
      <c r="I1" s="307"/>
      <c r="J1" s="307"/>
      <c r="K1" s="307"/>
      <c r="L1" s="307"/>
      <c r="M1" s="307"/>
      <c r="N1" s="307"/>
      <c r="O1" s="307"/>
      <c r="P1" s="307"/>
      <c r="Q1" s="307"/>
      <c r="R1" s="307"/>
      <c r="S1" s="307"/>
      <c r="T1" s="307"/>
      <c r="U1" s="308"/>
      <c r="V1" s="95"/>
    </row>
    <row r="2" spans="1:22" ht="15.75" x14ac:dyDescent="0.25">
      <c r="A2" s="752" t="s">
        <v>39</v>
      </c>
      <c r="B2" s="753"/>
      <c r="C2" s="753"/>
      <c r="D2" s="753"/>
      <c r="E2" s="753"/>
      <c r="F2" s="753"/>
      <c r="G2" s="753"/>
      <c r="H2" s="753"/>
      <c r="I2" s="753"/>
      <c r="J2" s="753"/>
      <c r="K2" s="753"/>
      <c r="L2" s="753"/>
      <c r="M2" s="753"/>
      <c r="N2" s="753"/>
      <c r="O2" s="753"/>
      <c r="P2" s="753"/>
      <c r="Q2" s="753"/>
      <c r="R2" s="753"/>
      <c r="S2" s="753"/>
      <c r="T2" s="753"/>
      <c r="U2" s="754"/>
      <c r="V2" s="227"/>
    </row>
    <row r="3" spans="1:22" ht="15.75" x14ac:dyDescent="0.25">
      <c r="A3" s="704" t="s">
        <v>1379</v>
      </c>
      <c r="B3" s="753"/>
      <c r="C3" s="753"/>
      <c r="D3" s="753"/>
      <c r="E3" s="753"/>
      <c r="F3" s="753"/>
      <c r="G3" s="753"/>
      <c r="H3" s="753"/>
      <c r="I3" s="753"/>
      <c r="J3" s="753"/>
      <c r="K3" s="753"/>
      <c r="L3" s="753"/>
      <c r="M3" s="753"/>
      <c r="N3" s="753"/>
      <c r="O3" s="753"/>
      <c r="P3" s="753"/>
      <c r="Q3" s="753"/>
      <c r="R3" s="753"/>
      <c r="S3" s="753"/>
      <c r="T3" s="753"/>
      <c r="U3" s="754"/>
      <c r="V3" s="227"/>
    </row>
    <row r="4" spans="1:22" ht="15" x14ac:dyDescent="0.2">
      <c r="A4" s="707"/>
      <c r="B4" s="708"/>
      <c r="C4" s="708"/>
      <c r="D4" s="708"/>
      <c r="E4" s="708"/>
      <c r="F4" s="708"/>
      <c r="G4" s="708"/>
      <c r="H4" s="708"/>
      <c r="I4" s="708"/>
      <c r="J4" s="708"/>
      <c r="K4" s="708"/>
      <c r="L4" s="708"/>
      <c r="M4" s="708"/>
      <c r="N4" s="708"/>
      <c r="O4" s="708"/>
      <c r="P4" s="708"/>
      <c r="Q4" s="708"/>
      <c r="R4" s="708"/>
      <c r="S4" s="708"/>
      <c r="T4" s="708"/>
      <c r="U4" s="709"/>
      <c r="V4" s="224"/>
    </row>
    <row r="5" spans="1:22" ht="15" x14ac:dyDescent="0.2">
      <c r="A5" s="707"/>
      <c r="B5" s="708"/>
      <c r="C5" s="708"/>
      <c r="D5" s="708"/>
      <c r="E5" s="708"/>
      <c r="F5" s="708"/>
      <c r="G5" s="708"/>
      <c r="H5" s="708"/>
      <c r="I5" s="708"/>
      <c r="J5" s="708"/>
      <c r="K5" s="708"/>
      <c r="L5" s="708"/>
      <c r="M5" s="708"/>
      <c r="N5" s="708"/>
      <c r="O5" s="708"/>
      <c r="P5" s="708"/>
      <c r="Q5" s="708"/>
      <c r="R5" s="708"/>
      <c r="S5" s="708"/>
      <c r="T5" s="708"/>
      <c r="U5" s="709"/>
      <c r="V5" s="224"/>
    </row>
    <row r="6" spans="1:22" ht="15" x14ac:dyDescent="0.2">
      <c r="A6" s="707"/>
      <c r="B6" s="708"/>
      <c r="C6" s="708"/>
      <c r="D6" s="708"/>
      <c r="E6" s="708"/>
      <c r="F6" s="708"/>
      <c r="G6" s="708"/>
      <c r="H6" s="708"/>
      <c r="I6" s="708"/>
      <c r="J6" s="708"/>
      <c r="K6" s="708"/>
      <c r="L6" s="708"/>
      <c r="M6" s="708"/>
      <c r="N6" s="708"/>
      <c r="O6" s="708"/>
      <c r="P6" s="708"/>
      <c r="Q6" s="708"/>
      <c r="R6" s="708"/>
      <c r="S6" s="708"/>
      <c r="T6" s="708"/>
      <c r="U6" s="709"/>
      <c r="V6" s="224"/>
    </row>
    <row r="7" spans="1:22" ht="15" x14ac:dyDescent="0.2">
      <c r="A7" s="707"/>
      <c r="B7" s="708"/>
      <c r="C7" s="708"/>
      <c r="D7" s="708"/>
      <c r="E7" s="708"/>
      <c r="F7" s="708"/>
      <c r="G7" s="708"/>
      <c r="H7" s="708"/>
      <c r="I7" s="708"/>
      <c r="J7" s="708"/>
      <c r="K7" s="708"/>
      <c r="L7" s="708"/>
      <c r="M7" s="708"/>
      <c r="N7" s="708"/>
      <c r="O7" s="708"/>
      <c r="P7" s="708"/>
      <c r="Q7" s="708"/>
      <c r="R7" s="708"/>
      <c r="S7" s="708"/>
      <c r="T7" s="708"/>
      <c r="U7" s="709"/>
      <c r="V7" s="224"/>
    </row>
    <row r="8" spans="1:22" ht="15.75" thickBot="1" x14ac:dyDescent="0.25">
      <c r="A8" s="35"/>
      <c r="B8" s="36"/>
      <c r="C8" s="36"/>
      <c r="D8" s="36"/>
      <c r="E8" s="36"/>
      <c r="F8" s="36"/>
      <c r="G8" s="36"/>
      <c r="H8" s="36"/>
      <c r="I8" s="36"/>
      <c r="J8" s="36"/>
      <c r="K8" s="36"/>
      <c r="L8" s="36"/>
      <c r="M8" s="36"/>
      <c r="N8" s="36"/>
      <c r="O8" s="36"/>
      <c r="P8" s="36"/>
      <c r="Q8" s="36"/>
      <c r="R8" s="36"/>
      <c r="S8" s="71"/>
      <c r="T8" s="36"/>
      <c r="U8" s="37"/>
      <c r="V8" s="95"/>
    </row>
    <row r="9" spans="1:22" x14ac:dyDescent="0.2">
      <c r="A9" s="309"/>
      <c r="B9" s="310"/>
      <c r="C9" s="856"/>
      <c r="D9" s="856"/>
      <c r="E9" s="856"/>
      <c r="F9" s="856"/>
      <c r="G9" s="856"/>
      <c r="H9" s="856"/>
      <c r="I9" s="310"/>
      <c r="J9" s="310"/>
      <c r="K9" s="310"/>
      <c r="L9" s="310"/>
      <c r="M9" s="310"/>
      <c r="N9" s="310"/>
      <c r="O9" s="310"/>
      <c r="P9" s="310"/>
      <c r="Q9" s="310"/>
      <c r="R9" s="310"/>
      <c r="S9" s="310"/>
      <c r="T9" s="310"/>
      <c r="U9" s="311"/>
    </row>
    <row r="10" spans="1:22" s="24" customFormat="1" ht="18" x14ac:dyDescent="0.25">
      <c r="A10" s="29"/>
      <c r="B10" s="18"/>
      <c r="C10" s="86" t="str">
        <f>+CONCATENATE("Local Authority : ",+'Part 1'!L15)</f>
        <v>Local Authority : England</v>
      </c>
      <c r="D10" s="51"/>
      <c r="E10" s="51"/>
      <c r="F10" s="257"/>
      <c r="G10" s="257"/>
      <c r="H10" s="257"/>
      <c r="I10" s="18"/>
      <c r="J10" s="18"/>
      <c r="K10" s="18"/>
      <c r="L10" s="18"/>
      <c r="M10" s="18"/>
      <c r="N10" s="18"/>
      <c r="O10" s="18"/>
      <c r="P10" s="18"/>
      <c r="Q10" s="18"/>
      <c r="R10" s="18"/>
      <c r="S10" s="18"/>
      <c r="T10" s="18"/>
      <c r="U10" s="19"/>
      <c r="V10" s="278"/>
    </row>
    <row r="11" spans="1:22" s="24" customFormat="1" ht="18" x14ac:dyDescent="0.25">
      <c r="A11" s="29"/>
      <c r="B11" s="18"/>
      <c r="C11" s="51"/>
      <c r="D11" s="51"/>
      <c r="E11" s="51"/>
      <c r="F11" s="257"/>
      <c r="G11" s="257"/>
      <c r="H11" s="257"/>
      <c r="I11" s="18"/>
      <c r="J11" s="18"/>
      <c r="K11" s="18"/>
      <c r="L11" s="18"/>
      <c r="M11" s="18"/>
      <c r="N11" s="18"/>
      <c r="O11" s="18"/>
      <c r="P11" s="18"/>
      <c r="Q11" s="18"/>
      <c r="R11" s="18"/>
      <c r="S11" s="18"/>
      <c r="T11" s="18"/>
      <c r="U11" s="19"/>
      <c r="V11" s="278"/>
    </row>
    <row r="12" spans="1:22" ht="15.75" x14ac:dyDescent="0.25">
      <c r="A12" s="14"/>
      <c r="B12" s="2"/>
      <c r="C12" s="853" t="s">
        <v>41</v>
      </c>
      <c r="D12" s="853"/>
      <c r="E12" s="853"/>
      <c r="F12" s="853"/>
      <c r="G12" s="853"/>
      <c r="H12" s="853"/>
      <c r="I12" s="18"/>
      <c r="J12" s="762" t="s">
        <v>22</v>
      </c>
      <c r="K12" s="762"/>
      <c r="L12" s="47"/>
      <c r="M12" s="47"/>
      <c r="N12" s="762" t="s">
        <v>23</v>
      </c>
      <c r="O12" s="762"/>
      <c r="P12" s="47"/>
      <c r="Q12" s="47"/>
      <c r="R12" s="761" t="s">
        <v>24</v>
      </c>
      <c r="S12" s="762"/>
      <c r="T12" s="1"/>
      <c r="U12" s="41"/>
    </row>
    <row r="13" spans="1:22" ht="15.75" customHeight="1" x14ac:dyDescent="0.25">
      <c r="A13" s="14"/>
      <c r="B13" s="2"/>
      <c r="C13" s="765"/>
      <c r="D13" s="765"/>
      <c r="E13" s="765"/>
      <c r="F13" s="765"/>
      <c r="G13" s="765"/>
      <c r="H13" s="765"/>
      <c r="I13" s="18"/>
      <c r="J13" s="760" t="s">
        <v>51</v>
      </c>
      <c r="K13" s="768"/>
      <c r="L13" s="44"/>
      <c r="M13" s="44"/>
      <c r="N13" s="760" t="s">
        <v>50</v>
      </c>
      <c r="O13" s="760"/>
      <c r="P13" s="44"/>
      <c r="Q13" s="44"/>
      <c r="R13" s="760" t="s">
        <v>867</v>
      </c>
      <c r="S13" s="768"/>
      <c r="T13" s="3"/>
      <c r="U13" s="41"/>
    </row>
    <row r="14" spans="1:22" ht="15.75" customHeight="1" x14ac:dyDescent="0.25">
      <c r="A14" s="14"/>
      <c r="B14" s="2"/>
      <c r="C14" s="18"/>
      <c r="D14" s="18"/>
      <c r="E14" s="18"/>
      <c r="F14" s="18"/>
      <c r="G14" s="18"/>
      <c r="H14" s="18"/>
      <c r="I14" s="18"/>
      <c r="J14" s="693"/>
      <c r="K14" s="693"/>
      <c r="L14" s="18"/>
      <c r="M14" s="44"/>
      <c r="N14" s="760"/>
      <c r="O14" s="760"/>
      <c r="P14" s="44"/>
      <c r="Q14" s="18"/>
      <c r="R14" s="768"/>
      <c r="S14" s="768"/>
      <c r="T14" s="2"/>
      <c r="U14" s="41"/>
    </row>
    <row r="15" spans="1:22" ht="32.25" customHeight="1" x14ac:dyDescent="0.25">
      <c r="A15" s="14"/>
      <c r="B15" s="2"/>
      <c r="C15" s="402"/>
      <c r="D15" s="18"/>
      <c r="E15" s="18"/>
      <c r="F15" s="18"/>
      <c r="G15" s="18"/>
      <c r="H15" s="18"/>
      <c r="I15" s="18"/>
      <c r="J15" s="766"/>
      <c r="K15" s="766"/>
      <c r="L15" s="18"/>
      <c r="M15" s="18"/>
      <c r="N15" s="766"/>
      <c r="O15" s="766"/>
      <c r="P15" s="18"/>
      <c r="Q15" s="770"/>
      <c r="R15" s="770"/>
      <c r="S15" s="770"/>
      <c r="T15" s="770"/>
      <c r="U15" s="41"/>
    </row>
    <row r="16" spans="1:22" ht="16.5" customHeight="1" thickBot="1" x14ac:dyDescent="0.25">
      <c r="A16" s="110"/>
      <c r="B16" s="108"/>
      <c r="C16" s="96" t="s">
        <v>1047</v>
      </c>
      <c r="D16" s="43"/>
      <c r="E16" s="43"/>
      <c r="F16" s="43"/>
      <c r="G16" s="43"/>
      <c r="H16" s="18"/>
      <c r="I16" s="18"/>
      <c r="J16" s="854" t="s">
        <v>20</v>
      </c>
      <c r="K16" s="855"/>
      <c r="L16" s="48"/>
      <c r="M16" s="48"/>
      <c r="N16" s="854" t="s">
        <v>20</v>
      </c>
      <c r="O16" s="855"/>
      <c r="P16" s="48"/>
      <c r="Q16" s="230"/>
      <c r="R16" s="845" t="s">
        <v>20</v>
      </c>
      <c r="S16" s="846"/>
      <c r="T16" s="231"/>
      <c r="U16" s="41"/>
    </row>
    <row r="17" spans="1:21" ht="16.5" thickBot="1" x14ac:dyDescent="0.25">
      <c r="A17" s="110"/>
      <c r="B17" s="108"/>
      <c r="C17" s="61" t="s">
        <v>1400</v>
      </c>
      <c r="D17" s="43"/>
      <c r="E17" s="43"/>
      <c r="F17" s="43"/>
      <c r="G17" s="43"/>
      <c r="H17" s="18"/>
      <c r="I17" s="18"/>
      <c r="J17" s="737">
        <f>VLOOKUP(+'Part 1'!$L$16,Datasheet3!$B$6:$HG$332,3,FALSE)</f>
        <v>-657917415.95999992</v>
      </c>
      <c r="K17" s="738"/>
      <c r="L17" s="48"/>
      <c r="M17" s="48"/>
      <c r="N17" s="737">
        <f>VLOOKUP(+'Part 1'!$L$16,Datasheet3!$B$6:$HG$332,4,FALSE)</f>
        <v>-2886444</v>
      </c>
      <c r="O17" s="738"/>
      <c r="P17" s="48"/>
      <c r="Q17" s="230"/>
      <c r="R17" s="851">
        <f>VLOOKUP(+'Part 1'!$L$16,Datasheet3!$B$6:$HG$332,5,FALSE)</f>
        <v>-660803859.95999992</v>
      </c>
      <c r="S17" s="852"/>
      <c r="T17" s="231"/>
      <c r="U17" s="41"/>
    </row>
    <row r="18" spans="1:21" ht="15.75" customHeight="1" thickBot="1" x14ac:dyDescent="0.25">
      <c r="A18" s="110"/>
      <c r="B18" s="108"/>
      <c r="C18" s="43"/>
      <c r="D18" s="43"/>
      <c r="E18" s="43"/>
      <c r="F18" s="43"/>
      <c r="G18" s="43"/>
      <c r="H18" s="18"/>
      <c r="I18" s="18"/>
      <c r="J18" s="6"/>
      <c r="K18" s="6"/>
      <c r="L18" s="48"/>
      <c r="M18" s="48"/>
      <c r="N18" s="6"/>
      <c r="O18" s="6"/>
      <c r="P18" s="48"/>
      <c r="Q18" s="232"/>
      <c r="R18" s="233"/>
      <c r="S18" s="230"/>
      <c r="T18" s="231"/>
      <c r="U18" s="41"/>
    </row>
    <row r="19" spans="1:21" ht="15.75" customHeight="1" thickBot="1" x14ac:dyDescent="0.25">
      <c r="A19" s="110"/>
      <c r="B19" s="108"/>
      <c r="C19" s="43" t="s">
        <v>887</v>
      </c>
      <c r="D19" s="43"/>
      <c r="E19" s="43"/>
      <c r="F19" s="43"/>
      <c r="G19" s="43"/>
      <c r="H19" s="18"/>
      <c r="I19" s="18"/>
      <c r="J19" s="737">
        <f>VLOOKUP(+'Part 1'!$L$16,Datasheet3!$B$6:$HG$332,6,FALSE)</f>
        <v>8728922.5199999996</v>
      </c>
      <c r="K19" s="738"/>
      <c r="L19" s="48"/>
      <c r="M19" s="48"/>
      <c r="N19" s="737">
        <f>VLOOKUP(+'Part 1'!$L$16,Datasheet3!$B$6:$HG$332,7,FALSE)</f>
        <v>-330570</v>
      </c>
      <c r="O19" s="738"/>
      <c r="P19" s="48"/>
      <c r="Q19" s="230"/>
      <c r="R19" s="851">
        <f>VLOOKUP(+'Part 1'!$L$16,Datasheet3!$B$6:$HG$332,8,FALSE)</f>
        <v>8398352.5199999996</v>
      </c>
      <c r="S19" s="852"/>
      <c r="T19" s="231"/>
      <c r="U19" s="41"/>
    </row>
    <row r="20" spans="1:21" ht="15.75" customHeight="1" thickBot="1" x14ac:dyDescent="0.25">
      <c r="A20" s="110"/>
      <c r="B20" s="108"/>
      <c r="C20" s="43"/>
      <c r="D20" s="43"/>
      <c r="E20" s="43"/>
      <c r="F20" s="43"/>
      <c r="G20" s="43"/>
      <c r="H20" s="18"/>
      <c r="I20" s="18"/>
      <c r="J20" s="6"/>
      <c r="K20" s="6"/>
      <c r="L20" s="48"/>
      <c r="M20" s="48"/>
      <c r="N20" s="6"/>
      <c r="O20" s="6"/>
      <c r="P20" s="48"/>
      <c r="Q20" s="232"/>
      <c r="R20" s="233"/>
      <c r="S20" s="230"/>
      <c r="T20" s="231"/>
      <c r="U20" s="41"/>
    </row>
    <row r="21" spans="1:21" ht="18.75" customHeight="1" thickBot="1" x14ac:dyDescent="0.25">
      <c r="A21" s="110"/>
      <c r="B21" s="108"/>
      <c r="C21" s="61" t="s">
        <v>1401</v>
      </c>
      <c r="D21" s="43"/>
      <c r="E21" s="43"/>
      <c r="F21" s="43"/>
      <c r="G21" s="43"/>
      <c r="H21" s="18"/>
      <c r="I21" s="18"/>
      <c r="J21" s="737">
        <f>VLOOKUP(+'Part 1'!$L$16,Datasheet3!$B$6:$HG$332,9,FALSE)</f>
        <v>647597706.47000003</v>
      </c>
      <c r="K21" s="738"/>
      <c r="L21" s="48"/>
      <c r="M21" s="48"/>
      <c r="N21" s="737">
        <f>VLOOKUP(+'Part 1'!$L$16,Datasheet3!$B$6:$HG$332,10,FALSE)</f>
        <v>9002010</v>
      </c>
      <c r="O21" s="738"/>
      <c r="P21" s="48"/>
      <c r="Q21" s="230"/>
      <c r="R21" s="851">
        <f>VLOOKUP(+'Part 1'!$L$16,Datasheet3!$B$6:$HG$332,11,FALSE)</f>
        <v>656599716.47000003</v>
      </c>
      <c r="S21" s="852"/>
      <c r="T21" s="231"/>
      <c r="U21" s="41"/>
    </row>
    <row r="22" spans="1:21" ht="15.75" customHeight="1" thickBot="1" x14ac:dyDescent="0.25">
      <c r="A22" s="110"/>
      <c r="B22" s="108"/>
      <c r="C22" s="43"/>
      <c r="D22" s="43"/>
      <c r="E22" s="43"/>
      <c r="F22" s="43"/>
      <c r="G22" s="43"/>
      <c r="H22" s="18"/>
      <c r="I22" s="18"/>
      <c r="J22" s="52"/>
      <c r="K22" s="52"/>
      <c r="L22" s="48"/>
      <c r="M22" s="48"/>
      <c r="N22" s="52"/>
      <c r="O22" s="52"/>
      <c r="P22" s="48"/>
      <c r="Q22" s="230"/>
      <c r="R22" s="230"/>
      <c r="S22" s="230"/>
      <c r="T22" s="231"/>
      <c r="U22" s="41"/>
    </row>
    <row r="23" spans="1:21" ht="15.75" customHeight="1" thickBot="1" x14ac:dyDescent="0.25">
      <c r="A23" s="110"/>
      <c r="B23" s="108"/>
      <c r="C23" s="757" t="s">
        <v>888</v>
      </c>
      <c r="D23" s="757"/>
      <c r="E23" s="757"/>
      <c r="F23" s="757"/>
      <c r="G23" s="757"/>
      <c r="H23" s="18"/>
      <c r="I23" s="18"/>
      <c r="J23" s="737">
        <f>VLOOKUP(+'Part 1'!$L$16,Datasheet3!$B$6:$HG$332,12,FALSE)</f>
        <v>-7382373.8399999999</v>
      </c>
      <c r="K23" s="738"/>
      <c r="L23" s="48"/>
      <c r="M23" s="48"/>
      <c r="N23" s="737">
        <f>VLOOKUP(+'Part 1'!$L$16,Datasheet3!$B$6:$HG$332,13,FALSE)</f>
        <v>-1354933</v>
      </c>
      <c r="O23" s="738"/>
      <c r="P23" s="48"/>
      <c r="Q23" s="230"/>
      <c r="R23" s="851">
        <f>VLOOKUP(+'Part 1'!$L$16,Datasheet3!$B$6:$HG$332,14,FALSE)</f>
        <v>-8737306.8399999999</v>
      </c>
      <c r="S23" s="852"/>
      <c r="T23" s="231"/>
      <c r="U23" s="41"/>
    </row>
    <row r="24" spans="1:21" ht="15.75" customHeight="1" x14ac:dyDescent="0.2">
      <c r="A24" s="110"/>
      <c r="B24" s="108"/>
      <c r="C24" s="757"/>
      <c r="D24" s="757"/>
      <c r="E24" s="757"/>
      <c r="F24" s="757"/>
      <c r="G24" s="757"/>
      <c r="H24" s="18"/>
      <c r="I24" s="18"/>
      <c r="J24" s="52"/>
      <c r="K24" s="52"/>
      <c r="L24" s="48"/>
      <c r="M24" s="48"/>
      <c r="N24" s="52"/>
      <c r="O24" s="52"/>
      <c r="P24" s="48"/>
      <c r="Q24" s="230"/>
      <c r="R24" s="230"/>
      <c r="S24" s="230"/>
      <c r="T24" s="231"/>
      <c r="U24" s="41"/>
    </row>
    <row r="25" spans="1:21" ht="15.75" customHeight="1" thickBot="1" x14ac:dyDescent="0.25">
      <c r="A25" s="110"/>
      <c r="B25" s="108"/>
      <c r="C25" s="256"/>
      <c r="D25" s="256"/>
      <c r="E25" s="256"/>
      <c r="F25" s="256"/>
      <c r="G25" s="256"/>
      <c r="H25" s="18"/>
      <c r="I25" s="18"/>
      <c r="J25" s="52"/>
      <c r="K25" s="52"/>
      <c r="L25" s="48"/>
      <c r="M25" s="48"/>
      <c r="N25" s="52"/>
      <c r="O25" s="52"/>
      <c r="P25" s="48"/>
      <c r="Q25" s="230"/>
      <c r="R25" s="230"/>
      <c r="S25" s="230"/>
      <c r="T25" s="231"/>
      <c r="U25" s="41"/>
    </row>
    <row r="26" spans="1:21" ht="15.75" customHeight="1" thickBot="1" x14ac:dyDescent="0.25">
      <c r="A26" s="110"/>
      <c r="B26" s="128"/>
      <c r="C26" s="129"/>
      <c r="D26" s="129"/>
      <c r="E26" s="129"/>
      <c r="F26" s="129"/>
      <c r="G26" s="129"/>
      <c r="H26" s="130"/>
      <c r="I26" s="130"/>
      <c r="J26" s="131"/>
      <c r="K26" s="131"/>
      <c r="L26" s="132"/>
      <c r="M26" s="132"/>
      <c r="N26" s="131"/>
      <c r="O26" s="131"/>
      <c r="P26" s="132"/>
      <c r="Q26" s="234"/>
      <c r="R26" s="234"/>
      <c r="S26" s="234"/>
      <c r="T26" s="235"/>
      <c r="U26" s="41"/>
    </row>
    <row r="27" spans="1:21" ht="15.75" customHeight="1" thickBot="1" x14ac:dyDescent="0.25">
      <c r="A27" s="110"/>
      <c r="B27" s="133"/>
      <c r="C27" s="802" t="s">
        <v>53</v>
      </c>
      <c r="D27" s="802"/>
      <c r="E27" s="802"/>
      <c r="F27" s="802"/>
      <c r="G27" s="802"/>
      <c r="H27" s="18"/>
      <c r="I27" s="18"/>
      <c r="J27" s="849">
        <f>VLOOKUP(+'Part 1'!$L$16,Datasheet3!$B$6:$HG$332,15,FALSE)</f>
        <v>-8973161</v>
      </c>
      <c r="K27" s="850"/>
      <c r="L27" s="48"/>
      <c r="M27" s="48"/>
      <c r="N27" s="849">
        <f>VLOOKUP(+'Part 1'!$L$16,Datasheet3!$B$6:$HG$332,16,FALSE)</f>
        <v>4430063</v>
      </c>
      <c r="O27" s="850"/>
      <c r="P27" s="48"/>
      <c r="Q27" s="230"/>
      <c r="R27" s="851">
        <f>VLOOKUP(+'Part 1'!$L$16,Datasheet3!$B$6:$HG$332,17,FALSE)</f>
        <v>-4543098</v>
      </c>
      <c r="S27" s="852"/>
      <c r="T27" s="236"/>
      <c r="U27" s="41"/>
    </row>
    <row r="28" spans="1:21" ht="15.75" customHeight="1" thickBot="1" x14ac:dyDescent="0.25">
      <c r="A28" s="110"/>
      <c r="B28" s="134"/>
      <c r="C28" s="135"/>
      <c r="D28" s="135"/>
      <c r="E28" s="135"/>
      <c r="F28" s="135"/>
      <c r="G28" s="135"/>
      <c r="H28" s="136"/>
      <c r="I28" s="136"/>
      <c r="J28" s="136"/>
      <c r="K28" s="136"/>
      <c r="L28" s="136"/>
      <c r="M28" s="136"/>
      <c r="N28" s="136"/>
      <c r="O28" s="136"/>
      <c r="P28" s="136"/>
      <c r="Q28" s="237"/>
      <c r="R28" s="237"/>
      <c r="S28" s="237"/>
      <c r="T28" s="238"/>
      <c r="U28" s="41"/>
    </row>
    <row r="29" spans="1:21" ht="15.75" customHeight="1" x14ac:dyDescent="0.2">
      <c r="A29" s="110"/>
      <c r="B29" s="108"/>
      <c r="C29" s="256"/>
      <c r="D29" s="256"/>
      <c r="E29" s="256"/>
      <c r="F29" s="256"/>
      <c r="G29" s="256"/>
      <c r="H29" s="18"/>
      <c r="I29" s="18"/>
      <c r="J29" s="52"/>
      <c r="K29" s="52"/>
      <c r="L29" s="48"/>
      <c r="M29" s="48"/>
      <c r="N29" s="52"/>
      <c r="O29" s="52"/>
      <c r="P29" s="48"/>
      <c r="Q29" s="230"/>
      <c r="R29" s="230"/>
      <c r="S29" s="230"/>
      <c r="T29" s="231"/>
      <c r="U29" s="41"/>
    </row>
    <row r="30" spans="1:21" ht="15.75" x14ac:dyDescent="0.2">
      <c r="A30" s="111"/>
      <c r="B30" s="112"/>
      <c r="C30" s="96" t="s">
        <v>1048</v>
      </c>
      <c r="D30" s="43"/>
      <c r="E30" s="43"/>
      <c r="F30" s="43"/>
      <c r="G30" s="43"/>
      <c r="H30" s="18"/>
      <c r="I30" s="48"/>
      <c r="J30" s="52"/>
      <c r="K30" s="52"/>
      <c r="L30" s="48"/>
      <c r="M30" s="48"/>
      <c r="N30" s="52"/>
      <c r="O30" s="52"/>
      <c r="P30" s="48"/>
      <c r="Q30" s="230"/>
      <c r="R30" s="230"/>
      <c r="S30" s="230"/>
      <c r="T30" s="231"/>
      <c r="U30" s="41"/>
    </row>
    <row r="31" spans="1:21" ht="16.5" thickBot="1" x14ac:dyDescent="0.25">
      <c r="A31" s="110"/>
      <c r="B31" s="108"/>
      <c r="C31" s="107" t="s">
        <v>26</v>
      </c>
      <c r="D31" s="43"/>
      <c r="E31" s="43"/>
      <c r="F31" s="43"/>
      <c r="G31" s="43"/>
      <c r="H31" s="18"/>
      <c r="I31" s="18"/>
      <c r="J31" s="52"/>
      <c r="K31" s="52"/>
      <c r="L31" s="48"/>
      <c r="M31" s="48"/>
      <c r="N31" s="52"/>
      <c r="O31" s="52"/>
      <c r="P31" s="48"/>
      <c r="Q31" s="230"/>
      <c r="R31" s="230"/>
      <c r="S31" s="230"/>
      <c r="T31" s="231"/>
      <c r="U31" s="41"/>
    </row>
    <row r="32" spans="1:21" ht="16.5" thickBot="1" x14ac:dyDescent="0.25">
      <c r="A32" s="110"/>
      <c r="B32" s="108"/>
      <c r="C32" s="61" t="s">
        <v>1402</v>
      </c>
      <c r="D32" s="43"/>
      <c r="E32" s="43"/>
      <c r="F32" s="43"/>
      <c r="G32" s="43"/>
      <c r="H32" s="18"/>
      <c r="I32" s="18"/>
      <c r="J32" s="772">
        <f>VLOOKUP(+'Part 1'!$L$16,Datasheet3!$B$6:$HG$332,18,FALSE)</f>
        <v>-1814133658.3500001</v>
      </c>
      <c r="K32" s="773"/>
      <c r="L32" s="48"/>
      <c r="M32" s="48"/>
      <c r="N32" s="772">
        <f>VLOOKUP(+'Part 1'!$L$16,Datasheet3!$B$6:$HG$332,19,FALSE)</f>
        <v>-6306716</v>
      </c>
      <c r="O32" s="773"/>
      <c r="P32" s="48"/>
      <c r="Q32" s="230"/>
      <c r="R32" s="835">
        <f>VLOOKUP(+'Part 1'!$L$16,Datasheet3!$B$6:$HG$332,20,FALSE)</f>
        <v>-1820440374.3500001</v>
      </c>
      <c r="S32" s="836"/>
      <c r="T32" s="231"/>
      <c r="U32" s="41"/>
    </row>
    <row r="33" spans="1:27" ht="16.5" thickBot="1" x14ac:dyDescent="0.25">
      <c r="A33" s="682"/>
      <c r="B33" s="117"/>
      <c r="C33" s="681" t="s">
        <v>36</v>
      </c>
      <c r="D33" s="117"/>
      <c r="E33" s="117"/>
      <c r="F33" s="117"/>
      <c r="G33" s="117"/>
      <c r="H33" s="117"/>
      <c r="I33" s="117"/>
      <c r="J33" s="43"/>
      <c r="K33" s="43"/>
      <c r="L33" s="43"/>
      <c r="M33" s="48"/>
      <c r="N33" s="52"/>
      <c r="O33" s="52"/>
      <c r="P33" s="48"/>
      <c r="Q33" s="230"/>
      <c r="R33" s="233"/>
      <c r="S33" s="233"/>
      <c r="T33" s="231"/>
      <c r="U33" s="41"/>
      <c r="AA33" s="221"/>
    </row>
    <row r="34" spans="1:27" ht="16.5" thickBot="1" x14ac:dyDescent="0.25">
      <c r="A34" s="682"/>
      <c r="B34" s="142"/>
      <c r="C34" s="683"/>
      <c r="D34" s="117" t="s">
        <v>952</v>
      </c>
      <c r="E34" s="117"/>
      <c r="F34" s="117"/>
      <c r="G34" s="117"/>
      <c r="H34" s="104"/>
      <c r="I34" s="104"/>
      <c r="J34" s="772">
        <f>VLOOKUP(+'Part 1'!$L$16,Datasheet3!$B$6:$HG$332,21,FALSE)</f>
        <v>-4277233.08</v>
      </c>
      <c r="K34" s="773"/>
      <c r="L34" s="105"/>
      <c r="M34" s="105"/>
      <c r="N34" s="772">
        <f>VLOOKUP(+'Part 1'!$L$16,Datasheet3!$B$6:$HG$332,22,FALSE)</f>
        <v>-23933</v>
      </c>
      <c r="O34" s="773"/>
      <c r="P34" s="105"/>
      <c r="Q34" s="230"/>
      <c r="R34" s="835">
        <f>VLOOKUP(+'Part 1'!$L$16,Datasheet3!$B$6:$HG$332,23,FALSE)</f>
        <v>-4301166.08</v>
      </c>
      <c r="S34" s="836"/>
      <c r="T34" s="231"/>
      <c r="U34" s="41"/>
    </row>
    <row r="35" spans="1:27" ht="15.75" x14ac:dyDescent="0.2">
      <c r="A35" s="682"/>
      <c r="B35" s="142"/>
      <c r="C35" s="683"/>
      <c r="D35" s="117" t="s">
        <v>76</v>
      </c>
      <c r="E35" s="117"/>
      <c r="F35" s="117"/>
      <c r="G35" s="117"/>
      <c r="H35" s="104"/>
      <c r="I35" s="104"/>
      <c r="J35" s="336"/>
      <c r="K35" s="336"/>
      <c r="L35" s="105"/>
      <c r="M35" s="105"/>
      <c r="N35" s="336"/>
      <c r="O35" s="336"/>
      <c r="P35" s="105"/>
      <c r="Q35" s="230"/>
      <c r="R35" s="233"/>
      <c r="S35" s="233"/>
      <c r="T35" s="231"/>
      <c r="U35" s="41"/>
    </row>
    <row r="36" spans="1:27" ht="16.5" thickBot="1" x14ac:dyDescent="0.25">
      <c r="A36" s="682"/>
      <c r="B36" s="117"/>
      <c r="C36" s="684"/>
      <c r="D36" s="117"/>
      <c r="E36" s="117"/>
      <c r="F36" s="117"/>
      <c r="G36" s="117"/>
      <c r="H36" s="117"/>
      <c r="I36" s="117"/>
      <c r="J36" s="43"/>
      <c r="K36" s="252"/>
      <c r="L36" s="117"/>
      <c r="M36" s="105"/>
      <c r="N36" s="52"/>
      <c r="O36" s="52"/>
      <c r="P36" s="105"/>
      <c r="Q36" s="230"/>
      <c r="R36" s="233"/>
      <c r="S36" s="233"/>
      <c r="T36" s="231"/>
      <c r="U36" s="41"/>
    </row>
    <row r="37" spans="1:27" ht="16.5" thickBot="1" x14ac:dyDescent="0.25">
      <c r="A37" s="682"/>
      <c r="B37" s="142"/>
      <c r="C37" s="681" t="s">
        <v>914</v>
      </c>
      <c r="D37" s="117"/>
      <c r="E37" s="117"/>
      <c r="F37" s="117"/>
      <c r="G37" s="117"/>
      <c r="H37" s="104"/>
      <c r="I37" s="104"/>
      <c r="J37" s="849">
        <f>VLOOKUP(+'Part 1'!$L$16,Datasheet3!$B$6:$HG$332,24,FALSE)</f>
        <v>-61969576.750000007</v>
      </c>
      <c r="K37" s="850"/>
      <c r="L37" s="105"/>
      <c r="M37" s="105"/>
      <c r="N37" s="849">
        <f>VLOOKUP(+'Part 1'!$L$16,Datasheet3!$B$6:$HG$332,25,FALSE)</f>
        <v>-282703</v>
      </c>
      <c r="O37" s="850"/>
      <c r="P37" s="105"/>
      <c r="Q37" s="230"/>
      <c r="R37" s="835">
        <f>VLOOKUP(+'Part 1'!$L$16,Datasheet3!$B$6:$HG$332,26,FALSE)</f>
        <v>-62252279.750000007</v>
      </c>
      <c r="S37" s="836"/>
      <c r="T37" s="231"/>
      <c r="U37" s="41"/>
    </row>
    <row r="38" spans="1:27" ht="15.75" x14ac:dyDescent="0.2">
      <c r="A38" s="682"/>
      <c r="B38" s="142"/>
      <c r="C38" s="681" t="s">
        <v>36</v>
      </c>
      <c r="D38" s="117"/>
      <c r="E38" s="117"/>
      <c r="F38" s="117"/>
      <c r="G38" s="117"/>
      <c r="H38" s="104"/>
      <c r="I38" s="104"/>
      <c r="J38" s="336"/>
      <c r="K38" s="336"/>
      <c r="L38" s="105"/>
      <c r="M38" s="105"/>
      <c r="N38" s="336"/>
      <c r="O38" s="336"/>
      <c r="P38" s="105"/>
      <c r="Q38" s="230"/>
      <c r="R38" s="233"/>
      <c r="S38" s="233"/>
      <c r="T38" s="231"/>
      <c r="U38" s="41"/>
    </row>
    <row r="39" spans="1:27" ht="16.5" thickBot="1" x14ac:dyDescent="0.25">
      <c r="A39" s="682"/>
      <c r="B39" s="117"/>
      <c r="C39" s="117"/>
      <c r="D39" s="117"/>
      <c r="E39" s="117"/>
      <c r="F39" s="117"/>
      <c r="G39" s="117"/>
      <c r="H39" s="117"/>
      <c r="I39" s="117"/>
      <c r="J39" s="43"/>
      <c r="K39" s="43"/>
      <c r="L39" s="117"/>
      <c r="M39" s="105"/>
      <c r="N39" s="52"/>
      <c r="O39" s="52"/>
      <c r="P39" s="105"/>
      <c r="Q39" s="230"/>
      <c r="R39" s="233"/>
      <c r="S39" s="233"/>
      <c r="T39" s="231"/>
      <c r="U39" s="41"/>
    </row>
    <row r="40" spans="1:27" ht="16.5" thickBot="1" x14ac:dyDescent="0.25">
      <c r="A40" s="682"/>
      <c r="B40" s="142"/>
      <c r="C40" s="683"/>
      <c r="D40" s="681" t="s">
        <v>1403</v>
      </c>
      <c r="E40" s="117"/>
      <c r="F40" s="117"/>
      <c r="G40" s="117"/>
      <c r="H40" s="104"/>
      <c r="I40" s="104"/>
      <c r="J40" s="772">
        <f>VLOOKUP(+'Part 1'!$L$16,Datasheet3!$B$6:$HG$332,27,FALSE)</f>
        <v>-16127879.08</v>
      </c>
      <c r="K40" s="773"/>
      <c r="L40" s="105"/>
      <c r="M40" s="105"/>
      <c r="N40" s="772">
        <f>VLOOKUP(+'Part 1'!$L$16,Datasheet3!$B$6:$HG$332,28,FALSE)</f>
        <v>-38603</v>
      </c>
      <c r="O40" s="773"/>
      <c r="P40" s="105"/>
      <c r="Q40" s="230"/>
      <c r="R40" s="835">
        <f>VLOOKUP(+'Part 1'!$L$16,Datasheet3!$B$6:$HG$332,29,FALSE)</f>
        <v>-16166482.08</v>
      </c>
      <c r="S40" s="836"/>
      <c r="T40" s="231"/>
      <c r="U40" s="41"/>
    </row>
    <row r="41" spans="1:27" ht="16.5" thickBot="1" x14ac:dyDescent="0.25">
      <c r="A41" s="682"/>
      <c r="B41" s="142"/>
      <c r="C41" s="683"/>
      <c r="D41" s="685"/>
      <c r="E41" s="117"/>
      <c r="F41" s="117"/>
      <c r="G41" s="117"/>
      <c r="H41" s="104"/>
      <c r="I41" s="104"/>
      <c r="J41" s="620"/>
      <c r="K41" s="620"/>
      <c r="L41" s="105"/>
      <c r="M41" s="105"/>
      <c r="N41" s="620"/>
      <c r="O41" s="620"/>
      <c r="P41" s="105"/>
      <c r="Q41" s="230"/>
      <c r="R41" s="233"/>
      <c r="S41" s="230"/>
      <c r="T41" s="231"/>
      <c r="U41" s="41"/>
    </row>
    <row r="42" spans="1:27" ht="16.5" thickBot="1" x14ac:dyDescent="0.25">
      <c r="A42" s="682"/>
      <c r="B42" s="142"/>
      <c r="C42" s="683"/>
      <c r="D42" s="681" t="s">
        <v>1404</v>
      </c>
      <c r="E42" s="117"/>
      <c r="F42" s="117"/>
      <c r="G42" s="117"/>
      <c r="H42" s="104"/>
      <c r="I42" s="104"/>
      <c r="J42" s="829">
        <f>VLOOKUP(+'Part 1'!$L$16,Datasheet3!$B$6:$HG$332,30,FALSE)</f>
        <v>-41225197.180000007</v>
      </c>
      <c r="K42" s="828"/>
      <c r="L42" s="105"/>
      <c r="M42" s="105"/>
      <c r="N42" s="829">
        <f>VLOOKUP(+'Part 1'!$L$16,Datasheet3!$B$6:$HG$332,31,FALSE)</f>
        <v>-193380.57</v>
      </c>
      <c r="O42" s="828"/>
      <c r="P42" s="105"/>
      <c r="Q42" s="230"/>
      <c r="R42" s="830">
        <f>VLOOKUP(+'Part 1'!$L$16,Datasheet3!$B$6:$HG$332,32,FALSE)</f>
        <v>-41418577.75</v>
      </c>
      <c r="S42" s="783"/>
      <c r="T42" s="231"/>
      <c r="U42" s="41"/>
    </row>
    <row r="43" spans="1:27" ht="16.5" thickBot="1" x14ac:dyDescent="0.25">
      <c r="A43" s="682"/>
      <c r="B43" s="117"/>
      <c r="C43" s="684"/>
      <c r="D43" s="117"/>
      <c r="E43" s="117"/>
      <c r="F43" s="117"/>
      <c r="G43" s="117"/>
      <c r="H43" s="117"/>
      <c r="I43" s="117"/>
      <c r="J43" s="321"/>
      <c r="K43" s="252"/>
      <c r="L43" s="117"/>
      <c r="M43" s="105"/>
      <c r="N43" s="52"/>
      <c r="O43" s="52"/>
      <c r="P43" s="105"/>
      <c r="Q43" s="230"/>
      <c r="R43" s="233"/>
      <c r="S43" s="651"/>
      <c r="T43" s="231"/>
      <c r="U43" s="41"/>
    </row>
    <row r="44" spans="1:27" ht="16.5" thickBot="1" x14ac:dyDescent="0.25">
      <c r="A44" s="682"/>
      <c r="B44" s="142"/>
      <c r="C44" s="683"/>
      <c r="D44" s="857" t="s">
        <v>1406</v>
      </c>
      <c r="E44" s="858"/>
      <c r="F44" s="858"/>
      <c r="G44" s="858"/>
      <c r="H44" s="104"/>
      <c r="I44" s="104"/>
      <c r="J44" s="772">
        <f>VLOOKUP(+'Part 1'!$L$16,Datasheet3!$B$6:$HG$332,33,FALSE)</f>
        <v>-201007.04</v>
      </c>
      <c r="K44" s="773"/>
      <c r="L44" s="105"/>
      <c r="M44" s="105"/>
      <c r="N44" s="772">
        <f>VLOOKUP(+'Part 1'!$L$16,Datasheet3!$B$6:$HG$332,34,FALSE)</f>
        <v>-1568</v>
      </c>
      <c r="O44" s="773"/>
      <c r="P44" s="105"/>
      <c r="Q44" s="230"/>
      <c r="R44" s="835">
        <f>VLOOKUP(+'Part 1'!$L$16,Datasheet3!$B$6:$HG$332,35,FALSE)</f>
        <v>-202575.04</v>
      </c>
      <c r="S44" s="836"/>
      <c r="T44" s="231"/>
      <c r="U44" s="41"/>
    </row>
    <row r="45" spans="1:27" ht="15.75" x14ac:dyDescent="0.2">
      <c r="A45" s="682"/>
      <c r="B45" s="117"/>
      <c r="C45" s="684"/>
      <c r="D45" s="858"/>
      <c r="E45" s="858"/>
      <c r="F45" s="858"/>
      <c r="G45" s="858"/>
      <c r="H45" s="117"/>
      <c r="I45" s="117"/>
      <c r="J45" s="686"/>
      <c r="K45" s="684"/>
      <c r="L45" s="117"/>
      <c r="M45" s="105"/>
      <c r="N45" s="337"/>
      <c r="O45" s="337"/>
      <c r="P45" s="105"/>
      <c r="Q45" s="230"/>
      <c r="R45" s="233"/>
      <c r="S45" s="651"/>
      <c r="T45" s="231"/>
      <c r="U45" s="41"/>
    </row>
    <row r="46" spans="1:27" ht="15.75" x14ac:dyDescent="0.2">
      <c r="A46" s="682"/>
      <c r="B46" s="117"/>
      <c r="C46" s="684"/>
      <c r="D46" s="681" t="s">
        <v>1405</v>
      </c>
      <c r="E46" s="117"/>
      <c r="F46" s="117"/>
      <c r="G46" s="117"/>
      <c r="H46" s="117"/>
      <c r="I46" s="117"/>
      <c r="J46" s="686"/>
      <c r="K46" s="684"/>
      <c r="L46" s="117"/>
      <c r="M46" s="105"/>
      <c r="N46" s="337"/>
      <c r="O46" s="337"/>
      <c r="P46" s="105"/>
      <c r="Q46" s="230"/>
      <c r="R46" s="233"/>
      <c r="S46" s="233"/>
      <c r="T46" s="231"/>
      <c r="U46" s="41"/>
    </row>
    <row r="47" spans="1:27" ht="16.5" thickBot="1" x14ac:dyDescent="0.25">
      <c r="A47" s="682"/>
      <c r="B47" s="117"/>
      <c r="C47" s="684"/>
      <c r="D47" s="681"/>
      <c r="E47" s="117"/>
      <c r="F47" s="117"/>
      <c r="G47" s="117"/>
      <c r="H47" s="117"/>
      <c r="I47" s="117"/>
      <c r="J47" s="686"/>
      <c r="K47" s="684"/>
      <c r="L47" s="117"/>
      <c r="M47" s="105"/>
      <c r="N47" s="337"/>
      <c r="O47" s="337"/>
      <c r="P47" s="105"/>
      <c r="Q47" s="230"/>
      <c r="R47" s="233"/>
      <c r="S47" s="233"/>
      <c r="T47" s="231"/>
      <c r="U47" s="41"/>
    </row>
    <row r="48" spans="1:27" ht="16.5" thickBot="1" x14ac:dyDescent="0.25">
      <c r="A48" s="682"/>
      <c r="B48" s="117"/>
      <c r="C48" s="684"/>
      <c r="D48" s="681" t="s">
        <v>1407</v>
      </c>
      <c r="E48" s="117"/>
      <c r="F48" s="117"/>
      <c r="G48" s="117"/>
      <c r="H48" s="117"/>
      <c r="I48" s="117"/>
      <c r="J48" s="831">
        <f>VLOOKUP(+'Part 1'!$L$16,Datasheet3!$B$6:$HG$332,36,FALSE)</f>
        <v>-413411.64</v>
      </c>
      <c r="K48" s="832"/>
      <c r="L48" s="117"/>
      <c r="M48" s="105"/>
      <c r="N48" s="798">
        <f>VLOOKUP(+'Part 1'!$L$16,Datasheet3!$B$6:$HG$332,37,FALSE)</f>
        <v>-2176.2600000000002</v>
      </c>
      <c r="O48" s="833"/>
      <c r="P48" s="105"/>
      <c r="Q48" s="230"/>
      <c r="R48" s="830">
        <f>VLOOKUP(+'Part 1'!$L$16,Datasheet3!$B$6:$HG$332,38,FALSE)</f>
        <v>-415587.9</v>
      </c>
      <c r="S48" s="783"/>
      <c r="T48" s="231"/>
      <c r="U48" s="41"/>
    </row>
    <row r="49" spans="1:22" ht="15.75" x14ac:dyDescent="0.2">
      <c r="A49" s="682"/>
      <c r="B49" s="117"/>
      <c r="C49" s="684"/>
      <c r="D49" s="681" t="s">
        <v>1409</v>
      </c>
      <c r="E49" s="117"/>
      <c r="F49" s="117"/>
      <c r="G49" s="117"/>
      <c r="H49" s="117"/>
      <c r="I49" s="117"/>
      <c r="J49" s="686"/>
      <c r="K49" s="684"/>
      <c r="L49" s="117"/>
      <c r="M49" s="105"/>
      <c r="N49" s="337"/>
      <c r="O49" s="337"/>
      <c r="P49" s="105"/>
      <c r="Q49" s="230"/>
      <c r="R49" s="233"/>
      <c r="S49" s="233"/>
      <c r="T49" s="231"/>
      <c r="U49" s="41"/>
    </row>
    <row r="50" spans="1:22" ht="15.75" x14ac:dyDescent="0.2">
      <c r="A50" s="682"/>
      <c r="B50" s="117"/>
      <c r="C50" s="684"/>
      <c r="D50" s="681" t="s">
        <v>1408</v>
      </c>
      <c r="E50" s="117"/>
      <c r="F50" s="117"/>
      <c r="G50" s="117"/>
      <c r="H50" s="117"/>
      <c r="I50" s="117"/>
      <c r="J50" s="686"/>
      <c r="K50" s="684"/>
      <c r="L50" s="117"/>
      <c r="M50" s="105"/>
      <c r="N50" s="337"/>
      <c r="O50" s="337"/>
      <c r="P50" s="105"/>
      <c r="Q50" s="230"/>
      <c r="R50" s="233"/>
      <c r="S50" s="233"/>
      <c r="T50" s="231"/>
      <c r="U50" s="41"/>
    </row>
    <row r="51" spans="1:22" ht="16.5" thickBot="1" x14ac:dyDescent="0.25">
      <c r="A51" s="682"/>
      <c r="B51" s="117"/>
      <c r="C51" s="684"/>
      <c r="D51" s="681"/>
      <c r="E51" s="117"/>
      <c r="F51" s="117"/>
      <c r="G51" s="117"/>
      <c r="H51" s="117"/>
      <c r="I51" s="117"/>
      <c r="J51" s="321"/>
      <c r="K51" s="252"/>
      <c r="L51" s="43"/>
      <c r="M51" s="48"/>
      <c r="N51" s="52"/>
      <c r="O51" s="52"/>
      <c r="P51" s="105"/>
      <c r="Q51" s="230"/>
      <c r="R51" s="652"/>
      <c r="S51" s="652"/>
      <c r="T51" s="231"/>
      <c r="U51" s="41"/>
    </row>
    <row r="52" spans="1:22" ht="16.5" thickBot="1" x14ac:dyDescent="0.25">
      <c r="A52" s="110"/>
      <c r="B52" s="108"/>
      <c r="C52" s="723" t="s">
        <v>1410</v>
      </c>
      <c r="D52" s="757"/>
      <c r="E52" s="757"/>
      <c r="F52" s="757"/>
      <c r="G52" s="757"/>
      <c r="H52" s="18"/>
      <c r="I52" s="18"/>
      <c r="J52" s="772">
        <f>VLOOKUP('Part 1'!L$16,Datasheet3!$B$6:$HG$332,39,FALSE)</f>
        <v>623933880.75999999</v>
      </c>
      <c r="K52" s="773"/>
      <c r="L52" s="48"/>
      <c r="M52" s="48"/>
      <c r="N52" s="772">
        <f>VLOOKUP('Part 1'!L$16,Datasheet3!$B$6:$HG$332,40,FALSE)</f>
        <v>6592552</v>
      </c>
      <c r="O52" s="773"/>
      <c r="P52" s="48"/>
      <c r="Q52" s="230"/>
      <c r="R52" s="847">
        <f>VLOOKUP(+'Part 1'!$L$16,Datasheet3!$B$6:$HG$332,41,FALSE)</f>
        <v>630526432.75999999</v>
      </c>
      <c r="S52" s="848"/>
      <c r="T52" s="231"/>
      <c r="U52" s="41"/>
    </row>
    <row r="53" spans="1:22" ht="15.75" x14ac:dyDescent="0.2">
      <c r="A53" s="110"/>
      <c r="B53" s="108"/>
      <c r="C53" s="739"/>
      <c r="D53" s="739"/>
      <c r="E53" s="739"/>
      <c r="F53" s="739"/>
      <c r="G53" s="739"/>
      <c r="H53" s="18"/>
      <c r="I53" s="18"/>
      <c r="J53" s="63"/>
      <c r="K53" s="337"/>
      <c r="L53" s="48"/>
      <c r="M53" s="48"/>
      <c r="N53" s="63"/>
      <c r="O53" s="52"/>
      <c r="P53" s="48"/>
      <c r="Q53" s="230"/>
      <c r="R53" s="651"/>
      <c r="S53" s="653"/>
      <c r="T53" s="231"/>
      <c r="U53" s="41"/>
    </row>
    <row r="54" spans="1:22" ht="16.5" thickBot="1" x14ac:dyDescent="0.25">
      <c r="A54" s="110"/>
      <c r="B54" s="108"/>
      <c r="C54" s="256"/>
      <c r="D54" s="256"/>
      <c r="E54" s="256"/>
      <c r="F54" s="256"/>
      <c r="G54" s="256"/>
      <c r="H54" s="18"/>
      <c r="I54" s="18"/>
      <c r="J54" s="63"/>
      <c r="K54" s="52"/>
      <c r="L54" s="48"/>
      <c r="M54" s="48"/>
      <c r="N54" s="63"/>
      <c r="O54" s="52"/>
      <c r="P54" s="48"/>
      <c r="Q54" s="230"/>
      <c r="R54" s="652"/>
      <c r="S54" s="653"/>
      <c r="T54" s="231"/>
      <c r="U54" s="41"/>
    </row>
    <row r="55" spans="1:22" ht="16.5" thickBot="1" x14ac:dyDescent="0.25">
      <c r="A55" s="110"/>
      <c r="B55" s="108"/>
      <c r="C55" s="723" t="s">
        <v>895</v>
      </c>
      <c r="D55" s="757"/>
      <c r="E55" s="757"/>
      <c r="F55" s="757"/>
      <c r="G55" s="757"/>
      <c r="H55" s="18"/>
      <c r="I55" s="18"/>
      <c r="J55" s="849">
        <f>VLOOKUP('Part 1'!L$16,Datasheet3!$B$6:$HG$332,42,FALSE)</f>
        <v>-5750596.5300000003</v>
      </c>
      <c r="K55" s="850"/>
      <c r="L55" s="48"/>
      <c r="M55" s="48"/>
      <c r="N55" s="849">
        <f>VLOOKUP('Part 1'!L$16,Datasheet3!$B$6:$HG$332,43,FALSE)</f>
        <v>-67148.350000000006</v>
      </c>
      <c r="O55" s="850"/>
      <c r="P55" s="48"/>
      <c r="Q55" s="230"/>
      <c r="R55" s="847">
        <f>VLOOKUP(+'Part 1'!$L$16,Datasheet3!$B$6:$HG$332,44,FALSE)</f>
        <v>-5817744.8799999999</v>
      </c>
      <c r="S55" s="848"/>
      <c r="T55" s="231"/>
      <c r="U55" s="41"/>
      <c r="V55" s="208"/>
    </row>
    <row r="56" spans="1:22" ht="15.75" x14ac:dyDescent="0.2">
      <c r="A56" s="110"/>
      <c r="B56" s="108"/>
      <c r="C56" s="739"/>
      <c r="D56" s="739"/>
      <c r="E56" s="739"/>
      <c r="F56" s="739"/>
      <c r="G56" s="739"/>
      <c r="H56" s="18"/>
      <c r="I56" s="18"/>
      <c r="J56" s="63"/>
      <c r="K56" s="52"/>
      <c r="L56" s="48"/>
      <c r="M56" s="48"/>
      <c r="N56" s="63"/>
      <c r="O56" s="52"/>
      <c r="P56" s="48"/>
      <c r="Q56" s="230"/>
      <c r="R56" s="651"/>
      <c r="S56" s="653"/>
      <c r="T56" s="231"/>
      <c r="U56" s="41"/>
    </row>
    <row r="57" spans="1:22" ht="15" x14ac:dyDescent="0.2">
      <c r="A57" s="110"/>
      <c r="B57" s="108"/>
      <c r="C57" s="43"/>
      <c r="D57" s="43"/>
      <c r="E57" s="43"/>
      <c r="F57" s="43"/>
      <c r="G57" s="43"/>
      <c r="H57" s="18"/>
      <c r="I57" s="18"/>
      <c r="J57" s="52"/>
      <c r="K57" s="52"/>
      <c r="L57" s="48"/>
      <c r="M57" s="48"/>
      <c r="N57" s="52"/>
      <c r="O57" s="52"/>
      <c r="P57" s="48"/>
      <c r="Q57" s="230"/>
      <c r="R57" s="653"/>
      <c r="S57" s="653"/>
      <c r="T57" s="231"/>
      <c r="U57" s="41"/>
    </row>
    <row r="58" spans="1:22" ht="16.5" thickBot="1" x14ac:dyDescent="0.25">
      <c r="A58" s="110"/>
      <c r="B58" s="108"/>
      <c r="C58" s="107" t="s">
        <v>32</v>
      </c>
      <c r="D58" s="43"/>
      <c r="E58" s="43"/>
      <c r="F58" s="43"/>
      <c r="G58" s="43"/>
      <c r="H58" s="18"/>
      <c r="I58" s="18"/>
      <c r="J58" s="52"/>
      <c r="K58" s="52"/>
      <c r="L58" s="48"/>
      <c r="M58" s="48"/>
      <c r="N58" s="52"/>
      <c r="O58" s="52"/>
      <c r="P58" s="48"/>
      <c r="Q58" s="230"/>
      <c r="R58" s="653"/>
      <c r="S58" s="653"/>
      <c r="T58" s="231"/>
      <c r="U58" s="41"/>
    </row>
    <row r="59" spans="1:22" ht="16.5" thickBot="1" x14ac:dyDescent="0.25">
      <c r="A59" s="110"/>
      <c r="B59" s="108"/>
      <c r="C59" s="61" t="s">
        <v>1411</v>
      </c>
      <c r="D59" s="43"/>
      <c r="E59" s="43"/>
      <c r="F59" s="43"/>
      <c r="G59" s="43"/>
      <c r="H59" s="18"/>
      <c r="I59" s="18"/>
      <c r="J59" s="772">
        <f>VLOOKUP('Part 1'!L$16,Datasheet3!$B$6:$HG$332,45,FALSE)</f>
        <v>-1920226952.1099999</v>
      </c>
      <c r="K59" s="773"/>
      <c r="L59" s="48"/>
      <c r="M59" s="48"/>
      <c r="N59" s="772">
        <f>VLOOKUP('Part 1'!L$16,Datasheet3!$B$6:$HG$332,46,FALSE)</f>
        <v>-12370073</v>
      </c>
      <c r="O59" s="773"/>
      <c r="P59" s="48"/>
      <c r="Q59" s="230"/>
      <c r="R59" s="847">
        <f>VLOOKUP(+'Part 1'!$L$16,Datasheet3!$B$6:$HG$332,47,FALSE)</f>
        <v>-1932597025.1099999</v>
      </c>
      <c r="S59" s="848"/>
      <c r="T59" s="231"/>
      <c r="U59" s="41"/>
    </row>
    <row r="60" spans="1:22" ht="15.75" thickBot="1" x14ac:dyDescent="0.25">
      <c r="A60" s="110"/>
      <c r="B60" s="108"/>
      <c r="C60" s="43"/>
      <c r="D60" s="43"/>
      <c r="E60" s="43"/>
      <c r="F60" s="43"/>
      <c r="G60" s="43"/>
      <c r="H60" s="18"/>
      <c r="I60" s="18"/>
      <c r="J60" s="52"/>
      <c r="K60" s="337"/>
      <c r="L60" s="48"/>
      <c r="M60" s="48"/>
      <c r="N60" s="52"/>
      <c r="O60" s="52"/>
      <c r="P60" s="48"/>
      <c r="Q60" s="230"/>
      <c r="R60" s="654"/>
      <c r="S60" s="653"/>
      <c r="T60" s="231"/>
      <c r="U60" s="41"/>
    </row>
    <row r="61" spans="1:22" ht="16.5" thickBot="1" x14ac:dyDescent="0.25">
      <c r="A61" s="110"/>
      <c r="B61" s="108"/>
      <c r="C61" s="723" t="s">
        <v>896</v>
      </c>
      <c r="D61" s="757"/>
      <c r="E61" s="757"/>
      <c r="F61" s="757"/>
      <c r="G61" s="757"/>
      <c r="H61" s="18"/>
      <c r="I61" s="18"/>
      <c r="J61" s="849">
        <f>VLOOKUP('Part 1'!L$16,Datasheet3!$B$6:$HG$332,48,FALSE)</f>
        <v>-3797599.0299999993</v>
      </c>
      <c r="K61" s="850"/>
      <c r="L61" s="48"/>
      <c r="M61" s="48"/>
      <c r="N61" s="849">
        <f>VLOOKUP('Part 1'!L$16,Datasheet3!$B$6:$HG$332,49,FALSE)</f>
        <v>-1967685</v>
      </c>
      <c r="O61" s="850"/>
      <c r="P61" s="48"/>
      <c r="Q61" s="230"/>
      <c r="R61" s="847">
        <f>VLOOKUP(+'Part 1'!$L$16,Datasheet3!$B$6:$HG$332,50,FALSE)</f>
        <v>-5765284.0299999993</v>
      </c>
      <c r="S61" s="848"/>
      <c r="T61" s="231"/>
      <c r="U61" s="41"/>
    </row>
    <row r="62" spans="1:22" ht="15.75" x14ac:dyDescent="0.2">
      <c r="A62" s="110"/>
      <c r="B62" s="108"/>
      <c r="C62" s="739"/>
      <c r="D62" s="739"/>
      <c r="E62" s="739"/>
      <c r="F62" s="739"/>
      <c r="G62" s="739"/>
      <c r="H62" s="18"/>
      <c r="I62" s="18"/>
      <c r="J62" s="63"/>
      <c r="K62" s="52"/>
      <c r="L62" s="48"/>
      <c r="M62" s="48"/>
      <c r="N62" s="63"/>
      <c r="O62" s="52"/>
      <c r="P62" s="48"/>
      <c r="Q62" s="230"/>
      <c r="R62" s="651"/>
      <c r="S62" s="653"/>
      <c r="T62" s="231"/>
      <c r="U62" s="41"/>
    </row>
    <row r="63" spans="1:22" ht="15" x14ac:dyDescent="0.2">
      <c r="A63" s="110"/>
      <c r="B63" s="108"/>
      <c r="C63" s="43"/>
      <c r="D63" s="43"/>
      <c r="E63" s="43"/>
      <c r="F63" s="43"/>
      <c r="G63" s="43"/>
      <c r="H63" s="18"/>
      <c r="I63" s="18"/>
      <c r="J63" s="52"/>
      <c r="K63" s="52"/>
      <c r="L63" s="48"/>
      <c r="M63" s="48"/>
      <c r="N63" s="52"/>
      <c r="O63" s="52"/>
      <c r="P63" s="48"/>
      <c r="Q63" s="230"/>
      <c r="R63" s="653"/>
      <c r="S63" s="653"/>
      <c r="T63" s="231"/>
      <c r="U63" s="41"/>
    </row>
    <row r="64" spans="1:22" ht="16.5" thickBot="1" x14ac:dyDescent="0.25">
      <c r="A64" s="110"/>
      <c r="B64" s="108"/>
      <c r="C64" s="107" t="s">
        <v>27</v>
      </c>
      <c r="D64" s="43"/>
      <c r="E64" s="43"/>
      <c r="F64" s="43"/>
      <c r="G64" s="43"/>
      <c r="H64" s="18"/>
      <c r="I64" s="18"/>
      <c r="J64" s="52"/>
      <c r="K64" s="52"/>
      <c r="L64" s="48"/>
      <c r="M64" s="48"/>
      <c r="N64" s="52"/>
      <c r="O64" s="52"/>
      <c r="P64" s="48"/>
      <c r="Q64" s="230"/>
      <c r="R64" s="653"/>
      <c r="S64" s="653"/>
      <c r="T64" s="231"/>
      <c r="U64" s="41"/>
    </row>
    <row r="65" spans="1:22" ht="16.5" thickBot="1" x14ac:dyDescent="0.25">
      <c r="A65" s="110"/>
      <c r="B65" s="108"/>
      <c r="C65" s="61" t="s">
        <v>1412</v>
      </c>
      <c r="D65" s="43"/>
      <c r="E65" s="43"/>
      <c r="F65" s="43"/>
      <c r="G65" s="43"/>
      <c r="H65" s="18"/>
      <c r="I65" s="18"/>
      <c r="J65" s="772">
        <f>VLOOKUP('Part 1'!L$16,Datasheet3!$B$6:$HG$332,51,FALSE)</f>
        <v>-19755298.859999999</v>
      </c>
      <c r="K65" s="773"/>
      <c r="L65" s="48"/>
      <c r="M65" s="48"/>
      <c r="N65" s="772">
        <f>VLOOKUP('Part 1'!L$16,Datasheet3!$B$6:$HG$332,52,FALSE)</f>
        <v>-17748</v>
      </c>
      <c r="O65" s="773"/>
      <c r="P65" s="48"/>
      <c r="Q65" s="230"/>
      <c r="R65" s="847">
        <f>VLOOKUP(+'Part 1'!$L$16,Datasheet3!$B$6:$HG$332,53,FALSE)</f>
        <v>-19773046.859999999</v>
      </c>
      <c r="S65" s="848"/>
      <c r="T65" s="231"/>
      <c r="U65" s="41"/>
    </row>
    <row r="66" spans="1:22" ht="15.75" thickBot="1" x14ac:dyDescent="0.25">
      <c r="A66" s="110"/>
      <c r="B66" s="108"/>
      <c r="C66" s="43"/>
      <c r="D66" s="43"/>
      <c r="E66" s="43"/>
      <c r="F66" s="43"/>
      <c r="G66" s="43"/>
      <c r="H66" s="18"/>
      <c r="I66" s="18"/>
      <c r="J66" s="6"/>
      <c r="K66" s="587"/>
      <c r="L66" s="18"/>
      <c r="M66" s="18"/>
      <c r="N66" s="6"/>
      <c r="O66" s="6"/>
      <c r="P66" s="18"/>
      <c r="Q66" s="232"/>
      <c r="R66" s="655"/>
      <c r="S66" s="656"/>
      <c r="T66" s="231"/>
      <c r="U66" s="41"/>
    </row>
    <row r="67" spans="1:22" ht="16.5" thickBot="1" x14ac:dyDescent="0.25">
      <c r="A67" s="110"/>
      <c r="B67" s="108"/>
      <c r="C67" s="723" t="s">
        <v>897</v>
      </c>
      <c r="D67" s="757"/>
      <c r="E67" s="757"/>
      <c r="F67" s="757"/>
      <c r="G67" s="757"/>
      <c r="H67" s="18"/>
      <c r="I67" s="18"/>
      <c r="J67" s="849">
        <f>VLOOKUP('Part 1'!L$16,Datasheet3!$B$6:$HG$332,54,FALSE)</f>
        <v>-14506.550000000003</v>
      </c>
      <c r="K67" s="850"/>
      <c r="L67" s="48"/>
      <c r="M67" s="48"/>
      <c r="N67" s="849">
        <f>VLOOKUP('Part 1'!L$16,Datasheet3!$B$6:$HG$332,55,FALSE)</f>
        <v>0</v>
      </c>
      <c r="O67" s="850"/>
      <c r="P67" s="48"/>
      <c r="Q67" s="230"/>
      <c r="R67" s="847">
        <f>VLOOKUP(+'Part 1'!$L$16,Datasheet3!$B$6:$HG$332,56,FALSE)</f>
        <v>-14506.550000000003</v>
      </c>
      <c r="S67" s="848"/>
      <c r="T67" s="231"/>
      <c r="U67" s="41"/>
    </row>
    <row r="68" spans="1:22" ht="15.75" x14ac:dyDescent="0.2">
      <c r="A68" s="110"/>
      <c r="B68" s="108"/>
      <c r="C68" s="739"/>
      <c r="D68" s="739"/>
      <c r="E68" s="739"/>
      <c r="F68" s="739"/>
      <c r="G68" s="739"/>
      <c r="H68" s="18"/>
      <c r="I68" s="18"/>
      <c r="J68" s="63"/>
      <c r="K68" s="52"/>
      <c r="L68" s="48"/>
      <c r="M68" s="48"/>
      <c r="N68" s="63"/>
      <c r="O68" s="52"/>
      <c r="P68" s="48"/>
      <c r="Q68" s="230"/>
      <c r="R68" s="652"/>
      <c r="S68" s="654"/>
      <c r="T68" s="231"/>
      <c r="U68" s="41"/>
    </row>
    <row r="69" spans="1:22" ht="15" x14ac:dyDescent="0.2">
      <c r="A69" s="110"/>
      <c r="B69" s="108"/>
      <c r="C69" s="43"/>
      <c r="D69" s="43"/>
      <c r="E69" s="43"/>
      <c r="F69" s="43"/>
      <c r="G69" s="43"/>
      <c r="H69" s="18"/>
      <c r="I69" s="18"/>
      <c r="J69" s="6"/>
      <c r="K69" s="6"/>
      <c r="L69" s="18"/>
      <c r="M69" s="18"/>
      <c r="N69" s="6"/>
      <c r="O69" s="6"/>
      <c r="P69" s="18"/>
      <c r="Q69" s="232"/>
      <c r="R69" s="655"/>
      <c r="S69" s="655"/>
      <c r="T69" s="232"/>
      <c r="U69" s="41"/>
    </row>
    <row r="70" spans="1:22" ht="16.5" thickBot="1" x14ac:dyDescent="0.25">
      <c r="A70" s="110"/>
      <c r="B70" s="108"/>
      <c r="C70" s="107" t="s">
        <v>34</v>
      </c>
      <c r="D70" s="43"/>
      <c r="E70" s="43"/>
      <c r="F70" s="43"/>
      <c r="G70" s="43"/>
      <c r="H70" s="18"/>
      <c r="I70" s="18"/>
      <c r="J70" s="52"/>
      <c r="K70" s="52"/>
      <c r="L70" s="48"/>
      <c r="M70" s="48"/>
      <c r="N70" s="52"/>
      <c r="O70" s="52"/>
      <c r="P70" s="48"/>
      <c r="Q70" s="230"/>
      <c r="R70" s="653"/>
      <c r="S70" s="653"/>
      <c r="T70" s="231"/>
      <c r="U70" s="41"/>
    </row>
    <row r="71" spans="1:22" ht="16.5" thickBot="1" x14ac:dyDescent="0.25">
      <c r="A71" s="110"/>
      <c r="B71" s="108"/>
      <c r="C71" s="61" t="s">
        <v>1413</v>
      </c>
      <c r="D71" s="43"/>
      <c r="E71" s="43"/>
      <c r="F71" s="43"/>
      <c r="G71" s="43"/>
      <c r="H71" s="18"/>
      <c r="I71" s="18"/>
      <c r="J71" s="772">
        <f>VLOOKUP('Part 1'!L$16,Datasheet3!$B$6:$HG$332,57,FALSE)</f>
        <v>-4293963.1199999992</v>
      </c>
      <c r="K71" s="773"/>
      <c r="L71" s="48"/>
      <c r="M71" s="48"/>
      <c r="N71" s="772">
        <f>VLOOKUP('Part 1'!L$16,Datasheet3!$B$6:$HG$332,58,FALSE)</f>
        <v>0</v>
      </c>
      <c r="O71" s="773"/>
      <c r="P71" s="48"/>
      <c r="Q71" s="230"/>
      <c r="R71" s="847">
        <f>VLOOKUP(+'Part 1'!$L$16,Datasheet3!$B$6:$HG$332,59,FALSE)</f>
        <v>-4293963.1199999992</v>
      </c>
      <c r="S71" s="848"/>
      <c r="T71" s="231"/>
      <c r="U71" s="41"/>
    </row>
    <row r="72" spans="1:22" ht="15.75" thickBot="1" x14ac:dyDescent="0.25">
      <c r="A72" s="110"/>
      <c r="B72" s="108"/>
      <c r="C72" s="43"/>
      <c r="D72" s="43"/>
      <c r="E72" s="43"/>
      <c r="F72" s="43"/>
      <c r="G72" s="43"/>
      <c r="H72" s="18"/>
      <c r="I72" s="18"/>
      <c r="J72" s="587"/>
      <c r="K72" s="6"/>
      <c r="L72" s="18"/>
      <c r="M72" s="18"/>
      <c r="N72" s="6"/>
      <c r="O72" s="6"/>
      <c r="P72" s="18"/>
      <c r="Q72" s="232"/>
      <c r="R72" s="655"/>
      <c r="S72" s="656"/>
      <c r="T72" s="231"/>
      <c r="U72" s="41"/>
    </row>
    <row r="73" spans="1:22" ht="16.5" thickBot="1" x14ac:dyDescent="0.25">
      <c r="A73" s="110"/>
      <c r="B73" s="108"/>
      <c r="C73" s="723" t="s">
        <v>898</v>
      </c>
      <c r="D73" s="757"/>
      <c r="E73" s="757"/>
      <c r="F73" s="757"/>
      <c r="G73" s="757"/>
      <c r="H73" s="18"/>
      <c r="I73" s="18"/>
      <c r="J73" s="849">
        <f>VLOOKUP('Part 1'!L$16,Datasheet3!$B$6:$HG$332,60,FALSE)</f>
        <v>-40075.339999999997</v>
      </c>
      <c r="K73" s="850"/>
      <c r="L73" s="48"/>
      <c r="M73" s="48"/>
      <c r="N73" s="849">
        <f>VLOOKUP('Part 1'!L$16,Datasheet3!$B$6:$HG$332,61,FALSE)</f>
        <v>0</v>
      </c>
      <c r="O73" s="850"/>
      <c r="P73" s="48"/>
      <c r="Q73" s="230"/>
      <c r="R73" s="847">
        <f>VLOOKUP(+'Part 1'!$L$16,Datasheet3!$B$6:$HG$332,62,FALSE)</f>
        <v>-40075.339999999997</v>
      </c>
      <c r="S73" s="848"/>
      <c r="T73" s="231"/>
      <c r="U73" s="41"/>
    </row>
    <row r="74" spans="1:22" ht="15.75" x14ac:dyDescent="0.2">
      <c r="A74" s="110"/>
      <c r="B74" s="108"/>
      <c r="C74" s="739"/>
      <c r="D74" s="739"/>
      <c r="E74" s="739"/>
      <c r="F74" s="739"/>
      <c r="G74" s="739"/>
      <c r="H74" s="18"/>
      <c r="I74" s="18"/>
      <c r="J74" s="63"/>
      <c r="K74" s="52"/>
      <c r="L74" s="48"/>
      <c r="M74" s="48"/>
      <c r="N74" s="63"/>
      <c r="O74" s="52"/>
      <c r="P74" s="48"/>
      <c r="Q74" s="230"/>
      <c r="R74" s="652"/>
      <c r="S74" s="654"/>
      <c r="T74" s="231"/>
      <c r="U74" s="41"/>
    </row>
    <row r="75" spans="1:22" ht="16.5" thickBot="1" x14ac:dyDescent="0.25">
      <c r="A75" s="110"/>
      <c r="B75" s="142"/>
      <c r="C75" s="116"/>
      <c r="D75" s="116"/>
      <c r="E75" s="116"/>
      <c r="F75" s="116"/>
      <c r="G75" s="116"/>
      <c r="H75" s="104"/>
      <c r="I75" s="18"/>
      <c r="J75" s="63"/>
      <c r="K75" s="52"/>
      <c r="L75" s="48"/>
      <c r="M75" s="48"/>
      <c r="N75" s="63"/>
      <c r="O75" s="52"/>
      <c r="P75" s="48"/>
      <c r="Q75" s="230"/>
      <c r="R75" s="652"/>
      <c r="S75" s="653"/>
      <c r="T75" s="231"/>
      <c r="U75" s="41"/>
    </row>
    <row r="76" spans="1:22" ht="16.5" thickBot="1" x14ac:dyDescent="0.25">
      <c r="A76" s="110"/>
      <c r="B76" s="143"/>
      <c r="C76" s="144"/>
      <c r="D76" s="144"/>
      <c r="E76" s="144"/>
      <c r="F76" s="144"/>
      <c r="G76" s="144"/>
      <c r="H76" s="145"/>
      <c r="I76" s="130"/>
      <c r="J76" s="139"/>
      <c r="K76" s="131"/>
      <c r="L76" s="132"/>
      <c r="M76" s="132"/>
      <c r="N76" s="139"/>
      <c r="O76" s="131"/>
      <c r="P76" s="132"/>
      <c r="Q76" s="234"/>
      <c r="R76" s="657"/>
      <c r="S76" s="658"/>
      <c r="T76" s="235"/>
      <c r="U76" s="41"/>
    </row>
    <row r="77" spans="1:22" ht="16.5" thickBot="1" x14ac:dyDescent="0.25">
      <c r="A77" s="110"/>
      <c r="B77" s="146"/>
      <c r="C77" s="758" t="s">
        <v>899</v>
      </c>
      <c r="D77" s="758"/>
      <c r="E77" s="758"/>
      <c r="F77" s="758"/>
      <c r="G77" s="116"/>
      <c r="H77" s="104"/>
      <c r="I77" s="18"/>
      <c r="J77" s="837">
        <f>VLOOKUP('Part 1'!L$16,Datasheet3!$B$6:$HG$332,63,FALSE)</f>
        <v>-3206048347</v>
      </c>
      <c r="K77" s="838"/>
      <c r="L77" s="48"/>
      <c r="M77" s="48"/>
      <c r="N77" s="837">
        <f>VLOOKUP('Part 1'!L$16,Datasheet3!$B$6:$HG$332,64,FALSE)</f>
        <v>-14419521</v>
      </c>
      <c r="O77" s="838"/>
      <c r="P77" s="48"/>
      <c r="Q77" s="230"/>
      <c r="R77" s="847">
        <f>VLOOKUP(+'Part 1'!$L$16,Datasheet3!$B$6:$HG$332,65,FALSE)</f>
        <v>-3220467868</v>
      </c>
      <c r="S77" s="848"/>
      <c r="T77" s="236"/>
      <c r="U77" s="41"/>
      <c r="V77" s="188"/>
    </row>
    <row r="78" spans="1:22" ht="16.5" thickBot="1" x14ac:dyDescent="0.25">
      <c r="A78" s="110"/>
      <c r="B78" s="147"/>
      <c r="C78" s="148"/>
      <c r="D78" s="148"/>
      <c r="E78" s="148"/>
      <c r="F78" s="148"/>
      <c r="G78" s="148"/>
      <c r="H78" s="149"/>
      <c r="I78" s="136"/>
      <c r="J78" s="140"/>
      <c r="K78" s="141"/>
      <c r="L78" s="137"/>
      <c r="M78" s="137"/>
      <c r="N78" s="140"/>
      <c r="O78" s="141"/>
      <c r="P78" s="137"/>
      <c r="Q78" s="239"/>
      <c r="R78" s="659"/>
      <c r="S78" s="660"/>
      <c r="T78" s="238"/>
      <c r="U78" s="41"/>
    </row>
    <row r="79" spans="1:22" ht="16.5" thickBot="1" x14ac:dyDescent="0.25">
      <c r="A79" s="113"/>
      <c r="B79" s="292"/>
      <c r="C79" s="293"/>
      <c r="D79" s="293"/>
      <c r="E79" s="293"/>
      <c r="F79" s="293"/>
      <c r="G79" s="293"/>
      <c r="H79" s="100"/>
      <c r="I79" s="58"/>
      <c r="J79" s="294"/>
      <c r="K79" s="295"/>
      <c r="L79" s="291"/>
      <c r="M79" s="291"/>
      <c r="N79" s="294"/>
      <c r="O79" s="295"/>
      <c r="P79" s="291"/>
      <c r="Q79" s="241"/>
      <c r="R79" s="661"/>
      <c r="S79" s="662"/>
      <c r="T79" s="243"/>
      <c r="U79" s="42"/>
    </row>
    <row r="80" spans="1:22" ht="15.75" hidden="1" customHeight="1" x14ac:dyDescent="0.2">
      <c r="A80" s="110"/>
      <c r="B80" s="108"/>
      <c r="C80" s="43"/>
      <c r="D80" s="43"/>
      <c r="E80" s="43"/>
      <c r="F80" s="43"/>
      <c r="G80" s="43"/>
      <c r="H80" s="18"/>
      <c r="I80" s="18"/>
      <c r="J80" s="63"/>
      <c r="K80" s="52"/>
      <c r="L80" s="48"/>
      <c r="M80" s="48"/>
      <c r="N80" s="63"/>
      <c r="O80" s="52"/>
      <c r="P80" s="48"/>
      <c r="Q80" s="230"/>
      <c r="R80" s="652"/>
      <c r="S80" s="653"/>
      <c r="T80" s="231"/>
      <c r="U80" s="41"/>
    </row>
    <row r="81" spans="1:21" ht="15.75" x14ac:dyDescent="0.2">
      <c r="A81" s="312"/>
      <c r="B81" s="313"/>
      <c r="C81" s="426" t="s">
        <v>1049</v>
      </c>
      <c r="D81" s="314"/>
      <c r="E81" s="314"/>
      <c r="F81" s="314"/>
      <c r="G81" s="314"/>
      <c r="H81" s="315"/>
      <c r="I81" s="315"/>
      <c r="J81" s="316"/>
      <c r="K81" s="316"/>
      <c r="L81" s="382"/>
      <c r="M81" s="382"/>
      <c r="N81" s="316"/>
      <c r="O81" s="316"/>
      <c r="P81" s="382"/>
      <c r="Q81" s="384"/>
      <c r="R81" s="663"/>
      <c r="S81" s="663"/>
      <c r="T81" s="317"/>
      <c r="U81" s="318"/>
    </row>
    <row r="82" spans="1:21" ht="16.5" thickBot="1" x14ac:dyDescent="0.25">
      <c r="A82" s="110"/>
      <c r="B82" s="108"/>
      <c r="C82" s="107" t="s">
        <v>1</v>
      </c>
      <c r="D82" s="43"/>
      <c r="E82" s="43"/>
      <c r="F82" s="43"/>
      <c r="G82" s="43"/>
      <c r="H82" s="18"/>
      <c r="I82" s="18"/>
      <c r="J82" s="52"/>
      <c r="K82" s="52"/>
      <c r="L82" s="48"/>
      <c r="M82" s="48"/>
      <c r="N82" s="52"/>
      <c r="O82" s="52"/>
      <c r="P82" s="48"/>
      <c r="Q82" s="230"/>
      <c r="R82" s="653"/>
      <c r="S82" s="653"/>
      <c r="T82" s="231"/>
      <c r="U82" s="41"/>
    </row>
    <row r="83" spans="1:21" ht="16.5" thickBot="1" x14ac:dyDescent="0.25">
      <c r="A83" s="110"/>
      <c r="B83" s="108"/>
      <c r="C83" s="61" t="s">
        <v>1414</v>
      </c>
      <c r="D83" s="43"/>
      <c r="E83" s="43"/>
      <c r="F83" s="43"/>
      <c r="G83" s="43"/>
      <c r="H83" s="18"/>
      <c r="I83" s="18"/>
      <c r="J83" s="837">
        <f>VLOOKUP('Part 1'!L$16,Datasheet3!$B$6:$HG$332,66,FALSE)</f>
        <v>-23823601.850000001</v>
      </c>
      <c r="K83" s="838"/>
      <c r="L83" s="48"/>
      <c r="M83" s="48"/>
      <c r="N83" s="837">
        <f>VLOOKUP('Part 1'!L$16,Datasheet3!$B$6:$HG$332,67,FALSE)</f>
        <v>-668186</v>
      </c>
      <c r="O83" s="838"/>
      <c r="P83" s="48"/>
      <c r="Q83" s="230"/>
      <c r="R83" s="847">
        <f>VLOOKUP(+'Part 1'!$L$16,Datasheet3!$B$6:$HG$332,68,FALSE)</f>
        <v>-24491787.850000001</v>
      </c>
      <c r="S83" s="848"/>
      <c r="T83" s="231"/>
      <c r="U83" s="41"/>
    </row>
    <row r="84" spans="1:21" ht="15.75" thickBot="1" x14ac:dyDescent="0.25">
      <c r="A84" s="110"/>
      <c r="B84" s="108"/>
      <c r="C84" s="43"/>
      <c r="D84" s="43"/>
      <c r="E84" s="43"/>
      <c r="F84" s="43"/>
      <c r="G84" s="43"/>
      <c r="H84" s="18"/>
      <c r="I84" s="18"/>
      <c r="J84" s="6"/>
      <c r="K84" s="6"/>
      <c r="L84" s="18"/>
      <c r="M84" s="18"/>
      <c r="N84" s="6"/>
      <c r="O84" s="6"/>
      <c r="P84" s="18"/>
      <c r="Q84" s="232"/>
      <c r="R84" s="655"/>
      <c r="S84" s="655"/>
      <c r="T84" s="232"/>
      <c r="U84" s="41"/>
    </row>
    <row r="85" spans="1:21" ht="16.5" thickBot="1" x14ac:dyDescent="0.25">
      <c r="A85" s="110"/>
      <c r="B85" s="108"/>
      <c r="C85" s="723" t="s">
        <v>900</v>
      </c>
      <c r="D85" s="757"/>
      <c r="E85" s="757"/>
      <c r="F85" s="757"/>
      <c r="G85" s="757"/>
      <c r="H85" s="18"/>
      <c r="I85" s="18"/>
      <c r="J85" s="837">
        <f>VLOOKUP('Part 1'!L$16,Datasheet3!$B$6:$HG$332,69,FALSE)</f>
        <v>-6323483.71</v>
      </c>
      <c r="K85" s="838"/>
      <c r="L85" s="48"/>
      <c r="M85" s="48"/>
      <c r="N85" s="837">
        <f>VLOOKUP('Part 1'!L$16,Datasheet3!$B$6:$HG$332,70,FALSE)</f>
        <v>937802.74</v>
      </c>
      <c r="O85" s="838"/>
      <c r="P85" s="48"/>
      <c r="Q85" s="230"/>
      <c r="R85" s="847">
        <f>VLOOKUP(+'Part 1'!$L$16,Datasheet3!$B$6:$HG$332,71,FALSE)</f>
        <v>-5385680.9700000007</v>
      </c>
      <c r="S85" s="848"/>
      <c r="T85" s="231"/>
      <c r="U85" s="41"/>
    </row>
    <row r="86" spans="1:21" ht="15.75" x14ac:dyDescent="0.2">
      <c r="A86" s="110"/>
      <c r="B86" s="108"/>
      <c r="C86" s="739"/>
      <c r="D86" s="739"/>
      <c r="E86" s="739"/>
      <c r="F86" s="739"/>
      <c r="G86" s="739"/>
      <c r="H86" s="18"/>
      <c r="I86" s="18"/>
      <c r="J86" s="63"/>
      <c r="K86" s="52"/>
      <c r="L86" s="48"/>
      <c r="M86" s="48"/>
      <c r="N86" s="63"/>
      <c r="O86" s="52"/>
      <c r="P86" s="48"/>
      <c r="Q86" s="230"/>
      <c r="R86" s="652"/>
      <c r="S86" s="653"/>
      <c r="T86" s="231"/>
      <c r="U86" s="41"/>
    </row>
    <row r="87" spans="1:21" ht="15" x14ac:dyDescent="0.2">
      <c r="A87" s="110"/>
      <c r="B87" s="108"/>
      <c r="C87" s="43"/>
      <c r="D87" s="43"/>
      <c r="E87" s="43"/>
      <c r="F87" s="43"/>
      <c r="G87" s="43"/>
      <c r="H87" s="18"/>
      <c r="I87" s="18"/>
      <c r="J87" s="6"/>
      <c r="K87" s="6"/>
      <c r="L87" s="18"/>
      <c r="M87" s="18"/>
      <c r="N87" s="6"/>
      <c r="O87" s="6"/>
      <c r="P87" s="18"/>
      <c r="Q87" s="232"/>
      <c r="R87" s="655"/>
      <c r="S87" s="655"/>
      <c r="T87" s="231"/>
      <c r="U87" s="41"/>
    </row>
    <row r="88" spans="1:21" ht="16.5" thickBot="1" x14ac:dyDescent="0.25">
      <c r="A88" s="110"/>
      <c r="B88" s="108"/>
      <c r="C88" s="107" t="s">
        <v>2</v>
      </c>
      <c r="D88" s="43"/>
      <c r="E88" s="43"/>
      <c r="F88" s="43"/>
      <c r="G88" s="43"/>
      <c r="H88" s="18"/>
      <c r="I88" s="18"/>
      <c r="J88" s="52"/>
      <c r="K88" s="52"/>
      <c r="L88" s="48"/>
      <c r="M88" s="48"/>
      <c r="N88" s="52"/>
      <c r="O88" s="52"/>
      <c r="P88" s="48"/>
      <c r="Q88" s="230"/>
      <c r="R88" s="653"/>
      <c r="S88" s="653"/>
      <c r="T88" s="231"/>
      <c r="U88" s="41"/>
    </row>
    <row r="89" spans="1:21" ht="16.5" customHeight="1" thickBot="1" x14ac:dyDescent="0.25">
      <c r="A89" s="110"/>
      <c r="B89" s="108"/>
      <c r="C89" s="61" t="s">
        <v>1415</v>
      </c>
      <c r="D89" s="43"/>
      <c r="E89" s="43"/>
      <c r="F89" s="43"/>
      <c r="G89" s="43"/>
      <c r="H89" s="18"/>
      <c r="I89" s="18"/>
      <c r="J89" s="837">
        <f>VLOOKUP('Part 1'!L$16,Datasheet3!$B$6:$HG$332,72,FALSE)</f>
        <v>-974533178.90999997</v>
      </c>
      <c r="K89" s="838"/>
      <c r="L89" s="48"/>
      <c r="M89" s="48"/>
      <c r="N89" s="837">
        <f>VLOOKUP('Part 1'!L$16,Datasheet3!$B$6:$HG$332,73,FALSE)</f>
        <v>-21623880</v>
      </c>
      <c r="O89" s="838"/>
      <c r="P89" s="48"/>
      <c r="Q89" s="230"/>
      <c r="R89" s="847">
        <f>VLOOKUP(+'Part 1'!$L$16,Datasheet3!$B$6:$HG$332,74,FALSE)</f>
        <v>-996157058.90999997</v>
      </c>
      <c r="S89" s="848"/>
      <c r="T89" s="231"/>
      <c r="U89" s="41"/>
    </row>
    <row r="90" spans="1:21" ht="16.5" customHeight="1" thickBot="1" x14ac:dyDescent="0.25">
      <c r="A90" s="110"/>
      <c r="B90" s="108"/>
      <c r="C90" s="43"/>
      <c r="D90" s="43"/>
      <c r="E90" s="43"/>
      <c r="F90" s="43"/>
      <c r="G90" s="43"/>
      <c r="H90" s="18"/>
      <c r="I90" s="18"/>
      <c r="J90" s="6"/>
      <c r="K90" s="6"/>
      <c r="L90" s="18"/>
      <c r="M90" s="18"/>
      <c r="N90" s="6"/>
      <c r="O90" s="6"/>
      <c r="P90" s="18"/>
      <c r="Q90" s="232"/>
      <c r="R90" s="655"/>
      <c r="S90" s="655"/>
      <c r="T90" s="232"/>
      <c r="U90" s="41"/>
    </row>
    <row r="91" spans="1:21" ht="16.5" customHeight="1" thickBot="1" x14ac:dyDescent="0.25">
      <c r="A91" s="110"/>
      <c r="B91" s="108"/>
      <c r="C91" s="723" t="s">
        <v>901</v>
      </c>
      <c r="D91" s="757"/>
      <c r="E91" s="757"/>
      <c r="F91" s="757"/>
      <c r="G91" s="757"/>
      <c r="H91" s="18"/>
      <c r="I91" s="18"/>
      <c r="J91" s="837">
        <f>VLOOKUP('Part 1'!L$16,Datasheet3!$B$6:$HG$332,75,FALSE)</f>
        <v>-8303370.870000001</v>
      </c>
      <c r="K91" s="838"/>
      <c r="L91" s="48"/>
      <c r="M91" s="48"/>
      <c r="N91" s="837">
        <f>VLOOKUP('Part 1'!L$16,Datasheet3!$B$6:$HG$332,76,FALSE)</f>
        <v>1471347</v>
      </c>
      <c r="O91" s="838"/>
      <c r="P91" s="48"/>
      <c r="Q91" s="230"/>
      <c r="R91" s="847">
        <f>VLOOKUP(+'Part 1'!$L$16,Datasheet3!$B$6:$HG$332,77,FALSE)</f>
        <v>-6832023.870000001</v>
      </c>
      <c r="S91" s="848"/>
      <c r="T91" s="231"/>
      <c r="U91" s="41"/>
    </row>
    <row r="92" spans="1:21" ht="16.5" customHeight="1" x14ac:dyDescent="0.2">
      <c r="A92" s="110"/>
      <c r="B92" s="108"/>
      <c r="C92" s="739"/>
      <c r="D92" s="739"/>
      <c r="E92" s="739"/>
      <c r="F92" s="739"/>
      <c r="G92" s="739"/>
      <c r="H92" s="18"/>
      <c r="I92" s="18"/>
      <c r="J92" s="63"/>
      <c r="K92" s="52"/>
      <c r="L92" s="48"/>
      <c r="M92" s="48"/>
      <c r="N92" s="63"/>
      <c r="O92" s="52"/>
      <c r="P92" s="48"/>
      <c r="Q92" s="230"/>
      <c r="R92" s="652"/>
      <c r="S92" s="653"/>
      <c r="T92" s="231"/>
      <c r="U92" s="41"/>
    </row>
    <row r="93" spans="1:21" ht="16.5" customHeight="1" thickBot="1" x14ac:dyDescent="0.25">
      <c r="A93" s="110"/>
      <c r="B93" s="108"/>
      <c r="C93" s="116"/>
      <c r="D93" s="116"/>
      <c r="E93" s="116"/>
      <c r="F93" s="116"/>
      <c r="G93" s="116"/>
      <c r="H93" s="18"/>
      <c r="I93" s="18"/>
      <c r="J93" s="63"/>
      <c r="K93" s="52"/>
      <c r="L93" s="48"/>
      <c r="M93" s="48"/>
      <c r="N93" s="63"/>
      <c r="O93" s="52"/>
      <c r="P93" s="48"/>
      <c r="Q93" s="230"/>
      <c r="R93" s="652"/>
      <c r="S93" s="653"/>
      <c r="T93" s="231"/>
      <c r="U93" s="41"/>
    </row>
    <row r="94" spans="1:21" ht="16.5" customHeight="1" thickBot="1" x14ac:dyDescent="0.25">
      <c r="A94" s="110"/>
      <c r="B94" s="128"/>
      <c r="C94" s="144"/>
      <c r="D94" s="144"/>
      <c r="E94" s="144"/>
      <c r="F94" s="144"/>
      <c r="G94" s="144"/>
      <c r="H94" s="130"/>
      <c r="I94" s="130"/>
      <c r="J94" s="139"/>
      <c r="K94" s="131"/>
      <c r="L94" s="132"/>
      <c r="M94" s="132"/>
      <c r="N94" s="139"/>
      <c r="O94" s="131"/>
      <c r="P94" s="132"/>
      <c r="Q94" s="234"/>
      <c r="R94" s="657"/>
      <c r="S94" s="658"/>
      <c r="T94" s="235"/>
      <c r="U94" s="41"/>
    </row>
    <row r="95" spans="1:21" ht="16.5" customHeight="1" thickBot="1" x14ac:dyDescent="0.25">
      <c r="A95" s="110"/>
      <c r="B95" s="133"/>
      <c r="C95" s="758" t="s">
        <v>902</v>
      </c>
      <c r="D95" s="758"/>
      <c r="E95" s="758"/>
      <c r="F95" s="758"/>
      <c r="G95" s="758"/>
      <c r="H95" s="18"/>
      <c r="I95" s="18"/>
      <c r="J95" s="837">
        <f>VLOOKUP('Part 1'!L$16,Datasheet3!$B$6:$HG$332,78,FALSE)</f>
        <v>-1012983634</v>
      </c>
      <c r="K95" s="838"/>
      <c r="L95" s="48"/>
      <c r="M95" s="48"/>
      <c r="N95" s="837">
        <f>VLOOKUP('Part 1'!L$16,Datasheet3!$B$6:$HG$332,79,FALSE)</f>
        <v>-19882916</v>
      </c>
      <c r="O95" s="838"/>
      <c r="P95" s="48"/>
      <c r="Q95" s="230"/>
      <c r="R95" s="847">
        <f>VLOOKUP(+'Part 1'!$L$16,Datasheet3!$B$6:$HG$332,80,FALSE)</f>
        <v>-1032866550</v>
      </c>
      <c r="S95" s="848"/>
      <c r="T95" s="236"/>
      <c r="U95" s="41"/>
    </row>
    <row r="96" spans="1:21" ht="16.5" customHeight="1" thickBot="1" x14ac:dyDescent="0.25">
      <c r="A96" s="110"/>
      <c r="B96" s="134"/>
      <c r="C96" s="148"/>
      <c r="D96" s="148"/>
      <c r="E96" s="148"/>
      <c r="F96" s="148"/>
      <c r="G96" s="148"/>
      <c r="H96" s="136"/>
      <c r="I96" s="136"/>
      <c r="J96" s="140"/>
      <c r="K96" s="141"/>
      <c r="L96" s="137"/>
      <c r="M96" s="137"/>
      <c r="N96" s="140"/>
      <c r="O96" s="141"/>
      <c r="P96" s="137"/>
      <c r="Q96" s="239"/>
      <c r="R96" s="240"/>
      <c r="S96" s="239"/>
      <c r="T96" s="238"/>
      <c r="U96" s="41"/>
    </row>
    <row r="97" spans="1:21" ht="15" x14ac:dyDescent="0.2">
      <c r="A97" s="110"/>
      <c r="B97" s="108"/>
      <c r="C97" s="43"/>
      <c r="D97" s="43"/>
      <c r="E97" s="43"/>
      <c r="F97" s="43"/>
      <c r="G97" s="43"/>
      <c r="H97" s="18"/>
      <c r="I97" s="18"/>
      <c r="J97" s="52"/>
      <c r="K97" s="52"/>
      <c r="L97" s="48"/>
      <c r="M97" s="48"/>
      <c r="N97" s="52"/>
      <c r="O97" s="52"/>
      <c r="P97" s="48"/>
      <c r="Q97" s="230"/>
      <c r="R97" s="230"/>
      <c r="S97" s="230"/>
      <c r="T97" s="231"/>
      <c r="U97" s="41"/>
    </row>
    <row r="98" spans="1:21" ht="15.75" x14ac:dyDescent="0.2">
      <c r="A98" s="110"/>
      <c r="B98" s="108"/>
      <c r="C98" s="96" t="s">
        <v>1050</v>
      </c>
      <c r="D98" s="43"/>
      <c r="E98" s="43"/>
      <c r="F98" s="43"/>
      <c r="G98" s="43"/>
      <c r="H98" s="18"/>
      <c r="I98" s="18"/>
      <c r="J98" s="52"/>
      <c r="K98" s="52"/>
      <c r="L98" s="48"/>
      <c r="M98" s="48"/>
      <c r="N98" s="52"/>
      <c r="O98" s="52"/>
      <c r="P98" s="48"/>
      <c r="Q98" s="230"/>
      <c r="R98" s="230"/>
      <c r="S98" s="230"/>
      <c r="T98" s="231"/>
      <c r="U98" s="41"/>
    </row>
    <row r="99" spans="1:21" ht="16.5" thickBot="1" x14ac:dyDescent="0.25">
      <c r="A99" s="110"/>
      <c r="B99" s="108"/>
      <c r="C99" s="107" t="s">
        <v>32</v>
      </c>
      <c r="D99" s="43"/>
      <c r="E99" s="43"/>
      <c r="F99" s="43"/>
      <c r="G99" s="43"/>
      <c r="H99" s="18"/>
      <c r="I99" s="18"/>
      <c r="J99" s="52"/>
      <c r="K99" s="52"/>
      <c r="L99" s="48"/>
      <c r="M99" s="48"/>
      <c r="N99" s="52"/>
      <c r="O99" s="52"/>
      <c r="P99" s="48"/>
      <c r="Q99" s="230"/>
      <c r="R99" s="230"/>
      <c r="S99" s="230"/>
      <c r="T99" s="231"/>
      <c r="U99" s="41"/>
    </row>
    <row r="100" spans="1:21" ht="16.5" thickBot="1" x14ac:dyDescent="0.25">
      <c r="A100" s="110"/>
      <c r="B100" s="108"/>
      <c r="C100" s="61" t="s">
        <v>1416</v>
      </c>
      <c r="D100" s="43"/>
      <c r="E100" s="43"/>
      <c r="F100" s="43"/>
      <c r="G100" s="43"/>
      <c r="H100" s="18"/>
      <c r="I100" s="18"/>
      <c r="J100" s="837">
        <f>VLOOKUP('Part 1'!L$16,Datasheet3!$B$6:$HG$332,81,FALSE)</f>
        <v>-46992330.82</v>
      </c>
      <c r="K100" s="838"/>
      <c r="L100" s="48"/>
      <c r="M100" s="48"/>
      <c r="N100" s="837">
        <f>VLOOKUP('Part 1'!L$16,Datasheet3!$B$6:$HG$332,82,FALSE)</f>
        <v>-143502</v>
      </c>
      <c r="O100" s="838"/>
      <c r="P100" s="48"/>
      <c r="Q100" s="230"/>
      <c r="R100" s="835">
        <f>VLOOKUP(+'Part 1'!$L$16,Datasheet3!$B$6:$HG$332,83,FALSE)</f>
        <v>-47135832.82</v>
      </c>
      <c r="S100" s="836"/>
      <c r="T100" s="231"/>
      <c r="U100" s="41"/>
    </row>
    <row r="101" spans="1:21" ht="15.75" thickBot="1" x14ac:dyDescent="0.25">
      <c r="A101" s="110"/>
      <c r="B101" s="108"/>
      <c r="C101" s="43"/>
      <c r="D101" s="43"/>
      <c r="E101" s="43"/>
      <c r="F101" s="43"/>
      <c r="G101" s="43"/>
      <c r="H101" s="18"/>
      <c r="I101" s="18"/>
      <c r="J101" s="6"/>
      <c r="K101" s="6"/>
      <c r="L101" s="18"/>
      <c r="M101" s="18"/>
      <c r="N101" s="6"/>
      <c r="O101" s="6"/>
      <c r="P101" s="18"/>
      <c r="Q101" s="232"/>
      <c r="R101" s="232"/>
      <c r="S101" s="232"/>
      <c r="T101" s="232"/>
      <c r="U101" s="41"/>
    </row>
    <row r="102" spans="1:21" ht="16.5" thickBot="1" x14ac:dyDescent="0.25">
      <c r="A102" s="110"/>
      <c r="B102" s="108"/>
      <c r="C102" s="723" t="s">
        <v>903</v>
      </c>
      <c r="D102" s="757"/>
      <c r="E102" s="757"/>
      <c r="F102" s="757"/>
      <c r="G102" s="757"/>
      <c r="H102" s="18"/>
      <c r="I102" s="18"/>
      <c r="J102" s="837">
        <f>VLOOKUP('Part 1'!L$16,Datasheet3!$B$6:$HG$332,84,FALSE)</f>
        <v>-479967.57999999996</v>
      </c>
      <c r="K102" s="838"/>
      <c r="L102" s="48"/>
      <c r="M102" s="48"/>
      <c r="N102" s="837">
        <f>VLOOKUP('Part 1'!L$16,Datasheet3!$B$6:$HG$332,85,FALSE)</f>
        <v>-17559</v>
      </c>
      <c r="O102" s="838"/>
      <c r="P102" s="48"/>
      <c r="Q102" s="230"/>
      <c r="R102" s="835">
        <f>VLOOKUP(+'Part 1'!$L$16,Datasheet3!$B$6:$HG$332,86,FALSE)</f>
        <v>-497526.57999999996</v>
      </c>
      <c r="S102" s="836"/>
      <c r="T102" s="231"/>
      <c r="U102" s="41"/>
    </row>
    <row r="103" spans="1:21" ht="15.75" x14ac:dyDescent="0.2">
      <c r="A103" s="110"/>
      <c r="B103" s="108"/>
      <c r="C103" s="739"/>
      <c r="D103" s="739"/>
      <c r="E103" s="739"/>
      <c r="F103" s="739"/>
      <c r="G103" s="739"/>
      <c r="H103" s="18"/>
      <c r="I103" s="18"/>
      <c r="J103" s="63"/>
      <c r="K103" s="52"/>
      <c r="L103" s="48"/>
      <c r="M103" s="48"/>
      <c r="N103" s="63"/>
      <c r="O103" s="52"/>
      <c r="P103" s="48"/>
      <c r="Q103" s="230"/>
      <c r="R103" s="233"/>
      <c r="S103" s="230"/>
      <c r="T103" s="231"/>
      <c r="U103" s="41"/>
    </row>
    <row r="104" spans="1:21" ht="15.75" x14ac:dyDescent="0.2">
      <c r="A104" s="110"/>
      <c r="B104" s="108"/>
      <c r="C104" s="107"/>
      <c r="D104" s="43"/>
      <c r="E104" s="43"/>
      <c r="F104" s="43"/>
      <c r="G104" s="43"/>
      <c r="H104" s="18"/>
      <c r="I104" s="18"/>
      <c r="J104" s="52"/>
      <c r="K104" s="52"/>
      <c r="L104" s="48"/>
      <c r="M104" s="48"/>
      <c r="N104" s="52"/>
      <c r="O104" s="52"/>
      <c r="P104" s="48"/>
      <c r="Q104" s="230"/>
      <c r="R104" s="230"/>
      <c r="S104" s="230"/>
      <c r="T104" s="231"/>
      <c r="U104" s="41"/>
    </row>
    <row r="105" spans="1:21" ht="16.5" thickBot="1" x14ac:dyDescent="0.25">
      <c r="A105" s="110"/>
      <c r="B105" s="108"/>
      <c r="C105" s="107" t="s">
        <v>28</v>
      </c>
      <c r="D105" s="43"/>
      <c r="E105" s="43"/>
      <c r="F105" s="43"/>
      <c r="G105" s="43"/>
      <c r="H105" s="18"/>
      <c r="I105" s="18"/>
      <c r="J105" s="52"/>
      <c r="K105" s="52"/>
      <c r="L105" s="48"/>
      <c r="M105" s="48"/>
      <c r="N105" s="52"/>
      <c r="O105" s="52"/>
      <c r="P105" s="48"/>
      <c r="Q105" s="230"/>
      <c r="R105" s="230"/>
      <c r="S105" s="230"/>
      <c r="T105" s="231"/>
      <c r="U105" s="41"/>
    </row>
    <row r="106" spans="1:21" ht="16.5" thickBot="1" x14ac:dyDescent="0.25">
      <c r="A106" s="110"/>
      <c r="B106" s="108"/>
      <c r="C106" s="61" t="s">
        <v>1417</v>
      </c>
      <c r="D106" s="43"/>
      <c r="E106" s="43"/>
      <c r="F106" s="43"/>
      <c r="G106" s="43"/>
      <c r="H106" s="18"/>
      <c r="I106" s="18"/>
      <c r="J106" s="837">
        <f>VLOOKUP('Part 1'!L$16,Datasheet3!$B$6:$HG$332,87,FALSE)</f>
        <v>-37154198.329999998</v>
      </c>
      <c r="K106" s="838"/>
      <c r="L106" s="48"/>
      <c r="M106" s="48"/>
      <c r="N106" s="837">
        <f>VLOOKUP('Part 1'!L$16,Datasheet3!$B$6:$HG$332,88,FALSE)</f>
        <v>-886997</v>
      </c>
      <c r="O106" s="838"/>
      <c r="P106" s="48"/>
      <c r="Q106" s="230"/>
      <c r="R106" s="835">
        <f>VLOOKUP(+'Part 1'!$L$16,Datasheet3!$B$6:$HG$332,89,FALSE)</f>
        <v>-38041195.329999998</v>
      </c>
      <c r="S106" s="836"/>
      <c r="T106" s="231"/>
      <c r="U106" s="41"/>
    </row>
    <row r="107" spans="1:21" ht="15.75" thickBot="1" x14ac:dyDescent="0.25">
      <c r="A107" s="110"/>
      <c r="B107" s="108"/>
      <c r="C107" s="43"/>
      <c r="D107" s="43"/>
      <c r="E107" s="43"/>
      <c r="F107" s="43"/>
      <c r="G107" s="43"/>
      <c r="H107" s="18"/>
      <c r="I107" s="18"/>
      <c r="J107" s="6"/>
      <c r="K107" s="6"/>
      <c r="L107" s="18"/>
      <c r="M107" s="18"/>
      <c r="N107" s="6"/>
      <c r="O107" s="6"/>
      <c r="P107" s="18"/>
      <c r="Q107" s="232"/>
      <c r="R107" s="232"/>
      <c r="S107" s="232"/>
      <c r="T107" s="231"/>
      <c r="U107" s="41"/>
    </row>
    <row r="108" spans="1:21" ht="16.5" thickBot="1" x14ac:dyDescent="0.25">
      <c r="A108" s="110"/>
      <c r="B108" s="108"/>
      <c r="C108" s="723" t="s">
        <v>904</v>
      </c>
      <c r="D108" s="757"/>
      <c r="E108" s="757"/>
      <c r="F108" s="757"/>
      <c r="G108" s="757"/>
      <c r="H108" s="18"/>
      <c r="I108" s="18"/>
      <c r="J108" s="837">
        <f>VLOOKUP('Part 1'!L$16,Datasheet3!$B$6:$HG$332,90,FALSE)</f>
        <v>-945162.11999999988</v>
      </c>
      <c r="K108" s="838"/>
      <c r="L108" s="48"/>
      <c r="M108" s="48"/>
      <c r="N108" s="837">
        <f>VLOOKUP('Part 1'!L$16,Datasheet3!$B$6:$HG$332,91,FALSE)</f>
        <v>56078</v>
      </c>
      <c r="O108" s="838"/>
      <c r="P108" s="48"/>
      <c r="Q108" s="230"/>
      <c r="R108" s="835">
        <f>VLOOKUP(+'Part 1'!$L$16,Datasheet3!$B$6:$HG$332,92,FALSE)</f>
        <v>-889084.11999999988</v>
      </c>
      <c r="S108" s="836"/>
      <c r="T108" s="231"/>
      <c r="U108" s="41"/>
    </row>
    <row r="109" spans="1:21" ht="15.75" x14ac:dyDescent="0.2">
      <c r="A109" s="110"/>
      <c r="B109" s="108"/>
      <c r="C109" s="739"/>
      <c r="D109" s="739"/>
      <c r="E109" s="739"/>
      <c r="F109" s="739"/>
      <c r="G109" s="739"/>
      <c r="H109" s="18"/>
      <c r="I109" s="18"/>
      <c r="J109" s="63"/>
      <c r="K109" s="52"/>
      <c r="L109" s="48"/>
      <c r="M109" s="48"/>
      <c r="N109" s="63"/>
      <c r="O109" s="52"/>
      <c r="P109" s="48"/>
      <c r="Q109" s="230"/>
      <c r="R109" s="233"/>
      <c r="S109" s="230"/>
      <c r="T109" s="231"/>
      <c r="U109" s="41"/>
    </row>
    <row r="110" spans="1:21" ht="15.75" x14ac:dyDescent="0.2">
      <c r="A110" s="110"/>
      <c r="B110" s="108"/>
      <c r="C110" s="256"/>
      <c r="D110" s="256"/>
      <c r="E110" s="256"/>
      <c r="F110" s="256"/>
      <c r="G110" s="256"/>
      <c r="H110" s="18"/>
      <c r="I110" s="18"/>
      <c r="J110" s="63"/>
      <c r="K110" s="52"/>
      <c r="L110" s="48"/>
      <c r="M110" s="48"/>
      <c r="N110" s="63"/>
      <c r="O110" s="52"/>
      <c r="P110" s="48"/>
      <c r="Q110" s="230"/>
      <c r="R110" s="233"/>
      <c r="S110" s="230"/>
      <c r="T110" s="231"/>
      <c r="U110" s="41"/>
    </row>
    <row r="111" spans="1:21" ht="16.5" thickBot="1" x14ac:dyDescent="0.25">
      <c r="A111" s="110"/>
      <c r="B111" s="108"/>
      <c r="C111" s="107" t="s">
        <v>27</v>
      </c>
      <c r="D111" s="43"/>
      <c r="E111" s="43"/>
      <c r="F111" s="43"/>
      <c r="G111" s="43"/>
      <c r="H111" s="18"/>
      <c r="I111" s="18"/>
      <c r="J111" s="52"/>
      <c r="K111" s="52"/>
      <c r="L111" s="48"/>
      <c r="M111" s="48"/>
      <c r="N111" s="52"/>
      <c r="O111" s="52"/>
      <c r="P111" s="48"/>
      <c r="Q111" s="230"/>
      <c r="R111" s="230"/>
      <c r="S111" s="230"/>
      <c r="T111" s="231"/>
      <c r="U111" s="41"/>
    </row>
    <row r="112" spans="1:21" ht="16.5" thickBot="1" x14ac:dyDescent="0.25">
      <c r="A112" s="110"/>
      <c r="B112" s="108"/>
      <c r="C112" s="61" t="s">
        <v>1418</v>
      </c>
      <c r="D112" s="43"/>
      <c r="E112" s="43"/>
      <c r="F112" s="43"/>
      <c r="G112" s="43"/>
      <c r="H112" s="18"/>
      <c r="I112" s="18"/>
      <c r="J112" s="837">
        <f>VLOOKUP('Part 1'!L$16,Datasheet3!$B$6:$HG$332,93,FALSE)</f>
        <v>-1315217.67</v>
      </c>
      <c r="K112" s="838"/>
      <c r="L112" s="48"/>
      <c r="M112" s="48"/>
      <c r="N112" s="837">
        <f>VLOOKUP('Part 1'!L$16,Datasheet3!$B$6:$HG$332,94,FALSE)</f>
        <v>0</v>
      </c>
      <c r="O112" s="838"/>
      <c r="P112" s="48"/>
      <c r="Q112" s="230"/>
      <c r="R112" s="835">
        <f>VLOOKUP(+'Part 1'!$L$16,Datasheet3!$B$6:$HG$332,95,FALSE)</f>
        <v>-1315217.67</v>
      </c>
      <c r="S112" s="836"/>
      <c r="T112" s="231"/>
      <c r="U112" s="41"/>
    </row>
    <row r="113" spans="1:21" ht="15.75" thickBot="1" x14ac:dyDescent="0.25">
      <c r="A113" s="110"/>
      <c r="B113" s="108"/>
      <c r="C113" s="43"/>
      <c r="D113" s="43"/>
      <c r="E113" s="43"/>
      <c r="F113" s="43"/>
      <c r="G113" s="43"/>
      <c r="H113" s="18"/>
      <c r="I113" s="18"/>
      <c r="J113" s="6"/>
      <c r="K113" s="6"/>
      <c r="L113" s="18"/>
      <c r="M113" s="18"/>
      <c r="N113" s="6"/>
      <c r="O113" s="6"/>
      <c r="P113" s="18"/>
      <c r="Q113" s="232"/>
      <c r="R113" s="232"/>
      <c r="S113" s="232"/>
      <c r="T113" s="231"/>
      <c r="U113" s="41"/>
    </row>
    <row r="114" spans="1:21" ht="16.5" thickBot="1" x14ac:dyDescent="0.25">
      <c r="A114" s="110"/>
      <c r="B114" s="108"/>
      <c r="C114" s="723" t="s">
        <v>905</v>
      </c>
      <c r="D114" s="757"/>
      <c r="E114" s="757"/>
      <c r="F114" s="757"/>
      <c r="G114" s="757"/>
      <c r="H114" s="18"/>
      <c r="I114" s="18"/>
      <c r="J114" s="837">
        <f>VLOOKUP('Part 1'!L$16,Datasheet3!$B$6:$HG$332,96,FALSE)</f>
        <v>-13351</v>
      </c>
      <c r="K114" s="838"/>
      <c r="L114" s="48"/>
      <c r="M114" s="48"/>
      <c r="N114" s="837">
        <f>VLOOKUP('Part 1'!L$16,Datasheet3!$B$6:$HG$332,97,FALSE)</f>
        <v>0</v>
      </c>
      <c r="O114" s="838"/>
      <c r="P114" s="48"/>
      <c r="Q114" s="230"/>
      <c r="R114" s="835">
        <f>VLOOKUP(+'Part 1'!$L$16,Datasheet3!$B$6:$HG$332,98,FALSE)</f>
        <v>-13351</v>
      </c>
      <c r="S114" s="836"/>
      <c r="T114" s="231"/>
      <c r="U114" s="41"/>
    </row>
    <row r="115" spans="1:21" ht="15.75" x14ac:dyDescent="0.2">
      <c r="A115" s="110"/>
      <c r="B115" s="108"/>
      <c r="C115" s="739"/>
      <c r="D115" s="739"/>
      <c r="E115" s="739"/>
      <c r="F115" s="739"/>
      <c r="G115" s="739"/>
      <c r="H115" s="18"/>
      <c r="I115" s="18"/>
      <c r="J115" s="63"/>
      <c r="K115" s="52"/>
      <c r="L115" s="48"/>
      <c r="M115" s="48"/>
      <c r="N115" s="63"/>
      <c r="O115" s="52"/>
      <c r="P115" s="48"/>
      <c r="Q115" s="230"/>
      <c r="R115" s="233"/>
      <c r="S115" s="230"/>
      <c r="T115" s="231"/>
      <c r="U115" s="41"/>
    </row>
    <row r="116" spans="1:21" ht="15" x14ac:dyDescent="0.2">
      <c r="A116" s="110"/>
      <c r="B116" s="108"/>
      <c r="C116" s="43"/>
      <c r="D116" s="43"/>
      <c r="E116" s="43"/>
      <c r="F116" s="43"/>
      <c r="G116" s="43"/>
      <c r="H116" s="18"/>
      <c r="I116" s="18"/>
      <c r="J116" s="6"/>
      <c r="K116" s="6"/>
      <c r="L116" s="18"/>
      <c r="M116" s="18"/>
      <c r="N116" s="6"/>
      <c r="O116" s="6"/>
      <c r="P116" s="18"/>
      <c r="Q116" s="232"/>
      <c r="R116" s="232"/>
      <c r="S116" s="232"/>
      <c r="T116" s="231"/>
      <c r="U116" s="41"/>
    </row>
    <row r="117" spans="1:21" ht="16.5" thickBot="1" x14ac:dyDescent="0.25">
      <c r="A117" s="110"/>
      <c r="B117" s="108"/>
      <c r="C117" s="107" t="s">
        <v>33</v>
      </c>
      <c r="D117" s="43"/>
      <c r="E117" s="43"/>
      <c r="F117" s="43"/>
      <c r="G117" s="43"/>
      <c r="H117" s="18"/>
      <c r="I117" s="18"/>
      <c r="J117" s="52"/>
      <c r="K117" s="52"/>
      <c r="L117" s="48"/>
      <c r="M117" s="48"/>
      <c r="N117" s="52"/>
      <c r="O117" s="52"/>
      <c r="P117" s="48"/>
      <c r="Q117" s="230"/>
      <c r="R117" s="230"/>
      <c r="S117" s="230"/>
      <c r="T117" s="231"/>
      <c r="U117" s="41"/>
    </row>
    <row r="118" spans="1:21" ht="16.5" thickBot="1" x14ac:dyDescent="0.25">
      <c r="A118" s="110"/>
      <c r="B118" s="108"/>
      <c r="C118" s="61" t="s">
        <v>1419</v>
      </c>
      <c r="D118" s="43"/>
      <c r="E118" s="43"/>
      <c r="F118" s="43"/>
      <c r="G118" s="43"/>
      <c r="H118" s="18"/>
      <c r="I118" s="18"/>
      <c r="J118" s="837">
        <f>VLOOKUP('Part 1'!L$16,Datasheet3!$B$6:$HG$332,99,FALSE)</f>
        <v>-278676.53000000003</v>
      </c>
      <c r="K118" s="838"/>
      <c r="L118" s="48"/>
      <c r="M118" s="48"/>
      <c r="N118" s="837">
        <f>VLOOKUP('Part 1'!L$16,Datasheet3!$B$6:$HG$332,100,FALSE)</f>
        <v>0</v>
      </c>
      <c r="O118" s="838"/>
      <c r="P118" s="48"/>
      <c r="Q118" s="230"/>
      <c r="R118" s="835">
        <f>VLOOKUP(+'Part 1'!$L$16,Datasheet3!$B$6:$HG$332,101,FALSE)</f>
        <v>-278676.53000000003</v>
      </c>
      <c r="S118" s="836"/>
      <c r="T118" s="231"/>
      <c r="U118" s="41"/>
    </row>
    <row r="119" spans="1:21" ht="15.75" thickBot="1" x14ac:dyDescent="0.25">
      <c r="A119" s="110"/>
      <c r="B119" s="108"/>
      <c r="C119" s="43"/>
      <c r="D119" s="43"/>
      <c r="E119" s="43"/>
      <c r="F119" s="43"/>
      <c r="G119" s="43"/>
      <c r="H119" s="18"/>
      <c r="I119" s="18"/>
      <c r="J119" s="6"/>
      <c r="K119" s="6"/>
      <c r="L119" s="18"/>
      <c r="M119" s="18"/>
      <c r="N119" s="6"/>
      <c r="O119" s="6"/>
      <c r="P119" s="18"/>
      <c r="Q119" s="232"/>
      <c r="R119" s="232"/>
      <c r="S119" s="232"/>
      <c r="T119" s="232"/>
      <c r="U119" s="41"/>
    </row>
    <row r="120" spans="1:21" ht="16.5" thickBot="1" x14ac:dyDescent="0.25">
      <c r="A120" s="110"/>
      <c r="B120" s="108"/>
      <c r="C120" s="723" t="s">
        <v>906</v>
      </c>
      <c r="D120" s="757"/>
      <c r="E120" s="757"/>
      <c r="F120" s="757"/>
      <c r="G120" s="757"/>
      <c r="H120" s="18"/>
      <c r="I120" s="18"/>
      <c r="J120" s="837">
        <f>VLOOKUP('Part 1'!L$16,Datasheet3!$B$6:$HG$332,102,FALSE)</f>
        <v>76047</v>
      </c>
      <c r="K120" s="838"/>
      <c r="L120" s="48"/>
      <c r="M120" s="48"/>
      <c r="N120" s="837">
        <f>VLOOKUP('Part 1'!L$16,Datasheet3!$B$6:$HG$332,103,FALSE)</f>
        <v>0</v>
      </c>
      <c r="O120" s="838"/>
      <c r="P120" s="48"/>
      <c r="Q120" s="230"/>
      <c r="R120" s="835">
        <f>VLOOKUP(+'Part 1'!$L$16,Datasheet3!$B$6:$HG$332,104,FALSE)</f>
        <v>76047</v>
      </c>
      <c r="S120" s="836"/>
      <c r="T120" s="231"/>
      <c r="U120" s="41"/>
    </row>
    <row r="121" spans="1:21" ht="15.75" x14ac:dyDescent="0.2">
      <c r="A121" s="110"/>
      <c r="B121" s="108"/>
      <c r="C121" s="739"/>
      <c r="D121" s="739"/>
      <c r="E121" s="739"/>
      <c r="F121" s="739"/>
      <c r="G121" s="739"/>
      <c r="H121" s="18"/>
      <c r="I121" s="18"/>
      <c r="J121" s="49"/>
      <c r="K121" s="48"/>
      <c r="L121" s="48"/>
      <c r="M121" s="48"/>
      <c r="N121" s="49"/>
      <c r="O121" s="48"/>
      <c r="P121" s="48"/>
      <c r="Q121" s="230"/>
      <c r="R121" s="233"/>
      <c r="S121" s="230"/>
      <c r="T121" s="231"/>
      <c r="U121" s="41"/>
    </row>
    <row r="122" spans="1:21" ht="16.5" thickBot="1" x14ac:dyDescent="0.25">
      <c r="A122" s="113"/>
      <c r="B122" s="114"/>
      <c r="C122" s="115"/>
      <c r="D122" s="115"/>
      <c r="E122" s="115"/>
      <c r="F122" s="115"/>
      <c r="G122" s="115"/>
      <c r="H122" s="100"/>
      <c r="I122" s="100"/>
      <c r="J122" s="101"/>
      <c r="K122" s="102"/>
      <c r="L122" s="102"/>
      <c r="M122" s="102"/>
      <c r="N122" s="101"/>
      <c r="O122" s="102"/>
      <c r="P122" s="102"/>
      <c r="Q122" s="241"/>
      <c r="R122" s="242"/>
      <c r="S122" s="241"/>
      <c r="T122" s="243"/>
      <c r="U122" s="103"/>
    </row>
    <row r="123" spans="1:21" ht="16.5" thickBot="1" x14ac:dyDescent="0.25">
      <c r="A123" s="110"/>
      <c r="B123" s="108"/>
      <c r="C123" s="107" t="s">
        <v>29</v>
      </c>
      <c r="D123" s="43"/>
      <c r="E123" s="43"/>
      <c r="F123" s="43"/>
      <c r="G123" s="43"/>
      <c r="H123" s="18"/>
      <c r="I123" s="18"/>
      <c r="J123" s="48"/>
      <c r="K123" s="48"/>
      <c r="L123" s="48"/>
      <c r="M123" s="48"/>
      <c r="N123" s="48"/>
      <c r="O123" s="48"/>
      <c r="P123" s="48"/>
      <c r="Q123" s="230"/>
      <c r="R123" s="230"/>
      <c r="S123" s="230"/>
      <c r="T123" s="231"/>
      <c r="U123" s="41"/>
    </row>
    <row r="124" spans="1:21" ht="16.5" thickBot="1" x14ac:dyDescent="0.25">
      <c r="A124" s="110"/>
      <c r="B124" s="108"/>
      <c r="C124" s="61" t="s">
        <v>1420</v>
      </c>
      <c r="D124" s="43"/>
      <c r="E124" s="43"/>
      <c r="F124" s="43"/>
      <c r="G124" s="43"/>
      <c r="H124" s="18"/>
      <c r="I124" s="18"/>
      <c r="J124" s="837">
        <f>VLOOKUP('Part 1'!L$16,Datasheet3!$B$6:$HG$332,105,FALSE)</f>
        <v>-806647</v>
      </c>
      <c r="K124" s="838"/>
      <c r="L124" s="48"/>
      <c r="M124" s="48"/>
      <c r="N124" s="837">
        <f>VLOOKUP('Part 1'!L$16,Datasheet3!$B$6:$HG$332,106,FALSE)</f>
        <v>0</v>
      </c>
      <c r="O124" s="838"/>
      <c r="P124" s="48"/>
      <c r="Q124" s="230"/>
      <c r="R124" s="835">
        <f>VLOOKUP(+'Part 1'!$L$16,Datasheet3!$B$6:$HG$332,107,FALSE)</f>
        <v>-806647</v>
      </c>
      <c r="S124" s="836"/>
      <c r="T124" s="231"/>
      <c r="U124" s="41"/>
    </row>
    <row r="125" spans="1:21" ht="15.75" thickBot="1" x14ac:dyDescent="0.25">
      <c r="A125" s="110"/>
      <c r="B125" s="108"/>
      <c r="C125" s="43"/>
      <c r="D125" s="43"/>
      <c r="E125" s="43"/>
      <c r="F125" s="43"/>
      <c r="G125" s="43"/>
      <c r="H125" s="18"/>
      <c r="I125" s="18"/>
      <c r="J125" s="6"/>
      <c r="K125" s="6"/>
      <c r="L125" s="18"/>
      <c r="M125" s="18"/>
      <c r="N125" s="6"/>
      <c r="O125" s="6"/>
      <c r="P125" s="18"/>
      <c r="Q125" s="232"/>
      <c r="R125" s="232"/>
      <c r="S125" s="232"/>
      <c r="T125" s="231"/>
      <c r="U125" s="41"/>
    </row>
    <row r="126" spans="1:21" ht="16.5" thickBot="1" x14ac:dyDescent="0.25">
      <c r="A126" s="110"/>
      <c r="B126" s="108"/>
      <c r="C126" s="723" t="s">
        <v>907</v>
      </c>
      <c r="D126" s="757"/>
      <c r="E126" s="757"/>
      <c r="F126" s="757"/>
      <c r="G126" s="757"/>
      <c r="H126" s="18"/>
      <c r="I126" s="18"/>
      <c r="J126" s="837">
        <f>VLOOKUP('Part 1'!L$16,Datasheet3!$B$6:$HG$332,108,FALSE)</f>
        <v>21816</v>
      </c>
      <c r="K126" s="838"/>
      <c r="L126" s="48"/>
      <c r="M126" s="48"/>
      <c r="N126" s="837">
        <f>VLOOKUP('Part 1'!L$16,Datasheet3!$B$6:$HG$332,109,FALSE)</f>
        <v>0</v>
      </c>
      <c r="O126" s="838"/>
      <c r="P126" s="48"/>
      <c r="Q126" s="230"/>
      <c r="R126" s="835">
        <f>VLOOKUP(+'Part 1'!$L$16,Datasheet3!$B$6:$HG$332,110,FALSE)</f>
        <v>21816</v>
      </c>
      <c r="S126" s="836"/>
      <c r="T126" s="231"/>
      <c r="U126" s="41"/>
    </row>
    <row r="127" spans="1:21" ht="15.75" x14ac:dyDescent="0.2">
      <c r="A127" s="110"/>
      <c r="B127" s="108"/>
      <c r="C127" s="739"/>
      <c r="D127" s="739"/>
      <c r="E127" s="739"/>
      <c r="F127" s="739"/>
      <c r="G127" s="739"/>
      <c r="H127" s="18"/>
      <c r="I127" s="18"/>
      <c r="J127" s="49"/>
      <c r="K127" s="48"/>
      <c r="L127" s="48"/>
      <c r="M127" s="48"/>
      <c r="N127" s="49"/>
      <c r="O127" s="48"/>
      <c r="P127" s="48"/>
      <c r="Q127" s="230"/>
      <c r="R127" s="233"/>
      <c r="S127" s="230"/>
      <c r="T127" s="231"/>
      <c r="U127" s="41"/>
    </row>
    <row r="128" spans="1:21" ht="15" x14ac:dyDescent="0.2">
      <c r="A128" s="110"/>
      <c r="B128" s="108"/>
      <c r="C128" s="43"/>
      <c r="D128" s="43"/>
      <c r="E128" s="43"/>
      <c r="F128" s="43"/>
      <c r="G128" s="43"/>
      <c r="H128" s="18"/>
      <c r="I128" s="18"/>
      <c r="J128" s="48"/>
      <c r="K128" s="48"/>
      <c r="L128" s="48"/>
      <c r="M128" s="48"/>
      <c r="N128" s="48"/>
      <c r="O128" s="48"/>
      <c r="P128" s="48"/>
      <c r="Q128" s="230"/>
      <c r="R128" s="230"/>
      <c r="S128" s="230"/>
      <c r="T128" s="231"/>
      <c r="U128" s="41"/>
    </row>
    <row r="129" spans="1:21" ht="16.5" thickBot="1" x14ac:dyDescent="0.25">
      <c r="A129" s="110"/>
      <c r="B129" s="108"/>
      <c r="C129" s="107" t="s">
        <v>35</v>
      </c>
      <c r="D129" s="43"/>
      <c r="E129" s="43"/>
      <c r="F129" s="43"/>
      <c r="G129" s="43"/>
      <c r="H129" s="18"/>
      <c r="I129" s="18"/>
      <c r="J129" s="48"/>
      <c r="K129" s="48"/>
      <c r="L129" s="48"/>
      <c r="M129" s="48"/>
      <c r="N129" s="48"/>
      <c r="O129" s="48"/>
      <c r="P129" s="48"/>
      <c r="Q129" s="230"/>
      <c r="R129" s="230"/>
      <c r="S129" s="230"/>
      <c r="T129" s="231"/>
      <c r="U129" s="41"/>
    </row>
    <row r="130" spans="1:21" ht="16.5" thickBot="1" x14ac:dyDescent="0.25">
      <c r="A130" s="110"/>
      <c r="B130" s="108"/>
      <c r="C130" s="61" t="s">
        <v>1421</v>
      </c>
      <c r="D130" s="43"/>
      <c r="E130" s="43"/>
      <c r="F130" s="43"/>
      <c r="G130" s="43"/>
      <c r="H130" s="18"/>
      <c r="I130" s="18"/>
      <c r="J130" s="837">
        <f>VLOOKUP('Part 1'!L$16,Datasheet3!$B$6:$HG$332,111,FALSE)</f>
        <v>-6554439</v>
      </c>
      <c r="K130" s="838"/>
      <c r="L130" s="48"/>
      <c r="M130" s="48"/>
      <c r="N130" s="837">
        <f>VLOOKUP('Part 1'!L$16,Datasheet3!$B$6:$HG$332,112,FALSE)</f>
        <v>-14432480</v>
      </c>
      <c r="O130" s="838"/>
      <c r="P130" s="48"/>
      <c r="Q130" s="230"/>
      <c r="R130" s="835">
        <f>VLOOKUP(+'Part 1'!$L$16,Datasheet3!$B$6:$HG$332,113,FALSE)</f>
        <v>-20986919</v>
      </c>
      <c r="S130" s="836"/>
      <c r="T130" s="231"/>
      <c r="U130" s="41"/>
    </row>
    <row r="131" spans="1:21" ht="15.75" thickBot="1" x14ac:dyDescent="0.25">
      <c r="A131" s="110"/>
      <c r="B131" s="108"/>
      <c r="C131" s="43"/>
      <c r="D131" s="43"/>
      <c r="E131" s="43"/>
      <c r="F131" s="43"/>
      <c r="G131" s="43"/>
      <c r="H131" s="18"/>
      <c r="I131" s="18"/>
      <c r="J131" s="6"/>
      <c r="K131" s="6"/>
      <c r="L131" s="18"/>
      <c r="M131" s="18"/>
      <c r="N131" s="6"/>
      <c r="O131" s="6"/>
      <c r="P131" s="18"/>
      <c r="Q131" s="232"/>
      <c r="R131" s="232"/>
      <c r="S131" s="232"/>
      <c r="T131" s="232"/>
      <c r="U131" s="41"/>
    </row>
    <row r="132" spans="1:21" ht="16.5" thickBot="1" x14ac:dyDescent="0.25">
      <c r="A132" s="110"/>
      <c r="B132" s="108"/>
      <c r="C132" s="723" t="s">
        <v>908</v>
      </c>
      <c r="D132" s="757"/>
      <c r="E132" s="757"/>
      <c r="F132" s="757"/>
      <c r="G132" s="757"/>
      <c r="H132" s="18"/>
      <c r="I132" s="18"/>
      <c r="J132" s="837">
        <f>VLOOKUP('Part 1'!L$16,Datasheet3!$B$6:$HG$332,114,FALSE)</f>
        <v>-1069400.8399999999</v>
      </c>
      <c r="K132" s="838"/>
      <c r="L132" s="48"/>
      <c r="M132" s="48"/>
      <c r="N132" s="837">
        <f>VLOOKUP('Part 1'!L$16,Datasheet3!$B$6:$HG$332,115,FALSE)</f>
        <v>-2206044</v>
      </c>
      <c r="O132" s="838"/>
      <c r="P132" s="48"/>
      <c r="Q132" s="230"/>
      <c r="R132" s="835">
        <f>VLOOKUP(+'Part 1'!$L$16,Datasheet3!$B$6:$HG$332,116,FALSE)</f>
        <v>-3275444.84</v>
      </c>
      <c r="S132" s="836"/>
      <c r="T132" s="231"/>
      <c r="U132" s="41"/>
    </row>
    <row r="133" spans="1:21" ht="15.75" x14ac:dyDescent="0.2">
      <c r="A133" s="110"/>
      <c r="B133" s="108"/>
      <c r="C133" s="739"/>
      <c r="D133" s="739"/>
      <c r="E133" s="739"/>
      <c r="F133" s="739"/>
      <c r="G133" s="739"/>
      <c r="H133" s="18"/>
      <c r="I133" s="18"/>
      <c r="J133" s="49"/>
      <c r="K133" s="48"/>
      <c r="L133" s="48"/>
      <c r="M133" s="48"/>
      <c r="N133" s="49"/>
      <c r="O133" s="48"/>
      <c r="P133" s="48"/>
      <c r="Q133" s="230"/>
      <c r="R133" s="233"/>
      <c r="S133" s="230"/>
      <c r="T133" s="231"/>
      <c r="U133" s="41"/>
    </row>
    <row r="134" spans="1:21" ht="16.5" thickBot="1" x14ac:dyDescent="0.3">
      <c r="A134" s="110"/>
      <c r="B134" s="108"/>
      <c r="C134" s="107"/>
      <c r="D134" s="107"/>
      <c r="E134" s="107"/>
      <c r="F134" s="107"/>
      <c r="G134" s="107"/>
      <c r="H134" s="17"/>
      <c r="I134" s="18"/>
      <c r="J134" s="48" t="s">
        <v>36</v>
      </c>
      <c r="K134" s="48"/>
      <c r="L134" s="48"/>
      <c r="M134" s="48"/>
      <c r="N134" s="48"/>
      <c r="O134" s="48"/>
      <c r="P134" s="48"/>
      <c r="Q134" s="230"/>
      <c r="R134" s="233"/>
      <c r="S134" s="230"/>
      <c r="T134" s="231"/>
      <c r="U134" s="41"/>
    </row>
    <row r="135" spans="1:21" ht="16.5" thickBot="1" x14ac:dyDescent="0.25">
      <c r="A135" s="110"/>
      <c r="B135" s="108"/>
      <c r="C135" s="106" t="s">
        <v>909</v>
      </c>
      <c r="D135" s="43"/>
      <c r="E135" s="43"/>
      <c r="F135" s="43"/>
      <c r="G135" s="43"/>
      <c r="H135" s="18"/>
      <c r="I135" s="18"/>
      <c r="J135" s="60"/>
      <c r="K135" s="60"/>
      <c r="L135" s="48"/>
      <c r="M135" s="48"/>
      <c r="N135" s="772">
        <f>VLOOKUP(+'Part 1'!$L$16,Datasheet3!$B$6:$HG$332,117,FALSE)</f>
        <v>-16239329</v>
      </c>
      <c r="O135" s="773"/>
      <c r="P135" s="48"/>
      <c r="Q135" s="230"/>
      <c r="R135" s="230"/>
      <c r="S135" s="230"/>
      <c r="T135" s="231"/>
      <c r="U135" s="41"/>
    </row>
    <row r="136" spans="1:21" ht="15.75" thickBot="1" x14ac:dyDescent="0.25">
      <c r="A136" s="110"/>
      <c r="B136" s="108"/>
      <c r="C136" s="43"/>
      <c r="D136" s="43"/>
      <c r="E136" s="43"/>
      <c r="F136" s="43"/>
      <c r="G136" s="43"/>
      <c r="H136" s="48"/>
      <c r="I136" s="48"/>
      <c r="J136" s="48"/>
      <c r="K136" s="48"/>
      <c r="L136" s="48"/>
      <c r="M136" s="48"/>
      <c r="N136" s="48"/>
      <c r="O136" s="48"/>
      <c r="P136" s="48"/>
      <c r="Q136" s="230"/>
      <c r="R136" s="230"/>
      <c r="S136" s="230"/>
      <c r="T136" s="231"/>
      <c r="U136" s="41"/>
    </row>
    <row r="137" spans="1:21" ht="16.5" thickBot="1" x14ac:dyDescent="0.25">
      <c r="A137" s="110"/>
      <c r="B137" s="108"/>
      <c r="C137" s="106" t="s">
        <v>910</v>
      </c>
      <c r="D137" s="43"/>
      <c r="E137" s="43"/>
      <c r="F137" s="43"/>
      <c r="G137" s="43"/>
      <c r="H137" s="18"/>
      <c r="I137" s="18"/>
      <c r="J137" s="772">
        <f>VLOOKUP(+'Part 1'!$L$16,Datasheet3!$B$6:$HG$332,118,FALSE)</f>
        <v>-3053525</v>
      </c>
      <c r="K137" s="773"/>
      <c r="L137" s="48"/>
      <c r="M137" s="48"/>
      <c r="N137" s="60"/>
      <c r="O137" s="60"/>
      <c r="P137" s="48"/>
      <c r="Q137" s="230"/>
      <c r="R137" s="230"/>
      <c r="S137" s="230"/>
      <c r="T137" s="231"/>
      <c r="U137" s="41"/>
    </row>
    <row r="138" spans="1:21" ht="15.75" thickBot="1" x14ac:dyDescent="0.25">
      <c r="A138" s="110"/>
      <c r="B138" s="108"/>
      <c r="C138" s="43"/>
      <c r="D138" s="43"/>
      <c r="E138" s="43"/>
      <c r="F138" s="43"/>
      <c r="G138" s="43"/>
      <c r="H138" s="18"/>
      <c r="I138" s="18"/>
      <c r="J138" s="48"/>
      <c r="K138" s="48"/>
      <c r="L138" s="48"/>
      <c r="M138" s="48"/>
      <c r="N138" s="48"/>
      <c r="O138" s="48"/>
      <c r="P138" s="48"/>
      <c r="Q138" s="230"/>
      <c r="R138" s="230"/>
      <c r="S138" s="230"/>
      <c r="T138" s="231"/>
      <c r="U138" s="41"/>
    </row>
    <row r="139" spans="1:21" ht="15.75" thickBot="1" x14ac:dyDescent="0.25">
      <c r="A139" s="110"/>
      <c r="B139" s="128"/>
      <c r="C139" s="150"/>
      <c r="D139" s="150"/>
      <c r="E139" s="150"/>
      <c r="F139" s="150"/>
      <c r="G139" s="150"/>
      <c r="H139" s="130"/>
      <c r="I139" s="130"/>
      <c r="J139" s="132"/>
      <c r="K139" s="132"/>
      <c r="L139" s="132"/>
      <c r="M139" s="132"/>
      <c r="N139" s="132"/>
      <c r="O139" s="132"/>
      <c r="P139" s="132"/>
      <c r="Q139" s="234"/>
      <c r="R139" s="234"/>
      <c r="S139" s="234"/>
      <c r="T139" s="235"/>
      <c r="U139" s="41"/>
    </row>
    <row r="140" spans="1:21" ht="16.5" thickBot="1" x14ac:dyDescent="0.25">
      <c r="A140" s="110"/>
      <c r="B140" s="133"/>
      <c r="C140" s="726" t="s">
        <v>911</v>
      </c>
      <c r="D140" s="726"/>
      <c r="E140" s="726"/>
      <c r="F140" s="726"/>
      <c r="G140" s="726"/>
      <c r="H140" s="18"/>
      <c r="I140" s="18"/>
      <c r="J140" s="837">
        <f>VLOOKUP('Part 1'!L$16,Datasheet3!$B$6:$HG$332,119,FALSE)</f>
        <v>-95511526</v>
      </c>
      <c r="K140" s="838"/>
      <c r="L140" s="48"/>
      <c r="M140" s="48"/>
      <c r="N140" s="837">
        <f>VLOOKUP('Part 1'!L$16,Datasheet3!$B$6:$HG$332,120,FALSE)</f>
        <v>-17630504</v>
      </c>
      <c r="O140" s="838"/>
      <c r="P140" s="48"/>
      <c r="Q140" s="230"/>
      <c r="R140" s="835">
        <f>VLOOKUP(+'Part 1'!$L$16,Datasheet3!$B$6:$HG$332,121,FALSE)</f>
        <v>-113142030</v>
      </c>
      <c r="S140" s="836"/>
      <c r="T140" s="236"/>
      <c r="U140" s="41"/>
    </row>
    <row r="141" spans="1:21" ht="15.75" thickBot="1" x14ac:dyDescent="0.25">
      <c r="A141" s="110"/>
      <c r="B141" s="134"/>
      <c r="C141" s="151"/>
      <c r="D141" s="151"/>
      <c r="E141" s="151"/>
      <c r="F141" s="151"/>
      <c r="G141" s="151"/>
      <c r="H141" s="136"/>
      <c r="I141" s="136"/>
      <c r="J141" s="137"/>
      <c r="K141" s="137"/>
      <c r="L141" s="137"/>
      <c r="M141" s="137"/>
      <c r="N141" s="137"/>
      <c r="O141" s="137"/>
      <c r="P141" s="137"/>
      <c r="Q141" s="239"/>
      <c r="R141" s="239"/>
      <c r="S141" s="239"/>
      <c r="T141" s="238"/>
      <c r="U141" s="41"/>
    </row>
    <row r="142" spans="1:21" ht="15.75" thickBot="1" x14ac:dyDescent="0.25">
      <c r="A142" s="113"/>
      <c r="B142" s="114"/>
      <c r="C142" s="109"/>
      <c r="D142" s="109"/>
      <c r="E142" s="109"/>
      <c r="F142" s="109"/>
      <c r="G142" s="109"/>
      <c r="H142" s="58"/>
      <c r="I142" s="58"/>
      <c r="J142" s="291"/>
      <c r="K142" s="291"/>
      <c r="L142" s="291"/>
      <c r="M142" s="291"/>
      <c r="N142" s="291"/>
      <c r="O142" s="291"/>
      <c r="P142" s="291"/>
      <c r="Q142" s="241"/>
      <c r="R142" s="241"/>
      <c r="S142" s="241"/>
      <c r="T142" s="243"/>
      <c r="U142" s="42"/>
    </row>
    <row r="143" spans="1:21" ht="15.75" x14ac:dyDescent="0.2">
      <c r="A143" s="110"/>
      <c r="B143" s="108"/>
      <c r="C143" s="96" t="s">
        <v>1051</v>
      </c>
      <c r="D143" s="43"/>
      <c r="E143" s="43"/>
      <c r="F143" s="43"/>
      <c r="G143" s="43"/>
      <c r="H143" s="18"/>
      <c r="I143" s="18"/>
      <c r="J143" s="48"/>
      <c r="K143" s="48"/>
      <c r="L143" s="48"/>
      <c r="M143" s="48"/>
      <c r="N143" s="48"/>
      <c r="O143" s="48"/>
      <c r="P143" s="48"/>
      <c r="Q143" s="230"/>
      <c r="R143" s="230"/>
      <c r="S143" s="230"/>
      <c r="T143" s="231"/>
      <c r="U143" s="41"/>
    </row>
    <row r="144" spans="1:21" ht="16.5" thickBot="1" x14ac:dyDescent="0.25">
      <c r="A144" s="110"/>
      <c r="B144" s="108"/>
      <c r="C144" s="107" t="s">
        <v>3</v>
      </c>
      <c r="D144" s="43"/>
      <c r="E144" s="43"/>
      <c r="F144" s="43"/>
      <c r="G144" s="43"/>
      <c r="H144" s="18"/>
      <c r="I144" s="18"/>
      <c r="J144" s="48"/>
      <c r="K144" s="48"/>
      <c r="L144" s="48"/>
      <c r="M144" s="48"/>
      <c r="N144" s="48"/>
      <c r="O144" s="48"/>
      <c r="P144" s="48"/>
      <c r="Q144" s="230"/>
      <c r="R144" s="230"/>
      <c r="S144" s="230"/>
      <c r="T144" s="231"/>
      <c r="U144" s="41"/>
    </row>
    <row r="145" spans="1:21" ht="16.5" thickBot="1" x14ac:dyDescent="0.25">
      <c r="A145" s="110"/>
      <c r="B145" s="108"/>
      <c r="C145" s="61" t="s">
        <v>1422</v>
      </c>
      <c r="D145" s="43"/>
      <c r="E145" s="43"/>
      <c r="F145" s="43"/>
      <c r="G145" s="43"/>
      <c r="H145" s="18"/>
      <c r="I145" s="18"/>
      <c r="J145" s="837">
        <f>VLOOKUP('Part 1'!L$16,Datasheet3!$B$6:$HG$332,122,FALSE)</f>
        <v>273891</v>
      </c>
      <c r="K145" s="838"/>
      <c r="L145" s="48"/>
      <c r="M145" s="48"/>
      <c r="N145" s="837">
        <f>VLOOKUP('Part 1'!L$16,Datasheet3!$B$6:$HG$332,123,FALSE)</f>
        <v>39356</v>
      </c>
      <c r="O145" s="838"/>
      <c r="P145" s="48"/>
      <c r="Q145" s="230"/>
      <c r="R145" s="835">
        <f>VLOOKUP(+'Part 1'!$L$16,Datasheet3!$B$6:$HG$332,124,FALSE)</f>
        <v>313247</v>
      </c>
      <c r="S145" s="836"/>
      <c r="T145" s="231"/>
      <c r="U145" s="41"/>
    </row>
    <row r="146" spans="1:21" ht="15.75" x14ac:dyDescent="0.2">
      <c r="A146" s="110"/>
      <c r="B146" s="108"/>
      <c r="C146" s="61" t="s">
        <v>68</v>
      </c>
      <c r="D146" s="43"/>
      <c r="E146" s="43"/>
      <c r="F146" s="43"/>
      <c r="G146" s="43"/>
      <c r="H146" s="18"/>
      <c r="I146" s="18"/>
      <c r="J146" s="326"/>
      <c r="K146" s="326"/>
      <c r="L146" s="105"/>
      <c r="M146" s="105"/>
      <c r="N146" s="326"/>
      <c r="O146" s="326"/>
      <c r="P146" s="105"/>
      <c r="Q146" s="230"/>
      <c r="R146" s="233"/>
      <c r="S146" s="230"/>
      <c r="T146" s="231"/>
      <c r="U146" s="41"/>
    </row>
    <row r="147" spans="1:21" ht="15.75" x14ac:dyDescent="0.2">
      <c r="A147" s="110"/>
      <c r="B147" s="108"/>
      <c r="C147" s="61"/>
      <c r="D147" s="43"/>
      <c r="E147" s="43"/>
      <c r="F147" s="43"/>
      <c r="G147" s="43"/>
      <c r="H147" s="18"/>
      <c r="I147" s="18"/>
      <c r="J147" s="326"/>
      <c r="K147" s="326"/>
      <c r="L147" s="105"/>
      <c r="M147" s="105"/>
      <c r="N147" s="326"/>
      <c r="O147" s="326"/>
      <c r="P147" s="105"/>
      <c r="Q147" s="230"/>
      <c r="R147" s="233"/>
      <c r="S147" s="230"/>
      <c r="T147" s="231"/>
      <c r="U147" s="41"/>
    </row>
    <row r="148" spans="1:21" ht="16.5" thickBot="1" x14ac:dyDescent="0.25">
      <c r="A148" s="110"/>
      <c r="B148" s="108"/>
      <c r="C148" s="96" t="s">
        <v>69</v>
      </c>
      <c r="D148" s="43"/>
      <c r="E148" s="43"/>
      <c r="F148" s="43"/>
      <c r="G148" s="43"/>
      <c r="H148" s="18"/>
      <c r="I148" s="18"/>
      <c r="J148" s="326"/>
      <c r="K148" s="326"/>
      <c r="L148" s="105"/>
      <c r="M148" s="105"/>
      <c r="N148" s="326"/>
      <c r="O148" s="326"/>
      <c r="P148" s="105"/>
      <c r="Q148" s="230"/>
      <c r="R148" s="233"/>
      <c r="S148" s="230"/>
      <c r="T148" s="231"/>
      <c r="U148" s="41"/>
    </row>
    <row r="149" spans="1:21" ht="16.5" thickBot="1" x14ac:dyDescent="0.25">
      <c r="A149" s="110"/>
      <c r="B149" s="108"/>
      <c r="C149" s="61" t="s">
        <v>912</v>
      </c>
      <c r="D149" s="43"/>
      <c r="E149" s="43"/>
      <c r="F149" s="43"/>
      <c r="G149" s="43"/>
      <c r="H149" s="18"/>
      <c r="I149" s="18"/>
      <c r="J149" s="837">
        <f>VLOOKUP('Part 1'!L$16,Datasheet3!$B$6:$HG$332,125,FALSE)</f>
        <v>23763.83</v>
      </c>
      <c r="K149" s="838"/>
      <c r="L149" s="48"/>
      <c r="M149" s="48"/>
      <c r="N149" s="837">
        <f>VLOOKUP('Part 1'!L$16,Datasheet3!$B$6:$HG$332,126,FALSE)</f>
        <v>0</v>
      </c>
      <c r="O149" s="838"/>
      <c r="P149" s="48"/>
      <c r="Q149" s="230"/>
      <c r="R149" s="835">
        <f>VLOOKUP(+'Part 1'!$L$16,Datasheet3!$B$6:$HG$332,127,FALSE)</f>
        <v>23763.83</v>
      </c>
      <c r="S149" s="836"/>
      <c r="T149" s="231"/>
      <c r="U149" s="41"/>
    </row>
    <row r="150" spans="1:21" ht="15.75" x14ac:dyDescent="0.2">
      <c r="A150" s="110"/>
      <c r="B150" s="108"/>
      <c r="C150" s="61" t="s">
        <v>68</v>
      </c>
      <c r="D150" s="43"/>
      <c r="E150" s="43"/>
      <c r="F150" s="43"/>
      <c r="G150" s="43"/>
      <c r="H150" s="18"/>
      <c r="I150" s="18"/>
      <c r="J150" s="326"/>
      <c r="K150" s="326"/>
      <c r="L150" s="105"/>
      <c r="M150" s="105"/>
      <c r="N150" s="326"/>
      <c r="O150" s="326"/>
      <c r="P150" s="105"/>
      <c r="Q150" s="230"/>
      <c r="R150" s="233"/>
      <c r="S150" s="230"/>
      <c r="T150" s="231"/>
      <c r="U150" s="41"/>
    </row>
    <row r="151" spans="1:21" ht="15.75" x14ac:dyDescent="0.2">
      <c r="A151" s="110"/>
      <c r="B151" s="108"/>
      <c r="C151" s="61"/>
      <c r="D151" s="43"/>
      <c r="E151" s="43"/>
      <c r="F151" s="43"/>
      <c r="G151" s="43"/>
      <c r="H151" s="18"/>
      <c r="I151" s="18"/>
      <c r="J151" s="326"/>
      <c r="K151" s="326"/>
      <c r="L151" s="105"/>
      <c r="M151" s="105"/>
      <c r="N151" s="326"/>
      <c r="O151" s="326"/>
      <c r="P151" s="105"/>
      <c r="Q151" s="230"/>
      <c r="R151" s="233"/>
      <c r="S151" s="230"/>
      <c r="T151" s="231"/>
      <c r="U151" s="41"/>
    </row>
    <row r="152" spans="1:21" ht="16.5" thickBot="1" x14ac:dyDescent="0.25">
      <c r="A152" s="110"/>
      <c r="B152" s="108"/>
      <c r="C152" s="96" t="s">
        <v>70</v>
      </c>
      <c r="D152" s="43"/>
      <c r="E152" s="43"/>
      <c r="F152" s="43"/>
      <c r="G152" s="43"/>
      <c r="H152" s="18"/>
      <c r="I152" s="18"/>
      <c r="J152" s="18"/>
      <c r="K152" s="18"/>
      <c r="L152" s="18"/>
      <c r="M152" s="18"/>
      <c r="N152" s="18"/>
      <c r="O152" s="18"/>
      <c r="P152" s="18"/>
      <c r="Q152" s="232"/>
      <c r="R152" s="232"/>
      <c r="S152" s="232"/>
      <c r="T152" s="231"/>
      <c r="U152" s="41"/>
    </row>
    <row r="153" spans="1:21" ht="16.5" hidden="1" thickBot="1" x14ac:dyDescent="0.25">
      <c r="A153" s="110"/>
      <c r="B153" s="108"/>
      <c r="C153" s="61" t="s">
        <v>913</v>
      </c>
      <c r="D153" s="43"/>
      <c r="E153" s="43"/>
      <c r="F153" s="43"/>
      <c r="G153" s="43"/>
      <c r="H153" s="18"/>
      <c r="I153" s="18"/>
      <c r="J153" s="837">
        <f>VLOOKUP('Part 1'!L$16,Datasheet3!$B$6:$HG$332,128,FALSE)</f>
        <v>363945.66</v>
      </c>
      <c r="K153" s="838"/>
      <c r="L153" s="48"/>
      <c r="M153" s="48"/>
      <c r="N153" s="837">
        <f>VLOOKUP('Part 1'!L$16,Datasheet3!$B$6:$HG$332,129,FALSE)</f>
        <v>2500</v>
      </c>
      <c r="O153" s="838"/>
      <c r="P153" s="48"/>
      <c r="Q153" s="230"/>
      <c r="R153" s="835">
        <f>VLOOKUP(+'Part 1'!$L$16,Datasheet3!$B$6:$HG$332,130,FALSE)</f>
        <v>366445.66</v>
      </c>
      <c r="S153" s="836"/>
      <c r="T153" s="231"/>
      <c r="U153" s="41"/>
    </row>
    <row r="154" spans="1:21" ht="16.5" hidden="1" customHeight="1" thickBot="1" x14ac:dyDescent="0.25">
      <c r="A154" s="110"/>
      <c r="B154" s="108"/>
      <c r="C154" s="61"/>
      <c r="D154" s="43"/>
      <c r="E154" s="43"/>
      <c r="F154" s="43"/>
      <c r="G154" s="43"/>
      <c r="H154" s="18"/>
      <c r="I154" s="18"/>
      <c r="J154" s="18"/>
      <c r="K154" s="18"/>
      <c r="L154" s="18"/>
      <c r="M154" s="18"/>
      <c r="N154" s="18"/>
      <c r="O154" s="18"/>
      <c r="P154" s="18"/>
      <c r="Q154" s="232"/>
      <c r="R154" s="232"/>
      <c r="S154" s="232"/>
      <c r="T154" s="231"/>
      <c r="U154" s="41"/>
    </row>
    <row r="155" spans="1:21" ht="16.5" thickBot="1" x14ac:dyDescent="0.25">
      <c r="A155" s="110"/>
      <c r="B155" s="108"/>
      <c r="C155" s="61" t="s">
        <v>1423</v>
      </c>
      <c r="D155" s="43"/>
      <c r="E155" s="43"/>
      <c r="F155" s="43"/>
      <c r="G155" s="43"/>
      <c r="H155" s="18"/>
      <c r="I155" s="18"/>
      <c r="J155" s="837">
        <f>VLOOKUP('Part 1'!L$16,Datasheet3!$B$6:$HG$332,128,FALSE)</f>
        <v>363945.66</v>
      </c>
      <c r="K155" s="838"/>
      <c r="L155" s="48"/>
      <c r="M155" s="48"/>
      <c r="N155" s="837">
        <f>VLOOKUP('Part 1'!L$16,Datasheet3!$B$6:$HG$332,129,FALSE)</f>
        <v>2500</v>
      </c>
      <c r="O155" s="838"/>
      <c r="P155" s="48"/>
      <c r="Q155" s="230"/>
      <c r="R155" s="835">
        <f>VLOOKUP(+'Part 1'!$L$16,Datasheet3!$B$6:$HG$332,130,FALSE)</f>
        <v>366445.66</v>
      </c>
      <c r="S155" s="836"/>
      <c r="T155" s="231"/>
      <c r="U155" s="41"/>
    </row>
    <row r="156" spans="1:21" ht="15" x14ac:dyDescent="0.2">
      <c r="A156" s="110"/>
      <c r="B156" s="108"/>
      <c r="C156" s="61" t="s">
        <v>68</v>
      </c>
      <c r="D156" s="43"/>
      <c r="E156" s="43"/>
      <c r="F156" s="43"/>
      <c r="G156" s="43"/>
      <c r="H156" s="18"/>
      <c r="I156" s="18"/>
      <c r="J156" s="18"/>
      <c r="K156" s="18"/>
      <c r="L156" s="18"/>
      <c r="M156" s="18"/>
      <c r="N156" s="18"/>
      <c r="O156" s="18"/>
      <c r="P156" s="18"/>
      <c r="Q156" s="232"/>
      <c r="R156" s="232"/>
      <c r="S156" s="232"/>
      <c r="T156" s="231"/>
      <c r="U156" s="41"/>
    </row>
    <row r="157" spans="1:21" ht="15" x14ac:dyDescent="0.2">
      <c r="A157" s="110"/>
      <c r="B157" s="108"/>
      <c r="C157" s="61"/>
      <c r="D157" s="43"/>
      <c r="E157" s="43"/>
      <c r="F157" s="43"/>
      <c r="G157" s="43"/>
      <c r="H157" s="18"/>
      <c r="I157" s="18"/>
      <c r="J157" s="18"/>
      <c r="K157" s="18"/>
      <c r="L157" s="18"/>
      <c r="M157" s="18"/>
      <c r="N157" s="18"/>
      <c r="O157" s="18"/>
      <c r="P157" s="18"/>
      <c r="Q157" s="232"/>
      <c r="R157" s="232"/>
      <c r="S157" s="232"/>
      <c r="T157" s="231"/>
      <c r="U157" s="41"/>
    </row>
    <row r="158" spans="1:21" ht="16.5" thickBot="1" x14ac:dyDescent="0.25">
      <c r="A158" s="110"/>
      <c r="B158" s="108"/>
      <c r="C158" s="107" t="s">
        <v>46</v>
      </c>
      <c r="D158" s="43"/>
      <c r="E158" s="43"/>
      <c r="F158" s="43"/>
      <c r="G158" s="43"/>
      <c r="H158" s="18"/>
      <c r="I158" s="18"/>
      <c r="J158" s="48"/>
      <c r="K158" s="48"/>
      <c r="L158" s="48"/>
      <c r="M158" s="48"/>
      <c r="N158" s="48"/>
      <c r="O158" s="48"/>
      <c r="P158" s="48"/>
      <c r="Q158" s="230"/>
      <c r="R158" s="230"/>
      <c r="S158" s="230"/>
      <c r="T158" s="231"/>
      <c r="U158" s="41"/>
    </row>
    <row r="159" spans="1:21" ht="16.5" thickBot="1" x14ac:dyDescent="0.25">
      <c r="A159" s="110"/>
      <c r="B159" s="108"/>
      <c r="C159" s="61" t="s">
        <v>1424</v>
      </c>
      <c r="D159" s="43"/>
      <c r="E159" s="43"/>
      <c r="F159" s="43"/>
      <c r="G159" s="43"/>
      <c r="H159" s="18"/>
      <c r="I159" s="18"/>
      <c r="J159" s="837">
        <f>VLOOKUP('Part 1'!L$16,Datasheet3!$B$6:$HG$332,131,FALSE)</f>
        <v>-115495</v>
      </c>
      <c r="K159" s="838"/>
      <c r="L159" s="48"/>
      <c r="M159" s="48"/>
      <c r="N159" s="837">
        <f>VLOOKUP('Part 1'!L$16,Datasheet3!$B$6:$HG$332,132,FALSE)</f>
        <v>0</v>
      </c>
      <c r="O159" s="838"/>
      <c r="P159" s="48"/>
      <c r="Q159" s="230"/>
      <c r="R159" s="835">
        <f>VLOOKUP(+'Part 1'!$L$16,Datasheet3!$B$6:$HG$332,133,FALSE)</f>
        <v>-115495</v>
      </c>
      <c r="S159" s="836"/>
      <c r="T159" s="231"/>
      <c r="U159" s="41"/>
    </row>
    <row r="160" spans="1:21" ht="15.75" customHeight="1" thickBot="1" x14ac:dyDescent="0.25">
      <c r="A160" s="110"/>
      <c r="B160" s="108"/>
      <c r="C160" s="61"/>
      <c r="D160" s="43"/>
      <c r="E160" s="43"/>
      <c r="F160" s="43"/>
      <c r="G160" s="43"/>
      <c r="H160" s="18"/>
      <c r="I160" s="18"/>
      <c r="J160" s="326"/>
      <c r="K160" s="326"/>
      <c r="L160" s="105"/>
      <c r="M160" s="105"/>
      <c r="N160" s="326"/>
      <c r="O160" s="326"/>
      <c r="P160" s="105"/>
      <c r="Q160" s="230"/>
      <c r="R160" s="233"/>
      <c r="S160" s="230"/>
      <c r="T160" s="231"/>
      <c r="U160" s="41"/>
    </row>
    <row r="161" spans="1:21" ht="16.5" thickBot="1" x14ac:dyDescent="0.25">
      <c r="A161" s="110"/>
      <c r="B161" s="108"/>
      <c r="C161" s="61" t="s">
        <v>1075</v>
      </c>
      <c r="D161" s="43"/>
      <c r="E161" s="43"/>
      <c r="F161" s="43"/>
      <c r="G161" s="43"/>
      <c r="H161" s="18"/>
      <c r="I161" s="18"/>
      <c r="J161" s="837">
        <f>VLOOKUP('Part 1'!L$16,Datasheet3!$B$6:$HG$332,134,FALSE)</f>
        <v>80547</v>
      </c>
      <c r="K161" s="838"/>
      <c r="L161" s="48"/>
      <c r="M161" s="48"/>
      <c r="N161" s="837">
        <f>VLOOKUP('Part 1'!L$16,Datasheet3!$B$6:$HG$332,135,FALSE)</f>
        <v>0</v>
      </c>
      <c r="O161" s="838"/>
      <c r="P161" s="48"/>
      <c r="Q161" s="230"/>
      <c r="R161" s="835">
        <f>VLOOKUP(+'Part 1'!$L$16,Datasheet3!$B$6:$HG$332,136,FALSE)</f>
        <v>80547</v>
      </c>
      <c r="S161" s="836"/>
      <c r="T161" s="231"/>
      <c r="U161" s="41"/>
    </row>
    <row r="162" spans="1:21" ht="15" x14ac:dyDescent="0.2">
      <c r="A162" s="110"/>
      <c r="B162" s="108"/>
      <c r="C162" s="61" t="s">
        <v>68</v>
      </c>
      <c r="D162" s="43"/>
      <c r="E162" s="43"/>
      <c r="F162" s="43"/>
      <c r="G162" s="43"/>
      <c r="H162" s="18"/>
      <c r="I162" s="18"/>
      <c r="J162" s="18"/>
      <c r="K162" s="18"/>
      <c r="L162" s="18"/>
      <c r="M162" s="18"/>
      <c r="N162" s="18"/>
      <c r="O162" s="18"/>
      <c r="P162" s="18"/>
      <c r="Q162" s="232"/>
      <c r="R162" s="232"/>
      <c r="S162" s="232"/>
      <c r="T162" s="231"/>
      <c r="U162" s="41"/>
    </row>
    <row r="163" spans="1:21" ht="15" x14ac:dyDescent="0.2">
      <c r="A163" s="110"/>
      <c r="B163" s="108"/>
      <c r="C163" s="61"/>
      <c r="D163" s="43"/>
      <c r="E163" s="43"/>
      <c r="F163" s="43"/>
      <c r="G163" s="43"/>
      <c r="H163" s="18"/>
      <c r="I163" s="18"/>
      <c r="J163" s="18"/>
      <c r="K163" s="18"/>
      <c r="L163" s="18"/>
      <c r="M163" s="18"/>
      <c r="N163" s="18"/>
      <c r="O163" s="18"/>
      <c r="P163" s="18"/>
      <c r="Q163" s="232"/>
      <c r="R163" s="232"/>
      <c r="S163" s="232"/>
      <c r="T163" s="231"/>
      <c r="U163" s="41"/>
    </row>
    <row r="164" spans="1:21" ht="16.5" thickBot="1" x14ac:dyDescent="0.25">
      <c r="A164" s="110"/>
      <c r="B164" s="108"/>
      <c r="C164" s="96" t="s">
        <v>891</v>
      </c>
      <c r="D164" s="43"/>
      <c r="E164" s="43"/>
      <c r="F164" s="43"/>
      <c r="G164" s="43"/>
      <c r="H164" s="18"/>
      <c r="I164" s="18"/>
      <c r="J164" s="18"/>
      <c r="K164" s="18"/>
      <c r="L164" s="18"/>
      <c r="M164" s="18"/>
      <c r="N164" s="18"/>
      <c r="O164" s="18"/>
      <c r="P164" s="18"/>
      <c r="Q164" s="232"/>
      <c r="R164" s="232"/>
      <c r="S164" s="232"/>
      <c r="T164" s="231"/>
      <c r="U164" s="41"/>
    </row>
    <row r="165" spans="1:21" ht="16.5" thickBot="1" x14ac:dyDescent="0.25">
      <c r="A165" s="110"/>
      <c r="B165" s="108"/>
      <c r="C165" s="61" t="s">
        <v>1425</v>
      </c>
      <c r="D165" s="43"/>
      <c r="E165" s="43"/>
      <c r="F165" s="43"/>
      <c r="G165" s="43"/>
      <c r="H165" s="18"/>
      <c r="I165" s="18"/>
      <c r="J165" s="837">
        <f>VLOOKUP('Part 1'!L$16,Datasheet3!$B$6:$HG$332,137,FALSE)</f>
        <v>37022.80999999999</v>
      </c>
      <c r="K165" s="838"/>
      <c r="L165" s="48"/>
      <c r="M165" s="48"/>
      <c r="N165" s="837">
        <f>VLOOKUP('Part 1'!L$16,Datasheet3!$B$6:$HG$332,138,FALSE)</f>
        <v>0</v>
      </c>
      <c r="O165" s="838"/>
      <c r="P165" s="48"/>
      <c r="Q165" s="230"/>
      <c r="R165" s="835">
        <f>VLOOKUP(+'Part 1'!$L$16,Datasheet3!$B$6:$HG$332,139,FALSE)</f>
        <v>37022.80999999999</v>
      </c>
      <c r="S165" s="836"/>
      <c r="T165" s="231"/>
      <c r="U165" s="41"/>
    </row>
    <row r="166" spans="1:21" ht="15" x14ac:dyDescent="0.2">
      <c r="A166" s="110"/>
      <c r="B166" s="108"/>
      <c r="C166" s="61" t="s">
        <v>68</v>
      </c>
      <c r="D166" s="43"/>
      <c r="E166" s="43"/>
      <c r="F166" s="43"/>
      <c r="G166" s="43"/>
      <c r="H166" s="18"/>
      <c r="I166" s="18"/>
      <c r="J166" s="18"/>
      <c r="K166" s="18"/>
      <c r="L166" s="18"/>
      <c r="M166" s="18"/>
      <c r="N166" s="18"/>
      <c r="O166" s="18"/>
      <c r="P166" s="18"/>
      <c r="Q166" s="232"/>
      <c r="R166" s="232"/>
      <c r="S166" s="232"/>
      <c r="T166" s="231"/>
      <c r="U166" s="41"/>
    </row>
    <row r="167" spans="1:21" ht="15" x14ac:dyDescent="0.2">
      <c r="A167" s="110"/>
      <c r="B167" s="108"/>
      <c r="C167" s="61"/>
      <c r="D167" s="43"/>
      <c r="E167" s="43"/>
      <c r="F167" s="43"/>
      <c r="G167" s="43"/>
      <c r="H167" s="18"/>
      <c r="I167" s="18"/>
      <c r="J167" s="18"/>
      <c r="K167" s="18"/>
      <c r="L167" s="18"/>
      <c r="M167" s="18"/>
      <c r="N167" s="18"/>
      <c r="O167" s="18"/>
      <c r="P167" s="18"/>
      <c r="Q167" s="232"/>
      <c r="R167" s="232"/>
      <c r="S167" s="232"/>
      <c r="T167" s="231"/>
      <c r="U167" s="41"/>
    </row>
    <row r="168" spans="1:21" ht="16.5" thickBot="1" x14ac:dyDescent="0.25">
      <c r="A168" s="110"/>
      <c r="B168" s="108"/>
      <c r="C168" s="96" t="s">
        <v>34</v>
      </c>
      <c r="D168" s="61"/>
      <c r="E168" s="61"/>
      <c r="F168" s="61"/>
      <c r="G168" s="61"/>
      <c r="H168" s="6"/>
      <c r="I168" s="6"/>
      <c r="J168" s="6"/>
      <c r="K168" s="6"/>
      <c r="L168" s="6"/>
      <c r="M168" s="6"/>
      <c r="N168" s="6"/>
      <c r="O168" s="6"/>
      <c r="P168" s="6"/>
      <c r="Q168" s="550"/>
      <c r="R168" s="550"/>
      <c r="S168" s="550"/>
      <c r="T168" s="231"/>
      <c r="U168" s="41"/>
    </row>
    <row r="169" spans="1:21" ht="16.5" thickBot="1" x14ac:dyDescent="0.25">
      <c r="A169" s="110"/>
      <c r="B169" s="108"/>
      <c r="C169" s="61" t="s">
        <v>1426</v>
      </c>
      <c r="D169" s="61"/>
      <c r="E169" s="61"/>
      <c r="F169" s="61"/>
      <c r="G169" s="61"/>
      <c r="H169" s="6"/>
      <c r="I169" s="6"/>
      <c r="J169" s="834">
        <f>VLOOKUP(+'Part 1'!$L$16,Datasheet3!$B$6:$HG$332,140,FALSE)</f>
        <v>-4250283</v>
      </c>
      <c r="K169" s="861"/>
      <c r="L169" s="52"/>
      <c r="M169" s="52"/>
      <c r="N169" s="826">
        <f>VLOOKUP(+'Part 1'!$L$16,Datasheet3!$B$6:$HG$332,141,FALSE)</f>
        <v>0</v>
      </c>
      <c r="O169" s="843"/>
      <c r="P169" s="52"/>
      <c r="Q169" s="548"/>
      <c r="R169" s="790">
        <f>VLOOKUP(+'Part 1'!$L$16,Datasheet3!$B$6:$HG$332,142,FALSE)</f>
        <v>-4250283</v>
      </c>
      <c r="S169" s="791"/>
      <c r="T169" s="231"/>
      <c r="U169" s="41"/>
    </row>
    <row r="170" spans="1:21" ht="16.5" thickBot="1" x14ac:dyDescent="0.25">
      <c r="A170" s="110"/>
      <c r="B170" s="108"/>
      <c r="C170" s="61"/>
      <c r="D170" s="61"/>
      <c r="E170" s="61"/>
      <c r="F170" s="61"/>
      <c r="G170" s="61"/>
      <c r="H170" s="6"/>
      <c r="I170" s="6"/>
      <c r="J170" s="326"/>
      <c r="K170" s="105"/>
      <c r="L170" s="337"/>
      <c r="M170" s="337"/>
      <c r="N170" s="634"/>
      <c r="O170" s="634"/>
      <c r="P170" s="337"/>
      <c r="Q170" s="548"/>
      <c r="R170" s="549"/>
      <c r="S170" s="548"/>
      <c r="T170" s="231"/>
      <c r="U170" s="41"/>
    </row>
    <row r="171" spans="1:21" ht="16.5" thickBot="1" x14ac:dyDescent="0.25">
      <c r="A171" s="110"/>
      <c r="B171" s="108"/>
      <c r="C171" s="61" t="s">
        <v>1251</v>
      </c>
      <c r="D171" s="61"/>
      <c r="E171" s="61"/>
      <c r="F171" s="61"/>
      <c r="G171" s="61"/>
      <c r="H171" s="6"/>
      <c r="I171" s="6"/>
      <c r="J171" s="834">
        <f>VLOOKUP(+'Part 1'!$L$16,Datasheet3!$B$6:$HG$332,143,FALSE)</f>
        <v>-33531.360000000001</v>
      </c>
      <c r="K171" s="828"/>
      <c r="L171" s="52"/>
      <c r="M171" s="52"/>
      <c r="N171" s="826">
        <f>VLOOKUP(+'Part 1'!$L$16,Datasheet3!$B$6:$HG$332,144,FALSE)</f>
        <v>0</v>
      </c>
      <c r="O171" s="828"/>
      <c r="P171" s="52"/>
      <c r="Q171" s="548"/>
      <c r="R171" s="748">
        <f>VLOOKUP(+'Part 1'!$L$16,Datasheet3!$B$6:$HG$332,145,FALSE)</f>
        <v>-33531.360000000001</v>
      </c>
      <c r="S171" s="783"/>
      <c r="T171" s="231"/>
      <c r="U171" s="41"/>
    </row>
    <row r="172" spans="1:21" ht="15.75" x14ac:dyDescent="0.2">
      <c r="A172" s="110"/>
      <c r="B172" s="108"/>
      <c r="C172" s="61" t="s">
        <v>68</v>
      </c>
      <c r="D172" s="61"/>
      <c r="E172" s="61"/>
      <c r="F172" s="61"/>
      <c r="G172" s="61"/>
      <c r="H172" s="6"/>
      <c r="I172" s="6"/>
      <c r="J172" s="6"/>
      <c r="K172" s="6"/>
      <c r="L172" s="6"/>
      <c r="M172" s="6"/>
      <c r="N172" s="6"/>
      <c r="O172" s="6"/>
      <c r="P172" s="52"/>
      <c r="Q172" s="548"/>
      <c r="R172" s="549"/>
      <c r="S172" s="548"/>
      <c r="T172" s="231"/>
      <c r="U172" s="41"/>
    </row>
    <row r="173" spans="1:21" ht="15.75" x14ac:dyDescent="0.2">
      <c r="A173" s="110"/>
      <c r="B173" s="108"/>
      <c r="C173" s="61"/>
      <c r="D173" s="61"/>
      <c r="E173" s="61"/>
      <c r="F173" s="61"/>
      <c r="G173" s="61"/>
      <c r="H173" s="6"/>
      <c r="I173" s="6"/>
      <c r="J173" s="6"/>
      <c r="K173" s="6"/>
      <c r="L173" s="6"/>
      <c r="M173" s="6"/>
      <c r="N173" s="6"/>
      <c r="O173" s="6"/>
      <c r="P173" s="52"/>
      <c r="Q173" s="548"/>
      <c r="R173" s="549"/>
      <c r="S173" s="548"/>
      <c r="T173" s="231"/>
      <c r="U173" s="41"/>
    </row>
    <row r="174" spans="1:21" ht="16.5" thickBot="1" x14ac:dyDescent="0.25">
      <c r="A174" s="110"/>
      <c r="B174" s="108"/>
      <c r="C174" s="96" t="s">
        <v>1252</v>
      </c>
      <c r="D174" s="61"/>
      <c r="E174" s="61"/>
      <c r="F174" s="61"/>
      <c r="G174" s="61"/>
      <c r="H174" s="6"/>
      <c r="I174" s="6"/>
      <c r="J174" s="6"/>
      <c r="K174" s="6"/>
      <c r="L174" s="6"/>
      <c r="M174" s="6"/>
      <c r="N174" s="6"/>
      <c r="O174" s="6"/>
      <c r="P174" s="52"/>
      <c r="Q174" s="548"/>
      <c r="R174" s="549"/>
      <c r="S174" s="548"/>
      <c r="T174" s="231"/>
      <c r="U174" s="41"/>
    </row>
    <row r="175" spans="1:21" ht="16.5" thickBot="1" x14ac:dyDescent="0.25">
      <c r="A175" s="110"/>
      <c r="B175" s="108"/>
      <c r="C175" s="61" t="s">
        <v>1427</v>
      </c>
      <c r="D175" s="61"/>
      <c r="E175" s="61"/>
      <c r="F175" s="61"/>
      <c r="G175" s="61"/>
      <c r="H175" s="6"/>
      <c r="I175" s="6"/>
      <c r="J175" s="826">
        <f>VLOOKUP(+'Part 1'!$L$16,Datasheet3!$B$6:$HG$332,146,FALSE)</f>
        <v>-213887.00999999998</v>
      </c>
      <c r="K175" s="843"/>
      <c r="L175" s="52"/>
      <c r="M175" s="52"/>
      <c r="N175" s="826">
        <f>VLOOKUP(+'Part 1'!$L$16,Datasheet3!$B$6:$HG$332,147,FALSE)</f>
        <v>-945</v>
      </c>
      <c r="O175" s="843"/>
      <c r="P175" s="52"/>
      <c r="Q175" s="548"/>
      <c r="R175" s="790">
        <f>VLOOKUP(+'Part 1'!$L$16,Datasheet3!$B$6:$HG$332,148,FALSE)</f>
        <v>-214832.00999999998</v>
      </c>
      <c r="S175" s="791"/>
      <c r="T175" s="231"/>
      <c r="U175" s="41"/>
    </row>
    <row r="176" spans="1:21" ht="16.5" thickBot="1" x14ac:dyDescent="0.25">
      <c r="A176" s="110"/>
      <c r="B176" s="108"/>
      <c r="C176" s="61"/>
      <c r="D176" s="61"/>
      <c r="E176" s="61"/>
      <c r="F176" s="61"/>
      <c r="G176" s="61"/>
      <c r="H176" s="6"/>
      <c r="I176" s="587"/>
      <c r="J176" s="634"/>
      <c r="K176" s="634"/>
      <c r="L176" s="337"/>
      <c r="M176" s="337"/>
      <c r="N176" s="634"/>
      <c r="O176" s="634"/>
      <c r="P176" s="52"/>
      <c r="Q176" s="548"/>
      <c r="R176" s="549"/>
      <c r="S176" s="548"/>
      <c r="T176" s="231"/>
      <c r="U176" s="41"/>
    </row>
    <row r="177" spans="1:22" ht="16.5" thickBot="1" x14ac:dyDescent="0.3">
      <c r="A177" s="110"/>
      <c r="B177" s="108"/>
      <c r="C177" s="61" t="s">
        <v>1428</v>
      </c>
      <c r="D177" s="61"/>
      <c r="E177" s="61"/>
      <c r="F177" s="61"/>
      <c r="G177" s="61"/>
      <c r="H177" s="6"/>
      <c r="I177" s="6"/>
      <c r="J177" s="863">
        <f>VLOOKUP(+'Part 1'!$L$16,Datasheet3!$B$6:$HG$332,149,FALSE)</f>
        <v>-31675</v>
      </c>
      <c r="K177" s="864"/>
      <c r="L177" s="6"/>
      <c r="M177" s="6"/>
      <c r="N177" s="865">
        <f>VLOOKUP(+'Part 1'!$L$16,Datasheet3!$B$6:$HG$332,150,FALSE)</f>
        <v>0</v>
      </c>
      <c r="O177" s="866"/>
      <c r="P177" s="52"/>
      <c r="Q177" s="548"/>
      <c r="R177" s="748">
        <f>VLOOKUP(+'Part 1'!$L$16,Datasheet3!$B$6:$HG$332,151,FALSE)</f>
        <v>-31675</v>
      </c>
      <c r="S177" s="783"/>
      <c r="T177" s="231"/>
      <c r="U177" s="41"/>
    </row>
    <row r="178" spans="1:22" ht="15.75" x14ac:dyDescent="0.2">
      <c r="A178" s="110"/>
      <c r="B178" s="108"/>
      <c r="C178" s="61" t="s">
        <v>68</v>
      </c>
      <c r="D178" s="61"/>
      <c r="E178" s="61"/>
      <c r="F178" s="61"/>
      <c r="G178" s="61"/>
      <c r="H178" s="6"/>
      <c r="I178" s="6"/>
      <c r="J178" s="6"/>
      <c r="K178" s="6"/>
      <c r="L178" s="6"/>
      <c r="M178" s="6"/>
      <c r="N178" s="6"/>
      <c r="O178" s="6"/>
      <c r="P178" s="52"/>
      <c r="Q178" s="548"/>
      <c r="R178" s="549"/>
      <c r="S178" s="548"/>
      <c r="T178" s="231"/>
      <c r="U178" s="41"/>
    </row>
    <row r="179" spans="1:22" ht="15.75" x14ac:dyDescent="0.2">
      <c r="A179" s="110"/>
      <c r="B179" s="108"/>
      <c r="C179" s="61"/>
      <c r="D179" s="61"/>
      <c r="E179" s="61"/>
      <c r="F179" s="61"/>
      <c r="G179" s="61"/>
      <c r="H179" s="6"/>
      <c r="I179" s="6"/>
      <c r="J179" s="6"/>
      <c r="K179" s="6"/>
      <c r="L179" s="6"/>
      <c r="M179" s="6"/>
      <c r="N179" s="6"/>
      <c r="O179" s="6"/>
      <c r="P179" s="52"/>
      <c r="Q179" s="548"/>
      <c r="R179" s="549"/>
      <c r="S179" s="548"/>
      <c r="T179" s="231"/>
      <c r="U179" s="41"/>
    </row>
    <row r="180" spans="1:22" ht="16.5" thickBot="1" x14ac:dyDescent="0.25">
      <c r="A180" s="110"/>
      <c r="B180" s="108"/>
      <c r="C180" s="96" t="s">
        <v>1253</v>
      </c>
      <c r="D180" s="61"/>
      <c r="E180" s="61"/>
      <c r="F180" s="61"/>
      <c r="G180" s="61"/>
      <c r="H180" s="6"/>
      <c r="I180" s="6"/>
      <c r="J180" s="6"/>
      <c r="K180" s="6"/>
      <c r="L180" s="6"/>
      <c r="M180" s="6"/>
      <c r="N180" s="6"/>
      <c r="O180" s="6"/>
      <c r="P180" s="52"/>
      <c r="Q180" s="548"/>
      <c r="R180" s="549"/>
      <c r="S180" s="548"/>
      <c r="T180" s="231"/>
      <c r="U180" s="41"/>
    </row>
    <row r="181" spans="1:22" ht="16.5" thickBot="1" x14ac:dyDescent="0.25">
      <c r="A181" s="110"/>
      <c r="B181" s="108"/>
      <c r="C181" s="61" t="s">
        <v>1429</v>
      </c>
      <c r="D181" s="61"/>
      <c r="E181" s="61"/>
      <c r="F181" s="61"/>
      <c r="G181" s="61"/>
      <c r="H181" s="6"/>
      <c r="I181" s="6"/>
      <c r="J181" s="862">
        <f>VLOOKUP(+'Part 1'!$L$16,Datasheet3!$B$6:$HG$332,152,FALSE)</f>
        <v>-14458026.760000002</v>
      </c>
      <c r="K181" s="843"/>
      <c r="L181" s="52"/>
      <c r="M181" s="52"/>
      <c r="N181" s="862">
        <f>VLOOKUP(+'Part 1'!$L$16,Datasheet3!$B$6:$HG$332,153,FALSE)</f>
        <v>-36032</v>
      </c>
      <c r="O181" s="843"/>
      <c r="P181" s="52"/>
      <c r="Q181" s="548"/>
      <c r="R181" s="790">
        <f>VLOOKUP(+'Part 1'!$L$16,Datasheet3!$B$6:$HG$332,154,FALSE)</f>
        <v>-14494058.760000002</v>
      </c>
      <c r="S181" s="791"/>
      <c r="T181" s="231"/>
      <c r="U181" s="41"/>
    </row>
    <row r="182" spans="1:22" ht="16.5" thickBot="1" x14ac:dyDescent="0.25">
      <c r="A182" s="110"/>
      <c r="B182" s="108"/>
      <c r="C182" s="61"/>
      <c r="D182" s="61"/>
      <c r="E182" s="61"/>
      <c r="F182" s="61"/>
      <c r="G182" s="61"/>
      <c r="H182" s="6"/>
      <c r="I182" s="6"/>
      <c r="J182" s="634"/>
      <c r="K182" s="634"/>
      <c r="L182" s="337"/>
      <c r="M182" s="337"/>
      <c r="N182" s="634"/>
      <c r="O182" s="634"/>
      <c r="P182" s="52"/>
      <c r="Q182" s="548"/>
      <c r="R182" s="549"/>
      <c r="S182" s="548"/>
      <c r="T182" s="231"/>
      <c r="U182" s="41"/>
    </row>
    <row r="183" spans="1:22" ht="16.5" thickBot="1" x14ac:dyDescent="0.25">
      <c r="A183" s="110"/>
      <c r="B183" s="108"/>
      <c r="C183" s="61" t="s">
        <v>1430</v>
      </c>
      <c r="D183" s="61"/>
      <c r="E183" s="61"/>
      <c r="F183" s="61"/>
      <c r="G183" s="61"/>
      <c r="H183" s="6"/>
      <c r="I183" s="6"/>
      <c r="J183" s="826">
        <f>VLOOKUP(+'Part 1'!$L$16,Datasheet3!$B$6:$HG$332,155,FALSE)</f>
        <v>169248.53</v>
      </c>
      <c r="K183" s="827"/>
      <c r="L183" s="52"/>
      <c r="M183" s="52"/>
      <c r="N183" s="826">
        <f>VLOOKUP(+'Part 1'!$L$16,Datasheet3!$B$6:$HG$332,156,FALSE)</f>
        <v>1644</v>
      </c>
      <c r="O183" s="827"/>
      <c r="P183" s="52"/>
      <c r="Q183" s="548"/>
      <c r="R183" s="748">
        <f>VLOOKUP(+'Part 1'!$L$16,Datasheet3!$B$6:$HG$332,157,FALSE)</f>
        <v>170892.53</v>
      </c>
      <c r="S183" s="783"/>
      <c r="T183" s="231"/>
      <c r="U183" s="41"/>
    </row>
    <row r="184" spans="1:22" ht="15.75" x14ac:dyDescent="0.2">
      <c r="A184" s="110"/>
      <c r="B184" s="108"/>
      <c r="C184" s="61" t="s">
        <v>68</v>
      </c>
      <c r="D184" s="61"/>
      <c r="E184" s="61"/>
      <c r="F184" s="61"/>
      <c r="G184" s="61"/>
      <c r="H184" s="6"/>
      <c r="I184" s="6"/>
      <c r="J184" s="6"/>
      <c r="K184" s="6"/>
      <c r="L184" s="6"/>
      <c r="M184" s="6"/>
      <c r="N184" s="6"/>
      <c r="O184" s="6"/>
      <c r="P184" s="52"/>
      <c r="Q184" s="548"/>
      <c r="R184" s="549"/>
      <c r="S184" s="548"/>
      <c r="T184" s="231"/>
      <c r="U184" s="41"/>
    </row>
    <row r="185" spans="1:22" ht="15.75" x14ac:dyDescent="0.2">
      <c r="A185" s="110"/>
      <c r="B185" s="108"/>
      <c r="C185" s="61"/>
      <c r="D185" s="61"/>
      <c r="E185" s="61"/>
      <c r="F185" s="61"/>
      <c r="G185" s="61"/>
      <c r="H185" s="6"/>
      <c r="I185" s="6"/>
      <c r="J185" s="6"/>
      <c r="K185" s="6"/>
      <c r="L185" s="6"/>
      <c r="M185" s="6"/>
      <c r="N185" s="6"/>
      <c r="O185" s="6"/>
      <c r="P185" s="52"/>
      <c r="Q185" s="548"/>
      <c r="R185" s="549"/>
      <c r="S185" s="548"/>
      <c r="T185" s="231"/>
      <c r="U185" s="41"/>
    </row>
    <row r="186" spans="1:22" ht="16.5" thickBot="1" x14ac:dyDescent="0.25">
      <c r="A186" s="110"/>
      <c r="B186" s="108"/>
      <c r="C186" s="96" t="s">
        <v>1254</v>
      </c>
      <c r="D186" s="61"/>
      <c r="E186" s="61"/>
      <c r="F186" s="61"/>
      <c r="G186" s="61"/>
      <c r="H186" s="6"/>
      <c r="I186" s="6"/>
      <c r="J186" s="841"/>
      <c r="K186" s="842"/>
      <c r="L186" s="6"/>
      <c r="M186" s="6"/>
      <c r="N186" s="841"/>
      <c r="O186" s="842"/>
      <c r="P186" s="52"/>
      <c r="Q186" s="548"/>
      <c r="R186" s="549"/>
      <c r="S186" s="548"/>
      <c r="T186" s="231"/>
      <c r="U186" s="41"/>
    </row>
    <row r="187" spans="1:22" ht="16.5" thickBot="1" x14ac:dyDescent="0.25">
      <c r="A187" s="110"/>
      <c r="B187" s="108"/>
      <c r="C187" s="61" t="s">
        <v>1431</v>
      </c>
      <c r="D187" s="61"/>
      <c r="E187" s="61"/>
      <c r="F187" s="61"/>
      <c r="G187" s="61"/>
      <c r="H187" s="6"/>
      <c r="I187" s="6"/>
      <c r="J187" s="862">
        <f>VLOOKUP(+'Part 1'!$L$16,Datasheet3!$B$6:$HG$332,158,FALSE)</f>
        <v>-76397499.300000012</v>
      </c>
      <c r="K187" s="843"/>
      <c r="L187" s="52"/>
      <c r="M187" s="52"/>
      <c r="N187" s="862">
        <f>VLOOKUP(+'Part 1'!$L$16,Datasheet3!$B$6:$HG$332,159,FALSE)</f>
        <v>-347612</v>
      </c>
      <c r="O187" s="843"/>
      <c r="P187" s="52"/>
      <c r="Q187" s="548"/>
      <c r="R187" s="790">
        <f>VLOOKUP(+'Part 1'!$L$16,Datasheet3!$B$6:$HG$332,160,FALSE)</f>
        <v>-76745111.300000012</v>
      </c>
      <c r="S187" s="791"/>
      <c r="T187" s="231"/>
      <c r="U187" s="41"/>
      <c r="V187" s="575" t="s">
        <v>1255</v>
      </c>
    </row>
    <row r="188" spans="1:22" ht="16.5" thickBot="1" x14ac:dyDescent="0.25">
      <c r="A188" s="110"/>
      <c r="B188" s="108"/>
      <c r="C188" s="61"/>
      <c r="D188" s="61"/>
      <c r="E188" s="61"/>
      <c r="F188" s="61"/>
      <c r="G188" s="61"/>
      <c r="H188" s="6"/>
      <c r="I188" s="587"/>
      <c r="J188" s="634"/>
      <c r="K188" s="634"/>
      <c r="L188" s="337"/>
      <c r="M188" s="337"/>
      <c r="N188" s="634"/>
      <c r="O188" s="634"/>
      <c r="P188" s="52"/>
      <c r="Q188" s="548"/>
      <c r="R188" s="549"/>
      <c r="S188" s="548"/>
      <c r="T188" s="231"/>
      <c r="U188" s="41"/>
      <c r="V188" s="635"/>
    </row>
    <row r="189" spans="1:22" ht="16.5" thickBot="1" x14ac:dyDescent="0.25">
      <c r="A189" s="110"/>
      <c r="B189" s="108"/>
      <c r="C189" s="61" t="s">
        <v>1434</v>
      </c>
      <c r="D189" s="61"/>
      <c r="E189" s="61"/>
      <c r="F189" s="61"/>
      <c r="G189" s="61"/>
      <c r="H189" s="6"/>
      <c r="I189" s="6"/>
      <c r="J189" s="826">
        <f>VLOOKUP(+'Part 1'!$L$16,Datasheet3!$B$6:$HG$332,161,FALSE)</f>
        <v>-2028162.78</v>
      </c>
      <c r="K189" s="827"/>
      <c r="L189" s="52"/>
      <c r="M189" s="52"/>
      <c r="N189" s="826">
        <f>VLOOKUP(+'Part 1'!$L$16,Datasheet3!$B$6:$HG$332,162,FALSE)</f>
        <v>19316</v>
      </c>
      <c r="O189" s="827"/>
      <c r="P189" s="52"/>
      <c r="Q189" s="548"/>
      <c r="R189" s="748">
        <f>VLOOKUP(+'Part 1'!$L$16,Datasheet3!$B$6:$HG$332,163,FALSE)</f>
        <v>-2008846.78</v>
      </c>
      <c r="S189" s="783"/>
      <c r="T189" s="231"/>
      <c r="U189" s="41"/>
      <c r="V189" s="635"/>
    </row>
    <row r="190" spans="1:22" ht="15.75" x14ac:dyDescent="0.2">
      <c r="A190" s="110"/>
      <c r="B190" s="108"/>
      <c r="C190" s="61" t="s">
        <v>68</v>
      </c>
      <c r="D190" s="61"/>
      <c r="E190" s="61"/>
      <c r="F190" s="61"/>
      <c r="G190" s="61"/>
      <c r="H190" s="6"/>
      <c r="I190" s="587"/>
      <c r="J190" s="634"/>
      <c r="K190" s="634"/>
      <c r="L190" s="337"/>
      <c r="M190" s="337"/>
      <c r="N190" s="634"/>
      <c r="O190" s="634"/>
      <c r="P190" s="52"/>
      <c r="Q190" s="548"/>
      <c r="R190" s="549"/>
      <c r="S190" s="548"/>
      <c r="T190" s="231"/>
      <c r="U190" s="41"/>
      <c r="V190" s="635"/>
    </row>
    <row r="191" spans="1:22" ht="15.75" x14ac:dyDescent="0.25">
      <c r="A191" s="110"/>
      <c r="B191" s="108"/>
      <c r="C191" s="61"/>
      <c r="D191" s="61"/>
      <c r="E191" s="61"/>
      <c r="F191" s="61"/>
      <c r="G191" s="61"/>
      <c r="H191" s="6"/>
      <c r="I191" s="587"/>
      <c r="J191" s="587"/>
      <c r="K191" s="587"/>
      <c r="L191" s="587"/>
      <c r="M191" s="587"/>
      <c r="N191" s="587"/>
      <c r="O191" s="587"/>
      <c r="P191" s="52"/>
      <c r="Q191" s="548"/>
      <c r="R191" s="576"/>
      <c r="S191" s="577"/>
      <c r="T191" s="231"/>
      <c r="U191" s="41"/>
    </row>
    <row r="192" spans="1:22" ht="16.5" thickBot="1" x14ac:dyDescent="0.25">
      <c r="A192" s="110"/>
      <c r="B192" s="108"/>
      <c r="C192" s="96" t="s">
        <v>1256</v>
      </c>
      <c r="D192" s="61"/>
      <c r="E192" s="61"/>
      <c r="F192" s="61"/>
      <c r="G192" s="61"/>
      <c r="H192" s="6"/>
      <c r="I192" s="6"/>
      <c r="J192" s="6"/>
      <c r="K192" s="6"/>
      <c r="L192" s="6"/>
      <c r="M192" s="6"/>
      <c r="N192" s="6"/>
      <c r="O192" s="6"/>
      <c r="P192" s="52"/>
      <c r="Q192" s="548"/>
      <c r="R192" s="549"/>
      <c r="S192" s="548"/>
      <c r="T192" s="231"/>
      <c r="U192" s="41"/>
    </row>
    <row r="193" spans="1:23" ht="16.5" thickBot="1" x14ac:dyDescent="0.25">
      <c r="A193" s="110"/>
      <c r="B193" s="108"/>
      <c r="C193" s="61" t="s">
        <v>1432</v>
      </c>
      <c r="D193" s="61"/>
      <c r="E193" s="61"/>
      <c r="F193" s="61"/>
      <c r="G193" s="61"/>
      <c r="H193" s="6"/>
      <c r="I193" s="6"/>
      <c r="J193" s="862">
        <f>VLOOKUP(+'Part 1'!$L$16,Datasheet3!$B$6:$HG$332,164,FALSE)</f>
        <v>-16924121.620000001</v>
      </c>
      <c r="K193" s="843"/>
      <c r="L193" s="52"/>
      <c r="M193" s="52"/>
      <c r="N193" s="862">
        <f>VLOOKUP(+'Part 1'!$L$16,Datasheet3!$B$6:$HG$332,165,FALSE)</f>
        <v>-56094</v>
      </c>
      <c r="O193" s="843"/>
      <c r="P193" s="52"/>
      <c r="Q193" s="548"/>
      <c r="R193" s="790">
        <f>VLOOKUP(+'Part 1'!$L$16,Datasheet3!$B$6:$HG$332,166,FALSE)</f>
        <v>-16980215.620000001</v>
      </c>
      <c r="S193" s="791"/>
      <c r="T193" s="231"/>
      <c r="U193" s="41"/>
    </row>
    <row r="194" spans="1:23" ht="16.5" thickBot="1" x14ac:dyDescent="0.25">
      <c r="A194" s="110"/>
      <c r="B194" s="108"/>
      <c r="C194" s="61"/>
      <c r="D194" s="61"/>
      <c r="E194" s="61"/>
      <c r="F194" s="61"/>
      <c r="G194" s="61"/>
      <c r="H194" s="6"/>
      <c r="I194" s="587"/>
      <c r="J194" s="634"/>
      <c r="K194" s="634"/>
      <c r="L194" s="337"/>
      <c r="M194" s="337"/>
      <c r="N194" s="634"/>
      <c r="O194" s="634"/>
      <c r="P194" s="52"/>
      <c r="Q194" s="548"/>
      <c r="R194" s="549"/>
      <c r="S194" s="548"/>
      <c r="T194" s="231"/>
      <c r="U194" s="41"/>
    </row>
    <row r="195" spans="1:23" ht="16.5" thickBot="1" x14ac:dyDescent="0.25">
      <c r="A195" s="110"/>
      <c r="B195" s="108"/>
      <c r="C195" s="61" t="s">
        <v>1433</v>
      </c>
      <c r="D195" s="61"/>
      <c r="E195" s="61"/>
      <c r="F195" s="61"/>
      <c r="G195" s="61"/>
      <c r="H195" s="6"/>
      <c r="I195" s="6"/>
      <c r="J195" s="826">
        <f>VLOOKUP(+'Part 1'!$L$16,Datasheet3!$B$6:$HG$332,167,FALSE)</f>
        <v>-92127.34</v>
      </c>
      <c r="K195" s="828"/>
      <c r="L195" s="52"/>
      <c r="M195" s="52"/>
      <c r="N195" s="826">
        <f>VLOOKUP(+'Part 1'!$L$16,Datasheet3!$B$6:$HG$332,168,FALSE)</f>
        <v>-1481</v>
      </c>
      <c r="O195" s="828"/>
      <c r="P195" s="52"/>
      <c r="Q195" s="548"/>
      <c r="R195" s="748">
        <f>VLOOKUP(+'Part 1'!$L$16,Datasheet3!$B$6:$HG$332,169,FALSE)</f>
        <v>-93608.34</v>
      </c>
      <c r="S195" s="783"/>
      <c r="T195" s="231"/>
      <c r="U195" s="41"/>
    </row>
    <row r="196" spans="1:23" ht="15.75" x14ac:dyDescent="0.2">
      <c r="A196" s="110"/>
      <c r="B196" s="108"/>
      <c r="C196" s="61" t="s">
        <v>68</v>
      </c>
      <c r="D196" s="61"/>
      <c r="E196" s="61"/>
      <c r="F196" s="61"/>
      <c r="G196" s="61"/>
      <c r="H196" s="6"/>
      <c r="I196" s="6"/>
      <c r="J196" s="634"/>
      <c r="K196" s="634"/>
      <c r="L196" s="337"/>
      <c r="M196" s="337"/>
      <c r="N196" s="634"/>
      <c r="O196" s="634"/>
      <c r="P196" s="52"/>
      <c r="Q196" s="548"/>
      <c r="R196" s="549"/>
      <c r="S196" s="548"/>
      <c r="T196" s="231"/>
      <c r="U196" s="41"/>
    </row>
    <row r="197" spans="1:23" ht="15.75" x14ac:dyDescent="0.2">
      <c r="A197" s="110"/>
      <c r="B197" s="108"/>
      <c r="C197" s="61"/>
      <c r="D197" s="61"/>
      <c r="E197" s="61"/>
      <c r="F197" s="61"/>
      <c r="G197" s="61"/>
      <c r="H197" s="6"/>
      <c r="I197" s="6"/>
      <c r="J197" s="634"/>
      <c r="K197" s="634"/>
      <c r="L197" s="337"/>
      <c r="M197" s="337"/>
      <c r="N197" s="634"/>
      <c r="O197" s="634"/>
      <c r="P197" s="52"/>
      <c r="Q197" s="548"/>
      <c r="R197" s="549"/>
      <c r="S197" s="548"/>
      <c r="T197" s="231"/>
      <c r="U197" s="41"/>
    </row>
    <row r="198" spans="1:23" ht="16.5" thickBot="1" x14ac:dyDescent="0.25">
      <c r="A198" s="110"/>
      <c r="B198" s="108"/>
      <c r="C198" s="96" t="s">
        <v>1435</v>
      </c>
      <c r="D198" s="96"/>
      <c r="E198" s="61"/>
      <c r="F198" s="61"/>
      <c r="G198" s="61"/>
      <c r="H198" s="6"/>
      <c r="I198" s="6"/>
      <c r="J198" s="634"/>
      <c r="K198" s="634"/>
      <c r="L198" s="337"/>
      <c r="M198" s="337"/>
      <c r="N198" s="634"/>
      <c r="O198" s="634"/>
      <c r="P198" s="52"/>
      <c r="Q198" s="548"/>
      <c r="R198" s="549"/>
      <c r="S198" s="548"/>
      <c r="T198" s="231"/>
      <c r="U198" s="41"/>
    </row>
    <row r="199" spans="1:23" ht="16.5" thickBot="1" x14ac:dyDescent="0.25">
      <c r="A199" s="110"/>
      <c r="B199" s="108"/>
      <c r="C199" s="61" t="s">
        <v>1436</v>
      </c>
      <c r="D199" s="61"/>
      <c r="E199" s="61"/>
      <c r="F199" s="61"/>
      <c r="G199" s="61"/>
      <c r="H199" s="6"/>
      <c r="I199" s="6"/>
      <c r="J199" s="826">
        <f>VLOOKUP(+'Part 1'!$L$16,Datasheet3!$B$6:$HG$332,170,FALSE)</f>
        <v>0</v>
      </c>
      <c r="K199" s="828"/>
      <c r="L199" s="52"/>
      <c r="M199" s="52"/>
      <c r="N199" s="826">
        <f>VLOOKUP(+'Part 1'!$L$16,Datasheet3!$B$6:$HG$332,171,FALSE)</f>
        <v>0</v>
      </c>
      <c r="O199" s="828"/>
      <c r="P199" s="52"/>
      <c r="Q199" s="548"/>
      <c r="R199" s="748">
        <f>VLOOKUP(+'Part 1'!$L$16,Datasheet3!$B$6:$HG$332,172,FALSE)</f>
        <v>0</v>
      </c>
      <c r="S199" s="783"/>
      <c r="T199" s="231"/>
      <c r="U199" s="41"/>
    </row>
    <row r="200" spans="1:23" ht="16.5" thickBot="1" x14ac:dyDescent="0.25">
      <c r="A200" s="110"/>
      <c r="B200" s="108"/>
      <c r="C200" s="61"/>
      <c r="D200" s="61"/>
      <c r="E200" s="61"/>
      <c r="F200" s="61"/>
      <c r="G200" s="61"/>
      <c r="H200" s="6"/>
      <c r="I200" s="6"/>
      <c r="J200" s="634"/>
      <c r="K200" s="634"/>
      <c r="L200" s="337"/>
      <c r="M200" s="337"/>
      <c r="N200" s="634"/>
      <c r="O200" s="634"/>
      <c r="P200" s="52"/>
      <c r="Q200" s="548"/>
      <c r="R200" s="549"/>
      <c r="S200" s="548"/>
      <c r="T200" s="231"/>
      <c r="U200" s="41"/>
    </row>
    <row r="201" spans="1:23" ht="16.5" thickBot="1" x14ac:dyDescent="0.25">
      <c r="A201" s="110"/>
      <c r="B201" s="108"/>
      <c r="C201" s="61" t="s">
        <v>1437</v>
      </c>
      <c r="D201" s="61"/>
      <c r="E201" s="61"/>
      <c r="F201" s="61"/>
      <c r="G201" s="61"/>
      <c r="H201" s="6"/>
      <c r="I201" s="6"/>
      <c r="J201" s="826">
        <f>VLOOKUP(+'Part 1'!$L$16,Datasheet3!$B$6:$HG$332,173,FALSE)</f>
        <v>0</v>
      </c>
      <c r="K201" s="828"/>
      <c r="L201" s="52"/>
      <c r="M201" s="52"/>
      <c r="N201" s="826">
        <f>VLOOKUP(+'Part 1'!$L$16,Datasheet3!$B$6:$HG$332,174,FALSE)</f>
        <v>0</v>
      </c>
      <c r="O201" s="828"/>
      <c r="P201" s="52"/>
      <c r="Q201" s="548"/>
      <c r="R201" s="748">
        <f>VLOOKUP(+'Part 1'!$L$16,Datasheet3!$B$6:$HG$332,175,FALSE)</f>
        <v>0</v>
      </c>
      <c r="S201" s="783"/>
      <c r="T201" s="231"/>
      <c r="U201" s="41"/>
    </row>
    <row r="202" spans="1:23" ht="15.75" x14ac:dyDescent="0.2">
      <c r="A202" s="110"/>
      <c r="B202" s="108"/>
      <c r="C202" s="61" t="s">
        <v>68</v>
      </c>
      <c r="D202" s="61"/>
      <c r="E202" s="61"/>
      <c r="F202" s="61"/>
      <c r="G202" s="61"/>
      <c r="H202" s="6"/>
      <c r="I202" s="6"/>
      <c r="J202" s="634"/>
      <c r="K202" s="634"/>
      <c r="L202" s="337"/>
      <c r="M202" s="337"/>
      <c r="N202" s="634"/>
      <c r="O202" s="634"/>
      <c r="P202" s="52"/>
      <c r="Q202" s="548"/>
      <c r="R202" s="549"/>
      <c r="S202" s="548"/>
      <c r="T202" s="231"/>
      <c r="U202" s="41"/>
    </row>
    <row r="203" spans="1:23" ht="15.75" thickBot="1" x14ac:dyDescent="0.25">
      <c r="A203" s="110"/>
      <c r="B203" s="108"/>
      <c r="C203" s="61"/>
      <c r="D203" s="61"/>
      <c r="E203" s="61"/>
      <c r="F203" s="61"/>
      <c r="G203" s="61"/>
      <c r="H203" s="6"/>
      <c r="I203" s="6"/>
      <c r="J203" s="587"/>
      <c r="K203" s="587"/>
      <c r="L203" s="587"/>
      <c r="M203" s="587"/>
      <c r="N203" s="587"/>
      <c r="O203" s="587"/>
      <c r="P203" s="6"/>
      <c r="Q203" s="550"/>
      <c r="R203" s="550"/>
      <c r="S203" s="550"/>
      <c r="T203" s="231"/>
      <c r="U203" s="41"/>
      <c r="W203" s="187"/>
    </row>
    <row r="204" spans="1:23" ht="15.75" thickBot="1" x14ac:dyDescent="0.25">
      <c r="A204" s="110"/>
      <c r="B204" s="128"/>
      <c r="C204" s="152"/>
      <c r="D204" s="152"/>
      <c r="E204" s="152"/>
      <c r="F204" s="152"/>
      <c r="G204" s="152"/>
      <c r="H204" s="578"/>
      <c r="I204" s="578"/>
      <c r="J204" s="578"/>
      <c r="K204" s="578"/>
      <c r="L204" s="578"/>
      <c r="M204" s="578"/>
      <c r="N204" s="578"/>
      <c r="O204" s="578"/>
      <c r="P204" s="578"/>
      <c r="Q204" s="579"/>
      <c r="R204" s="579"/>
      <c r="S204" s="579"/>
      <c r="T204" s="235"/>
      <c r="U204" s="41"/>
      <c r="W204" s="187"/>
    </row>
    <row r="205" spans="1:23" ht="16.5" thickBot="1" x14ac:dyDescent="0.25">
      <c r="A205" s="110"/>
      <c r="B205" s="133"/>
      <c r="C205" s="96" t="s">
        <v>1438</v>
      </c>
      <c r="D205" s="61"/>
      <c r="E205" s="61"/>
      <c r="F205" s="61"/>
      <c r="G205" s="61"/>
      <c r="H205" s="6"/>
      <c r="I205" s="6"/>
      <c r="J205" s="785">
        <f>VLOOKUP(+'Part 1'!$L$16,Datasheet3!$B$6:$HG$332,176,FALSE)</f>
        <v>-113596390</v>
      </c>
      <c r="K205" s="786"/>
      <c r="L205" s="6"/>
      <c r="M205" s="6"/>
      <c r="N205" s="785">
        <f>VLOOKUP(+'Part 1'!$L$16,Datasheet3!$B$6:$HG$332,177,FALSE)</f>
        <v>-379348</v>
      </c>
      <c r="O205" s="786"/>
      <c r="P205" s="6"/>
      <c r="Q205" s="550"/>
      <c r="R205" s="790">
        <f>VLOOKUP(+'Part 1'!$L$16,Datasheet3!$B$6:$HG$332,178,FALSE)</f>
        <v>-113975738</v>
      </c>
      <c r="S205" s="791"/>
      <c r="T205" s="236"/>
      <c r="U205" s="41"/>
      <c r="W205" s="187"/>
    </row>
    <row r="206" spans="1:23" ht="15.75" thickBot="1" x14ac:dyDescent="0.25">
      <c r="A206" s="110"/>
      <c r="B206" s="134"/>
      <c r="C206" s="153"/>
      <c r="D206" s="153"/>
      <c r="E206" s="153"/>
      <c r="F206" s="153"/>
      <c r="G206" s="153"/>
      <c r="H206" s="580"/>
      <c r="I206" s="580"/>
      <c r="J206" s="580"/>
      <c r="K206" s="580"/>
      <c r="L206" s="580"/>
      <c r="M206" s="580"/>
      <c r="N206" s="580"/>
      <c r="O206" s="580"/>
      <c r="P206" s="580"/>
      <c r="Q206" s="581"/>
      <c r="R206" s="581"/>
      <c r="S206" s="581"/>
      <c r="T206" s="238"/>
      <c r="U206" s="41"/>
      <c r="W206" s="187"/>
    </row>
    <row r="207" spans="1:23" ht="15.75" x14ac:dyDescent="0.2">
      <c r="A207" s="110"/>
      <c r="B207" s="108"/>
      <c r="C207" s="96"/>
      <c r="D207" s="61"/>
      <c r="E207" s="61"/>
      <c r="F207" s="61"/>
      <c r="G207" s="61"/>
      <c r="H207" s="6"/>
      <c r="I207" s="6"/>
      <c r="J207" s="52"/>
      <c r="K207" s="52"/>
      <c r="L207" s="52"/>
      <c r="M207" s="52"/>
      <c r="N207" s="52"/>
      <c r="O207" s="52"/>
      <c r="P207" s="52"/>
      <c r="Q207" s="548"/>
      <c r="R207" s="548"/>
      <c r="S207" s="548"/>
      <c r="T207" s="231"/>
      <c r="U207" s="41"/>
      <c r="W207" s="187"/>
    </row>
    <row r="208" spans="1:23" ht="16.5" thickBot="1" x14ac:dyDescent="0.25">
      <c r="A208" s="110"/>
      <c r="B208" s="108"/>
      <c r="C208" s="96" t="s">
        <v>44</v>
      </c>
      <c r="D208" s="61"/>
      <c r="E208" s="61"/>
      <c r="F208" s="61"/>
      <c r="G208" s="61"/>
      <c r="H208" s="6"/>
      <c r="I208" s="6"/>
      <c r="J208" s="52"/>
      <c r="K208" s="52"/>
      <c r="L208" s="52"/>
      <c r="M208" s="52"/>
      <c r="N208" s="52"/>
      <c r="O208" s="52"/>
      <c r="P208" s="52"/>
      <c r="Q208" s="548"/>
      <c r="R208" s="548"/>
      <c r="S208" s="548"/>
      <c r="T208" s="231"/>
      <c r="U208" s="41"/>
      <c r="W208" s="187"/>
    </row>
    <row r="209" spans="1:23" ht="18.75" customHeight="1" thickBot="1" x14ac:dyDescent="0.25">
      <c r="A209" s="110"/>
      <c r="B209" s="108"/>
      <c r="C209" s="61" t="s">
        <v>1439</v>
      </c>
      <c r="D209" s="61"/>
      <c r="E209" s="61"/>
      <c r="F209" s="61"/>
      <c r="G209" s="61"/>
      <c r="H209" s="6"/>
      <c r="I209" s="6"/>
      <c r="J209" s="862">
        <f>VLOOKUP(+'Part 1'!$L$16,Datasheet3!$B$6:$HG$332,179,FALSE)</f>
        <v>-1571487.89</v>
      </c>
      <c r="K209" s="843"/>
      <c r="L209" s="52"/>
      <c r="M209" s="52"/>
      <c r="N209" s="862">
        <f>VLOOKUP(+'Part 1'!$L$16,Datasheet3!$B$6:$HG$332,180,FALSE)</f>
        <v>-47389</v>
      </c>
      <c r="O209" s="843"/>
      <c r="P209" s="52"/>
      <c r="Q209" s="548"/>
      <c r="R209" s="790">
        <f>VLOOKUP(+'Part 1'!$L$16,Datasheet3!$B$6:$HG$332,181,FALSE)</f>
        <v>-1618876.89</v>
      </c>
      <c r="S209" s="791"/>
      <c r="T209" s="231"/>
      <c r="U209" s="41"/>
      <c r="W209" s="187"/>
    </row>
    <row r="210" spans="1:23" ht="16.5" thickBot="1" x14ac:dyDescent="0.25">
      <c r="A210" s="110"/>
      <c r="B210" s="108"/>
      <c r="C210" s="61"/>
      <c r="D210" s="61"/>
      <c r="E210" s="61"/>
      <c r="F210" s="61"/>
      <c r="G210" s="61"/>
      <c r="H210" s="6"/>
      <c r="I210" s="6"/>
      <c r="J210" s="336"/>
      <c r="K210" s="336"/>
      <c r="L210" s="6"/>
      <c r="M210" s="6"/>
      <c r="N210" s="336"/>
      <c r="O210" s="336"/>
      <c r="P210" s="6"/>
      <c r="Q210" s="550"/>
      <c r="R210" s="550"/>
      <c r="S210" s="550"/>
      <c r="T210" s="550"/>
      <c r="U210" s="41"/>
      <c r="W210" s="187"/>
    </row>
    <row r="211" spans="1:23" ht="16.5" thickBot="1" x14ac:dyDescent="0.25">
      <c r="A211" s="110"/>
      <c r="B211" s="108"/>
      <c r="C211" s="723" t="s">
        <v>1440</v>
      </c>
      <c r="D211" s="723"/>
      <c r="E211" s="723"/>
      <c r="F211" s="723"/>
      <c r="G211" s="723"/>
      <c r="H211" s="6"/>
      <c r="I211" s="6"/>
      <c r="J211" s="849">
        <f>VLOOKUP(+'Part 1'!$L$16,Datasheet3!$B$6:$HG$332,182,FALSE)</f>
        <v>-525834.51</v>
      </c>
      <c r="K211" s="867"/>
      <c r="L211" s="52"/>
      <c r="M211" s="52"/>
      <c r="N211" s="849">
        <f>VLOOKUP(+'Part 1'!$L$16,Datasheet3!$B$6:$HG$332,183,FALSE)</f>
        <v>-77</v>
      </c>
      <c r="O211" s="867"/>
      <c r="P211" s="52"/>
      <c r="Q211" s="548"/>
      <c r="R211" s="790">
        <f>VLOOKUP(+'Part 1'!$L$16,Datasheet3!$B$6:$HG$332,184,FALSE)</f>
        <v>-525911.51</v>
      </c>
      <c r="S211" s="791"/>
      <c r="T211" s="231"/>
      <c r="U211" s="41"/>
      <c r="W211" s="187"/>
    </row>
    <row r="212" spans="1:23" ht="15.75" x14ac:dyDescent="0.2">
      <c r="A212" s="110"/>
      <c r="B212" s="108"/>
      <c r="C212" s="739"/>
      <c r="D212" s="739"/>
      <c r="E212" s="739"/>
      <c r="F212" s="739"/>
      <c r="G212" s="739"/>
      <c r="H212" s="6"/>
      <c r="I212" s="6"/>
      <c r="J212" s="63"/>
      <c r="K212" s="52"/>
      <c r="L212" s="52"/>
      <c r="M212" s="52"/>
      <c r="N212" s="63"/>
      <c r="O212" s="52"/>
      <c r="P212" s="52"/>
      <c r="Q212" s="548"/>
      <c r="R212" s="549"/>
      <c r="S212" s="548"/>
      <c r="T212" s="231"/>
      <c r="U212" s="41"/>
      <c r="W212" s="187"/>
    </row>
    <row r="213" spans="1:23" ht="18.75" customHeight="1" thickBot="1" x14ac:dyDescent="0.25">
      <c r="A213" s="110"/>
      <c r="B213" s="108"/>
      <c r="C213" s="116"/>
      <c r="D213" s="116"/>
      <c r="E213" s="116"/>
      <c r="F213" s="116"/>
      <c r="G213" s="116"/>
      <c r="H213" s="6"/>
      <c r="I213" s="6"/>
      <c r="J213" s="63"/>
      <c r="K213" s="52"/>
      <c r="L213" s="52"/>
      <c r="M213" s="52"/>
      <c r="N213" s="63"/>
      <c r="O213" s="52"/>
      <c r="P213" s="52"/>
      <c r="Q213" s="548"/>
      <c r="R213" s="549"/>
      <c r="S213" s="548"/>
      <c r="T213" s="231"/>
      <c r="U213" s="41"/>
      <c r="W213" s="187"/>
    </row>
    <row r="214" spans="1:23" ht="16.5" thickBot="1" x14ac:dyDescent="0.25">
      <c r="A214" s="110"/>
      <c r="B214" s="128"/>
      <c r="C214" s="144"/>
      <c r="D214" s="144"/>
      <c r="E214" s="144"/>
      <c r="F214" s="144"/>
      <c r="G214" s="144"/>
      <c r="H214" s="578"/>
      <c r="I214" s="578"/>
      <c r="J214" s="139"/>
      <c r="K214" s="131"/>
      <c r="L214" s="131"/>
      <c r="M214" s="131"/>
      <c r="N214" s="139"/>
      <c r="O214" s="131"/>
      <c r="P214" s="131"/>
      <c r="Q214" s="582"/>
      <c r="R214" s="583"/>
      <c r="S214" s="582"/>
      <c r="T214" s="235"/>
      <c r="U214" s="41"/>
      <c r="W214" s="187"/>
    </row>
    <row r="215" spans="1:23" ht="16.5" thickBot="1" x14ac:dyDescent="0.25">
      <c r="A215" s="110"/>
      <c r="B215" s="133"/>
      <c r="C215" s="758" t="s">
        <v>1441</v>
      </c>
      <c r="D215" s="758"/>
      <c r="E215" s="758"/>
      <c r="F215" s="758"/>
      <c r="G215" s="758"/>
      <c r="H215" s="6"/>
      <c r="I215" s="6"/>
      <c r="J215" s="785">
        <f>VLOOKUP(+'Part 1'!$L$16,Datasheet3!$B$6:$HG$332,185,FALSE)</f>
        <v>-2097323</v>
      </c>
      <c r="K215" s="786"/>
      <c r="L215" s="52"/>
      <c r="M215" s="52"/>
      <c r="N215" s="785">
        <f>VLOOKUP(+'Part 1'!$L$16,Datasheet3!$B$6:$HG$332,186,FALSE)</f>
        <v>-47466</v>
      </c>
      <c r="O215" s="786"/>
      <c r="P215" s="52"/>
      <c r="Q215" s="548"/>
      <c r="R215" s="790">
        <f>VLOOKUP(+'Part 1'!$L$16,Datasheet3!$B$6:$HG$332,187,FALSE)</f>
        <v>-2144789</v>
      </c>
      <c r="S215" s="791"/>
      <c r="T215" s="236"/>
      <c r="U215" s="41"/>
      <c r="W215" s="187"/>
    </row>
    <row r="216" spans="1:23" ht="13.5" thickBot="1" x14ac:dyDescent="0.25">
      <c r="A216" s="14"/>
      <c r="B216" s="154"/>
      <c r="C216" s="138"/>
      <c r="D216" s="138"/>
      <c r="E216" s="138"/>
      <c r="F216" s="138"/>
      <c r="G216" s="138"/>
      <c r="H216" s="138"/>
      <c r="I216" s="138"/>
      <c r="J216" s="138"/>
      <c r="K216" s="138"/>
      <c r="L216" s="138"/>
      <c r="M216" s="138"/>
      <c r="N216" s="138"/>
      <c r="O216" s="138"/>
      <c r="P216" s="138"/>
      <c r="Q216" s="381"/>
      <c r="R216" s="381"/>
      <c r="S216" s="381"/>
      <c r="T216" s="238"/>
      <c r="U216" s="41"/>
      <c r="W216" s="187"/>
    </row>
    <row r="217" spans="1:23" x14ac:dyDescent="0.2">
      <c r="A217" s="14"/>
      <c r="B217" s="2"/>
      <c r="C217" s="2"/>
      <c r="D217" s="2"/>
      <c r="E217" s="2"/>
      <c r="F217" s="2"/>
      <c r="G217" s="2"/>
      <c r="H217" s="2"/>
      <c r="I217" s="2"/>
      <c r="J217" s="2"/>
      <c r="K217" s="2"/>
      <c r="L217" s="2"/>
      <c r="M217" s="2"/>
      <c r="N217" s="2"/>
      <c r="O217" s="2"/>
      <c r="P217" s="2"/>
      <c r="Q217" s="2"/>
      <c r="R217" s="2"/>
      <c r="S217" s="2"/>
      <c r="T217" s="2"/>
      <c r="U217" s="41"/>
    </row>
    <row r="218" spans="1:23" ht="13.5" thickBot="1" x14ac:dyDescent="0.25">
      <c r="A218" s="14"/>
      <c r="B218" s="2"/>
      <c r="C218" s="2"/>
      <c r="D218" s="2"/>
      <c r="E218" s="2"/>
      <c r="F218" s="2"/>
      <c r="G218" s="2"/>
      <c r="H218" s="2"/>
      <c r="I218" s="2"/>
      <c r="J218" s="2"/>
      <c r="K218" s="2"/>
      <c r="L218" s="2"/>
      <c r="M218" s="2"/>
      <c r="N218" s="2"/>
      <c r="O218" s="2"/>
      <c r="P218" s="2"/>
      <c r="Q218" s="2"/>
      <c r="R218" s="2"/>
      <c r="S218" s="2"/>
      <c r="T218" s="2"/>
      <c r="U218" s="41"/>
    </row>
    <row r="219" spans="1:23" x14ac:dyDescent="0.2">
      <c r="A219" s="14"/>
      <c r="B219" s="284"/>
      <c r="C219" s="283"/>
      <c r="D219" s="283"/>
      <c r="E219" s="283"/>
      <c r="F219" s="283"/>
      <c r="G219" s="283"/>
      <c r="H219" s="283"/>
      <c r="I219" s="283"/>
      <c r="J219" s="322"/>
      <c r="K219" s="322"/>
      <c r="L219" s="283"/>
      <c r="M219" s="283"/>
      <c r="N219" s="322"/>
      <c r="O219" s="322"/>
      <c r="P219" s="283"/>
      <c r="Q219" s="283"/>
      <c r="R219" s="283"/>
      <c r="S219" s="283"/>
      <c r="T219" s="319"/>
      <c r="U219" s="41"/>
    </row>
    <row r="220" spans="1:23" ht="16.5" customHeight="1" x14ac:dyDescent="0.25">
      <c r="A220" s="14"/>
      <c r="B220" s="285"/>
      <c r="C220" s="160" t="s">
        <v>54</v>
      </c>
      <c r="D220" s="159"/>
      <c r="E220" s="159"/>
      <c r="F220" s="159"/>
      <c r="G220" s="159"/>
      <c r="H220" s="159"/>
      <c r="I220" s="159"/>
      <c r="J220" s="323"/>
      <c r="K220" s="323"/>
      <c r="L220" s="159"/>
      <c r="M220" s="159"/>
      <c r="N220" s="323"/>
      <c r="O220" s="323"/>
      <c r="P220" s="159"/>
      <c r="Q220" s="159"/>
      <c r="R220" s="159"/>
      <c r="S220" s="159"/>
      <c r="T220" s="280"/>
      <c r="U220" s="41"/>
    </row>
    <row r="221" spans="1:23" ht="16.5" customHeight="1" thickBot="1" x14ac:dyDescent="0.25">
      <c r="A221" s="14"/>
      <c r="B221" s="285"/>
      <c r="C221" s="159"/>
      <c r="D221" s="159"/>
      <c r="E221" s="159"/>
      <c r="F221" s="159"/>
      <c r="G221" s="159"/>
      <c r="H221" s="159"/>
      <c r="I221" s="159"/>
      <c r="J221" s="323"/>
      <c r="K221" s="323"/>
      <c r="L221" s="159"/>
      <c r="M221" s="159"/>
      <c r="N221" s="323"/>
      <c r="O221" s="323"/>
      <c r="P221" s="159"/>
      <c r="Q221" s="159"/>
      <c r="R221" s="159"/>
      <c r="S221" s="159"/>
      <c r="T221" s="280"/>
      <c r="U221" s="41"/>
    </row>
    <row r="222" spans="1:23" ht="16.5" customHeight="1" thickBot="1" x14ac:dyDescent="0.3">
      <c r="A222" s="14"/>
      <c r="B222" s="687"/>
      <c r="C222" s="655"/>
      <c r="D222" s="688" t="s">
        <v>59</v>
      </c>
      <c r="E222" s="688"/>
      <c r="F222" s="688"/>
      <c r="G222" s="688"/>
      <c r="H222" s="688"/>
      <c r="I222" s="688"/>
      <c r="J222" s="859">
        <f>VLOOKUP(+'Part 1'!$L$16,Datasheet3!$B$6:$HG$332,188,FALSE)</f>
        <v>29665500324.610001</v>
      </c>
      <c r="K222" s="860"/>
      <c r="L222" s="159"/>
      <c r="M222" s="159"/>
      <c r="N222" s="859">
        <f>VLOOKUP(+'Part 1'!$L$16,Datasheet3!$B$6:$HG$332,189,FALSE)</f>
        <v>291291145</v>
      </c>
      <c r="O222" s="860"/>
      <c r="P222" s="383"/>
      <c r="Q222" s="383"/>
      <c r="R222" s="839">
        <f>VLOOKUP(+'Part 1'!$L$16,Datasheet3!$B$6:$HG$332,190,FALSE)</f>
        <v>29956791469.610001</v>
      </c>
      <c r="S222" s="840"/>
      <c r="T222" s="280"/>
      <c r="U222" s="41"/>
    </row>
    <row r="223" spans="1:23" ht="16.5" customHeight="1" thickBot="1" x14ac:dyDescent="0.25">
      <c r="A223" s="14"/>
      <c r="B223" s="285"/>
      <c r="C223" s="161" t="s">
        <v>55</v>
      </c>
      <c r="D223" s="159"/>
      <c r="E223" s="159"/>
      <c r="F223" s="159"/>
      <c r="G223" s="159"/>
      <c r="H223" s="159"/>
      <c r="I223" s="159"/>
      <c r="J223" s="305"/>
      <c r="K223" s="305"/>
      <c r="L223" s="305"/>
      <c r="M223" s="305"/>
      <c r="N223" s="305"/>
      <c r="O223" s="305"/>
      <c r="P223" s="305"/>
      <c r="Q223" s="305"/>
      <c r="R223" s="305"/>
      <c r="S223" s="305"/>
      <c r="T223" s="280"/>
      <c r="U223" s="41"/>
    </row>
    <row r="224" spans="1:23" ht="16.5" customHeight="1" thickBot="1" x14ac:dyDescent="0.25">
      <c r="A224" s="14"/>
      <c r="B224" s="285"/>
      <c r="C224" s="159"/>
      <c r="D224" s="260" t="s">
        <v>56</v>
      </c>
      <c r="E224" s="159"/>
      <c r="F224" s="159"/>
      <c r="G224" s="159"/>
      <c r="H224" s="159"/>
      <c r="I224" s="159"/>
      <c r="J224" s="839">
        <f>VLOOKUP(+'Part 1'!$L$16,Datasheet3!$B$6:$HG$332,191,FALSE)</f>
        <v>-8973161</v>
      </c>
      <c r="K224" s="840"/>
      <c r="L224" s="305"/>
      <c r="M224" s="305"/>
      <c r="N224" s="839">
        <f>VLOOKUP('Part 1'!L$16,Datasheet3!$B$6:$HG$332,192,FALSE)</f>
        <v>4430063</v>
      </c>
      <c r="O224" s="840"/>
      <c r="P224" s="305"/>
      <c r="Q224" s="305"/>
      <c r="R224" s="839">
        <f>VLOOKUP(+'Part 1'!$L$16,Datasheet3!$B$6:$HG$332,193,FALSE)</f>
        <v>-4543098</v>
      </c>
      <c r="S224" s="840"/>
      <c r="T224" s="280"/>
      <c r="U224" s="41"/>
    </row>
    <row r="225" spans="1:23" ht="16.5" customHeight="1" thickBot="1" x14ac:dyDescent="0.25">
      <c r="A225" s="14"/>
      <c r="B225" s="285"/>
      <c r="C225" s="159"/>
      <c r="D225" s="260"/>
      <c r="E225" s="159"/>
      <c r="F225" s="159"/>
      <c r="G225" s="159"/>
      <c r="H225" s="159"/>
      <c r="I225" s="159"/>
      <c r="J225" s="305"/>
      <c r="K225" s="305"/>
      <c r="L225" s="305"/>
      <c r="M225" s="305"/>
      <c r="N225" s="305"/>
      <c r="O225" s="305"/>
      <c r="P225" s="305"/>
      <c r="Q225" s="305"/>
      <c r="R225" s="305"/>
      <c r="S225" s="305"/>
      <c r="T225" s="280"/>
      <c r="U225" s="41"/>
    </row>
    <row r="226" spans="1:23" ht="16.5" customHeight="1" thickBot="1" x14ac:dyDescent="0.25">
      <c r="A226" s="14"/>
      <c r="B226" s="285"/>
      <c r="C226" s="159"/>
      <c r="D226" s="260" t="s">
        <v>57</v>
      </c>
      <c r="E226" s="159"/>
      <c r="F226" s="159"/>
      <c r="G226" s="159"/>
      <c r="H226" s="159"/>
      <c r="I226" s="159"/>
      <c r="J226" s="839">
        <f>VLOOKUP(+'Part 1'!$L$16,Datasheet3!$B$6:$HG$332,194,FALSE)</f>
        <v>-3206048347</v>
      </c>
      <c r="K226" s="840"/>
      <c r="L226" s="305"/>
      <c r="M226" s="305"/>
      <c r="N226" s="839">
        <f>VLOOKUP('Part 1'!L$16,Datasheet3!$B$6:$HG$332,195,FALSE)</f>
        <v>-14419521</v>
      </c>
      <c r="O226" s="840"/>
      <c r="P226" s="305"/>
      <c r="Q226" s="305"/>
      <c r="R226" s="839">
        <f>VLOOKUP(+'Part 1'!$L$16,Datasheet3!$B$6:$HG$332,196,FALSE)</f>
        <v>-3220467868</v>
      </c>
      <c r="S226" s="840"/>
      <c r="T226" s="280"/>
      <c r="U226" s="41"/>
      <c r="V226" s="208"/>
    </row>
    <row r="227" spans="1:23" ht="16.5" customHeight="1" thickBot="1" x14ac:dyDescent="0.25">
      <c r="A227" s="14"/>
      <c r="B227" s="285"/>
      <c r="C227" s="159"/>
      <c r="D227" s="260"/>
      <c r="E227" s="159"/>
      <c r="F227" s="159"/>
      <c r="G227" s="159"/>
      <c r="H227" s="159"/>
      <c r="I227" s="159"/>
      <c r="J227" s="305"/>
      <c r="K227" s="305"/>
      <c r="L227" s="305"/>
      <c r="M227" s="305"/>
      <c r="N227" s="305"/>
      <c r="O227" s="305"/>
      <c r="P227" s="305"/>
      <c r="Q227" s="305"/>
      <c r="R227" s="305"/>
      <c r="S227" s="305"/>
      <c r="T227" s="280"/>
      <c r="U227" s="41"/>
    </row>
    <row r="228" spans="1:23" ht="16.5" customHeight="1" thickBot="1" x14ac:dyDescent="0.25">
      <c r="A228" s="14"/>
      <c r="B228" s="285"/>
      <c r="C228" s="159"/>
      <c r="D228" s="260" t="s">
        <v>84</v>
      </c>
      <c r="E228" s="159"/>
      <c r="F228" s="159"/>
      <c r="G228" s="159"/>
      <c r="H228" s="159"/>
      <c r="I228" s="159"/>
      <c r="J228" s="839">
        <f>VLOOKUP('Part 1'!L$16,Datasheet3!$B$6:$HG$332,197,FALSE)</f>
        <v>-1012983634</v>
      </c>
      <c r="K228" s="840"/>
      <c r="L228" s="305"/>
      <c r="M228" s="305"/>
      <c r="N228" s="839">
        <f>VLOOKUP('Part 1'!L$16,Datasheet3!$B$6:$HG$332,198,FALSE)</f>
        <v>-19882916</v>
      </c>
      <c r="O228" s="840"/>
      <c r="P228" s="305"/>
      <c r="Q228" s="305"/>
      <c r="R228" s="839">
        <f>VLOOKUP(+'Part 1'!$L$16,Datasheet3!$B$6:$HG$332,199,FALSE)</f>
        <v>-1032866550</v>
      </c>
      <c r="S228" s="840"/>
      <c r="T228" s="280"/>
      <c r="U228" s="41"/>
    </row>
    <row r="229" spans="1:23" ht="16.5" customHeight="1" thickBot="1" x14ac:dyDescent="0.25">
      <c r="A229" s="14"/>
      <c r="B229" s="285"/>
      <c r="C229" s="159"/>
      <c r="D229" s="260"/>
      <c r="E229" s="159"/>
      <c r="F229" s="159"/>
      <c r="G229" s="159"/>
      <c r="H229" s="159"/>
      <c r="I229" s="159"/>
      <c r="J229" s="305"/>
      <c r="K229" s="305"/>
      <c r="L229" s="305"/>
      <c r="M229" s="305"/>
      <c r="N229" s="305"/>
      <c r="O229" s="305"/>
      <c r="P229" s="305"/>
      <c r="Q229" s="305"/>
      <c r="R229" s="305"/>
      <c r="S229" s="305"/>
      <c r="T229" s="280"/>
      <c r="U229" s="41"/>
    </row>
    <row r="230" spans="1:23" ht="16.5" customHeight="1" thickBot="1" x14ac:dyDescent="0.25">
      <c r="A230" s="14"/>
      <c r="B230" s="285"/>
      <c r="C230" s="159"/>
      <c r="D230" s="260" t="s">
        <v>71</v>
      </c>
      <c r="E230" s="159"/>
      <c r="F230" s="159"/>
      <c r="G230" s="159"/>
      <c r="H230" s="159"/>
      <c r="I230" s="159"/>
      <c r="J230" s="839">
        <f>VLOOKUP('Part 1'!L$16,Datasheet3!$B$6:$HG$332,200,FALSE)</f>
        <v>-95511526</v>
      </c>
      <c r="K230" s="840"/>
      <c r="L230" s="305"/>
      <c r="M230" s="305"/>
      <c r="N230" s="839">
        <f>VLOOKUP('Part 1'!L$16,Datasheet3!$B$6:$HG$332,201,FALSE)</f>
        <v>-17630504</v>
      </c>
      <c r="O230" s="840"/>
      <c r="P230" s="305"/>
      <c r="Q230" s="305"/>
      <c r="R230" s="839">
        <f>VLOOKUP(+'Part 1'!$L$16,Datasheet3!$B$6:$HG$332,202,FALSE)</f>
        <v>-113142030</v>
      </c>
      <c r="S230" s="840"/>
      <c r="T230" s="280"/>
      <c r="U230" s="41"/>
      <c r="W230" s="221"/>
    </row>
    <row r="231" spans="1:23" ht="16.5" customHeight="1" thickBot="1" x14ac:dyDescent="0.25">
      <c r="A231" s="14"/>
      <c r="B231" s="285"/>
      <c r="C231" s="159"/>
      <c r="D231" s="260"/>
      <c r="E231" s="159"/>
      <c r="F231" s="159"/>
      <c r="G231" s="159"/>
      <c r="H231" s="159"/>
      <c r="I231" s="159"/>
      <c r="J231" s="305"/>
      <c r="K231" s="305"/>
      <c r="L231" s="305"/>
      <c r="M231" s="305"/>
      <c r="N231" s="305"/>
      <c r="O231" s="305"/>
      <c r="P231" s="305"/>
      <c r="Q231" s="305"/>
      <c r="R231" s="305"/>
      <c r="S231" s="305"/>
      <c r="T231" s="280"/>
      <c r="U231" s="41"/>
    </row>
    <row r="232" spans="1:23" ht="16.5" customHeight="1" thickBot="1" x14ac:dyDescent="0.25">
      <c r="A232" s="14"/>
      <c r="B232" s="285"/>
      <c r="C232" s="159"/>
      <c r="D232" s="260" t="s">
        <v>72</v>
      </c>
      <c r="E232" s="159"/>
      <c r="F232" s="159"/>
      <c r="G232" s="159"/>
      <c r="H232" s="159"/>
      <c r="I232" s="159"/>
      <c r="J232" s="839">
        <f>VLOOKUP('Part 1'!L$16,Datasheet3!$B$6:$HG$332,203,FALSE)</f>
        <v>-113596390</v>
      </c>
      <c r="K232" s="840"/>
      <c r="L232" s="305"/>
      <c r="M232" s="305"/>
      <c r="N232" s="839">
        <f>VLOOKUP('Part 1'!L$16,Datasheet3!$B$6:$HG$332,204,FALSE)</f>
        <v>-379348</v>
      </c>
      <c r="O232" s="840"/>
      <c r="P232" s="305"/>
      <c r="Q232" s="305"/>
      <c r="R232" s="839">
        <f>VLOOKUP(+'Part 1'!$L$16,Datasheet3!$B$6:$HG$332,205,FALSE)</f>
        <v>-113975738</v>
      </c>
      <c r="S232" s="840"/>
      <c r="T232" s="280"/>
      <c r="U232" s="41"/>
    </row>
    <row r="233" spans="1:23" ht="16.5" customHeight="1" thickBot="1" x14ac:dyDescent="0.25">
      <c r="A233" s="14"/>
      <c r="B233" s="285"/>
      <c r="C233" s="159"/>
      <c r="D233" s="260"/>
      <c r="E233" s="159"/>
      <c r="F233" s="159"/>
      <c r="G233" s="159"/>
      <c r="H233" s="159"/>
      <c r="I233" s="159"/>
      <c r="J233" s="305"/>
      <c r="K233" s="305"/>
      <c r="L233" s="305"/>
      <c r="M233" s="305"/>
      <c r="N233" s="305"/>
      <c r="O233" s="305"/>
      <c r="P233" s="305"/>
      <c r="Q233" s="305"/>
      <c r="R233" s="305"/>
      <c r="S233" s="305"/>
      <c r="T233" s="280"/>
      <c r="U233" s="41"/>
    </row>
    <row r="234" spans="1:23" ht="16.5" customHeight="1" thickBot="1" x14ac:dyDescent="0.25">
      <c r="A234" s="14"/>
      <c r="B234" s="285"/>
      <c r="C234" s="159"/>
      <c r="D234" s="260" t="s">
        <v>58</v>
      </c>
      <c r="E234" s="159"/>
      <c r="F234" s="159"/>
      <c r="G234" s="159"/>
      <c r="H234" s="159"/>
      <c r="I234" s="159"/>
      <c r="J234" s="839">
        <f>VLOOKUP('Part 1'!L$16,Datasheet3!$B$6:$HG$332,206,FALSE)</f>
        <v>-2097323</v>
      </c>
      <c r="K234" s="840"/>
      <c r="L234" s="305"/>
      <c r="M234" s="305"/>
      <c r="N234" s="839">
        <f>VLOOKUP('Part 1'!L$16,Datasheet3!$B$6:$HG$332,207,FALSE)</f>
        <v>-47466</v>
      </c>
      <c r="O234" s="840"/>
      <c r="P234" s="305"/>
      <c r="Q234" s="305"/>
      <c r="R234" s="839">
        <f>VLOOKUP(+'Part 1'!$L$16,Datasheet3!$B$6:$HG$332,208,FALSE)</f>
        <v>-2144789</v>
      </c>
      <c r="S234" s="840"/>
      <c r="T234" s="280"/>
      <c r="U234" s="41"/>
    </row>
    <row r="235" spans="1:23" ht="15" thickBot="1" x14ac:dyDescent="0.25">
      <c r="A235" s="14"/>
      <c r="B235" s="285"/>
      <c r="C235" s="159"/>
      <c r="D235" s="162"/>
      <c r="E235" s="159"/>
      <c r="F235" s="159"/>
      <c r="G235" s="159"/>
      <c r="H235" s="159"/>
      <c r="I235" s="159"/>
      <c r="J235" s="305"/>
      <c r="K235" s="305"/>
      <c r="L235" s="305"/>
      <c r="M235" s="305"/>
      <c r="N235" s="305"/>
      <c r="O235" s="305"/>
      <c r="P235" s="305"/>
      <c r="Q235" s="305"/>
      <c r="R235" s="305"/>
      <c r="S235" s="305"/>
      <c r="T235" s="280"/>
      <c r="U235" s="41"/>
    </row>
    <row r="236" spans="1:23" ht="16.5" thickBot="1" x14ac:dyDescent="0.3">
      <c r="A236" s="14"/>
      <c r="B236" s="285"/>
      <c r="C236" s="159"/>
      <c r="D236" s="264" t="s">
        <v>868</v>
      </c>
      <c r="E236" s="159"/>
      <c r="F236" s="159"/>
      <c r="G236" s="159"/>
      <c r="H236" s="159"/>
      <c r="I236" s="159"/>
      <c r="J236" s="839">
        <f>VLOOKUP('Part 1'!L$16,Datasheet3!$B$6:$HG$332,209,FALSE)</f>
        <v>-4439210381</v>
      </c>
      <c r="K236" s="840"/>
      <c r="L236" s="305"/>
      <c r="M236" s="305"/>
      <c r="N236" s="839">
        <f>VLOOKUP('Part 1'!L$16,Datasheet3!$B$6:$HG$332,210,FALSE)</f>
        <v>-47929692</v>
      </c>
      <c r="O236" s="840"/>
      <c r="P236" s="305"/>
      <c r="Q236" s="305"/>
      <c r="R236" s="839">
        <f>VLOOKUP(+'Part 1'!$L$16,Datasheet3!$B$6:$HG$332,211,FALSE)</f>
        <v>-4487140073</v>
      </c>
      <c r="S236" s="840"/>
      <c r="T236" s="280"/>
      <c r="U236" s="41"/>
    </row>
    <row r="237" spans="1:23" ht="15" thickBot="1" x14ac:dyDescent="0.25">
      <c r="A237" s="14"/>
      <c r="B237" s="285"/>
      <c r="C237" s="159"/>
      <c r="D237" s="162"/>
      <c r="E237" s="159"/>
      <c r="F237" s="159"/>
      <c r="G237" s="159"/>
      <c r="H237" s="159"/>
      <c r="I237" s="159"/>
      <c r="J237" s="305"/>
      <c r="K237" s="305"/>
      <c r="L237" s="305"/>
      <c r="M237" s="305"/>
      <c r="N237" s="305"/>
      <c r="O237" s="305"/>
      <c r="P237" s="305"/>
      <c r="Q237" s="305"/>
      <c r="R237" s="305"/>
      <c r="S237" s="305"/>
      <c r="T237" s="280"/>
      <c r="U237" s="41"/>
    </row>
    <row r="238" spans="1:23" ht="16.5" thickBot="1" x14ac:dyDescent="0.3">
      <c r="A238" s="14"/>
      <c r="B238" s="285"/>
      <c r="C238" s="159"/>
      <c r="D238" s="160" t="s">
        <v>60</v>
      </c>
      <c r="E238" s="159"/>
      <c r="F238" s="159"/>
      <c r="G238" s="159"/>
      <c r="H238" s="159"/>
      <c r="I238" s="159"/>
      <c r="J238" s="839">
        <f>VLOOKUP('Part 1'!L$16,Datasheet3!$B$6:$HG$332,212,FALSE)</f>
        <v>25226289943.610001</v>
      </c>
      <c r="K238" s="840"/>
      <c r="L238" s="305"/>
      <c r="M238" s="305"/>
      <c r="N238" s="839">
        <f>VLOOKUP('Part 1'!L$16,Datasheet3!$B$6:$HG$332,213,FALSE)</f>
        <v>243361453</v>
      </c>
      <c r="O238" s="840"/>
      <c r="P238" s="305"/>
      <c r="Q238" s="305"/>
      <c r="R238" s="839">
        <f>VLOOKUP(+'Part 1'!$L$16,Datasheet3!$B$6:$HG$332,214,FALSE)</f>
        <v>25469651396.610001</v>
      </c>
      <c r="S238" s="840"/>
      <c r="T238" s="280"/>
      <c r="U238" s="41"/>
    </row>
    <row r="239" spans="1:23" ht="15.75" x14ac:dyDescent="0.25">
      <c r="A239" s="14"/>
      <c r="B239" s="285"/>
      <c r="C239" s="159"/>
      <c r="D239" s="160"/>
      <c r="E239" s="159"/>
      <c r="F239" s="159"/>
      <c r="G239" s="159"/>
      <c r="H239" s="159"/>
      <c r="I239" s="159"/>
      <c r="J239" s="258"/>
      <c r="K239" s="259"/>
      <c r="L239" s="159"/>
      <c r="M239" s="159"/>
      <c r="N239" s="844"/>
      <c r="O239" s="844"/>
      <c r="P239" s="159"/>
      <c r="Q239" s="159"/>
      <c r="R239" s="258"/>
      <c r="S239" s="259"/>
      <c r="T239" s="280"/>
      <c r="U239" s="41"/>
    </row>
    <row r="240" spans="1:23" ht="13.5" thickBot="1" x14ac:dyDescent="0.25">
      <c r="A240" s="14"/>
      <c r="B240" s="286"/>
      <c r="C240" s="281"/>
      <c r="D240" s="281"/>
      <c r="E240" s="281"/>
      <c r="F240" s="281"/>
      <c r="G240" s="281"/>
      <c r="H240" s="281"/>
      <c r="I240" s="281"/>
      <c r="J240" s="281"/>
      <c r="K240" s="281"/>
      <c r="L240" s="281"/>
      <c r="M240" s="281"/>
      <c r="N240" s="281"/>
      <c r="O240" s="281"/>
      <c r="P240" s="281"/>
      <c r="Q240" s="281"/>
      <c r="R240" s="281"/>
      <c r="S240" s="281"/>
      <c r="T240" s="282"/>
      <c r="U240" s="41"/>
    </row>
    <row r="241" spans="1:22" x14ac:dyDescent="0.2">
      <c r="A241" s="14"/>
      <c r="B241" s="2"/>
      <c r="C241" s="2"/>
      <c r="D241" s="2"/>
      <c r="E241" s="2"/>
      <c r="F241" s="2"/>
      <c r="G241" s="2"/>
      <c r="H241" s="2"/>
      <c r="I241" s="2"/>
      <c r="J241" s="2"/>
      <c r="K241" s="2"/>
      <c r="L241" s="2"/>
      <c r="M241" s="2"/>
      <c r="N241" s="2"/>
      <c r="O241" s="2"/>
      <c r="P241" s="2"/>
      <c r="Q241" s="2"/>
      <c r="R241" s="2"/>
      <c r="S241" s="2"/>
      <c r="T241" s="2"/>
      <c r="U241" s="41"/>
    </row>
    <row r="242" spans="1:22" ht="13.5" thickBot="1" x14ac:dyDescent="0.25">
      <c r="A242" s="15"/>
      <c r="B242" s="16"/>
      <c r="C242" s="16"/>
      <c r="D242" s="16"/>
      <c r="E242" s="16"/>
      <c r="F242" s="16"/>
      <c r="G242" s="16"/>
      <c r="H242" s="16"/>
      <c r="I242" s="16"/>
      <c r="J242" s="16"/>
      <c r="K242" s="16"/>
      <c r="L242" s="16"/>
      <c r="M242" s="16"/>
      <c r="N242" s="16"/>
      <c r="O242" s="16"/>
      <c r="P242" s="16"/>
      <c r="Q242" s="16"/>
      <c r="R242" s="16"/>
      <c r="S242" s="16"/>
      <c r="T242" s="16"/>
      <c r="U242" s="42"/>
    </row>
    <row r="244" spans="1:22" ht="15" x14ac:dyDescent="0.25">
      <c r="C244" s="371"/>
      <c r="D244" s="371"/>
      <c r="E244" s="371"/>
      <c r="F244" s="371"/>
      <c r="G244" s="371"/>
      <c r="H244" s="371"/>
      <c r="I244" s="371"/>
      <c r="J244" s="371"/>
      <c r="K244" s="371"/>
      <c r="L244" s="371"/>
      <c r="M244" s="371"/>
      <c r="N244" s="371"/>
      <c r="O244" s="371"/>
      <c r="P244" s="371"/>
      <c r="Q244" s="371"/>
      <c r="R244" s="371"/>
      <c r="S244" s="371"/>
      <c r="T244" s="371"/>
      <c r="U244" s="371"/>
      <c r="V244" s="371"/>
    </row>
    <row r="245" spans="1:22" ht="15" x14ac:dyDescent="0.25">
      <c r="C245" s="371"/>
      <c r="D245" s="371"/>
      <c r="E245" s="372"/>
      <c r="F245" s="372"/>
      <c r="G245" s="373"/>
      <c r="H245" s="373"/>
      <c r="I245" s="373"/>
      <c r="J245" s="373"/>
      <c r="K245" s="373"/>
      <c r="L245" s="373"/>
      <c r="M245" s="373"/>
      <c r="N245" s="373"/>
      <c r="O245" s="373"/>
      <c r="P245" s="373"/>
      <c r="Q245" s="373"/>
      <c r="R245" s="373"/>
      <c r="S245" s="373"/>
      <c r="T245" s="372"/>
      <c r="U245" s="372"/>
      <c r="V245" s="372"/>
    </row>
    <row r="246" spans="1:22" ht="15" x14ac:dyDescent="0.25">
      <c r="B246" s="375"/>
      <c r="C246" s="376"/>
      <c r="D246" s="376"/>
      <c r="E246" s="377"/>
      <c r="F246" s="377"/>
      <c r="G246" s="377"/>
      <c r="H246" s="378"/>
      <c r="I246" s="377"/>
      <c r="J246" s="379"/>
      <c r="K246" s="377"/>
      <c r="L246" s="377"/>
      <c r="M246" s="377"/>
      <c r="N246" s="379"/>
      <c r="O246" s="377"/>
      <c r="P246" s="377"/>
      <c r="Q246" s="377"/>
      <c r="R246" s="377"/>
      <c r="S246" s="377"/>
      <c r="T246" s="372"/>
      <c r="U246" s="372"/>
      <c r="V246" s="372"/>
    </row>
    <row r="247" spans="1:22" ht="15" x14ac:dyDescent="0.25">
      <c r="C247" s="371"/>
      <c r="D247" s="371"/>
      <c r="E247" s="372"/>
      <c r="F247" s="372"/>
      <c r="G247" s="372"/>
      <c r="H247" s="372"/>
      <c r="I247" s="372"/>
      <c r="J247" s="372"/>
      <c r="K247" s="372"/>
      <c r="L247" s="372"/>
      <c r="M247" s="372"/>
      <c r="N247" s="372"/>
      <c r="O247" s="372"/>
      <c r="P247" s="372"/>
      <c r="Q247" s="372"/>
      <c r="R247" s="372"/>
      <c r="S247" s="372"/>
      <c r="T247" s="372"/>
      <c r="U247" s="372"/>
      <c r="V247" s="372"/>
    </row>
    <row r="248" spans="1:22" ht="15" x14ac:dyDescent="0.25">
      <c r="C248" s="371"/>
      <c r="D248" s="371"/>
      <c r="E248" s="372"/>
      <c r="F248" s="372"/>
      <c r="G248" s="372"/>
      <c r="H248" s="372"/>
      <c r="I248" s="372"/>
      <c r="J248" s="372"/>
      <c r="K248" s="372"/>
      <c r="L248" s="372"/>
      <c r="M248" s="372"/>
      <c r="N248" s="372"/>
      <c r="O248" s="372"/>
      <c r="P248" s="372"/>
      <c r="Q248" s="372"/>
      <c r="R248" s="372"/>
      <c r="S248" s="372"/>
      <c r="T248" s="372"/>
      <c r="U248" s="372"/>
      <c r="V248" s="372"/>
    </row>
    <row r="249" spans="1:22" ht="15" x14ac:dyDescent="0.25">
      <c r="C249" s="371"/>
      <c r="D249" s="371"/>
      <c r="E249" s="371"/>
      <c r="F249" s="371"/>
      <c r="G249" s="371"/>
      <c r="H249" s="371"/>
      <c r="I249" s="371"/>
      <c r="J249" s="374"/>
      <c r="K249" s="374"/>
      <c r="L249" s="371"/>
      <c r="M249" s="371"/>
      <c r="N249" s="371"/>
      <c r="O249" s="371"/>
      <c r="P249" s="371"/>
      <c r="Q249" s="371"/>
      <c r="R249" s="371"/>
      <c r="S249" s="371"/>
      <c r="T249" s="371"/>
      <c r="U249" s="371"/>
      <c r="V249" s="371"/>
    </row>
    <row r="250" spans="1:22" x14ac:dyDescent="0.2">
      <c r="J250" s="263"/>
      <c r="K250" s="261"/>
    </row>
    <row r="251" spans="1:22" x14ac:dyDescent="0.2">
      <c r="J251" s="263"/>
      <c r="K251" s="261"/>
    </row>
    <row r="252" spans="1:22" x14ac:dyDescent="0.2">
      <c r="J252" s="262"/>
    </row>
    <row r="253" spans="1:22" ht="15.75" customHeight="1" x14ac:dyDescent="0.2">
      <c r="J253" s="263"/>
      <c r="K253" s="261"/>
    </row>
  </sheetData>
  <dataConsolidate/>
  <mergeCells count="260">
    <mergeCell ref="C211:G212"/>
    <mergeCell ref="J211:K211"/>
    <mergeCell ref="N211:O211"/>
    <mergeCell ref="R211:S211"/>
    <mergeCell ref="C215:G215"/>
    <mergeCell ref="J215:K215"/>
    <mergeCell ref="N215:O215"/>
    <mergeCell ref="R215:S215"/>
    <mergeCell ref="J193:K193"/>
    <mergeCell ref="N193:O193"/>
    <mergeCell ref="R193:S193"/>
    <mergeCell ref="J205:K205"/>
    <mergeCell ref="N205:O205"/>
    <mergeCell ref="R205:S205"/>
    <mergeCell ref="J209:K209"/>
    <mergeCell ref="N209:O209"/>
    <mergeCell ref="R209:S209"/>
    <mergeCell ref="R175:S175"/>
    <mergeCell ref="J181:K181"/>
    <mergeCell ref="N181:O181"/>
    <mergeCell ref="R181:S181"/>
    <mergeCell ref="J187:K187"/>
    <mergeCell ref="N187:O187"/>
    <mergeCell ref="R187:S187"/>
    <mergeCell ref="J177:K177"/>
    <mergeCell ref="N177:O177"/>
    <mergeCell ref="R177:S177"/>
    <mergeCell ref="J183:K183"/>
    <mergeCell ref="N183:O183"/>
    <mergeCell ref="R183:S183"/>
    <mergeCell ref="J222:K222"/>
    <mergeCell ref="N222:O222"/>
    <mergeCell ref="C126:G127"/>
    <mergeCell ref="J126:K126"/>
    <mergeCell ref="N126:O126"/>
    <mergeCell ref="J15:K15"/>
    <mergeCell ref="C114:G115"/>
    <mergeCell ref="C120:G121"/>
    <mergeCell ref="C95:G95"/>
    <mergeCell ref="N106:O106"/>
    <mergeCell ref="J108:K108"/>
    <mergeCell ref="N108:O108"/>
    <mergeCell ref="N118:O118"/>
    <mergeCell ref="C132:G133"/>
    <mergeCell ref="J132:K132"/>
    <mergeCell ref="N132:O132"/>
    <mergeCell ref="C108:G109"/>
    <mergeCell ref="N130:O130"/>
    <mergeCell ref="J124:K124"/>
    <mergeCell ref="J114:K114"/>
    <mergeCell ref="N114:O114"/>
    <mergeCell ref="J44:K44"/>
    <mergeCell ref="J169:K169"/>
    <mergeCell ref="N169:O169"/>
    <mergeCell ref="A2:U2"/>
    <mergeCell ref="A3:U3"/>
    <mergeCell ref="C52:G53"/>
    <mergeCell ref="N32:O32"/>
    <mergeCell ref="N52:O52"/>
    <mergeCell ref="J21:K21"/>
    <mergeCell ref="N21:O21"/>
    <mergeCell ref="J17:K17"/>
    <mergeCell ref="R21:S21"/>
    <mergeCell ref="R32:S32"/>
    <mergeCell ref="J12:K12"/>
    <mergeCell ref="N12:O12"/>
    <mergeCell ref="N19:O19"/>
    <mergeCell ref="A4:U4"/>
    <mergeCell ref="A7:U7"/>
    <mergeCell ref="J13:K14"/>
    <mergeCell ref="J19:K19"/>
    <mergeCell ref="C9:H9"/>
    <mergeCell ref="J52:K52"/>
    <mergeCell ref="N44:O44"/>
    <mergeCell ref="R44:S44"/>
    <mergeCell ref="N15:O15"/>
    <mergeCell ref="D44:G45"/>
    <mergeCell ref="C13:H13"/>
    <mergeCell ref="R17:S17"/>
    <mergeCell ref="R37:S37"/>
    <mergeCell ref="R52:S52"/>
    <mergeCell ref="R19:S19"/>
    <mergeCell ref="N37:O37"/>
    <mergeCell ref="J224:K224"/>
    <mergeCell ref="N224:O224"/>
    <mergeCell ref="J106:K106"/>
    <mergeCell ref="N112:O112"/>
    <mergeCell ref="J100:K100"/>
    <mergeCell ref="N155:O155"/>
    <mergeCell ref="N135:O135"/>
    <mergeCell ref="N124:O124"/>
    <mergeCell ref="J120:K120"/>
    <mergeCell ref="N120:O120"/>
    <mergeCell ref="J118:K118"/>
    <mergeCell ref="R224:S224"/>
    <mergeCell ref="J159:K159"/>
    <mergeCell ref="R222:S222"/>
    <mergeCell ref="J153:K153"/>
    <mergeCell ref="N153:O153"/>
    <mergeCell ref="R165:S165"/>
    <mergeCell ref="J155:K155"/>
    <mergeCell ref="R106:S106"/>
    <mergeCell ref="C73:G74"/>
    <mergeCell ref="J73:K73"/>
    <mergeCell ref="N73:O73"/>
    <mergeCell ref="J83:K83"/>
    <mergeCell ref="C85:G86"/>
    <mergeCell ref="C91:G92"/>
    <mergeCell ref="N89:O89"/>
    <mergeCell ref="N83:O83"/>
    <mergeCell ref="C77:F77"/>
    <mergeCell ref="J85:K85"/>
    <mergeCell ref="J91:K91"/>
    <mergeCell ref="N91:O91"/>
    <mergeCell ref="J89:K89"/>
    <mergeCell ref="A5:U5"/>
    <mergeCell ref="C61:G62"/>
    <mergeCell ref="J61:K61"/>
    <mergeCell ref="C55:G56"/>
    <mergeCell ref="J55:K55"/>
    <mergeCell ref="C102:G103"/>
    <mergeCell ref="J102:K102"/>
    <mergeCell ref="R67:S67"/>
    <mergeCell ref="R65:S65"/>
    <mergeCell ref="R85:S85"/>
    <mergeCell ref="R83:S83"/>
    <mergeCell ref="R71:S71"/>
    <mergeCell ref="N85:O85"/>
    <mergeCell ref="R102:S102"/>
    <mergeCell ref="R100:S100"/>
    <mergeCell ref="J71:K71"/>
    <mergeCell ref="N71:O71"/>
    <mergeCell ref="N102:O102"/>
    <mergeCell ref="N100:O100"/>
    <mergeCell ref="C67:G68"/>
    <mergeCell ref="C23:G24"/>
    <mergeCell ref="J23:K23"/>
    <mergeCell ref="J37:K37"/>
    <mergeCell ref="N65:O65"/>
    <mergeCell ref="A6:U6"/>
    <mergeCell ref="N23:O23"/>
    <mergeCell ref="N17:O17"/>
    <mergeCell ref="J27:K27"/>
    <mergeCell ref="N27:O27"/>
    <mergeCell ref="N61:O61"/>
    <mergeCell ref="C27:G27"/>
    <mergeCell ref="R27:S27"/>
    <mergeCell ref="N55:O55"/>
    <mergeCell ref="R55:S55"/>
    <mergeCell ref="N59:O59"/>
    <mergeCell ref="J34:K34"/>
    <mergeCell ref="N34:O34"/>
    <mergeCell ref="R34:S34"/>
    <mergeCell ref="J40:K40"/>
    <mergeCell ref="R12:S12"/>
    <mergeCell ref="R13:S14"/>
    <mergeCell ref="R61:S61"/>
    <mergeCell ref="N13:O14"/>
    <mergeCell ref="C12:H12"/>
    <mergeCell ref="Q15:T15"/>
    <mergeCell ref="R23:S23"/>
    <mergeCell ref="J16:K16"/>
    <mergeCell ref="N16:O16"/>
    <mergeCell ref="N239:O239"/>
    <mergeCell ref="R16:S16"/>
    <mergeCell ref="J112:K112"/>
    <mergeCell ref="R73:S73"/>
    <mergeCell ref="N77:O77"/>
    <mergeCell ref="R77:S77"/>
    <mergeCell ref="N40:O40"/>
    <mergeCell ref="R40:S40"/>
    <mergeCell ref="R118:S118"/>
    <mergeCell ref="J77:K77"/>
    <mergeCell ref="R108:S108"/>
    <mergeCell ref="R112:S112"/>
    <mergeCell ref="J95:K95"/>
    <mergeCell ref="N95:O95"/>
    <mergeCell ref="R95:S95"/>
    <mergeCell ref="R89:S89"/>
    <mergeCell ref="R91:S91"/>
    <mergeCell ref="J32:K32"/>
    <mergeCell ref="R59:S59"/>
    <mergeCell ref="J65:K65"/>
    <mergeCell ref="J59:K59"/>
    <mergeCell ref="J67:K67"/>
    <mergeCell ref="N67:O67"/>
    <mergeCell ref="R114:S114"/>
    <mergeCell ref="C140:G140"/>
    <mergeCell ref="J140:K140"/>
    <mergeCell ref="N140:O140"/>
    <mergeCell ref="R140:S140"/>
    <mergeCell ref="N186:O186"/>
    <mergeCell ref="R159:S159"/>
    <mergeCell ref="N145:O145"/>
    <mergeCell ref="R145:S145"/>
    <mergeCell ref="J145:K145"/>
    <mergeCell ref="N161:O161"/>
    <mergeCell ref="R161:S161"/>
    <mergeCell ref="J186:K186"/>
    <mergeCell ref="J149:K149"/>
    <mergeCell ref="N149:O149"/>
    <mergeCell ref="R149:S149"/>
    <mergeCell ref="R155:S155"/>
    <mergeCell ref="J165:K165"/>
    <mergeCell ref="N165:O165"/>
    <mergeCell ref="R153:S153"/>
    <mergeCell ref="N159:O159"/>
    <mergeCell ref="J161:K161"/>
    <mergeCell ref="R169:S169"/>
    <mergeCell ref="J175:K175"/>
    <mergeCell ref="N175:O175"/>
    <mergeCell ref="R234:S234"/>
    <mergeCell ref="R238:S238"/>
    <mergeCell ref="R226:S226"/>
    <mergeCell ref="J230:K230"/>
    <mergeCell ref="J232:K232"/>
    <mergeCell ref="J234:K234"/>
    <mergeCell ref="J238:K238"/>
    <mergeCell ref="N238:O238"/>
    <mergeCell ref="N234:O234"/>
    <mergeCell ref="N232:O232"/>
    <mergeCell ref="N230:O230"/>
    <mergeCell ref="R230:S230"/>
    <mergeCell ref="J228:K228"/>
    <mergeCell ref="N228:O228"/>
    <mergeCell ref="R228:S228"/>
    <mergeCell ref="J226:K226"/>
    <mergeCell ref="N226:O226"/>
    <mergeCell ref="R232:S232"/>
    <mergeCell ref="J236:K236"/>
    <mergeCell ref="N236:O236"/>
    <mergeCell ref="R236:S236"/>
    <mergeCell ref="J42:K42"/>
    <mergeCell ref="N42:O42"/>
    <mergeCell ref="R42:S42"/>
    <mergeCell ref="J48:K48"/>
    <mergeCell ref="N48:O48"/>
    <mergeCell ref="R48:S48"/>
    <mergeCell ref="J171:K171"/>
    <mergeCell ref="N171:O171"/>
    <mergeCell ref="R171:S171"/>
    <mergeCell ref="J137:K137"/>
    <mergeCell ref="R126:S126"/>
    <mergeCell ref="R124:S124"/>
    <mergeCell ref="R130:S130"/>
    <mergeCell ref="R132:S132"/>
    <mergeCell ref="R120:S120"/>
    <mergeCell ref="J130:K130"/>
    <mergeCell ref="J189:K189"/>
    <mergeCell ref="N189:O189"/>
    <mergeCell ref="R189:S189"/>
    <mergeCell ref="J195:K195"/>
    <mergeCell ref="N195:O195"/>
    <mergeCell ref="J199:K199"/>
    <mergeCell ref="N199:O199"/>
    <mergeCell ref="J201:K201"/>
    <mergeCell ref="N201:O201"/>
    <mergeCell ref="R195:S195"/>
    <mergeCell ref="R199:S199"/>
    <mergeCell ref="R201:S201"/>
  </mergeCells>
  <phoneticPr fontId="6" type="noConversion"/>
  <dataValidations count="12">
    <dataValidation type="whole" operator="greaterThanOrEqual" allowBlank="1" showInputMessage="1" showErrorMessage="1" error="Must be a positive number" sqref="O246 N52:O52" xr:uid="{00000000-0002-0000-0400-000000000000}">
      <formula1>0</formula1>
    </dataValidation>
    <dataValidation type="whole" operator="lessThanOrEqual" allowBlank="1" showInputMessage="1" showErrorMessage="1" error="Must be a negative number" sqref="O200 N71:O71 N32:O32 K200 O202 N59:O59 J32:K32 N65:O65 K184:K185 K188 N190:N194 K202 K176 O184:O185 N196:N202 O169:O170 O196:O198 O172:O176 K182 O178:O182 K194 O187:O188 J196:J202 O190:O194 K196:K198 K172:K174 J172:J174 J176:J180 K178:K180 J182 N169:N182 J184:J186 J188 N184:N188 K190:K192 J190:J192 J194" xr:uid="{00000000-0002-0000-0400-000001000000}">
      <formula1>0</formula1>
    </dataValidation>
    <dataValidation type="whole" operator="equal" allowBlank="1" showInputMessage="1" showErrorMessage="1" errorTitle="Don't overwrite this cell" error="Does not equal col1 + col2" sqref="R40:R41 S182 S168:S170 R239:S239 S202 R32:S32 R34:S34 R37:S37 R194 S200 S196:S198 S194 S188 S176 S40:S41 R190 S190 S191:S192 R196:R202 R168:R170 R172:R174 S172:S174 S178:S180 R176:R180 R182 R184:R186 S184:S186 R188 R192" xr:uid="{00000000-0002-0000-0400-000002000000}">
      <formula1>J32+N32</formula1>
    </dataValidation>
    <dataValidation operator="greaterThanOrEqual" allowBlank="1" showInputMessage="1" showErrorMessage="1" error="Must be equal to or less than line 6" sqref="N44:O44 N34:O34 N40:N42 O40:O41" xr:uid="{00000000-0002-0000-0400-000003000000}"/>
    <dataValidation operator="lessThanOrEqual" allowBlank="1" showInputMessage="1" showErrorMessage="1" error="Must be a negative number" sqref="J27:K27 N19:O19 N23:O23 J17:K17 N17:O17 J19:K19 N27:O27 J21:K21 N21:O21 J23:K23" xr:uid="{00000000-0002-0000-0400-000004000000}"/>
    <dataValidation operator="equal" allowBlank="1" showInputMessage="1" showErrorMessage="1" errorTitle="Don't overwrite this cell" error="Does not equal col1 + col2" sqref="R191" xr:uid="{00000000-0002-0000-0400-000005000000}"/>
    <dataValidation type="whole" operator="equal" allowBlank="1" showInputMessage="1" error="Must equal the sum of lines 47 &amp; 48" sqref="N215:O215 J215:K215" xr:uid="{00000000-0002-0000-0400-000007000000}">
      <formula1>J209+J211</formula1>
    </dataValidation>
    <dataValidation type="whole" operator="equal" allowBlank="1" showInputMessage="1" showErrorMessage="1" error="Must equal the sum of lines 40 to 45" sqref="J205:K205 R205:S205 N205:O205" xr:uid="{00000000-0002-0000-0400-000006000000}">
      <formula1>J145+J147+J149+J151+J155+J159+J161+J165+J169+J175+J181+J187+J193</formula1>
    </dataValidation>
    <dataValidation allowBlank="1" showInputMessage="1" sqref="R42:S42 J211:K211 J52:K52" xr:uid="{F2B5753F-3BB2-4A48-B329-33D6B45C5A8B}"/>
    <dataValidation type="whole" operator="equal" allowBlank="1" showInputMessage="1" errorTitle="Don't overwrite this cell" error="Does not equal col1 + col2" sqref="R44:S44 R52:S52 R55:S55 R59:S59 R61:S61 R65:S65 R67:S67 R71:S71 R73:S73 R171:S171 R175:S175 R181:S181 R183:S183 R187:S187 R189:S189 R193:S193 R195:S195 R209:S209 R211:S211 R215:S215" xr:uid="{6BCC9069-1D78-4955-BE69-D66319510AA8}">
      <formula1>J44+N44</formula1>
    </dataValidation>
    <dataValidation type="whole" operator="lessThanOrEqual" allowBlank="1" showInputMessage="1" error="Must be a negative number" sqref="J59:K59 J65:K65 J71:K71 J175:K175 J181:K181 J183:K183 N183:O183 J187:K187 J189:K189 N189:O189 J193:K193 J195:K195 N195:O195 N209:O209" xr:uid="{2DF1FA70-8884-4185-BDF9-81E47A4E0FA0}">
      <formula1>0</formula1>
    </dataValidation>
    <dataValidation type="whole" operator="lessThanOrEqual" allowBlank="1" error="Must be a negative number" sqref="J209:K209" xr:uid="{796820F7-ED69-4472-804C-419E7769E7A4}">
      <formula1>0</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9" max="16383" man="1"/>
    <brk id="142" max="16383" man="1"/>
  </rowBreaks>
  <extLst>
    <ext xmlns:x14="http://schemas.microsoft.com/office/spreadsheetml/2009/9/main" uri="{78C0D931-6437-407d-A8EE-F0AAD7539E65}">
      <x14:conditionalFormattings>
        <x14:conditionalFormatting xmlns:xm="http://schemas.microsoft.com/office/excel/2006/main">
          <x14:cfRule type="expression" priority="12" id="{12D1F190-A109-4748-9C08-9D2236B6575A}">
            <xm:f>'\\desktop21.dclg.gov.uk\DCLGDFS\LGF3Data\NNDR 1 - 3\NNDR3\2017-18\Form to LA\[NNDR3 2017-18 to LAs v1.1a.xlsx]Part 1'!#REF!=""</xm:f>
            <x14:dxf>
              <fill>
                <patternFill>
                  <bgColor theme="0" tint="-0.24994659260841701"/>
                </patternFill>
              </fill>
            </x14:dxf>
          </x14:cfRule>
          <xm:sqref>M168:P168</xm:sqref>
        </x14:conditionalFormatting>
        <x14:conditionalFormatting xmlns:xm="http://schemas.microsoft.com/office/excel/2006/main">
          <x14:cfRule type="expression" priority="13" id="{CCBD7405-0DE7-4C84-83CA-7E2D4FBC6968}">
            <xm:f>'\\desktop21.dclg.gov.uk\DCLGDFS\LGF3Data\NNDR 1 - 3\NNDR3\2017-18\Form to LA\[NNDR3 2017-18 to LAs v1.1a.xlsx]Part 1'!#REF!=""</xm:f>
            <x14:dxf>
              <fill>
                <patternFill>
                  <bgColor theme="0" tint="-0.24994659260841701"/>
                </patternFill>
              </fill>
            </x14:dxf>
          </x14:cfRule>
          <xm:sqref>M168:P170 M171:N171 P171 M172:P176 M177:N177 P177 M178:P182 M183:N183 P183 M184:P188 M189:N189 P189 M190:P194 M195:N195 P195 M196:P198 M199:N199 P199 M200:P200 M201:N201 P201 M202:P202</xm:sqref>
        </x14:conditionalFormatting>
        <x14:conditionalFormatting xmlns:xm="http://schemas.microsoft.com/office/excel/2006/main">
          <x14:cfRule type="expression" priority="10" id="{FC44BE20-1E3C-42AC-B136-D502AA42AC5F}">
            <xm:f>'\\desktop21.dclg.gov.uk\DCLGDFS\LGF3Data\NNDR 1 - 3\NNDR3\2017-18\Form to LA\[NNDR3 2017-18 to LAs v1.1a.xlsx]Part 1'!#REF!=""</xm:f>
            <x14:dxf>
              <fill>
                <patternFill>
                  <bgColor theme="0" tint="-0.24994659260841701"/>
                </patternFill>
              </fill>
            </x14:dxf>
          </x14:cfRule>
          <x14:cfRule type="expression" priority="11" id="{68D4392A-5B7B-484B-B5AB-F0E40F7FDFDD}">
            <xm:f>'\\desktop21.dclg.gov.uk\DCLGDFS\LGF3Data\NNDR 1 - 3\NNDR3\2017-18\Form to LA\[NNDR3 2017-18 to LAs v1.1a.xlsx]Part 1'!#REF!=""</xm:f>
            <x14:dxf>
              <fill>
                <patternFill>
                  <bgColor theme="0" tint="-0.24994659260841701"/>
                </patternFill>
              </fill>
            </x14:dxf>
          </x14:cfRule>
          <xm:sqref>M169:P170 M171:N171 P171:P174</xm:sqref>
        </x14:conditionalFormatting>
        <x14:conditionalFormatting xmlns:xm="http://schemas.microsoft.com/office/excel/2006/main">
          <x14:cfRule type="expression" priority="8" id="{FC2A956F-33B2-43DC-9612-BE6EBC1D748A}">
            <xm:f>'\\desktop21.dclg.gov.uk\DCLGDFS\LGF3Data\NNDR 1 - 3\NNDR3\2017-18\Form to LA\[NNDR3 2017-18 to LAs v1.1a.xlsx]Part 1'!#REF!=""</xm:f>
            <x14:dxf>
              <fill>
                <patternFill>
                  <bgColor theme="0" tint="-0.24994659260841701"/>
                </patternFill>
              </fill>
            </x14:dxf>
          </x14:cfRule>
          <x14:cfRule type="expression" priority="9" id="{F5344E6C-A6BE-490B-A674-8DFB6E611E4A}">
            <xm:f>'\\desktop21.dclg.gov.uk\DCLGDFS\LGF3Data\NNDR 1 - 3\NNDR3\2017-18\Form to LA\[NNDR3 2017-18 to LAs v1.1a.xlsx]Part 1'!#REF!=""</xm:f>
            <x14:dxf>
              <fill>
                <patternFill>
                  <bgColor theme="0" tint="-0.24994659260841701"/>
                </patternFill>
              </fill>
            </x14:dxf>
          </x14:cfRule>
          <xm:sqref>M175:P176 P177:P180 P184:P186 P191:P192</xm:sqref>
        </x14:conditionalFormatting>
        <x14:conditionalFormatting xmlns:xm="http://schemas.microsoft.com/office/excel/2006/main">
          <x14:cfRule type="expression" priority="6" id="{4F860BAD-67C1-48FB-8970-6839D83CF7A2}">
            <xm:f>'\\desktop21.dclg.gov.uk\DCLGDFS\LGF3Data\NNDR 1 - 3\NNDR3\2017-18\Form to LA\[NNDR3 2017-18 to LAs v1.1a.xlsx]Part 1'!#REF!=""</xm:f>
            <x14:dxf>
              <fill>
                <patternFill>
                  <bgColor theme="0" tint="-0.24994659260841701"/>
                </patternFill>
              </fill>
            </x14:dxf>
          </x14:cfRule>
          <xm:sqref>M181:P182 M183:N183 P183</xm:sqref>
        </x14:conditionalFormatting>
        <x14:conditionalFormatting xmlns:xm="http://schemas.microsoft.com/office/excel/2006/main">
          <x14:cfRule type="expression" priority="4" id="{FCAE9697-3C9B-4931-B3F8-B6B8033EE706}">
            <xm:f>'\\desktop21.dclg.gov.uk\DCLGDFS\LGF3Data\NNDR 1 - 3\NNDR3\2017-18\Form to LA\[NNDR3 2017-18 to LAs v1.1a.xlsx]Part 1'!#REF!=""</xm:f>
            <x14:dxf>
              <fill>
                <patternFill>
                  <bgColor theme="0" tint="-0.24994659260841701"/>
                </patternFill>
              </fill>
            </x14:dxf>
          </x14:cfRule>
          <xm:sqref>M187:P188 M189:N189 P189 M190:P190</xm:sqref>
        </x14:conditionalFormatting>
        <x14:conditionalFormatting xmlns:xm="http://schemas.microsoft.com/office/excel/2006/main">
          <x14:cfRule type="expression" priority="2" id="{83801792-4912-4E5D-999E-54CC1B4A43D1}">
            <xm:f>'\\desktop21.dclg.gov.uk\DCLGDFS\LGF3Data\NNDR 1 - 3\NNDR3\2017-18\Form to LA\[NNDR3 2017-18 to LAs v1.1a.xlsx]Part 1'!#REF!=""</xm:f>
            <x14:dxf>
              <fill>
                <patternFill>
                  <bgColor theme="0" tint="-0.24994659260841701"/>
                </patternFill>
              </fill>
            </x14:dxf>
          </x14:cfRule>
          <xm:sqref>M193:P194 M195:N195 P195 M196:P198 M199:N199 P199 M200:P200 M201:N201 P201</xm:sqref>
        </x14:conditionalFormatting>
        <x14:conditionalFormatting xmlns:xm="http://schemas.microsoft.com/office/excel/2006/main">
          <x14:cfRule type="expression" priority="1" id="{29E9E4A7-D929-4EC5-8FE4-2A5E120FD995}">
            <xm:f>'\\desktop21.dclg.gov.uk\DCLGDFS\LGF3Data\NNDR 1 - 3\NNDR3\2017-18\Form to LA\[NNDR3 2017-18 to LAs v1.1a.xlsx]Part 1'!#REF!=""</xm:f>
            <x14:dxf>
              <fill>
                <patternFill>
                  <bgColor theme="0" tint="-0.24994659260841701"/>
                </patternFill>
              </fill>
            </x14:dxf>
          </x14:cfRule>
          <xm:sqref>M202:P217</xm:sqref>
        </x14:conditionalFormatting>
        <x14:conditionalFormatting xmlns:xm="http://schemas.microsoft.com/office/excel/2006/main">
          <x14:cfRule type="expression" priority="31" id="{AC11580B-E091-40EE-AD46-B8B9DEED1B0D}">
            <xm:f>AND('Part 1'!#REF!=0)=TRUE</xm:f>
            <x14:dxf>
              <fill>
                <patternFill>
                  <bgColor theme="0" tint="-0.24994659260841701"/>
                </patternFill>
              </fill>
            </x14:dxf>
          </x14:cfRule>
          <xm:sqref>M274:P274 M277:P277 M280:P280 M282:P282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83"/>
  <sheetViews>
    <sheetView showGridLines="0" zoomScale="72" zoomScaleNormal="70" zoomScaleSheetLayoutView="100" workbookViewId="0"/>
  </sheetViews>
  <sheetFormatPr defaultRowHeight="12.75" x14ac:dyDescent="0.2"/>
  <cols>
    <col min="1" max="2" width="1.7109375" customWidth="1"/>
    <col min="5" max="5" width="63.285156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85" customWidth="1"/>
    <col min="23" max="27" width="9.140625" style="375" customWidth="1"/>
    <col min="28" max="28" width="9.140625" style="185"/>
  </cols>
  <sheetData>
    <row r="1" spans="1:28" ht="15" x14ac:dyDescent="0.2">
      <c r="A1" s="11"/>
      <c r="B1" s="12"/>
      <c r="C1" s="12"/>
      <c r="D1" s="12"/>
      <c r="E1" s="12"/>
      <c r="F1" s="12"/>
      <c r="G1" s="59">
        <f>+'Part 1'!F1</f>
        <v>327</v>
      </c>
      <c r="H1" s="12"/>
      <c r="I1" s="12"/>
      <c r="J1" s="12"/>
      <c r="K1" s="12"/>
      <c r="L1" s="12"/>
      <c r="M1" s="12"/>
      <c r="N1" s="12"/>
      <c r="O1" s="12"/>
      <c r="P1" s="12"/>
      <c r="Q1" s="12"/>
      <c r="R1" s="12"/>
      <c r="S1" s="12"/>
      <c r="T1" s="12"/>
      <c r="U1" s="12"/>
      <c r="V1" s="13"/>
    </row>
    <row r="2" spans="1:28" ht="15.75" x14ac:dyDescent="0.25">
      <c r="A2" s="752" t="s">
        <v>39</v>
      </c>
      <c r="B2" s="753"/>
      <c r="C2" s="753"/>
      <c r="D2" s="753"/>
      <c r="E2" s="753"/>
      <c r="F2" s="753"/>
      <c r="G2" s="753"/>
      <c r="H2" s="753"/>
      <c r="I2" s="753"/>
      <c r="J2" s="753"/>
      <c r="K2" s="753"/>
      <c r="L2" s="753"/>
      <c r="M2" s="753"/>
      <c r="N2" s="753"/>
      <c r="O2" s="753"/>
      <c r="P2" s="753"/>
      <c r="Q2" s="753"/>
      <c r="R2" s="753"/>
      <c r="S2" s="753"/>
      <c r="T2" s="753"/>
      <c r="U2" s="753"/>
      <c r="V2" s="754"/>
    </row>
    <row r="3" spans="1:28" ht="15.75" x14ac:dyDescent="0.25">
      <c r="A3" s="704" t="s">
        <v>1379</v>
      </c>
      <c r="B3" s="753"/>
      <c r="C3" s="753"/>
      <c r="D3" s="753"/>
      <c r="E3" s="753"/>
      <c r="F3" s="753"/>
      <c r="G3" s="753"/>
      <c r="H3" s="753"/>
      <c r="I3" s="753"/>
      <c r="J3" s="753"/>
      <c r="K3" s="753"/>
      <c r="L3" s="753"/>
      <c r="M3" s="753"/>
      <c r="N3" s="753"/>
      <c r="O3" s="753"/>
      <c r="P3" s="753"/>
      <c r="Q3" s="753"/>
      <c r="R3" s="753"/>
      <c r="S3" s="753"/>
      <c r="T3" s="753"/>
      <c r="U3" s="753"/>
      <c r="V3" s="754"/>
    </row>
    <row r="4" spans="1:28" ht="15" x14ac:dyDescent="0.2">
      <c r="A4" s="707"/>
      <c r="B4" s="708"/>
      <c r="C4" s="708"/>
      <c r="D4" s="708"/>
      <c r="E4" s="708"/>
      <c r="F4" s="708"/>
      <c r="G4" s="708"/>
      <c r="H4" s="708"/>
      <c r="I4" s="708"/>
      <c r="J4" s="708"/>
      <c r="K4" s="708"/>
      <c r="L4" s="708"/>
      <c r="M4" s="708"/>
      <c r="N4" s="708"/>
      <c r="O4" s="708"/>
      <c r="P4" s="708"/>
      <c r="Q4" s="708"/>
      <c r="R4" s="708"/>
      <c r="S4" s="708"/>
      <c r="T4" s="708"/>
      <c r="U4" s="708"/>
      <c r="V4" s="709"/>
    </row>
    <row r="5" spans="1:28" ht="15" x14ac:dyDescent="0.2">
      <c r="A5" s="707"/>
      <c r="B5" s="708"/>
      <c r="C5" s="708"/>
      <c r="D5" s="708"/>
      <c r="E5" s="708"/>
      <c r="F5" s="708"/>
      <c r="G5" s="708"/>
      <c r="H5" s="708"/>
      <c r="I5" s="708"/>
      <c r="J5" s="708"/>
      <c r="K5" s="708"/>
      <c r="L5" s="708"/>
      <c r="M5" s="708"/>
      <c r="N5" s="708"/>
      <c r="O5" s="708"/>
      <c r="P5" s="708"/>
      <c r="Q5" s="708"/>
      <c r="R5" s="708"/>
      <c r="S5" s="708"/>
      <c r="T5" s="708"/>
      <c r="U5" s="708"/>
      <c r="V5" s="709"/>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902"/>
      <c r="D7" s="902"/>
      <c r="E7" s="902"/>
      <c r="F7" s="902"/>
      <c r="G7" s="902"/>
      <c r="H7" s="902"/>
      <c r="I7" s="902"/>
      <c r="J7" s="40"/>
      <c r="K7" s="40"/>
      <c r="L7" s="40"/>
      <c r="M7" s="40"/>
      <c r="N7" s="40"/>
      <c r="O7" s="40"/>
      <c r="P7" s="40"/>
      <c r="Q7" s="40"/>
      <c r="R7" s="40"/>
      <c r="S7" s="40"/>
      <c r="T7" s="40"/>
      <c r="U7" s="40"/>
      <c r="V7" s="423"/>
    </row>
    <row r="8" spans="1:28" s="24" customFormat="1" ht="18" customHeight="1" x14ac:dyDescent="0.25">
      <c r="A8" s="29"/>
      <c r="B8" s="18"/>
      <c r="C8" s="86" t="str">
        <f>+CONCATENATE("Local Authority : ",+'Part 1'!L15)</f>
        <v>Local Authority : England</v>
      </c>
      <c r="D8" s="51"/>
      <c r="E8" s="51"/>
      <c r="F8" s="51"/>
      <c r="G8" s="257"/>
      <c r="H8" s="257"/>
      <c r="I8" s="257"/>
      <c r="J8" s="18"/>
      <c r="K8" s="18"/>
      <c r="L8" s="18"/>
      <c r="M8" s="18"/>
      <c r="N8" s="18"/>
      <c r="O8" s="18"/>
      <c r="P8" s="18"/>
      <c r="Q8" s="18"/>
      <c r="R8" s="18"/>
      <c r="S8" s="18"/>
      <c r="T8" s="18"/>
      <c r="U8" s="18"/>
      <c r="V8" s="8"/>
      <c r="W8" s="614"/>
      <c r="X8" s="614"/>
      <c r="Y8" s="614"/>
      <c r="Z8" s="614"/>
      <c r="AA8" s="614"/>
      <c r="AB8" s="5"/>
    </row>
    <row r="9" spans="1:28" ht="15.75" x14ac:dyDescent="0.25">
      <c r="A9" s="14"/>
      <c r="B9" s="2"/>
      <c r="C9" s="257"/>
      <c r="D9" s="257"/>
      <c r="E9" s="257"/>
      <c r="F9" s="257"/>
      <c r="G9" s="257"/>
      <c r="H9" s="257"/>
      <c r="I9" s="257"/>
      <c r="J9" s="18"/>
      <c r="K9" s="762" t="s">
        <v>22</v>
      </c>
      <c r="L9" s="762"/>
      <c r="M9" s="47"/>
      <c r="N9" s="47"/>
      <c r="O9" s="762" t="s">
        <v>23</v>
      </c>
      <c r="P9" s="762"/>
      <c r="Q9" s="47"/>
      <c r="R9" s="47"/>
      <c r="S9" s="761" t="s">
        <v>24</v>
      </c>
      <c r="T9" s="762"/>
      <c r="U9" s="1"/>
      <c r="V9" s="424"/>
    </row>
    <row r="10" spans="1:28" ht="15.75" x14ac:dyDescent="0.25">
      <c r="A10" s="14"/>
      <c r="B10" s="2"/>
      <c r="C10" s="92" t="s">
        <v>869</v>
      </c>
      <c r="D10" s="18"/>
      <c r="E10" s="18"/>
      <c r="F10" s="18"/>
      <c r="G10" s="18"/>
      <c r="H10" s="18"/>
      <c r="I10" s="18"/>
      <c r="J10" s="760" t="s">
        <v>52</v>
      </c>
      <c r="K10" s="760"/>
      <c r="L10" s="760"/>
      <c r="M10" s="760"/>
      <c r="N10" s="727" t="s">
        <v>50</v>
      </c>
      <c r="O10" s="727"/>
      <c r="P10" s="727"/>
      <c r="Q10" s="727"/>
      <c r="R10" s="44"/>
      <c r="S10" s="760" t="s">
        <v>867</v>
      </c>
      <c r="T10" s="768"/>
      <c r="U10" s="3"/>
      <c r="V10" s="424"/>
    </row>
    <row r="11" spans="1:28" ht="15" x14ac:dyDescent="0.2">
      <c r="A11" s="14"/>
      <c r="B11" s="2"/>
      <c r="C11" s="18"/>
      <c r="D11" s="18"/>
      <c r="E11" s="18"/>
      <c r="F11" s="18"/>
      <c r="G11" s="18"/>
      <c r="H11" s="18"/>
      <c r="I11" s="18"/>
      <c r="J11" s="760"/>
      <c r="K11" s="760"/>
      <c r="L11" s="760"/>
      <c r="M11" s="760"/>
      <c r="N11" s="727"/>
      <c r="O11" s="727"/>
      <c r="P11" s="727"/>
      <c r="Q11" s="727"/>
      <c r="R11" s="18"/>
      <c r="S11" s="768"/>
      <c r="T11" s="768"/>
      <c r="U11" s="2"/>
      <c r="V11" s="424"/>
    </row>
    <row r="12" spans="1:28" ht="30.75" customHeight="1" x14ac:dyDescent="0.25">
      <c r="A12" s="14"/>
      <c r="B12" s="2"/>
      <c r="C12" s="92"/>
      <c r="D12" s="18"/>
      <c r="E12" s="18"/>
      <c r="F12" s="18"/>
      <c r="G12" s="18"/>
      <c r="H12" s="18"/>
      <c r="I12" s="18"/>
      <c r="J12" s="255"/>
      <c r="K12" s="766"/>
      <c r="L12" s="766"/>
      <c r="M12" s="18"/>
      <c r="N12" s="766"/>
      <c r="O12" s="766"/>
      <c r="P12" s="766"/>
      <c r="Q12" s="766"/>
      <c r="R12" s="251"/>
      <c r="S12" s="770"/>
      <c r="T12" s="770"/>
      <c r="U12" s="251"/>
      <c r="V12" s="424"/>
    </row>
    <row r="13" spans="1:28" ht="18" customHeight="1" thickBot="1" x14ac:dyDescent="0.25">
      <c r="A13" s="14"/>
      <c r="B13" s="2"/>
      <c r="C13" s="43"/>
      <c r="D13" s="43"/>
      <c r="E13" s="43"/>
      <c r="F13" s="43"/>
      <c r="G13" s="43"/>
      <c r="H13" s="43"/>
      <c r="I13" s="43"/>
      <c r="J13" s="18"/>
      <c r="K13" s="854" t="s">
        <v>20</v>
      </c>
      <c r="L13" s="855"/>
      <c r="M13" s="48"/>
      <c r="N13" s="48"/>
      <c r="O13" s="854" t="s">
        <v>20</v>
      </c>
      <c r="P13" s="855"/>
      <c r="Q13" s="48"/>
      <c r="R13" s="230"/>
      <c r="S13" s="845" t="s">
        <v>20</v>
      </c>
      <c r="T13" s="846"/>
      <c r="U13" s="231"/>
      <c r="V13" s="424"/>
    </row>
    <row r="14" spans="1:28" ht="18" customHeight="1" thickBot="1" x14ac:dyDescent="0.25">
      <c r="A14" s="14"/>
      <c r="B14" s="2"/>
      <c r="C14" s="759" t="s">
        <v>1442</v>
      </c>
      <c r="D14" s="759"/>
      <c r="E14" s="759"/>
      <c r="F14" s="759"/>
      <c r="G14" s="759"/>
      <c r="H14" s="759"/>
      <c r="I14" s="116"/>
      <c r="J14" s="18"/>
      <c r="K14" s="876">
        <f>VLOOKUP('Part 1'!$L$16,Datasheet4!$B$6:$GH$333,X14,FALSE)</f>
        <v>8973161</v>
      </c>
      <c r="L14" s="877"/>
      <c r="M14" s="87"/>
      <c r="N14" s="88"/>
      <c r="O14" s="876">
        <f>VLOOKUP('Part 1'!$L$16,Datasheet4!$B$6:$GH$333,Y14,FALSE)</f>
        <v>-4430063</v>
      </c>
      <c r="P14" s="877"/>
      <c r="Q14" s="87"/>
      <c r="R14" s="250"/>
      <c r="S14" s="835">
        <f>VLOOKUP('Part 1'!$L$16,Datasheet4!$B$6:$GH$333,Z14,FALSE)</f>
        <v>4543098</v>
      </c>
      <c r="T14" s="901"/>
      <c r="U14" s="231"/>
      <c r="V14" s="424"/>
      <c r="X14" s="375">
        <v>3</v>
      </c>
      <c r="Y14" s="375">
        <v>4</v>
      </c>
      <c r="Z14" s="375">
        <v>5</v>
      </c>
    </row>
    <row r="15" spans="1:28" ht="18" customHeight="1" thickBot="1" x14ac:dyDescent="0.25">
      <c r="A15" s="14"/>
      <c r="B15" s="2"/>
      <c r="C15" s="108"/>
      <c r="D15" s="108"/>
      <c r="E15" s="108"/>
      <c r="F15" s="108"/>
      <c r="G15" s="108"/>
      <c r="H15" s="108"/>
      <c r="I15" s="108"/>
      <c r="J15" s="2"/>
      <c r="K15" s="2"/>
      <c r="L15" s="2"/>
      <c r="M15" s="2"/>
      <c r="N15" s="2"/>
      <c r="O15" s="2"/>
      <c r="P15" s="2"/>
      <c r="Q15" s="2"/>
      <c r="R15" s="231"/>
      <c r="S15" s="231"/>
      <c r="T15" s="231"/>
      <c r="U15" s="231"/>
      <c r="V15" s="424"/>
    </row>
    <row r="16" spans="1:28" ht="18" customHeight="1" thickBot="1" x14ac:dyDescent="0.25">
      <c r="A16" s="14"/>
      <c r="B16" s="2"/>
      <c r="C16" s="723" t="s">
        <v>1443</v>
      </c>
      <c r="D16" s="723"/>
      <c r="E16" s="757"/>
      <c r="F16" s="757"/>
      <c r="G16" s="757"/>
      <c r="H16" s="757"/>
      <c r="I16" s="43"/>
      <c r="J16" s="18"/>
      <c r="K16" s="880">
        <f>VLOOKUP('Part 1'!$L$16,Datasheet4!$B$6:$GH$333,X16,FALSE)</f>
        <v>-21553244.080000013</v>
      </c>
      <c r="L16" s="881"/>
      <c r="M16" s="48"/>
      <c r="N16" s="48"/>
      <c r="O16" s="880">
        <f>VLOOKUP('Part 1'!$L$16,Datasheet4!$B$6:$GH$333,Y16,FALSE)</f>
        <v>-6858358.5899999999</v>
      </c>
      <c r="P16" s="881"/>
      <c r="Q16" s="48"/>
      <c r="R16" s="230"/>
      <c r="S16" s="743">
        <f>VLOOKUP('Part 1'!$L$16,Datasheet4!$B$6:$GH$333,Z16,FALSE)</f>
        <v>-28411602.670000002</v>
      </c>
      <c r="T16" s="744"/>
      <c r="U16" s="231"/>
      <c r="V16" s="424"/>
      <c r="X16" s="375">
        <v>6</v>
      </c>
      <c r="Y16" s="375">
        <v>7</v>
      </c>
      <c r="Z16" s="375">
        <v>8</v>
      </c>
    </row>
    <row r="17" spans="1:26" ht="18" customHeight="1" x14ac:dyDescent="0.2">
      <c r="A17" s="14"/>
      <c r="B17" s="2"/>
      <c r="C17" s="739"/>
      <c r="D17" s="739"/>
      <c r="E17" s="739"/>
      <c r="F17" s="739"/>
      <c r="G17" s="739"/>
      <c r="H17" s="739"/>
      <c r="I17" s="43"/>
      <c r="J17" s="18"/>
      <c r="K17" s="49"/>
      <c r="L17" s="48"/>
      <c r="M17" s="48"/>
      <c r="N17" s="48"/>
      <c r="O17" s="49"/>
      <c r="P17" s="48"/>
      <c r="Q17" s="48"/>
      <c r="R17" s="230"/>
      <c r="S17" s="233"/>
      <c r="T17" s="230"/>
      <c r="U17" s="231"/>
      <c r="V17" s="424"/>
    </row>
    <row r="18" spans="1:26" ht="18" customHeight="1" thickBot="1" x14ac:dyDescent="0.25">
      <c r="A18" s="14"/>
      <c r="B18" s="2"/>
      <c r="C18" s="256"/>
      <c r="D18" s="256"/>
      <c r="E18" s="256"/>
      <c r="F18" s="256"/>
      <c r="G18" s="256"/>
      <c r="H18" s="256"/>
      <c r="I18" s="43"/>
      <c r="J18" s="18"/>
      <c r="K18" s="49"/>
      <c r="L18" s="48"/>
      <c r="M18" s="48"/>
      <c r="N18" s="48"/>
      <c r="O18" s="49"/>
      <c r="P18" s="48"/>
      <c r="Q18" s="48"/>
      <c r="R18" s="230"/>
      <c r="S18" s="233"/>
      <c r="T18" s="230"/>
      <c r="U18" s="231"/>
      <c r="V18" s="424"/>
    </row>
    <row r="19" spans="1:26" ht="18" customHeight="1" thickBot="1" x14ac:dyDescent="0.25">
      <c r="A19" s="14"/>
      <c r="B19" s="2"/>
      <c r="C19" s="61" t="s">
        <v>871</v>
      </c>
      <c r="D19" s="61"/>
      <c r="E19" s="43"/>
      <c r="F19" s="43"/>
      <c r="G19" s="43"/>
      <c r="H19" s="43"/>
      <c r="I19" s="43"/>
      <c r="J19" s="18"/>
      <c r="K19" s="876">
        <f>VLOOKUP('Part 1'!$L$16,Datasheet4!$B$6:$GH$333,X19,FALSE)</f>
        <v>30526405.080000002</v>
      </c>
      <c r="L19" s="877"/>
      <c r="M19" s="48"/>
      <c r="N19" s="48"/>
      <c r="O19" s="876">
        <f>VLOOKUP('Part 1'!$L$16,Datasheet4!$B$6:$GH$333,Y19,FALSE)</f>
        <v>2428295.59</v>
      </c>
      <c r="P19" s="877"/>
      <c r="Q19" s="48"/>
      <c r="R19" s="230"/>
      <c r="S19" s="743">
        <f>VLOOKUP('Part 1'!$L$16,Datasheet4!$B$6:$GH$333,Z19,FALSE)</f>
        <v>32954700.670000002</v>
      </c>
      <c r="T19" s="744"/>
      <c r="U19" s="231"/>
      <c r="V19" s="424"/>
      <c r="X19" s="375">
        <v>9</v>
      </c>
      <c r="Y19" s="375">
        <v>10</v>
      </c>
      <c r="Z19" s="375">
        <v>11</v>
      </c>
    </row>
    <row r="20" spans="1:26" ht="18" customHeight="1" thickBot="1" x14ac:dyDescent="0.25">
      <c r="A20" s="15"/>
      <c r="B20" s="16"/>
      <c r="C20" s="155"/>
      <c r="D20" s="155"/>
      <c r="E20" s="109"/>
      <c r="F20" s="109"/>
      <c r="G20" s="109"/>
      <c r="H20" s="109"/>
      <c r="I20" s="109"/>
      <c r="J20" s="58"/>
      <c r="K20" s="101"/>
      <c r="L20" s="102"/>
      <c r="M20" s="102"/>
      <c r="N20" s="102"/>
      <c r="O20" s="101"/>
      <c r="P20" s="102"/>
      <c r="Q20" s="102"/>
      <c r="R20" s="241"/>
      <c r="S20" s="242"/>
      <c r="T20" s="241"/>
      <c r="U20" s="243"/>
      <c r="V20" s="425"/>
    </row>
    <row r="21" spans="1:26" ht="9.75" customHeight="1" x14ac:dyDescent="0.2">
      <c r="A21" s="39"/>
      <c r="B21" s="40"/>
      <c r="C21" s="287"/>
      <c r="D21" s="287"/>
      <c r="E21" s="183"/>
      <c r="F21" s="183"/>
      <c r="G21" s="183"/>
      <c r="H21" s="183"/>
      <c r="I21" s="183"/>
      <c r="J21" s="182"/>
      <c r="K21" s="288"/>
      <c r="L21" s="289"/>
      <c r="M21" s="289"/>
      <c r="N21" s="289"/>
      <c r="O21" s="288"/>
      <c r="P21" s="289"/>
      <c r="Q21" s="289"/>
      <c r="R21" s="289"/>
      <c r="S21" s="288"/>
      <c r="T21" s="289"/>
      <c r="U21" s="40"/>
      <c r="V21" s="423"/>
    </row>
    <row r="22" spans="1:26" ht="9.75" customHeight="1" x14ac:dyDescent="0.2">
      <c r="A22" s="14"/>
      <c r="B22" s="2"/>
      <c r="C22" s="61"/>
      <c r="D22" s="61"/>
      <c r="E22" s="43"/>
      <c r="F22" s="43"/>
      <c r="G22" s="43"/>
      <c r="H22" s="43"/>
      <c r="I22" s="43"/>
      <c r="J22" s="18"/>
      <c r="K22" s="326"/>
      <c r="L22" s="105"/>
      <c r="M22" s="105"/>
      <c r="N22" s="105"/>
      <c r="O22" s="326"/>
      <c r="P22" s="105"/>
      <c r="Q22" s="105"/>
      <c r="R22" s="105"/>
      <c r="S22" s="326"/>
      <c r="T22" s="105"/>
      <c r="U22" s="2"/>
      <c r="V22" s="424"/>
    </row>
    <row r="23" spans="1:26" ht="18" customHeight="1" x14ac:dyDescent="0.25">
      <c r="A23" s="297" t="s">
        <v>873</v>
      </c>
      <c r="B23" s="2"/>
      <c r="C23" s="61"/>
      <c r="D23" s="61"/>
      <c r="E23" s="43"/>
      <c r="F23" s="43"/>
      <c r="G23" s="736" t="s">
        <v>22</v>
      </c>
      <c r="H23" s="736"/>
      <c r="I23" s="52"/>
      <c r="J23" s="18"/>
      <c r="K23" s="736" t="s">
        <v>23</v>
      </c>
      <c r="L23" s="736"/>
      <c r="M23" s="105"/>
      <c r="N23" s="105"/>
      <c r="O23" s="736" t="s">
        <v>24</v>
      </c>
      <c r="P23" s="736"/>
      <c r="Q23" s="105"/>
      <c r="R23" s="105"/>
      <c r="S23" s="736" t="s">
        <v>25</v>
      </c>
      <c r="T23" s="736"/>
      <c r="U23" s="2"/>
      <c r="V23" s="424"/>
    </row>
    <row r="24" spans="1:26" ht="22.5" customHeight="1" x14ac:dyDescent="0.2">
      <c r="A24" s="14"/>
      <c r="B24" s="2"/>
      <c r="C24" s="61"/>
      <c r="D24" s="61"/>
      <c r="E24" s="43"/>
      <c r="F24" s="897" t="s">
        <v>6</v>
      </c>
      <c r="G24" s="897"/>
      <c r="H24" s="897"/>
      <c r="I24" s="897"/>
      <c r="J24" s="897" t="str">
        <f>+'Part 5'!O13</f>
        <v>-</v>
      </c>
      <c r="K24" s="897"/>
      <c r="L24" s="897"/>
      <c r="M24" s="897"/>
      <c r="N24" s="897" t="str">
        <f>+'Part 5'!S13</f>
        <v>-</v>
      </c>
      <c r="O24" s="897"/>
      <c r="P24" s="897"/>
      <c r="Q24" s="897"/>
      <c r="R24" s="897" t="str">
        <f>+'Part 5'!W13</f>
        <v>-</v>
      </c>
      <c r="S24" s="897"/>
      <c r="T24" s="897"/>
      <c r="U24" s="897"/>
      <c r="V24" s="424"/>
    </row>
    <row r="25" spans="1:26" ht="22.5" customHeight="1" x14ac:dyDescent="0.2">
      <c r="A25" s="14"/>
      <c r="B25" s="2"/>
      <c r="C25" s="61"/>
      <c r="D25" s="61"/>
      <c r="E25" s="43"/>
      <c r="F25" s="897"/>
      <c r="G25" s="897"/>
      <c r="H25" s="897"/>
      <c r="I25" s="897"/>
      <c r="J25" s="897"/>
      <c r="K25" s="897"/>
      <c r="L25" s="897"/>
      <c r="M25" s="897"/>
      <c r="N25" s="897"/>
      <c r="O25" s="897"/>
      <c r="P25" s="897"/>
      <c r="Q25" s="897"/>
      <c r="R25" s="897"/>
      <c r="S25" s="897"/>
      <c r="T25" s="897"/>
      <c r="U25" s="897"/>
      <c r="V25" s="424"/>
    </row>
    <row r="26" spans="1:26" ht="33" customHeight="1" x14ac:dyDescent="0.2">
      <c r="A26" s="14"/>
      <c r="B26" s="2"/>
      <c r="C26" s="61"/>
      <c r="D26" s="61"/>
      <c r="E26" s="43"/>
      <c r="F26" s="766"/>
      <c r="G26" s="766"/>
      <c r="H26" s="766"/>
      <c r="I26" s="766"/>
      <c r="J26" s="766"/>
      <c r="K26" s="766"/>
      <c r="L26" s="766"/>
      <c r="M26" s="766"/>
      <c r="N26" s="766"/>
      <c r="O26" s="766"/>
      <c r="P26" s="766"/>
      <c r="Q26" s="766"/>
      <c r="R26" s="766"/>
      <c r="S26" s="766"/>
      <c r="T26" s="766"/>
      <c r="U26" s="766"/>
      <c r="V26" s="424"/>
    </row>
    <row r="27" spans="1:26" ht="18" customHeight="1" x14ac:dyDescent="0.2">
      <c r="A27" s="14"/>
      <c r="B27" s="2"/>
      <c r="C27" s="96"/>
      <c r="D27" s="107"/>
      <c r="E27" s="108"/>
      <c r="F27" s="108"/>
      <c r="G27" s="854" t="s">
        <v>20</v>
      </c>
      <c r="H27" s="855"/>
      <c r="I27" s="43"/>
      <c r="J27" s="108"/>
      <c r="K27" s="854" t="s">
        <v>20</v>
      </c>
      <c r="L27" s="855"/>
      <c r="M27" s="48"/>
      <c r="N27" s="2"/>
      <c r="O27" s="898" t="s">
        <v>20</v>
      </c>
      <c r="P27" s="898"/>
      <c r="Q27" s="48"/>
      <c r="R27" s="48"/>
      <c r="S27" s="854" t="s">
        <v>20</v>
      </c>
      <c r="T27" s="855"/>
      <c r="U27" s="2"/>
      <c r="V27" s="424"/>
    </row>
    <row r="28" spans="1:26" ht="1.5" customHeight="1" thickBot="1" x14ac:dyDescent="0.25">
      <c r="A28" s="14"/>
      <c r="B28" s="2"/>
      <c r="C28" s="96"/>
      <c r="D28" s="107"/>
      <c r="E28" s="108"/>
      <c r="F28" s="108"/>
      <c r="G28" s="327"/>
      <c r="H28" s="328"/>
      <c r="I28" s="43"/>
      <c r="J28" s="108"/>
      <c r="K28" s="327"/>
      <c r="L28" s="328"/>
      <c r="M28" s="48"/>
      <c r="N28" s="2"/>
      <c r="O28" s="329"/>
      <c r="P28" s="329"/>
      <c r="Q28" s="48"/>
      <c r="R28" s="48"/>
      <c r="S28" s="327"/>
      <c r="T28" s="328"/>
      <c r="U28" s="2"/>
      <c r="V28" s="424"/>
    </row>
    <row r="29" spans="1:26" ht="18" customHeight="1" thickBot="1" x14ac:dyDescent="0.25">
      <c r="A29" s="903" t="s">
        <v>865</v>
      </c>
      <c r="B29" s="693"/>
      <c r="C29" s="693"/>
      <c r="D29" s="693"/>
      <c r="E29" s="693"/>
      <c r="F29" s="693"/>
      <c r="G29" s="899">
        <f>VLOOKUP('Part 1'!$L$16,Datasheet4!$B$6:$GH$333,W29,FALSE)</f>
        <v>0</v>
      </c>
      <c r="H29" s="900"/>
      <c r="I29" s="222"/>
      <c r="J29" s="108"/>
      <c r="K29" s="899">
        <f>VLOOKUP('Part 1'!$L$16,Datasheet4!$B$6:$GH$333,X29,FALSE)</f>
        <v>0</v>
      </c>
      <c r="L29" s="900"/>
      <c r="M29" s="48"/>
      <c r="N29" s="48"/>
      <c r="O29" s="899">
        <f>VLOOKUP('Part 1'!$L$16,Datasheet4!$B$6:$GH$333,Y29,FALSE)</f>
        <v>0</v>
      </c>
      <c r="P29" s="900"/>
      <c r="Q29" s="52"/>
      <c r="R29" s="52"/>
      <c r="S29" s="899">
        <f>VLOOKUP('Part 1'!$L$16,Datasheet4!$B$6:$GH$333,Z29,FALSE)</f>
        <v>0</v>
      </c>
      <c r="T29" s="900"/>
      <c r="U29" s="2"/>
      <c r="V29" s="424"/>
      <c r="W29" s="375">
        <v>186</v>
      </c>
      <c r="X29" s="375">
        <v>187</v>
      </c>
      <c r="Y29" s="375">
        <v>188</v>
      </c>
      <c r="Z29" s="375">
        <v>189</v>
      </c>
    </row>
    <row r="30" spans="1:26" ht="18" customHeight="1" x14ac:dyDescent="0.2">
      <c r="A30" s="695"/>
      <c r="B30" s="693"/>
      <c r="C30" s="693"/>
      <c r="D30" s="693"/>
      <c r="E30" s="693"/>
      <c r="F30" s="693"/>
      <c r="G30" s="6"/>
      <c r="H30" s="189"/>
      <c r="I30" s="189"/>
      <c r="J30" s="108"/>
      <c r="K30" s="189"/>
      <c r="L30" s="189"/>
      <c r="M30" s="48"/>
      <c r="N30" s="48"/>
      <c r="O30" s="189"/>
      <c r="P30" s="52"/>
      <c r="Q30" s="189"/>
      <c r="R30" s="189"/>
      <c r="S30" s="91"/>
      <c r="T30" s="189"/>
      <c r="U30" s="2"/>
      <c r="V30" s="424"/>
    </row>
    <row r="31" spans="1:26" ht="18" customHeight="1" x14ac:dyDescent="0.2">
      <c r="A31" s="14"/>
      <c r="B31" s="2"/>
      <c r="C31" s="96"/>
      <c r="D31" s="107"/>
      <c r="E31" s="108"/>
      <c r="F31" s="108"/>
      <c r="G31" s="108"/>
      <c r="H31" s="108"/>
      <c r="I31" s="108"/>
      <c r="J31" s="108"/>
      <c r="K31" s="108"/>
      <c r="L31" s="108"/>
      <c r="M31" s="48"/>
      <c r="N31" s="48"/>
      <c r="O31" s="2"/>
      <c r="P31" s="108"/>
      <c r="Q31" s="108"/>
      <c r="R31" s="108"/>
      <c r="S31" s="108"/>
      <c r="T31" s="108"/>
      <c r="U31" s="2"/>
      <c r="V31" s="424"/>
    </row>
    <row r="32" spans="1:26" ht="18" customHeight="1" thickBot="1" x14ac:dyDescent="0.25">
      <c r="A32" s="14"/>
      <c r="B32" s="2"/>
      <c r="C32" s="107" t="s">
        <v>16</v>
      </c>
      <c r="D32" s="107"/>
      <c r="E32" s="43"/>
      <c r="F32" s="43"/>
      <c r="G32" s="854"/>
      <c r="H32" s="855"/>
      <c r="I32" s="43"/>
      <c r="J32" s="18"/>
      <c r="K32" s="854"/>
      <c r="L32" s="855"/>
      <c r="M32" s="48"/>
      <c r="N32" s="48"/>
      <c r="O32" s="854"/>
      <c r="P32" s="855"/>
      <c r="Q32" s="48"/>
      <c r="R32" s="48"/>
      <c r="S32" s="854"/>
      <c r="T32" s="855"/>
      <c r="U32" s="2"/>
      <c r="V32" s="424"/>
    </row>
    <row r="33" spans="1:25" ht="18" customHeight="1" thickBot="1" x14ac:dyDescent="0.25">
      <c r="A33" s="14"/>
      <c r="B33" s="2"/>
      <c r="C33" s="61" t="s">
        <v>1444</v>
      </c>
      <c r="D33" s="61"/>
      <c r="E33" s="43"/>
      <c r="F33" s="43"/>
      <c r="G33" s="43"/>
      <c r="H33" s="43"/>
      <c r="I33" s="43"/>
      <c r="J33" s="18"/>
      <c r="K33" s="876">
        <f>VLOOKUP('Part 1'!$L$16,Datasheet4!$B$6:$GH$333,X33,FALSE)</f>
        <v>84012718</v>
      </c>
      <c r="L33" s="877"/>
      <c r="M33" s="2"/>
      <c r="N33" s="2"/>
      <c r="O33" s="2"/>
      <c r="P33" s="2"/>
      <c r="Q33" s="2"/>
      <c r="R33" s="2"/>
      <c r="S33" s="48"/>
      <c r="T33" s="48"/>
      <c r="U33" s="2"/>
      <c r="V33" s="424"/>
      <c r="X33" s="375">
        <v>12</v>
      </c>
    </row>
    <row r="34" spans="1:25" ht="18" customHeight="1" thickBot="1" x14ac:dyDescent="0.25">
      <c r="A34" s="14"/>
      <c r="B34" s="2"/>
      <c r="C34" s="43"/>
      <c r="D34" s="43"/>
      <c r="E34" s="43"/>
      <c r="F34" s="43"/>
      <c r="G34" s="43"/>
      <c r="H34" s="43"/>
      <c r="I34" s="43"/>
      <c r="J34" s="18"/>
      <c r="K34" s="18"/>
      <c r="L34" s="18"/>
      <c r="M34" s="2"/>
      <c r="N34" s="2"/>
      <c r="O34" s="2"/>
      <c r="P34" s="2"/>
      <c r="Q34" s="2"/>
      <c r="R34" s="2"/>
      <c r="S34" s="48"/>
      <c r="T34" s="48"/>
      <c r="U34" s="2"/>
      <c r="V34" s="424"/>
    </row>
    <row r="35" spans="1:25" ht="18" customHeight="1" thickBot="1" x14ac:dyDescent="0.25">
      <c r="A35" s="14"/>
      <c r="B35" s="2"/>
      <c r="C35" s="61" t="s">
        <v>73</v>
      </c>
      <c r="D35" s="61"/>
      <c r="E35" s="43"/>
      <c r="F35" s="43"/>
      <c r="G35" s="43"/>
      <c r="H35" s="43"/>
      <c r="I35" s="43"/>
      <c r="J35" s="18"/>
      <c r="K35" s="892">
        <f>VLOOKUP('Part 1'!$L$16,Datasheet4!$B$6:$GH$333,X35,FALSE)</f>
        <v>84000002</v>
      </c>
      <c r="L35" s="893"/>
      <c r="M35" s="2"/>
      <c r="N35" s="2"/>
      <c r="O35" s="2"/>
      <c r="P35" s="2"/>
      <c r="Q35" s="2"/>
      <c r="R35" s="2"/>
      <c r="S35" s="48"/>
      <c r="T35" s="48"/>
      <c r="U35" s="2"/>
      <c r="V35" s="424"/>
      <c r="X35" s="375">
        <v>13</v>
      </c>
    </row>
    <row r="36" spans="1:25" ht="18" customHeight="1" thickBot="1" x14ac:dyDescent="0.25">
      <c r="A36" s="14"/>
      <c r="B36" s="2"/>
      <c r="C36" s="43"/>
      <c r="D36" s="43"/>
      <c r="E36" s="43"/>
      <c r="F36" s="43"/>
      <c r="G36" s="43"/>
      <c r="H36" s="43"/>
      <c r="I36" s="43"/>
      <c r="J36" s="18"/>
      <c r="K36" s="49"/>
      <c r="L36" s="48"/>
      <c r="M36" s="2"/>
      <c r="N36" s="2"/>
      <c r="O36" s="2"/>
      <c r="P36" s="2"/>
      <c r="Q36" s="2"/>
      <c r="R36" s="2"/>
      <c r="S36" s="48"/>
      <c r="T36" s="48"/>
      <c r="U36" s="2"/>
      <c r="V36" s="424"/>
    </row>
    <row r="37" spans="1:25" ht="18" customHeight="1" thickBot="1" x14ac:dyDescent="0.25">
      <c r="A37" s="14"/>
      <c r="B37" s="2"/>
      <c r="C37" s="61" t="s">
        <v>874</v>
      </c>
      <c r="D37" s="61"/>
      <c r="E37" s="43"/>
      <c r="F37" s="43"/>
      <c r="G37" s="43"/>
      <c r="H37" s="43"/>
      <c r="I37" s="43"/>
      <c r="J37" s="18"/>
      <c r="K37" s="876">
        <f>VLOOKUP('Part 1'!$L$16,Datasheet4!$B$6:$GH$333,X37,FALSE)</f>
        <v>12716</v>
      </c>
      <c r="L37" s="877"/>
      <c r="M37" s="2"/>
      <c r="N37" s="2"/>
      <c r="O37" s="2"/>
      <c r="P37" s="2"/>
      <c r="Q37" s="2"/>
      <c r="R37" s="2"/>
      <c r="S37" s="48"/>
      <c r="T37" s="48"/>
      <c r="U37" s="2"/>
      <c r="V37" s="424"/>
      <c r="X37" s="375">
        <v>14</v>
      </c>
    </row>
    <row r="38" spans="1:25" ht="18" customHeight="1" x14ac:dyDescent="0.2">
      <c r="A38" s="14"/>
      <c r="B38" s="2"/>
      <c r="C38" s="43"/>
      <c r="D38" s="43"/>
      <c r="E38" s="43"/>
      <c r="F38" s="43"/>
      <c r="G38" s="43"/>
      <c r="H38" s="43"/>
      <c r="I38" s="43"/>
      <c r="J38" s="18"/>
      <c r="K38" s="2"/>
      <c r="L38" s="2"/>
      <c r="M38" s="2"/>
      <c r="N38" s="2"/>
      <c r="O38" s="2"/>
      <c r="P38" s="2"/>
      <c r="Q38" s="2"/>
      <c r="R38" s="2"/>
      <c r="S38" s="48"/>
      <c r="T38" s="48"/>
      <c r="U38" s="2"/>
      <c r="V38" s="424"/>
    </row>
    <row r="39" spans="1:25" ht="18" customHeight="1" thickBot="1" x14ac:dyDescent="0.25">
      <c r="A39" s="14"/>
      <c r="B39" s="2"/>
      <c r="C39" s="96" t="s">
        <v>50</v>
      </c>
      <c r="D39" s="96"/>
      <c r="E39" s="43"/>
      <c r="F39" s="43"/>
      <c r="G39" s="43"/>
      <c r="H39" s="43"/>
      <c r="I39" s="43"/>
      <c r="J39" s="18"/>
      <c r="K39" s="2"/>
      <c r="L39" s="2"/>
      <c r="M39" s="2"/>
      <c r="N39" s="2"/>
      <c r="O39" s="2"/>
      <c r="P39" s="2"/>
      <c r="Q39" s="2"/>
      <c r="R39" s="2"/>
      <c r="S39" s="48"/>
      <c r="T39" s="48"/>
      <c r="U39" s="2"/>
      <c r="V39" s="424"/>
    </row>
    <row r="40" spans="1:25" ht="18" customHeight="1" thickBot="1" x14ac:dyDescent="0.25">
      <c r="A40" s="14"/>
      <c r="B40" s="2"/>
      <c r="C40" s="61" t="s">
        <v>1445</v>
      </c>
      <c r="D40" s="61"/>
      <c r="E40" s="43"/>
      <c r="F40" s="43"/>
      <c r="G40" s="43"/>
      <c r="H40" s="43"/>
      <c r="I40" s="43"/>
      <c r="J40" s="18"/>
      <c r="K40" s="876">
        <f>VLOOKUP('Part 1'!$L$16,Datasheet4!$B$6:$GH$333,X40,FALSE)</f>
        <v>52398872</v>
      </c>
      <c r="L40" s="877"/>
      <c r="M40" s="2"/>
      <c r="N40" s="2"/>
      <c r="O40" s="2"/>
      <c r="P40" s="2"/>
      <c r="Q40" s="2"/>
      <c r="R40" s="2"/>
      <c r="S40" s="48"/>
      <c r="T40" s="48"/>
      <c r="U40" s="2"/>
      <c r="V40" s="424"/>
      <c r="X40" s="375">
        <v>15</v>
      </c>
    </row>
    <row r="41" spans="1:25" ht="18" customHeight="1" thickBot="1" x14ac:dyDescent="0.25">
      <c r="A41" s="14"/>
      <c r="B41" s="2"/>
      <c r="C41" s="43"/>
      <c r="D41" s="43"/>
      <c r="E41" s="43"/>
      <c r="F41" s="43"/>
      <c r="G41" s="43"/>
      <c r="H41" s="43"/>
      <c r="I41" s="43"/>
      <c r="J41" s="18"/>
      <c r="K41" s="18"/>
      <c r="L41" s="18"/>
      <c r="M41" s="2"/>
      <c r="N41" s="2"/>
      <c r="O41" s="2"/>
      <c r="P41" s="2"/>
      <c r="Q41" s="2"/>
      <c r="R41" s="2"/>
      <c r="S41" s="48"/>
      <c r="T41" s="48"/>
      <c r="U41" s="2"/>
      <c r="V41" s="424"/>
    </row>
    <row r="42" spans="1:25" ht="18" customHeight="1" thickBot="1" x14ac:dyDescent="0.25">
      <c r="A42" s="14"/>
      <c r="B42" s="2"/>
      <c r="C42" s="61" t="s">
        <v>74</v>
      </c>
      <c r="D42" s="61"/>
      <c r="E42" s="43"/>
      <c r="F42" s="43"/>
      <c r="G42" s="43"/>
      <c r="H42" s="43"/>
      <c r="I42" s="43"/>
      <c r="J42" s="18"/>
      <c r="K42" s="892">
        <f>VLOOKUP('Part 1'!$L$16,Datasheet4!$B$6:$GH$333,X42,FALSE)</f>
        <v>48082191</v>
      </c>
      <c r="L42" s="893"/>
      <c r="M42" s="2"/>
      <c r="N42" s="2"/>
      <c r="O42" s="2"/>
      <c r="P42" s="2"/>
      <c r="Q42" s="2"/>
      <c r="R42" s="2"/>
      <c r="S42" s="48"/>
      <c r="T42" s="48"/>
      <c r="U42" s="2"/>
      <c r="V42" s="424"/>
      <c r="X42" s="375">
        <v>16</v>
      </c>
    </row>
    <row r="43" spans="1:25" ht="18" customHeight="1" thickBot="1" x14ac:dyDescent="0.25">
      <c r="A43" s="14"/>
      <c r="B43" s="2"/>
      <c r="C43" s="43"/>
      <c r="D43" s="43"/>
      <c r="E43" s="43"/>
      <c r="F43" s="43"/>
      <c r="G43" s="43"/>
      <c r="H43" s="43"/>
      <c r="I43" s="43"/>
      <c r="J43" s="18"/>
      <c r="K43" s="49"/>
      <c r="L43" s="48"/>
      <c r="M43" s="2"/>
      <c r="N43" s="2"/>
      <c r="O43" s="2"/>
      <c r="P43" s="2"/>
      <c r="Q43" s="2"/>
      <c r="R43" s="2"/>
      <c r="S43" s="48"/>
      <c r="T43" s="48"/>
      <c r="U43" s="2"/>
      <c r="V43" s="424"/>
    </row>
    <row r="44" spans="1:25" ht="18" customHeight="1" thickBot="1" x14ac:dyDescent="0.25">
      <c r="A44" s="14"/>
      <c r="B44" s="2"/>
      <c r="C44" s="61" t="s">
        <v>872</v>
      </c>
      <c r="D44" s="61"/>
      <c r="E44" s="43"/>
      <c r="F44" s="43"/>
      <c r="G44" s="43"/>
      <c r="H44" s="43"/>
      <c r="I44" s="43"/>
      <c r="J44" s="18"/>
      <c r="K44" s="876">
        <f>VLOOKUP('Part 1'!$L$16,Datasheet4!$B$6:$GH$333,X44,FALSE)</f>
        <v>4316681</v>
      </c>
      <c r="L44" s="877"/>
      <c r="M44" s="2"/>
      <c r="N44" s="2"/>
      <c r="O44" s="2"/>
      <c r="P44" s="2"/>
      <c r="Q44" s="2"/>
      <c r="R44" s="2"/>
      <c r="S44" s="48"/>
      <c r="T44" s="48"/>
      <c r="U44" s="2"/>
      <c r="V44" s="424"/>
      <c r="X44" s="375">
        <v>17</v>
      </c>
    </row>
    <row r="45" spans="1:25" ht="18" customHeight="1" x14ac:dyDescent="0.2">
      <c r="A45" s="14"/>
      <c r="B45" s="2"/>
      <c r="C45" s="43"/>
      <c r="D45" s="43"/>
      <c r="E45" s="43"/>
      <c r="F45" s="43"/>
      <c r="G45" s="43"/>
      <c r="H45" s="43"/>
      <c r="I45" s="43"/>
      <c r="J45" s="18"/>
      <c r="K45" s="2"/>
      <c r="L45" s="2"/>
      <c r="M45" s="2"/>
      <c r="N45" s="2"/>
      <c r="O45" s="2"/>
      <c r="P45" s="2"/>
      <c r="Q45" s="2"/>
      <c r="R45" s="2"/>
      <c r="S45" s="48"/>
      <c r="T45" s="48"/>
      <c r="U45" s="2"/>
      <c r="V45" s="424"/>
    </row>
    <row r="46" spans="1:25" ht="18" customHeight="1" thickBot="1" x14ac:dyDescent="0.25">
      <c r="A46" s="14"/>
      <c r="B46" s="2"/>
      <c r="C46" s="107" t="s">
        <v>17</v>
      </c>
      <c r="D46" s="107"/>
      <c r="E46" s="43"/>
      <c r="F46" s="43"/>
      <c r="G46" s="43"/>
      <c r="H46" s="43"/>
      <c r="I46" s="43"/>
      <c r="J46" s="18"/>
      <c r="K46" s="2"/>
      <c r="L46" s="2"/>
      <c r="M46" s="2"/>
      <c r="N46" s="2"/>
      <c r="O46" s="2"/>
      <c r="P46" s="2"/>
      <c r="Q46" s="2"/>
      <c r="R46" s="2"/>
      <c r="S46" s="48"/>
      <c r="T46" s="48"/>
      <c r="U46" s="18"/>
      <c r="V46" s="424"/>
    </row>
    <row r="47" spans="1:25" ht="18" customHeight="1" thickBot="1" x14ac:dyDescent="0.25">
      <c r="A47" s="14"/>
      <c r="B47" s="2"/>
      <c r="C47" s="61" t="s">
        <v>1446</v>
      </c>
      <c r="D47" s="61"/>
      <c r="E47" s="43"/>
      <c r="F47" s="43"/>
      <c r="G47" s="43"/>
      <c r="H47" s="43"/>
      <c r="I47" s="43"/>
      <c r="J47" s="18"/>
      <c r="K47" s="876">
        <f>VLOOKUP('Part 1'!$L$16,Datasheet4!$B$6:$GH$333,X47,FALSE)</f>
        <v>61765120</v>
      </c>
      <c r="L47" s="877"/>
      <c r="M47" s="2"/>
      <c r="N47" s="2"/>
      <c r="O47" s="876">
        <f>VLOOKUP('Part 1'!$L$16,Datasheet4!$B$6:$GH$333,Y47,FALSE)</f>
        <v>3068772.74</v>
      </c>
      <c r="P47" s="877"/>
      <c r="Q47" s="2"/>
      <c r="R47" s="2"/>
      <c r="S47" s="48"/>
      <c r="T47" s="48"/>
      <c r="U47" s="18"/>
      <c r="V47" s="424"/>
      <c r="X47" s="375">
        <v>18</v>
      </c>
      <c r="Y47" s="375">
        <v>19</v>
      </c>
    </row>
    <row r="48" spans="1:25" ht="18" customHeight="1" thickBot="1" x14ac:dyDescent="0.25">
      <c r="A48" s="14"/>
      <c r="B48" s="2"/>
      <c r="C48" s="43"/>
      <c r="D48" s="43"/>
      <c r="E48" s="43"/>
      <c r="F48" s="43"/>
      <c r="G48" s="43"/>
      <c r="H48" s="43"/>
      <c r="I48" s="43"/>
      <c r="J48" s="18"/>
      <c r="K48" s="18"/>
      <c r="L48" s="18"/>
      <c r="M48" s="2"/>
      <c r="N48" s="2"/>
      <c r="O48" s="301"/>
      <c r="P48" s="301"/>
      <c r="Q48" s="2"/>
      <c r="R48" s="2"/>
      <c r="S48" s="48"/>
      <c r="T48" s="48"/>
      <c r="U48" s="18"/>
      <c r="V48" s="424"/>
    </row>
    <row r="49" spans="1:27" ht="18" customHeight="1" thickBot="1" x14ac:dyDescent="0.25">
      <c r="A49" s="14"/>
      <c r="B49" s="2"/>
      <c r="C49" s="61" t="s">
        <v>75</v>
      </c>
      <c r="D49" s="61"/>
      <c r="E49" s="43"/>
      <c r="F49" s="43"/>
      <c r="G49" s="43"/>
      <c r="H49" s="43"/>
      <c r="I49" s="43"/>
      <c r="J49" s="18"/>
      <c r="K49" s="892">
        <f>VLOOKUP('Part 1'!$L$16,Datasheet4!$B$6:$GH$333,X49,FALSE)</f>
        <v>56633458</v>
      </c>
      <c r="L49" s="893"/>
      <c r="M49" s="2"/>
      <c r="N49" s="2"/>
      <c r="O49" s="880">
        <f>VLOOKUP('Part 1'!$L$16,Datasheet4!$B$6:$GH$333,Y49,FALSE)</f>
        <v>2774662</v>
      </c>
      <c r="P49" s="881"/>
      <c r="Q49" s="2"/>
      <c r="R49" s="2"/>
      <c r="S49" s="48"/>
      <c r="T49" s="48"/>
      <c r="U49" s="18"/>
      <c r="V49" s="424"/>
      <c r="X49" s="375">
        <v>20</v>
      </c>
      <c r="Y49" s="375">
        <v>21</v>
      </c>
    </row>
    <row r="50" spans="1:27" ht="18" customHeight="1" thickBot="1" x14ac:dyDescent="0.25">
      <c r="A50" s="14"/>
      <c r="B50" s="2"/>
      <c r="C50" s="43"/>
      <c r="D50" s="43"/>
      <c r="E50" s="43"/>
      <c r="F50" s="43"/>
      <c r="G50" s="43"/>
      <c r="H50" s="43"/>
      <c r="I50" s="43"/>
      <c r="J50" s="18"/>
      <c r="K50" s="49"/>
      <c r="L50" s="48"/>
      <c r="M50" s="2"/>
      <c r="N50" s="2"/>
      <c r="O50" s="49"/>
      <c r="P50" s="48"/>
      <c r="Q50" s="2"/>
      <c r="R50" s="2"/>
      <c r="S50" s="48"/>
      <c r="T50" s="48"/>
      <c r="U50" s="18"/>
      <c r="V50" s="424"/>
    </row>
    <row r="51" spans="1:27" ht="18" customHeight="1" thickBot="1" x14ac:dyDescent="0.25">
      <c r="A51" s="14"/>
      <c r="B51" s="2"/>
      <c r="C51" s="61" t="s">
        <v>875</v>
      </c>
      <c r="D51" s="61"/>
      <c r="E51" s="43"/>
      <c r="F51" s="43"/>
      <c r="G51" s="43"/>
      <c r="H51" s="43"/>
      <c r="I51" s="43"/>
      <c r="J51" s="18"/>
      <c r="K51" s="876">
        <f>VLOOKUP('Part 1'!$L$16,Datasheet4!$B$6:$GH$333,X51,FALSE)</f>
        <v>5131662</v>
      </c>
      <c r="L51" s="877"/>
      <c r="M51" s="18"/>
      <c r="N51" s="18"/>
      <c r="O51" s="876">
        <f>VLOOKUP('Part 1'!$L$16,Datasheet4!$B$6:$GH$333,Y51,FALSE)</f>
        <v>294110.74000000005</v>
      </c>
      <c r="P51" s="891"/>
      <c r="Q51" s="2"/>
      <c r="R51" s="2"/>
      <c r="S51" s="48"/>
      <c r="T51" s="48"/>
      <c r="U51" s="18"/>
      <c r="V51" s="424"/>
      <c r="X51" s="375">
        <v>22</v>
      </c>
      <c r="Y51" s="375">
        <v>23</v>
      </c>
    </row>
    <row r="52" spans="1:27" ht="18" customHeight="1" x14ac:dyDescent="0.2">
      <c r="A52" s="14"/>
      <c r="B52" s="2"/>
      <c r="C52" s="43"/>
      <c r="D52" s="43"/>
      <c r="E52" s="43"/>
      <c r="F52" s="43"/>
      <c r="G52" s="43"/>
      <c r="H52" s="43"/>
      <c r="I52" s="43"/>
      <c r="J52" s="18"/>
      <c r="K52" s="18"/>
      <c r="L52" s="2"/>
      <c r="M52" s="2"/>
      <c r="N52" s="2"/>
      <c r="O52" s="302"/>
      <c r="P52" s="301"/>
      <c r="Q52" s="2"/>
      <c r="R52" s="2"/>
      <c r="S52" s="48"/>
      <c r="T52" s="48"/>
      <c r="U52" s="18"/>
      <c r="V52" s="424"/>
    </row>
    <row r="53" spans="1:27" ht="18" customHeight="1" thickBot="1" x14ac:dyDescent="0.25">
      <c r="A53" s="14"/>
      <c r="B53" s="2"/>
      <c r="C53" s="96" t="s">
        <v>1399</v>
      </c>
      <c r="D53" s="96"/>
      <c r="E53" s="43"/>
      <c r="F53" s="43"/>
      <c r="G53" s="43"/>
      <c r="H53" s="43"/>
      <c r="I53" s="43"/>
      <c r="J53" s="18"/>
      <c r="K53" s="18"/>
      <c r="L53" s="2"/>
      <c r="M53" s="2"/>
      <c r="N53" s="2"/>
      <c r="O53" s="302"/>
      <c r="P53" s="301"/>
      <c r="Q53" s="2"/>
      <c r="R53" s="2"/>
      <c r="S53" s="48"/>
      <c r="T53" s="48"/>
      <c r="U53" s="18"/>
      <c r="V53" s="424"/>
    </row>
    <row r="54" spans="1:27" ht="18" customHeight="1" thickBot="1" x14ac:dyDescent="0.3">
      <c r="A54" s="14"/>
      <c r="B54" s="2"/>
      <c r="C54" s="61" t="s">
        <v>1447</v>
      </c>
      <c r="D54" s="43"/>
      <c r="E54" s="43"/>
      <c r="F54" s="43"/>
      <c r="G54" s="43"/>
      <c r="H54" s="43"/>
      <c r="I54" s="43"/>
      <c r="J54" s="18"/>
      <c r="K54" s="886">
        <f>VLOOKUP('Part 1'!$L$16,Datasheet4!$B$6:$GH$333,X54,FALSE)</f>
        <v>10156.000000000002</v>
      </c>
      <c r="L54" s="887"/>
      <c r="M54" s="2"/>
      <c r="N54" s="2"/>
      <c r="O54" s="882">
        <f>VLOOKUP('Part 1'!$L$16,Datasheet4!$B$6:$GH$333,Y54,FALSE)</f>
        <v>14980.099999999999</v>
      </c>
      <c r="P54" s="883"/>
      <c r="Q54" s="2"/>
      <c r="R54" s="2"/>
      <c r="S54" s="746">
        <f>VLOOKUP('Part 1'!$L$16,Datasheet4!$B$6:$GH$333,Z54,FALSE)</f>
        <v>253.9</v>
      </c>
      <c r="T54" s="747"/>
      <c r="U54" s="18"/>
      <c r="V54" s="424"/>
      <c r="X54" s="375">
        <v>24</v>
      </c>
      <c r="Y54" s="375">
        <v>25</v>
      </c>
      <c r="Z54" s="375">
        <v>26</v>
      </c>
    </row>
    <row r="55" spans="1:27" ht="18" customHeight="1" thickBot="1" x14ac:dyDescent="0.25">
      <c r="A55" s="14"/>
      <c r="B55" s="2"/>
      <c r="C55" s="43"/>
      <c r="D55" s="43"/>
      <c r="E55" s="43"/>
      <c r="F55" s="43"/>
      <c r="G55" s="43"/>
      <c r="H55" s="43"/>
      <c r="I55" s="43"/>
      <c r="J55" s="18"/>
      <c r="K55" s="18"/>
      <c r="L55" s="2"/>
      <c r="M55" s="2"/>
      <c r="N55" s="2"/>
      <c r="O55" s="302"/>
      <c r="P55" s="301"/>
      <c r="Q55" s="2"/>
      <c r="R55" s="2"/>
      <c r="S55" s="48"/>
      <c r="T55" s="48"/>
      <c r="U55" s="18"/>
      <c r="V55" s="424"/>
    </row>
    <row r="56" spans="1:27" ht="18" customHeight="1" thickBot="1" x14ac:dyDescent="0.3">
      <c r="A56" s="14"/>
      <c r="B56" s="2"/>
      <c r="C56" s="636" t="s">
        <v>1448</v>
      </c>
      <c r="D56" s="637"/>
      <c r="E56" s="637"/>
      <c r="F56" s="637"/>
      <c r="G56" s="637"/>
      <c r="H56" s="637"/>
      <c r="I56" s="637"/>
      <c r="J56" s="638"/>
      <c r="K56" s="884">
        <f>VLOOKUP('Part 1'!$L$16,Datasheet4!$B$6:$GH$333,X56,FALSE)</f>
        <v>0</v>
      </c>
      <c r="L56" s="885"/>
      <c r="M56" s="639"/>
      <c r="N56" s="639"/>
      <c r="O56" s="894">
        <f>VLOOKUP('Part 1'!$L$16,Datasheet4!$B$6:$GH$333,Y56,FALSE)</f>
        <v>0</v>
      </c>
      <c r="P56" s="895"/>
      <c r="Q56" s="639"/>
      <c r="R56" s="639"/>
      <c r="S56" s="889">
        <f>VLOOKUP('Part 1'!$L$16,Datasheet4!$B$6:$GH$333,Z56,FALSE)</f>
        <v>0</v>
      </c>
      <c r="T56" s="890"/>
      <c r="U56" s="18"/>
      <c r="V56" s="424"/>
      <c r="X56" s="375">
        <v>27</v>
      </c>
      <c r="Y56" s="375">
        <v>28</v>
      </c>
      <c r="Z56" s="375">
        <v>29</v>
      </c>
    </row>
    <row r="57" spans="1:27" ht="18" customHeight="1" thickBot="1" x14ac:dyDescent="0.25">
      <c r="A57" s="14"/>
      <c r="B57" s="2"/>
      <c r="C57" s="43"/>
      <c r="D57" s="43"/>
      <c r="E57" s="43"/>
      <c r="F57" s="43"/>
      <c r="G57" s="43"/>
      <c r="H57" s="43"/>
      <c r="I57" s="43"/>
      <c r="J57" s="18"/>
      <c r="K57" s="18"/>
      <c r="L57" s="2"/>
      <c r="M57" s="2"/>
      <c r="N57" s="2"/>
      <c r="O57" s="302"/>
      <c r="P57" s="301"/>
      <c r="Q57" s="2"/>
      <c r="R57" s="2"/>
      <c r="S57" s="48"/>
      <c r="T57" s="48"/>
      <c r="U57" s="18"/>
      <c r="V57" s="424"/>
    </row>
    <row r="58" spans="1:27" ht="18" customHeight="1" thickBot="1" x14ac:dyDescent="0.3">
      <c r="A58" s="14"/>
      <c r="B58" s="2"/>
      <c r="C58" s="61" t="s">
        <v>866</v>
      </c>
      <c r="D58" s="43"/>
      <c r="E58" s="43"/>
      <c r="F58" s="43"/>
      <c r="G58" s="43"/>
      <c r="H58" s="43"/>
      <c r="I58" s="43"/>
      <c r="J58" s="18"/>
      <c r="K58" s="886">
        <f>VLOOKUP('Part 1'!$L$16,Datasheet4!$B$6:$GH$333,X58,FALSE)</f>
        <v>10156</v>
      </c>
      <c r="L58" s="888"/>
      <c r="M58" s="2"/>
      <c r="N58" s="2"/>
      <c r="O58" s="882">
        <f>VLOOKUP('Part 1'!$L$16,Datasheet4!$B$6:$GH$333,Y58,FALSE)</f>
        <v>14980</v>
      </c>
      <c r="P58" s="883"/>
      <c r="Q58" s="2"/>
      <c r="R58" s="2"/>
      <c r="S58" s="746">
        <f>VLOOKUP('Part 1'!$L$16,Datasheet4!$B$6:$GH$333,Z58,FALSE)</f>
        <v>254</v>
      </c>
      <c r="T58" s="747"/>
      <c r="U58" s="18"/>
      <c r="V58" s="424"/>
      <c r="X58" s="375">
        <v>30</v>
      </c>
      <c r="Y58" s="375">
        <v>31</v>
      </c>
      <c r="Z58" s="375">
        <v>32</v>
      </c>
    </row>
    <row r="59" spans="1:27" ht="18" customHeight="1" x14ac:dyDescent="0.2">
      <c r="A59" s="14"/>
      <c r="B59" s="2"/>
      <c r="C59" s="43"/>
      <c r="D59" s="43"/>
      <c r="E59" s="43"/>
      <c r="F59" s="43"/>
      <c r="G59" s="43"/>
      <c r="H59" s="43"/>
      <c r="I59" s="43"/>
      <c r="J59" s="18"/>
      <c r="K59" s="18"/>
      <c r="L59" s="2"/>
      <c r="M59" s="2"/>
      <c r="N59" s="2"/>
      <c r="O59" s="302"/>
      <c r="P59" s="301"/>
      <c r="Q59" s="2"/>
      <c r="R59" s="2"/>
      <c r="S59" s="48"/>
      <c r="T59" s="48"/>
      <c r="U59" s="18"/>
      <c r="V59" s="424"/>
    </row>
    <row r="60" spans="1:27" ht="18" customHeight="1" thickBot="1" x14ac:dyDescent="0.25">
      <c r="A60" s="14"/>
      <c r="B60" s="2"/>
      <c r="C60" s="96" t="s">
        <v>1257</v>
      </c>
      <c r="D60" s="107"/>
      <c r="E60" s="43"/>
      <c r="F60" s="43"/>
      <c r="G60" s="43"/>
      <c r="H60" s="43"/>
      <c r="I60" s="43"/>
      <c r="J60" s="18"/>
      <c r="K60" s="18"/>
      <c r="L60" s="2"/>
      <c r="M60" s="2"/>
      <c r="N60" s="2"/>
      <c r="O60" s="302"/>
      <c r="P60" s="302"/>
      <c r="Q60" s="2"/>
      <c r="R60" s="2"/>
      <c r="S60" s="48"/>
      <c r="T60" s="48"/>
      <c r="U60" s="18"/>
      <c r="V60" s="424"/>
    </row>
    <row r="61" spans="1:27" ht="16.5" customHeight="1" thickBot="1" x14ac:dyDescent="0.25">
      <c r="A61" s="14"/>
      <c r="B61" s="2"/>
      <c r="C61" s="802" t="s">
        <v>1449</v>
      </c>
      <c r="D61" s="802"/>
      <c r="E61" s="802"/>
      <c r="F61" s="43"/>
      <c r="G61" s="785">
        <f>VLOOKUP('Part 1'!$L$16,Datasheet4!$B$6:$GH$333,W61,FALSE)</f>
        <v>9024851</v>
      </c>
      <c r="H61" s="786"/>
      <c r="I61" s="61"/>
      <c r="J61" s="6"/>
      <c r="K61" s="785">
        <f>VLOOKUP('Part 1'!$L$16,Datasheet4!$B$6:$GH$333,X61,FALSE)</f>
        <v>9022946.0440624971</v>
      </c>
      <c r="L61" s="786"/>
      <c r="M61" s="2"/>
      <c r="N61" s="2"/>
      <c r="O61" s="785">
        <f>VLOOKUP('Part 1'!$L$16,Datasheet4!$B$6:$GH$333,Y61,FALSE)</f>
        <v>0</v>
      </c>
      <c r="P61" s="868"/>
      <c r="Q61" s="2"/>
      <c r="R61" s="2"/>
      <c r="S61" s="785">
        <f>VLOOKUP('Part 1'!$L$16,Datasheet4!$B$6:$GH$333,Z61,FALSE)</f>
        <v>1903.4944791666667</v>
      </c>
      <c r="T61" s="786"/>
      <c r="U61" s="18"/>
      <c r="V61" s="424"/>
      <c r="W61" s="375">
        <v>33</v>
      </c>
      <c r="X61" s="375">
        <v>34</v>
      </c>
      <c r="Y61" s="375">
        <v>35</v>
      </c>
      <c r="Z61" s="375">
        <v>36</v>
      </c>
      <c r="AA61" s="375">
        <v>36</v>
      </c>
    </row>
    <row r="62" spans="1:27" ht="15" x14ac:dyDescent="0.2">
      <c r="A62" s="14"/>
      <c r="B62" s="2"/>
      <c r="C62" s="802"/>
      <c r="D62" s="802"/>
      <c r="E62" s="802"/>
      <c r="F62" s="43"/>
      <c r="G62" s="43"/>
      <c r="H62" s="43"/>
      <c r="I62" s="43"/>
      <c r="J62" s="43"/>
      <c r="K62" s="43"/>
      <c r="L62" s="43"/>
      <c r="M62" s="43"/>
      <c r="N62" s="43"/>
      <c r="O62" s="303"/>
      <c r="P62" s="303"/>
      <c r="Q62" s="43"/>
      <c r="R62" s="43"/>
      <c r="S62" s="43"/>
      <c r="T62" s="43"/>
      <c r="U62" s="18"/>
      <c r="V62" s="424"/>
    </row>
    <row r="63" spans="1:27" ht="15.75" thickBot="1" x14ac:dyDescent="0.25">
      <c r="A63" s="14"/>
      <c r="B63" s="2"/>
      <c r="C63" s="43"/>
      <c r="D63" s="43"/>
      <c r="E63" s="43"/>
      <c r="F63" s="43"/>
      <c r="G63" s="18"/>
      <c r="H63" s="18"/>
      <c r="I63" s="43"/>
      <c r="J63" s="18"/>
      <c r="K63" s="18"/>
      <c r="L63" s="18"/>
      <c r="M63" s="2"/>
      <c r="N63" s="2"/>
      <c r="O63" s="301"/>
      <c r="P63" s="301"/>
      <c r="Q63" s="2"/>
      <c r="R63" s="43"/>
      <c r="S63" s="18"/>
      <c r="T63" s="18"/>
      <c r="U63" s="18"/>
      <c r="V63" s="424"/>
    </row>
    <row r="64" spans="1:27" ht="18" customHeight="1" thickBot="1" x14ac:dyDescent="0.25">
      <c r="A64" s="14"/>
      <c r="B64" s="2"/>
      <c r="C64" s="61" t="s">
        <v>1450</v>
      </c>
      <c r="D64" s="61"/>
      <c r="E64" s="43"/>
      <c r="F64" s="43"/>
      <c r="G64" s="892">
        <f>VLOOKUP('Part 1'!$L$16,Datasheet4!$B$6:$GH$333,W64,FALSE)</f>
        <v>7085500</v>
      </c>
      <c r="H64" s="893"/>
      <c r="I64" s="43"/>
      <c r="J64" s="18"/>
      <c r="K64" s="805">
        <f>VLOOKUP('Part 1'!$L$16,Datasheet4!$B$6:$GH$333,X64,FALSE)</f>
        <v>7083084</v>
      </c>
      <c r="L64" s="806"/>
      <c r="M64" s="2"/>
      <c r="N64" s="2"/>
      <c r="O64" s="880">
        <f>VLOOKUP('Part 1'!$L$16,Datasheet4!$B$6:$GH$333,Y64,FALSE)</f>
        <v>0</v>
      </c>
      <c r="P64" s="881"/>
      <c r="Q64" s="2"/>
      <c r="R64" s="43"/>
      <c r="S64" s="805">
        <f>VLOOKUP('Part 1'!$L$16,Datasheet4!$B$6:$GH$333,Z64,FALSE)</f>
        <v>2416</v>
      </c>
      <c r="T64" s="806"/>
      <c r="U64" s="18"/>
      <c r="V64" s="424"/>
      <c r="W64" s="375">
        <v>37</v>
      </c>
      <c r="X64" s="375">
        <v>38</v>
      </c>
      <c r="Y64" s="375">
        <v>39</v>
      </c>
      <c r="Z64" s="375">
        <v>40</v>
      </c>
      <c r="AA64" s="375">
        <v>40</v>
      </c>
    </row>
    <row r="65" spans="1:27" ht="18" customHeight="1" thickBot="1" x14ac:dyDescent="0.25">
      <c r="A65" s="14"/>
      <c r="B65" s="2"/>
      <c r="C65" s="43"/>
      <c r="D65" s="43"/>
      <c r="E65" s="43"/>
      <c r="F65" s="43"/>
      <c r="G65" s="49"/>
      <c r="H65" s="48"/>
      <c r="I65" s="43"/>
      <c r="J65" s="18"/>
      <c r="K65" s="49"/>
      <c r="L65" s="48"/>
      <c r="M65" s="2"/>
      <c r="N65" s="2"/>
      <c r="O65" s="49"/>
      <c r="P65" s="48"/>
      <c r="Q65" s="2"/>
      <c r="R65" s="43"/>
      <c r="S65" s="49"/>
      <c r="T65" s="48"/>
      <c r="U65" s="18"/>
      <c r="V65" s="424"/>
    </row>
    <row r="66" spans="1:27" ht="18" customHeight="1" thickBot="1" x14ac:dyDescent="0.25">
      <c r="A66" s="14"/>
      <c r="B66" s="2"/>
      <c r="C66" s="61" t="s">
        <v>876</v>
      </c>
      <c r="D66" s="61"/>
      <c r="E66" s="43"/>
      <c r="F66" s="43"/>
      <c r="G66" s="876">
        <f>VLOOKUP('Part 1'!$L$16,Datasheet4!$B$6:$GH$333,W66,FALSE)</f>
        <v>1939351</v>
      </c>
      <c r="H66" s="877"/>
      <c r="I66" s="43"/>
      <c r="J66" s="18"/>
      <c r="K66" s="876">
        <f>VLOOKUP('Part 1'!$L$16,Datasheet4!$B$6:$GH$333,X66,FALSE)</f>
        <v>1939863</v>
      </c>
      <c r="L66" s="877"/>
      <c r="M66" s="2"/>
      <c r="N66" s="2"/>
      <c r="O66" s="876">
        <f>VLOOKUP('Part 1'!$L$16,Datasheet4!$B$6:$GH$333,Y66,FALSE)</f>
        <v>0</v>
      </c>
      <c r="P66" s="877"/>
      <c r="Q66" s="2"/>
      <c r="R66" s="43"/>
      <c r="S66" s="876">
        <f>VLOOKUP('Part 1'!$L$16,Datasheet4!$B$6:$GH$333,Z66,FALSE)</f>
        <v>-512</v>
      </c>
      <c r="T66" s="877"/>
      <c r="U66" s="18"/>
      <c r="V66" s="424"/>
      <c r="W66" s="375">
        <v>41</v>
      </c>
      <c r="X66" s="375">
        <v>42</v>
      </c>
      <c r="Y66" s="375">
        <v>43</v>
      </c>
      <c r="Z66" s="375">
        <v>44</v>
      </c>
      <c r="AA66" s="375">
        <v>44</v>
      </c>
    </row>
    <row r="67" spans="1:27" ht="18" customHeight="1" x14ac:dyDescent="0.2">
      <c r="A67" s="14"/>
      <c r="B67" s="2"/>
      <c r="C67" s="61"/>
      <c r="D67" s="61"/>
      <c r="E67" s="43"/>
      <c r="F67" s="43"/>
      <c r="G67" s="43"/>
      <c r="H67" s="43"/>
      <c r="I67" s="43"/>
      <c r="J67" s="43"/>
      <c r="K67" s="43"/>
      <c r="L67" s="43"/>
      <c r="M67" s="43"/>
      <c r="N67" s="43"/>
      <c r="O67" s="43"/>
      <c r="P67" s="43"/>
      <c r="Q67" s="43"/>
      <c r="R67" s="43"/>
      <c r="S67" s="43"/>
      <c r="T67" s="43"/>
      <c r="U67" s="43"/>
      <c r="V67" s="424"/>
    </row>
    <row r="68" spans="1:27" ht="18" customHeight="1" thickBot="1" x14ac:dyDescent="0.25">
      <c r="A68" s="14"/>
      <c r="B68" s="2"/>
      <c r="C68" s="640" t="s">
        <v>1452</v>
      </c>
      <c r="D68" s="61"/>
      <c r="E68" s="61"/>
      <c r="F68" s="61"/>
      <c r="G68" s="61"/>
      <c r="H68" s="61"/>
      <c r="I68" s="61"/>
      <c r="J68" s="6"/>
      <c r="K68" s="336"/>
      <c r="L68" s="337"/>
      <c r="M68" s="584"/>
      <c r="N68" s="43"/>
      <c r="O68" s="252"/>
      <c r="P68" s="43"/>
      <c r="Q68" s="43"/>
      <c r="R68" s="43"/>
      <c r="S68" s="43"/>
      <c r="T68" s="43"/>
      <c r="U68" s="43"/>
      <c r="V68" s="41"/>
      <c r="X68" s="615"/>
    </row>
    <row r="69" spans="1:27" ht="18" customHeight="1" thickBot="1" x14ac:dyDescent="0.25">
      <c r="A69" s="14"/>
      <c r="B69" s="2"/>
      <c r="C69" s="61" t="s">
        <v>1451</v>
      </c>
      <c r="D69" s="61"/>
      <c r="E69" s="61"/>
      <c r="F69" s="61"/>
      <c r="G69" s="876">
        <f>VLOOKUP('Part 1'!$L$16,Datasheet4!$B$6:$GH$333,W69,FALSE)</f>
        <v>3213589</v>
      </c>
      <c r="H69" s="877"/>
      <c r="I69" s="61"/>
      <c r="J69" s="6"/>
      <c r="K69" s="788">
        <f>VLOOKUP('Part 1'!$L$16,Datasheet4!$B$6:$GH$333,X69,FALSE)</f>
        <v>3149317.22</v>
      </c>
      <c r="L69" s="789"/>
      <c r="M69" s="2"/>
      <c r="N69" s="43"/>
      <c r="O69" s="788">
        <f>VLOOKUP('Part 1'!$L$16,Datasheet4!$B$6:$GH$333,Y69,FALSE)</f>
        <v>0</v>
      </c>
      <c r="P69" s="896"/>
      <c r="Q69" s="43"/>
      <c r="R69" s="43"/>
      <c r="S69" s="788">
        <f>VLOOKUP('Part 1'!$L$16,Datasheet4!$B$6:$GH$333,Z69,FALSE)</f>
        <v>64271.78</v>
      </c>
      <c r="T69" s="789"/>
      <c r="U69" s="43"/>
      <c r="V69" s="41"/>
      <c r="W69" s="375">
        <v>45</v>
      </c>
      <c r="X69" s="615">
        <v>46</v>
      </c>
      <c r="Y69" s="375">
        <v>47</v>
      </c>
      <c r="Z69" s="375">
        <v>48</v>
      </c>
      <c r="AA69" s="375">
        <v>48</v>
      </c>
    </row>
    <row r="70" spans="1:27" ht="18" customHeight="1" thickBot="1" x14ac:dyDescent="0.25">
      <c r="A70" s="14"/>
      <c r="B70" s="2"/>
      <c r="C70" s="61"/>
      <c r="D70" s="61"/>
      <c r="E70" s="61"/>
      <c r="F70" s="61"/>
      <c r="G70" s="61"/>
      <c r="H70" s="61"/>
      <c r="I70" s="61"/>
      <c r="J70" s="6"/>
      <c r="K70" s="336"/>
      <c r="L70" s="337"/>
      <c r="M70" s="2"/>
      <c r="N70" s="43"/>
      <c r="O70" s="43"/>
      <c r="P70" s="43"/>
      <c r="Q70" s="43"/>
      <c r="R70" s="43"/>
      <c r="S70" s="336"/>
      <c r="T70" s="337"/>
      <c r="U70" s="43"/>
      <c r="V70" s="41"/>
      <c r="X70" s="615"/>
    </row>
    <row r="71" spans="1:27" ht="18" customHeight="1" thickBot="1" x14ac:dyDescent="0.25">
      <c r="A71" s="14"/>
      <c r="B71" s="2"/>
      <c r="C71" s="61" t="s">
        <v>1259</v>
      </c>
      <c r="D71" s="61"/>
      <c r="E71" s="61"/>
      <c r="F71" s="61"/>
      <c r="G71" s="876">
        <f>VLOOKUP('Part 1'!$L$16,Datasheet4!$B$6:$GH$333,W71,FALSE)</f>
        <v>4139079</v>
      </c>
      <c r="H71" s="877"/>
      <c r="I71" s="43"/>
      <c r="J71" s="18"/>
      <c r="K71" s="876">
        <f>VLOOKUP('Part 1'!$L$16,Datasheet4!$B$6:$GH$333,X71,FALSE)</f>
        <v>4056298</v>
      </c>
      <c r="L71" s="877"/>
      <c r="M71" s="2"/>
      <c r="N71" s="2"/>
      <c r="O71" s="876">
        <f>VLOOKUP('Part 1'!$L$16,Datasheet4!$B$6:$GH$333,Y71,FALSE)</f>
        <v>0</v>
      </c>
      <c r="P71" s="877"/>
      <c r="Q71" s="2"/>
      <c r="R71" s="43"/>
      <c r="S71" s="876">
        <f>VLOOKUP('Part 1'!$L$16,Datasheet4!$B$6:$GH$333,Z71,FALSE)</f>
        <v>82781</v>
      </c>
      <c r="T71" s="877"/>
      <c r="U71" s="43"/>
      <c r="V71" s="41"/>
      <c r="W71" s="375">
        <v>49</v>
      </c>
      <c r="X71" s="615">
        <v>50</v>
      </c>
      <c r="Y71" s="375">
        <v>51</v>
      </c>
      <c r="Z71" s="375">
        <v>52</v>
      </c>
      <c r="AA71" s="375">
        <v>52</v>
      </c>
    </row>
    <row r="72" spans="1:27" ht="18" customHeight="1" thickBot="1" x14ac:dyDescent="0.25">
      <c r="A72" s="14"/>
      <c r="B72" s="2"/>
      <c r="C72" s="61"/>
      <c r="D72" s="61"/>
      <c r="E72" s="61"/>
      <c r="F72" s="61"/>
      <c r="G72" s="63"/>
      <c r="H72" s="52"/>
      <c r="I72" s="61"/>
      <c r="J72" s="6"/>
      <c r="K72" s="336"/>
      <c r="L72" s="337"/>
      <c r="M72" s="2"/>
      <c r="N72" s="43"/>
      <c r="O72" s="43"/>
      <c r="P72" s="43"/>
      <c r="Q72" s="43"/>
      <c r="R72" s="43"/>
      <c r="S72" s="336"/>
      <c r="T72" s="337"/>
      <c r="U72" s="43"/>
      <c r="V72" s="41"/>
      <c r="X72" s="615"/>
    </row>
    <row r="73" spans="1:27" ht="18" customHeight="1" thickBot="1" x14ac:dyDescent="0.25">
      <c r="A73" s="14"/>
      <c r="B73" s="2"/>
      <c r="C73" s="61" t="s">
        <v>877</v>
      </c>
      <c r="D73" s="61"/>
      <c r="E73" s="61"/>
      <c r="F73" s="61"/>
      <c r="G73" s="876">
        <f>VLOOKUP('Part 1'!$L$16,Datasheet4!$B$6:$GH$333,W73,FALSE)</f>
        <v>-925490</v>
      </c>
      <c r="H73" s="877"/>
      <c r="I73" s="43"/>
      <c r="J73" s="18"/>
      <c r="K73" s="876">
        <f>VLOOKUP('Part 1'!$L$16,Datasheet4!$B$6:$GH$333,X73,FALSE)</f>
        <v>-906981</v>
      </c>
      <c r="L73" s="877"/>
      <c r="M73" s="2"/>
      <c r="N73" s="2"/>
      <c r="O73" s="876">
        <f>VLOOKUP('Part 1'!$L$16,Datasheet4!$B$6:$GH$333,Y73,FALSE)</f>
        <v>0</v>
      </c>
      <c r="P73" s="877"/>
      <c r="Q73" s="2"/>
      <c r="R73" s="43"/>
      <c r="S73" s="876">
        <f>VLOOKUP('Part 1'!$L$16,Datasheet4!$B$6:$GH$333,Z73,FALSE)</f>
        <v>-18509</v>
      </c>
      <c r="T73" s="877"/>
      <c r="U73" s="43"/>
      <c r="V73" s="41"/>
      <c r="W73" s="375">
        <v>53</v>
      </c>
      <c r="X73" s="615">
        <v>54</v>
      </c>
      <c r="Y73" s="375">
        <v>55</v>
      </c>
      <c r="Z73" s="375">
        <v>56</v>
      </c>
      <c r="AA73" s="375">
        <v>56</v>
      </c>
    </row>
    <row r="74" spans="1:27" ht="18" customHeight="1" x14ac:dyDescent="0.2">
      <c r="A74" s="14"/>
      <c r="B74" s="2"/>
      <c r="C74" s="61"/>
      <c r="D74" s="61"/>
      <c r="E74" s="61"/>
      <c r="F74" s="61"/>
      <c r="G74" s="61"/>
      <c r="H74" s="61"/>
      <c r="I74" s="61"/>
      <c r="J74" s="61"/>
      <c r="K74" s="61"/>
      <c r="L74" s="61"/>
      <c r="M74" s="61"/>
      <c r="N74" s="43"/>
      <c r="O74" s="43"/>
      <c r="P74" s="43"/>
      <c r="Q74" s="43"/>
      <c r="R74" s="43"/>
      <c r="S74" s="43"/>
      <c r="T74" s="43"/>
      <c r="U74" s="43"/>
      <c r="V74" s="41"/>
      <c r="X74" s="615"/>
    </row>
    <row r="75" spans="1:27" ht="18" customHeight="1" thickBot="1" x14ac:dyDescent="0.25">
      <c r="A75" s="14"/>
      <c r="B75" s="2"/>
      <c r="C75" s="96" t="s">
        <v>1258</v>
      </c>
      <c r="D75" s="61"/>
      <c r="E75" s="61"/>
      <c r="F75" s="61"/>
      <c r="G75" s="61"/>
      <c r="H75" s="61"/>
      <c r="I75" s="61"/>
      <c r="J75" s="61"/>
      <c r="K75" s="61"/>
      <c r="L75" s="61"/>
      <c r="M75" s="61"/>
      <c r="N75" s="43"/>
      <c r="O75" s="43"/>
      <c r="P75" s="43"/>
      <c r="Q75" s="43"/>
      <c r="R75" s="43"/>
      <c r="S75" s="43"/>
      <c r="T75" s="43"/>
      <c r="U75" s="43"/>
      <c r="V75" s="41"/>
      <c r="X75" s="615"/>
    </row>
    <row r="76" spans="1:27" ht="18" customHeight="1" thickBot="1" x14ac:dyDescent="0.25">
      <c r="A76" s="14"/>
      <c r="B76" s="2"/>
      <c r="C76" s="802" t="s">
        <v>1453</v>
      </c>
      <c r="D76" s="802"/>
      <c r="E76" s="802"/>
      <c r="F76" s="61"/>
      <c r="G76" s="876">
        <f>VLOOKUP('Part 1'!$L$16,Datasheet4!$B$6:$GH$333,W76,FALSE)</f>
        <v>382238</v>
      </c>
      <c r="H76" s="877"/>
      <c r="I76" s="43"/>
      <c r="J76" s="18"/>
      <c r="K76" s="876">
        <f>VLOOKUP('Part 1'!$L$16,Datasheet4!$B$6:$GH$333,X76,FALSE)</f>
        <v>382238</v>
      </c>
      <c r="L76" s="877"/>
      <c r="M76" s="2"/>
      <c r="N76" s="43"/>
      <c r="O76" s="43"/>
      <c r="P76" s="43"/>
      <c r="Q76" s="43"/>
      <c r="R76" s="43"/>
      <c r="S76" s="43"/>
      <c r="T76" s="43"/>
      <c r="U76" s="43"/>
      <c r="V76" s="41"/>
      <c r="W76" s="375">
        <v>57</v>
      </c>
      <c r="X76" s="615">
        <v>58</v>
      </c>
    </row>
    <row r="77" spans="1:27" ht="18" customHeight="1" x14ac:dyDescent="0.2">
      <c r="A77" s="14"/>
      <c r="B77" s="2"/>
      <c r="C77" s="802"/>
      <c r="D77" s="802"/>
      <c r="E77" s="802"/>
      <c r="F77" s="61"/>
      <c r="G77" s="61"/>
      <c r="H77" s="61"/>
      <c r="I77" s="61"/>
      <c r="J77" s="61"/>
      <c r="K77" s="61"/>
      <c r="L77" s="61"/>
      <c r="M77" s="2"/>
      <c r="N77" s="43"/>
      <c r="O77" s="43"/>
      <c r="P77" s="43"/>
      <c r="Q77" s="43"/>
      <c r="R77" s="43"/>
      <c r="S77" s="43"/>
      <c r="T77" s="43"/>
      <c r="U77" s="43"/>
      <c r="V77" s="41"/>
      <c r="X77" s="615"/>
    </row>
    <row r="78" spans="1:27" ht="18" customHeight="1" thickBot="1" x14ac:dyDescent="0.25">
      <c r="A78" s="14"/>
      <c r="B78" s="2"/>
      <c r="C78" s="547"/>
      <c r="D78" s="547"/>
      <c r="E78" s="547"/>
      <c r="F78" s="61"/>
      <c r="G78" s="61"/>
      <c r="H78" s="61"/>
      <c r="I78" s="61"/>
      <c r="J78" s="61"/>
      <c r="K78" s="61"/>
      <c r="L78" s="61"/>
      <c r="M78" s="2"/>
      <c r="N78" s="43"/>
      <c r="O78" s="43"/>
      <c r="P78" s="43"/>
      <c r="Q78" s="43"/>
      <c r="R78" s="43"/>
      <c r="S78" s="43"/>
      <c r="T78" s="43"/>
      <c r="U78" s="43"/>
      <c r="V78" s="41"/>
      <c r="X78" s="615"/>
    </row>
    <row r="79" spans="1:27" ht="18" customHeight="1" thickBot="1" x14ac:dyDescent="0.25">
      <c r="A79" s="14"/>
      <c r="B79" s="2"/>
      <c r="C79" s="61" t="s">
        <v>1454</v>
      </c>
      <c r="D79" s="547"/>
      <c r="E79" s="547"/>
      <c r="F79" s="61"/>
      <c r="G79" s="876">
        <f>VLOOKUP('Part 1'!$L$16,Datasheet4!$B$6:$GH$333,W79,FALSE)</f>
        <v>874976.4</v>
      </c>
      <c r="H79" s="877"/>
      <c r="I79" s="43"/>
      <c r="J79" s="18"/>
      <c r="K79" s="876">
        <f>VLOOKUP('Part 1'!$L$16,Datasheet4!$B$6:$GH$333,X79,FALSE)</f>
        <v>874976.4</v>
      </c>
      <c r="L79" s="877"/>
      <c r="M79" s="2"/>
      <c r="N79" s="43"/>
      <c r="O79" s="43"/>
      <c r="P79" s="43"/>
      <c r="Q79" s="43"/>
      <c r="R79" s="43"/>
      <c r="S79" s="43"/>
      <c r="T79" s="43"/>
      <c r="U79" s="43"/>
      <c r="V79" s="41"/>
      <c r="W79" s="375">
        <v>59</v>
      </c>
      <c r="X79" s="615">
        <v>60</v>
      </c>
    </row>
    <row r="80" spans="1:27" ht="18" customHeight="1" thickBot="1" x14ac:dyDescent="0.25">
      <c r="A80" s="14"/>
      <c r="B80" s="2"/>
      <c r="C80" s="61"/>
      <c r="D80" s="547"/>
      <c r="E80" s="547"/>
      <c r="F80" s="61"/>
      <c r="G80" s="63"/>
      <c r="H80" s="52"/>
      <c r="I80" s="61"/>
      <c r="J80" s="6"/>
      <c r="K80" s="6"/>
      <c r="L80" s="6"/>
      <c r="M80" s="6"/>
      <c r="N80" s="43"/>
      <c r="O80" s="43"/>
      <c r="P80" s="43"/>
      <c r="Q80" s="43"/>
      <c r="R80" s="43"/>
      <c r="S80" s="43"/>
      <c r="T80" s="43"/>
      <c r="U80" s="43"/>
      <c r="V80" s="41"/>
      <c r="X80" s="615"/>
    </row>
    <row r="81" spans="1:26" ht="18" customHeight="1" thickBot="1" x14ac:dyDescent="0.25">
      <c r="A81" s="14"/>
      <c r="B81" s="2"/>
      <c r="C81" s="61" t="s">
        <v>1455</v>
      </c>
      <c r="D81" s="61"/>
      <c r="E81" s="61"/>
      <c r="F81" s="61"/>
      <c r="G81" s="876">
        <f>VLOOKUP('Part 1'!$L$16,Datasheet4!$B$6:$GH$333,W81,FALSE)</f>
        <v>-492738</v>
      </c>
      <c r="H81" s="877"/>
      <c r="I81" s="43"/>
      <c r="J81" s="18"/>
      <c r="K81" s="876">
        <f>VLOOKUP('Part 1'!$L$16,Datasheet4!$B$6:$GH$333,X81,FALSE)</f>
        <v>-492738</v>
      </c>
      <c r="L81" s="877"/>
      <c r="M81" s="2"/>
      <c r="N81" s="43"/>
      <c r="O81" s="43"/>
      <c r="P81" s="43"/>
      <c r="Q81" s="43"/>
      <c r="R81" s="43"/>
      <c r="S81" s="43"/>
      <c r="T81" s="43"/>
      <c r="U81" s="43"/>
      <c r="V81" s="41"/>
      <c r="W81" s="375">
        <v>61</v>
      </c>
      <c r="X81" s="615">
        <v>62</v>
      </c>
    </row>
    <row r="82" spans="1:26" ht="18" customHeight="1" x14ac:dyDescent="0.2">
      <c r="A82" s="14"/>
      <c r="B82" s="2"/>
      <c r="C82" s="585"/>
      <c r="D82" s="61"/>
      <c r="E82" s="61"/>
      <c r="F82" s="61"/>
      <c r="G82" s="61"/>
      <c r="H82" s="61"/>
      <c r="I82" s="61"/>
      <c r="J82" s="6"/>
      <c r="K82" s="2"/>
      <c r="L82" s="2"/>
      <c r="M82" s="2"/>
      <c r="N82" s="43"/>
      <c r="O82" s="43"/>
      <c r="P82" s="43"/>
      <c r="Q82" s="43"/>
      <c r="R82" s="43"/>
      <c r="S82" s="43"/>
      <c r="T82" s="43"/>
      <c r="U82" s="43"/>
      <c r="V82" s="41"/>
    </row>
    <row r="83" spans="1:26" ht="18" customHeight="1" x14ac:dyDescent="0.2">
      <c r="A83" s="14"/>
      <c r="B83" s="2"/>
      <c r="C83" s="107" t="s">
        <v>18</v>
      </c>
      <c r="D83" s="107"/>
      <c r="E83" s="108"/>
      <c r="F83" s="108"/>
      <c r="G83" s="108"/>
      <c r="H83" s="108"/>
      <c r="I83" s="108"/>
      <c r="J83" s="2"/>
      <c r="K83" s="2"/>
      <c r="L83" s="2"/>
      <c r="M83" s="2"/>
      <c r="N83" s="2"/>
      <c r="O83" s="302"/>
      <c r="P83" s="302"/>
      <c r="Q83" s="2"/>
      <c r="R83" s="2"/>
      <c r="S83" s="48"/>
      <c r="T83" s="48"/>
      <c r="U83" s="18"/>
      <c r="V83" s="424"/>
      <c r="W83" s="262"/>
      <c r="X83" s="262"/>
    </row>
    <row r="84" spans="1:26" ht="18" customHeight="1" thickBot="1" x14ac:dyDescent="0.25">
      <c r="A84" s="14"/>
      <c r="B84" s="2"/>
      <c r="C84" s="107" t="s">
        <v>19</v>
      </c>
      <c r="D84" s="107"/>
      <c r="E84" s="43"/>
      <c r="F84" s="43"/>
      <c r="G84" s="43"/>
      <c r="H84" s="43"/>
      <c r="I84" s="43"/>
      <c r="J84" s="18"/>
      <c r="K84" s="2"/>
      <c r="L84" s="2"/>
      <c r="M84" s="2"/>
      <c r="N84" s="2"/>
      <c r="O84" s="302"/>
      <c r="P84" s="302"/>
      <c r="Q84" s="2"/>
      <c r="R84" s="2"/>
      <c r="S84" s="48"/>
      <c r="T84" s="48"/>
      <c r="U84" s="18"/>
      <c r="V84" s="424"/>
    </row>
    <row r="85" spans="1:26" ht="18" customHeight="1" thickBot="1" x14ac:dyDescent="0.25">
      <c r="A85" s="14"/>
      <c r="B85" s="2"/>
      <c r="C85" s="61" t="s">
        <v>1459</v>
      </c>
      <c r="D85" s="61"/>
      <c r="E85" s="43"/>
      <c r="F85" s="43"/>
      <c r="G85" s="43"/>
      <c r="H85" s="43"/>
      <c r="I85" s="43"/>
      <c r="J85" s="18"/>
      <c r="K85" s="876">
        <f>VLOOKUP('Part 1'!$L$16,Datasheet4!$B$6:$GH$333,X85,FALSE)</f>
        <v>805447836.44003594</v>
      </c>
      <c r="L85" s="877"/>
      <c r="M85" s="340"/>
      <c r="N85" s="340"/>
      <c r="O85" s="876">
        <f>VLOOKUP('Part 1'!$L$16,Datasheet4!$B$6:$GH$333,Y85,FALSE)</f>
        <v>181712009.94336176</v>
      </c>
      <c r="P85" s="877"/>
      <c r="Q85" s="340"/>
      <c r="R85" s="340"/>
      <c r="S85" s="876">
        <f>VLOOKUP('Part 1'!$L$16,Datasheet4!$B$6:$GH$333,Z85,FALSE)</f>
        <v>8923438.675361434</v>
      </c>
      <c r="T85" s="877"/>
      <c r="U85" s="18"/>
      <c r="V85" s="424"/>
      <c r="X85" s="375">
        <v>66</v>
      </c>
      <c r="Y85" s="375">
        <v>67</v>
      </c>
      <c r="Z85" s="375">
        <v>68</v>
      </c>
    </row>
    <row r="86" spans="1:26" ht="18" customHeight="1" thickBot="1" x14ac:dyDescent="0.25">
      <c r="A86" s="14"/>
      <c r="B86" s="2"/>
      <c r="C86" s="61"/>
      <c r="D86" s="61"/>
      <c r="E86" s="43"/>
      <c r="F86" s="43"/>
      <c r="G86" s="43"/>
      <c r="H86" s="43"/>
      <c r="I86" s="43"/>
      <c r="J86" s="18"/>
      <c r="K86" s="18"/>
      <c r="L86" s="18"/>
      <c r="M86" s="18"/>
      <c r="N86" s="18"/>
      <c r="O86" s="18"/>
      <c r="P86" s="18"/>
      <c r="Q86" s="18"/>
      <c r="R86" s="18"/>
      <c r="S86" s="18"/>
      <c r="T86" s="18"/>
      <c r="U86" s="18"/>
      <c r="V86" s="424"/>
    </row>
    <row r="87" spans="1:26" ht="18" customHeight="1" thickBot="1" x14ac:dyDescent="0.25">
      <c r="A87" s="14"/>
      <c r="B87" s="2"/>
      <c r="C87" s="61" t="s">
        <v>1458</v>
      </c>
      <c r="D87" s="61"/>
      <c r="E87" s="43"/>
      <c r="F87" s="43"/>
      <c r="G87" s="43"/>
      <c r="H87" s="43"/>
      <c r="I87" s="43"/>
      <c r="J87" s="18"/>
      <c r="K87" s="876">
        <f>VLOOKUP('Part 1'!$L$16,Datasheet4!$B$6:$GH$333,X87,FALSE)</f>
        <v>54844152</v>
      </c>
      <c r="L87" s="877"/>
      <c r="M87" s="340"/>
      <c r="N87" s="340"/>
      <c r="O87" s="876">
        <f>VLOOKUP('Part 1'!$L$16,Datasheet4!$B$6:$GH$333,Y87,FALSE)</f>
        <v>13567074</v>
      </c>
      <c r="P87" s="877"/>
      <c r="Q87" s="340"/>
      <c r="R87" s="340"/>
      <c r="S87" s="876">
        <f>VLOOKUP('Part 1'!$L$16,Datasheet4!$B$6:$GH$333,Z87,FALSE)</f>
        <v>573029</v>
      </c>
      <c r="T87" s="877"/>
      <c r="U87" s="18"/>
      <c r="V87" s="424"/>
      <c r="X87" s="375">
        <v>69</v>
      </c>
      <c r="Y87" s="375">
        <v>70</v>
      </c>
      <c r="Z87" s="375">
        <v>71</v>
      </c>
    </row>
    <row r="88" spans="1:26" ht="18" customHeight="1" thickBot="1" x14ac:dyDescent="0.25">
      <c r="A88" s="14"/>
      <c r="B88" s="2"/>
      <c r="C88" s="43"/>
      <c r="D88" s="43"/>
      <c r="E88" s="43"/>
      <c r="F88" s="43"/>
      <c r="G88" s="43"/>
      <c r="H88" s="43"/>
      <c r="I88" s="43"/>
      <c r="J88" s="18"/>
      <c r="K88" s="341"/>
      <c r="L88" s="341"/>
      <c r="M88" s="340"/>
      <c r="N88" s="340"/>
      <c r="O88" s="342"/>
      <c r="P88" s="342"/>
      <c r="Q88" s="340"/>
      <c r="R88" s="340"/>
      <c r="S88" s="341"/>
      <c r="T88" s="341"/>
      <c r="U88" s="18"/>
      <c r="V88" s="424"/>
    </row>
    <row r="89" spans="1:26" ht="18" customHeight="1" thickBot="1" x14ac:dyDescent="0.25">
      <c r="A89" s="14"/>
      <c r="B89" s="2"/>
      <c r="C89" s="61" t="s">
        <v>1457</v>
      </c>
      <c r="D89" s="61"/>
      <c r="E89" s="43"/>
      <c r="F89" s="43"/>
      <c r="G89" s="43"/>
      <c r="H89" s="43"/>
      <c r="I89" s="43"/>
      <c r="J89" s="18"/>
      <c r="K89" s="805">
        <f>VLOOKUP('Part 1'!$L$16,Datasheet4!$B$6:$GH$333,X89,FALSE)</f>
        <v>759749502</v>
      </c>
      <c r="L89" s="806"/>
      <c r="M89" s="340"/>
      <c r="N89" s="340"/>
      <c r="O89" s="880">
        <f>VLOOKUP('Part 1'!$L$16,Datasheet4!$B$6:$GH$333,Y89,FALSE)</f>
        <v>171104786</v>
      </c>
      <c r="P89" s="881"/>
      <c r="Q89" s="340"/>
      <c r="R89" s="340"/>
      <c r="S89" s="805">
        <f>VLOOKUP('Part 1'!$L$16,Datasheet4!$B$6:$GH$333,Z89,FALSE)</f>
        <v>8454349</v>
      </c>
      <c r="T89" s="806"/>
      <c r="U89" s="18"/>
      <c r="V89" s="424"/>
      <c r="X89" s="375">
        <v>72</v>
      </c>
      <c r="Y89" s="375">
        <v>73</v>
      </c>
      <c r="Z89" s="375">
        <v>74</v>
      </c>
    </row>
    <row r="90" spans="1:26" ht="18" customHeight="1" thickBot="1" x14ac:dyDescent="0.25">
      <c r="A90" s="14"/>
      <c r="B90" s="2"/>
      <c r="C90" s="43"/>
      <c r="D90" s="43"/>
      <c r="E90" s="43"/>
      <c r="F90" s="43"/>
      <c r="G90" s="43"/>
      <c r="H90" s="43"/>
      <c r="I90" s="43"/>
      <c r="J90" s="18"/>
      <c r="K90" s="49"/>
      <c r="L90" s="48"/>
      <c r="M90" s="2"/>
      <c r="N90" s="2"/>
      <c r="O90" s="49"/>
      <c r="P90" s="48"/>
      <c r="Q90" s="2"/>
      <c r="R90" s="2"/>
      <c r="S90" s="49"/>
      <c r="T90" s="48"/>
      <c r="U90" s="18"/>
      <c r="V90" s="424"/>
    </row>
    <row r="91" spans="1:26" ht="18" customHeight="1" thickBot="1" x14ac:dyDescent="0.25">
      <c r="A91" s="14"/>
      <c r="B91" s="2"/>
      <c r="C91" s="61" t="s">
        <v>1456</v>
      </c>
      <c r="D91" s="61"/>
      <c r="E91" s="43"/>
      <c r="F91" s="43"/>
      <c r="G91" s="43"/>
      <c r="H91" s="43"/>
      <c r="I91" s="43"/>
      <c r="J91" s="18"/>
      <c r="K91" s="876">
        <f>VLOOKUP('Part 1'!$L$16,Datasheet4!$B$6:$GH$333,X91,FALSE)</f>
        <v>100542483</v>
      </c>
      <c r="L91" s="877"/>
      <c r="M91" s="340"/>
      <c r="N91" s="340"/>
      <c r="O91" s="876">
        <f>VLOOKUP('Part 1'!$L$16,Datasheet4!$B$6:$GH$333,Y91,FALSE)</f>
        <v>24174301</v>
      </c>
      <c r="P91" s="877"/>
      <c r="Q91" s="340"/>
      <c r="R91" s="340"/>
      <c r="S91" s="876">
        <f>VLOOKUP('Part 1'!$L$16,Datasheet4!$B$6:$GH$333,Z91,FALSE)</f>
        <v>1042120</v>
      </c>
      <c r="T91" s="877"/>
      <c r="U91" s="18"/>
      <c r="V91" s="424"/>
      <c r="X91" s="375">
        <v>75</v>
      </c>
      <c r="Y91" s="375">
        <v>76</v>
      </c>
      <c r="Z91" s="375">
        <v>77</v>
      </c>
    </row>
    <row r="92" spans="1:26" ht="18" customHeight="1" thickBot="1" x14ac:dyDescent="0.25">
      <c r="A92" s="15"/>
      <c r="B92" s="16"/>
      <c r="C92" s="290"/>
      <c r="D92" s="290"/>
      <c r="E92" s="58"/>
      <c r="F92" s="58"/>
      <c r="G92" s="58"/>
      <c r="H92" s="58"/>
      <c r="I92" s="58"/>
      <c r="J92" s="58"/>
      <c r="K92" s="58"/>
      <c r="L92" s="58"/>
      <c r="M92" s="58"/>
      <c r="N92" s="58"/>
      <c r="O92" s="304"/>
      <c r="P92" s="304"/>
      <c r="Q92" s="58"/>
      <c r="R92" s="58"/>
      <c r="S92" s="58"/>
      <c r="T92" s="58"/>
      <c r="U92" s="58"/>
      <c r="V92" s="425"/>
    </row>
    <row r="93" spans="1:26" ht="18" customHeight="1" thickBot="1" x14ac:dyDescent="0.3">
      <c r="A93" s="14"/>
      <c r="B93" s="2"/>
      <c r="C93" s="92" t="s">
        <v>77</v>
      </c>
      <c r="D93" s="92"/>
      <c r="E93" s="18"/>
      <c r="F93" s="18"/>
      <c r="G93" s="18"/>
      <c r="H93" s="18"/>
      <c r="I93" s="18"/>
      <c r="J93" s="18"/>
      <c r="K93" s="18"/>
      <c r="L93" s="18"/>
      <c r="M93" s="18"/>
      <c r="N93" s="18"/>
      <c r="O93" s="301"/>
      <c r="P93" s="301"/>
      <c r="Q93" s="18"/>
      <c r="R93" s="18"/>
      <c r="S93" s="18"/>
      <c r="T93" s="18"/>
      <c r="U93" s="18"/>
      <c r="V93" s="424"/>
    </row>
    <row r="94" spans="1:26" ht="18" customHeight="1" thickBot="1" x14ac:dyDescent="0.25">
      <c r="A94" s="14"/>
      <c r="B94" s="2"/>
      <c r="C94" s="802" t="s">
        <v>1460</v>
      </c>
      <c r="D94" s="802"/>
      <c r="E94" s="802"/>
      <c r="F94" s="802"/>
      <c r="G94" s="802"/>
      <c r="H94" s="802"/>
      <c r="I94" s="18"/>
      <c r="J94" s="18"/>
      <c r="K94" s="876">
        <f>VLOOKUP('Part 1'!$L$16,Datasheet4!$B$6:$GH$333,X94,FALSE)</f>
        <v>3036933.1920212493</v>
      </c>
      <c r="L94" s="877"/>
      <c r="M94" s="18"/>
      <c r="N94" s="18"/>
      <c r="O94" s="876">
        <f>VLOOKUP('Part 1'!$L$16,Datasheet4!$B$6:$GH$333,Y94,FALSE)</f>
        <v>539107.24372437515</v>
      </c>
      <c r="P94" s="877"/>
      <c r="Q94" s="18"/>
      <c r="R94" s="18"/>
      <c r="S94" s="876">
        <f>VLOOKUP('Part 1'!$L$16,Datasheet4!$B$6:$GH$333,Z94,FALSE)</f>
        <v>39105.96924395833</v>
      </c>
      <c r="T94" s="877"/>
      <c r="U94" s="18"/>
      <c r="V94" s="424"/>
      <c r="X94" s="375">
        <v>78</v>
      </c>
      <c r="Y94" s="375">
        <v>79</v>
      </c>
      <c r="Z94" s="375">
        <v>80</v>
      </c>
    </row>
    <row r="95" spans="1:26" ht="18" customHeight="1" thickBot="1" x14ac:dyDescent="0.25">
      <c r="A95" s="14"/>
      <c r="B95" s="2"/>
      <c r="C95" s="802"/>
      <c r="D95" s="802"/>
      <c r="E95" s="802"/>
      <c r="F95" s="802"/>
      <c r="G95" s="802"/>
      <c r="H95" s="802"/>
      <c r="I95" s="18"/>
      <c r="J95" s="18"/>
      <c r="K95" s="18"/>
      <c r="L95" s="18"/>
      <c r="M95" s="18"/>
      <c r="N95" s="18"/>
      <c r="O95" s="301"/>
      <c r="P95" s="301"/>
      <c r="Q95" s="18"/>
      <c r="R95" s="18"/>
      <c r="S95" s="18"/>
      <c r="T95" s="18"/>
      <c r="U95" s="18"/>
      <c r="V95" s="424"/>
    </row>
    <row r="96" spans="1:26" ht="18" customHeight="1" thickBot="1" x14ac:dyDescent="0.25">
      <c r="A96" s="14"/>
      <c r="B96" s="2"/>
      <c r="C96" s="61" t="s">
        <v>1461</v>
      </c>
      <c r="D96" s="61"/>
      <c r="E96" s="18"/>
      <c r="F96" s="18"/>
      <c r="G96" s="18"/>
      <c r="H96" s="18"/>
      <c r="I96" s="18"/>
      <c r="J96" s="18"/>
      <c r="K96" s="805">
        <f>VLOOKUP('Part 1'!$L$16,Datasheet4!$B$6:$GH$333,X96,FALSE)</f>
        <v>1760753</v>
      </c>
      <c r="L96" s="806"/>
      <c r="M96" s="2"/>
      <c r="N96" s="2"/>
      <c r="O96" s="880">
        <f>VLOOKUP('Part 1'!$L$16,Datasheet4!$B$6:$GH$333,Y96,FALSE)</f>
        <v>323944</v>
      </c>
      <c r="P96" s="881"/>
      <c r="Q96" s="2"/>
      <c r="R96" s="2"/>
      <c r="S96" s="805">
        <f>VLOOKUP('Part 1'!$L$16,Datasheet4!$B$6:$GH$333,Z96,FALSE)</f>
        <v>22090</v>
      </c>
      <c r="T96" s="806"/>
      <c r="U96" s="18"/>
      <c r="V96" s="424"/>
      <c r="X96" s="375">
        <v>81</v>
      </c>
      <c r="Y96" s="375">
        <v>82</v>
      </c>
      <c r="Z96" s="375">
        <v>83</v>
      </c>
    </row>
    <row r="97" spans="1:26" ht="18" customHeight="1" thickBot="1" x14ac:dyDescent="0.25">
      <c r="A97" s="14"/>
      <c r="B97" s="2"/>
      <c r="C97" s="43"/>
      <c r="D97" s="43"/>
      <c r="E97" s="18"/>
      <c r="F97" s="18"/>
      <c r="G97" s="18"/>
      <c r="H97" s="18"/>
      <c r="I97" s="18"/>
      <c r="J97" s="18"/>
      <c r="K97" s="49"/>
      <c r="L97" s="48"/>
      <c r="M97" s="18"/>
      <c r="N97" s="18"/>
      <c r="O97" s="49"/>
      <c r="P97" s="48"/>
      <c r="Q97" s="18"/>
      <c r="R97" s="18"/>
      <c r="S97" s="49"/>
      <c r="T97" s="48"/>
      <c r="U97" s="18"/>
      <c r="V97" s="424"/>
    </row>
    <row r="98" spans="1:26" ht="18" customHeight="1" thickBot="1" x14ac:dyDescent="0.25">
      <c r="A98" s="14"/>
      <c r="B98" s="2"/>
      <c r="C98" s="61" t="s">
        <v>1265</v>
      </c>
      <c r="D98" s="61"/>
      <c r="E98" s="18"/>
      <c r="F98" s="18"/>
      <c r="G98" s="18"/>
      <c r="H98" s="18"/>
      <c r="I98" s="18"/>
      <c r="J98" s="18"/>
      <c r="K98" s="876">
        <f>VLOOKUP('Part 1'!$L$16,Datasheet4!$B$6:$GH$333,X98,FALSE)</f>
        <v>1276179</v>
      </c>
      <c r="L98" s="877"/>
      <c r="M98" s="2"/>
      <c r="N98" s="2"/>
      <c r="O98" s="876">
        <f>VLOOKUP('Part 1'!$L$16,Datasheet4!$B$6:$GH$333,Y98,FALSE)</f>
        <v>215162</v>
      </c>
      <c r="P98" s="877"/>
      <c r="Q98" s="2"/>
      <c r="R98" s="2"/>
      <c r="S98" s="876">
        <f>VLOOKUP('Part 1'!$L$16,Datasheet4!$B$6:$GH$333,Z98,FALSE)</f>
        <v>17014</v>
      </c>
      <c r="T98" s="877"/>
      <c r="U98" s="18"/>
      <c r="V98" s="424"/>
      <c r="X98" s="375">
        <v>84</v>
      </c>
      <c r="Y98" s="375">
        <v>85</v>
      </c>
      <c r="Z98" s="375">
        <v>86</v>
      </c>
    </row>
    <row r="99" spans="1:26" ht="18" customHeight="1" x14ac:dyDescent="0.2">
      <c r="A99" s="14"/>
      <c r="B99" s="2"/>
      <c r="C99" s="18"/>
      <c r="D99" s="18"/>
      <c r="E99" s="18"/>
      <c r="F99" s="18"/>
      <c r="G99" s="18"/>
      <c r="H99" s="18"/>
      <c r="I99" s="18"/>
      <c r="J99" s="18"/>
      <c r="K99" s="18"/>
      <c r="L99" s="18"/>
      <c r="M99" s="18"/>
      <c r="N99" s="18"/>
      <c r="O99" s="301"/>
      <c r="P99" s="301"/>
      <c r="Q99" s="18"/>
      <c r="R99" s="18"/>
      <c r="S99" s="18"/>
      <c r="T99" s="18"/>
      <c r="U99" s="18"/>
      <c r="V99" s="424"/>
    </row>
    <row r="100" spans="1:26" ht="18" customHeight="1" thickBot="1" x14ac:dyDescent="0.3">
      <c r="A100" s="14"/>
      <c r="B100" s="2"/>
      <c r="C100" s="92" t="s">
        <v>3</v>
      </c>
      <c r="D100" s="92"/>
      <c r="E100" s="18"/>
      <c r="F100" s="18"/>
      <c r="G100" s="18"/>
      <c r="H100" s="18"/>
      <c r="I100" s="18"/>
      <c r="J100" s="18"/>
      <c r="K100" s="18"/>
      <c r="L100" s="18"/>
      <c r="M100" s="18"/>
      <c r="N100" s="18"/>
      <c r="O100" s="301"/>
      <c r="P100" s="301"/>
      <c r="Q100" s="18"/>
      <c r="R100" s="18"/>
      <c r="S100" s="18"/>
      <c r="T100" s="18"/>
      <c r="U100" s="18"/>
      <c r="V100" s="424"/>
    </row>
    <row r="101" spans="1:26" ht="18" customHeight="1" thickBot="1" x14ac:dyDescent="0.25">
      <c r="A101" s="14"/>
      <c r="B101" s="2"/>
      <c r="C101" s="802" t="s">
        <v>1464</v>
      </c>
      <c r="D101" s="802"/>
      <c r="E101" s="802"/>
      <c r="F101" s="802"/>
      <c r="G101" s="802"/>
      <c r="H101" s="802"/>
      <c r="I101" s="18"/>
      <c r="J101" s="18"/>
      <c r="K101" s="876">
        <f>VLOOKUP('Part 1'!$L$16,Datasheet4!$B$6:$GH$333,X101,FALSE)</f>
        <v>-218290.79514583337</v>
      </c>
      <c r="L101" s="877"/>
      <c r="M101" s="18"/>
      <c r="N101" s="18"/>
      <c r="O101" s="876">
        <f>VLOOKUP('Part 1'!$L$16,Datasheet4!$B$6:$GH$333,Y101,FALSE)</f>
        <v>1454.8739166666683</v>
      </c>
      <c r="P101" s="877"/>
      <c r="Q101" s="18"/>
      <c r="R101" s="18"/>
      <c r="S101" s="876">
        <f>VLOOKUP('Part 1'!$L$16,Datasheet4!$B$6:$GH$333,Z101,FALSE)</f>
        <v>-2893.7391875000008</v>
      </c>
      <c r="T101" s="877"/>
      <c r="U101" s="18"/>
      <c r="V101" s="424"/>
      <c r="X101" s="375">
        <v>87</v>
      </c>
      <c r="Y101" s="375">
        <v>88</v>
      </c>
      <c r="Z101" s="375">
        <v>89</v>
      </c>
    </row>
    <row r="102" spans="1:26" ht="18" customHeight="1" x14ac:dyDescent="0.2">
      <c r="A102" s="14"/>
      <c r="B102" s="2"/>
      <c r="C102" s="18"/>
      <c r="D102" s="18"/>
      <c r="E102" s="18"/>
      <c r="F102" s="18"/>
      <c r="G102" s="18"/>
      <c r="H102" s="18"/>
      <c r="I102" s="18"/>
      <c r="J102" s="18"/>
      <c r="K102" s="18"/>
      <c r="L102" s="18"/>
      <c r="M102" s="18"/>
      <c r="N102" s="18"/>
      <c r="O102" s="301"/>
      <c r="P102" s="301"/>
      <c r="Q102" s="18"/>
      <c r="R102" s="18"/>
      <c r="S102" s="18"/>
      <c r="T102" s="18"/>
      <c r="U102" s="18"/>
      <c r="V102" s="424"/>
    </row>
    <row r="103" spans="1:26" ht="18" customHeight="1" thickBot="1" x14ac:dyDescent="0.3">
      <c r="A103" s="14"/>
      <c r="B103" s="2"/>
      <c r="C103" s="92" t="s">
        <v>78</v>
      </c>
      <c r="D103" s="92"/>
      <c r="E103" s="18"/>
      <c r="F103" s="18"/>
      <c r="G103" s="18"/>
      <c r="H103" s="18"/>
      <c r="I103" s="18"/>
      <c r="J103" s="18"/>
      <c r="K103" s="18"/>
      <c r="L103" s="18"/>
      <c r="M103" s="18"/>
      <c r="N103" s="18"/>
      <c r="O103" s="301"/>
      <c r="P103" s="301"/>
      <c r="Q103" s="18"/>
      <c r="R103" s="18"/>
      <c r="S103" s="18"/>
      <c r="T103" s="18"/>
      <c r="U103" s="18"/>
      <c r="V103" s="424"/>
    </row>
    <row r="104" spans="1:26" ht="18" customHeight="1" thickBot="1" x14ac:dyDescent="0.25">
      <c r="A104" s="14"/>
      <c r="B104" s="2"/>
      <c r="C104" s="802" t="s">
        <v>1463</v>
      </c>
      <c r="D104" s="802"/>
      <c r="E104" s="802"/>
      <c r="F104" s="802"/>
      <c r="G104" s="802"/>
      <c r="H104" s="802"/>
      <c r="I104" s="18"/>
      <c r="J104" s="18"/>
      <c r="K104" s="876">
        <f>VLOOKUP('Part 1'!$L$16,Datasheet4!$B$6:$GH$333,X104,FALSE)</f>
        <v>-50115.018113333324</v>
      </c>
      <c r="L104" s="877"/>
      <c r="M104" s="18"/>
      <c r="N104" s="18"/>
      <c r="O104" s="876">
        <f>VLOOKUP('Part 1'!$L$16,Datasheet4!$B$6:$GH$333,Y104,FALSE)</f>
        <v>-16763.371037291665</v>
      </c>
      <c r="P104" s="877"/>
      <c r="Q104" s="18"/>
      <c r="R104" s="18"/>
      <c r="S104" s="876">
        <f>VLOOKUP('Part 1'!$L$16,Datasheet4!$B$6:$GH$333,Z104,FALSE)</f>
        <v>-194.09813062499995</v>
      </c>
      <c r="T104" s="877"/>
      <c r="U104" s="18"/>
      <c r="V104" s="424"/>
      <c r="X104" s="375">
        <v>90</v>
      </c>
      <c r="Y104" s="375">
        <v>91</v>
      </c>
      <c r="Z104" s="375">
        <v>92</v>
      </c>
    </row>
    <row r="105" spans="1:26" ht="18" customHeight="1" x14ac:dyDescent="0.2">
      <c r="A105" s="14"/>
      <c r="B105" s="2"/>
      <c r="C105" s="43"/>
      <c r="D105" s="43"/>
      <c r="E105" s="18"/>
      <c r="F105" s="18"/>
      <c r="G105" s="18"/>
      <c r="H105" s="18"/>
      <c r="I105" s="18"/>
      <c r="J105" s="18"/>
      <c r="K105" s="18"/>
      <c r="L105" s="18"/>
      <c r="M105" s="18"/>
      <c r="N105" s="18"/>
      <c r="O105" s="301"/>
      <c r="P105" s="301"/>
      <c r="Q105" s="18"/>
      <c r="R105" s="18"/>
      <c r="S105" s="18"/>
      <c r="T105" s="18"/>
      <c r="U105" s="18"/>
      <c r="V105" s="424"/>
    </row>
    <row r="106" spans="1:26" ht="18" customHeight="1" thickBot="1" x14ac:dyDescent="0.3">
      <c r="A106" s="14"/>
      <c r="B106" s="2"/>
      <c r="C106" s="92" t="s">
        <v>70</v>
      </c>
      <c r="D106" s="43"/>
      <c r="E106" s="18"/>
      <c r="F106" s="18"/>
      <c r="G106" s="18"/>
      <c r="H106" s="18"/>
      <c r="I106" s="18"/>
      <c r="J106" s="18"/>
      <c r="K106" s="18"/>
      <c r="L106" s="18"/>
      <c r="M106" s="18"/>
      <c r="N106" s="18"/>
      <c r="O106" s="301"/>
      <c r="P106" s="301"/>
      <c r="Q106" s="18"/>
      <c r="R106" s="18"/>
      <c r="S106" s="18"/>
      <c r="T106" s="18"/>
      <c r="U106" s="18"/>
      <c r="V106" s="424"/>
    </row>
    <row r="107" spans="1:26" ht="18" customHeight="1" thickBot="1" x14ac:dyDescent="0.25">
      <c r="A107" s="14"/>
      <c r="B107" s="2"/>
      <c r="C107" s="802" t="s">
        <v>1462</v>
      </c>
      <c r="D107" s="802"/>
      <c r="E107" s="802"/>
      <c r="F107" s="802"/>
      <c r="G107" s="802"/>
      <c r="H107" s="802"/>
      <c r="I107" s="18"/>
      <c r="J107" s="18"/>
      <c r="K107" s="878">
        <f>VLOOKUP('Part 1'!$L$16,Datasheet4!$B$6:$GH$333,X107,FALSE)</f>
        <v>-230089.88725833321</v>
      </c>
      <c r="L107" s="879"/>
      <c r="M107" s="18"/>
      <c r="N107" s="18"/>
      <c r="O107" s="878">
        <f>VLOOKUP('Part 1'!$L$16,Datasheet4!$B$6:$GH$333,Y107,FALSE)</f>
        <v>-57792.146506458317</v>
      </c>
      <c r="P107" s="879"/>
      <c r="Q107" s="18"/>
      <c r="R107" s="18"/>
      <c r="S107" s="878">
        <f>VLOOKUP('Part 1'!$L$16,Datasheet4!$B$6:$GH$333,Z107,FALSE)</f>
        <v>-2456.8329643750003</v>
      </c>
      <c r="T107" s="879"/>
      <c r="U107" s="18"/>
      <c r="V107" s="424"/>
      <c r="X107" s="375">
        <v>93</v>
      </c>
      <c r="Y107" s="375">
        <v>94</v>
      </c>
      <c r="Z107" s="375">
        <v>95</v>
      </c>
    </row>
    <row r="108" spans="1:26" ht="18" customHeight="1" x14ac:dyDescent="0.2">
      <c r="A108" s="14"/>
      <c r="B108" s="2"/>
      <c r="C108" s="802"/>
      <c r="D108" s="802"/>
      <c r="E108" s="802"/>
      <c r="F108" s="802"/>
      <c r="G108" s="802"/>
      <c r="H108" s="802"/>
      <c r="I108" s="18"/>
      <c r="J108" s="18"/>
      <c r="K108" s="18"/>
      <c r="L108" s="18"/>
      <c r="M108" s="18"/>
      <c r="N108" s="18"/>
      <c r="O108" s="301"/>
      <c r="P108" s="301"/>
      <c r="Q108" s="18"/>
      <c r="R108" s="18"/>
      <c r="S108" s="18"/>
      <c r="T108" s="18"/>
      <c r="U108" s="18"/>
      <c r="V108" s="424"/>
    </row>
    <row r="109" spans="1:26" ht="16.5" thickBot="1" x14ac:dyDescent="0.3">
      <c r="A109" s="14"/>
      <c r="B109" s="2"/>
      <c r="C109" s="92" t="s">
        <v>79</v>
      </c>
      <c r="D109" s="43"/>
      <c r="E109" s="18"/>
      <c r="F109" s="18"/>
      <c r="G109" s="18"/>
      <c r="H109" s="18"/>
      <c r="I109" s="18"/>
      <c r="J109" s="18"/>
      <c r="K109" s="18"/>
      <c r="L109" s="18"/>
      <c r="M109" s="18"/>
      <c r="N109" s="18"/>
      <c r="O109" s="301"/>
      <c r="P109" s="301"/>
      <c r="Q109" s="18"/>
      <c r="R109" s="18"/>
      <c r="S109" s="18"/>
      <c r="T109" s="18"/>
      <c r="U109" s="2"/>
      <c r="V109" s="424"/>
    </row>
    <row r="110" spans="1:26" ht="16.5" thickBot="1" x14ac:dyDescent="0.25">
      <c r="A110" s="14"/>
      <c r="B110" s="2"/>
      <c r="C110" s="802" t="s">
        <v>1465</v>
      </c>
      <c r="D110" s="802"/>
      <c r="E110" s="802"/>
      <c r="F110" s="802"/>
      <c r="G110" s="802"/>
      <c r="H110" s="802"/>
      <c r="I110" s="18"/>
      <c r="J110" s="18"/>
      <c r="K110" s="785">
        <f>VLOOKUP('Part 1'!$L$16,Datasheet4!$B$6:$GH$333,X110,FALSE)</f>
        <v>10304.453333333333</v>
      </c>
      <c r="L110" s="786"/>
      <c r="M110" s="6"/>
      <c r="N110" s="6"/>
      <c r="O110" s="785">
        <f>VLOOKUP('Part 1'!$L$16,Datasheet4!$B$6:$GH$333,Y110,FALSE)</f>
        <v>2976.2476458333331</v>
      </c>
      <c r="P110" s="786"/>
      <c r="Q110" s="6"/>
      <c r="R110" s="6"/>
      <c r="S110" s="785">
        <f>VLOOKUP('Part 1'!$L$16,Datasheet4!$B$6:$GH$333,Z110,FALSE)</f>
        <v>-115.76347916666667</v>
      </c>
      <c r="T110" s="786"/>
      <c r="U110" s="2"/>
      <c r="V110" s="424"/>
      <c r="X110" s="375">
        <v>96</v>
      </c>
      <c r="Y110" s="375">
        <v>97</v>
      </c>
      <c r="Z110" s="375">
        <v>98</v>
      </c>
    </row>
    <row r="111" spans="1:26" ht="16.5" thickBot="1" x14ac:dyDescent="0.25">
      <c r="A111" s="14"/>
      <c r="B111" s="2"/>
      <c r="C111" s="802"/>
      <c r="D111" s="802"/>
      <c r="E111" s="802"/>
      <c r="F111" s="802"/>
      <c r="G111" s="802"/>
      <c r="H111" s="802"/>
      <c r="I111" s="18"/>
      <c r="J111" s="18"/>
      <c r="K111" s="18"/>
      <c r="L111" s="18"/>
      <c r="M111" s="18"/>
      <c r="N111" s="18"/>
      <c r="O111" s="301"/>
      <c r="P111" s="301"/>
      <c r="Q111" s="18"/>
      <c r="R111" s="18"/>
      <c r="S111" s="343"/>
      <c r="T111" s="344"/>
      <c r="U111" s="2"/>
      <c r="V111" s="424"/>
    </row>
    <row r="112" spans="1:26" ht="16.5" thickBot="1" x14ac:dyDescent="0.25">
      <c r="A112" s="14"/>
      <c r="B112" s="2"/>
      <c r="C112" s="61" t="s">
        <v>1466</v>
      </c>
      <c r="D112" s="43"/>
      <c r="E112" s="18"/>
      <c r="F112" s="18"/>
      <c r="G112" s="18"/>
      <c r="H112" s="18"/>
      <c r="I112" s="18"/>
      <c r="J112" s="18"/>
      <c r="K112" s="805">
        <f>VLOOKUP('Part 1'!$L$16,Datasheet4!$B$6:$GH$333,X112,FALSE)</f>
        <v>0</v>
      </c>
      <c r="L112" s="806"/>
      <c r="M112" s="2"/>
      <c r="N112" s="2"/>
      <c r="O112" s="880">
        <f>VLOOKUP('Part 1'!$L$16,Datasheet4!$B$6:$GH$333,Y112,FALSE)</f>
        <v>0</v>
      </c>
      <c r="P112" s="881"/>
      <c r="Q112" s="2"/>
      <c r="R112" s="2"/>
      <c r="S112" s="805">
        <f>VLOOKUP('Part 1'!$L$16,Datasheet4!$B$6:$GH$333,Z112,FALSE)</f>
        <v>0</v>
      </c>
      <c r="T112" s="806"/>
      <c r="U112" s="2"/>
      <c r="V112" s="424"/>
      <c r="X112" s="375">
        <v>99</v>
      </c>
      <c r="Y112" s="375">
        <v>100</v>
      </c>
      <c r="Z112" s="375">
        <v>101</v>
      </c>
    </row>
    <row r="113" spans="1:26" ht="16.5" thickBot="1" x14ac:dyDescent="0.25">
      <c r="A113" s="14"/>
      <c r="B113" s="2"/>
      <c r="C113" s="43"/>
      <c r="D113" s="43"/>
      <c r="E113" s="18"/>
      <c r="F113" s="18"/>
      <c r="G113" s="18"/>
      <c r="H113" s="18"/>
      <c r="I113" s="18"/>
      <c r="J113" s="18"/>
      <c r="K113" s="49"/>
      <c r="L113" s="48"/>
      <c r="M113" s="18"/>
      <c r="N113" s="18"/>
      <c r="O113" s="49"/>
      <c r="P113" s="48"/>
      <c r="Q113" s="18"/>
      <c r="R113" s="18"/>
      <c r="S113" s="49"/>
      <c r="T113" s="48"/>
      <c r="U113" s="2"/>
      <c r="V113" s="424"/>
    </row>
    <row r="114" spans="1:26" ht="16.5" thickBot="1" x14ac:dyDescent="0.25">
      <c r="A114" s="14"/>
      <c r="B114" s="2"/>
      <c r="C114" s="61" t="s">
        <v>1467</v>
      </c>
      <c r="D114" s="61"/>
      <c r="E114" s="61"/>
      <c r="F114" s="61"/>
      <c r="G114" s="61"/>
      <c r="H114" s="18"/>
      <c r="I114" s="18"/>
      <c r="J114" s="18"/>
      <c r="K114" s="876">
        <f>VLOOKUP('Part 1'!$L$16,Datasheet4!$B$6:$GH$333,X114,FALSE)</f>
        <v>10305</v>
      </c>
      <c r="L114" s="877"/>
      <c r="M114" s="18"/>
      <c r="N114" s="18"/>
      <c r="O114" s="876">
        <f>VLOOKUP('Part 1'!$L$16,Datasheet4!$B$6:$GH$333,Y114,FALSE)</f>
        <v>2976</v>
      </c>
      <c r="P114" s="877"/>
      <c r="Q114" s="18"/>
      <c r="R114" s="18"/>
      <c r="S114" s="876">
        <f>VLOOKUP('Part 1'!$L$16,Datasheet4!$B$6:$GH$333,Z114,FALSE)</f>
        <v>-116</v>
      </c>
      <c r="T114" s="877"/>
      <c r="U114" s="2"/>
      <c r="V114" s="424"/>
      <c r="X114" s="375">
        <v>102</v>
      </c>
      <c r="Y114" s="375">
        <v>103</v>
      </c>
      <c r="Z114" s="375">
        <v>104</v>
      </c>
    </row>
    <row r="115" spans="1:26" ht="18" customHeight="1" x14ac:dyDescent="0.2">
      <c r="A115" s="14"/>
      <c r="B115" s="2"/>
      <c r="C115" s="61"/>
      <c r="D115" s="43"/>
      <c r="E115" s="18"/>
      <c r="F115" s="18"/>
      <c r="G115" s="18"/>
      <c r="H115" s="18"/>
      <c r="I115" s="18"/>
      <c r="J115" s="18"/>
      <c r="K115" s="18"/>
      <c r="L115" s="18"/>
      <c r="M115" s="18"/>
      <c r="N115" s="18"/>
      <c r="O115" s="301"/>
      <c r="P115" s="301"/>
      <c r="Q115" s="18"/>
      <c r="R115" s="18"/>
      <c r="S115" s="18"/>
      <c r="T115" s="18"/>
      <c r="U115" s="2"/>
      <c r="V115" s="424"/>
    </row>
    <row r="116" spans="1:26" ht="18" customHeight="1" thickBot="1" x14ac:dyDescent="0.3">
      <c r="A116" s="14"/>
      <c r="B116" s="2"/>
      <c r="C116" s="92" t="s">
        <v>891</v>
      </c>
      <c r="D116" s="43"/>
      <c r="E116" s="18"/>
      <c r="F116" s="18"/>
      <c r="G116" s="18"/>
      <c r="H116" s="18"/>
      <c r="I116" s="18"/>
      <c r="J116" s="18"/>
      <c r="K116" s="18"/>
      <c r="L116" s="18"/>
      <c r="M116" s="18"/>
      <c r="N116" s="18"/>
      <c r="O116" s="301"/>
      <c r="P116" s="301"/>
      <c r="Q116" s="18"/>
      <c r="R116" s="18"/>
      <c r="S116" s="18"/>
      <c r="T116" s="18"/>
      <c r="U116" s="2"/>
      <c r="V116" s="424"/>
    </row>
    <row r="117" spans="1:26" ht="18" customHeight="1" thickBot="1" x14ac:dyDescent="0.25">
      <c r="A117" s="14"/>
      <c r="B117" s="2"/>
      <c r="C117" s="723" t="s">
        <v>1468</v>
      </c>
      <c r="D117" s="875"/>
      <c r="E117" s="875"/>
      <c r="F117" s="875"/>
      <c r="G117" s="875"/>
      <c r="H117" s="18"/>
      <c r="I117" s="18"/>
      <c r="J117" s="18"/>
      <c r="K117" s="785">
        <f>VLOOKUP('Part 1'!$L$16,Datasheet4!$B$6:$GH$333,X117,FALSE)</f>
        <v>-31999.585695208334</v>
      </c>
      <c r="L117" s="868"/>
      <c r="M117" s="2"/>
      <c r="N117" s="2"/>
      <c r="O117" s="785">
        <f>VLOOKUP('Part 1'!$L$16,Datasheet4!$B$6:$GH$333,Y117,FALSE)</f>
        <v>-6225.5749662500002</v>
      </c>
      <c r="P117" s="786"/>
      <c r="Q117" s="2"/>
      <c r="R117" s="2"/>
      <c r="S117" s="785">
        <f>VLOOKUP('Part 1'!$L$16,Datasheet4!$B$6:$GH$333,Z117,FALSE)</f>
        <v>-247.30289062500009</v>
      </c>
      <c r="T117" s="786"/>
      <c r="U117" s="2"/>
      <c r="V117" s="424"/>
      <c r="X117" s="375">
        <v>105</v>
      </c>
      <c r="Y117" s="375">
        <v>106</v>
      </c>
      <c r="Z117" s="375">
        <v>107</v>
      </c>
    </row>
    <row r="118" spans="1:26" ht="18" customHeight="1" x14ac:dyDescent="0.2">
      <c r="A118" s="14"/>
      <c r="B118" s="2"/>
      <c r="C118" s="875"/>
      <c r="D118" s="875"/>
      <c r="E118" s="875"/>
      <c r="F118" s="875"/>
      <c r="G118" s="875"/>
      <c r="H118" s="18"/>
      <c r="I118" s="18"/>
      <c r="J118" s="18"/>
      <c r="K118" s="18"/>
      <c r="L118" s="18"/>
      <c r="M118" s="18"/>
      <c r="N118" s="18"/>
      <c r="O118" s="301"/>
      <c r="P118" s="301"/>
      <c r="Q118" s="18"/>
      <c r="R118" s="18"/>
      <c r="S118" s="18"/>
      <c r="T118" s="18"/>
      <c r="U118" s="2"/>
      <c r="V118" s="424"/>
    </row>
    <row r="119" spans="1:26" ht="18" customHeight="1" thickBot="1" x14ac:dyDescent="0.25">
      <c r="A119" s="14"/>
      <c r="B119" s="2"/>
      <c r="C119" s="96" t="s">
        <v>34</v>
      </c>
      <c r="D119" s="61"/>
      <c r="E119" s="6"/>
      <c r="F119" s="6"/>
      <c r="G119" s="6"/>
      <c r="H119" s="6"/>
      <c r="I119" s="6"/>
      <c r="J119" s="6"/>
      <c r="K119" s="6"/>
      <c r="L119" s="6"/>
      <c r="M119" s="6"/>
      <c r="N119" s="6"/>
      <c r="O119" s="6"/>
      <c r="P119" s="6"/>
      <c r="Q119" s="6"/>
      <c r="R119" s="6"/>
      <c r="S119" s="6"/>
      <c r="T119" s="6"/>
      <c r="U119" s="2"/>
      <c r="V119" s="41"/>
    </row>
    <row r="120" spans="1:26" ht="18" customHeight="1" thickBot="1" x14ac:dyDescent="0.25">
      <c r="A120" s="14"/>
      <c r="B120" s="2"/>
      <c r="C120" s="106" t="s">
        <v>1469</v>
      </c>
      <c r="D120" s="547"/>
      <c r="E120" s="547"/>
      <c r="F120" s="547"/>
      <c r="G120" s="547"/>
      <c r="H120" s="547"/>
      <c r="I120" s="6"/>
      <c r="J120" s="6"/>
      <c r="K120" s="785">
        <f>VLOOKUP('Part 1'!$L$16,Datasheet4!$B$6:$GH$333,X120,FALSE)</f>
        <v>2162140.6481916667</v>
      </c>
      <c r="L120" s="868"/>
      <c r="M120" s="2"/>
      <c r="N120" s="2"/>
      <c r="O120" s="785">
        <f>VLOOKUP('Part 1'!$L$16,Datasheet4!$B$6:$GH$333,Y120,FALSE)</f>
        <v>739287.0335331253</v>
      </c>
      <c r="P120" s="786"/>
      <c r="Q120" s="2"/>
      <c r="R120" s="2"/>
      <c r="S120" s="785">
        <f>VLOOKUP('Part 1'!$L$16,Datasheet4!$B$6:$GH$333,Z120,FALSE)</f>
        <v>25627.35946270834</v>
      </c>
      <c r="T120" s="786"/>
      <c r="U120" s="2"/>
      <c r="V120" s="41"/>
      <c r="X120" s="375">
        <v>108</v>
      </c>
      <c r="Y120" s="375">
        <v>109</v>
      </c>
      <c r="Z120" s="375">
        <v>110</v>
      </c>
    </row>
    <row r="121" spans="1:26" ht="18" customHeight="1" thickBot="1" x14ac:dyDescent="0.25">
      <c r="A121" s="14"/>
      <c r="B121" s="2"/>
      <c r="C121" s="547"/>
      <c r="D121" s="547"/>
      <c r="E121" s="547"/>
      <c r="F121" s="547"/>
      <c r="G121" s="547"/>
      <c r="H121" s="547"/>
      <c r="I121" s="6"/>
      <c r="J121" s="6"/>
      <c r="K121" s="6"/>
      <c r="L121" s="6"/>
      <c r="M121" s="6"/>
      <c r="N121" s="6"/>
      <c r="O121" s="586"/>
      <c r="P121" s="586"/>
      <c r="Q121" s="6"/>
      <c r="R121" s="6"/>
      <c r="S121" s="6"/>
      <c r="T121" s="6"/>
      <c r="U121" s="2"/>
      <c r="V121" s="41"/>
    </row>
    <row r="122" spans="1:26" ht="18" customHeight="1" thickBot="1" x14ac:dyDescent="0.25">
      <c r="A122" s="14"/>
      <c r="B122" s="2"/>
      <c r="C122" s="61" t="s">
        <v>1470</v>
      </c>
      <c r="D122" s="61"/>
      <c r="E122" s="6"/>
      <c r="F122" s="6"/>
      <c r="G122" s="6"/>
      <c r="H122" s="6"/>
      <c r="I122" s="6"/>
      <c r="J122" s="6"/>
      <c r="K122" s="785">
        <f>VLOOKUP('Part 1'!$L$16,Datasheet4!$B$6:$GH$333,X122,FALSE)</f>
        <v>2188083</v>
      </c>
      <c r="L122" s="868"/>
      <c r="M122" s="2"/>
      <c r="N122" s="2"/>
      <c r="O122" s="785">
        <f>VLOOKUP('Part 1'!$L$16,Datasheet4!$B$6:$GH$333,Y122,FALSE)</f>
        <v>758041</v>
      </c>
      <c r="P122" s="786"/>
      <c r="Q122" s="2"/>
      <c r="R122" s="2"/>
      <c r="S122" s="785">
        <f>VLOOKUP('Part 1'!$L$16,Datasheet4!$B$6:$GH$333,Z122,FALSE)</f>
        <v>26426</v>
      </c>
      <c r="T122" s="786"/>
      <c r="U122" s="2"/>
      <c r="V122" s="41"/>
      <c r="X122" s="375">
        <v>111</v>
      </c>
      <c r="Y122" s="375">
        <v>112</v>
      </c>
      <c r="Z122" s="375">
        <v>113</v>
      </c>
    </row>
    <row r="123" spans="1:26" ht="18" customHeight="1" thickBot="1" x14ac:dyDescent="0.25">
      <c r="A123" s="14"/>
      <c r="B123" s="2"/>
      <c r="C123" s="61"/>
      <c r="D123" s="61"/>
      <c r="E123" s="6"/>
      <c r="F123" s="6"/>
      <c r="G123" s="6"/>
      <c r="H123" s="6"/>
      <c r="I123" s="6"/>
      <c r="J123" s="6"/>
      <c r="K123" s="63"/>
      <c r="L123" s="52"/>
      <c r="M123" s="6"/>
      <c r="N123" s="6"/>
      <c r="O123" s="63"/>
      <c r="P123" s="52"/>
      <c r="Q123" s="6"/>
      <c r="R123" s="6"/>
      <c r="S123" s="63"/>
      <c r="T123" s="52"/>
      <c r="U123" s="2"/>
      <c r="V123" s="41"/>
    </row>
    <row r="124" spans="1:26" ht="18" customHeight="1" thickBot="1" x14ac:dyDescent="0.25">
      <c r="A124" s="14"/>
      <c r="B124" s="2"/>
      <c r="C124" s="61" t="s">
        <v>1471</v>
      </c>
      <c r="D124" s="61"/>
      <c r="E124" s="6"/>
      <c r="F124" s="6"/>
      <c r="G124" s="6"/>
      <c r="H124" s="6"/>
      <c r="I124" s="6"/>
      <c r="J124" s="6"/>
      <c r="K124" s="785">
        <f>VLOOKUP('Part 1'!$L$16,Datasheet4!$B$6:$GH$333,X124,FALSE)</f>
        <v>-25948</v>
      </c>
      <c r="L124" s="868"/>
      <c r="M124" s="2"/>
      <c r="N124" s="2"/>
      <c r="O124" s="785">
        <f>VLOOKUP('Part 1'!$L$16,Datasheet4!$B$6:$GH$333,Y124,FALSE)</f>
        <v>-18758</v>
      </c>
      <c r="P124" s="786"/>
      <c r="Q124" s="2"/>
      <c r="R124" s="2"/>
      <c r="S124" s="785">
        <f>VLOOKUP('Part 1'!$L$16,Datasheet4!$B$6:$GH$333,Z124,FALSE)</f>
        <v>-800</v>
      </c>
      <c r="T124" s="786"/>
      <c r="U124" s="2"/>
      <c r="V124" s="41"/>
      <c r="X124" s="375">
        <v>114</v>
      </c>
      <c r="Y124" s="375">
        <v>115</v>
      </c>
      <c r="Z124" s="375">
        <v>116</v>
      </c>
    </row>
    <row r="125" spans="1:26" ht="18" customHeight="1" x14ac:dyDescent="0.2">
      <c r="A125" s="14"/>
      <c r="B125" s="2"/>
      <c r="C125" s="61"/>
      <c r="D125" s="61"/>
      <c r="E125" s="6"/>
      <c r="F125" s="6"/>
      <c r="G125" s="6"/>
      <c r="H125" s="6"/>
      <c r="I125" s="6"/>
      <c r="J125" s="6"/>
      <c r="K125" s="6"/>
      <c r="L125" s="6"/>
      <c r="M125" s="6"/>
      <c r="N125" s="6"/>
      <c r="O125" s="6"/>
      <c r="P125" s="6"/>
      <c r="Q125" s="6"/>
      <c r="R125" s="6"/>
      <c r="S125" s="6"/>
      <c r="T125" s="6"/>
      <c r="U125" s="2"/>
      <c r="V125" s="41"/>
    </row>
    <row r="126" spans="1:26" ht="18" customHeight="1" thickBot="1" x14ac:dyDescent="0.25">
      <c r="A126" s="14"/>
      <c r="B126" s="2"/>
      <c r="C126" s="96" t="s">
        <v>1260</v>
      </c>
      <c r="D126" s="61"/>
      <c r="E126" s="6"/>
      <c r="F126" s="6"/>
      <c r="G126" s="6"/>
      <c r="H126" s="6"/>
      <c r="I126" s="6"/>
      <c r="J126" s="6"/>
      <c r="K126" s="6"/>
      <c r="L126" s="6"/>
      <c r="M126" s="6"/>
      <c r="N126" s="6"/>
      <c r="O126" s="6"/>
      <c r="P126" s="6"/>
      <c r="Q126" s="6"/>
      <c r="R126" s="6"/>
      <c r="S126" s="6"/>
      <c r="T126" s="6"/>
      <c r="U126" s="2"/>
      <c r="V126" s="41"/>
    </row>
    <row r="127" spans="1:26" ht="18" customHeight="1" thickBot="1" x14ac:dyDescent="0.25">
      <c r="A127" s="14"/>
      <c r="B127" s="2"/>
      <c r="C127" s="106" t="s">
        <v>1472</v>
      </c>
      <c r="D127" s="547"/>
      <c r="E127" s="547"/>
      <c r="F127" s="547"/>
      <c r="G127" s="547"/>
      <c r="H127" s="547"/>
      <c r="I127" s="6"/>
      <c r="J127" s="6"/>
      <c r="K127" s="785">
        <f>VLOOKUP('Part 1'!$L$16,Datasheet4!$B$6:$GH$333,X127,FALSE)</f>
        <v>143054.04159562499</v>
      </c>
      <c r="L127" s="868"/>
      <c r="M127" s="2"/>
      <c r="N127" s="2"/>
      <c r="O127" s="785">
        <f>VLOOKUP('Part 1'!$L$16,Datasheet4!$B$6:$GH$333,Y127,FALSE)</f>
        <v>40034.329437499997</v>
      </c>
      <c r="P127" s="786"/>
      <c r="Q127" s="2"/>
      <c r="R127" s="2"/>
      <c r="S127" s="785">
        <f>VLOOKUP('Part 1'!$L$16,Datasheet4!$B$6:$GH$333,Z127,FALSE)</f>
        <v>1733.8643106249997</v>
      </c>
      <c r="T127" s="786"/>
      <c r="U127" s="2"/>
      <c r="V127" s="41"/>
      <c r="X127" s="375">
        <v>117</v>
      </c>
      <c r="Y127" s="375">
        <v>118</v>
      </c>
      <c r="Z127" s="375">
        <v>119</v>
      </c>
    </row>
    <row r="128" spans="1:26" ht="18" customHeight="1" thickBot="1" x14ac:dyDescent="0.25">
      <c r="A128" s="14"/>
      <c r="B128" s="2"/>
      <c r="C128" s="547"/>
      <c r="D128" s="547"/>
      <c r="E128" s="547"/>
      <c r="F128" s="547"/>
      <c r="G128" s="547"/>
      <c r="H128" s="547"/>
      <c r="I128" s="6"/>
      <c r="J128" s="6"/>
      <c r="K128" s="6"/>
      <c r="L128" s="6"/>
      <c r="M128" s="6"/>
      <c r="N128" s="6"/>
      <c r="O128" s="586"/>
      <c r="P128" s="586"/>
      <c r="Q128" s="6"/>
      <c r="R128" s="6"/>
      <c r="S128" s="6"/>
      <c r="T128" s="6"/>
      <c r="U128" s="2"/>
      <c r="V128" s="41"/>
    </row>
    <row r="129" spans="1:26" ht="18" customHeight="1" thickBot="1" x14ac:dyDescent="0.25">
      <c r="A129" s="14"/>
      <c r="B129" s="2"/>
      <c r="C129" s="61" t="s">
        <v>1473</v>
      </c>
      <c r="D129" s="61"/>
      <c r="E129" s="6"/>
      <c r="F129" s="6"/>
      <c r="G129" s="6"/>
      <c r="H129" s="6"/>
      <c r="I129" s="6"/>
      <c r="J129" s="6"/>
      <c r="K129" s="785">
        <f>VLOOKUP('Part 1'!$L$16,Datasheet4!$B$6:$GH$333,X129,FALSE)</f>
        <v>131610</v>
      </c>
      <c r="L129" s="868"/>
      <c r="M129" s="2"/>
      <c r="N129" s="2"/>
      <c r="O129" s="785">
        <f>VLOOKUP('Part 1'!$L$16,Datasheet4!$B$6:$GH$333,Y129,FALSE)</f>
        <v>41799</v>
      </c>
      <c r="P129" s="786"/>
      <c r="Q129" s="2"/>
      <c r="R129" s="2"/>
      <c r="S129" s="785">
        <f>VLOOKUP('Part 1'!$L$16,Datasheet4!$B$6:$GH$333,Z129,FALSE)</f>
        <v>1524</v>
      </c>
      <c r="T129" s="786"/>
      <c r="U129" s="2"/>
      <c r="V129" s="41"/>
      <c r="X129" s="375">
        <v>120</v>
      </c>
      <c r="Y129" s="375">
        <v>121</v>
      </c>
      <c r="Z129" s="375">
        <v>122</v>
      </c>
    </row>
    <row r="130" spans="1:26" ht="18" customHeight="1" thickBot="1" x14ac:dyDescent="0.25">
      <c r="A130" s="14"/>
      <c r="B130" s="2"/>
      <c r="C130" s="61"/>
      <c r="D130" s="61"/>
      <c r="E130" s="6"/>
      <c r="F130" s="6"/>
      <c r="G130" s="6"/>
      <c r="H130" s="6"/>
      <c r="I130" s="6"/>
      <c r="J130" s="6"/>
      <c r="K130" s="63"/>
      <c r="L130" s="52"/>
      <c r="M130" s="6"/>
      <c r="N130" s="6"/>
      <c r="O130" s="63"/>
      <c r="P130" s="52"/>
      <c r="Q130" s="6"/>
      <c r="R130" s="6"/>
      <c r="S130" s="63"/>
      <c r="T130" s="52"/>
      <c r="U130" s="2"/>
      <c r="V130" s="41"/>
    </row>
    <row r="131" spans="1:26" ht="18" customHeight="1" thickBot="1" x14ac:dyDescent="0.25">
      <c r="A131" s="14"/>
      <c r="B131" s="2"/>
      <c r="C131" s="61" t="s">
        <v>1474</v>
      </c>
      <c r="D131" s="61"/>
      <c r="E131" s="6"/>
      <c r="F131" s="6"/>
      <c r="G131" s="6"/>
      <c r="H131" s="6"/>
      <c r="I131" s="6"/>
      <c r="J131" s="6"/>
      <c r="K131" s="785">
        <f>VLOOKUP('Part 1'!$L$16,Datasheet4!$B$6:$GH$333,X131,FALSE)</f>
        <v>11456</v>
      </c>
      <c r="L131" s="868"/>
      <c r="M131" s="2"/>
      <c r="N131" s="2"/>
      <c r="O131" s="785">
        <f>VLOOKUP('Part 1'!$L$16,Datasheet4!$B$6:$GH$333,Y131,FALSE)</f>
        <v>-1777</v>
      </c>
      <c r="P131" s="786"/>
      <c r="Q131" s="2"/>
      <c r="R131" s="2"/>
      <c r="S131" s="785">
        <f>VLOOKUP('Part 1'!$L$16,Datasheet4!$B$6:$GH$333,Z131,FALSE)</f>
        <v>198</v>
      </c>
      <c r="T131" s="786"/>
      <c r="U131" s="2"/>
      <c r="V131" s="41"/>
      <c r="X131" s="375">
        <v>123</v>
      </c>
      <c r="Y131" s="375">
        <v>124</v>
      </c>
      <c r="Z131" s="375">
        <v>125</v>
      </c>
    </row>
    <row r="132" spans="1:26" ht="18" customHeight="1" x14ac:dyDescent="0.2">
      <c r="A132" s="14"/>
      <c r="B132" s="2"/>
      <c r="C132" s="61"/>
      <c r="D132" s="61"/>
      <c r="E132" s="6"/>
      <c r="F132" s="6"/>
      <c r="G132" s="6"/>
      <c r="H132" s="6"/>
      <c r="I132" s="6"/>
      <c r="J132" s="6"/>
      <c r="K132" s="6"/>
      <c r="L132" s="6"/>
      <c r="M132" s="6"/>
      <c r="N132" s="6"/>
      <c r="O132" s="6"/>
      <c r="P132" s="6"/>
      <c r="Q132" s="6"/>
      <c r="R132" s="6"/>
      <c r="S132" s="6"/>
      <c r="T132" s="6"/>
      <c r="U132" s="2"/>
      <c r="V132" s="41"/>
    </row>
    <row r="133" spans="1:26" ht="18" customHeight="1" thickBot="1" x14ac:dyDescent="0.25">
      <c r="A133" s="14"/>
      <c r="B133" s="2"/>
      <c r="C133" s="96" t="s">
        <v>1261</v>
      </c>
      <c r="D133" s="61"/>
      <c r="E133" s="6"/>
      <c r="F133" s="6"/>
      <c r="G133" s="6"/>
      <c r="H133" s="6"/>
      <c r="I133" s="6"/>
      <c r="J133" s="6"/>
      <c r="K133" s="6"/>
      <c r="L133" s="6"/>
      <c r="M133" s="6"/>
      <c r="N133" s="6"/>
      <c r="O133" s="6"/>
      <c r="P133" s="6"/>
      <c r="Q133" s="6"/>
      <c r="R133" s="6"/>
      <c r="S133" s="6"/>
      <c r="T133" s="6"/>
      <c r="U133" s="2"/>
      <c r="V133" s="41"/>
    </row>
    <row r="134" spans="1:26" ht="18" customHeight="1" thickBot="1" x14ac:dyDescent="0.25">
      <c r="A134" s="14"/>
      <c r="B134" s="2"/>
      <c r="C134" s="106" t="s">
        <v>1475</v>
      </c>
      <c r="D134" s="547"/>
      <c r="E134" s="547"/>
      <c r="F134" s="547"/>
      <c r="G134" s="547"/>
      <c r="H134" s="547"/>
      <c r="I134" s="6"/>
      <c r="J134" s="6"/>
      <c r="K134" s="785">
        <f>VLOOKUP('Part 1'!$L$16,Datasheet4!$B$6:$GH$333,X134,FALSE)</f>
        <v>8778093.263691254</v>
      </c>
      <c r="L134" s="868"/>
      <c r="M134" s="2"/>
      <c r="N134" s="2"/>
      <c r="O134" s="785">
        <f>VLOOKUP('Part 1'!$L$16,Datasheet4!$B$6:$GH$333,Y134,FALSE)</f>
        <v>2960692.9865787495</v>
      </c>
      <c r="P134" s="786"/>
      <c r="Q134" s="2"/>
      <c r="R134" s="2"/>
      <c r="S134" s="785">
        <f>VLOOKUP('Part 1'!$L$16,Datasheet4!$B$6:$GH$333,Z134,FALSE)</f>
        <v>73777.163271666635</v>
      </c>
      <c r="T134" s="786"/>
      <c r="U134" s="2"/>
      <c r="V134" s="41"/>
      <c r="X134" s="375">
        <v>126</v>
      </c>
      <c r="Y134" s="375">
        <v>127</v>
      </c>
      <c r="Z134" s="375">
        <v>128</v>
      </c>
    </row>
    <row r="135" spans="1:26" ht="18" customHeight="1" thickBot="1" x14ac:dyDescent="0.25">
      <c r="A135" s="14"/>
      <c r="B135" s="2"/>
      <c r="C135" s="547"/>
      <c r="D135" s="547"/>
      <c r="E135" s="547"/>
      <c r="F135" s="547"/>
      <c r="G135" s="547"/>
      <c r="H135" s="547"/>
      <c r="I135" s="6"/>
      <c r="J135" s="6"/>
      <c r="K135" s="6"/>
      <c r="L135" s="6"/>
      <c r="M135" s="6"/>
      <c r="N135" s="6"/>
      <c r="O135" s="586"/>
      <c r="P135" s="586"/>
      <c r="Q135" s="6"/>
      <c r="R135" s="6"/>
      <c r="S135" s="6"/>
      <c r="T135" s="6"/>
      <c r="U135" s="2"/>
      <c r="V135" s="41"/>
    </row>
    <row r="136" spans="1:26" ht="18" customHeight="1" thickBot="1" x14ac:dyDescent="0.25">
      <c r="A136" s="14"/>
      <c r="B136" s="2"/>
      <c r="C136" s="61" t="s">
        <v>1476</v>
      </c>
      <c r="D136" s="61"/>
      <c r="E136" s="6"/>
      <c r="F136" s="6"/>
      <c r="G136" s="6"/>
      <c r="H136" s="6"/>
      <c r="I136" s="6"/>
      <c r="J136" s="6"/>
      <c r="K136" s="785">
        <f>VLOOKUP('Part 1'!$L$16,Datasheet4!$B$6:$GH$333,X136,FALSE)</f>
        <v>9682300</v>
      </c>
      <c r="L136" s="868"/>
      <c r="M136" s="2"/>
      <c r="N136" s="2"/>
      <c r="O136" s="785">
        <f>VLOOKUP('Part 1'!$L$16,Datasheet4!$B$6:$GH$333,Y136,FALSE)</f>
        <v>3501981</v>
      </c>
      <c r="P136" s="786"/>
      <c r="Q136" s="2"/>
      <c r="R136" s="2"/>
      <c r="S136" s="785">
        <f>VLOOKUP('Part 1'!$L$16,Datasheet4!$B$6:$GH$333,Z136,FALSE)</f>
        <v>77558</v>
      </c>
      <c r="T136" s="786"/>
      <c r="U136" s="2"/>
      <c r="V136" s="41"/>
      <c r="X136" s="375">
        <v>129</v>
      </c>
      <c r="Y136" s="375">
        <v>130</v>
      </c>
      <c r="Z136" s="375">
        <v>131</v>
      </c>
    </row>
    <row r="137" spans="1:26" ht="18" customHeight="1" thickBot="1" x14ac:dyDescent="0.25">
      <c r="A137" s="14"/>
      <c r="B137" s="2"/>
      <c r="C137" s="61"/>
      <c r="D137" s="61"/>
      <c r="E137" s="6"/>
      <c r="F137" s="6"/>
      <c r="G137" s="6"/>
      <c r="H137" s="6"/>
      <c r="I137" s="6"/>
      <c r="J137" s="6"/>
      <c r="K137" s="63"/>
      <c r="L137" s="52"/>
      <c r="M137" s="6"/>
      <c r="N137" s="6"/>
      <c r="O137" s="63"/>
      <c r="P137" s="52"/>
      <c r="Q137" s="6"/>
      <c r="R137" s="6"/>
      <c r="S137" s="63"/>
      <c r="T137" s="52"/>
      <c r="U137" s="2"/>
      <c r="V137" s="41"/>
    </row>
    <row r="138" spans="1:26" ht="18" customHeight="1" thickBot="1" x14ac:dyDescent="0.25">
      <c r="A138" s="14"/>
      <c r="B138" s="2"/>
      <c r="C138" s="61" t="s">
        <v>1477</v>
      </c>
      <c r="D138" s="61"/>
      <c r="E138" s="6"/>
      <c r="F138" s="6"/>
      <c r="G138" s="6"/>
      <c r="H138" s="6"/>
      <c r="I138" s="6"/>
      <c r="J138" s="6"/>
      <c r="K138" s="785">
        <f>VLOOKUP('Part 1'!$L$16,Datasheet4!$B$6:$GH$333,X138,FALSE)</f>
        <v>-904207</v>
      </c>
      <c r="L138" s="868"/>
      <c r="M138" s="2"/>
      <c r="N138" s="2"/>
      <c r="O138" s="785">
        <f>VLOOKUP('Part 1'!$L$16,Datasheet4!$B$6:$GH$333,Y138,FALSE)</f>
        <v>-541292</v>
      </c>
      <c r="P138" s="786"/>
      <c r="Q138" s="2"/>
      <c r="R138" s="2"/>
      <c r="S138" s="785">
        <f>VLOOKUP('Part 1'!$L$16,Datasheet4!$B$6:$GH$333,Z138,FALSE)</f>
        <v>-3773</v>
      </c>
      <c r="T138" s="786"/>
      <c r="U138" s="2"/>
      <c r="V138" s="41"/>
      <c r="X138" s="375">
        <v>132</v>
      </c>
      <c r="Y138" s="375">
        <v>133</v>
      </c>
      <c r="Z138" s="375">
        <v>134</v>
      </c>
    </row>
    <row r="139" spans="1:26" ht="18" customHeight="1" x14ac:dyDescent="0.2">
      <c r="A139" s="14"/>
      <c r="B139" s="2"/>
      <c r="C139" s="61"/>
      <c r="D139" s="61"/>
      <c r="E139" s="6"/>
      <c r="F139" s="6"/>
      <c r="G139" s="6"/>
      <c r="H139" s="6"/>
      <c r="I139" s="6"/>
      <c r="J139" s="6"/>
      <c r="K139" s="609"/>
      <c r="L139" s="6"/>
      <c r="M139" s="6"/>
      <c r="N139" s="6"/>
      <c r="O139" s="6"/>
      <c r="P139" s="6"/>
      <c r="Q139" s="6"/>
      <c r="R139" s="6"/>
      <c r="S139" s="6"/>
      <c r="T139" s="6"/>
      <c r="U139" s="2"/>
      <c r="V139" s="41"/>
    </row>
    <row r="140" spans="1:26" ht="18" customHeight="1" thickBot="1" x14ac:dyDescent="0.25">
      <c r="A140" s="14"/>
      <c r="B140" s="2"/>
      <c r="C140" s="96" t="s">
        <v>1262</v>
      </c>
      <c r="D140" s="61"/>
      <c r="E140" s="6"/>
      <c r="F140" s="6"/>
      <c r="G140" s="6"/>
      <c r="H140" s="6"/>
      <c r="I140" s="6"/>
      <c r="J140" s="6"/>
      <c r="K140" s="869"/>
      <c r="L140" s="870"/>
      <c r="M140" s="6"/>
      <c r="N140" s="6"/>
      <c r="O140" s="871"/>
      <c r="P140" s="872"/>
      <c r="Q140" s="6"/>
      <c r="R140" s="6"/>
      <c r="S140" s="873"/>
      <c r="T140" s="874"/>
      <c r="U140" s="2"/>
      <c r="V140" s="41"/>
    </row>
    <row r="141" spans="1:26" ht="18" customHeight="1" thickBot="1" x14ac:dyDescent="0.25">
      <c r="A141" s="14"/>
      <c r="B141" s="2"/>
      <c r="C141" s="106" t="s">
        <v>1478</v>
      </c>
      <c r="D141" s="547"/>
      <c r="E141" s="547"/>
      <c r="F141" s="547"/>
      <c r="G141" s="547"/>
      <c r="H141" s="547"/>
      <c r="I141" s="6"/>
      <c r="J141" s="6"/>
      <c r="K141" s="785">
        <f>VLOOKUP('Part 1'!$L$16,Datasheet4!$B$6:$GH$333,X141,FALSE)</f>
        <v>48100259.264718764</v>
      </c>
      <c r="L141" s="868"/>
      <c r="M141" s="2"/>
      <c r="N141" s="2"/>
      <c r="O141" s="785">
        <f>VLOOKUP('Part 1'!$L$16,Datasheet4!$B$6:$GH$333,Y141,FALSE)</f>
        <v>17297294.206145827</v>
      </c>
      <c r="P141" s="786"/>
      <c r="Q141" s="2"/>
      <c r="R141" s="2"/>
      <c r="S141" s="785">
        <f>VLOOKUP('Part 1'!$L$16,Datasheet4!$B$6:$GH$333,Z141,FALSE)</f>
        <v>330328.59188541659</v>
      </c>
      <c r="T141" s="786"/>
      <c r="U141" s="2"/>
      <c r="V141" s="41"/>
      <c r="X141" s="375">
        <v>135</v>
      </c>
      <c r="Y141" s="375">
        <v>136</v>
      </c>
      <c r="Z141" s="375">
        <v>137</v>
      </c>
    </row>
    <row r="142" spans="1:26" ht="18" customHeight="1" thickBot="1" x14ac:dyDescent="0.25">
      <c r="A142" s="14"/>
      <c r="B142" s="2"/>
      <c r="C142" s="106"/>
      <c r="D142" s="547"/>
      <c r="E142" s="547"/>
      <c r="F142" s="547"/>
      <c r="G142" s="547"/>
      <c r="H142" s="547"/>
      <c r="I142" s="6"/>
      <c r="J142" s="587"/>
      <c r="K142" s="336"/>
      <c r="L142" s="336"/>
      <c r="M142" s="584"/>
      <c r="N142" s="584"/>
      <c r="O142" s="336"/>
      <c r="P142" s="337"/>
      <c r="Q142" s="584"/>
      <c r="R142" s="584"/>
      <c r="S142" s="336"/>
      <c r="T142" s="337"/>
      <c r="U142" s="2"/>
      <c r="V142" s="41"/>
    </row>
    <row r="143" spans="1:26" ht="18" customHeight="1" thickBot="1" x14ac:dyDescent="0.25">
      <c r="A143" s="14"/>
      <c r="B143" s="2"/>
      <c r="C143" s="106" t="s">
        <v>1479</v>
      </c>
      <c r="D143" s="547"/>
      <c r="E143" s="547"/>
      <c r="F143" s="547"/>
      <c r="G143" s="547"/>
      <c r="H143" s="547"/>
      <c r="I143" s="6"/>
      <c r="J143" s="6"/>
      <c r="K143" s="803">
        <f>VLOOKUP('Part 1'!$L$16,Datasheet4!$B$6:$GH$333,X143,FALSE)</f>
        <v>1329622.6055466661</v>
      </c>
      <c r="L143" s="783"/>
      <c r="M143" s="2"/>
      <c r="N143" s="2"/>
      <c r="O143" s="803">
        <f>VLOOKUP('Part 1'!$L$16,Datasheet4!$B$6:$GH$333,Y143,FALSE)</f>
        <v>528113.79914187524</v>
      </c>
      <c r="P143" s="783"/>
      <c r="Q143" s="2"/>
      <c r="R143" s="2"/>
      <c r="S143" s="803">
        <f>VLOOKUP('Part 1'!$L$16,Datasheet4!$B$6:$GH$333,Z143,FALSE)</f>
        <v>307.89229062499965</v>
      </c>
      <c r="T143" s="783"/>
      <c r="U143" s="2"/>
      <c r="V143" s="41"/>
      <c r="X143" s="375">
        <v>138</v>
      </c>
      <c r="Y143" s="375">
        <v>139</v>
      </c>
      <c r="Z143" s="375">
        <v>140</v>
      </c>
    </row>
    <row r="144" spans="1:26" ht="18" customHeight="1" thickBot="1" x14ac:dyDescent="0.25">
      <c r="A144" s="14"/>
      <c r="B144" s="2"/>
      <c r="C144" s="547"/>
      <c r="D144" s="547"/>
      <c r="E144" s="547"/>
      <c r="F144" s="547"/>
      <c r="G144" s="547"/>
      <c r="H144" s="547"/>
      <c r="I144" s="6"/>
      <c r="J144" s="6"/>
      <c r="K144" s="6"/>
      <c r="L144" s="6"/>
      <c r="M144" s="6"/>
      <c r="N144" s="6"/>
      <c r="O144" s="586"/>
      <c r="P144" s="586"/>
      <c r="Q144" s="6"/>
      <c r="R144" s="6"/>
      <c r="S144" s="6"/>
      <c r="T144" s="6"/>
      <c r="U144" s="2"/>
      <c r="V144" s="41"/>
    </row>
    <row r="145" spans="1:26" ht="18" customHeight="1" thickBot="1" x14ac:dyDescent="0.25">
      <c r="A145" s="14"/>
      <c r="B145" s="2"/>
      <c r="C145" s="61" t="s">
        <v>1480</v>
      </c>
      <c r="D145" s="61"/>
      <c r="E145" s="6"/>
      <c r="F145" s="6"/>
      <c r="G145" s="6"/>
      <c r="H145" s="6"/>
      <c r="I145" s="6"/>
      <c r="J145" s="6"/>
      <c r="K145" s="785">
        <f>VLOOKUP('Part 1'!$L$16,Datasheet4!$B$6:$GH$333,X145,FALSE)</f>
        <v>50761848</v>
      </c>
      <c r="L145" s="868"/>
      <c r="M145" s="2"/>
      <c r="N145" s="2"/>
      <c r="O145" s="785">
        <f>VLOOKUP('Part 1'!$L$16,Datasheet4!$B$6:$GH$333,Y145,FALSE)</f>
        <v>18086389</v>
      </c>
      <c r="P145" s="786"/>
      <c r="Q145" s="2"/>
      <c r="R145" s="2"/>
      <c r="S145" s="785">
        <f>VLOOKUP('Part 1'!$L$16,Datasheet4!$B$6:$GH$333,Z145,FALSE)</f>
        <v>359166</v>
      </c>
      <c r="T145" s="786"/>
      <c r="U145" s="2"/>
      <c r="V145" s="41"/>
      <c r="X145" s="375">
        <v>141</v>
      </c>
      <c r="Y145" s="375">
        <v>142</v>
      </c>
      <c r="Z145" s="375">
        <v>143</v>
      </c>
    </row>
    <row r="146" spans="1:26" ht="18" customHeight="1" x14ac:dyDescent="0.2">
      <c r="A146" s="14"/>
      <c r="B146" s="2"/>
      <c r="C146" s="61" t="s">
        <v>1481</v>
      </c>
      <c r="D146" s="61"/>
      <c r="E146" s="6"/>
      <c r="F146" s="6"/>
      <c r="G146" s="6"/>
      <c r="H146" s="6"/>
      <c r="I146" s="6"/>
      <c r="J146" s="587"/>
      <c r="K146" s="336"/>
      <c r="L146" s="336"/>
      <c r="M146" s="584"/>
      <c r="N146" s="584"/>
      <c r="O146" s="336"/>
      <c r="P146" s="337"/>
      <c r="Q146" s="584"/>
      <c r="R146" s="584"/>
      <c r="S146" s="336"/>
      <c r="T146" s="337"/>
      <c r="U146" s="2"/>
      <c r="V146" s="41"/>
    </row>
    <row r="147" spans="1:26" ht="18" customHeight="1" thickBot="1" x14ac:dyDescent="0.25">
      <c r="A147" s="14"/>
      <c r="B147" s="2"/>
      <c r="C147" s="61"/>
      <c r="D147" s="61"/>
      <c r="E147" s="6"/>
      <c r="F147" s="6"/>
      <c r="G147" s="6"/>
      <c r="H147" s="6"/>
      <c r="I147" s="6"/>
      <c r="J147" s="6"/>
      <c r="K147" s="63"/>
      <c r="L147" s="52"/>
      <c r="M147" s="6"/>
      <c r="N147" s="6"/>
      <c r="O147" s="63"/>
      <c r="P147" s="52"/>
      <c r="Q147" s="6"/>
      <c r="R147" s="6"/>
      <c r="S147" s="63"/>
      <c r="T147" s="52"/>
      <c r="U147" s="2"/>
      <c r="V147" s="41"/>
    </row>
    <row r="148" spans="1:26" ht="18" customHeight="1" thickBot="1" x14ac:dyDescent="0.25">
      <c r="A148" s="14"/>
      <c r="B148" s="2"/>
      <c r="C148" s="61" t="s">
        <v>1482</v>
      </c>
      <c r="D148" s="61"/>
      <c r="E148" s="6"/>
      <c r="F148" s="6"/>
      <c r="G148" s="6"/>
      <c r="H148" s="6"/>
      <c r="I148" s="6"/>
      <c r="J148" s="6"/>
      <c r="K148" s="785">
        <f>VLOOKUP('Part 1'!$L$16,Datasheet4!$B$6:$GH$333,X148,FALSE)</f>
        <v>-1331967</v>
      </c>
      <c r="L148" s="868"/>
      <c r="M148" s="2"/>
      <c r="N148" s="2"/>
      <c r="O148" s="785">
        <f>VLOOKUP('Part 1'!$L$16,Datasheet4!$B$6:$GH$333,Y148,FALSE)</f>
        <v>-260973</v>
      </c>
      <c r="P148" s="786"/>
      <c r="Q148" s="2"/>
      <c r="R148" s="2"/>
      <c r="S148" s="785">
        <f>VLOOKUP('Part 1'!$L$16,Datasheet4!$B$6:$GH$333,Z148,FALSE)</f>
        <v>-28529</v>
      </c>
      <c r="T148" s="786"/>
      <c r="U148" s="2"/>
      <c r="V148" s="41"/>
      <c r="X148" s="375">
        <v>144</v>
      </c>
      <c r="Y148" s="375">
        <v>145</v>
      </c>
      <c r="Z148" s="375">
        <v>146</v>
      </c>
    </row>
    <row r="149" spans="1:26" ht="18" customHeight="1" x14ac:dyDescent="0.2">
      <c r="A149" s="14"/>
      <c r="B149" s="2"/>
      <c r="C149" s="61"/>
      <c r="D149" s="61"/>
      <c r="E149" s="6"/>
      <c r="F149" s="6"/>
      <c r="G149" s="6"/>
      <c r="H149" s="6"/>
      <c r="I149" s="6"/>
      <c r="J149" s="6"/>
      <c r="K149" s="6"/>
      <c r="L149" s="6"/>
      <c r="M149" s="6"/>
      <c r="N149" s="6"/>
      <c r="O149" s="6"/>
      <c r="P149" s="6"/>
      <c r="Q149" s="6"/>
      <c r="R149" s="6"/>
      <c r="S149" s="6"/>
      <c r="T149" s="6"/>
      <c r="U149" s="2"/>
      <c r="V149" s="41"/>
    </row>
    <row r="150" spans="1:26" ht="18" customHeight="1" thickBot="1" x14ac:dyDescent="0.25">
      <c r="A150" s="14"/>
      <c r="B150" s="2"/>
      <c r="C150" s="96" t="s">
        <v>1256</v>
      </c>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106" t="s">
        <v>1483</v>
      </c>
      <c r="D151" s="547"/>
      <c r="E151" s="547"/>
      <c r="F151" s="547"/>
      <c r="G151" s="547"/>
      <c r="H151" s="547"/>
      <c r="I151" s="6"/>
      <c r="J151" s="6"/>
      <c r="K151" s="785">
        <f>VLOOKUP('Part 1'!$L$16,Datasheet4!$B$6:$GH$333,X151,FALSE)</f>
        <v>10053394.896638338</v>
      </c>
      <c r="L151" s="868"/>
      <c r="M151" s="2"/>
      <c r="N151" s="2"/>
      <c r="O151" s="785">
        <f>VLOOKUP('Part 1'!$L$16,Datasheet4!$B$6:$GH$333,Y151,FALSE)</f>
        <v>2473656.5269999993</v>
      </c>
      <c r="P151" s="786"/>
      <c r="Q151" s="2"/>
      <c r="R151" s="2"/>
      <c r="S151" s="785">
        <f>VLOOKUP('Part 1'!$L$16,Datasheet4!$B$6:$GH$333,Z151,FALSE)</f>
        <v>121306.21409083331</v>
      </c>
      <c r="T151" s="786"/>
      <c r="U151" s="2"/>
      <c r="V151" s="41"/>
      <c r="X151" s="375">
        <v>147</v>
      </c>
      <c r="Y151" s="375">
        <v>148</v>
      </c>
      <c r="Z151" s="375">
        <v>149</v>
      </c>
    </row>
    <row r="152" spans="1:26" ht="18" customHeight="1" thickBot="1" x14ac:dyDescent="0.25">
      <c r="A152" s="14"/>
      <c r="B152" s="2"/>
      <c r="C152" s="547"/>
      <c r="D152" s="547"/>
      <c r="E152" s="547"/>
      <c r="F152" s="547"/>
      <c r="G152" s="547"/>
      <c r="H152" s="547"/>
      <c r="I152" s="6"/>
      <c r="J152" s="6"/>
      <c r="K152" s="6"/>
      <c r="L152" s="6"/>
      <c r="M152" s="6"/>
      <c r="N152" s="6"/>
      <c r="O152" s="586"/>
      <c r="P152" s="586"/>
      <c r="Q152" s="6"/>
      <c r="R152" s="6"/>
      <c r="S152" s="6"/>
      <c r="T152" s="6"/>
      <c r="U152" s="2"/>
      <c r="V152" s="41"/>
    </row>
    <row r="153" spans="1:26" ht="18" customHeight="1" thickBot="1" x14ac:dyDescent="0.25">
      <c r="A153" s="14"/>
      <c r="B153" s="2"/>
      <c r="C153" s="61" t="s">
        <v>1484</v>
      </c>
      <c r="D153" s="61"/>
      <c r="E153" s="6"/>
      <c r="F153" s="6"/>
      <c r="G153" s="6"/>
      <c r="H153" s="6"/>
      <c r="I153" s="6"/>
      <c r="J153" s="6"/>
      <c r="K153" s="785">
        <f>VLOOKUP('Part 1'!$L$16,Datasheet4!$B$6:$GH$333,X153,FALSE)</f>
        <v>10885318</v>
      </c>
      <c r="L153" s="868"/>
      <c r="M153" s="2"/>
      <c r="N153" s="2"/>
      <c r="O153" s="785">
        <f>VLOOKUP('Part 1'!$L$16,Datasheet4!$B$6:$GH$333,Y153,FALSE)</f>
        <v>2612751</v>
      </c>
      <c r="P153" s="786"/>
      <c r="Q153" s="2"/>
      <c r="R153" s="2"/>
      <c r="S153" s="785">
        <f>VLOOKUP('Part 1'!$L$16,Datasheet4!$B$6:$GH$333,Z153,FALSE)</f>
        <v>129989</v>
      </c>
      <c r="T153" s="786"/>
      <c r="U153" s="2"/>
      <c r="V153" s="41"/>
      <c r="X153" s="375">
        <v>150</v>
      </c>
      <c r="Y153" s="375">
        <v>151</v>
      </c>
      <c r="Z153" s="375">
        <v>152</v>
      </c>
    </row>
    <row r="154" spans="1:26" ht="18" customHeight="1" x14ac:dyDescent="0.2">
      <c r="A154" s="14"/>
      <c r="B154" s="2"/>
      <c r="C154" s="61" t="s">
        <v>1485</v>
      </c>
      <c r="D154" s="61"/>
      <c r="E154" s="6"/>
      <c r="F154" s="6"/>
      <c r="G154" s="6"/>
      <c r="H154" s="6"/>
      <c r="I154" s="6"/>
      <c r="J154" s="6"/>
      <c r="K154" s="63"/>
      <c r="L154" s="52"/>
      <c r="M154" s="6"/>
      <c r="N154" s="6"/>
      <c r="O154" s="63"/>
      <c r="P154" s="52"/>
      <c r="Q154" s="6"/>
      <c r="R154" s="6"/>
      <c r="S154" s="63"/>
      <c r="T154" s="52"/>
      <c r="U154" s="2"/>
      <c r="V154" s="41"/>
    </row>
    <row r="155" spans="1:26" ht="18" customHeight="1" thickBot="1" x14ac:dyDescent="0.25">
      <c r="A155" s="14"/>
      <c r="B155" s="2"/>
      <c r="C155" s="61"/>
      <c r="D155" s="61"/>
      <c r="E155" s="6"/>
      <c r="F155" s="6"/>
      <c r="G155" s="6"/>
      <c r="H155" s="6"/>
      <c r="I155" s="6"/>
      <c r="J155" s="6"/>
      <c r="K155" s="63"/>
      <c r="L155" s="52"/>
      <c r="M155" s="6"/>
      <c r="N155" s="6"/>
      <c r="O155" s="63"/>
      <c r="P155" s="52"/>
      <c r="Q155" s="6"/>
      <c r="R155" s="6"/>
      <c r="S155" s="63"/>
      <c r="T155" s="52"/>
      <c r="U155" s="2"/>
      <c r="V155" s="41"/>
    </row>
    <row r="156" spans="1:26" ht="18" customHeight="1" thickBot="1" x14ac:dyDescent="0.25">
      <c r="A156" s="14"/>
      <c r="B156" s="2"/>
      <c r="C156" s="61" t="s">
        <v>1486</v>
      </c>
      <c r="D156" s="61"/>
      <c r="E156" s="6"/>
      <c r="F156" s="6"/>
      <c r="G156" s="6"/>
      <c r="H156" s="6"/>
      <c r="I156" s="6"/>
      <c r="J156" s="6"/>
      <c r="K156" s="785">
        <f>VLOOKUP('Part 1'!$L$16,Datasheet4!$B$6:$GH$333,X156,FALSE)</f>
        <v>-831930</v>
      </c>
      <c r="L156" s="868"/>
      <c r="M156" s="2"/>
      <c r="N156" s="2"/>
      <c r="O156" s="785">
        <f>VLOOKUP('Part 1'!$L$16,Datasheet4!$B$6:$GH$333,Y156,FALSE)</f>
        <v>-139090</v>
      </c>
      <c r="P156" s="786"/>
      <c r="Q156" s="2"/>
      <c r="R156" s="2"/>
      <c r="S156" s="785">
        <f>VLOOKUP('Part 1'!$L$16,Datasheet4!$B$6:$GH$333,Z156,FALSE)</f>
        <v>-8687</v>
      </c>
      <c r="T156" s="786"/>
      <c r="U156" s="2"/>
      <c r="V156" s="41"/>
      <c r="X156" s="375">
        <v>153</v>
      </c>
      <c r="Y156" s="375">
        <v>154</v>
      </c>
      <c r="Z156" s="375">
        <v>155</v>
      </c>
    </row>
    <row r="157" spans="1:26" ht="18" customHeight="1" x14ac:dyDescent="0.2">
      <c r="A157" s="14"/>
      <c r="B157" s="2"/>
      <c r="C157" s="61"/>
      <c r="D157" s="61"/>
      <c r="E157" s="6"/>
      <c r="F157" s="6"/>
      <c r="G157" s="6"/>
      <c r="H157" s="6"/>
      <c r="I157" s="6"/>
      <c r="J157" s="6"/>
      <c r="K157" s="336"/>
      <c r="L157" s="336"/>
      <c r="M157" s="584"/>
      <c r="N157" s="584"/>
      <c r="O157" s="336"/>
      <c r="P157" s="337"/>
      <c r="Q157" s="584"/>
      <c r="R157" s="584"/>
      <c r="S157" s="336"/>
      <c r="T157" s="337"/>
      <c r="U157" s="2"/>
      <c r="V157" s="41"/>
    </row>
    <row r="158" spans="1:26" ht="18" customHeight="1" thickBot="1" x14ac:dyDescent="0.25">
      <c r="A158" s="14"/>
      <c r="B158" s="2"/>
      <c r="C158" s="96" t="s">
        <v>1487</v>
      </c>
      <c r="D158" s="61"/>
      <c r="E158" s="6"/>
      <c r="F158" s="6"/>
      <c r="G158" s="6"/>
      <c r="H158" s="6"/>
      <c r="I158" s="6"/>
      <c r="J158" s="6"/>
      <c r="K158" s="336"/>
      <c r="L158" s="336"/>
      <c r="M158" s="584"/>
      <c r="N158" s="584"/>
      <c r="O158" s="336"/>
      <c r="P158" s="337"/>
      <c r="Q158" s="584"/>
      <c r="R158" s="584"/>
      <c r="S158" s="336"/>
      <c r="T158" s="337"/>
      <c r="U158" s="2"/>
      <c r="V158" s="41"/>
    </row>
    <row r="159" spans="1:26" ht="18" customHeight="1" thickBot="1" x14ac:dyDescent="0.25">
      <c r="A159" s="14"/>
      <c r="B159" s="2"/>
      <c r="C159" s="61" t="s">
        <v>1488</v>
      </c>
      <c r="D159" s="61"/>
      <c r="E159" s="6"/>
      <c r="F159" s="6"/>
      <c r="G159" s="6"/>
      <c r="H159" s="6"/>
      <c r="I159" s="6"/>
      <c r="J159" s="6"/>
      <c r="K159" s="803">
        <f>VLOOKUP('Part 1'!$L$16,Datasheet4!$B$6:$GH$333,X159,FALSE)</f>
        <v>0</v>
      </c>
      <c r="L159" s="783"/>
      <c r="M159" s="2"/>
      <c r="N159" s="2"/>
      <c r="O159" s="803">
        <f>VLOOKUP('Part 1'!$L$16,Datasheet4!$B$6:$GH$333,Y159,FALSE)</f>
        <v>0</v>
      </c>
      <c r="P159" s="783"/>
      <c r="Q159" s="2"/>
      <c r="R159" s="2"/>
      <c r="S159" s="803">
        <f>VLOOKUP('Part 1'!$L$16,Datasheet4!$B$6:$GH$333,Z159,FALSE)</f>
        <v>0</v>
      </c>
      <c r="T159" s="783"/>
      <c r="U159" s="2"/>
      <c r="V159" s="41"/>
      <c r="X159" s="375">
        <v>156</v>
      </c>
      <c r="Y159" s="375">
        <v>157</v>
      </c>
      <c r="Z159" s="375">
        <v>158</v>
      </c>
    </row>
    <row r="160" spans="1:26" ht="18" customHeight="1" thickBot="1" x14ac:dyDescent="0.25">
      <c r="A160" s="14"/>
      <c r="B160" s="2"/>
      <c r="C160" s="61"/>
      <c r="D160" s="61"/>
      <c r="E160" s="6"/>
      <c r="F160" s="6"/>
      <c r="G160" s="6"/>
      <c r="H160" s="6"/>
      <c r="I160" s="6"/>
      <c r="J160" s="587"/>
      <c r="K160" s="336"/>
      <c r="L160" s="336"/>
      <c r="M160" s="584"/>
      <c r="N160" s="584"/>
      <c r="O160" s="336"/>
      <c r="P160" s="337"/>
      <c r="Q160" s="584"/>
      <c r="R160" s="584"/>
      <c r="S160" s="336"/>
      <c r="T160" s="337"/>
      <c r="U160" s="2"/>
      <c r="V160" s="41"/>
    </row>
    <row r="161" spans="1:26" ht="18" customHeight="1" thickBot="1" x14ac:dyDescent="0.25">
      <c r="A161" s="14"/>
      <c r="B161" s="2"/>
      <c r="C161" s="61" t="s">
        <v>1489</v>
      </c>
      <c r="D161" s="61"/>
      <c r="E161" s="6"/>
      <c r="F161" s="6"/>
      <c r="G161" s="6"/>
      <c r="H161" s="6"/>
      <c r="I161" s="6"/>
      <c r="J161" s="6"/>
      <c r="K161" s="803">
        <f>VLOOKUP('Part 1'!$L$16,Datasheet4!$B$6:$GH$333,X161,FALSE)</f>
        <v>0</v>
      </c>
      <c r="L161" s="783"/>
      <c r="M161" s="2"/>
      <c r="N161" s="2"/>
      <c r="O161" s="803">
        <f>VLOOKUP('Part 1'!$L$16,Datasheet4!$B$6:$GH$333,Y161,FALSE)</f>
        <v>0</v>
      </c>
      <c r="P161" s="783"/>
      <c r="Q161" s="2"/>
      <c r="R161" s="2"/>
      <c r="S161" s="803">
        <f>VLOOKUP('Part 1'!$L$16,Datasheet4!$B$6:$GH$333,Z161,FALSE)</f>
        <v>0</v>
      </c>
      <c r="T161" s="783"/>
      <c r="U161" s="2"/>
      <c r="V161" s="41"/>
      <c r="X161" s="375">
        <v>159</v>
      </c>
      <c r="Y161" s="375">
        <v>160</v>
      </c>
      <c r="Z161" s="375">
        <v>161</v>
      </c>
    </row>
    <row r="162" spans="1:26" ht="18" customHeight="1" thickBot="1" x14ac:dyDescent="0.25">
      <c r="A162" s="14"/>
      <c r="B162" s="2"/>
      <c r="C162" s="61"/>
      <c r="D162" s="61"/>
      <c r="E162" s="6"/>
      <c r="F162" s="6"/>
      <c r="G162" s="6"/>
      <c r="H162" s="6"/>
      <c r="I162" s="6"/>
      <c r="J162" s="587"/>
      <c r="K162" s="336"/>
      <c r="L162" s="336"/>
      <c r="M162" s="584"/>
      <c r="N162" s="584"/>
      <c r="O162" s="336"/>
      <c r="P162" s="337"/>
      <c r="Q162" s="584"/>
      <c r="R162" s="584"/>
      <c r="S162" s="336"/>
      <c r="T162" s="337"/>
      <c r="U162" s="2"/>
      <c r="V162" s="41"/>
    </row>
    <row r="163" spans="1:26" ht="18" customHeight="1" thickBot="1" x14ac:dyDescent="0.25">
      <c r="A163" s="14"/>
      <c r="B163" s="2"/>
      <c r="C163" s="61" t="s">
        <v>1812</v>
      </c>
      <c r="D163" s="61"/>
      <c r="E163" s="6"/>
      <c r="F163" s="6"/>
      <c r="G163" s="6"/>
      <c r="H163" s="6"/>
      <c r="I163" s="6"/>
      <c r="J163" s="6"/>
      <c r="K163" s="803">
        <f>VLOOKUP('Part 1'!$L$16,Datasheet4!$B$6:$GH$333,X163,FALSE)</f>
        <v>0</v>
      </c>
      <c r="L163" s="783"/>
      <c r="M163" s="2"/>
      <c r="N163" s="2"/>
      <c r="O163" s="803">
        <f>VLOOKUP('Part 1'!$L$16,Datasheet4!$B$6:$GH$333,Y163,FALSE)</f>
        <v>0</v>
      </c>
      <c r="P163" s="783"/>
      <c r="Q163" s="2"/>
      <c r="R163" s="2"/>
      <c r="S163" s="803">
        <f>VLOOKUP('Part 1'!$L$16,Datasheet4!$B$6:$GH$333,Z163,FALSE)</f>
        <v>0</v>
      </c>
      <c r="T163" s="783"/>
      <c r="U163" s="2"/>
      <c r="V163" s="41"/>
      <c r="X163" s="375">
        <v>162</v>
      </c>
      <c r="Y163" s="375">
        <v>163</v>
      </c>
      <c r="Z163" s="375">
        <v>164</v>
      </c>
    </row>
    <row r="164" spans="1:26" ht="18" customHeight="1" x14ac:dyDescent="0.2">
      <c r="A164" s="14"/>
      <c r="B164" s="2"/>
      <c r="C164" s="61"/>
      <c r="D164" s="61"/>
      <c r="E164" s="6"/>
      <c r="F164" s="6"/>
      <c r="G164" s="6"/>
      <c r="H164" s="6"/>
      <c r="I164" s="6"/>
      <c r="J164" s="6"/>
      <c r="K164" s="336"/>
      <c r="L164" s="337"/>
      <c r="M164" s="584"/>
      <c r="N164" s="584"/>
      <c r="O164" s="336"/>
      <c r="P164" s="337"/>
      <c r="Q164" s="584"/>
      <c r="R164" s="584"/>
      <c r="S164" s="336"/>
      <c r="T164" s="337"/>
      <c r="U164" s="2"/>
      <c r="V164" s="41"/>
    </row>
    <row r="165" spans="1:26" ht="18" customHeight="1" thickBot="1" x14ac:dyDescent="0.3">
      <c r="A165" s="14"/>
      <c r="B165" s="2"/>
      <c r="C165" s="92" t="s">
        <v>1490</v>
      </c>
      <c r="D165" s="61"/>
      <c r="E165" s="6"/>
      <c r="F165" s="6"/>
      <c r="G165" s="6"/>
      <c r="H165" s="6"/>
      <c r="I165" s="6"/>
      <c r="J165" s="6"/>
      <c r="K165" s="6"/>
      <c r="L165" s="6"/>
      <c r="M165" s="6"/>
      <c r="N165" s="6"/>
      <c r="O165" s="586"/>
      <c r="P165" s="586"/>
      <c r="Q165" s="6"/>
      <c r="R165" s="6"/>
      <c r="S165" s="6"/>
      <c r="T165" s="6"/>
      <c r="U165" s="2"/>
      <c r="V165" s="41"/>
    </row>
    <row r="166" spans="1:26" ht="18" customHeight="1" thickBot="1" x14ac:dyDescent="0.25">
      <c r="A166" s="14"/>
      <c r="B166" s="2"/>
      <c r="C166" s="61" t="s">
        <v>1491</v>
      </c>
      <c r="D166" s="61"/>
      <c r="E166" s="6"/>
      <c r="F166" s="6"/>
      <c r="G166" s="6"/>
      <c r="H166" s="6"/>
      <c r="I166" s="6"/>
      <c r="J166" s="6"/>
      <c r="K166" s="785">
        <f>VLOOKUP('Part 1'!$L$16,Datasheet4!$B$6:$GH$333,X166,FALSE)</f>
        <v>358263728.35530508</v>
      </c>
      <c r="L166" s="868"/>
      <c r="M166" s="2"/>
      <c r="N166" s="2"/>
      <c r="O166" s="785">
        <f>VLOOKUP('Part 1'!$L$16,Datasheet4!$B$6:$GH$333,Y166,FALSE)</f>
        <v>110055303.2944406</v>
      </c>
      <c r="P166" s="786"/>
      <c r="Q166" s="2"/>
      <c r="R166" s="2"/>
      <c r="S166" s="785">
        <f>VLOOKUP('Part 1'!$L$16,Datasheet4!$B$6:$GH$333,Z166,FALSE)</f>
        <v>2944193.2703791684</v>
      </c>
      <c r="T166" s="786"/>
      <c r="U166" s="2"/>
      <c r="V166" s="41"/>
      <c r="X166" s="614">
        <v>165</v>
      </c>
      <c r="Y166" s="375">
        <v>166</v>
      </c>
      <c r="Z166" s="614">
        <v>167</v>
      </c>
    </row>
    <row r="167" spans="1:26" ht="18" customHeight="1" thickBot="1" x14ac:dyDescent="0.25">
      <c r="A167" s="14"/>
      <c r="B167" s="2"/>
      <c r="C167" s="61"/>
      <c r="D167" s="61"/>
      <c r="E167" s="6"/>
      <c r="F167" s="6"/>
      <c r="G167" s="6"/>
      <c r="H167" s="6"/>
      <c r="I167" s="6"/>
      <c r="J167" s="6"/>
      <c r="K167" s="6"/>
      <c r="L167" s="6"/>
      <c r="M167" s="6"/>
      <c r="N167" s="6"/>
      <c r="O167" s="586"/>
      <c r="P167" s="586"/>
      <c r="Q167" s="6"/>
      <c r="R167" s="6"/>
      <c r="S167" s="6"/>
      <c r="T167" s="6"/>
      <c r="U167" s="2"/>
      <c r="V167" s="41"/>
      <c r="Y167" s="614"/>
    </row>
    <row r="168" spans="1:26" ht="18" customHeight="1" thickBot="1" x14ac:dyDescent="0.25">
      <c r="A168" s="14"/>
      <c r="B168" s="2"/>
      <c r="C168" s="61" t="s">
        <v>1492</v>
      </c>
      <c r="D168" s="61"/>
      <c r="E168" s="6"/>
      <c r="F168" s="6"/>
      <c r="G168" s="6"/>
      <c r="H168" s="6"/>
      <c r="I168" s="6"/>
      <c r="J168" s="6"/>
      <c r="K168" s="785">
        <f>VLOOKUP('Part 1'!$L$16,Datasheet4!$B$6:$GH$333,X168,FALSE)</f>
        <v>355127060</v>
      </c>
      <c r="L168" s="868"/>
      <c r="M168" s="2"/>
      <c r="N168" s="2"/>
      <c r="O168" s="785">
        <f>VLOOKUP('Part 1'!$L$16,Datasheet4!$B$6:$GH$333,Y168,FALSE)</f>
        <v>108379543</v>
      </c>
      <c r="P168" s="786"/>
      <c r="Q168" s="2"/>
      <c r="R168" s="2"/>
      <c r="S168" s="785">
        <f>VLOOKUP('Part 1'!$L$16,Datasheet4!$B$6:$GH$333,Z168,FALSE)</f>
        <v>2926286</v>
      </c>
      <c r="T168" s="786"/>
      <c r="U168" s="2"/>
      <c r="V168" s="41"/>
      <c r="X168" s="375">
        <v>168</v>
      </c>
      <c r="Y168" s="375">
        <v>169</v>
      </c>
      <c r="Z168" s="375">
        <v>170</v>
      </c>
    </row>
    <row r="169" spans="1:26" ht="18" customHeight="1" thickBot="1" x14ac:dyDescent="0.25">
      <c r="A169" s="14"/>
      <c r="B169" s="2"/>
      <c r="C169" s="61"/>
      <c r="D169" s="61"/>
      <c r="E169" s="6"/>
      <c r="F169" s="6"/>
      <c r="G169" s="6"/>
      <c r="H169" s="6"/>
      <c r="I169" s="6"/>
      <c r="J169" s="6"/>
      <c r="K169" s="63"/>
      <c r="L169" s="52"/>
      <c r="M169" s="6"/>
      <c r="N169" s="6"/>
      <c r="O169" s="63"/>
      <c r="P169" s="52"/>
      <c r="Q169" s="6"/>
      <c r="R169" s="6"/>
      <c r="S169" s="63"/>
      <c r="T169" s="52"/>
      <c r="U169" s="2"/>
      <c r="V169" s="41"/>
    </row>
    <row r="170" spans="1:26" ht="18" customHeight="1" thickBot="1" x14ac:dyDescent="0.25">
      <c r="A170" s="14"/>
      <c r="B170" s="2"/>
      <c r="C170" s="61" t="s">
        <v>1493</v>
      </c>
      <c r="D170" s="61"/>
      <c r="E170" s="6"/>
      <c r="F170" s="6"/>
      <c r="G170" s="6"/>
      <c r="H170" s="6"/>
      <c r="I170" s="6"/>
      <c r="J170" s="6"/>
      <c r="K170" s="785">
        <f>VLOOKUP('Part 1'!$L$16,Datasheet4!$B$6:$GH$333,X170,FALSE)</f>
        <v>3136663</v>
      </c>
      <c r="L170" s="868"/>
      <c r="M170" s="2"/>
      <c r="N170" s="2"/>
      <c r="O170" s="785">
        <f>VLOOKUP('Part 1'!$L$16,Datasheet4!$B$6:$GH$333,Y170,FALSE)</f>
        <v>1675764</v>
      </c>
      <c r="P170" s="786"/>
      <c r="Q170" s="2"/>
      <c r="R170" s="2"/>
      <c r="S170" s="785">
        <f>VLOOKUP('Part 1'!$L$16,Datasheet4!$B$6:$GH$333,Z170,FALSE)</f>
        <v>17904</v>
      </c>
      <c r="T170" s="786"/>
      <c r="U170" s="2"/>
      <c r="V170" s="41"/>
      <c r="X170" s="375">
        <v>171</v>
      </c>
      <c r="Y170" s="375">
        <v>172</v>
      </c>
      <c r="Z170" s="375">
        <v>173</v>
      </c>
    </row>
    <row r="171" spans="1:26" ht="18" customHeight="1" x14ac:dyDescent="0.2">
      <c r="A171" s="14"/>
      <c r="B171" s="2"/>
      <c r="C171" s="61"/>
      <c r="D171" s="61"/>
      <c r="E171" s="6"/>
      <c r="F171" s="6"/>
      <c r="G171" s="6"/>
      <c r="H171" s="6"/>
      <c r="I171" s="6"/>
      <c r="J171" s="6"/>
      <c r="K171" s="336"/>
      <c r="L171" s="337"/>
      <c r="M171" s="587"/>
      <c r="N171" s="587"/>
      <c r="O171" s="336"/>
      <c r="P171" s="337"/>
      <c r="Q171" s="587"/>
      <c r="R171" s="587"/>
      <c r="S171" s="336"/>
      <c r="T171" s="337"/>
      <c r="U171" s="2"/>
      <c r="V171" s="41"/>
    </row>
    <row r="172" spans="1:26" ht="18" customHeight="1" thickBot="1" x14ac:dyDescent="0.3">
      <c r="A172" s="14"/>
      <c r="B172" s="2"/>
      <c r="C172" s="92" t="s">
        <v>1263</v>
      </c>
      <c r="D172" s="61"/>
      <c r="E172" s="6"/>
      <c r="F172" s="6"/>
      <c r="G172" s="6"/>
      <c r="H172" s="6"/>
      <c r="I172" s="6"/>
      <c r="J172" s="6"/>
      <c r="K172" s="6"/>
      <c r="L172" s="6"/>
      <c r="M172" s="6"/>
      <c r="N172" s="6"/>
      <c r="O172" s="586"/>
      <c r="P172" s="586"/>
      <c r="Q172" s="6"/>
      <c r="R172" s="6"/>
      <c r="S172" s="6"/>
      <c r="T172" s="6"/>
      <c r="U172" s="2"/>
      <c r="V172" s="41"/>
    </row>
    <row r="173" spans="1:26" ht="18" customHeight="1" thickBot="1" x14ac:dyDescent="0.25">
      <c r="A173" s="14"/>
      <c r="B173" s="2"/>
      <c r="C173" s="61" t="s">
        <v>1494</v>
      </c>
      <c r="D173" s="61"/>
      <c r="E173" s="6"/>
      <c r="F173" s="6"/>
      <c r="G173" s="6"/>
      <c r="H173" s="6"/>
      <c r="I173" s="6"/>
      <c r="J173" s="6"/>
      <c r="K173" s="785">
        <f>VLOOKUP('Part 1'!$L$16,Datasheet4!$B$6:$GH$333,X173,FALSE)</f>
        <v>8978413.9295833334</v>
      </c>
      <c r="L173" s="868"/>
      <c r="M173" s="2"/>
      <c r="N173" s="2"/>
      <c r="O173" s="785">
        <f>VLOOKUP('Part 1'!$L$16,Datasheet4!$B$6:$GH$333,Y173,FALSE)</f>
        <v>1607212.1904166667</v>
      </c>
      <c r="P173" s="786"/>
      <c r="Q173" s="2"/>
      <c r="R173" s="2"/>
      <c r="S173" s="785">
        <f>VLOOKUP('Part 1'!$L$16,Datasheet4!$B$6:$GH$333,Z173,FALSE)</f>
        <v>29331.521666666671</v>
      </c>
      <c r="T173" s="786"/>
      <c r="U173" s="2"/>
      <c r="V173" s="41"/>
      <c r="X173" s="614">
        <v>174</v>
      </c>
      <c r="Y173" s="375">
        <v>175</v>
      </c>
      <c r="Z173" s="614">
        <v>176</v>
      </c>
    </row>
    <row r="174" spans="1:26" ht="18" customHeight="1" thickBot="1" x14ac:dyDescent="0.25">
      <c r="A174" s="14"/>
      <c r="B174" s="2"/>
      <c r="C174" s="61"/>
      <c r="D174" s="61"/>
      <c r="E174" s="6"/>
      <c r="F174" s="6"/>
      <c r="G174" s="6"/>
      <c r="H174" s="6"/>
      <c r="I174" s="6"/>
      <c r="J174" s="6"/>
      <c r="K174" s="6"/>
      <c r="L174" s="6"/>
      <c r="M174" s="6"/>
      <c r="N174" s="6"/>
      <c r="O174" s="586"/>
      <c r="P174" s="586"/>
      <c r="Q174" s="6"/>
      <c r="R174" s="6"/>
      <c r="S174" s="6"/>
      <c r="T174" s="6"/>
      <c r="U174" s="2"/>
      <c r="V174" s="41"/>
      <c r="Y174" s="614"/>
    </row>
    <row r="175" spans="1:26" ht="18" customHeight="1" thickBot="1" x14ac:dyDescent="0.25">
      <c r="A175" s="14"/>
      <c r="B175" s="2"/>
      <c r="C175" s="61" t="s">
        <v>1495</v>
      </c>
      <c r="D175" s="61"/>
      <c r="E175" s="6"/>
      <c r="F175" s="6"/>
      <c r="G175" s="6"/>
      <c r="H175" s="6"/>
      <c r="I175" s="6"/>
      <c r="J175" s="6"/>
      <c r="K175" s="785">
        <f>VLOOKUP('Part 1'!$L$16,Datasheet4!$B$6:$GH$333,X175,FALSE)</f>
        <v>6518039.3799999999</v>
      </c>
      <c r="L175" s="868"/>
      <c r="M175" s="2"/>
      <c r="N175" s="2"/>
      <c r="O175" s="785">
        <f>VLOOKUP('Part 1'!$L$16,Datasheet4!$B$6:$GH$333,Y175,FALSE)</f>
        <v>943057.04</v>
      </c>
      <c r="P175" s="786"/>
      <c r="Q175" s="2"/>
      <c r="R175" s="2"/>
      <c r="S175" s="785">
        <f>VLOOKUP('Part 1'!$L$16,Datasheet4!$B$6:$GH$333,Z175,FALSE)</f>
        <v>18318.580000000002</v>
      </c>
      <c r="T175" s="786"/>
      <c r="U175" s="2"/>
      <c r="V175" s="41"/>
      <c r="X175" s="375">
        <v>177</v>
      </c>
      <c r="Y175" s="375">
        <v>178</v>
      </c>
      <c r="Z175" s="375">
        <v>179</v>
      </c>
    </row>
    <row r="176" spans="1:26" ht="18" customHeight="1" thickBot="1" x14ac:dyDescent="0.25">
      <c r="A176" s="14"/>
      <c r="B176" s="2"/>
      <c r="C176" s="61"/>
      <c r="D176" s="61"/>
      <c r="E176" s="6"/>
      <c r="F176" s="6"/>
      <c r="G176" s="6"/>
      <c r="H176" s="6"/>
      <c r="I176" s="6"/>
      <c r="J176" s="6"/>
      <c r="K176" s="63"/>
      <c r="L176" s="52"/>
      <c r="M176" s="6"/>
      <c r="N176" s="6"/>
      <c r="O176" s="63"/>
      <c r="P176" s="52"/>
      <c r="Q176" s="6"/>
      <c r="R176" s="6"/>
      <c r="S176" s="63"/>
      <c r="T176" s="52"/>
      <c r="U176" s="2"/>
      <c r="V176" s="41"/>
    </row>
    <row r="177" spans="1:26" ht="18" customHeight="1" thickBot="1" x14ac:dyDescent="0.25">
      <c r="A177" s="14"/>
      <c r="B177" s="2"/>
      <c r="C177" s="61" t="s">
        <v>1496</v>
      </c>
      <c r="D177" s="61"/>
      <c r="E177" s="6"/>
      <c r="F177" s="6"/>
      <c r="G177" s="6"/>
      <c r="H177" s="6"/>
      <c r="I177" s="6"/>
      <c r="J177" s="6"/>
      <c r="K177" s="785">
        <f>VLOOKUP('Part 1'!$L$16,Datasheet4!$B$6:$GH$333,X177,FALSE)</f>
        <v>2460373</v>
      </c>
      <c r="L177" s="868"/>
      <c r="M177" s="2"/>
      <c r="N177" s="2"/>
      <c r="O177" s="785">
        <f>VLOOKUP('Part 1'!$L$16,Datasheet4!$B$6:$GH$333,Y177,FALSE)</f>
        <v>664155</v>
      </c>
      <c r="P177" s="786"/>
      <c r="Q177" s="2"/>
      <c r="R177" s="2"/>
      <c r="S177" s="785">
        <f>VLOOKUP('Part 1'!$L$16,Datasheet4!$B$6:$GH$333,Z177,FALSE)</f>
        <v>11014</v>
      </c>
      <c r="T177" s="786"/>
      <c r="U177" s="2"/>
      <c r="V177" s="41"/>
      <c r="X177" s="375">
        <v>180</v>
      </c>
      <c r="Y177" s="375">
        <v>181</v>
      </c>
      <c r="Z177" s="375">
        <v>182</v>
      </c>
    </row>
    <row r="178" spans="1:26" ht="18" customHeight="1" thickBot="1" x14ac:dyDescent="0.25">
      <c r="A178" s="14"/>
      <c r="B178" s="2"/>
      <c r="C178" s="61"/>
      <c r="D178" s="61"/>
      <c r="E178" s="6"/>
      <c r="F178" s="6"/>
      <c r="G178" s="6"/>
      <c r="H178" s="6"/>
      <c r="I178" s="6"/>
      <c r="J178" s="6"/>
      <c r="K178" s="6"/>
      <c r="L178" s="6"/>
      <c r="M178" s="6"/>
      <c r="N178" s="6"/>
      <c r="O178" s="6"/>
      <c r="P178" s="6"/>
      <c r="Q178" s="6"/>
      <c r="R178" s="6"/>
      <c r="S178" s="6"/>
      <c r="T178" s="6"/>
      <c r="U178" s="2"/>
      <c r="V178" s="41"/>
    </row>
    <row r="179" spans="1:26" ht="18" customHeight="1" x14ac:dyDescent="0.25">
      <c r="A179" s="14"/>
      <c r="B179" s="2"/>
      <c r="C179" s="588"/>
      <c r="D179" s="589"/>
      <c r="E179" s="590"/>
      <c r="F179" s="590"/>
      <c r="G179" s="590"/>
      <c r="H179" s="590"/>
      <c r="I179" s="590"/>
      <c r="J179" s="590"/>
      <c r="K179" s="590"/>
      <c r="L179" s="591"/>
      <c r="M179" s="591"/>
      <c r="N179" s="591"/>
      <c r="O179" s="592"/>
      <c r="P179" s="590"/>
      <c r="Q179" s="591"/>
      <c r="R179" s="591"/>
      <c r="S179" s="590"/>
      <c r="T179" s="590"/>
      <c r="U179" s="593"/>
      <c r="V179" s="41"/>
    </row>
    <row r="180" spans="1:26" ht="18" customHeight="1" thickBot="1" x14ac:dyDescent="0.3">
      <c r="A180" s="14"/>
      <c r="B180" s="2"/>
      <c r="C180" s="594" t="s">
        <v>1264</v>
      </c>
      <c r="D180" s="560"/>
      <c r="E180" s="95"/>
      <c r="F180" s="95"/>
      <c r="G180" s="95"/>
      <c r="H180" s="95"/>
      <c r="I180" s="95"/>
      <c r="J180" s="95"/>
      <c r="K180" s="95"/>
      <c r="L180" s="595"/>
      <c r="M180" s="595"/>
      <c r="N180" s="595"/>
      <c r="O180" s="596"/>
      <c r="P180" s="95"/>
      <c r="Q180" s="595"/>
      <c r="R180" s="595"/>
      <c r="S180" s="95"/>
      <c r="T180" s="597"/>
      <c r="U180" s="598"/>
      <c r="V180" s="41"/>
    </row>
    <row r="181" spans="1:26" ht="18" customHeight="1" thickBot="1" x14ac:dyDescent="0.3">
      <c r="A181" s="14"/>
      <c r="B181" s="2"/>
      <c r="C181" s="599" t="s">
        <v>1497</v>
      </c>
      <c r="D181" s="560"/>
      <c r="E181" s="95"/>
      <c r="F181" s="95"/>
      <c r="G181" s="95"/>
      <c r="H181" s="95"/>
      <c r="I181" s="95"/>
      <c r="J181" s="95"/>
      <c r="K181" s="785">
        <f>VLOOKUP('Part 1'!$L$16,Datasheet4!$B$6:$GH$333,X181,FALSE)</f>
        <v>1300617434</v>
      </c>
      <c r="L181" s="868"/>
      <c r="M181" s="595"/>
      <c r="N181" s="595"/>
      <c r="O181" s="785">
        <f>VLOOKUP('Part 1'!$L$16,Datasheet4!$B$6:$GH$333,Y181,FALSE)</f>
        <v>331443435</v>
      </c>
      <c r="P181" s="786"/>
      <c r="Q181" s="595"/>
      <c r="R181" s="595"/>
      <c r="S181" s="785">
        <f>VLOOKUP('Part 1'!$L$16,Datasheet4!$B$6:$GH$333,Z181,FALSE)</f>
        <v>13056253</v>
      </c>
      <c r="T181" s="786"/>
      <c r="U181" s="600"/>
      <c r="V181" s="41"/>
      <c r="X181" s="375">
        <v>183</v>
      </c>
      <c r="Y181" s="375">
        <v>184</v>
      </c>
      <c r="Z181" s="375">
        <v>185</v>
      </c>
    </row>
    <row r="182" spans="1:26" ht="18" customHeight="1" thickBot="1" x14ac:dyDescent="0.3">
      <c r="A182" s="14"/>
      <c r="B182" s="2"/>
      <c r="C182" s="601"/>
      <c r="D182" s="602"/>
      <c r="E182" s="603"/>
      <c r="F182" s="603"/>
      <c r="G182" s="603"/>
      <c r="H182" s="603"/>
      <c r="I182" s="603"/>
      <c r="J182" s="603"/>
      <c r="K182" s="603"/>
      <c r="L182" s="604"/>
      <c r="M182" s="604"/>
      <c r="N182" s="604"/>
      <c r="O182" s="605"/>
      <c r="P182" s="603"/>
      <c r="Q182" s="604"/>
      <c r="R182" s="604"/>
      <c r="S182" s="603"/>
      <c r="T182" s="603"/>
      <c r="U182" s="606"/>
      <c r="V182" s="41"/>
    </row>
    <row r="183" spans="1:26" ht="18" customHeight="1" thickBot="1" x14ac:dyDescent="0.3">
      <c r="A183" s="15"/>
      <c r="B183" s="16"/>
      <c r="C183" s="155"/>
      <c r="D183" s="155"/>
      <c r="E183" s="290"/>
      <c r="F183" s="290"/>
      <c r="G183" s="290"/>
      <c r="H183" s="290"/>
      <c r="I183" s="290"/>
      <c r="J183" s="290"/>
      <c r="K183" s="290"/>
      <c r="L183" s="641"/>
      <c r="M183" s="641"/>
      <c r="N183" s="641"/>
      <c r="O183" s="642"/>
      <c r="P183" s="290"/>
      <c r="Q183" s="641"/>
      <c r="R183" s="641"/>
      <c r="S183" s="290"/>
      <c r="T183" s="290"/>
      <c r="U183" s="16"/>
      <c r="V183" s="42"/>
    </row>
  </sheetData>
  <mergeCells count="235">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O71:P71"/>
    <mergeCell ref="G32:H32"/>
    <mergeCell ref="K35:L35"/>
    <mergeCell ref="K49:L49"/>
    <mergeCell ref="O56:P56"/>
    <mergeCell ref="O58:P58"/>
    <mergeCell ref="G61:H61"/>
    <mergeCell ref="G64:H64"/>
    <mergeCell ref="G66:H66"/>
    <mergeCell ref="O69:P69"/>
    <mergeCell ref="G69:H69"/>
    <mergeCell ref="G79:H79"/>
    <mergeCell ref="G76:H76"/>
    <mergeCell ref="K76:L76"/>
    <mergeCell ref="K33:L33"/>
    <mergeCell ref="G71:H71"/>
    <mergeCell ref="O32:P32"/>
    <mergeCell ref="S58:T58"/>
    <mergeCell ref="K69:L69"/>
    <mergeCell ref="O94:P94"/>
    <mergeCell ref="K54:L54"/>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O73:P73"/>
    <mergeCell ref="S91:T91"/>
    <mergeCell ref="S64:T64"/>
    <mergeCell ref="K51:L51"/>
    <mergeCell ref="O66:P66"/>
    <mergeCell ref="S66:T66"/>
    <mergeCell ref="K61:L61"/>
    <mergeCell ref="K64:L64"/>
    <mergeCell ref="K66:L66"/>
    <mergeCell ref="S61:T61"/>
    <mergeCell ref="K91:L91"/>
    <mergeCell ref="O91:P91"/>
    <mergeCell ref="S71:T71"/>
    <mergeCell ref="S73:T73"/>
    <mergeCell ref="O64:P64"/>
    <mergeCell ref="K79:L79"/>
    <mergeCell ref="S54:T54"/>
    <mergeCell ref="O54:P54"/>
    <mergeCell ref="K56:L56"/>
    <mergeCell ref="S69:T69"/>
    <mergeCell ref="K117:L117"/>
    <mergeCell ref="K112:L112"/>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68:L168"/>
    <mergeCell ref="O168:P168"/>
    <mergeCell ref="S168:T168"/>
    <mergeCell ref="K170:L170"/>
    <mergeCell ref="O170:P170"/>
    <mergeCell ref="S170:T170"/>
    <mergeCell ref="K153:L153"/>
    <mergeCell ref="O153:P153"/>
    <mergeCell ref="S153:T153"/>
    <mergeCell ref="K156:L156"/>
    <mergeCell ref="O156:P156"/>
    <mergeCell ref="S156:T156"/>
    <mergeCell ref="K166:L166"/>
    <mergeCell ref="O166:P166"/>
    <mergeCell ref="S166:T166"/>
    <mergeCell ref="K159:L159"/>
    <mergeCell ref="O159:P159"/>
    <mergeCell ref="S159:T159"/>
    <mergeCell ref="K161:L161"/>
    <mergeCell ref="O161:P161"/>
    <mergeCell ref="S161:T161"/>
    <mergeCell ref="K163:L163"/>
    <mergeCell ref="O163:P163"/>
    <mergeCell ref="S163:T163"/>
    <mergeCell ref="K181:L181"/>
    <mergeCell ref="O181:P181"/>
    <mergeCell ref="S181:T181"/>
    <mergeCell ref="K173:L173"/>
    <mergeCell ref="O173:P173"/>
    <mergeCell ref="S173:T173"/>
    <mergeCell ref="K175:L175"/>
    <mergeCell ref="O175:P175"/>
    <mergeCell ref="S175:T175"/>
    <mergeCell ref="K177:L177"/>
    <mergeCell ref="O177:P177"/>
    <mergeCell ref="S177:T177"/>
  </mergeCells>
  <phoneticPr fontId="6" type="noConversion"/>
  <printOptions horizontalCentered="1"/>
  <pageMargins left="0.59055118110236227" right="0.59055118110236227" top="0.59055118110236227" bottom="0.59055118110236227" header="0.51181102362204722" footer="0.51181102362204722"/>
  <pageSetup paperSize="9" scale="56" fitToHeight="0" orientation="portrait" r:id="rId1"/>
  <headerFooter alignWithMargins="0"/>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111"/>
  <sheetViews>
    <sheetView showGridLines="0" zoomScale="80" zoomScaleNormal="80" zoomScaleSheetLayoutView="70" workbookViewId="0">
      <selection activeCell="B1" sqref="B1"/>
    </sheetView>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customWidth="1"/>
    <col min="32" max="32" width="10.7109375" style="415" hidden="1" customWidth="1"/>
    <col min="33" max="33" width="9.140625" style="415" hidden="1" customWidth="1"/>
    <col min="34" max="34" width="16.28515625" style="415" hidden="1" customWidth="1"/>
    <col min="35" max="36" width="9.140625" style="415" hidden="1" customWidth="1"/>
    <col min="37" max="37" width="9.140625" style="610" hidden="1" customWidth="1"/>
    <col min="38" max="16384" width="9.140625" style="5"/>
  </cols>
  <sheetData>
    <row r="1" spans="1:31" x14ac:dyDescent="0.2">
      <c r="A1" s="11"/>
      <c r="B1" s="12"/>
      <c r="C1" s="12"/>
      <c r="D1" s="12"/>
      <c r="E1" s="12"/>
      <c r="F1" s="59">
        <f>+'Part 1'!F1</f>
        <v>327</v>
      </c>
      <c r="G1" s="12"/>
      <c r="H1" s="12"/>
      <c r="I1" s="12"/>
      <c r="J1" s="12"/>
      <c r="K1" s="12"/>
      <c r="L1" s="12"/>
      <c r="M1" s="12"/>
      <c r="N1" s="12"/>
      <c r="O1" s="12"/>
      <c r="P1" s="12"/>
      <c r="Q1" s="12"/>
      <c r="R1" s="12"/>
      <c r="S1" s="12"/>
      <c r="T1" s="703"/>
      <c r="U1" s="703"/>
      <c r="V1" s="703"/>
      <c r="W1" s="12"/>
      <c r="X1" s="12"/>
      <c r="Y1" s="12"/>
      <c r="Z1" s="12"/>
      <c r="AA1" s="12"/>
      <c r="AB1" s="12"/>
      <c r="AC1" s="12"/>
      <c r="AD1" s="13"/>
      <c r="AE1" s="33"/>
    </row>
    <row r="2" spans="1:31" ht="15.75" x14ac:dyDescent="0.25">
      <c r="A2" s="752" t="s">
        <v>39</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6"/>
      <c r="AE2" s="409"/>
    </row>
    <row r="3" spans="1:31" ht="15.75" x14ac:dyDescent="0.25">
      <c r="A3" s="704" t="s">
        <v>1379</v>
      </c>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705"/>
      <c r="AC3" s="705"/>
      <c r="AD3" s="706"/>
      <c r="AE3" s="409"/>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853" t="s">
        <v>45</v>
      </c>
      <c r="D9" s="853"/>
      <c r="E9" s="853"/>
      <c r="F9" s="853"/>
      <c r="G9" s="853"/>
      <c r="H9" s="853"/>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923" t="s">
        <v>4</v>
      </c>
      <c r="D10" s="924"/>
      <c r="E10" s="924"/>
      <c r="F10" s="924"/>
      <c r="G10" s="924"/>
      <c r="H10" s="924"/>
      <c r="I10" s="924"/>
      <c r="J10" s="924"/>
      <c r="K10" s="924"/>
      <c r="L10" s="924"/>
      <c r="M10" s="924"/>
      <c r="N10" s="924"/>
      <c r="O10" s="924"/>
      <c r="P10" s="924"/>
      <c r="Q10" s="924"/>
      <c r="R10" s="924"/>
      <c r="S10" s="924"/>
      <c r="T10" s="924"/>
      <c r="U10" s="924"/>
      <c r="V10" s="924"/>
      <c r="W10" s="924"/>
      <c r="X10" s="924"/>
      <c r="Y10" s="924"/>
      <c r="Z10" s="924"/>
      <c r="AA10" s="924"/>
      <c r="AB10" s="52"/>
      <c r="AC10" s="6"/>
      <c r="AD10" s="8"/>
      <c r="AE10" s="6"/>
    </row>
    <row r="11" spans="1:31" x14ac:dyDescent="0.2">
      <c r="A11" s="7"/>
      <c r="B11" s="6"/>
      <c r="C11" s="924"/>
      <c r="D11" s="924"/>
      <c r="E11" s="924"/>
      <c r="F11" s="924"/>
      <c r="G11" s="924"/>
      <c r="H11" s="924"/>
      <c r="I11" s="924"/>
      <c r="J11" s="924"/>
      <c r="K11" s="924"/>
      <c r="L11" s="924"/>
      <c r="M11" s="924"/>
      <c r="N11" s="924"/>
      <c r="O11" s="924"/>
      <c r="P11" s="924"/>
      <c r="Q11" s="924"/>
      <c r="R11" s="924"/>
      <c r="S11" s="924"/>
      <c r="T11" s="924"/>
      <c r="U11" s="924"/>
      <c r="V11" s="924"/>
      <c r="W11" s="924"/>
      <c r="X11" s="924"/>
      <c r="Y11" s="924"/>
      <c r="Z11" s="924"/>
      <c r="AA11" s="924"/>
      <c r="AB11" s="52"/>
      <c r="AC11" s="6"/>
      <c r="AD11" s="8"/>
      <c r="AE11" s="6"/>
    </row>
    <row r="12" spans="1:31" x14ac:dyDescent="0.2">
      <c r="A12" s="7"/>
      <c r="B12" s="6"/>
      <c r="C12" s="6"/>
      <c r="D12" s="6"/>
      <c r="E12" s="6"/>
      <c r="F12" s="6"/>
      <c r="G12" s="6"/>
      <c r="H12" s="6"/>
      <c r="I12" s="6"/>
      <c r="J12" s="6"/>
      <c r="K12" s="736" t="s">
        <v>22</v>
      </c>
      <c r="L12" s="736"/>
      <c r="M12" s="90"/>
      <c r="N12" s="52"/>
      <c r="O12" s="736" t="s">
        <v>23</v>
      </c>
      <c r="P12" s="736"/>
      <c r="Q12" s="90"/>
      <c r="R12" s="90"/>
      <c r="S12" s="736" t="s">
        <v>24</v>
      </c>
      <c r="T12" s="736"/>
      <c r="U12" s="90"/>
      <c r="V12" s="90"/>
      <c r="W12" s="736" t="s">
        <v>25</v>
      </c>
      <c r="X12" s="736"/>
      <c r="Y12" s="90"/>
      <c r="Z12" s="90"/>
      <c r="AA12" s="736" t="s">
        <v>5</v>
      </c>
      <c r="AB12" s="736"/>
      <c r="AC12" s="6"/>
      <c r="AD12" s="8"/>
      <c r="AE12" s="6"/>
    </row>
    <row r="13" spans="1:31" ht="15.75" customHeight="1" x14ac:dyDescent="0.25">
      <c r="A13" s="7"/>
      <c r="B13" s="6"/>
      <c r="C13" s="6"/>
      <c r="D13" s="6"/>
      <c r="E13" s="6"/>
      <c r="F13" s="6"/>
      <c r="G13" s="6"/>
      <c r="H13" s="6"/>
      <c r="I13" s="6"/>
      <c r="J13" s="6"/>
      <c r="K13" s="897" t="s">
        <v>1045</v>
      </c>
      <c r="L13" s="924"/>
      <c r="M13" s="324"/>
      <c r="N13" s="320"/>
      <c r="O13" s="897" t="str">
        <f>VLOOKUP('Part 1'!$L$16,Datasheet1!$C$6:$T$332,16,FALSE)</f>
        <v>-</v>
      </c>
      <c r="P13" s="924"/>
      <c r="Q13" s="324"/>
      <c r="R13" s="325"/>
      <c r="S13" s="897" t="str">
        <f>VLOOKUP('Part 1'!$L$16,Datasheet1!$C$6:$T$332,17,FALSE)</f>
        <v>-</v>
      </c>
      <c r="T13" s="924"/>
      <c r="U13" s="324"/>
      <c r="V13" s="325"/>
      <c r="W13" s="897" t="str">
        <f>VLOOKUP('Part 1'!$L$16,Datasheet1!$C$6:$T$332,18,FALSE)</f>
        <v>-</v>
      </c>
      <c r="X13" s="924"/>
      <c r="Y13" s="324"/>
      <c r="Z13" s="320"/>
      <c r="AA13" s="897" t="s">
        <v>7</v>
      </c>
      <c r="AB13" s="897"/>
      <c r="AC13" s="6"/>
      <c r="AD13" s="8"/>
      <c r="AE13" s="6"/>
    </row>
    <row r="14" spans="1:31" ht="15" customHeight="1" x14ac:dyDescent="0.25">
      <c r="A14" s="7"/>
      <c r="B14" s="6"/>
      <c r="C14" s="6"/>
      <c r="D14" s="6"/>
      <c r="E14" s="6"/>
      <c r="F14" s="6"/>
      <c r="G14" s="6"/>
      <c r="H14" s="6"/>
      <c r="I14" s="6"/>
      <c r="J14" s="6"/>
      <c r="K14" s="924" t="e">
        <f>VLOOKUP('Part 1'!$L$16,#REF!,AF14,FALSE)</f>
        <v>#REF!</v>
      </c>
      <c r="L14" s="924"/>
      <c r="M14" s="324"/>
      <c r="N14" s="320"/>
      <c r="O14" s="924"/>
      <c r="P14" s="924"/>
      <c r="Q14" s="324"/>
      <c r="R14" s="325"/>
      <c r="S14" s="924"/>
      <c r="T14" s="924"/>
      <c r="U14" s="324"/>
      <c r="V14" s="325"/>
      <c r="W14" s="924"/>
      <c r="X14" s="924"/>
      <c r="Y14" s="324"/>
      <c r="Z14" s="325"/>
      <c r="AA14" s="325"/>
      <c r="AB14" s="325"/>
      <c r="AC14" s="6"/>
      <c r="AD14" s="8"/>
      <c r="AE14" s="6"/>
    </row>
    <row r="15" spans="1:31" ht="15.75" x14ac:dyDescent="0.2">
      <c r="A15" s="7"/>
      <c r="B15" s="6"/>
      <c r="C15" s="6"/>
      <c r="D15" s="6"/>
      <c r="E15" s="6"/>
      <c r="F15" s="6"/>
      <c r="G15" s="6"/>
      <c r="H15" s="6"/>
      <c r="I15" s="6"/>
      <c r="J15" s="6"/>
      <c r="K15" s="919" t="s">
        <v>20</v>
      </c>
      <c r="L15" s="919"/>
      <c r="M15" s="90"/>
      <c r="N15" s="91"/>
      <c r="O15" s="919" t="s">
        <v>20</v>
      </c>
      <c r="P15" s="919"/>
      <c r="Q15" s="90"/>
      <c r="R15" s="52"/>
      <c r="S15" s="919" t="s">
        <v>20</v>
      </c>
      <c r="T15" s="919"/>
      <c r="U15" s="90"/>
      <c r="V15" s="52"/>
      <c r="W15" s="919" t="s">
        <v>20</v>
      </c>
      <c r="X15" s="919"/>
      <c r="Y15" s="90"/>
      <c r="Z15" s="91"/>
      <c r="AA15" s="919" t="s">
        <v>20</v>
      </c>
      <c r="AB15" s="919"/>
      <c r="AC15" s="6"/>
      <c r="AD15" s="8"/>
      <c r="AE15" s="6"/>
    </row>
    <row r="16" spans="1:31" ht="16.5" thickBot="1" x14ac:dyDescent="0.3">
      <c r="A16" s="7"/>
      <c r="B16" s="6"/>
      <c r="C16" s="92" t="s">
        <v>1498</v>
      </c>
      <c r="D16" s="92"/>
      <c r="E16" s="6"/>
      <c r="F16" s="6"/>
      <c r="G16" s="6"/>
      <c r="H16" s="6"/>
      <c r="I16" s="6"/>
      <c r="J16" s="6"/>
      <c r="K16" s="189"/>
      <c r="L16" s="189"/>
      <c r="M16" s="90"/>
      <c r="N16" s="91"/>
      <c r="O16" s="189"/>
      <c r="P16" s="189"/>
      <c r="Q16" s="90"/>
      <c r="R16" s="52"/>
      <c r="S16" s="189"/>
      <c r="T16" s="189"/>
      <c r="U16" s="90"/>
      <c r="V16" s="52"/>
      <c r="W16" s="189"/>
      <c r="X16" s="189"/>
      <c r="Y16" s="90"/>
      <c r="Z16" s="91"/>
      <c r="AA16" s="189"/>
      <c r="AB16" s="189"/>
      <c r="AC16" s="6"/>
      <c r="AD16" s="8"/>
      <c r="AE16" s="6"/>
    </row>
    <row r="17" spans="1:37" ht="16.5" thickBot="1" x14ac:dyDescent="0.25">
      <c r="A17" s="7"/>
      <c r="B17" s="6"/>
      <c r="C17" s="6"/>
      <c r="D17" s="923" t="s">
        <v>865</v>
      </c>
      <c r="E17" s="693"/>
      <c r="F17" s="693"/>
      <c r="G17" s="693"/>
      <c r="H17" s="693"/>
      <c r="I17" s="693"/>
      <c r="J17" s="6"/>
      <c r="K17" s="925">
        <f>VLOOKUP('Part 1'!$L$16,Datasheet5!$B$6:$EZ$332,AF17,FALSE)</f>
        <v>0</v>
      </c>
      <c r="L17" s="926"/>
      <c r="M17" s="90"/>
      <c r="N17" s="222"/>
      <c r="O17" s="925">
        <f>VLOOKUP('Part 1'!$L$16,Datasheet5!$B$6:$EZ$332,AG17,FALSE)</f>
        <v>0</v>
      </c>
      <c r="P17" s="926"/>
      <c r="Q17" s="90"/>
      <c r="R17" s="222"/>
      <c r="S17" s="925">
        <f>VLOOKUP('Part 1'!$L$16,Datasheet5!$B$6:$EZ$332,AH17,FALSE)</f>
        <v>0</v>
      </c>
      <c r="T17" s="926"/>
      <c r="U17" s="90"/>
      <c r="V17" s="222"/>
      <c r="W17" s="925">
        <f>VLOOKUP('Part 1'!$L$16,Datasheet5!$B$6:$EZ$332,AI17,FALSE)</f>
        <v>0</v>
      </c>
      <c r="X17" s="926"/>
      <c r="Y17" s="90"/>
      <c r="Z17" s="52"/>
      <c r="AA17" s="925">
        <f>VLOOKUP('Part 1'!$L$16,Datasheet5!$B$6:$EZ$332,AJ17,FALSE)</f>
        <v>0</v>
      </c>
      <c r="AB17" s="926"/>
      <c r="AC17" s="6"/>
      <c r="AD17" s="8"/>
      <c r="AE17" s="6"/>
      <c r="AF17" s="415">
        <v>151</v>
      </c>
      <c r="AG17" s="415">
        <v>152</v>
      </c>
      <c r="AH17" s="415">
        <v>153</v>
      </c>
      <c r="AI17" s="415">
        <v>154</v>
      </c>
      <c r="AJ17" s="415">
        <v>155</v>
      </c>
    </row>
    <row r="18" spans="1:37" ht="15.75" x14ac:dyDescent="0.2">
      <c r="A18" s="7"/>
      <c r="B18" s="6"/>
      <c r="C18" s="6"/>
      <c r="D18" s="693"/>
      <c r="E18" s="693"/>
      <c r="F18" s="693"/>
      <c r="G18" s="693"/>
      <c r="H18" s="693"/>
      <c r="I18" s="693"/>
      <c r="J18" s="6"/>
      <c r="K18" s="189"/>
      <c r="L18" s="189"/>
      <c r="M18" s="90"/>
      <c r="N18" s="91"/>
      <c r="O18" s="189"/>
      <c r="P18" s="189"/>
      <c r="Q18" s="90"/>
      <c r="R18" s="52"/>
      <c r="S18" s="189"/>
      <c r="T18" s="189"/>
      <c r="U18" s="90"/>
      <c r="V18" s="52"/>
      <c r="W18" s="189"/>
      <c r="X18" s="189"/>
      <c r="Y18" s="90"/>
      <c r="Z18" s="91"/>
      <c r="AA18" s="189"/>
      <c r="AB18" s="189"/>
      <c r="AC18" s="6"/>
      <c r="AD18" s="8"/>
      <c r="AE18" s="6"/>
    </row>
    <row r="19" spans="1:37" ht="15.75" x14ac:dyDescent="0.2">
      <c r="A19" s="7"/>
      <c r="B19" s="6"/>
      <c r="C19" s="6"/>
      <c r="D19" s="6"/>
      <c r="E19" s="6"/>
      <c r="F19" s="6"/>
      <c r="G19" s="6"/>
      <c r="H19" s="6"/>
      <c r="I19" s="6"/>
      <c r="J19" s="6"/>
      <c r="K19" s="6"/>
      <c r="L19" s="189"/>
      <c r="M19" s="90"/>
      <c r="N19" s="91"/>
      <c r="O19" s="189"/>
      <c r="P19" s="189"/>
      <c r="Q19" s="90"/>
      <c r="R19" s="52"/>
      <c r="S19" s="189"/>
      <c r="T19" s="189"/>
      <c r="U19" s="90"/>
      <c r="V19" s="52"/>
      <c r="W19" s="189"/>
      <c r="X19" s="189"/>
      <c r="Y19" s="90"/>
      <c r="Z19" s="91"/>
      <c r="AA19" s="189"/>
      <c r="AB19" s="189"/>
      <c r="AC19" s="6"/>
      <c r="AD19" s="8"/>
      <c r="AE19" s="6"/>
    </row>
    <row r="20" spans="1:37" ht="16.5" thickBot="1" x14ac:dyDescent="0.3">
      <c r="A20" s="7"/>
      <c r="B20" s="6"/>
      <c r="C20" s="92" t="s">
        <v>1498</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416"/>
    </row>
    <row r="21" spans="1:37" s="268" customFormat="1" ht="16.5" customHeight="1" thickBot="1" x14ac:dyDescent="0.25">
      <c r="A21" s="265"/>
      <c r="B21" s="266"/>
      <c r="C21" s="266"/>
      <c r="D21" s="266" t="s">
        <v>8</v>
      </c>
      <c r="E21" s="266"/>
      <c r="F21" s="266"/>
      <c r="G21" s="266"/>
      <c r="H21" s="266"/>
      <c r="I21" s="266"/>
      <c r="J21" s="266"/>
      <c r="K21" s="721">
        <f>VLOOKUP('Part 1'!$L$16,Datasheet5!$B$6:$EZ$332,AF21,FALSE)</f>
        <v>4532978283.5900002</v>
      </c>
      <c r="L21" s="909"/>
      <c r="M21" s="52"/>
      <c r="N21" s="52"/>
      <c r="O21" s="721">
        <f>VLOOKUP('Part 1'!$L$16,Datasheet5!$B$6:$EZ$332,AG21,FALSE)</f>
        <v>15518395200</v>
      </c>
      <c r="P21" s="909"/>
      <c r="Q21" s="52"/>
      <c r="R21" s="52"/>
      <c r="S21" s="721">
        <f>VLOOKUP('Part 1'!$L$16,Datasheet5!$B$6:$EZ$332,AH21,FALSE)</f>
        <v>4799329486</v>
      </c>
      <c r="T21" s="909"/>
      <c r="U21" s="90"/>
      <c r="V21" s="52"/>
      <c r="W21" s="721">
        <f>VLOOKUP('Part 1'!$L$16,Datasheet5!$B$6:$EZ$332,AI21,FALSE)</f>
        <v>128473632</v>
      </c>
      <c r="X21" s="909"/>
      <c r="Y21" s="52"/>
      <c r="Z21" s="52"/>
      <c r="AA21" s="721">
        <f>VLOOKUP('Part 1'!$L$16,Datasheet5!$B$6:$EZ$332,AJ21,FALSE)</f>
        <v>24979176601.59</v>
      </c>
      <c r="AB21" s="909"/>
      <c r="AC21" s="266"/>
      <c r="AD21" s="267"/>
      <c r="AE21" s="266"/>
      <c r="AF21" s="417">
        <v>3</v>
      </c>
      <c r="AG21" s="418">
        <v>4</v>
      </c>
      <c r="AH21" s="418">
        <v>5</v>
      </c>
      <c r="AI21" s="418">
        <v>6</v>
      </c>
      <c r="AJ21" s="418">
        <v>7</v>
      </c>
      <c r="AK21" s="611"/>
    </row>
    <row r="22" spans="1:37" s="268" customFormat="1" ht="15.75" thickBot="1" x14ac:dyDescent="0.25">
      <c r="A22" s="265"/>
      <c r="B22" s="266"/>
      <c r="C22" s="266"/>
      <c r="D22" s="266"/>
      <c r="E22" s="266"/>
      <c r="F22" s="266"/>
      <c r="G22" s="266"/>
      <c r="H22" s="266"/>
      <c r="I22" s="266"/>
      <c r="J22" s="266"/>
      <c r="K22" s="52"/>
      <c r="L22" s="52"/>
      <c r="M22" s="52"/>
      <c r="N22" s="52"/>
      <c r="O22" s="52"/>
      <c r="P22" s="52"/>
      <c r="Q22" s="52"/>
      <c r="R22" s="52"/>
      <c r="S22" s="52"/>
      <c r="T22" s="52"/>
      <c r="U22" s="90"/>
      <c r="V22" s="52"/>
      <c r="W22" s="52"/>
      <c r="X22" s="52"/>
      <c r="Y22" s="52"/>
      <c r="Z22" s="52"/>
      <c r="AA22" s="52"/>
      <c r="AB22" s="52"/>
      <c r="AC22" s="266"/>
      <c r="AD22" s="267"/>
      <c r="AE22" s="266"/>
      <c r="AF22" s="417"/>
      <c r="AG22" s="418"/>
      <c r="AH22" s="418"/>
      <c r="AI22" s="418"/>
      <c r="AJ22" s="418"/>
      <c r="AK22" s="611"/>
    </row>
    <row r="23" spans="1:37" s="268" customFormat="1" ht="16.5" thickBot="1" x14ac:dyDescent="0.25">
      <c r="A23" s="265"/>
      <c r="B23" s="266"/>
      <c r="C23" s="266"/>
      <c r="D23" s="266" t="s">
        <v>9</v>
      </c>
      <c r="E23" s="266"/>
      <c r="F23" s="266"/>
      <c r="G23" s="266"/>
      <c r="H23" s="266"/>
      <c r="I23" s="266"/>
      <c r="J23" s="266"/>
      <c r="K23" s="721">
        <f>VLOOKUP('Part 1'!$L$16,Datasheet5!$B$6:$EZ$332,AF23,FALSE)</f>
        <v>12620678</v>
      </c>
      <c r="L23" s="909"/>
      <c r="M23" s="52"/>
      <c r="N23" s="52"/>
      <c r="O23" s="52"/>
      <c r="P23" s="52"/>
      <c r="Q23" s="52"/>
      <c r="R23" s="52"/>
      <c r="S23" s="52"/>
      <c r="T23" s="52"/>
      <c r="U23" s="90"/>
      <c r="V23" s="52"/>
      <c r="W23" s="52"/>
      <c r="X23" s="52"/>
      <c r="Y23" s="52"/>
      <c r="Z23" s="52"/>
      <c r="AA23" s="721">
        <f>VLOOKUP('Part 1'!$L$16,Datasheet5!$B$6:$EZ$332,AJ23,FALSE)</f>
        <v>12620678</v>
      </c>
      <c r="AB23" s="909"/>
      <c r="AC23" s="266"/>
      <c r="AD23" s="267"/>
      <c r="AE23" s="266"/>
      <c r="AF23" s="417">
        <v>8</v>
      </c>
      <c r="AG23" s="418"/>
      <c r="AH23" s="418"/>
      <c r="AI23" s="418"/>
      <c r="AJ23" s="418">
        <v>9</v>
      </c>
      <c r="AK23" s="611"/>
    </row>
    <row r="24" spans="1:37" s="268" customFormat="1" ht="15.75" thickBot="1" x14ac:dyDescent="0.25">
      <c r="A24" s="265"/>
      <c r="B24" s="266"/>
      <c r="C24" s="266"/>
      <c r="D24" s="266"/>
      <c r="E24" s="266"/>
      <c r="F24" s="266"/>
      <c r="G24" s="266"/>
      <c r="H24" s="266"/>
      <c r="I24" s="266"/>
      <c r="J24" s="266"/>
      <c r="K24" s="52"/>
      <c r="L24" s="52"/>
      <c r="M24" s="52"/>
      <c r="N24" s="52"/>
      <c r="O24" s="52"/>
      <c r="P24" s="52"/>
      <c r="Q24" s="52"/>
      <c r="R24" s="52"/>
      <c r="S24" s="52"/>
      <c r="T24" s="52"/>
      <c r="U24" s="90"/>
      <c r="V24" s="52"/>
      <c r="W24" s="52"/>
      <c r="X24" s="52"/>
      <c r="Y24" s="52"/>
      <c r="Z24" s="52"/>
      <c r="AA24" s="52"/>
      <c r="AB24" s="52"/>
      <c r="AC24" s="266"/>
      <c r="AD24" s="267"/>
      <c r="AE24" s="266"/>
      <c r="AF24" s="417"/>
      <c r="AG24" s="418"/>
      <c r="AH24" s="418"/>
      <c r="AI24" s="418"/>
      <c r="AJ24" s="418"/>
      <c r="AK24" s="611"/>
    </row>
    <row r="25" spans="1:37" s="268" customFormat="1" ht="16.5" thickBot="1" x14ac:dyDescent="0.25">
      <c r="A25" s="265"/>
      <c r="B25" s="266"/>
      <c r="C25" s="266"/>
      <c r="D25" s="270">
        <v>3</v>
      </c>
      <c r="E25" s="266"/>
      <c r="F25" s="266"/>
      <c r="G25" s="266"/>
      <c r="H25" s="266"/>
      <c r="I25" s="266"/>
      <c r="J25" s="271" t="s">
        <v>889</v>
      </c>
      <c r="K25" s="721">
        <f>VLOOKUP('Part 1'!$L$16,Datasheet5!$B$6:$EZ$332,AF25,FALSE)</f>
        <v>4520357605.5900002</v>
      </c>
      <c r="L25" s="909"/>
      <c r="M25" s="52"/>
      <c r="N25" s="52"/>
      <c r="O25" s="52"/>
      <c r="P25" s="52"/>
      <c r="Q25" s="52"/>
      <c r="R25" s="52"/>
      <c r="S25" s="52"/>
      <c r="T25" s="52"/>
      <c r="U25" s="90"/>
      <c r="V25" s="52"/>
      <c r="W25" s="52"/>
      <c r="X25" s="52"/>
      <c r="Y25" s="52"/>
      <c r="Z25" s="52"/>
      <c r="AA25" s="52"/>
      <c r="AB25" s="52"/>
      <c r="AC25" s="266"/>
      <c r="AD25" s="267"/>
      <c r="AE25" s="266"/>
      <c r="AF25" s="417">
        <v>10</v>
      </c>
      <c r="AG25" s="418"/>
      <c r="AH25" s="418"/>
      <c r="AI25" s="418"/>
      <c r="AJ25" s="418"/>
      <c r="AK25" s="611"/>
    </row>
    <row r="26" spans="1:37" s="268" customFormat="1" x14ac:dyDescent="0.2">
      <c r="A26" s="265"/>
      <c r="B26" s="266"/>
      <c r="C26" s="266"/>
      <c r="D26" s="266"/>
      <c r="E26" s="266"/>
      <c r="F26" s="266"/>
      <c r="G26" s="266"/>
      <c r="H26" s="266"/>
      <c r="I26" s="266"/>
      <c r="J26" s="266"/>
      <c r="K26" s="52"/>
      <c r="L26" s="52"/>
      <c r="M26" s="52"/>
      <c r="N26" s="52"/>
      <c r="O26" s="52"/>
      <c r="P26" s="52"/>
      <c r="Q26" s="52"/>
      <c r="R26" s="52"/>
      <c r="S26" s="52"/>
      <c r="T26" s="52"/>
      <c r="U26" s="90"/>
      <c r="V26" s="52"/>
      <c r="W26" s="52"/>
      <c r="X26" s="52"/>
      <c r="Y26" s="52"/>
      <c r="Z26" s="52"/>
      <c r="AA26" s="52"/>
      <c r="AB26" s="52"/>
      <c r="AC26" s="266"/>
      <c r="AD26" s="267"/>
      <c r="AE26" s="266"/>
      <c r="AF26" s="417"/>
      <c r="AG26" s="418"/>
      <c r="AH26" s="418"/>
      <c r="AI26" s="418"/>
      <c r="AJ26" s="418"/>
      <c r="AK26" s="611"/>
    </row>
    <row r="27" spans="1:37" s="268" customFormat="1" ht="16.5" thickBot="1" x14ac:dyDescent="0.25">
      <c r="A27" s="265"/>
      <c r="B27" s="266"/>
      <c r="C27" s="272" t="s">
        <v>1499</v>
      </c>
      <c r="D27" s="266"/>
      <c r="E27" s="266"/>
      <c r="F27" s="266"/>
      <c r="G27" s="266"/>
      <c r="H27" s="266"/>
      <c r="I27" s="266"/>
      <c r="J27" s="266"/>
      <c r="K27" s="52"/>
      <c r="L27" s="52"/>
      <c r="M27" s="52"/>
      <c r="N27" s="52"/>
      <c r="O27" s="52"/>
      <c r="P27" s="52"/>
      <c r="Q27" s="52"/>
      <c r="R27" s="52"/>
      <c r="S27" s="52"/>
      <c r="T27" s="52"/>
      <c r="U27" s="90"/>
      <c r="V27" s="52"/>
      <c r="W27" s="52"/>
      <c r="X27" s="52"/>
      <c r="Y27" s="52"/>
      <c r="Z27" s="52"/>
      <c r="AA27" s="52"/>
      <c r="AB27" s="52"/>
      <c r="AC27" s="266"/>
      <c r="AD27" s="267"/>
      <c r="AE27" s="266"/>
      <c r="AF27" s="417"/>
      <c r="AG27" s="418"/>
      <c r="AH27" s="418"/>
      <c r="AI27" s="418"/>
      <c r="AJ27" s="418"/>
      <c r="AK27" s="611"/>
    </row>
    <row r="28" spans="1:37" s="268" customFormat="1" ht="16.5" thickBot="1" x14ac:dyDescent="0.25">
      <c r="A28" s="265"/>
      <c r="B28" s="266"/>
      <c r="C28" s="266"/>
      <c r="D28" s="266" t="s">
        <v>10</v>
      </c>
      <c r="E28" s="266"/>
      <c r="F28" s="266"/>
      <c r="G28" s="266"/>
      <c r="H28" s="266"/>
      <c r="I28" s="266"/>
      <c r="J28" s="266"/>
      <c r="K28" s="52"/>
      <c r="L28" s="52"/>
      <c r="M28" s="52"/>
      <c r="N28" s="52"/>
      <c r="O28" s="721">
        <f>VLOOKUP('Part 1'!$L$16,Datasheet5!$B$6:$EZ$332,AG28,FALSE)</f>
        <v>84012718</v>
      </c>
      <c r="P28" s="909"/>
      <c r="Q28" s="52"/>
      <c r="R28" s="52"/>
      <c r="S28" s="52"/>
      <c r="T28" s="52"/>
      <c r="U28" s="90"/>
      <c r="V28" s="52"/>
      <c r="W28" s="52"/>
      <c r="X28" s="52"/>
      <c r="Y28" s="52"/>
      <c r="Z28" s="52"/>
      <c r="AA28" s="721">
        <f>VLOOKUP('Part 1'!$L$16,Datasheet5!$B$6:$EZ$332,AJ28,FALSE)</f>
        <v>84012718</v>
      </c>
      <c r="AB28" s="909"/>
      <c r="AC28" s="266"/>
      <c r="AD28" s="267"/>
      <c r="AE28" s="266"/>
      <c r="AF28" s="417"/>
      <c r="AG28" s="418">
        <v>11</v>
      </c>
      <c r="AH28" s="418"/>
      <c r="AI28" s="418"/>
      <c r="AJ28" s="418">
        <v>12</v>
      </c>
      <c r="AK28" s="611"/>
    </row>
    <row r="29" spans="1:37" s="268" customFormat="1" ht="15.75" thickBot="1" x14ac:dyDescent="0.25">
      <c r="A29" s="265"/>
      <c r="B29" s="266"/>
      <c r="C29" s="266"/>
      <c r="D29" s="266"/>
      <c r="E29" s="266"/>
      <c r="F29" s="266"/>
      <c r="G29" s="266"/>
      <c r="H29" s="266"/>
      <c r="I29" s="266"/>
      <c r="J29" s="266"/>
      <c r="K29" s="52"/>
      <c r="L29" s="52"/>
      <c r="M29" s="52"/>
      <c r="N29" s="52"/>
      <c r="O29" s="52"/>
      <c r="P29" s="52"/>
      <c r="Q29" s="52"/>
      <c r="R29" s="52"/>
      <c r="S29" s="52"/>
      <c r="T29" s="52"/>
      <c r="U29" s="90"/>
      <c r="V29" s="52"/>
      <c r="W29" s="52"/>
      <c r="X29" s="52"/>
      <c r="Y29" s="52"/>
      <c r="Z29" s="52"/>
      <c r="AA29" s="52"/>
      <c r="AB29" s="52"/>
      <c r="AC29" s="266"/>
      <c r="AD29" s="267"/>
      <c r="AE29" s="266"/>
      <c r="AF29" s="417"/>
      <c r="AG29" s="418"/>
      <c r="AH29" s="418"/>
      <c r="AI29" s="418"/>
      <c r="AJ29" s="418"/>
      <c r="AK29" s="611"/>
    </row>
    <row r="30" spans="1:37" s="268" customFormat="1" ht="16.5" thickBot="1" x14ac:dyDescent="0.25">
      <c r="A30" s="265"/>
      <c r="B30" s="266"/>
      <c r="C30" s="266"/>
      <c r="D30" s="266" t="s">
        <v>80</v>
      </c>
      <c r="E30" s="266"/>
      <c r="F30" s="266"/>
      <c r="G30" s="266"/>
      <c r="H30" s="266"/>
      <c r="I30" s="266"/>
      <c r="J30" s="266"/>
      <c r="K30" s="52"/>
      <c r="L30" s="52"/>
      <c r="M30" s="52"/>
      <c r="N30" s="52"/>
      <c r="O30" s="721">
        <f>VLOOKUP('Part 1'!$L$16,Datasheet5!$B$6:$EZ$332,AG30,FALSE)</f>
        <v>52398872</v>
      </c>
      <c r="P30" s="909"/>
      <c r="Q30" s="52"/>
      <c r="R30" s="52"/>
      <c r="S30" s="52"/>
      <c r="T30" s="52"/>
      <c r="U30" s="90"/>
      <c r="V30" s="52"/>
      <c r="W30" s="52"/>
      <c r="X30" s="52"/>
      <c r="Y30" s="52"/>
      <c r="Z30" s="52"/>
      <c r="AA30" s="721">
        <f>VLOOKUP('Part 1'!$L$16,Datasheet5!$B$6:$EZ$332,AJ30,FALSE)</f>
        <v>52398872</v>
      </c>
      <c r="AB30" s="909"/>
      <c r="AC30" s="266"/>
      <c r="AD30" s="267"/>
      <c r="AE30" s="266"/>
      <c r="AF30" s="417"/>
      <c r="AG30" s="418">
        <v>13</v>
      </c>
      <c r="AH30" s="418"/>
      <c r="AI30" s="418"/>
      <c r="AJ30" s="418">
        <v>14</v>
      </c>
      <c r="AK30" s="611"/>
    </row>
    <row r="31" spans="1:37" s="268" customFormat="1" ht="15.75" thickBot="1" x14ac:dyDescent="0.25">
      <c r="A31" s="265"/>
      <c r="B31" s="266"/>
      <c r="C31" s="266"/>
      <c r="D31" s="266"/>
      <c r="E31" s="266"/>
      <c r="F31" s="266"/>
      <c r="G31" s="266"/>
      <c r="H31" s="266"/>
      <c r="I31" s="266"/>
      <c r="J31" s="266"/>
      <c r="K31" s="52"/>
      <c r="L31" s="52"/>
      <c r="M31" s="52"/>
      <c r="N31" s="52"/>
      <c r="O31" s="52"/>
      <c r="P31" s="52"/>
      <c r="Q31" s="52"/>
      <c r="R31" s="52"/>
      <c r="S31" s="52"/>
      <c r="T31" s="52"/>
      <c r="U31" s="90"/>
      <c r="V31" s="52"/>
      <c r="W31" s="52"/>
      <c r="X31" s="52"/>
      <c r="Y31" s="52"/>
      <c r="Z31" s="52"/>
      <c r="AA31" s="52"/>
      <c r="AB31" s="52"/>
      <c r="AC31" s="266"/>
      <c r="AD31" s="267"/>
      <c r="AE31" s="266"/>
      <c r="AF31" s="417"/>
      <c r="AG31" s="418"/>
      <c r="AH31" s="418"/>
      <c r="AI31" s="418"/>
      <c r="AJ31" s="418"/>
      <c r="AK31" s="611"/>
    </row>
    <row r="32" spans="1:37" s="268" customFormat="1" ht="16.5" thickBot="1" x14ac:dyDescent="0.25">
      <c r="A32" s="265"/>
      <c r="B32" s="266"/>
      <c r="C32" s="266"/>
      <c r="D32" s="266" t="s">
        <v>870</v>
      </c>
      <c r="E32" s="266"/>
      <c r="F32" s="266"/>
      <c r="G32" s="266"/>
      <c r="H32" s="266"/>
      <c r="I32" s="266"/>
      <c r="J32" s="266"/>
      <c r="K32" s="52"/>
      <c r="L32" s="52"/>
      <c r="M32" s="52"/>
      <c r="N32" s="52"/>
      <c r="O32" s="721">
        <f>VLOOKUP('Part 1'!$L$16,Datasheet5!$B$6:$EZ$332,AG32,FALSE)</f>
        <v>61765120</v>
      </c>
      <c r="P32" s="909"/>
      <c r="Q32" s="52"/>
      <c r="R32" s="52"/>
      <c r="S32" s="721">
        <f>VLOOKUP('Part 1'!$L$16,Datasheet5!$B$6:$EZ$332,AH32,FALSE)</f>
        <v>3068772.74</v>
      </c>
      <c r="T32" s="909"/>
      <c r="U32" s="90"/>
      <c r="V32" s="52"/>
      <c r="W32" s="52"/>
      <c r="X32" s="52"/>
      <c r="Y32" s="52"/>
      <c r="Z32" s="52"/>
      <c r="AA32" s="721">
        <f>VLOOKUP('Part 1'!$L$16,Datasheet5!$B$6:$EZ$332,AJ32,FALSE)</f>
        <v>64833892.739999995</v>
      </c>
      <c r="AB32" s="909"/>
      <c r="AC32" s="266"/>
      <c r="AD32" s="267"/>
      <c r="AE32" s="266"/>
      <c r="AF32" s="417"/>
      <c r="AG32" s="418">
        <v>15</v>
      </c>
      <c r="AH32" s="418">
        <v>16</v>
      </c>
      <c r="AI32" s="418"/>
      <c r="AJ32" s="418">
        <v>17</v>
      </c>
      <c r="AK32" s="611"/>
    </row>
    <row r="33" spans="1:40" s="268" customFormat="1" ht="16.5" thickBot="1" x14ac:dyDescent="0.25">
      <c r="A33" s="265"/>
      <c r="B33" s="266"/>
      <c r="C33" s="266"/>
      <c r="D33" s="266"/>
      <c r="E33" s="266"/>
      <c r="F33" s="266"/>
      <c r="G33" s="266"/>
      <c r="H33" s="266"/>
      <c r="I33" s="266"/>
      <c r="J33" s="266"/>
      <c r="K33" s="52"/>
      <c r="L33" s="52"/>
      <c r="M33" s="52"/>
      <c r="N33" s="52"/>
      <c r="O33" s="336"/>
      <c r="P33" s="336"/>
      <c r="Q33" s="337"/>
      <c r="R33" s="337"/>
      <c r="S33" s="336"/>
      <c r="T33" s="336"/>
      <c r="U33" s="643"/>
      <c r="V33" s="337"/>
      <c r="W33" s="337"/>
      <c r="X33" s="337"/>
      <c r="Y33" s="337"/>
      <c r="Z33" s="337"/>
      <c r="AA33" s="336"/>
      <c r="AB33" s="336"/>
      <c r="AC33" s="266"/>
      <c r="AD33" s="267"/>
      <c r="AE33" s="266"/>
      <c r="AF33" s="417"/>
      <c r="AG33" s="418"/>
      <c r="AH33" s="418"/>
      <c r="AI33" s="418"/>
      <c r="AJ33" s="418"/>
      <c r="AK33" s="611"/>
    </row>
    <row r="34" spans="1:40" s="268" customFormat="1" ht="16.5" thickBot="1" x14ac:dyDescent="0.25">
      <c r="A34" s="265"/>
      <c r="B34" s="266"/>
      <c r="C34" s="266"/>
      <c r="D34" s="266" t="s">
        <v>1500</v>
      </c>
      <c r="E34" s="266"/>
      <c r="F34" s="266"/>
      <c r="G34" s="266"/>
      <c r="H34" s="266"/>
      <c r="I34" s="266"/>
      <c r="J34" s="266"/>
      <c r="K34" s="52"/>
      <c r="L34" s="52"/>
      <c r="M34" s="52"/>
      <c r="N34" s="52"/>
      <c r="O34" s="803">
        <f>VLOOKUP('Part 1'!$L$16,Datasheet5!$B$6:$EZ$332,AG34,FALSE)</f>
        <v>25390</v>
      </c>
      <c r="P34" s="783"/>
      <c r="Q34" s="52"/>
      <c r="R34" s="52"/>
      <c r="S34" s="803">
        <f>VLOOKUP('Part 1'!$L$16,Datasheet5!$B$6:$EZ$332,AH34,FALSE)</f>
        <v>10156.000000000002</v>
      </c>
      <c r="T34" s="783"/>
      <c r="U34" s="90"/>
      <c r="V34" s="52"/>
      <c r="W34" s="803">
        <f>VLOOKUP('Part 1'!$L$16,Datasheet5!$B$6:$EZ$332,AI34,FALSE)</f>
        <v>14980.099999999999</v>
      </c>
      <c r="X34" s="783"/>
      <c r="Y34" s="52"/>
      <c r="Z34" s="52"/>
      <c r="AA34" s="803">
        <f>VLOOKUP('Part 1'!$L$16,Datasheet5!$B$6:$EZ$332,AJ34,FALSE)</f>
        <v>25390</v>
      </c>
      <c r="AB34" s="783"/>
      <c r="AC34" s="266"/>
      <c r="AD34" s="267"/>
      <c r="AE34" s="266"/>
      <c r="AF34" s="417"/>
      <c r="AG34" s="418">
        <v>18</v>
      </c>
      <c r="AH34" s="418">
        <v>19</v>
      </c>
      <c r="AI34" s="418">
        <v>20</v>
      </c>
      <c r="AJ34" s="418">
        <v>21</v>
      </c>
      <c r="AK34" s="611"/>
    </row>
    <row r="35" spans="1:40" s="268" customFormat="1" ht="15.75" thickBot="1" x14ac:dyDescent="0.25">
      <c r="A35" s="265"/>
      <c r="B35" s="266"/>
      <c r="C35" s="266"/>
      <c r="D35" s="266"/>
      <c r="E35" s="266"/>
      <c r="F35" s="266"/>
      <c r="G35" s="266"/>
      <c r="H35" s="266"/>
      <c r="I35" s="266"/>
      <c r="J35" s="266"/>
      <c r="K35" s="52"/>
      <c r="L35" s="52"/>
      <c r="M35" s="52"/>
      <c r="N35" s="52"/>
      <c r="O35" s="52"/>
      <c r="P35" s="52"/>
      <c r="Q35" s="52"/>
      <c r="R35" s="52"/>
      <c r="S35" s="52"/>
      <c r="T35" s="52"/>
      <c r="U35" s="90"/>
      <c r="V35" s="52"/>
      <c r="W35" s="52"/>
      <c r="X35" s="52"/>
      <c r="Y35" s="52"/>
      <c r="Z35" s="52"/>
      <c r="AA35" s="52"/>
      <c r="AB35" s="52"/>
      <c r="AC35" s="266"/>
      <c r="AD35" s="267"/>
      <c r="AE35" s="266"/>
      <c r="AF35" s="417"/>
      <c r="AG35" s="418"/>
      <c r="AH35" s="418"/>
      <c r="AI35" s="418"/>
      <c r="AJ35" s="418"/>
      <c r="AK35" s="611"/>
    </row>
    <row r="36" spans="1:40" s="268" customFormat="1" ht="16.5" thickBot="1" x14ac:dyDescent="0.25">
      <c r="A36" s="265"/>
      <c r="B36" s="266"/>
      <c r="C36" s="266"/>
      <c r="D36" s="266" t="s">
        <v>1501</v>
      </c>
      <c r="E36" s="266"/>
      <c r="F36" s="266"/>
      <c r="G36" s="266"/>
      <c r="H36" s="266"/>
      <c r="I36" s="266"/>
      <c r="J36" s="266"/>
      <c r="K36" s="52"/>
      <c r="L36" s="52"/>
      <c r="M36" s="52"/>
      <c r="N36" s="52"/>
      <c r="O36" s="721">
        <f>VLOOKUP('Part 1'!$L$16,Datasheet5!$B$6:$EZ$332,AG36,FALSE)</f>
        <v>9022946.0440624971</v>
      </c>
      <c r="P36" s="909"/>
      <c r="Q36" s="52"/>
      <c r="R36" s="52"/>
      <c r="S36" s="721">
        <f>VLOOKUP('Part 1'!$L$16,Datasheet5!$B$6:$EZ$332,AH36,FALSE)</f>
        <v>0</v>
      </c>
      <c r="T36" s="909"/>
      <c r="U36" s="90"/>
      <c r="V36" s="52"/>
      <c r="W36" s="721">
        <f>VLOOKUP('Part 1'!$L$16,Datasheet5!$B$6:$EZ$332,AI36,FALSE)</f>
        <v>1903.4944791666667</v>
      </c>
      <c r="X36" s="909"/>
      <c r="Y36" s="52"/>
      <c r="Z36" s="52"/>
      <c r="AA36" s="721">
        <f>VLOOKUP('Part 1'!$L$16,Datasheet5!$B$6:$EZ$332,AJ36,FALSE)</f>
        <v>9024849.5385416653</v>
      </c>
      <c r="AB36" s="909"/>
      <c r="AC36" s="266"/>
      <c r="AD36" s="267"/>
      <c r="AE36" s="266"/>
      <c r="AF36" s="417"/>
      <c r="AG36" s="418">
        <v>22</v>
      </c>
      <c r="AH36" s="418">
        <v>23</v>
      </c>
      <c r="AI36" s="418">
        <v>24</v>
      </c>
      <c r="AJ36" s="418">
        <v>25</v>
      </c>
      <c r="AK36" s="611"/>
    </row>
    <row r="37" spans="1:40" s="268" customFormat="1" ht="15.75" thickBot="1" x14ac:dyDescent="0.25">
      <c r="A37" s="265"/>
      <c r="B37" s="266"/>
      <c r="C37" s="266"/>
      <c r="D37" s="266"/>
      <c r="E37" s="266"/>
      <c r="F37" s="266"/>
      <c r="G37" s="266"/>
      <c r="H37" s="266"/>
      <c r="I37" s="266"/>
      <c r="J37" s="266"/>
      <c r="K37" s="52"/>
      <c r="L37" s="52"/>
      <c r="M37" s="52"/>
      <c r="N37" s="52"/>
      <c r="O37" s="52"/>
      <c r="P37" s="52"/>
      <c r="Q37" s="52"/>
      <c r="R37" s="52"/>
      <c r="S37" s="52"/>
      <c r="T37" s="52"/>
      <c r="U37" s="52"/>
      <c r="V37" s="52"/>
      <c r="W37" s="52"/>
      <c r="X37" s="52"/>
      <c r="Y37" s="52"/>
      <c r="Z37" s="52"/>
      <c r="AA37" s="52"/>
      <c r="AB37" s="52"/>
      <c r="AC37" s="266"/>
      <c r="AD37" s="267"/>
      <c r="AE37" s="266"/>
      <c r="AF37" s="417"/>
      <c r="AG37" s="418"/>
      <c r="AH37" s="418"/>
      <c r="AI37" s="418"/>
      <c r="AJ37" s="418"/>
      <c r="AK37" s="611"/>
    </row>
    <row r="38" spans="1:40" s="268" customFormat="1" ht="16.5" thickBot="1" x14ac:dyDescent="0.25">
      <c r="A38" s="265"/>
      <c r="B38" s="266"/>
      <c r="C38" s="266"/>
      <c r="D38" s="266" t="str">
        <f>IF(AG38=1,"9. add: additional growth pilot areas: not applicable","9. add: additional growth")</f>
        <v>9. add: additional growth</v>
      </c>
      <c r="E38" s="266"/>
      <c r="F38" s="266"/>
      <c r="G38" s="266"/>
      <c r="H38" s="266"/>
      <c r="I38" s="266"/>
      <c r="J38" s="266"/>
      <c r="K38" s="52"/>
      <c r="L38" s="52"/>
      <c r="M38" s="52"/>
      <c r="N38" s="52"/>
      <c r="O38" s="721">
        <f>VLOOKUP('Part 1'!$L$16,Datasheet5!$B$6:$EZ$332,AG38,FALSE)</f>
        <v>3149317.22</v>
      </c>
      <c r="P38" s="909"/>
      <c r="Q38" s="52"/>
      <c r="R38" s="52"/>
      <c r="S38" s="721">
        <f>VLOOKUP('Part 1'!$L$16,Datasheet5!$B$6:$EZ$332,AH38,FALSE)</f>
        <v>0</v>
      </c>
      <c r="T38" s="909"/>
      <c r="U38" s="90"/>
      <c r="V38" s="52"/>
      <c r="W38" s="721">
        <f>VLOOKUP('Part 1'!$L$16,Datasheet5!$B$6:$EZ$332,AI38,FALSE)</f>
        <v>64271.78</v>
      </c>
      <c r="X38" s="909"/>
      <c r="Y38" s="52"/>
      <c r="Z38" s="52"/>
      <c r="AA38" s="721">
        <f>VLOOKUP('Part 1'!$L$16,Datasheet5!$B$6:$EZ$332,AJ38,FALSE)</f>
        <v>3213589</v>
      </c>
      <c r="AB38" s="909"/>
      <c r="AC38" s="266"/>
      <c r="AD38" s="267"/>
      <c r="AE38" s="266"/>
      <c r="AF38" s="612"/>
      <c r="AG38" s="612">
        <v>26</v>
      </c>
      <c r="AH38" s="613">
        <v>27</v>
      </c>
      <c r="AI38" s="613">
        <v>28</v>
      </c>
      <c r="AJ38" s="613">
        <v>29</v>
      </c>
      <c r="AK38" s="613"/>
      <c r="AL38" s="607"/>
      <c r="AM38" s="608"/>
      <c r="AN38" s="608"/>
    </row>
    <row r="39" spans="1:40" s="268" customFormat="1" ht="15.75" thickBot="1" x14ac:dyDescent="0.25">
      <c r="A39" s="265"/>
      <c r="B39" s="266"/>
      <c r="C39" s="266"/>
      <c r="D39" s="266"/>
      <c r="E39" s="266"/>
      <c r="F39" s="266"/>
      <c r="G39" s="266"/>
      <c r="H39" s="266"/>
      <c r="I39" s="266"/>
      <c r="J39" s="266"/>
      <c r="K39" s="52"/>
      <c r="L39" s="52"/>
      <c r="M39" s="52"/>
      <c r="N39" s="52"/>
      <c r="O39" s="52"/>
      <c r="P39" s="52"/>
      <c r="Q39" s="52"/>
      <c r="R39" s="52"/>
      <c r="S39" s="90"/>
      <c r="T39" s="90"/>
      <c r="U39" s="90"/>
      <c r="V39" s="52"/>
      <c r="W39" s="52"/>
      <c r="X39" s="52"/>
      <c r="Y39" s="52"/>
      <c r="Z39" s="52"/>
      <c r="AA39" s="52"/>
      <c r="AB39" s="52"/>
      <c r="AC39" s="266"/>
      <c r="AD39" s="267"/>
      <c r="AE39" s="266"/>
      <c r="AF39" s="612"/>
      <c r="AG39" s="612"/>
      <c r="AH39" s="613"/>
      <c r="AI39" s="613"/>
      <c r="AJ39" s="613"/>
      <c r="AK39" s="613"/>
      <c r="AL39" s="607"/>
      <c r="AM39" s="608"/>
      <c r="AN39" s="608"/>
    </row>
    <row r="40" spans="1:40" s="268" customFormat="1" ht="16.5" thickBot="1" x14ac:dyDescent="0.25">
      <c r="A40" s="265"/>
      <c r="B40" s="266"/>
      <c r="C40" s="266"/>
      <c r="D40" s="266" t="str">
        <f>IF(AF40=1,"10. add: Port of Bristol","10. add: Port of Bristol: not applicable")</f>
        <v>10. add: Port of Bristol</v>
      </c>
      <c r="E40" s="266"/>
      <c r="F40" s="266"/>
      <c r="G40" s="266"/>
      <c r="H40" s="266"/>
      <c r="I40" s="266"/>
      <c r="J40" s="266"/>
      <c r="K40" s="52"/>
      <c r="L40" s="52"/>
      <c r="M40" s="52"/>
      <c r="N40" s="52"/>
      <c r="O40" s="721">
        <f>VLOOKUP('Part 1'!$L$16,Datasheet5!$B$6:$EZ$332,AG40,FALSE)</f>
        <v>382238</v>
      </c>
      <c r="P40" s="909"/>
      <c r="Q40" s="52"/>
      <c r="R40" s="52"/>
      <c r="S40" s="90"/>
      <c r="T40" s="90"/>
      <c r="U40" s="90"/>
      <c r="V40" s="52"/>
      <c r="W40" s="52"/>
      <c r="X40" s="52"/>
      <c r="Y40" s="52"/>
      <c r="Z40" s="52"/>
      <c r="AA40" s="721">
        <f>VLOOKUP('Part 1'!$L$16,Datasheet5!$B$6:$EZ$332,AJ40,FALSE)</f>
        <v>382238</v>
      </c>
      <c r="AB40" s="909"/>
      <c r="AC40" s="266"/>
      <c r="AD40" s="267"/>
      <c r="AE40" s="266"/>
      <c r="AF40" s="612">
        <f>IF(OR('Part 1'!L16="E0104",'Part 1'!L16="E0000"),1,0)</f>
        <v>1</v>
      </c>
      <c r="AG40" s="612">
        <v>30</v>
      </c>
      <c r="AH40" s="613"/>
      <c r="AI40" s="613"/>
      <c r="AJ40" s="613">
        <v>31</v>
      </c>
      <c r="AK40" s="613"/>
      <c r="AL40" s="607"/>
      <c r="AM40" s="608"/>
      <c r="AN40" s="608"/>
    </row>
    <row r="41" spans="1:40" s="268" customFormat="1" ht="15.75" thickBot="1" x14ac:dyDescent="0.25">
      <c r="A41" s="265"/>
      <c r="B41" s="266"/>
      <c r="C41" s="266"/>
      <c r="D41" s="266"/>
      <c r="E41" s="266"/>
      <c r="F41" s="266"/>
      <c r="G41" s="266"/>
      <c r="H41" s="266"/>
      <c r="I41" s="266"/>
      <c r="J41" s="266"/>
      <c r="K41" s="52"/>
      <c r="L41" s="52"/>
      <c r="M41" s="52"/>
      <c r="N41" s="52"/>
      <c r="O41" s="52"/>
      <c r="P41" s="52"/>
      <c r="Q41" s="52"/>
      <c r="R41" s="52"/>
      <c r="S41" s="90"/>
      <c r="T41" s="90"/>
      <c r="U41" s="90"/>
      <c r="V41" s="52"/>
      <c r="W41" s="52"/>
      <c r="X41" s="52"/>
      <c r="Y41" s="52"/>
      <c r="Z41" s="52"/>
      <c r="AA41" s="52"/>
      <c r="AB41" s="52"/>
      <c r="AC41" s="266"/>
      <c r="AD41" s="267"/>
      <c r="AE41" s="266"/>
      <c r="AF41" s="612"/>
      <c r="AG41" s="612"/>
      <c r="AH41" s="613"/>
      <c r="AI41" s="613"/>
      <c r="AJ41" s="613"/>
      <c r="AK41" s="613"/>
      <c r="AL41" s="607"/>
      <c r="AM41" s="608"/>
      <c r="AN41" s="608"/>
    </row>
    <row r="42" spans="1:40" s="268" customFormat="1" ht="16.5" thickBot="1" x14ac:dyDescent="0.25">
      <c r="A42" s="265"/>
      <c r="B42" s="266"/>
      <c r="C42" s="266"/>
      <c r="D42" s="266" t="s">
        <v>1502</v>
      </c>
      <c r="E42" s="266"/>
      <c r="F42" s="266"/>
      <c r="G42" s="266"/>
      <c r="H42" s="266"/>
      <c r="I42" s="266"/>
      <c r="J42" s="266"/>
      <c r="K42" s="52"/>
      <c r="L42" s="52"/>
      <c r="M42" s="52"/>
      <c r="N42" s="52"/>
      <c r="O42" s="721">
        <f>VLOOKUP('Part 1'!$L$16,Datasheet5!$B$6:$EZ$332,AG42,FALSE)</f>
        <v>1300617434</v>
      </c>
      <c r="P42" s="909"/>
      <c r="Q42" s="52"/>
      <c r="R42" s="52"/>
      <c r="S42" s="721">
        <f>VLOOKUP('Part 1'!$L$16,Datasheet5!$B$6:$EZ$332,AH42,FALSE)</f>
        <v>331443435</v>
      </c>
      <c r="T42" s="909"/>
      <c r="U42" s="90"/>
      <c r="V42" s="52"/>
      <c r="W42" s="721">
        <f>VLOOKUP('Part 1'!$L$16,Datasheet5!$B$6:$EZ$332,AI42,FALSE)</f>
        <v>13056253</v>
      </c>
      <c r="X42" s="909"/>
      <c r="Y42" s="52"/>
      <c r="Z42" s="52"/>
      <c r="AA42" s="721">
        <f>VLOOKUP('Part 1'!$L$16,Datasheet5!$B$6:$EZ$332,AJ42,FALSE)</f>
        <v>1645117122</v>
      </c>
      <c r="AB42" s="909"/>
      <c r="AC42" s="266"/>
      <c r="AD42" s="267"/>
      <c r="AE42" s="266"/>
      <c r="AF42" s="612"/>
      <c r="AG42" s="612">
        <v>32</v>
      </c>
      <c r="AH42" s="613">
        <v>33</v>
      </c>
      <c r="AI42" s="613">
        <v>34</v>
      </c>
      <c r="AJ42" s="613">
        <v>35</v>
      </c>
      <c r="AK42" s="613"/>
      <c r="AL42" s="607"/>
      <c r="AM42" s="608"/>
      <c r="AN42" s="608"/>
    </row>
    <row r="43" spans="1:40" s="268" customFormat="1" ht="15.75" x14ac:dyDescent="0.2">
      <c r="A43" s="265"/>
      <c r="B43" s="266"/>
      <c r="C43" s="266"/>
      <c r="D43" s="266"/>
      <c r="E43" s="266"/>
      <c r="F43" s="266"/>
      <c r="G43" s="266"/>
      <c r="H43" s="266"/>
      <c r="I43" s="266"/>
      <c r="J43" s="266"/>
      <c r="K43" s="52"/>
      <c r="L43" s="52"/>
      <c r="M43" s="52"/>
      <c r="N43" s="52"/>
      <c r="O43" s="63"/>
      <c r="P43" s="52"/>
      <c r="Q43" s="52"/>
      <c r="R43" s="52"/>
      <c r="S43" s="63"/>
      <c r="T43" s="52"/>
      <c r="U43" s="90"/>
      <c r="V43" s="52"/>
      <c r="W43" s="63"/>
      <c r="X43" s="52"/>
      <c r="Y43" s="52"/>
      <c r="Z43" s="52"/>
      <c r="AA43" s="63"/>
      <c r="AB43" s="52"/>
      <c r="AC43" s="266"/>
      <c r="AD43" s="267"/>
      <c r="AE43" s="266"/>
      <c r="AF43" s="612"/>
      <c r="AG43" s="612"/>
      <c r="AH43" s="613"/>
      <c r="AI43" s="613"/>
      <c r="AJ43" s="613"/>
      <c r="AK43" s="613"/>
      <c r="AL43" s="607"/>
      <c r="AM43" s="608"/>
      <c r="AN43" s="608"/>
    </row>
    <row r="44" spans="1:40" s="268" customFormat="1" ht="15.75" x14ac:dyDescent="0.2">
      <c r="A44" s="265"/>
      <c r="B44" s="266"/>
      <c r="C44" s="266"/>
      <c r="D44" s="266"/>
      <c r="E44" s="266"/>
      <c r="F44" s="266"/>
      <c r="G44" s="266"/>
      <c r="H44" s="266"/>
      <c r="I44" s="266"/>
      <c r="J44" s="266"/>
      <c r="K44" s="52"/>
      <c r="L44" s="52"/>
      <c r="M44" s="52"/>
      <c r="N44" s="52"/>
      <c r="O44" s="63"/>
      <c r="P44" s="52"/>
      <c r="Q44" s="52"/>
      <c r="R44" s="52"/>
      <c r="S44" s="63"/>
      <c r="T44" s="52"/>
      <c r="U44" s="90"/>
      <c r="V44" s="52"/>
      <c r="W44" s="63"/>
      <c r="X44" s="52"/>
      <c r="Y44" s="52"/>
      <c r="Z44" s="52"/>
      <c r="AA44" s="63"/>
      <c r="AB44" s="52"/>
      <c r="AC44" s="266"/>
      <c r="AD44" s="267"/>
      <c r="AE44" s="266"/>
      <c r="AF44" s="417"/>
      <c r="AG44" s="418"/>
      <c r="AH44" s="418"/>
      <c r="AI44" s="418"/>
      <c r="AJ44" s="418"/>
      <c r="AK44" s="611"/>
    </row>
    <row r="45" spans="1:40" s="268" customFormat="1" ht="15.75" x14ac:dyDescent="0.2">
      <c r="A45" s="265"/>
      <c r="B45" s="266"/>
      <c r="C45" s="272" t="s">
        <v>11</v>
      </c>
      <c r="D45" s="266"/>
      <c r="E45" s="266"/>
      <c r="F45" s="266"/>
      <c r="G45" s="266"/>
      <c r="H45" s="266"/>
      <c r="I45" s="266"/>
      <c r="J45" s="266"/>
      <c r="K45" s="52"/>
      <c r="L45" s="52"/>
      <c r="M45" s="52"/>
      <c r="N45" s="52"/>
      <c r="O45" s="63"/>
      <c r="P45" s="52"/>
      <c r="Q45" s="52"/>
      <c r="R45" s="52"/>
      <c r="S45" s="63"/>
      <c r="T45" s="52"/>
      <c r="U45" s="90"/>
      <c r="V45" s="52"/>
      <c r="W45" s="63"/>
      <c r="X45" s="52"/>
      <c r="Y45" s="52"/>
      <c r="Z45" s="52"/>
      <c r="AA45" s="63"/>
      <c r="AB45" s="52"/>
      <c r="AC45" s="266"/>
      <c r="AD45" s="267"/>
      <c r="AE45" s="266"/>
      <c r="AF45" s="417"/>
      <c r="AG45" s="418"/>
      <c r="AH45" s="418"/>
      <c r="AI45" s="418"/>
      <c r="AJ45" s="418"/>
      <c r="AK45" s="611"/>
    </row>
    <row r="46" spans="1:40" s="268" customFormat="1" ht="16.5" thickBot="1" x14ac:dyDescent="0.25">
      <c r="A46" s="265"/>
      <c r="B46" s="266"/>
      <c r="C46" s="272" t="s">
        <v>12</v>
      </c>
      <c r="D46" s="266"/>
      <c r="E46" s="266"/>
      <c r="F46" s="266"/>
      <c r="G46" s="266"/>
      <c r="H46" s="266"/>
      <c r="I46" s="266"/>
      <c r="J46" s="266"/>
      <c r="K46" s="922" t="s">
        <v>20</v>
      </c>
      <c r="L46" s="922"/>
      <c r="M46" s="52"/>
      <c r="N46" s="338"/>
      <c r="O46" s="922" t="s">
        <v>20</v>
      </c>
      <c r="P46" s="922"/>
      <c r="Q46" s="52"/>
      <c r="R46" s="52"/>
      <c r="S46" s="922" t="s">
        <v>20</v>
      </c>
      <c r="T46" s="922"/>
      <c r="U46" s="90"/>
      <c r="V46" s="52"/>
      <c r="W46" s="922" t="s">
        <v>20</v>
      </c>
      <c r="X46" s="922"/>
      <c r="Y46" s="52"/>
      <c r="Z46" s="338"/>
      <c r="AA46" s="922" t="s">
        <v>20</v>
      </c>
      <c r="AB46" s="922"/>
      <c r="AC46" s="266"/>
      <c r="AD46" s="267"/>
      <c r="AE46" s="266"/>
      <c r="AF46" s="417"/>
      <c r="AG46" s="418"/>
      <c r="AH46" s="418"/>
      <c r="AI46" s="418"/>
      <c r="AJ46" s="418"/>
      <c r="AK46" s="611"/>
    </row>
    <row r="47" spans="1:40" s="268" customFormat="1" ht="16.5" thickBot="1" x14ac:dyDescent="0.25">
      <c r="A47" s="265"/>
      <c r="B47" s="266"/>
      <c r="C47" s="266"/>
      <c r="D47" s="266" t="s">
        <v>1503</v>
      </c>
      <c r="E47" s="266"/>
      <c r="F47" s="266"/>
      <c r="G47" s="266"/>
      <c r="H47" s="266"/>
      <c r="I47" s="266"/>
      <c r="J47" s="266"/>
      <c r="K47" s="721">
        <f>VLOOKUP('Part 1'!$L$16,Datasheet5!$B$6:$EZ$332,AF47,FALSE)</f>
        <v>201971742.10000053</v>
      </c>
      <c r="L47" s="909"/>
      <c r="M47" s="52"/>
      <c r="N47" s="52"/>
      <c r="O47" s="721">
        <f>VLOOKUP('Part 1'!$L$16,Datasheet5!$B$6:$EZ$332,AG47,FALSE)</f>
        <v>859787055</v>
      </c>
      <c r="P47" s="909"/>
      <c r="Q47" s="52"/>
      <c r="R47" s="52"/>
      <c r="S47" s="721">
        <f>VLOOKUP('Part 1'!$L$16,Datasheet5!$B$6:$EZ$332,AH47,FALSE)</f>
        <v>198717600</v>
      </c>
      <c r="T47" s="909"/>
      <c r="U47" s="90"/>
      <c r="V47" s="52"/>
      <c r="W47" s="721">
        <f>VLOOKUP('Part 1'!$L$16,Datasheet5!$B$6:$EZ$332,AI47,FALSE)</f>
        <v>7633970</v>
      </c>
      <c r="X47" s="909"/>
      <c r="Y47" s="52"/>
      <c r="Z47" s="52"/>
      <c r="AA47" s="721">
        <f>VLOOKUP('Part 1'!$L$16,Datasheet5!$B$6:$EZ$332,AJ47,FALSE)</f>
        <v>1268110367.1000004</v>
      </c>
      <c r="AB47" s="909"/>
      <c r="AC47" s="266"/>
      <c r="AD47" s="267"/>
      <c r="AE47" s="266"/>
      <c r="AF47" s="417">
        <v>36</v>
      </c>
      <c r="AG47" s="418">
        <v>37</v>
      </c>
      <c r="AH47" s="418">
        <v>38</v>
      </c>
      <c r="AI47" s="418">
        <v>39</v>
      </c>
      <c r="AJ47" s="418">
        <v>40</v>
      </c>
      <c r="AK47" s="611"/>
    </row>
    <row r="48" spans="1:40" s="268" customFormat="1" ht="15.75" thickBot="1" x14ac:dyDescent="0.25">
      <c r="A48" s="265"/>
      <c r="B48" s="266"/>
      <c r="C48" s="266"/>
      <c r="D48" s="266"/>
      <c r="E48" s="266"/>
      <c r="F48" s="266"/>
      <c r="G48" s="266"/>
      <c r="H48" s="266"/>
      <c r="I48" s="266"/>
      <c r="J48" s="266"/>
      <c r="K48" s="52"/>
      <c r="L48" s="52"/>
      <c r="M48" s="52"/>
      <c r="N48" s="52"/>
      <c r="O48" s="52"/>
      <c r="P48" s="52"/>
      <c r="Q48" s="52"/>
      <c r="R48" s="52"/>
      <c r="S48" s="52"/>
      <c r="T48" s="52"/>
      <c r="U48" s="90"/>
      <c r="V48" s="52"/>
      <c r="W48" s="52"/>
      <c r="X48" s="52"/>
      <c r="Y48" s="52"/>
      <c r="Z48" s="52"/>
      <c r="AA48" s="52"/>
      <c r="AB48" s="52"/>
      <c r="AC48" s="266"/>
      <c r="AD48" s="267"/>
      <c r="AE48" s="266"/>
      <c r="AF48" s="417"/>
      <c r="AG48" s="418"/>
      <c r="AH48" s="418"/>
      <c r="AI48" s="418"/>
      <c r="AJ48" s="418"/>
      <c r="AK48" s="611"/>
    </row>
    <row r="49" spans="1:37" s="268" customFormat="1" ht="18" customHeight="1" thickBot="1" x14ac:dyDescent="0.25">
      <c r="A49" s="265"/>
      <c r="B49" s="266"/>
      <c r="C49" s="266"/>
      <c r="D49" s="266" t="s">
        <v>1504</v>
      </c>
      <c r="E49" s="266"/>
      <c r="F49" s="266"/>
      <c r="G49" s="266"/>
      <c r="H49" s="266"/>
      <c r="I49" s="266"/>
      <c r="J49" s="266"/>
      <c r="K49" s="721">
        <f>VLOOKUP('Part 1'!$L$16,Datasheet5!$B$6:$EZ$332,AF49,FALSE)</f>
        <v>-97088953.230644405</v>
      </c>
      <c r="L49" s="909"/>
      <c r="M49" s="52"/>
      <c r="N49" s="52"/>
      <c r="O49" s="721">
        <f>VLOOKUP('Part 1'!$L$16,Datasheet5!$B$6:$EZ$332,AG49,FALSE)</f>
        <v>-595257995</v>
      </c>
      <c r="P49" s="909"/>
      <c r="Q49" s="52"/>
      <c r="R49" s="52"/>
      <c r="S49" s="721">
        <f>VLOOKUP('Part 1'!$L$16,Datasheet5!$B$6:$EZ$332,AH49,FALSE)</f>
        <v>-234902423</v>
      </c>
      <c r="T49" s="909"/>
      <c r="U49" s="90"/>
      <c r="V49" s="52"/>
      <c r="W49" s="721">
        <f>VLOOKUP('Part 1'!$L$16,Datasheet5!$B$6:$EZ$332,AI49,FALSE)</f>
        <v>-3071963</v>
      </c>
      <c r="X49" s="909"/>
      <c r="Y49" s="52"/>
      <c r="Z49" s="52"/>
      <c r="AA49" s="721">
        <f>VLOOKUP('Part 1'!$L$16,Datasheet5!$B$6:$EZ$332,AJ49,FALSE)</f>
        <v>-930321334.23064446</v>
      </c>
      <c r="AB49" s="909"/>
      <c r="AC49" s="266"/>
      <c r="AD49" s="267"/>
      <c r="AE49" s="266"/>
      <c r="AF49" s="417">
        <v>41</v>
      </c>
      <c r="AG49" s="418">
        <v>42</v>
      </c>
      <c r="AH49" s="418">
        <v>43</v>
      </c>
      <c r="AI49" s="418">
        <v>44</v>
      </c>
      <c r="AJ49" s="418">
        <v>45</v>
      </c>
      <c r="AK49" s="611"/>
    </row>
    <row r="50" spans="1:37" s="268" customFormat="1" x14ac:dyDescent="0.2">
      <c r="A50" s="265"/>
      <c r="B50" s="266"/>
      <c r="C50" s="266"/>
      <c r="D50" s="266"/>
      <c r="E50" s="266"/>
      <c r="F50" s="266"/>
      <c r="G50" s="266"/>
      <c r="H50" s="266"/>
      <c r="I50" s="266"/>
      <c r="J50" s="266"/>
      <c r="K50" s="52"/>
      <c r="L50" s="52"/>
      <c r="M50" s="52"/>
      <c r="N50" s="52"/>
      <c r="O50" s="52"/>
      <c r="P50" s="52"/>
      <c r="Q50" s="52"/>
      <c r="R50" s="52"/>
      <c r="S50" s="52"/>
      <c r="T50" s="52"/>
      <c r="U50" s="90"/>
      <c r="V50" s="52"/>
      <c r="W50" s="52"/>
      <c r="X50" s="52"/>
      <c r="Y50" s="52"/>
      <c r="Z50" s="52"/>
      <c r="AA50" s="52"/>
      <c r="AB50" s="52"/>
      <c r="AC50" s="266"/>
      <c r="AD50" s="267"/>
      <c r="AE50" s="266"/>
      <c r="AF50" s="417"/>
      <c r="AG50" s="418"/>
      <c r="AH50" s="418"/>
      <c r="AI50" s="418"/>
      <c r="AJ50" s="418"/>
      <c r="AK50" s="611"/>
    </row>
    <row r="51" spans="1:37" s="268" customFormat="1" ht="16.5" thickBot="1" x14ac:dyDescent="0.25">
      <c r="A51" s="273"/>
      <c r="B51" s="269"/>
      <c r="C51" s="272" t="s">
        <v>81</v>
      </c>
      <c r="D51" s="266"/>
      <c r="E51" s="269"/>
      <c r="F51" s="269"/>
      <c r="G51" s="269"/>
      <c r="H51" s="269"/>
      <c r="I51" s="269"/>
      <c r="J51" s="269"/>
      <c r="K51" s="339"/>
      <c r="L51" s="339"/>
      <c r="M51" s="52"/>
      <c r="N51" s="339"/>
      <c r="O51" s="339"/>
      <c r="P51" s="339"/>
      <c r="Q51" s="52"/>
      <c r="R51" s="339"/>
      <c r="S51" s="339"/>
      <c r="T51" s="339"/>
      <c r="U51" s="90"/>
      <c r="V51" s="339"/>
      <c r="W51" s="339"/>
      <c r="X51" s="339"/>
      <c r="Y51" s="52"/>
      <c r="Z51" s="339"/>
      <c r="AA51" s="339"/>
      <c r="AB51" s="339"/>
      <c r="AC51" s="269"/>
      <c r="AD51" s="267"/>
      <c r="AE51" s="266"/>
      <c r="AF51" s="417"/>
      <c r="AG51" s="418"/>
      <c r="AH51" s="418"/>
      <c r="AI51" s="418"/>
      <c r="AJ51" s="418"/>
      <c r="AK51" s="611"/>
    </row>
    <row r="52" spans="1:37" s="268" customFormat="1" ht="16.5" thickBot="1" x14ac:dyDescent="0.25">
      <c r="A52" s="273"/>
      <c r="B52" s="269"/>
      <c r="C52" s="274"/>
      <c r="D52" s="266" t="s">
        <v>1534</v>
      </c>
      <c r="E52" s="269"/>
      <c r="F52" s="269"/>
      <c r="G52" s="269"/>
      <c r="H52" s="269"/>
      <c r="I52" s="269"/>
      <c r="J52" s="269"/>
      <c r="K52" s="920">
        <f>VLOOKUP('Part 1'!$L$16,Datasheet5!$B$6:$EZ$332,AF52,FALSE)</f>
        <v>-105107135.57000002</v>
      </c>
      <c r="L52" s="921"/>
      <c r="M52" s="52"/>
      <c r="N52" s="52"/>
      <c r="O52" s="920">
        <f>VLOOKUP('Part 1'!$L$16,Datasheet5!$B$6:$EZ$332,AG52,FALSE)</f>
        <v>-498869220</v>
      </c>
      <c r="P52" s="921"/>
      <c r="Q52" s="52"/>
      <c r="R52" s="52"/>
      <c r="S52" s="920">
        <f>VLOOKUP('Part 1'!$L$16,Datasheet5!$B$6:$EZ$332,AH52,FALSE)</f>
        <v>-105559433</v>
      </c>
      <c r="T52" s="921"/>
      <c r="U52" s="90"/>
      <c r="V52" s="52"/>
      <c r="W52" s="920">
        <f>VLOOKUP('Part 1'!$L$16,Datasheet5!$B$6:$EZ$332,AI52,FALSE)</f>
        <v>-4515693</v>
      </c>
      <c r="X52" s="921"/>
      <c r="Y52" s="52"/>
      <c r="Z52" s="52"/>
      <c r="AA52" s="920">
        <f>VLOOKUP('Part 1'!$L$16,Datasheet5!$B$6:$EZ$332,AJ52,FALSE)</f>
        <v>-714051481.57000005</v>
      </c>
      <c r="AB52" s="921"/>
      <c r="AC52" s="269"/>
      <c r="AD52" s="267"/>
      <c r="AE52" s="266"/>
      <c r="AF52" s="415">
        <v>46</v>
      </c>
      <c r="AG52" s="415">
        <v>47</v>
      </c>
      <c r="AH52" s="418">
        <v>48</v>
      </c>
      <c r="AI52" s="418">
        <v>49</v>
      </c>
      <c r="AJ52" s="418">
        <v>50</v>
      </c>
      <c r="AK52" s="611"/>
    </row>
    <row r="53" spans="1:37" s="268" customFormat="1" ht="16.5" thickBot="1" x14ac:dyDescent="0.25">
      <c r="A53" s="273"/>
      <c r="B53" s="269"/>
      <c r="C53" s="274"/>
      <c r="D53" s="274"/>
      <c r="E53" s="269"/>
      <c r="F53" s="269"/>
      <c r="G53" s="269"/>
      <c r="H53" s="269"/>
      <c r="I53" s="269"/>
      <c r="J53" s="275"/>
      <c r="K53" s="336"/>
      <c r="L53" s="336"/>
      <c r="M53" s="52"/>
      <c r="N53" s="337"/>
      <c r="O53" s="336"/>
      <c r="P53" s="336"/>
      <c r="Q53" s="52"/>
      <c r="R53" s="337"/>
      <c r="S53" s="336"/>
      <c r="T53" s="336"/>
      <c r="U53" s="90"/>
      <c r="V53" s="337"/>
      <c r="W53" s="336"/>
      <c r="X53" s="336"/>
      <c r="Y53" s="52"/>
      <c r="Z53" s="337"/>
      <c r="AA53" s="336"/>
      <c r="AB53" s="337"/>
      <c r="AC53" s="275"/>
      <c r="AD53" s="276"/>
      <c r="AE53" s="414"/>
      <c r="AF53" s="417"/>
      <c r="AG53" s="418"/>
      <c r="AH53" s="418"/>
      <c r="AI53" s="418"/>
      <c r="AJ53" s="418"/>
      <c r="AK53" s="611"/>
    </row>
    <row r="54" spans="1:37" s="268" customFormat="1" ht="16.5" thickBot="1" x14ac:dyDescent="0.25">
      <c r="A54" s="273"/>
      <c r="B54" s="269"/>
      <c r="C54" s="274"/>
      <c r="D54" s="266" t="s">
        <v>1505</v>
      </c>
      <c r="E54" s="269"/>
      <c r="F54" s="269"/>
      <c r="G54" s="269"/>
      <c r="H54" s="269"/>
      <c r="I54" s="269"/>
      <c r="J54" s="275"/>
      <c r="K54" s="721">
        <f>VLOOKUP('Part 1'!$L$16,Datasheet5!$B$6:$EZ$332,AF54,FALSE)</f>
        <v>31068296.98</v>
      </c>
      <c r="L54" s="909"/>
      <c r="M54" s="52"/>
      <c r="N54" s="52"/>
      <c r="O54" s="721">
        <f>VLOOKUP('Part 1'!$L$16,Datasheet5!$B$6:$EZ$332,AG54,FALSE)</f>
        <v>133632676</v>
      </c>
      <c r="P54" s="909"/>
      <c r="Q54" s="52"/>
      <c r="R54" s="52"/>
      <c r="S54" s="721">
        <f>VLOOKUP('Part 1'!$L$16,Datasheet5!$B$6:$EZ$332,AH54,FALSE)</f>
        <v>17098252</v>
      </c>
      <c r="T54" s="909"/>
      <c r="U54" s="90"/>
      <c r="V54" s="52"/>
      <c r="W54" s="721">
        <f>VLOOKUP('Part 1'!$L$16,Datasheet5!$B$6:$EZ$332,AI54,FALSE)</f>
        <v>1368573</v>
      </c>
      <c r="X54" s="909"/>
      <c r="Y54" s="52"/>
      <c r="Z54" s="337"/>
      <c r="AA54" s="721">
        <f>VLOOKUP('Part 1'!$L$16,Datasheet5!$B$6:$EZ$332,AJ54,FALSE)</f>
        <v>183167797.97999999</v>
      </c>
      <c r="AB54" s="909"/>
      <c r="AC54" s="275"/>
      <c r="AD54" s="276"/>
      <c r="AE54" s="414"/>
      <c r="AF54" s="417">
        <v>51</v>
      </c>
      <c r="AG54" s="418">
        <v>52</v>
      </c>
      <c r="AH54" s="418">
        <v>53</v>
      </c>
      <c r="AI54" s="418">
        <v>54</v>
      </c>
      <c r="AJ54" s="418">
        <v>55</v>
      </c>
      <c r="AK54" s="611"/>
    </row>
    <row r="55" spans="1:37" s="268" customFormat="1" ht="15.75" thickBot="1" x14ac:dyDescent="0.25">
      <c r="A55" s="273"/>
      <c r="B55" s="269"/>
      <c r="C55" s="274"/>
      <c r="D55" s="274"/>
      <c r="E55" s="269"/>
      <c r="F55" s="269"/>
      <c r="G55" s="269"/>
      <c r="H55" s="269"/>
      <c r="I55" s="269"/>
      <c r="J55" s="269"/>
      <c r="K55" s="339"/>
      <c r="L55" s="339"/>
      <c r="M55" s="52"/>
      <c r="N55" s="339"/>
      <c r="O55" s="339"/>
      <c r="P55" s="339"/>
      <c r="Q55" s="52"/>
      <c r="R55" s="339"/>
      <c r="S55" s="339"/>
      <c r="T55" s="339"/>
      <c r="U55" s="90"/>
      <c r="V55" s="339"/>
      <c r="W55" s="339"/>
      <c r="X55" s="339"/>
      <c r="Y55" s="52"/>
      <c r="Z55" s="339"/>
      <c r="AA55" s="339"/>
      <c r="AB55" s="339"/>
      <c r="AC55" s="269"/>
      <c r="AD55" s="267"/>
      <c r="AE55" s="266"/>
      <c r="AF55" s="417"/>
      <c r="AG55" s="418"/>
      <c r="AH55" s="418"/>
      <c r="AI55" s="418"/>
      <c r="AJ55" s="418"/>
      <c r="AK55" s="611"/>
    </row>
    <row r="56" spans="1:37" s="268" customFormat="1" ht="16.5" thickBot="1" x14ac:dyDescent="0.25">
      <c r="A56" s="273"/>
      <c r="B56" s="269"/>
      <c r="C56" s="274"/>
      <c r="D56" s="266" t="s">
        <v>1506</v>
      </c>
      <c r="E56" s="269"/>
      <c r="F56" s="269"/>
      <c r="G56" s="269"/>
      <c r="H56" s="269"/>
      <c r="I56" s="269"/>
      <c r="J56" s="269"/>
      <c r="K56" s="721">
        <f>VLOOKUP('Part 1'!$L$16,Datasheet5!$B$6:$EZ$332,AF56,FALSE)</f>
        <v>-33201344.629999999</v>
      </c>
      <c r="L56" s="909"/>
      <c r="M56" s="52"/>
      <c r="N56" s="52"/>
      <c r="O56" s="721">
        <f>VLOOKUP('Part 1'!$L$16,Datasheet5!$B$6:$EZ$332,AG56,FALSE)</f>
        <v>-115433850</v>
      </c>
      <c r="P56" s="909"/>
      <c r="Q56" s="52"/>
      <c r="R56" s="52"/>
      <c r="S56" s="721">
        <f>VLOOKUP('Part 1'!$L$16,Datasheet5!$B$6:$EZ$332,AH56,FALSE)</f>
        <v>-14327137</v>
      </c>
      <c r="T56" s="909"/>
      <c r="U56" s="90"/>
      <c r="V56" s="52"/>
      <c r="W56" s="721">
        <f>VLOOKUP('Part 1'!$L$16,Datasheet5!$B$6:$EZ$332,AI56,FALSE)</f>
        <v>-1211586</v>
      </c>
      <c r="X56" s="909"/>
      <c r="Y56" s="52"/>
      <c r="Z56" s="52"/>
      <c r="AA56" s="721">
        <f>VLOOKUP('Part 1'!$L$16,Datasheet5!$B$6:$EZ$332,AJ56,FALSE)</f>
        <v>-164173917.63</v>
      </c>
      <c r="AB56" s="909"/>
      <c r="AC56" s="269"/>
      <c r="AD56" s="267"/>
      <c r="AE56" s="266"/>
      <c r="AF56" s="417">
        <v>56</v>
      </c>
      <c r="AG56" s="418">
        <v>57</v>
      </c>
      <c r="AH56" s="418">
        <v>58</v>
      </c>
      <c r="AI56" s="418">
        <v>59</v>
      </c>
      <c r="AJ56" s="418">
        <v>60</v>
      </c>
      <c r="AK56" s="611"/>
    </row>
    <row r="57" spans="1:37" s="268" customFormat="1" ht="15.75" thickBot="1" x14ac:dyDescent="0.25">
      <c r="A57" s="273"/>
      <c r="B57" s="269"/>
      <c r="C57" s="274"/>
      <c r="D57" s="274"/>
      <c r="E57" s="269"/>
      <c r="F57" s="269"/>
      <c r="G57" s="269"/>
      <c r="H57" s="269"/>
      <c r="I57" s="269"/>
      <c r="J57" s="269"/>
      <c r="K57" s="339"/>
      <c r="L57" s="339"/>
      <c r="M57" s="52"/>
      <c r="N57" s="339"/>
      <c r="O57" s="339"/>
      <c r="P57" s="339"/>
      <c r="Q57" s="52"/>
      <c r="R57" s="339"/>
      <c r="S57" s="339"/>
      <c r="T57" s="339"/>
      <c r="U57" s="90"/>
      <c r="V57" s="339"/>
      <c r="W57" s="339"/>
      <c r="X57" s="339"/>
      <c r="Y57" s="52"/>
      <c r="Z57" s="339"/>
      <c r="AA57" s="339"/>
      <c r="AB57" s="339"/>
      <c r="AC57" s="269"/>
      <c r="AD57" s="267"/>
      <c r="AE57" s="266"/>
      <c r="AF57" s="417"/>
      <c r="AG57" s="418"/>
      <c r="AH57" s="418"/>
      <c r="AI57" s="418"/>
      <c r="AJ57" s="418"/>
      <c r="AK57" s="611"/>
    </row>
    <row r="58" spans="1:37" s="268" customFormat="1" ht="16.5" thickBot="1" x14ac:dyDescent="0.25">
      <c r="A58" s="273"/>
      <c r="B58" s="269"/>
      <c r="C58" s="274"/>
      <c r="D58" s="266" t="s">
        <v>1507</v>
      </c>
      <c r="E58" s="269"/>
      <c r="F58" s="269"/>
      <c r="G58" s="269"/>
      <c r="H58" s="269"/>
      <c r="I58" s="269"/>
      <c r="J58" s="269"/>
      <c r="K58" s="721">
        <f>VLOOKUP('Part 1'!$L$16,Datasheet5!$B$6:$EZ$332,AF58,FALSE)</f>
        <v>-107240183.22000001</v>
      </c>
      <c r="L58" s="909"/>
      <c r="M58" s="52"/>
      <c r="N58" s="52"/>
      <c r="O58" s="721">
        <f>VLOOKUP('Part 1'!$L$16,Datasheet5!$B$6:$EZ$332,AG58,FALSE)</f>
        <v>-480670394</v>
      </c>
      <c r="P58" s="909"/>
      <c r="Q58" s="52"/>
      <c r="R58" s="52"/>
      <c r="S58" s="721">
        <f>VLOOKUP('Part 1'!$L$16,Datasheet5!$B$6:$EZ$332,AH58,FALSE)</f>
        <v>-102788318</v>
      </c>
      <c r="T58" s="909"/>
      <c r="U58" s="90"/>
      <c r="V58" s="52"/>
      <c r="W58" s="721">
        <f>VLOOKUP('Part 1'!$L$16,Datasheet5!$B$6:$EZ$332,AI58,FALSE)</f>
        <v>-4358706</v>
      </c>
      <c r="X58" s="909"/>
      <c r="Y58" s="52"/>
      <c r="Z58" s="52"/>
      <c r="AA58" s="721">
        <f>VLOOKUP('Part 1'!$L$16,Datasheet5!$B$6:$EZ$332,AJ58,FALSE)</f>
        <v>-695057601.22000015</v>
      </c>
      <c r="AB58" s="909"/>
      <c r="AC58" s="269"/>
      <c r="AD58" s="267"/>
      <c r="AE58" s="266"/>
      <c r="AF58" s="417">
        <v>61</v>
      </c>
      <c r="AG58" s="418">
        <v>62</v>
      </c>
      <c r="AH58" s="418">
        <v>63</v>
      </c>
      <c r="AI58" s="418">
        <v>64</v>
      </c>
      <c r="AJ58" s="418">
        <v>65</v>
      </c>
      <c r="AK58" s="611"/>
    </row>
    <row r="59" spans="1:37" s="268" customFormat="1" x14ac:dyDescent="0.2">
      <c r="A59" s="273"/>
      <c r="B59" s="269"/>
      <c r="C59" s="274"/>
      <c r="D59" s="274"/>
      <c r="E59" s="269"/>
      <c r="F59" s="269"/>
      <c r="G59" s="269"/>
      <c r="H59" s="269"/>
      <c r="I59" s="269"/>
      <c r="J59" s="269"/>
      <c r="K59" s="339"/>
      <c r="L59" s="339"/>
      <c r="M59" s="52"/>
      <c r="N59" s="339"/>
      <c r="O59" s="339"/>
      <c r="P59" s="339"/>
      <c r="Q59" s="52"/>
      <c r="R59" s="339"/>
      <c r="S59" s="339"/>
      <c r="T59" s="339"/>
      <c r="U59" s="90"/>
      <c r="V59" s="339"/>
      <c r="W59" s="339"/>
      <c r="X59" s="339"/>
      <c r="Y59" s="52"/>
      <c r="Z59" s="339"/>
      <c r="AA59" s="339"/>
      <c r="AB59" s="339"/>
      <c r="AC59" s="269"/>
      <c r="AD59" s="267"/>
      <c r="AE59" s="266"/>
      <c r="AF59" s="417"/>
      <c r="AG59" s="418"/>
      <c r="AH59" s="418"/>
      <c r="AI59" s="418"/>
      <c r="AJ59" s="418"/>
      <c r="AK59" s="611"/>
    </row>
    <row r="60" spans="1:37" s="268" customFormat="1" ht="15.75" x14ac:dyDescent="0.2">
      <c r="A60" s="273"/>
      <c r="B60" s="269"/>
      <c r="C60" s="277" t="s">
        <v>13</v>
      </c>
      <c r="D60" s="274"/>
      <c r="E60" s="269"/>
      <c r="F60" s="269"/>
      <c r="G60" s="269"/>
      <c r="H60" s="269"/>
      <c r="I60" s="269"/>
      <c r="J60" s="269"/>
      <c r="K60" s="339"/>
      <c r="L60" s="339"/>
      <c r="M60" s="52"/>
      <c r="N60" s="339"/>
      <c r="O60" s="339"/>
      <c r="P60" s="339"/>
      <c r="Q60" s="52"/>
      <c r="R60" s="339"/>
      <c r="S60" s="339"/>
      <c r="T60" s="339"/>
      <c r="U60" s="90"/>
      <c r="V60" s="339"/>
      <c r="W60" s="339"/>
      <c r="X60" s="339"/>
      <c r="Y60" s="52"/>
      <c r="Z60" s="339"/>
      <c r="AA60" s="339"/>
      <c r="AB60" s="339"/>
      <c r="AC60" s="269"/>
      <c r="AD60" s="267"/>
      <c r="AE60" s="266"/>
      <c r="AF60" s="417"/>
      <c r="AG60" s="418"/>
      <c r="AH60" s="418"/>
      <c r="AI60" s="418"/>
      <c r="AJ60" s="418"/>
      <c r="AK60" s="611"/>
    </row>
    <row r="61" spans="1:37" s="268" customFormat="1" ht="16.5" thickBot="1" x14ac:dyDescent="0.25">
      <c r="A61" s="273"/>
      <c r="B61" s="269"/>
      <c r="C61" s="277"/>
      <c r="D61" s="277" t="s">
        <v>14</v>
      </c>
      <c r="E61" s="269"/>
      <c r="F61" s="269"/>
      <c r="G61" s="269"/>
      <c r="H61" s="269"/>
      <c r="I61" s="269"/>
      <c r="J61" s="269"/>
      <c r="K61" s="339"/>
      <c r="L61" s="339"/>
      <c r="M61" s="52"/>
      <c r="N61" s="339"/>
      <c r="O61" s="339"/>
      <c r="P61" s="339"/>
      <c r="Q61" s="52"/>
      <c r="R61" s="339"/>
      <c r="S61" s="339"/>
      <c r="T61" s="339"/>
      <c r="U61" s="90"/>
      <c r="V61" s="339"/>
      <c r="W61" s="339"/>
      <c r="X61" s="339"/>
      <c r="Y61" s="52"/>
      <c r="Z61" s="339"/>
      <c r="AA61" s="339"/>
      <c r="AB61" s="339"/>
      <c r="AC61" s="269"/>
      <c r="AD61" s="267"/>
      <c r="AE61" s="266"/>
      <c r="AF61" s="417"/>
      <c r="AG61" s="418"/>
      <c r="AH61" s="418"/>
      <c r="AI61" s="418"/>
      <c r="AJ61" s="418"/>
      <c r="AK61" s="611"/>
    </row>
    <row r="62" spans="1:37" s="268" customFormat="1" ht="16.5" thickBot="1" x14ac:dyDescent="0.25">
      <c r="A62" s="273"/>
      <c r="B62" s="269"/>
      <c r="C62" s="274"/>
      <c r="D62" s="266" t="s">
        <v>1508</v>
      </c>
      <c r="E62" s="269"/>
      <c r="F62" s="269"/>
      <c r="G62" s="269"/>
      <c r="H62" s="269"/>
      <c r="I62" s="269"/>
      <c r="J62" s="269"/>
      <c r="K62" s="805">
        <f>VLOOKUP('Part 1'!$L$16,Datasheet5!$B$6:$EZ$332,AF62,FALSE)</f>
        <v>-531401874.47188902</v>
      </c>
      <c r="L62" s="914"/>
      <c r="M62" s="52"/>
      <c r="N62" s="52"/>
      <c r="O62" s="805">
        <f>VLOOKUP('Part 1'!$L$16,Datasheet5!$B$6:$EZ$332,AG62,FALSE)</f>
        <v>-1754245437</v>
      </c>
      <c r="P62" s="914"/>
      <c r="Q62" s="52"/>
      <c r="R62" s="52"/>
      <c r="S62" s="805">
        <f>VLOOKUP('Part 1'!$L$16,Datasheet5!$B$6:$EZ$332,AH62,FALSE)</f>
        <v>-511931021</v>
      </c>
      <c r="T62" s="914"/>
      <c r="U62" s="90"/>
      <c r="V62" s="52"/>
      <c r="W62" s="805">
        <f>VLOOKUP('Part 1'!$L$16,Datasheet5!$B$6:$EZ$332,AI62,FALSE)</f>
        <v>-15327533</v>
      </c>
      <c r="X62" s="914"/>
      <c r="Y62" s="52"/>
      <c r="Z62" s="52"/>
      <c r="AA62" s="805">
        <f>VLOOKUP('Part 1'!$L$16,Datasheet5!$B$6:$EZ$332,AJ62,FALSE)</f>
        <v>-2812905865.471889</v>
      </c>
      <c r="AB62" s="914"/>
      <c r="AC62" s="269"/>
      <c r="AD62" s="267"/>
      <c r="AE62" s="266"/>
      <c r="AF62" s="415">
        <v>66</v>
      </c>
      <c r="AG62" s="415">
        <v>67</v>
      </c>
      <c r="AH62" s="418">
        <v>68</v>
      </c>
      <c r="AI62" s="418">
        <v>69</v>
      </c>
      <c r="AJ62" s="418">
        <v>70</v>
      </c>
      <c r="AK62" s="611"/>
    </row>
    <row r="63" spans="1:37" s="268" customFormat="1" ht="15.75" thickBot="1" x14ac:dyDescent="0.25">
      <c r="A63" s="273"/>
      <c r="B63" s="269"/>
      <c r="C63" s="274"/>
      <c r="D63" s="644" t="s">
        <v>36</v>
      </c>
      <c r="E63" s="269"/>
      <c r="F63" s="269"/>
      <c r="G63" s="269"/>
      <c r="H63" s="269"/>
      <c r="I63" s="269"/>
      <c r="J63" s="269"/>
      <c r="K63" s="339"/>
      <c r="L63" s="339"/>
      <c r="M63" s="52"/>
      <c r="N63" s="339"/>
      <c r="O63" s="339"/>
      <c r="P63" s="339"/>
      <c r="Q63" s="52"/>
      <c r="R63" s="339"/>
      <c r="S63" s="339"/>
      <c r="T63" s="339"/>
      <c r="U63" s="90"/>
      <c r="V63" s="339"/>
      <c r="W63" s="339"/>
      <c r="X63" s="339"/>
      <c r="Y63" s="52"/>
      <c r="Z63" s="339"/>
      <c r="AA63" s="339"/>
      <c r="AB63" s="339"/>
      <c r="AC63" s="269"/>
      <c r="AD63" s="267"/>
      <c r="AE63" s="266"/>
      <c r="AF63" s="417"/>
      <c r="AG63" s="418"/>
      <c r="AH63" s="418"/>
      <c r="AI63" s="418"/>
      <c r="AJ63" s="418"/>
      <c r="AK63" s="611"/>
    </row>
    <row r="64" spans="1:37" s="268" customFormat="1" ht="16.5" customHeight="1" thickBot="1" x14ac:dyDescent="0.25">
      <c r="A64" s="273"/>
      <c r="B64" s="269"/>
      <c r="C64" s="274"/>
      <c r="D64" s="266" t="s">
        <v>1515</v>
      </c>
      <c r="E64" s="269"/>
      <c r="F64" s="269"/>
      <c r="G64" s="269"/>
      <c r="H64" s="269"/>
      <c r="I64" s="269"/>
      <c r="J64" s="269"/>
      <c r="K64" s="927">
        <f>VLOOKUP('Part 1'!$L$16,Datasheet5!$B$6:$EZ$332,AF64,FALSE)</f>
        <v>-233467520.47</v>
      </c>
      <c r="L64" s="928"/>
      <c r="M64" s="52"/>
      <c r="N64" s="339"/>
      <c r="O64" s="927">
        <f>VLOOKUP('Part 1'!$L$16,Datasheet5!$B$6:$EZ$332,AG64,FALSE)</f>
        <v>-818349301</v>
      </c>
      <c r="P64" s="928"/>
      <c r="Q64" s="52"/>
      <c r="R64" s="339"/>
      <c r="S64" s="746">
        <f>VLOOKUP('Part 1'!$L$16,Datasheet5!$B$6:$EZ$332,AH64,FALSE)</f>
        <v>-205933762</v>
      </c>
      <c r="T64" s="929"/>
      <c r="U64" s="90"/>
      <c r="V64" s="339"/>
      <c r="W64" s="746">
        <f>VLOOKUP('Part 1'!$L$16,Datasheet5!$B$6:$EZ$332,AI64,FALSE)</f>
        <v>-7552047</v>
      </c>
      <c r="X64" s="929"/>
      <c r="Y64" s="52"/>
      <c r="Z64" s="339"/>
      <c r="AA64" s="746">
        <f>VLOOKUP('Part 1'!$L$16,Datasheet5!$B$6:$EZ$332,AJ64,FALSE)</f>
        <v>-1265302630.47</v>
      </c>
      <c r="AB64" s="929"/>
      <c r="AC64" s="269"/>
      <c r="AD64" s="267"/>
      <c r="AE64" s="266"/>
      <c r="AF64" s="417">
        <v>71</v>
      </c>
      <c r="AG64" s="418">
        <v>72</v>
      </c>
      <c r="AH64" s="418">
        <v>73</v>
      </c>
      <c r="AI64" s="418">
        <v>74</v>
      </c>
      <c r="AJ64" s="418">
        <v>75</v>
      </c>
      <c r="AK64" s="611"/>
    </row>
    <row r="65" spans="1:37" s="268" customFormat="1" ht="15.75" thickBot="1" x14ac:dyDescent="0.25">
      <c r="A65" s="273"/>
      <c r="B65" s="269"/>
      <c r="C65" s="274"/>
      <c r="D65" s="644"/>
      <c r="E65" s="269"/>
      <c r="F65" s="269"/>
      <c r="G65" s="269"/>
      <c r="H65" s="269"/>
      <c r="I65" s="269"/>
      <c r="J65" s="269"/>
      <c r="K65" s="339"/>
      <c r="L65" s="339"/>
      <c r="M65" s="52"/>
      <c r="N65" s="339"/>
      <c r="O65" s="339"/>
      <c r="P65" s="339"/>
      <c r="Q65" s="52"/>
      <c r="R65" s="339"/>
      <c r="S65" s="339"/>
      <c r="T65" s="339"/>
      <c r="U65" s="90"/>
      <c r="V65" s="339"/>
      <c r="W65" s="339"/>
      <c r="X65" s="339"/>
      <c r="Y65" s="52"/>
      <c r="Z65" s="339"/>
      <c r="AA65" s="339"/>
      <c r="AB65" s="339"/>
      <c r="AC65" s="269"/>
      <c r="AD65" s="267"/>
      <c r="AE65" s="266"/>
      <c r="AF65" s="417"/>
      <c r="AG65" s="418"/>
      <c r="AH65" s="418"/>
      <c r="AI65" s="418"/>
      <c r="AJ65" s="418"/>
      <c r="AK65" s="611"/>
    </row>
    <row r="66" spans="1:37" s="268" customFormat="1" ht="16.5" customHeight="1" thickBot="1" x14ac:dyDescent="0.25">
      <c r="A66" s="273"/>
      <c r="B66" s="269"/>
      <c r="C66" s="274"/>
      <c r="D66" s="266" t="s">
        <v>1516</v>
      </c>
      <c r="E66" s="645"/>
      <c r="F66" s="645"/>
      <c r="G66" s="645"/>
      <c r="H66" s="269"/>
      <c r="I66" s="269"/>
      <c r="J66" s="269"/>
      <c r="K66" s="927">
        <f>VLOOKUP('Part 1'!$L$16,Datasheet5!$B$6:$EZ$332,AF66,FALSE)</f>
        <v>-297934358.00188905</v>
      </c>
      <c r="L66" s="928"/>
      <c r="M66" s="52"/>
      <c r="N66" s="339"/>
      <c r="O66" s="927">
        <f>VLOOKUP('Part 1'!$L$16,Datasheet5!$B$6:$EZ$332,AG66,FALSE)</f>
        <v>-935896151</v>
      </c>
      <c r="P66" s="928"/>
      <c r="Q66" s="52"/>
      <c r="R66" s="339"/>
      <c r="S66" s="746">
        <f>VLOOKUP('Part 1'!$L$16,Datasheet5!$B$6:$EZ$332,AH66,FALSE)</f>
        <v>-305997248</v>
      </c>
      <c r="T66" s="929"/>
      <c r="U66" s="90"/>
      <c r="V66" s="339"/>
      <c r="W66" s="746">
        <f>VLOOKUP('Part 1'!$L$16,Datasheet5!$B$6:$EZ$332,AI66,FALSE)</f>
        <v>-7775478</v>
      </c>
      <c r="X66" s="929"/>
      <c r="Y66" s="52"/>
      <c r="Z66" s="339"/>
      <c r="AA66" s="746">
        <f>VLOOKUP('Part 1'!$L$16,Datasheet5!$B$6:$EZ$332,AJ66,FALSE)</f>
        <v>-1547603235.0018888</v>
      </c>
      <c r="AB66" s="929"/>
      <c r="AC66" s="269"/>
      <c r="AD66" s="267"/>
      <c r="AE66" s="266"/>
      <c r="AF66" s="417">
        <v>76</v>
      </c>
      <c r="AG66" s="418">
        <v>77</v>
      </c>
      <c r="AH66" s="418">
        <v>78</v>
      </c>
      <c r="AI66" s="418">
        <v>79</v>
      </c>
      <c r="AJ66" s="418">
        <v>80</v>
      </c>
      <c r="AK66" s="611"/>
    </row>
    <row r="67" spans="1:37" s="268" customFormat="1" ht="15.75" thickBot="1" x14ac:dyDescent="0.25">
      <c r="A67" s="273"/>
      <c r="B67" s="269"/>
      <c r="C67" s="274"/>
      <c r="D67" s="644"/>
      <c r="E67" s="269"/>
      <c r="F67" s="269"/>
      <c r="G67" s="269"/>
      <c r="H67" s="269"/>
      <c r="I67" s="269"/>
      <c r="J67" s="269"/>
      <c r="K67" s="339"/>
      <c r="L67" s="339"/>
      <c r="M67" s="52"/>
      <c r="N67" s="339"/>
      <c r="O67" s="339"/>
      <c r="P67" s="339"/>
      <c r="Q67" s="52"/>
      <c r="R67" s="339"/>
      <c r="S67" s="339"/>
      <c r="T67" s="339"/>
      <c r="U67" s="90"/>
      <c r="V67" s="339"/>
      <c r="W67" s="339"/>
      <c r="X67" s="339"/>
      <c r="Y67" s="52"/>
      <c r="Z67" s="339"/>
      <c r="AA67" s="339"/>
      <c r="AB67" s="339"/>
      <c r="AC67" s="269"/>
      <c r="AD67" s="267"/>
      <c r="AE67" s="266"/>
      <c r="AF67" s="417"/>
      <c r="AG67" s="418"/>
      <c r="AH67" s="418"/>
      <c r="AI67" s="418"/>
      <c r="AJ67" s="418"/>
      <c r="AK67" s="611"/>
    </row>
    <row r="68" spans="1:37" s="268" customFormat="1" ht="16.5" customHeight="1" thickBot="1" x14ac:dyDescent="0.25">
      <c r="A68" s="273"/>
      <c r="B68" s="269"/>
      <c r="C68" s="274"/>
      <c r="D68" s="266" t="s">
        <v>1509</v>
      </c>
      <c r="E68" s="645"/>
      <c r="F68" s="645"/>
      <c r="G68" s="645"/>
      <c r="H68" s="645"/>
      <c r="I68" s="645"/>
      <c r="J68" s="269"/>
      <c r="K68" s="927">
        <f>VLOOKUP('Part 1'!$L$16,Datasheet5!$B$6:$EZ$332,AF68,FALSE)</f>
        <v>88390998</v>
      </c>
      <c r="L68" s="928"/>
      <c r="M68" s="52"/>
      <c r="N68" s="339"/>
      <c r="O68" s="927">
        <f>VLOOKUP('Part 1'!$L$16,Datasheet5!$B$6:$EZ$332,AG68,FALSE)</f>
        <v>288608985</v>
      </c>
      <c r="P68" s="928"/>
      <c r="Q68" s="52"/>
      <c r="R68" s="339"/>
      <c r="S68" s="746">
        <f>VLOOKUP('Part 1'!$L$16,Datasheet5!$B$6:$EZ$332,AH68,FALSE)</f>
        <v>76066529</v>
      </c>
      <c r="T68" s="929"/>
      <c r="U68" s="90"/>
      <c r="V68" s="339"/>
      <c r="W68" s="746">
        <f>VLOOKUP('Part 1'!$L$16,Datasheet5!$B$6:$EZ$332,AI68,FALSE)</f>
        <v>2450282</v>
      </c>
      <c r="X68" s="929"/>
      <c r="Y68" s="52"/>
      <c r="Z68" s="339"/>
      <c r="AA68" s="746">
        <f>VLOOKUP('Part 1'!$L$16,Datasheet5!$B$6:$EZ$332,AJ68,FALSE)</f>
        <v>455516794</v>
      </c>
      <c r="AB68" s="929"/>
      <c r="AC68" s="269"/>
      <c r="AD68" s="267"/>
      <c r="AE68" s="266"/>
      <c r="AF68" s="417">
        <v>81</v>
      </c>
      <c r="AG68" s="418">
        <v>82</v>
      </c>
      <c r="AH68" s="418">
        <v>83</v>
      </c>
      <c r="AI68" s="418">
        <v>84</v>
      </c>
      <c r="AJ68" s="418">
        <v>85</v>
      </c>
      <c r="AK68" s="611"/>
    </row>
    <row r="69" spans="1:37" s="268" customFormat="1" ht="15.75" thickBot="1" x14ac:dyDescent="0.25">
      <c r="A69" s="273"/>
      <c r="B69" s="269"/>
      <c r="C69" s="274"/>
      <c r="D69" s="644"/>
      <c r="E69" s="269"/>
      <c r="F69" s="269"/>
      <c r="G69" s="269"/>
      <c r="H69" s="269"/>
      <c r="I69" s="269"/>
      <c r="J69" s="269"/>
      <c r="K69" s="339"/>
      <c r="L69" s="339"/>
      <c r="M69" s="52"/>
      <c r="N69" s="339"/>
      <c r="O69" s="339"/>
      <c r="P69" s="339"/>
      <c r="Q69" s="52"/>
      <c r="R69" s="339"/>
      <c r="S69" s="339"/>
      <c r="T69" s="339"/>
      <c r="U69" s="90"/>
      <c r="V69" s="339"/>
      <c r="W69" s="339"/>
      <c r="X69" s="339"/>
      <c r="Y69" s="52"/>
      <c r="Z69" s="339"/>
      <c r="AA69" s="339"/>
      <c r="AB69" s="339"/>
      <c r="AC69" s="269"/>
      <c r="AD69" s="267"/>
      <c r="AE69" s="266"/>
      <c r="AF69" s="417"/>
      <c r="AG69" s="418"/>
      <c r="AH69" s="418"/>
      <c r="AI69" s="418"/>
      <c r="AJ69" s="418"/>
      <c r="AK69" s="611"/>
    </row>
    <row r="70" spans="1:37" s="268" customFormat="1" ht="16.5" thickBot="1" x14ac:dyDescent="0.25">
      <c r="A70" s="273"/>
      <c r="B70" s="269"/>
      <c r="C70" s="274"/>
      <c r="D70" s="266" t="s">
        <v>1510</v>
      </c>
      <c r="E70" s="269"/>
      <c r="F70" s="269"/>
      <c r="G70" s="269"/>
      <c r="H70" s="269"/>
      <c r="I70" s="269"/>
      <c r="J70" s="269"/>
      <c r="K70" s="721">
        <f>VLOOKUP('Part 1'!$L$16,Datasheet5!$B$6:$EZ$332,AF70,FALSE)</f>
        <v>18224280</v>
      </c>
      <c r="L70" s="909"/>
      <c r="M70" s="52"/>
      <c r="N70" s="52"/>
      <c r="O70" s="721">
        <f>VLOOKUP('Part 1'!$L$16,Datasheet5!$B$6:$EZ$332,AG70,FALSE)</f>
        <v>120238044</v>
      </c>
      <c r="P70" s="909"/>
      <c r="Q70" s="52"/>
      <c r="R70" s="52"/>
      <c r="S70" s="721">
        <f>VLOOKUP('Part 1'!$L$16,Datasheet5!$B$6:$EZ$332,AH70,FALSE)</f>
        <v>42374579</v>
      </c>
      <c r="T70" s="909"/>
      <c r="U70" s="90"/>
      <c r="V70" s="52"/>
      <c r="W70" s="721">
        <f>VLOOKUP('Part 1'!$L$16,Datasheet5!$B$6:$EZ$332,AI70,FALSE)</f>
        <v>675357</v>
      </c>
      <c r="X70" s="909"/>
      <c r="Y70" s="52"/>
      <c r="Z70" s="339"/>
      <c r="AA70" s="721">
        <f>VLOOKUP('Part 1'!$L$16,Datasheet5!$B$6:$EZ$332,AJ70,FALSE)</f>
        <v>181512260</v>
      </c>
      <c r="AB70" s="909"/>
      <c r="AC70" s="269"/>
      <c r="AD70" s="267"/>
      <c r="AE70" s="266"/>
      <c r="AF70" s="417">
        <v>86</v>
      </c>
      <c r="AG70" s="418">
        <v>87</v>
      </c>
      <c r="AH70" s="418">
        <v>88</v>
      </c>
      <c r="AI70" s="418">
        <v>89</v>
      </c>
      <c r="AJ70" s="418">
        <v>90</v>
      </c>
      <c r="AK70" s="611"/>
    </row>
    <row r="71" spans="1:37" s="268" customFormat="1" ht="15.75" thickBot="1" x14ac:dyDescent="0.25">
      <c r="A71" s="273"/>
      <c r="B71" s="269"/>
      <c r="C71" s="274"/>
      <c r="D71" s="274"/>
      <c r="E71" s="269"/>
      <c r="F71" s="269"/>
      <c r="G71" s="269"/>
      <c r="H71" s="269"/>
      <c r="I71" s="269"/>
      <c r="J71" s="269"/>
      <c r="K71" s="339"/>
      <c r="L71" s="339"/>
      <c r="M71" s="52"/>
      <c r="N71" s="339"/>
      <c r="O71" s="339"/>
      <c r="P71" s="339"/>
      <c r="Q71" s="52"/>
      <c r="R71" s="339"/>
      <c r="S71" s="339"/>
      <c r="T71" s="339"/>
      <c r="U71" s="90"/>
      <c r="V71" s="339"/>
      <c r="W71" s="339"/>
      <c r="X71" s="339"/>
      <c r="Y71" s="52"/>
      <c r="Z71" s="339"/>
      <c r="AA71" s="339"/>
      <c r="AB71" s="339"/>
      <c r="AC71" s="269"/>
      <c r="AD71" s="267"/>
      <c r="AE71" s="266"/>
      <c r="AF71" s="417"/>
      <c r="AG71" s="418"/>
      <c r="AH71" s="418"/>
      <c r="AI71" s="418"/>
      <c r="AJ71" s="418"/>
      <c r="AK71" s="611"/>
    </row>
    <row r="72" spans="1:37" s="268" customFormat="1" ht="16.5" thickBot="1" x14ac:dyDescent="0.25">
      <c r="A72" s="273"/>
      <c r="B72" s="269"/>
      <c r="C72" s="274"/>
      <c r="D72" s="266" t="s">
        <v>1512</v>
      </c>
      <c r="E72" s="269"/>
      <c r="F72" s="269"/>
      <c r="G72" s="269"/>
      <c r="H72" s="269"/>
      <c r="I72" s="269"/>
      <c r="J72" s="269"/>
      <c r="K72" s="721">
        <f>VLOOKUP('Part 1'!$L$16,Datasheet5!$B$6:$EZ$332,AF72,FALSE)</f>
        <v>-39515019.990000002</v>
      </c>
      <c r="L72" s="909"/>
      <c r="M72" s="52"/>
      <c r="N72" s="52"/>
      <c r="O72" s="721">
        <f>VLOOKUP('Part 1'!$L$16,Datasheet5!$B$6:$EZ$332,AG72,FALSE)</f>
        <v>35921455</v>
      </c>
      <c r="P72" s="909"/>
      <c r="Q72" s="52"/>
      <c r="R72" s="52"/>
      <c r="S72" s="721">
        <f>VLOOKUP('Part 1'!$L$16,Datasheet5!$B$6:$EZ$332,AH72,FALSE)</f>
        <v>27339412</v>
      </c>
      <c r="T72" s="909"/>
      <c r="U72" s="90"/>
      <c r="V72" s="52"/>
      <c r="W72" s="721">
        <f>VLOOKUP('Part 1'!$L$16,Datasheet5!$B$6:$EZ$332,AI72,FALSE)</f>
        <v>-400257</v>
      </c>
      <c r="X72" s="909"/>
      <c r="Y72" s="52"/>
      <c r="Z72" s="52"/>
      <c r="AA72" s="721">
        <f>VLOOKUP('Part 1'!$L$16,Datasheet5!$B$6:$EZ$332,AJ72,FALSE)</f>
        <v>23345590.009999998</v>
      </c>
      <c r="AB72" s="909"/>
      <c r="AC72" s="269"/>
      <c r="AD72" s="267"/>
      <c r="AE72" s="266"/>
      <c r="AF72" s="417">
        <v>91</v>
      </c>
      <c r="AG72" s="418">
        <v>92</v>
      </c>
      <c r="AH72" s="418">
        <v>93</v>
      </c>
      <c r="AI72" s="418">
        <v>94</v>
      </c>
      <c r="AJ72" s="418">
        <v>95</v>
      </c>
      <c r="AK72" s="611"/>
    </row>
    <row r="73" spans="1:37" s="268" customFormat="1" ht="15.75" x14ac:dyDescent="0.2">
      <c r="A73" s="273"/>
      <c r="B73" s="269"/>
      <c r="C73" s="274"/>
      <c r="D73" s="266" t="s">
        <v>1511</v>
      </c>
      <c r="E73" s="269"/>
      <c r="F73" s="269"/>
      <c r="G73" s="269"/>
      <c r="H73" s="269"/>
      <c r="I73" s="269"/>
      <c r="J73" s="275"/>
      <c r="K73" s="336"/>
      <c r="L73" s="336"/>
      <c r="M73" s="337"/>
      <c r="N73" s="337"/>
      <c r="O73" s="336"/>
      <c r="P73" s="336"/>
      <c r="Q73" s="337"/>
      <c r="R73" s="337"/>
      <c r="S73" s="336"/>
      <c r="T73" s="336"/>
      <c r="U73" s="643"/>
      <c r="V73" s="337"/>
      <c r="W73" s="336"/>
      <c r="X73" s="336"/>
      <c r="Y73" s="337"/>
      <c r="Z73" s="337"/>
      <c r="AA73" s="336"/>
      <c r="AB73" s="336"/>
      <c r="AC73" s="269"/>
      <c r="AD73" s="267"/>
      <c r="AE73" s="266"/>
      <c r="AF73" s="417"/>
      <c r="AG73" s="418"/>
      <c r="AH73" s="418"/>
      <c r="AI73" s="418"/>
      <c r="AJ73" s="418"/>
      <c r="AK73" s="611"/>
    </row>
    <row r="74" spans="1:37" s="268" customFormat="1" ht="16.5" thickBot="1" x14ac:dyDescent="0.25">
      <c r="A74" s="273"/>
      <c r="B74" s="269"/>
      <c r="C74" s="274"/>
      <c r="D74" s="266"/>
      <c r="E74" s="269"/>
      <c r="F74" s="269"/>
      <c r="G74" s="269"/>
      <c r="H74" s="269"/>
      <c r="I74" s="269"/>
      <c r="J74" s="275"/>
      <c r="K74" s="336"/>
      <c r="L74" s="336"/>
      <c r="M74" s="337"/>
      <c r="N74" s="337"/>
      <c r="O74" s="336"/>
      <c r="P74" s="336"/>
      <c r="Q74" s="337"/>
      <c r="R74" s="337"/>
      <c r="S74" s="336"/>
      <c r="T74" s="336"/>
      <c r="U74" s="643"/>
      <c r="V74" s="337"/>
      <c r="W74" s="336"/>
      <c r="X74" s="336"/>
      <c r="Y74" s="337"/>
      <c r="Z74" s="337"/>
      <c r="AA74" s="336"/>
      <c r="AB74" s="336"/>
      <c r="AC74" s="269"/>
      <c r="AD74" s="267"/>
      <c r="AE74" s="266"/>
      <c r="AF74" s="417"/>
      <c r="AG74" s="418"/>
      <c r="AH74" s="418"/>
      <c r="AI74" s="418"/>
      <c r="AJ74" s="418"/>
      <c r="AK74" s="611"/>
    </row>
    <row r="75" spans="1:37" s="268" customFormat="1" ht="16.5" customHeight="1" thickBot="1" x14ac:dyDescent="0.25">
      <c r="A75" s="273"/>
      <c r="B75" s="269"/>
      <c r="C75" s="274"/>
      <c r="D75" s="266" t="s">
        <v>1513</v>
      </c>
      <c r="E75" s="269"/>
      <c r="F75" s="269"/>
      <c r="G75" s="269"/>
      <c r="H75" s="269"/>
      <c r="I75" s="269"/>
      <c r="J75" s="269"/>
      <c r="K75" s="927">
        <f>VLOOKUP('Part 1'!$L$16,Datasheet5!$B$6:$EZ$332,AF75,FALSE)</f>
        <v>-168528363.36000001</v>
      </c>
      <c r="L75" s="928"/>
      <c r="M75" s="52"/>
      <c r="N75" s="339"/>
      <c r="O75" s="927">
        <f>VLOOKUP('Part 1'!$L$16,Datasheet5!$B$6:$EZ$332,AG75,FALSE)</f>
        <v>-476297379</v>
      </c>
      <c r="P75" s="928"/>
      <c r="Q75" s="52"/>
      <c r="R75" s="339"/>
      <c r="S75" s="746">
        <f>VLOOKUP('Part 1'!$L$16,Datasheet5!$B$6:$EZ$332,AH75,FALSE)</f>
        <v>-111893347</v>
      </c>
      <c r="T75" s="929"/>
      <c r="U75" s="90"/>
      <c r="V75" s="339"/>
      <c r="W75" s="746">
        <f>VLOOKUP('Part 1'!$L$16,Datasheet5!$B$6:$EZ$332,AI75,FALSE)</f>
        <v>-4472366</v>
      </c>
      <c r="X75" s="929"/>
      <c r="Y75" s="52"/>
      <c r="Z75" s="339"/>
      <c r="AA75" s="746">
        <f>VLOOKUP('Part 1'!$L$16,Datasheet5!$B$6:$EZ$332,AJ75,FALSE)</f>
        <v>-761191455.36000001</v>
      </c>
      <c r="AB75" s="929"/>
      <c r="AC75" s="269"/>
      <c r="AD75" s="267"/>
      <c r="AE75" s="266"/>
      <c r="AF75" s="417">
        <v>96</v>
      </c>
      <c r="AG75" s="418">
        <v>97</v>
      </c>
      <c r="AH75" s="418">
        <v>98</v>
      </c>
      <c r="AI75" s="418">
        <v>99</v>
      </c>
      <c r="AJ75" s="418">
        <v>100</v>
      </c>
      <c r="AK75" s="611"/>
    </row>
    <row r="76" spans="1:37" s="268" customFormat="1" x14ac:dyDescent="0.2">
      <c r="A76" s="273"/>
      <c r="B76" s="269"/>
      <c r="C76" s="274"/>
      <c r="D76" s="266" t="s">
        <v>1511</v>
      </c>
      <c r="E76" s="269"/>
      <c r="F76" s="269"/>
      <c r="G76" s="269"/>
      <c r="H76" s="269"/>
      <c r="I76" s="269"/>
      <c r="J76" s="269"/>
      <c r="K76" s="339"/>
      <c r="L76" s="339"/>
      <c r="M76" s="52"/>
      <c r="N76" s="339"/>
      <c r="O76" s="339"/>
      <c r="P76" s="339"/>
      <c r="Q76" s="52"/>
      <c r="R76" s="339"/>
      <c r="S76" s="339"/>
      <c r="T76" s="339"/>
      <c r="U76" s="90"/>
      <c r="V76" s="339"/>
      <c r="W76" s="339"/>
      <c r="X76" s="339"/>
      <c r="Y76" s="52"/>
      <c r="Z76" s="339"/>
      <c r="AA76" s="339"/>
      <c r="AB76" s="339"/>
      <c r="AC76" s="269"/>
      <c r="AD76" s="267"/>
      <c r="AE76" s="266"/>
      <c r="AF76" s="417"/>
      <c r="AG76" s="418"/>
      <c r="AH76" s="418"/>
      <c r="AI76" s="418"/>
      <c r="AJ76" s="418"/>
      <c r="AK76" s="611"/>
    </row>
    <row r="77" spans="1:37" s="268" customFormat="1" ht="15.75" thickBot="1" x14ac:dyDescent="0.25">
      <c r="A77" s="273"/>
      <c r="B77" s="269"/>
      <c r="C77" s="274"/>
      <c r="D77" s="266"/>
      <c r="E77" s="269"/>
      <c r="F77" s="269"/>
      <c r="G77" s="269"/>
      <c r="H77" s="269"/>
      <c r="I77" s="269"/>
      <c r="J77" s="269"/>
      <c r="K77" s="339"/>
      <c r="L77" s="339"/>
      <c r="M77" s="52"/>
      <c r="N77" s="339"/>
      <c r="O77" s="339"/>
      <c r="P77" s="339"/>
      <c r="Q77" s="52"/>
      <c r="R77" s="339"/>
      <c r="S77" s="339"/>
      <c r="T77" s="339"/>
      <c r="U77" s="90"/>
      <c r="V77" s="339"/>
      <c r="W77" s="339"/>
      <c r="X77" s="339"/>
      <c r="Y77" s="52"/>
      <c r="Z77" s="339"/>
      <c r="AA77" s="339"/>
      <c r="AB77" s="339"/>
      <c r="AC77" s="269"/>
      <c r="AD77" s="267"/>
      <c r="AE77" s="266"/>
      <c r="AF77" s="417"/>
      <c r="AG77" s="418"/>
      <c r="AH77" s="418"/>
      <c r="AI77" s="418"/>
      <c r="AJ77" s="418"/>
      <c r="AK77" s="611"/>
    </row>
    <row r="78" spans="1:37" s="268" customFormat="1" ht="16.5" thickBot="1" x14ac:dyDescent="0.25">
      <c r="A78" s="273"/>
      <c r="B78" s="269"/>
      <c r="C78" s="274"/>
      <c r="D78" s="266" t="s">
        <v>1514</v>
      </c>
      <c r="E78" s="269"/>
      <c r="F78" s="269"/>
      <c r="G78" s="269"/>
      <c r="H78" s="269"/>
      <c r="I78" s="269"/>
      <c r="J78" s="269"/>
      <c r="K78" s="721">
        <f>VLOOKUP('Part 1'!$L$16,Datasheet5!$B$6:$EZ$332,AF78,FALSE)</f>
        <v>-632829979.82188916</v>
      </c>
      <c r="L78" s="909"/>
      <c r="M78" s="52"/>
      <c r="N78" s="52"/>
      <c r="O78" s="721">
        <f>VLOOKUP('Part 1'!$L$16,Datasheet5!$B$6:$EZ$332,AG78,FALSE)</f>
        <v>-1785774332</v>
      </c>
      <c r="P78" s="909"/>
      <c r="Q78" s="52"/>
      <c r="R78" s="52"/>
      <c r="S78" s="721">
        <f>VLOOKUP('Part 1'!$L$16,Datasheet5!$B$6:$EZ$332,AH78,FALSE)</f>
        <v>-478043848</v>
      </c>
      <c r="T78" s="909"/>
      <c r="U78" s="90"/>
      <c r="V78" s="52"/>
      <c r="W78" s="721">
        <f>VLOOKUP('Part 1'!$L$16,Datasheet5!$B$6:$EZ$332,AI78,FALSE)</f>
        <v>-17074517</v>
      </c>
      <c r="X78" s="909"/>
      <c r="Y78" s="52"/>
      <c r="Z78" s="52"/>
      <c r="AA78" s="721">
        <f>VLOOKUP('Part 1'!$L$16,Datasheet5!$B$6:$EZ$332,AJ78,FALSE)</f>
        <v>-2913722676.8218894</v>
      </c>
      <c r="AB78" s="909"/>
      <c r="AC78" s="680"/>
      <c r="AD78" s="267"/>
      <c r="AE78" s="266"/>
      <c r="AF78" s="417">
        <v>101</v>
      </c>
      <c r="AG78" s="418">
        <v>102</v>
      </c>
      <c r="AH78" s="418">
        <v>103</v>
      </c>
      <c r="AI78" s="418">
        <v>104</v>
      </c>
      <c r="AJ78" s="418">
        <v>105</v>
      </c>
      <c r="AK78" s="611"/>
    </row>
    <row r="79" spans="1:37" s="268" customFormat="1" ht="16.5" thickBot="1" x14ac:dyDescent="0.25">
      <c r="A79" s="273"/>
      <c r="B79" s="269"/>
      <c r="C79" s="274"/>
      <c r="D79" s="644" t="s">
        <v>36</v>
      </c>
      <c r="E79" s="269"/>
      <c r="F79" s="269"/>
      <c r="G79" s="269"/>
      <c r="H79" s="269"/>
      <c r="I79" s="269"/>
      <c r="J79" s="269"/>
      <c r="K79" s="336"/>
      <c r="L79" s="336"/>
      <c r="M79" s="337"/>
      <c r="N79" s="337"/>
      <c r="O79" s="336"/>
      <c r="P79" s="336"/>
      <c r="Q79" s="337"/>
      <c r="R79" s="337"/>
      <c r="S79" s="336"/>
      <c r="T79" s="336"/>
      <c r="U79" s="643"/>
      <c r="V79" s="337"/>
      <c r="W79" s="336"/>
      <c r="X79" s="336"/>
      <c r="Y79" s="337"/>
      <c r="Z79" s="337"/>
      <c r="AA79" s="336"/>
      <c r="AB79" s="336"/>
      <c r="AC79" s="269"/>
      <c r="AD79" s="267"/>
      <c r="AE79" s="266"/>
      <c r="AF79" s="417"/>
      <c r="AG79" s="418"/>
      <c r="AH79" s="418"/>
      <c r="AI79" s="418"/>
      <c r="AJ79" s="418"/>
      <c r="AK79" s="611"/>
    </row>
    <row r="80" spans="1:37" s="268" customFormat="1" ht="16.5" customHeight="1" thickBot="1" x14ac:dyDescent="0.25">
      <c r="A80" s="273"/>
      <c r="B80" s="269"/>
      <c r="C80" s="274"/>
      <c r="D80" s="266" t="s">
        <v>1517</v>
      </c>
      <c r="E80" s="269"/>
      <c r="F80" s="269"/>
      <c r="G80" s="269"/>
      <c r="H80" s="269"/>
      <c r="I80" s="269"/>
      <c r="J80" s="269"/>
      <c r="K80" s="927">
        <f>VLOOKUP('Part 1'!$L$16,Datasheet5!$B$6:$EZ$332,AF80,FALSE)</f>
        <v>-184591542.46000001</v>
      </c>
      <c r="L80" s="928"/>
      <c r="M80" s="52"/>
      <c r="N80" s="339"/>
      <c r="O80" s="927">
        <f>VLOOKUP('Part 1'!$L$16,Datasheet5!$B$6:$EZ$332,AG80,FALSE)</f>
        <v>-493818861</v>
      </c>
      <c r="P80" s="928"/>
      <c r="Q80" s="52"/>
      <c r="R80" s="339"/>
      <c r="S80" s="746">
        <f>VLOOKUP('Part 1'!$L$16,Datasheet5!$B$6:$EZ$332,AH80,FALSE)</f>
        <v>-102527821</v>
      </c>
      <c r="T80" s="929"/>
      <c r="U80" s="90"/>
      <c r="V80" s="339"/>
      <c r="W80" s="746">
        <f>VLOOKUP('Part 1'!$L$16,Datasheet5!$B$6:$EZ$332,AI80,FALSE)</f>
        <v>-5502022</v>
      </c>
      <c r="X80" s="929"/>
      <c r="Y80" s="52"/>
      <c r="Z80" s="339"/>
      <c r="AA80" s="746">
        <f>VLOOKUP('Part 1'!$L$16,Datasheet5!$B$6:$EZ$332,AJ80,FALSE)</f>
        <v>-786440246.46000004</v>
      </c>
      <c r="AB80" s="929"/>
      <c r="AC80" s="269"/>
      <c r="AD80" s="267"/>
      <c r="AE80" s="266"/>
      <c r="AF80" s="417">
        <v>106</v>
      </c>
      <c r="AG80" s="418">
        <v>107</v>
      </c>
      <c r="AH80" s="418">
        <v>108</v>
      </c>
      <c r="AI80" s="418">
        <v>109</v>
      </c>
      <c r="AJ80" s="418">
        <v>110</v>
      </c>
      <c r="AK80" s="611"/>
    </row>
    <row r="81" spans="1:37" s="268" customFormat="1" ht="16.5" thickBot="1" x14ac:dyDescent="0.25">
      <c r="A81" s="273"/>
      <c r="B81" s="269"/>
      <c r="C81" s="274"/>
      <c r="D81" s="266"/>
      <c r="E81" s="269"/>
      <c r="F81" s="269"/>
      <c r="G81" s="269"/>
      <c r="H81" s="269"/>
      <c r="I81" s="269"/>
      <c r="J81" s="269"/>
      <c r="K81" s="336"/>
      <c r="L81" s="336"/>
      <c r="M81" s="337"/>
      <c r="N81" s="337"/>
      <c r="O81" s="336"/>
      <c r="P81" s="336"/>
      <c r="Q81" s="337"/>
      <c r="R81" s="337"/>
      <c r="S81" s="336"/>
      <c r="T81" s="336"/>
      <c r="U81" s="643"/>
      <c r="V81" s="337"/>
      <c r="W81" s="336"/>
      <c r="X81" s="336"/>
      <c r="Y81" s="337"/>
      <c r="Z81" s="337"/>
      <c r="AA81" s="336"/>
      <c r="AB81" s="336"/>
      <c r="AC81" s="269"/>
      <c r="AD81" s="267"/>
      <c r="AE81" s="266"/>
      <c r="AF81" s="417"/>
      <c r="AG81" s="418"/>
      <c r="AH81" s="418"/>
      <c r="AI81" s="418"/>
      <c r="AJ81" s="418"/>
      <c r="AK81" s="611"/>
    </row>
    <row r="82" spans="1:37" s="268" customFormat="1" ht="16.5" customHeight="1" thickBot="1" x14ac:dyDescent="0.25">
      <c r="A82" s="273"/>
      <c r="B82" s="269"/>
      <c r="C82" s="274"/>
      <c r="D82" s="266" t="s">
        <v>1518</v>
      </c>
      <c r="E82" s="269"/>
      <c r="F82" s="269"/>
      <c r="G82" s="269"/>
      <c r="H82" s="269"/>
      <c r="I82" s="269"/>
      <c r="J82" s="269"/>
      <c r="K82" s="927">
        <f>VLOOKUP('Part 1'!$L$16,Datasheet5!$B$6:$EZ$332,AF82,FALSE)</f>
        <v>-448238441.36188906</v>
      </c>
      <c r="L82" s="928"/>
      <c r="M82" s="52"/>
      <c r="N82" s="339"/>
      <c r="O82" s="927">
        <f>VLOOKUP('Part 1'!$L$16,Datasheet5!$B$6:$EZ$332,AG82,FALSE)</f>
        <v>-1291955486</v>
      </c>
      <c r="P82" s="928"/>
      <c r="Q82" s="52"/>
      <c r="R82" s="339"/>
      <c r="S82" s="746">
        <f>VLOOKUP('Part 1'!$L$16,Datasheet5!$B$6:$EZ$332,AH82,FALSE)</f>
        <v>-375516016</v>
      </c>
      <c r="T82" s="929"/>
      <c r="U82" s="90"/>
      <c r="V82" s="339"/>
      <c r="W82" s="746">
        <f>VLOOKUP('Part 1'!$L$16,Datasheet5!$B$6:$EZ$332,AI82,FALSE)</f>
        <v>-11572487</v>
      </c>
      <c r="X82" s="929"/>
      <c r="Y82" s="52"/>
      <c r="Z82" s="339"/>
      <c r="AA82" s="746">
        <f>VLOOKUP('Part 1'!$L$16,Datasheet5!$B$6:$EZ$332,AJ82,FALSE)</f>
        <v>-2127282430.3618889</v>
      </c>
      <c r="AB82" s="929"/>
      <c r="AC82" s="269"/>
      <c r="AD82" s="267"/>
      <c r="AE82" s="266"/>
      <c r="AF82" s="417">
        <v>111</v>
      </c>
      <c r="AG82" s="418">
        <v>112</v>
      </c>
      <c r="AH82" s="418">
        <v>113</v>
      </c>
      <c r="AI82" s="418">
        <v>114</v>
      </c>
      <c r="AJ82" s="418">
        <v>115</v>
      </c>
      <c r="AK82" s="611"/>
    </row>
    <row r="83" spans="1:37" s="268" customFormat="1" ht="15.75" x14ac:dyDescent="0.2">
      <c r="A83" s="273"/>
      <c r="B83" s="269"/>
      <c r="C83" s="274"/>
      <c r="D83" s="266"/>
      <c r="E83" s="269"/>
      <c r="F83" s="269"/>
      <c r="G83" s="269"/>
      <c r="H83" s="269"/>
      <c r="I83" s="269"/>
      <c r="J83" s="269"/>
      <c r="K83" s="336"/>
      <c r="L83" s="336"/>
      <c r="M83" s="337"/>
      <c r="N83" s="337"/>
      <c r="O83" s="336"/>
      <c r="P83" s="336"/>
      <c r="Q83" s="337"/>
      <c r="R83" s="337"/>
      <c r="S83" s="336"/>
      <c r="T83" s="336"/>
      <c r="U83" s="643"/>
      <c r="V83" s="337"/>
      <c r="W83" s="336"/>
      <c r="X83" s="336"/>
      <c r="Y83" s="337"/>
      <c r="Z83" s="337"/>
      <c r="AA83" s="336"/>
      <c r="AB83" s="336"/>
      <c r="AC83" s="269"/>
      <c r="AD83" s="267"/>
      <c r="AE83" s="266"/>
      <c r="AF83" s="417"/>
      <c r="AG83" s="418"/>
      <c r="AH83" s="418"/>
      <c r="AI83" s="418"/>
      <c r="AJ83" s="418"/>
      <c r="AK83" s="611"/>
    </row>
    <row r="84" spans="1:37" ht="15.75" thickBot="1" x14ac:dyDescent="0.25">
      <c r="A84" s="14"/>
      <c r="B84" s="2"/>
      <c r="C84" s="18"/>
      <c r="D84" s="43"/>
      <c r="E84" s="108"/>
      <c r="F84" s="108"/>
      <c r="G84" s="108"/>
      <c r="H84" s="108"/>
      <c r="I84" s="108"/>
      <c r="J84" s="2"/>
      <c r="K84" s="2"/>
      <c r="L84" s="2"/>
      <c r="M84" s="90"/>
      <c r="N84" s="2"/>
      <c r="O84" s="2"/>
      <c r="P84" s="2"/>
      <c r="Q84" s="2"/>
      <c r="R84" s="2"/>
      <c r="S84" s="2"/>
      <c r="T84" s="2"/>
      <c r="U84" s="90"/>
      <c r="V84" s="2"/>
      <c r="W84" s="2"/>
      <c r="X84" s="2"/>
      <c r="Y84" s="90"/>
      <c r="Z84" s="2"/>
      <c r="AA84" s="2"/>
      <c r="AB84" s="2"/>
      <c r="AC84" s="2"/>
      <c r="AD84" s="8"/>
      <c r="AE84" s="6"/>
      <c r="AF84" s="416"/>
    </row>
    <row r="85" spans="1:37" ht="15.75" thickBot="1" x14ac:dyDescent="0.25">
      <c r="A85" s="345"/>
      <c r="B85" s="346"/>
      <c r="C85" s="315"/>
      <c r="D85" s="315"/>
      <c r="E85" s="346"/>
      <c r="F85" s="346"/>
      <c r="G85" s="346"/>
      <c r="H85" s="346"/>
      <c r="I85" s="346"/>
      <c r="J85" s="346"/>
      <c r="K85" s="346"/>
      <c r="L85" s="346"/>
      <c r="M85" s="347"/>
      <c r="N85" s="346"/>
      <c r="O85" s="346"/>
      <c r="P85" s="346"/>
      <c r="Q85" s="346"/>
      <c r="R85" s="346"/>
      <c r="S85" s="346"/>
      <c r="T85" s="346"/>
      <c r="U85" s="346"/>
      <c r="V85" s="346"/>
      <c r="W85" s="346"/>
      <c r="X85" s="346"/>
      <c r="Y85" s="346"/>
      <c r="Z85" s="346"/>
      <c r="AA85" s="346"/>
      <c r="AB85" s="346"/>
      <c r="AC85" s="346"/>
      <c r="AD85" s="348"/>
      <c r="AE85" s="6"/>
      <c r="AF85" s="416"/>
    </row>
    <row r="86" spans="1:37" x14ac:dyDescent="0.2">
      <c r="A86" s="14"/>
      <c r="B86" s="2"/>
      <c r="C86" s="349"/>
      <c r="D86" s="350"/>
      <c r="E86" s="351"/>
      <c r="F86" s="351"/>
      <c r="G86" s="351"/>
      <c r="H86" s="351"/>
      <c r="I86" s="351"/>
      <c r="J86" s="351"/>
      <c r="K86" s="351"/>
      <c r="L86" s="351"/>
      <c r="M86" s="352"/>
      <c r="N86" s="351"/>
      <c r="O86" s="351"/>
      <c r="P86" s="351"/>
      <c r="Q86" s="351"/>
      <c r="R86" s="351"/>
      <c r="S86" s="351"/>
      <c r="T86" s="351"/>
      <c r="U86" s="351"/>
      <c r="V86" s="351"/>
      <c r="W86" s="351"/>
      <c r="X86" s="351"/>
      <c r="Y86" s="351"/>
      <c r="Z86" s="351"/>
      <c r="AA86" s="351"/>
      <c r="AB86" s="351"/>
      <c r="AC86" s="353"/>
      <c r="AD86" s="8"/>
      <c r="AE86" s="6"/>
      <c r="AF86" s="416"/>
    </row>
    <row r="87" spans="1:37" ht="15.75" x14ac:dyDescent="0.25">
      <c r="A87" s="14"/>
      <c r="B87" s="2"/>
      <c r="C87" s="354" t="s">
        <v>892</v>
      </c>
      <c r="D87" s="355"/>
      <c r="E87" s="356"/>
      <c r="F87" s="356"/>
      <c r="G87" s="356"/>
      <c r="H87" s="356"/>
      <c r="I87" s="356"/>
      <c r="J87" s="356"/>
      <c r="K87" s="356"/>
      <c r="L87" s="356"/>
      <c r="M87" s="357"/>
      <c r="N87" s="356"/>
      <c r="O87" s="356"/>
      <c r="P87" s="356"/>
      <c r="Q87" s="356"/>
      <c r="R87" s="356"/>
      <c r="S87" s="356"/>
      <c r="T87" s="356"/>
      <c r="U87" s="356"/>
      <c r="V87" s="356"/>
      <c r="W87" s="356"/>
      <c r="X87" s="356"/>
      <c r="Y87" s="356"/>
      <c r="Z87" s="356"/>
      <c r="AA87" s="356"/>
      <c r="AB87" s="356"/>
      <c r="AC87" s="358"/>
      <c r="AD87" s="8"/>
      <c r="AE87" s="6"/>
      <c r="AF87" s="416"/>
    </row>
    <row r="88" spans="1:37" ht="15.75" x14ac:dyDescent="0.25">
      <c r="A88" s="14"/>
      <c r="B88" s="2"/>
      <c r="C88" s="354"/>
      <c r="D88" s="355"/>
      <c r="E88" s="356"/>
      <c r="F88" s="356"/>
      <c r="G88" s="356"/>
      <c r="H88" s="356"/>
      <c r="I88" s="356"/>
      <c r="J88" s="356"/>
      <c r="K88" s="356"/>
      <c r="L88" s="356"/>
      <c r="M88" s="357"/>
      <c r="N88" s="356"/>
      <c r="O88" s="356"/>
      <c r="P88" s="356"/>
      <c r="Q88" s="356"/>
      <c r="R88" s="356"/>
      <c r="S88" s="356"/>
      <c r="T88" s="356"/>
      <c r="U88" s="356"/>
      <c r="V88" s="356"/>
      <c r="W88" s="356"/>
      <c r="X88" s="356"/>
      <c r="Y88" s="356"/>
      <c r="Z88" s="356"/>
      <c r="AA88" s="356"/>
      <c r="AB88" s="356"/>
      <c r="AC88" s="358"/>
      <c r="AD88" s="8"/>
      <c r="AE88" s="6"/>
      <c r="AF88" s="416"/>
    </row>
    <row r="89" spans="1:37" ht="15.75" x14ac:dyDescent="0.25">
      <c r="A89" s="14"/>
      <c r="B89" s="2"/>
      <c r="C89" s="354"/>
      <c r="D89" s="355"/>
      <c r="E89" s="356"/>
      <c r="F89" s="356"/>
      <c r="G89" s="356"/>
      <c r="H89" s="356"/>
      <c r="I89" s="356"/>
      <c r="J89" s="356"/>
      <c r="K89" s="910" t="s">
        <v>6</v>
      </c>
      <c r="L89" s="911"/>
      <c r="M89" s="406"/>
      <c r="N89" s="407"/>
      <c r="O89" s="910" t="str">
        <f>VLOOKUP('Part 1'!$L$16,Datasheet1!$C$6:$T$332,16,FALSE)</f>
        <v>-</v>
      </c>
      <c r="P89" s="911"/>
      <c r="Q89" s="406"/>
      <c r="R89" s="408"/>
      <c r="S89" s="910" t="str">
        <f>VLOOKUP('Part 1'!$L$16,Datasheet1!$C$6:$T$332,17,FALSE)</f>
        <v>-</v>
      </c>
      <c r="T89" s="911"/>
      <c r="U89" s="406"/>
      <c r="V89" s="408"/>
      <c r="W89" s="910" t="str">
        <f>VLOOKUP('Part 1'!$L$16,Datasheet1!$C$6:$T$332,18,FALSE)</f>
        <v>-</v>
      </c>
      <c r="X89" s="911"/>
      <c r="Y89" s="406"/>
      <c r="Z89" s="407"/>
      <c r="AA89" s="910" t="s">
        <v>7</v>
      </c>
      <c r="AB89" s="910"/>
      <c r="AC89" s="358"/>
      <c r="AD89" s="8"/>
      <c r="AE89" s="6"/>
      <c r="AF89" s="416"/>
    </row>
    <row r="90" spans="1:37" ht="15.75" x14ac:dyDescent="0.25">
      <c r="A90" s="14"/>
      <c r="B90" s="2"/>
      <c r="C90" s="359"/>
      <c r="D90" s="355"/>
      <c r="E90" s="356"/>
      <c r="F90" s="356"/>
      <c r="G90" s="356"/>
      <c r="H90" s="356"/>
      <c r="I90" s="356"/>
      <c r="J90" s="356"/>
      <c r="K90" s="911"/>
      <c r="L90" s="911"/>
      <c r="M90" s="406"/>
      <c r="N90" s="407"/>
      <c r="O90" s="911"/>
      <c r="P90" s="911"/>
      <c r="Q90" s="406"/>
      <c r="R90" s="408"/>
      <c r="S90" s="911"/>
      <c r="T90" s="911"/>
      <c r="U90" s="406"/>
      <c r="V90" s="408"/>
      <c r="W90" s="911"/>
      <c r="X90" s="911"/>
      <c r="Y90" s="406"/>
      <c r="Z90" s="408"/>
      <c r="AA90" s="408"/>
      <c r="AB90" s="408"/>
      <c r="AC90" s="358"/>
      <c r="AD90" s="8"/>
      <c r="AE90" s="6"/>
      <c r="AF90" s="416"/>
    </row>
    <row r="91" spans="1:37" ht="16.5" thickBot="1" x14ac:dyDescent="0.3">
      <c r="A91" s="14"/>
      <c r="B91" s="2"/>
      <c r="C91" s="359"/>
      <c r="D91" s="360" t="s">
        <v>893</v>
      </c>
      <c r="E91" s="356"/>
      <c r="F91" s="356"/>
      <c r="G91" s="356"/>
      <c r="H91" s="356"/>
      <c r="I91" s="356"/>
      <c r="J91" s="356"/>
      <c r="K91" s="906" t="s">
        <v>20</v>
      </c>
      <c r="L91" s="906"/>
      <c r="M91" s="357"/>
      <c r="N91" s="356"/>
      <c r="O91" s="906" t="s">
        <v>20</v>
      </c>
      <c r="P91" s="906"/>
      <c r="Q91" s="356"/>
      <c r="R91" s="356"/>
      <c r="S91" s="906" t="s">
        <v>20</v>
      </c>
      <c r="T91" s="906"/>
      <c r="U91" s="356"/>
      <c r="V91" s="356"/>
      <c r="W91" s="906" t="s">
        <v>20</v>
      </c>
      <c r="X91" s="906"/>
      <c r="Y91" s="356"/>
      <c r="Z91" s="356"/>
      <c r="AA91" s="906" t="s">
        <v>20</v>
      </c>
      <c r="AB91" s="906"/>
      <c r="AC91" s="358"/>
      <c r="AD91" s="8"/>
      <c r="AE91" s="6"/>
      <c r="AF91" s="416"/>
    </row>
    <row r="92" spans="1:37" ht="16.5" thickBot="1" x14ac:dyDescent="0.25">
      <c r="A92" s="14"/>
      <c r="B92" s="2"/>
      <c r="C92" s="359"/>
      <c r="D92" s="361" t="s">
        <v>1519</v>
      </c>
      <c r="E92" s="362"/>
      <c r="F92" s="362"/>
      <c r="G92" s="362"/>
      <c r="H92" s="362"/>
      <c r="I92" s="362"/>
      <c r="J92" s="362"/>
      <c r="K92" s="915">
        <f>VLOOKUP('Part 1'!$L$16,Datasheet5!$B$6:$EZ$332,AF92,FALSE)</f>
        <v>-24901280.911889043</v>
      </c>
      <c r="L92" s="916"/>
      <c r="M92" s="357"/>
      <c r="N92" s="356"/>
      <c r="O92" s="904">
        <f>VLOOKUP('Part 1'!$L$16,Datasheet5!$B$6:$EZ$332,AG92,FALSE)</f>
        <v>-32417216.229999989</v>
      </c>
      <c r="P92" s="905"/>
      <c r="Q92" s="356"/>
      <c r="R92" s="356"/>
      <c r="S92" s="904">
        <f>VLOOKUP('Part 1'!$L$16,Datasheet5!$B$6:$EZ$332,AH92,FALSE)</f>
        <v>62510016.149999999</v>
      </c>
      <c r="T92" s="905"/>
      <c r="U92" s="356"/>
      <c r="V92" s="356"/>
      <c r="W92" s="904">
        <f>VLOOKUP('Part 1'!$L$16,Datasheet5!$B$6:$EZ$332,AI92,FALSE)</f>
        <v>-1497177.8</v>
      </c>
      <c r="X92" s="905"/>
      <c r="Y92" s="356"/>
      <c r="Z92" s="356"/>
      <c r="AA92" s="917">
        <f>VLOOKUP('Part 1'!$L$16,Datasheet5!$B$6:$EZ$332,AJ92,FALSE)</f>
        <v>3286689.4033189751</v>
      </c>
      <c r="AB92" s="918"/>
      <c r="AC92" s="358"/>
      <c r="AD92" s="8"/>
      <c r="AE92" s="6"/>
      <c r="AF92" s="416">
        <v>116</v>
      </c>
      <c r="AG92" s="415">
        <v>117</v>
      </c>
      <c r="AH92" s="415">
        <v>118</v>
      </c>
      <c r="AI92" s="415">
        <v>119</v>
      </c>
      <c r="AJ92" s="415">
        <v>120</v>
      </c>
    </row>
    <row r="93" spans="1:37" ht="15.75" thickBot="1" x14ac:dyDescent="0.25">
      <c r="A93" s="14"/>
      <c r="B93" s="2"/>
      <c r="C93" s="359"/>
      <c r="D93" s="355"/>
      <c r="E93" s="356"/>
      <c r="F93" s="356"/>
      <c r="G93" s="356"/>
      <c r="H93" s="356"/>
      <c r="I93" s="356"/>
      <c r="J93" s="356"/>
      <c r="K93" s="356"/>
      <c r="L93" s="356"/>
      <c r="M93" s="357"/>
      <c r="N93" s="356"/>
      <c r="O93" s="356"/>
      <c r="P93" s="356"/>
      <c r="Q93" s="356"/>
      <c r="R93" s="356"/>
      <c r="S93" s="356"/>
      <c r="T93" s="356"/>
      <c r="U93" s="356"/>
      <c r="V93" s="356"/>
      <c r="W93" s="356"/>
      <c r="X93" s="356"/>
      <c r="Y93" s="356"/>
      <c r="Z93" s="356"/>
      <c r="AA93" s="356"/>
      <c r="AB93" s="356"/>
      <c r="AC93" s="358"/>
      <c r="AD93" s="8"/>
      <c r="AE93" s="6"/>
      <c r="AF93" s="416"/>
    </row>
    <row r="94" spans="1:37" ht="16.5" thickBot="1" x14ac:dyDescent="0.25">
      <c r="A94" s="14"/>
      <c r="B94" s="2"/>
      <c r="C94" s="359"/>
      <c r="D94" s="361" t="s">
        <v>1520</v>
      </c>
      <c r="E94" s="362"/>
      <c r="F94" s="362"/>
      <c r="G94" s="362"/>
      <c r="H94" s="362"/>
      <c r="I94" s="362"/>
      <c r="J94" s="362"/>
      <c r="K94" s="915">
        <f>VLOOKUP('Part 1'!$L$16,Datasheet5!$B$6:$EZ$332,AF94,FALSE)</f>
        <v>77925146</v>
      </c>
      <c r="L94" s="916"/>
      <c r="M94" s="357"/>
      <c r="N94" s="356"/>
      <c r="O94" s="904">
        <f>VLOOKUP('Part 1'!$L$16,Datasheet5!$B$6:$EZ$332,AG94,FALSE)</f>
        <v>45823475</v>
      </c>
      <c r="P94" s="905"/>
      <c r="Q94" s="356"/>
      <c r="R94" s="356"/>
      <c r="S94" s="904">
        <f>VLOOKUP('Part 1'!$L$16,Datasheet5!$B$6:$EZ$332,AH94,FALSE)</f>
        <v>74204970</v>
      </c>
      <c r="T94" s="905"/>
      <c r="U94" s="356"/>
      <c r="V94" s="356"/>
      <c r="W94" s="904">
        <f>VLOOKUP('Part 1'!$L$16,Datasheet5!$B$6:$EZ$332,AI94,FALSE)</f>
        <v>-544220</v>
      </c>
      <c r="X94" s="905"/>
      <c r="Y94" s="356"/>
      <c r="Z94" s="356"/>
      <c r="AA94" s="917">
        <f>VLOOKUP('Part 1'!$L$16,Datasheet5!$B$6:$EZ$332,AJ94,FALSE)</f>
        <v>197409371.24000001</v>
      </c>
      <c r="AB94" s="918"/>
      <c r="AC94" s="358"/>
      <c r="AD94" s="8"/>
      <c r="AE94" s="6"/>
      <c r="AF94" s="416">
        <v>121</v>
      </c>
      <c r="AG94" s="415">
        <v>122</v>
      </c>
      <c r="AH94" s="415">
        <v>123</v>
      </c>
      <c r="AI94" s="415">
        <v>124</v>
      </c>
      <c r="AJ94" s="415">
        <v>125</v>
      </c>
    </row>
    <row r="95" spans="1:37" ht="15.75" thickBot="1" x14ac:dyDescent="0.25">
      <c r="A95" s="14"/>
      <c r="B95" s="2"/>
      <c r="C95" s="359"/>
      <c r="D95" s="355"/>
      <c r="E95" s="356"/>
      <c r="F95" s="356"/>
      <c r="G95" s="356"/>
      <c r="H95" s="356"/>
      <c r="I95" s="356"/>
      <c r="J95" s="356"/>
      <c r="K95" s="356"/>
      <c r="L95" s="356"/>
      <c r="M95" s="357"/>
      <c r="N95" s="356"/>
      <c r="O95" s="356"/>
      <c r="P95" s="356"/>
      <c r="Q95" s="356"/>
      <c r="R95" s="356"/>
      <c r="S95" s="356"/>
      <c r="T95" s="356"/>
      <c r="U95" s="356"/>
      <c r="V95" s="356"/>
      <c r="W95" s="356"/>
      <c r="X95" s="356"/>
      <c r="Y95" s="356"/>
      <c r="Z95" s="356"/>
      <c r="AA95" s="356"/>
      <c r="AB95" s="356"/>
      <c r="AC95" s="358"/>
      <c r="AD95" s="8"/>
      <c r="AE95" s="6"/>
      <c r="AF95" s="416"/>
    </row>
    <row r="96" spans="1:37" ht="16.5" thickBot="1" x14ac:dyDescent="0.25">
      <c r="A96" s="14"/>
      <c r="B96" s="2"/>
      <c r="C96" s="359"/>
      <c r="D96" s="913" t="s">
        <v>1521</v>
      </c>
      <c r="E96" s="693"/>
      <c r="F96" s="693"/>
      <c r="G96" s="693"/>
      <c r="H96" s="693"/>
      <c r="I96" s="356"/>
      <c r="J96" s="362"/>
      <c r="K96" s="904">
        <f>VLOOKUP('Part 1'!$L$16,Datasheet5!$B$6:$EZ$332,AF96,FALSE)</f>
        <v>-102826426.91188902</v>
      </c>
      <c r="L96" s="905"/>
      <c r="M96" s="357"/>
      <c r="N96" s="356"/>
      <c r="O96" s="904">
        <f>VLOOKUP('Part 1'!$L$16,Datasheet5!$B$6:$EZ$332,AG96,FALSE)</f>
        <v>-78240691.229999989</v>
      </c>
      <c r="P96" s="905"/>
      <c r="Q96" s="356"/>
      <c r="R96" s="356"/>
      <c r="S96" s="904">
        <f>VLOOKUP('Part 1'!$L$16,Datasheet5!$B$6:$EZ$332,AH96,FALSE)</f>
        <v>-11694953.85</v>
      </c>
      <c r="T96" s="905"/>
      <c r="U96" s="356"/>
      <c r="V96" s="356"/>
      <c r="W96" s="904">
        <f>VLOOKUP('Part 1'!$L$16,Datasheet5!$B$6:$EZ$332,AI96,FALSE)</f>
        <v>-952957.8</v>
      </c>
      <c r="X96" s="905"/>
      <c r="Y96" s="356"/>
      <c r="Z96" s="356"/>
      <c r="AA96" s="904">
        <f>VLOOKUP('Part 1'!$L$16,Datasheet5!$B$6:$EZ$332,AJ96,FALSE)</f>
        <v>-194122681.83668101</v>
      </c>
      <c r="AB96" s="905"/>
      <c r="AC96" s="358"/>
      <c r="AD96" s="8"/>
      <c r="AE96" s="6"/>
      <c r="AF96" s="416">
        <v>126</v>
      </c>
      <c r="AG96" s="415">
        <v>127</v>
      </c>
      <c r="AH96" s="415">
        <v>128</v>
      </c>
      <c r="AI96" s="415">
        <v>129</v>
      </c>
      <c r="AJ96" s="415">
        <v>130</v>
      </c>
    </row>
    <row r="97" spans="1:36" x14ac:dyDescent="0.2">
      <c r="A97" s="14"/>
      <c r="B97" s="2"/>
      <c r="C97" s="359"/>
      <c r="D97" s="693"/>
      <c r="E97" s="693"/>
      <c r="F97" s="693"/>
      <c r="G97" s="693"/>
      <c r="H97" s="693"/>
      <c r="I97" s="356"/>
      <c r="J97" s="356"/>
      <c r="K97" s="356"/>
      <c r="L97" s="356"/>
      <c r="M97" s="357"/>
      <c r="N97" s="356"/>
      <c r="O97" s="356"/>
      <c r="P97" s="356"/>
      <c r="Q97" s="356"/>
      <c r="R97" s="356"/>
      <c r="S97" s="356"/>
      <c r="T97" s="356"/>
      <c r="U97" s="356"/>
      <c r="V97" s="356"/>
      <c r="W97" s="356"/>
      <c r="X97" s="356"/>
      <c r="Y97" s="356"/>
      <c r="Z97" s="356"/>
      <c r="AA97" s="356"/>
      <c r="AB97" s="356"/>
      <c r="AC97" s="358"/>
      <c r="AD97" s="8"/>
      <c r="AE97" s="6"/>
      <c r="AF97" s="416"/>
    </row>
    <row r="98" spans="1:36" ht="15.75" thickBot="1" x14ac:dyDescent="0.25">
      <c r="A98" s="14"/>
      <c r="B98" s="2"/>
      <c r="C98" s="359"/>
      <c r="D98" s="355"/>
      <c r="E98" s="356"/>
      <c r="F98" s="356"/>
      <c r="G98" s="356"/>
      <c r="H98" s="356"/>
      <c r="I98" s="356"/>
      <c r="J98" s="356"/>
      <c r="K98" s="356"/>
      <c r="L98" s="356"/>
      <c r="M98" s="357"/>
      <c r="N98" s="356"/>
      <c r="O98" s="356"/>
      <c r="P98" s="356"/>
      <c r="Q98" s="356"/>
      <c r="R98" s="356"/>
      <c r="S98" s="356"/>
      <c r="T98" s="356"/>
      <c r="U98" s="356"/>
      <c r="V98" s="356"/>
      <c r="W98" s="356"/>
      <c r="X98" s="356"/>
      <c r="Y98" s="356"/>
      <c r="Z98" s="356"/>
      <c r="AA98" s="356"/>
      <c r="AB98" s="356"/>
      <c r="AC98" s="358"/>
      <c r="AD98" s="8"/>
      <c r="AE98" s="6"/>
      <c r="AF98" s="416"/>
    </row>
    <row r="99" spans="1:36" ht="16.5" thickBot="1" x14ac:dyDescent="0.25">
      <c r="A99" s="14"/>
      <c r="B99" s="2"/>
      <c r="C99" s="359"/>
      <c r="D99" s="363" t="s">
        <v>1522</v>
      </c>
      <c r="E99" s="356"/>
      <c r="F99" s="356"/>
      <c r="G99" s="356"/>
      <c r="H99" s="356"/>
      <c r="I99" s="356"/>
      <c r="J99" s="356"/>
      <c r="K99" s="915">
        <f>VLOOKUP('Part 1'!$L$16,Datasheet5!$B$6:$EZ$332,AF99,FALSE)</f>
        <v>4539117718</v>
      </c>
      <c r="L99" s="916"/>
      <c r="M99" s="357"/>
      <c r="N99" s="356"/>
      <c r="O99" s="904">
        <f>VLOOKUP('Part 1'!$L$16,Datasheet5!$B$6:$EZ$332,AG99,FALSE)</f>
        <v>15368118520</v>
      </c>
      <c r="P99" s="905"/>
      <c r="Q99" s="356"/>
      <c r="R99" s="356"/>
      <c r="S99" s="904">
        <f>VLOOKUP('Part 1'!$L$16,Datasheet5!$B$6:$EZ$332,AH99,FALSE)</f>
        <v>4726514452</v>
      </c>
      <c r="T99" s="905"/>
      <c r="U99" s="356"/>
      <c r="V99" s="356"/>
      <c r="W99" s="904">
        <f>VLOOKUP('Part 1'!$L$16,Datasheet5!$B$6:$EZ$332,AI99,FALSE)</f>
        <v>127607426</v>
      </c>
      <c r="X99" s="905"/>
      <c r="Y99" s="356"/>
      <c r="Z99" s="356"/>
      <c r="AA99" s="917">
        <f>VLOOKUP('Part 1'!$L$16,Datasheet5!$B$6:$EZ$332,AJ99,FALSE)</f>
        <v>24761358116</v>
      </c>
      <c r="AB99" s="918"/>
      <c r="AC99" s="358"/>
      <c r="AD99" s="8"/>
      <c r="AE99" s="6"/>
      <c r="AF99" s="416">
        <v>131</v>
      </c>
      <c r="AG99" s="415">
        <v>132</v>
      </c>
      <c r="AH99" s="415">
        <v>133</v>
      </c>
      <c r="AI99" s="415">
        <v>134</v>
      </c>
      <c r="AJ99" s="415">
        <v>135</v>
      </c>
    </row>
    <row r="100" spans="1:36" ht="15.75" thickBot="1" x14ac:dyDescent="0.25">
      <c r="A100" s="14"/>
      <c r="B100" s="2"/>
      <c r="C100" s="359"/>
      <c r="D100" s="355"/>
      <c r="E100" s="356"/>
      <c r="F100" s="356"/>
      <c r="G100" s="356"/>
      <c r="H100" s="356"/>
      <c r="I100" s="356"/>
      <c r="J100" s="356"/>
      <c r="K100" s="356"/>
      <c r="L100" s="356"/>
      <c r="M100" s="357"/>
      <c r="N100" s="356"/>
      <c r="O100" s="356"/>
      <c r="P100" s="356"/>
      <c r="Q100" s="356"/>
      <c r="R100" s="356"/>
      <c r="S100" s="356"/>
      <c r="T100" s="356"/>
      <c r="U100" s="356"/>
      <c r="V100" s="356"/>
      <c r="W100" s="356"/>
      <c r="X100" s="356"/>
      <c r="Y100" s="356"/>
      <c r="Z100" s="356"/>
      <c r="AA100" s="356"/>
      <c r="AB100" s="356"/>
      <c r="AC100" s="358"/>
      <c r="AD100" s="8"/>
      <c r="AE100" s="6"/>
      <c r="AF100" s="416"/>
    </row>
    <row r="101" spans="1:36" ht="16.5" thickBot="1" x14ac:dyDescent="0.25">
      <c r="A101" s="14"/>
      <c r="B101" s="2"/>
      <c r="C101" s="359"/>
      <c r="D101" s="363" t="s">
        <v>1523</v>
      </c>
      <c r="E101" s="356"/>
      <c r="F101" s="356"/>
      <c r="G101" s="356"/>
      <c r="H101" s="356"/>
      <c r="I101" s="356"/>
      <c r="J101" s="356"/>
      <c r="K101" s="904">
        <f>VLOOKUP('Part 1'!$L$16,Datasheet5!$B$6:$EZ$332,AF101,FALSE)</f>
        <v>4532978283.539999</v>
      </c>
      <c r="L101" s="905"/>
      <c r="M101" s="357"/>
      <c r="N101" s="356"/>
      <c r="O101" s="904">
        <f>VLOOKUP('Part 1'!$L$16,Datasheet5!$B$6:$EZ$332,AG101,FALSE)</f>
        <v>15518395200.049999</v>
      </c>
      <c r="P101" s="905"/>
      <c r="Q101" s="356"/>
      <c r="R101" s="356"/>
      <c r="S101" s="904">
        <f>VLOOKUP('Part 1'!$L$16,Datasheet5!$B$6:$EZ$332,AH101,FALSE)</f>
        <v>4799329486</v>
      </c>
      <c r="T101" s="905"/>
      <c r="U101" s="356"/>
      <c r="V101" s="356"/>
      <c r="W101" s="904">
        <f>VLOOKUP('Part 1'!$L$16,Datasheet5!$B$6:$EZ$332,AI101,FALSE)</f>
        <v>128473632</v>
      </c>
      <c r="X101" s="905"/>
      <c r="Y101" s="356"/>
      <c r="Z101" s="356"/>
      <c r="AA101" s="904">
        <f>VLOOKUP('Part 1'!$L$16,Datasheet5!$B$6:$EZ$332,AJ101,FALSE)</f>
        <v>24979176601.59</v>
      </c>
      <c r="AB101" s="905"/>
      <c r="AC101" s="358"/>
      <c r="AD101" s="8"/>
      <c r="AE101" s="6"/>
      <c r="AF101" s="416">
        <v>136</v>
      </c>
      <c r="AG101" s="415">
        <v>137</v>
      </c>
      <c r="AH101" s="415">
        <v>138</v>
      </c>
      <c r="AI101" s="415">
        <v>139</v>
      </c>
      <c r="AJ101" s="415">
        <v>140</v>
      </c>
    </row>
    <row r="102" spans="1:36" ht="15.75" thickBot="1" x14ac:dyDescent="0.25">
      <c r="A102" s="14"/>
      <c r="B102" s="2"/>
      <c r="C102" s="359"/>
      <c r="D102" s="355"/>
      <c r="E102" s="356"/>
      <c r="F102" s="356"/>
      <c r="G102" s="356"/>
      <c r="H102" s="356"/>
      <c r="I102" s="356"/>
      <c r="J102" s="356"/>
      <c r="K102" s="356"/>
      <c r="L102" s="356"/>
      <c r="M102" s="357"/>
      <c r="N102" s="356"/>
      <c r="O102" s="356"/>
      <c r="P102" s="356"/>
      <c r="Q102" s="356"/>
      <c r="R102" s="356"/>
      <c r="S102" s="356"/>
      <c r="T102" s="356"/>
      <c r="U102" s="356"/>
      <c r="V102" s="356"/>
      <c r="W102" s="356"/>
      <c r="X102" s="356"/>
      <c r="Y102" s="356"/>
      <c r="Z102" s="356"/>
      <c r="AA102" s="356"/>
      <c r="AB102" s="356"/>
      <c r="AC102" s="358"/>
      <c r="AD102" s="8"/>
      <c r="AE102" s="6"/>
      <c r="AF102" s="416"/>
    </row>
    <row r="103" spans="1:36" ht="16.5" thickBot="1" x14ac:dyDescent="0.25">
      <c r="A103" s="14"/>
      <c r="B103" s="2"/>
      <c r="C103" s="359"/>
      <c r="D103" s="370" t="s">
        <v>1524</v>
      </c>
      <c r="E103" s="356"/>
      <c r="F103" s="356"/>
      <c r="G103" s="356"/>
      <c r="H103" s="356"/>
      <c r="I103" s="356"/>
      <c r="J103" s="356"/>
      <c r="K103" s="904">
        <f>VLOOKUP('Part 1'!$L$16,Datasheet5!$B$6:$EZ$332,AF103,FALSE)</f>
        <v>-6139434.4600000083</v>
      </c>
      <c r="L103" s="905"/>
      <c r="M103" s="357"/>
      <c r="N103" s="356"/>
      <c r="O103" s="904">
        <f>VLOOKUP('Part 1'!$L$16,Datasheet5!$B$6:$EZ$332,AG103,FALSE)</f>
        <v>150276680.04999995</v>
      </c>
      <c r="P103" s="905"/>
      <c r="Q103" s="356"/>
      <c r="R103" s="356"/>
      <c r="S103" s="904">
        <f>VLOOKUP('Part 1'!$L$16,Datasheet5!$B$6:$EZ$332,AH103,FALSE)</f>
        <v>72815034</v>
      </c>
      <c r="T103" s="905"/>
      <c r="U103" s="356"/>
      <c r="V103" s="356"/>
      <c r="W103" s="904">
        <f>VLOOKUP('Part 1'!$L$16,Datasheet5!$B$6:$EZ$332,AI103,FALSE)</f>
        <v>866206</v>
      </c>
      <c r="X103" s="905"/>
      <c r="Y103" s="356"/>
      <c r="Z103" s="356"/>
      <c r="AA103" s="904">
        <f>VLOOKUP('Part 1'!$L$16,Datasheet5!$B$6:$EZ$332,AJ103,FALSE)</f>
        <v>217818485.58999997</v>
      </c>
      <c r="AB103" s="905"/>
      <c r="AC103" s="358"/>
      <c r="AD103" s="8"/>
      <c r="AE103" s="6"/>
      <c r="AF103" s="415">
        <v>141</v>
      </c>
      <c r="AG103" s="415">
        <v>142</v>
      </c>
      <c r="AH103" s="415">
        <v>143</v>
      </c>
      <c r="AI103" s="415">
        <v>144</v>
      </c>
      <c r="AJ103" s="415">
        <v>145</v>
      </c>
    </row>
    <row r="104" spans="1:36" ht="15.75" thickBot="1" x14ac:dyDescent="0.25">
      <c r="A104" s="14"/>
      <c r="B104" s="2"/>
      <c r="C104" s="359"/>
      <c r="D104" s="355"/>
      <c r="E104" s="356"/>
      <c r="F104" s="356"/>
      <c r="G104" s="356"/>
      <c r="H104" s="356"/>
      <c r="I104" s="356"/>
      <c r="J104" s="356"/>
      <c r="K104" s="356"/>
      <c r="L104" s="356"/>
      <c r="M104" s="357"/>
      <c r="N104" s="356"/>
      <c r="O104" s="356"/>
      <c r="P104" s="356"/>
      <c r="Q104" s="356"/>
      <c r="R104" s="356"/>
      <c r="S104" s="356"/>
      <c r="T104" s="356"/>
      <c r="U104" s="356"/>
      <c r="V104" s="356"/>
      <c r="W104" s="356"/>
      <c r="X104" s="356"/>
      <c r="Y104" s="356"/>
      <c r="Z104" s="356"/>
      <c r="AA104" s="356"/>
      <c r="AB104" s="356"/>
      <c r="AC104" s="358"/>
      <c r="AD104" s="8"/>
      <c r="AE104" s="6"/>
      <c r="AF104" s="416"/>
    </row>
    <row r="105" spans="1:36" ht="16.5" thickBot="1" x14ac:dyDescent="0.25">
      <c r="A105" s="14"/>
      <c r="B105" s="2"/>
      <c r="C105" s="359"/>
      <c r="D105" s="363" t="s">
        <v>1525</v>
      </c>
      <c r="E105" s="356"/>
      <c r="F105" s="356"/>
      <c r="G105" s="356"/>
      <c r="H105" s="356"/>
      <c r="I105" s="356"/>
      <c r="J105" s="356"/>
      <c r="K105" s="904">
        <f>VLOOKUP('Part 1'!$L$16,Datasheet5!$B$6:$EZ$332,AF105,FALSE)</f>
        <v>-108965861.37188905</v>
      </c>
      <c r="L105" s="905"/>
      <c r="M105" s="357"/>
      <c r="N105" s="356"/>
      <c r="O105" s="904">
        <f>VLOOKUP('Part 1'!$L$16,Datasheet5!$B$6:$EZ$332,AG105,FALSE)</f>
        <v>72035988.819999978</v>
      </c>
      <c r="P105" s="905"/>
      <c r="Q105" s="356"/>
      <c r="R105" s="356"/>
      <c r="S105" s="904">
        <f>VLOOKUP('Part 1'!$L$16,Datasheet5!$B$6:$EZ$332,AH105,FALSE)</f>
        <v>61120080.149999999</v>
      </c>
      <c r="T105" s="905"/>
      <c r="U105" s="356"/>
      <c r="V105" s="356"/>
      <c r="W105" s="904">
        <f>VLOOKUP('Part 1'!$L$16,Datasheet5!$B$6:$EZ$332,AI105,FALSE)</f>
        <v>-86751.800000000047</v>
      </c>
      <c r="X105" s="905"/>
      <c r="Y105" s="356"/>
      <c r="Z105" s="356"/>
      <c r="AA105" s="904">
        <f>VLOOKUP('Part 1'!$L$16,Datasheet5!$B$6:$EZ$332,AJ105,FALSE)</f>
        <v>23695803.753318954</v>
      </c>
      <c r="AB105" s="905"/>
      <c r="AC105" s="358"/>
      <c r="AD105" s="8"/>
      <c r="AE105" s="6"/>
      <c r="AF105" s="415">
        <v>146</v>
      </c>
      <c r="AG105" s="415">
        <v>147</v>
      </c>
      <c r="AH105" s="415">
        <v>148</v>
      </c>
      <c r="AI105" s="415">
        <v>149</v>
      </c>
      <c r="AJ105" s="415">
        <v>150</v>
      </c>
    </row>
    <row r="106" spans="1:36" ht="15.75" thickBot="1" x14ac:dyDescent="0.25">
      <c r="A106" s="14"/>
      <c r="B106" s="2"/>
      <c r="C106" s="364"/>
      <c r="D106" s="365"/>
      <c r="E106" s="366"/>
      <c r="F106" s="366"/>
      <c r="G106" s="366"/>
      <c r="H106" s="366"/>
      <c r="I106" s="366"/>
      <c r="J106" s="366"/>
      <c r="K106" s="366"/>
      <c r="L106" s="366"/>
      <c r="M106" s="367"/>
      <c r="N106" s="366"/>
      <c r="O106" s="366"/>
      <c r="P106" s="366"/>
      <c r="Q106" s="366"/>
      <c r="R106" s="366"/>
      <c r="S106" s="366"/>
      <c r="T106" s="366"/>
      <c r="U106" s="366"/>
      <c r="V106" s="366"/>
      <c r="W106" s="366"/>
      <c r="X106" s="366"/>
      <c r="Y106" s="366"/>
      <c r="Z106" s="366"/>
      <c r="AA106" s="366"/>
      <c r="AB106" s="366"/>
      <c r="AC106" s="368"/>
      <c r="AD106" s="8"/>
      <c r="AE106" s="6"/>
      <c r="AF106" s="416"/>
    </row>
    <row r="107" spans="1:36" ht="15.75" x14ac:dyDescent="0.2">
      <c r="A107" s="14"/>
      <c r="B107" s="2"/>
      <c r="C107" s="912"/>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912"/>
      <c r="Z107" s="912"/>
      <c r="AA107" s="912"/>
      <c r="AB107" s="2"/>
      <c r="AC107" s="2"/>
      <c r="AD107" s="8"/>
      <c r="AE107" s="6"/>
      <c r="AF107" s="416"/>
    </row>
    <row r="108" spans="1:36" ht="15.75" thickBot="1" x14ac:dyDescent="0.25">
      <c r="A108" s="15"/>
      <c r="B108" s="16"/>
      <c r="C108" s="58"/>
      <c r="D108" s="58"/>
      <c r="E108" s="16"/>
      <c r="F108" s="16"/>
      <c r="G108" s="16"/>
      <c r="H108" s="16"/>
      <c r="I108" s="16"/>
      <c r="J108" s="16"/>
      <c r="K108" s="58"/>
      <c r="L108" s="58"/>
      <c r="M108" s="58"/>
      <c r="N108" s="58"/>
      <c r="O108" s="58"/>
      <c r="P108" s="58"/>
      <c r="Q108" s="58"/>
      <c r="R108" s="58"/>
      <c r="S108" s="58"/>
      <c r="T108" s="58"/>
      <c r="U108" s="58"/>
      <c r="V108" s="58"/>
      <c r="W108" s="58"/>
      <c r="X108" s="58"/>
      <c r="Y108" s="58"/>
      <c r="Z108" s="58"/>
      <c r="AA108" s="58"/>
      <c r="AB108" s="58"/>
      <c r="AC108" s="58"/>
      <c r="AD108" s="401"/>
      <c r="AE108" s="6"/>
    </row>
    <row r="111" spans="1:36" x14ac:dyDescent="0.2">
      <c r="K111" s="907"/>
      <c r="L111" s="908"/>
      <c r="M111" s="908"/>
      <c r="N111" s="908"/>
      <c r="O111" s="908"/>
      <c r="P111" s="908"/>
      <c r="Q111" s="908"/>
      <c r="R111" s="908"/>
      <c r="S111" s="908"/>
    </row>
  </sheetData>
  <mergeCells count="192">
    <mergeCell ref="K82:L82"/>
    <mergeCell ref="O82:P82"/>
    <mergeCell ref="S82:T82"/>
    <mergeCell ref="W82:X82"/>
    <mergeCell ref="AA82:AB82"/>
    <mergeCell ref="K80:L80"/>
    <mergeCell ref="O80:P80"/>
    <mergeCell ref="S80:T80"/>
    <mergeCell ref="W80:X80"/>
    <mergeCell ref="AA80:AB80"/>
    <mergeCell ref="K68:L68"/>
    <mergeCell ref="O68:P68"/>
    <mergeCell ref="S68:T68"/>
    <mergeCell ref="W68:X68"/>
    <mergeCell ref="AA68:AB68"/>
    <mergeCell ref="K75:L75"/>
    <mergeCell ref="O75:P75"/>
    <mergeCell ref="S75:T75"/>
    <mergeCell ref="W75:X75"/>
    <mergeCell ref="AA75:AB75"/>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W38:X38"/>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S38:T38"/>
    <mergeCell ref="O40:P40"/>
    <mergeCell ref="O42:P42"/>
    <mergeCell ref="S42:T42"/>
    <mergeCell ref="O34:P34"/>
    <mergeCell ref="S34:T34"/>
    <mergeCell ref="AA96:AB96"/>
    <mergeCell ref="W99:X99"/>
    <mergeCell ref="AA99:AB99"/>
    <mergeCell ref="W101:X101"/>
    <mergeCell ref="AA101:AB101"/>
    <mergeCell ref="W103:X103"/>
    <mergeCell ref="AA103:AB103"/>
    <mergeCell ref="O15:P15"/>
    <mergeCell ref="K56:L56"/>
    <mergeCell ref="K54:L54"/>
    <mergeCell ref="O54:P54"/>
    <mergeCell ref="K52:L52"/>
    <mergeCell ref="K49:L49"/>
    <mergeCell ref="K103:L103"/>
    <mergeCell ref="K99:L99"/>
    <mergeCell ref="K101:L101"/>
    <mergeCell ref="K94:L94"/>
    <mergeCell ref="K96:L96"/>
    <mergeCell ref="O94:P94"/>
    <mergeCell ref="K47:L47"/>
    <mergeCell ref="O70:P70"/>
    <mergeCell ref="K23:L23"/>
    <mergeCell ref="O30:P30"/>
    <mergeCell ref="S56:T56"/>
    <mergeCell ref="S94:T94"/>
    <mergeCell ref="D96:H97"/>
    <mergeCell ref="W89:X90"/>
    <mergeCell ref="AA89:AB89"/>
    <mergeCell ref="W91:X91"/>
    <mergeCell ref="AA91:AB91"/>
    <mergeCell ref="O62:P62"/>
    <mergeCell ref="O58:P58"/>
    <mergeCell ref="S58:T58"/>
    <mergeCell ref="S62:T62"/>
    <mergeCell ref="S72:T72"/>
    <mergeCell ref="AA78:AB78"/>
    <mergeCell ref="W78:X78"/>
    <mergeCell ref="K92:L92"/>
    <mergeCell ref="K70:L70"/>
    <mergeCell ref="K58:L58"/>
    <mergeCell ref="K72:L72"/>
    <mergeCell ref="O92:P92"/>
    <mergeCell ref="S92:T92"/>
    <mergeCell ref="W92:X92"/>
    <mergeCell ref="AA92:AB92"/>
    <mergeCell ref="W94:X94"/>
    <mergeCell ref="AA94:AB94"/>
    <mergeCell ref="W96:X96"/>
    <mergeCell ref="AA105:AB105"/>
    <mergeCell ref="K105:L105"/>
    <mergeCell ref="K91:L91"/>
    <mergeCell ref="K111:S111"/>
    <mergeCell ref="K78:L78"/>
    <mergeCell ref="O78:P78"/>
    <mergeCell ref="S78:T78"/>
    <mergeCell ref="O101:P101"/>
    <mergeCell ref="S101:T101"/>
    <mergeCell ref="K89:L90"/>
    <mergeCell ref="O89:P90"/>
    <mergeCell ref="S89:T90"/>
    <mergeCell ref="O96:P96"/>
    <mergeCell ref="S96:T96"/>
    <mergeCell ref="O99:P99"/>
    <mergeCell ref="S99:T99"/>
    <mergeCell ref="O103:P103"/>
    <mergeCell ref="S103:T103"/>
    <mergeCell ref="O91:P91"/>
    <mergeCell ref="S91:T91"/>
    <mergeCell ref="O105:P105"/>
    <mergeCell ref="S105:T105"/>
    <mergeCell ref="C107:AA107"/>
    <mergeCell ref="W105:X105"/>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80"/>
  <sheetViews>
    <sheetView topLeftCell="A82" workbookViewId="0">
      <selection activeCell="C6" sqref="C6"/>
    </sheetView>
  </sheetViews>
  <sheetFormatPr defaultRowHeight="15" x14ac:dyDescent="0.2"/>
  <cols>
    <col min="1" max="1" width="8.42578125" style="5" customWidth="1"/>
    <col min="2" max="2" width="33.140625" style="5" customWidth="1"/>
    <col min="3" max="3" width="12.28515625" style="5" customWidth="1"/>
    <col min="4" max="28" width="9.140625" style="187"/>
    <col min="29" max="30" width="9.140625" style="187" customWidth="1"/>
    <col min="31" max="45" width="9.140625" style="187"/>
  </cols>
  <sheetData>
    <row r="1" spans="1:45" s="185" customFormat="1" ht="12.75" x14ac:dyDescent="0.2">
      <c r="A1" s="190"/>
      <c r="B1" s="191"/>
      <c r="C1" s="192">
        <v>1516</v>
      </c>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405" t="s">
        <v>953</v>
      </c>
      <c r="AE1" s="405" t="s">
        <v>951</v>
      </c>
      <c r="AF1" s="188"/>
      <c r="AG1" s="188"/>
      <c r="AH1" s="188"/>
      <c r="AI1" s="188"/>
      <c r="AJ1" s="188"/>
      <c r="AK1" s="188"/>
      <c r="AL1" s="188"/>
      <c r="AM1" s="188"/>
      <c r="AN1" s="188"/>
      <c r="AO1" s="188"/>
      <c r="AP1" s="188"/>
      <c r="AQ1" s="188"/>
      <c r="AR1" s="188"/>
      <c r="AS1" s="188"/>
    </row>
    <row r="2" spans="1:45" ht="12.75" x14ac:dyDescent="0.2">
      <c r="A2" s="193"/>
      <c r="B2" s="194"/>
      <c r="C2" s="195"/>
    </row>
    <row r="3" spans="1:45" ht="12.75" x14ac:dyDescent="0.2">
      <c r="A3" s="196">
        <v>1</v>
      </c>
      <c r="B3" s="197">
        <v>2</v>
      </c>
      <c r="C3" s="198">
        <v>3</v>
      </c>
    </row>
    <row r="4" spans="1:45" ht="12.75" x14ac:dyDescent="0.2">
      <c r="A4" s="193"/>
      <c r="B4" s="194"/>
      <c r="C4" s="195"/>
    </row>
    <row r="5" spans="1:45" ht="12.75" x14ac:dyDescent="0.2">
      <c r="A5" s="199" t="s">
        <v>85</v>
      </c>
      <c r="B5" s="200" t="s">
        <v>86</v>
      </c>
      <c r="C5" s="201" t="s">
        <v>87</v>
      </c>
    </row>
    <row r="6" spans="1:45" ht="13.5" thickBot="1" x14ac:dyDescent="0.25">
      <c r="A6" s="202"/>
      <c r="B6" s="203"/>
      <c r="C6" s="204" t="s">
        <v>1810</v>
      </c>
    </row>
    <row r="7" spans="1:45" s="299" customFormat="1" ht="13.5" thickBot="1" x14ac:dyDescent="0.25">
      <c r="A7" s="298"/>
      <c r="B7" s="298"/>
      <c r="C7" s="298" t="s">
        <v>890</v>
      </c>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row>
    <row r="8" spans="1:45" s="299" customFormat="1" ht="13.5" thickBot="1" x14ac:dyDescent="0.25">
      <c r="A8" s="369"/>
      <c r="B8" s="419"/>
      <c r="C8" s="420"/>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row>
    <row r="9" spans="1:45" ht="12.75" x14ac:dyDescent="0.2">
      <c r="A9" s="205">
        <v>1</v>
      </c>
      <c r="B9" s="206" t="s">
        <v>90</v>
      </c>
      <c r="C9" s="207" t="s">
        <v>91</v>
      </c>
    </row>
    <row r="10" spans="1:45" ht="12.75" x14ac:dyDescent="0.2">
      <c r="A10" s="205">
        <v>2</v>
      </c>
      <c r="B10" s="209" t="s">
        <v>92</v>
      </c>
      <c r="C10" s="210" t="s">
        <v>93</v>
      </c>
    </row>
    <row r="11" spans="1:45" ht="12.75" x14ac:dyDescent="0.2">
      <c r="A11" s="205">
        <v>3</v>
      </c>
      <c r="B11" s="209" t="s">
        <v>94</v>
      </c>
      <c r="C11" s="210" t="s">
        <v>95</v>
      </c>
    </row>
    <row r="12" spans="1:45" ht="12.75" x14ac:dyDescent="0.2">
      <c r="A12" s="205">
        <v>4</v>
      </c>
      <c r="B12" s="209" t="s">
        <v>96</v>
      </c>
      <c r="C12" s="210" t="s">
        <v>97</v>
      </c>
    </row>
    <row r="13" spans="1:45" ht="12.75" x14ac:dyDescent="0.2">
      <c r="A13" s="205">
        <v>5</v>
      </c>
      <c r="B13" s="209" t="s">
        <v>98</v>
      </c>
      <c r="C13" s="210" t="s">
        <v>99</v>
      </c>
    </row>
    <row r="14" spans="1:45" ht="12.75" x14ac:dyDescent="0.2">
      <c r="A14" s="205">
        <v>6</v>
      </c>
      <c r="B14" s="209" t="s">
        <v>100</v>
      </c>
      <c r="C14" s="210" t="s">
        <v>101</v>
      </c>
    </row>
    <row r="15" spans="1:45" ht="12.75" x14ac:dyDescent="0.2">
      <c r="A15" s="205">
        <v>7</v>
      </c>
      <c r="B15" s="209" t="s">
        <v>102</v>
      </c>
      <c r="C15" s="210" t="s">
        <v>103</v>
      </c>
    </row>
    <row r="16" spans="1:45" ht="12.75" x14ac:dyDescent="0.2">
      <c r="A16" s="205">
        <v>8</v>
      </c>
      <c r="B16" s="209" t="s">
        <v>104</v>
      </c>
      <c r="C16" s="210" t="s">
        <v>105</v>
      </c>
    </row>
    <row r="17" spans="1:3" ht="12.75" x14ac:dyDescent="0.2">
      <c r="A17" s="205">
        <v>9</v>
      </c>
      <c r="B17" s="209" t="s">
        <v>106</v>
      </c>
      <c r="C17" s="210" t="s">
        <v>107</v>
      </c>
    </row>
    <row r="18" spans="1:3" ht="12.75" x14ac:dyDescent="0.2">
      <c r="A18" s="205">
        <v>10</v>
      </c>
      <c r="B18" s="209" t="s">
        <v>108</v>
      </c>
      <c r="C18" s="210" t="s">
        <v>109</v>
      </c>
    </row>
    <row r="19" spans="1:3" ht="12.75" x14ac:dyDescent="0.2">
      <c r="A19" s="205">
        <v>11</v>
      </c>
      <c r="B19" s="209" t="s">
        <v>110</v>
      </c>
      <c r="C19" s="210" t="s">
        <v>111</v>
      </c>
    </row>
    <row r="20" spans="1:3" ht="12.75" x14ac:dyDescent="0.2">
      <c r="A20" s="205">
        <v>12</v>
      </c>
      <c r="B20" s="209" t="s">
        <v>112</v>
      </c>
      <c r="C20" s="210" t="s">
        <v>113</v>
      </c>
    </row>
    <row r="21" spans="1:3" ht="12.75" x14ac:dyDescent="0.2">
      <c r="A21" s="205">
        <v>13</v>
      </c>
      <c r="B21" s="209" t="s">
        <v>114</v>
      </c>
      <c r="C21" s="210" t="s">
        <v>115</v>
      </c>
    </row>
    <row r="22" spans="1:3" ht="12.75" x14ac:dyDescent="0.2">
      <c r="A22" s="205">
        <v>14</v>
      </c>
      <c r="B22" s="209" t="s">
        <v>116</v>
      </c>
      <c r="C22" s="210" t="s">
        <v>117</v>
      </c>
    </row>
    <row r="23" spans="1:3" ht="12.75" x14ac:dyDescent="0.2">
      <c r="A23" s="205">
        <v>15</v>
      </c>
      <c r="B23" s="209" t="s">
        <v>118</v>
      </c>
      <c r="C23" s="210" t="s">
        <v>119</v>
      </c>
    </row>
    <row r="24" spans="1:3" ht="12.75" x14ac:dyDescent="0.2">
      <c r="A24" s="205">
        <v>16</v>
      </c>
      <c r="B24" s="209" t="s">
        <v>120</v>
      </c>
      <c r="C24" s="210" t="s">
        <v>121</v>
      </c>
    </row>
    <row r="25" spans="1:3" ht="12.75" x14ac:dyDescent="0.2">
      <c r="A25" s="205">
        <v>17</v>
      </c>
      <c r="B25" s="209" t="s">
        <v>122</v>
      </c>
      <c r="C25" s="210" t="s">
        <v>123</v>
      </c>
    </row>
    <row r="26" spans="1:3" ht="12.75" x14ac:dyDescent="0.2">
      <c r="A26" s="205">
        <v>18</v>
      </c>
      <c r="B26" s="209" t="s">
        <v>124</v>
      </c>
      <c r="C26" s="210" t="s">
        <v>125</v>
      </c>
    </row>
    <row r="27" spans="1:3" ht="12.75" x14ac:dyDescent="0.2">
      <c r="A27" s="205">
        <v>19</v>
      </c>
      <c r="B27" s="209" t="s">
        <v>126</v>
      </c>
      <c r="C27" s="210" t="s">
        <v>127</v>
      </c>
    </row>
    <row r="28" spans="1:3" ht="12.75" x14ac:dyDescent="0.2">
      <c r="A28" s="205">
        <v>20</v>
      </c>
      <c r="B28" s="209" t="s">
        <v>128</v>
      </c>
      <c r="C28" s="210" t="s">
        <v>129</v>
      </c>
    </row>
    <row r="29" spans="1:3" ht="12.75" x14ac:dyDescent="0.2">
      <c r="A29" s="205">
        <v>21</v>
      </c>
      <c r="B29" s="209" t="s">
        <v>130</v>
      </c>
      <c r="C29" s="210" t="s">
        <v>131</v>
      </c>
    </row>
    <row r="30" spans="1:3" ht="12.75" x14ac:dyDescent="0.2">
      <c r="A30" s="205">
        <v>22</v>
      </c>
      <c r="B30" s="209" t="s">
        <v>132</v>
      </c>
      <c r="C30" s="210" t="s">
        <v>133</v>
      </c>
    </row>
    <row r="31" spans="1:3" ht="12.75" x14ac:dyDescent="0.2">
      <c r="A31" s="205">
        <v>23</v>
      </c>
      <c r="B31" s="209" t="s">
        <v>134</v>
      </c>
      <c r="C31" s="210" t="s">
        <v>135</v>
      </c>
    </row>
    <row r="32" spans="1:3" ht="12.75" x14ac:dyDescent="0.2">
      <c r="A32" s="205">
        <v>24</v>
      </c>
      <c r="B32" s="209" t="s">
        <v>136</v>
      </c>
      <c r="C32" s="210" t="s">
        <v>137</v>
      </c>
    </row>
    <row r="33" spans="1:3" ht="12.75" x14ac:dyDescent="0.2">
      <c r="A33" s="205">
        <v>25</v>
      </c>
      <c r="B33" s="209" t="s">
        <v>138</v>
      </c>
      <c r="C33" s="210" t="s">
        <v>139</v>
      </c>
    </row>
    <row r="34" spans="1:3" ht="12.75" x14ac:dyDescent="0.2">
      <c r="A34" s="205">
        <v>26</v>
      </c>
      <c r="B34" s="209" t="s">
        <v>140</v>
      </c>
      <c r="C34" s="210" t="s">
        <v>141</v>
      </c>
    </row>
    <row r="35" spans="1:3" ht="12.75" x14ac:dyDescent="0.2">
      <c r="A35" s="205">
        <v>27</v>
      </c>
      <c r="B35" s="209" t="s">
        <v>142</v>
      </c>
      <c r="C35" s="210" t="s">
        <v>143</v>
      </c>
    </row>
    <row r="36" spans="1:3" ht="12.75" x14ac:dyDescent="0.2">
      <c r="A36" s="205">
        <v>28</v>
      </c>
      <c r="B36" s="209" t="s">
        <v>144</v>
      </c>
      <c r="C36" s="210" t="s">
        <v>145</v>
      </c>
    </row>
    <row r="37" spans="1:3" ht="12.75" x14ac:dyDescent="0.2">
      <c r="A37" s="205">
        <v>29</v>
      </c>
      <c r="B37" s="209" t="s">
        <v>146</v>
      </c>
      <c r="C37" s="210" t="s">
        <v>147</v>
      </c>
    </row>
    <row r="38" spans="1:3" ht="12.75" x14ac:dyDescent="0.2">
      <c r="A38" s="205">
        <v>30</v>
      </c>
      <c r="B38" s="209" t="s">
        <v>148</v>
      </c>
      <c r="C38" s="210" t="s">
        <v>149</v>
      </c>
    </row>
    <row r="39" spans="1:3" ht="12.75" x14ac:dyDescent="0.2">
      <c r="A39" s="205">
        <v>31</v>
      </c>
      <c r="B39" s="209" t="s">
        <v>150</v>
      </c>
      <c r="C39" s="210" t="s">
        <v>151</v>
      </c>
    </row>
    <row r="40" spans="1:3" ht="12.75" x14ac:dyDescent="0.2">
      <c r="A40" s="205">
        <v>32</v>
      </c>
      <c r="B40" s="209" t="s">
        <v>152</v>
      </c>
      <c r="C40" s="210" t="s">
        <v>153</v>
      </c>
    </row>
    <row r="41" spans="1:3" ht="12.75" x14ac:dyDescent="0.2">
      <c r="A41" s="205">
        <v>33</v>
      </c>
      <c r="B41" s="209" t="s">
        <v>154</v>
      </c>
      <c r="C41" s="210" t="s">
        <v>155</v>
      </c>
    </row>
    <row r="42" spans="1:3" ht="12.75" x14ac:dyDescent="0.2">
      <c r="A42" s="205">
        <v>34</v>
      </c>
      <c r="B42" s="209" t="s">
        <v>156</v>
      </c>
      <c r="C42" s="210" t="s">
        <v>157</v>
      </c>
    </row>
    <row r="43" spans="1:3" ht="12.75" x14ac:dyDescent="0.2">
      <c r="A43" s="205">
        <v>35</v>
      </c>
      <c r="B43" s="209" t="s">
        <v>158</v>
      </c>
      <c r="C43" s="210" t="s">
        <v>159</v>
      </c>
    </row>
    <row r="44" spans="1:3" ht="12.75" x14ac:dyDescent="0.2">
      <c r="A44" s="205">
        <v>36</v>
      </c>
      <c r="B44" s="209" t="s">
        <v>160</v>
      </c>
      <c r="C44" s="210" t="s">
        <v>161</v>
      </c>
    </row>
    <row r="45" spans="1:3" ht="12.75" x14ac:dyDescent="0.2">
      <c r="A45" s="205">
        <v>37</v>
      </c>
      <c r="B45" s="209" t="s">
        <v>162</v>
      </c>
      <c r="C45" s="210" t="s">
        <v>163</v>
      </c>
    </row>
    <row r="46" spans="1:3" ht="12.75" x14ac:dyDescent="0.2">
      <c r="A46" s="205">
        <v>38</v>
      </c>
      <c r="B46" s="209" t="s">
        <v>164</v>
      </c>
      <c r="C46" s="210" t="s">
        <v>165</v>
      </c>
    </row>
    <row r="47" spans="1:3" ht="12.75" x14ac:dyDescent="0.2">
      <c r="A47" s="205">
        <v>39</v>
      </c>
      <c r="B47" s="209" t="s">
        <v>166</v>
      </c>
      <c r="C47" s="210" t="s">
        <v>167</v>
      </c>
    </row>
    <row r="48" spans="1:3" ht="12.75" x14ac:dyDescent="0.2">
      <c r="A48" s="205">
        <v>40</v>
      </c>
      <c r="B48" s="209" t="s">
        <v>168</v>
      </c>
      <c r="C48" s="210" t="s">
        <v>169</v>
      </c>
    </row>
    <row r="49" spans="1:3" ht="12.75" x14ac:dyDescent="0.2">
      <c r="A49" s="205">
        <v>41</v>
      </c>
      <c r="B49" s="209" t="s">
        <v>170</v>
      </c>
      <c r="C49" s="210" t="s">
        <v>171</v>
      </c>
    </row>
    <row r="50" spans="1:3" ht="12.75" x14ac:dyDescent="0.2">
      <c r="A50" s="205">
        <v>42</v>
      </c>
      <c r="B50" s="209" t="s">
        <v>172</v>
      </c>
      <c r="C50" s="210" t="s">
        <v>173</v>
      </c>
    </row>
    <row r="51" spans="1:3" ht="12.75" x14ac:dyDescent="0.2">
      <c r="A51" s="205">
        <v>43</v>
      </c>
      <c r="B51" s="209" t="s">
        <v>174</v>
      </c>
      <c r="C51" s="210" t="s">
        <v>175</v>
      </c>
    </row>
    <row r="52" spans="1:3" ht="12.75" x14ac:dyDescent="0.2">
      <c r="A52" s="205">
        <v>44</v>
      </c>
      <c r="B52" s="209" t="s">
        <v>176</v>
      </c>
      <c r="C52" s="210" t="s">
        <v>177</v>
      </c>
    </row>
    <row r="53" spans="1:3" ht="12.75" x14ac:dyDescent="0.2">
      <c r="A53" s="205">
        <v>45</v>
      </c>
      <c r="B53" s="209" t="s">
        <v>178</v>
      </c>
      <c r="C53" s="210" t="s">
        <v>179</v>
      </c>
    </row>
    <row r="54" spans="1:3" ht="12.75" x14ac:dyDescent="0.2">
      <c r="A54" s="205">
        <v>46</v>
      </c>
      <c r="B54" s="209" t="s">
        <v>180</v>
      </c>
      <c r="C54" s="210" t="s">
        <v>181</v>
      </c>
    </row>
    <row r="55" spans="1:3" ht="12.75" x14ac:dyDescent="0.2">
      <c r="A55" s="205">
        <v>47</v>
      </c>
      <c r="B55" s="209" t="s">
        <v>182</v>
      </c>
      <c r="C55" s="210" t="s">
        <v>183</v>
      </c>
    </row>
    <row r="56" spans="1:3" ht="12.75" x14ac:dyDescent="0.2">
      <c r="A56" s="205">
        <v>48</v>
      </c>
      <c r="B56" s="209" t="s">
        <v>184</v>
      </c>
      <c r="C56" s="210" t="s">
        <v>185</v>
      </c>
    </row>
    <row r="57" spans="1:3" ht="12.75" x14ac:dyDescent="0.2">
      <c r="A57" s="205">
        <v>49</v>
      </c>
      <c r="B57" s="211" t="s">
        <v>186</v>
      </c>
      <c r="C57" s="212" t="s">
        <v>187</v>
      </c>
    </row>
    <row r="58" spans="1:3" ht="12.75" x14ac:dyDescent="0.2">
      <c r="A58" s="205">
        <v>50</v>
      </c>
      <c r="B58" s="209" t="s">
        <v>188</v>
      </c>
      <c r="C58" s="210" t="s">
        <v>189</v>
      </c>
    </row>
    <row r="59" spans="1:3" ht="12.75" x14ac:dyDescent="0.2">
      <c r="A59" s="205">
        <v>51</v>
      </c>
      <c r="B59" s="209" t="s">
        <v>190</v>
      </c>
      <c r="C59" s="210" t="s">
        <v>191</v>
      </c>
    </row>
    <row r="60" spans="1:3" ht="12.75" x14ac:dyDescent="0.2">
      <c r="A60" s="205">
        <v>52</v>
      </c>
      <c r="B60" s="209" t="s">
        <v>192</v>
      </c>
      <c r="C60" s="210" t="s">
        <v>193</v>
      </c>
    </row>
    <row r="61" spans="1:3" ht="12.75" x14ac:dyDescent="0.2">
      <c r="A61" s="205">
        <v>53</v>
      </c>
      <c r="B61" s="209" t="s">
        <v>194</v>
      </c>
      <c r="C61" s="210" t="s">
        <v>195</v>
      </c>
    </row>
    <row r="62" spans="1:3" ht="12.75" x14ac:dyDescent="0.2">
      <c r="A62" s="205">
        <v>54</v>
      </c>
      <c r="B62" s="209" t="s">
        <v>196</v>
      </c>
      <c r="C62" s="210" t="s">
        <v>197</v>
      </c>
    </row>
    <row r="63" spans="1:3" ht="12.75" x14ac:dyDescent="0.2">
      <c r="A63" s="205">
        <v>55</v>
      </c>
      <c r="B63" s="209" t="s">
        <v>198</v>
      </c>
      <c r="C63" s="210" t="s">
        <v>199</v>
      </c>
    </row>
    <row r="64" spans="1:3" ht="12.75" x14ac:dyDescent="0.2">
      <c r="A64" s="205">
        <v>56</v>
      </c>
      <c r="B64" s="209" t="s">
        <v>200</v>
      </c>
      <c r="C64" s="210" t="s">
        <v>201</v>
      </c>
    </row>
    <row r="65" spans="1:3" ht="12.75" x14ac:dyDescent="0.2">
      <c r="A65" s="205">
        <v>57</v>
      </c>
      <c r="B65" s="209" t="s">
        <v>202</v>
      </c>
      <c r="C65" s="210" t="s">
        <v>203</v>
      </c>
    </row>
    <row r="66" spans="1:3" ht="12.75" x14ac:dyDescent="0.2">
      <c r="A66" s="205">
        <v>58</v>
      </c>
      <c r="B66" s="209" t="s">
        <v>204</v>
      </c>
      <c r="C66" s="210" t="s">
        <v>205</v>
      </c>
    </row>
    <row r="67" spans="1:3" ht="12.75" x14ac:dyDescent="0.2">
      <c r="A67" s="205">
        <v>59</v>
      </c>
      <c r="B67" s="209" t="s">
        <v>206</v>
      </c>
      <c r="C67" s="210" t="s">
        <v>207</v>
      </c>
    </row>
    <row r="68" spans="1:3" ht="12.75" x14ac:dyDescent="0.2">
      <c r="A68" s="205">
        <v>60</v>
      </c>
      <c r="B68" s="209" t="s">
        <v>208</v>
      </c>
      <c r="C68" s="210" t="s">
        <v>209</v>
      </c>
    </row>
    <row r="69" spans="1:3" ht="12.75" x14ac:dyDescent="0.2">
      <c r="A69" s="205">
        <v>61</v>
      </c>
      <c r="B69" s="209" t="s">
        <v>210</v>
      </c>
      <c r="C69" s="210" t="s">
        <v>211</v>
      </c>
    </row>
    <row r="70" spans="1:3" ht="12.75" x14ac:dyDescent="0.2">
      <c r="A70" s="205">
        <v>62</v>
      </c>
      <c r="B70" s="209" t="s">
        <v>212</v>
      </c>
      <c r="C70" s="210" t="s">
        <v>213</v>
      </c>
    </row>
    <row r="71" spans="1:3" ht="12.75" x14ac:dyDescent="0.2">
      <c r="A71" s="205">
        <v>63</v>
      </c>
      <c r="B71" s="209" t="s">
        <v>214</v>
      </c>
      <c r="C71" s="210" t="s">
        <v>215</v>
      </c>
    </row>
    <row r="72" spans="1:3" ht="12.75" x14ac:dyDescent="0.2">
      <c r="A72" s="205">
        <v>64</v>
      </c>
      <c r="B72" s="209" t="s">
        <v>216</v>
      </c>
      <c r="C72" s="210" t="s">
        <v>217</v>
      </c>
    </row>
    <row r="73" spans="1:3" ht="12.75" x14ac:dyDescent="0.2">
      <c r="A73" s="205">
        <v>65</v>
      </c>
      <c r="B73" s="209" t="s">
        <v>218</v>
      </c>
      <c r="C73" s="210" t="s">
        <v>219</v>
      </c>
    </row>
    <row r="74" spans="1:3" ht="12.75" x14ac:dyDescent="0.2">
      <c r="A74" s="205">
        <v>66</v>
      </c>
      <c r="B74" s="209" t="s">
        <v>220</v>
      </c>
      <c r="C74" s="210" t="s">
        <v>221</v>
      </c>
    </row>
    <row r="75" spans="1:3" ht="12.75" x14ac:dyDescent="0.2">
      <c r="A75" s="205">
        <v>67</v>
      </c>
      <c r="B75" s="209" t="s">
        <v>222</v>
      </c>
      <c r="C75" s="210" t="s">
        <v>223</v>
      </c>
    </row>
    <row r="76" spans="1:3" ht="12.75" x14ac:dyDescent="0.2">
      <c r="A76" s="205">
        <v>68</v>
      </c>
      <c r="B76" s="209" t="s">
        <v>224</v>
      </c>
      <c r="C76" s="210" t="s">
        <v>225</v>
      </c>
    </row>
    <row r="77" spans="1:3" ht="12.75" x14ac:dyDescent="0.2">
      <c r="A77" s="205">
        <v>69</v>
      </c>
      <c r="B77" s="209" t="s">
        <v>226</v>
      </c>
      <c r="C77" s="210" t="s">
        <v>227</v>
      </c>
    </row>
    <row r="78" spans="1:3" ht="12.75" x14ac:dyDescent="0.2">
      <c r="A78" s="205">
        <v>70</v>
      </c>
      <c r="B78" s="209" t="s">
        <v>228</v>
      </c>
      <c r="C78" s="210" t="s">
        <v>229</v>
      </c>
    </row>
    <row r="79" spans="1:3" ht="12.75" x14ac:dyDescent="0.2">
      <c r="A79" s="205">
        <v>71</v>
      </c>
      <c r="B79" s="209" t="s">
        <v>230</v>
      </c>
      <c r="C79" s="210" t="s">
        <v>231</v>
      </c>
    </row>
    <row r="80" spans="1:3" ht="12.75" x14ac:dyDescent="0.2">
      <c r="A80" s="205">
        <v>72</v>
      </c>
      <c r="B80" s="209" t="s">
        <v>232</v>
      </c>
      <c r="C80" s="210" t="s">
        <v>233</v>
      </c>
    </row>
    <row r="81" spans="1:3" ht="12.75" x14ac:dyDescent="0.2">
      <c r="A81" s="205">
        <v>73</v>
      </c>
      <c r="B81" s="209" t="s">
        <v>234</v>
      </c>
      <c r="C81" s="210" t="s">
        <v>235</v>
      </c>
    </row>
    <row r="82" spans="1:3" ht="12.75" x14ac:dyDescent="0.2">
      <c r="A82" s="205">
        <v>74</v>
      </c>
      <c r="B82" s="209" t="s">
        <v>236</v>
      </c>
      <c r="C82" s="210" t="s">
        <v>237</v>
      </c>
    </row>
    <row r="83" spans="1:3" ht="12.75" x14ac:dyDescent="0.2">
      <c r="A83" s="205">
        <v>75</v>
      </c>
      <c r="B83" s="209" t="s">
        <v>238</v>
      </c>
      <c r="C83" s="210" t="s">
        <v>239</v>
      </c>
    </row>
    <row r="84" spans="1:3" ht="12.75" x14ac:dyDescent="0.2">
      <c r="A84" s="205">
        <v>76</v>
      </c>
      <c r="B84" s="209" t="s">
        <v>240</v>
      </c>
      <c r="C84" s="210" t="s">
        <v>241</v>
      </c>
    </row>
    <row r="85" spans="1:3" ht="12.75" x14ac:dyDescent="0.2">
      <c r="A85" s="205">
        <v>77</v>
      </c>
      <c r="B85" s="209" t="s">
        <v>242</v>
      </c>
      <c r="C85" s="210" t="s">
        <v>243</v>
      </c>
    </row>
    <row r="86" spans="1:3" ht="12.75" x14ac:dyDescent="0.2">
      <c r="A86" s="205">
        <v>78</v>
      </c>
      <c r="B86" s="209" t="s">
        <v>244</v>
      </c>
      <c r="C86" s="210" t="s">
        <v>245</v>
      </c>
    </row>
    <row r="87" spans="1:3" ht="12.75" x14ac:dyDescent="0.2">
      <c r="A87" s="205">
        <v>79</v>
      </c>
      <c r="B87" s="209" t="s">
        <v>246</v>
      </c>
      <c r="C87" s="210" t="s">
        <v>247</v>
      </c>
    </row>
    <row r="88" spans="1:3" ht="12.75" x14ac:dyDescent="0.2">
      <c r="A88" s="205">
        <v>80</v>
      </c>
      <c r="B88" s="209" t="s">
        <v>248</v>
      </c>
      <c r="C88" s="210" t="s">
        <v>249</v>
      </c>
    </row>
    <row r="89" spans="1:3" ht="12.75" x14ac:dyDescent="0.2">
      <c r="A89" s="205">
        <v>81</v>
      </c>
      <c r="B89" s="209" t="s">
        <v>250</v>
      </c>
      <c r="C89" s="210" t="s">
        <v>251</v>
      </c>
    </row>
    <row r="90" spans="1:3" ht="12.75" x14ac:dyDescent="0.2">
      <c r="A90" s="205">
        <v>82</v>
      </c>
      <c r="B90" s="209" t="s">
        <v>252</v>
      </c>
      <c r="C90" s="210" t="s">
        <v>253</v>
      </c>
    </row>
    <row r="91" spans="1:3" ht="12.75" x14ac:dyDescent="0.2">
      <c r="A91" s="205">
        <v>83</v>
      </c>
      <c r="B91" s="209" t="s">
        <v>254</v>
      </c>
      <c r="C91" s="210" t="s">
        <v>255</v>
      </c>
    </row>
    <row r="92" spans="1:3" ht="12.75" x14ac:dyDescent="0.2">
      <c r="A92" s="205">
        <v>84</v>
      </c>
      <c r="B92" s="209" t="s">
        <v>256</v>
      </c>
      <c r="C92" s="210" t="s">
        <v>257</v>
      </c>
    </row>
    <row r="93" spans="1:3" ht="12.75" x14ac:dyDescent="0.2">
      <c r="A93" s="205">
        <v>85</v>
      </c>
      <c r="B93" s="209" t="s">
        <v>258</v>
      </c>
      <c r="C93" s="210" t="s">
        <v>259</v>
      </c>
    </row>
    <row r="94" spans="1:3" ht="12.75" x14ac:dyDescent="0.2">
      <c r="A94" s="205">
        <v>86</v>
      </c>
      <c r="B94" s="209" t="s">
        <v>260</v>
      </c>
      <c r="C94" s="210" t="s">
        <v>261</v>
      </c>
    </row>
    <row r="95" spans="1:3" ht="12.75" x14ac:dyDescent="0.2">
      <c r="A95" s="205">
        <v>87</v>
      </c>
      <c r="B95" s="209" t="s">
        <v>262</v>
      </c>
      <c r="C95" s="210" t="s">
        <v>263</v>
      </c>
    </row>
    <row r="96" spans="1:3" ht="12.75" x14ac:dyDescent="0.2">
      <c r="A96" s="205">
        <v>88</v>
      </c>
      <c r="B96" s="209" t="s">
        <v>264</v>
      </c>
      <c r="C96" s="210" t="s">
        <v>265</v>
      </c>
    </row>
    <row r="97" spans="1:3" ht="12.75" x14ac:dyDescent="0.2">
      <c r="A97" s="205">
        <v>89</v>
      </c>
      <c r="B97" s="209" t="s">
        <v>266</v>
      </c>
      <c r="C97" s="210" t="s">
        <v>267</v>
      </c>
    </row>
    <row r="98" spans="1:3" ht="12.75" x14ac:dyDescent="0.2">
      <c r="A98" s="205">
        <v>90</v>
      </c>
      <c r="B98" s="209" t="s">
        <v>268</v>
      </c>
      <c r="C98" s="210" t="s">
        <v>269</v>
      </c>
    </row>
    <row r="99" spans="1:3" ht="12.75" x14ac:dyDescent="0.2">
      <c r="A99" s="205">
        <v>91</v>
      </c>
      <c r="B99" s="209" t="s">
        <v>270</v>
      </c>
      <c r="C99" s="210" t="s">
        <v>271</v>
      </c>
    </row>
    <row r="100" spans="1:3" ht="12.75" x14ac:dyDescent="0.2">
      <c r="A100" s="205">
        <v>92</v>
      </c>
      <c r="B100" s="209" t="s">
        <v>272</v>
      </c>
      <c r="C100" s="210" t="s">
        <v>273</v>
      </c>
    </row>
    <row r="101" spans="1:3" ht="12.75" x14ac:dyDescent="0.2">
      <c r="A101" s="205">
        <v>93</v>
      </c>
      <c r="B101" s="209" t="s">
        <v>274</v>
      </c>
      <c r="C101" s="210" t="s">
        <v>275</v>
      </c>
    </row>
    <row r="102" spans="1:3" ht="12.75" x14ac:dyDescent="0.2">
      <c r="A102" s="205">
        <v>94</v>
      </c>
      <c r="B102" s="209" t="s">
        <v>276</v>
      </c>
      <c r="C102" s="210" t="s">
        <v>277</v>
      </c>
    </row>
    <row r="103" spans="1:3" ht="12.75" x14ac:dyDescent="0.2">
      <c r="A103" s="205">
        <v>95</v>
      </c>
      <c r="B103" s="209" t="s">
        <v>278</v>
      </c>
      <c r="C103" s="210" t="s">
        <v>279</v>
      </c>
    </row>
    <row r="104" spans="1:3" ht="12.75" x14ac:dyDescent="0.2">
      <c r="A104" s="205">
        <v>96</v>
      </c>
      <c r="B104" s="209" t="s">
        <v>280</v>
      </c>
      <c r="C104" s="210" t="s">
        <v>281</v>
      </c>
    </row>
    <row r="105" spans="1:3" ht="12.75" x14ac:dyDescent="0.2">
      <c r="A105" s="205">
        <v>97</v>
      </c>
      <c r="B105" s="209" t="s">
        <v>282</v>
      </c>
      <c r="C105" s="210" t="s">
        <v>283</v>
      </c>
    </row>
    <row r="106" spans="1:3" ht="12.75" x14ac:dyDescent="0.2">
      <c r="A106" s="205">
        <v>98</v>
      </c>
      <c r="B106" s="209" t="s">
        <v>284</v>
      </c>
      <c r="C106" s="210" t="s">
        <v>285</v>
      </c>
    </row>
    <row r="107" spans="1:3" ht="12.75" x14ac:dyDescent="0.2">
      <c r="A107" s="205">
        <v>99</v>
      </c>
      <c r="B107" s="209" t="s">
        <v>286</v>
      </c>
      <c r="C107" s="210" t="s">
        <v>287</v>
      </c>
    </row>
    <row r="108" spans="1:3" ht="12.75" x14ac:dyDescent="0.2">
      <c r="A108" s="205">
        <v>100</v>
      </c>
      <c r="B108" s="209" t="s">
        <v>288</v>
      </c>
      <c r="C108" s="210" t="s">
        <v>289</v>
      </c>
    </row>
    <row r="109" spans="1:3" ht="12.75" x14ac:dyDescent="0.2">
      <c r="A109" s="205">
        <v>101</v>
      </c>
      <c r="B109" s="209" t="s">
        <v>290</v>
      </c>
      <c r="C109" s="210" t="s">
        <v>291</v>
      </c>
    </row>
    <row r="110" spans="1:3" ht="12.75" x14ac:dyDescent="0.2">
      <c r="A110" s="205">
        <v>102</v>
      </c>
      <c r="B110" s="209" t="s">
        <v>1533</v>
      </c>
      <c r="C110" s="210" t="s">
        <v>550</v>
      </c>
    </row>
    <row r="111" spans="1:3" ht="12.75" x14ac:dyDescent="0.2">
      <c r="A111" s="205">
        <v>103</v>
      </c>
      <c r="B111" s="209" t="s">
        <v>292</v>
      </c>
      <c r="C111" s="210" t="s">
        <v>293</v>
      </c>
    </row>
    <row r="112" spans="1:3" ht="12.75" x14ac:dyDescent="0.2">
      <c r="A112" s="205">
        <v>104</v>
      </c>
      <c r="B112" s="209" t="s">
        <v>294</v>
      </c>
      <c r="C112" s="210" t="s">
        <v>295</v>
      </c>
    </row>
    <row r="113" spans="1:3" ht="12.75" x14ac:dyDescent="0.2">
      <c r="A113" s="205">
        <v>105</v>
      </c>
      <c r="B113" s="209" t="s">
        <v>296</v>
      </c>
      <c r="C113" s="210" t="s">
        <v>297</v>
      </c>
    </row>
    <row r="114" spans="1:3" ht="12.75" x14ac:dyDescent="0.2">
      <c r="A114" s="205">
        <v>106</v>
      </c>
      <c r="B114" s="209" t="s">
        <v>298</v>
      </c>
      <c r="C114" s="210" t="s">
        <v>299</v>
      </c>
    </row>
    <row r="115" spans="1:3" ht="12.75" x14ac:dyDescent="0.2">
      <c r="A115" s="205">
        <v>107</v>
      </c>
      <c r="B115" s="209" t="s">
        <v>300</v>
      </c>
      <c r="C115" s="210" t="s">
        <v>301</v>
      </c>
    </row>
    <row r="116" spans="1:3" ht="12.75" x14ac:dyDescent="0.2">
      <c r="A116" s="205">
        <v>108</v>
      </c>
      <c r="B116" s="209" t="s">
        <v>302</v>
      </c>
      <c r="C116" s="210" t="s">
        <v>303</v>
      </c>
    </row>
    <row r="117" spans="1:3" ht="12.75" x14ac:dyDescent="0.2">
      <c r="A117" s="205">
        <v>109</v>
      </c>
      <c r="B117" s="209" t="s">
        <v>304</v>
      </c>
      <c r="C117" s="210" t="s">
        <v>305</v>
      </c>
    </row>
    <row r="118" spans="1:3" ht="12.75" x14ac:dyDescent="0.2">
      <c r="A118" s="205">
        <v>110</v>
      </c>
      <c r="B118" s="209" t="s">
        <v>306</v>
      </c>
      <c r="C118" s="210" t="s">
        <v>307</v>
      </c>
    </row>
    <row r="119" spans="1:3" ht="12.75" x14ac:dyDescent="0.2">
      <c r="A119" s="205">
        <v>111</v>
      </c>
      <c r="B119" s="209" t="s">
        <v>308</v>
      </c>
      <c r="C119" s="210" t="s">
        <v>309</v>
      </c>
    </row>
    <row r="120" spans="1:3" ht="12.75" x14ac:dyDescent="0.2">
      <c r="A120" s="205">
        <v>112</v>
      </c>
      <c r="B120" s="209" t="s">
        <v>310</v>
      </c>
      <c r="C120" s="210" t="s">
        <v>311</v>
      </c>
    </row>
    <row r="121" spans="1:3" ht="12.75" x14ac:dyDescent="0.2">
      <c r="A121" s="205">
        <v>113</v>
      </c>
      <c r="B121" s="209" t="s">
        <v>312</v>
      </c>
      <c r="C121" s="210" t="s">
        <v>313</v>
      </c>
    </row>
    <row r="122" spans="1:3" ht="12.75" x14ac:dyDescent="0.2">
      <c r="A122" s="205">
        <v>114</v>
      </c>
      <c r="B122" s="209" t="s">
        <v>314</v>
      </c>
      <c r="C122" s="210" t="s">
        <v>315</v>
      </c>
    </row>
    <row r="123" spans="1:3" ht="12.75" x14ac:dyDescent="0.2">
      <c r="A123" s="205">
        <v>115</v>
      </c>
      <c r="B123" s="209" t="s">
        <v>316</v>
      </c>
      <c r="C123" s="210" t="s">
        <v>317</v>
      </c>
    </row>
    <row r="124" spans="1:3" ht="12.75" x14ac:dyDescent="0.2">
      <c r="A124" s="205">
        <v>116</v>
      </c>
      <c r="B124" s="209" t="s">
        <v>318</v>
      </c>
      <c r="C124" s="210" t="s">
        <v>319</v>
      </c>
    </row>
    <row r="125" spans="1:3" ht="12.75" x14ac:dyDescent="0.2">
      <c r="A125" s="205">
        <v>117</v>
      </c>
      <c r="B125" s="209" t="s">
        <v>320</v>
      </c>
      <c r="C125" s="210" t="s">
        <v>321</v>
      </c>
    </row>
    <row r="126" spans="1:3" ht="12.75" x14ac:dyDescent="0.2">
      <c r="A126" s="205">
        <v>118</v>
      </c>
      <c r="B126" s="209" t="s">
        <v>322</v>
      </c>
      <c r="C126" s="210" t="s">
        <v>323</v>
      </c>
    </row>
    <row r="127" spans="1:3" ht="12.75" x14ac:dyDescent="0.2">
      <c r="A127" s="205">
        <v>119</v>
      </c>
      <c r="B127" s="209" t="s">
        <v>324</v>
      </c>
      <c r="C127" s="210" t="s">
        <v>325</v>
      </c>
    </row>
    <row r="128" spans="1:3" ht="12.75" x14ac:dyDescent="0.2">
      <c r="A128" s="205">
        <v>120</v>
      </c>
      <c r="B128" s="209" t="s">
        <v>326</v>
      </c>
      <c r="C128" s="210" t="s">
        <v>327</v>
      </c>
    </row>
    <row r="129" spans="1:3" ht="12.75" x14ac:dyDescent="0.2">
      <c r="A129" s="205">
        <v>121</v>
      </c>
      <c r="B129" s="209" t="s">
        <v>328</v>
      </c>
      <c r="C129" s="210" t="s">
        <v>329</v>
      </c>
    </row>
    <row r="130" spans="1:3" ht="12.75" x14ac:dyDescent="0.2">
      <c r="A130" s="205">
        <v>122</v>
      </c>
      <c r="B130" s="209" t="s">
        <v>330</v>
      </c>
      <c r="C130" s="210" t="s">
        <v>331</v>
      </c>
    </row>
    <row r="131" spans="1:3" ht="12.75" x14ac:dyDescent="0.2">
      <c r="A131" s="205">
        <v>123</v>
      </c>
      <c r="B131" s="209" t="s">
        <v>332</v>
      </c>
      <c r="C131" s="210" t="s">
        <v>333</v>
      </c>
    </row>
    <row r="132" spans="1:3" ht="12.75" x14ac:dyDescent="0.2">
      <c r="A132" s="205">
        <v>124</v>
      </c>
      <c r="B132" s="209" t="s">
        <v>334</v>
      </c>
      <c r="C132" s="210" t="s">
        <v>335</v>
      </c>
    </row>
    <row r="133" spans="1:3" ht="12.75" x14ac:dyDescent="0.2">
      <c r="A133" s="205">
        <v>125</v>
      </c>
      <c r="B133" s="209" t="s">
        <v>336</v>
      </c>
      <c r="C133" s="210" t="s">
        <v>337</v>
      </c>
    </row>
    <row r="134" spans="1:3" ht="12.75" x14ac:dyDescent="0.2">
      <c r="A134" s="205">
        <v>126</v>
      </c>
      <c r="B134" s="209" t="s">
        <v>338</v>
      </c>
      <c r="C134" s="210" t="s">
        <v>339</v>
      </c>
    </row>
    <row r="135" spans="1:3" ht="12.75" x14ac:dyDescent="0.2">
      <c r="A135" s="205">
        <v>127</v>
      </c>
      <c r="B135" s="209" t="s">
        <v>340</v>
      </c>
      <c r="C135" s="210" t="s">
        <v>341</v>
      </c>
    </row>
    <row r="136" spans="1:3" ht="12.75" x14ac:dyDescent="0.2">
      <c r="A136" s="205">
        <v>128</v>
      </c>
      <c r="B136" s="209" t="s">
        <v>342</v>
      </c>
      <c r="C136" s="210" t="s">
        <v>343</v>
      </c>
    </row>
    <row r="137" spans="1:3" ht="12.75" x14ac:dyDescent="0.2">
      <c r="A137" s="205">
        <v>129</v>
      </c>
      <c r="B137" s="209" t="s">
        <v>344</v>
      </c>
      <c r="C137" s="210" t="s">
        <v>345</v>
      </c>
    </row>
    <row r="138" spans="1:3" ht="12.75" x14ac:dyDescent="0.2">
      <c r="A138" s="205">
        <v>130</v>
      </c>
      <c r="B138" s="209" t="s">
        <v>346</v>
      </c>
      <c r="C138" s="210" t="s">
        <v>347</v>
      </c>
    </row>
    <row r="139" spans="1:3" ht="12.75" x14ac:dyDescent="0.2">
      <c r="A139" s="205">
        <v>131</v>
      </c>
      <c r="B139" s="209" t="s">
        <v>348</v>
      </c>
      <c r="C139" s="210" t="s">
        <v>349</v>
      </c>
    </row>
    <row r="140" spans="1:3" ht="12.75" x14ac:dyDescent="0.2">
      <c r="A140" s="205">
        <v>132</v>
      </c>
      <c r="B140" s="209" t="s">
        <v>350</v>
      </c>
      <c r="C140" s="210" t="s">
        <v>351</v>
      </c>
    </row>
    <row r="141" spans="1:3" ht="12.75" x14ac:dyDescent="0.2">
      <c r="A141" s="205">
        <v>133</v>
      </c>
      <c r="B141" s="209" t="s">
        <v>352</v>
      </c>
      <c r="C141" s="210" t="s">
        <v>353</v>
      </c>
    </row>
    <row r="142" spans="1:3" ht="12.75" x14ac:dyDescent="0.2">
      <c r="A142" s="205">
        <v>134</v>
      </c>
      <c r="B142" s="209" t="s">
        <v>354</v>
      </c>
      <c r="C142" s="210" t="s">
        <v>355</v>
      </c>
    </row>
    <row r="143" spans="1:3" ht="12.75" x14ac:dyDescent="0.2">
      <c r="A143" s="205">
        <v>135</v>
      </c>
      <c r="B143" s="209" t="s">
        <v>356</v>
      </c>
      <c r="C143" s="210" t="s">
        <v>357</v>
      </c>
    </row>
    <row r="144" spans="1:3" ht="12.75" x14ac:dyDescent="0.2">
      <c r="A144" s="205">
        <v>136</v>
      </c>
      <c r="B144" s="209" t="s">
        <v>358</v>
      </c>
      <c r="C144" s="210" t="s">
        <v>359</v>
      </c>
    </row>
    <row r="145" spans="1:3" ht="12.75" x14ac:dyDescent="0.2">
      <c r="A145" s="205">
        <v>137</v>
      </c>
      <c r="B145" s="209" t="s">
        <v>360</v>
      </c>
      <c r="C145" s="210" t="s">
        <v>361</v>
      </c>
    </row>
    <row r="146" spans="1:3" ht="12.75" x14ac:dyDescent="0.2">
      <c r="A146" s="205">
        <v>138</v>
      </c>
      <c r="B146" s="209" t="s">
        <v>362</v>
      </c>
      <c r="C146" s="210" t="s">
        <v>363</v>
      </c>
    </row>
    <row r="147" spans="1:3" ht="12.75" x14ac:dyDescent="0.2">
      <c r="A147" s="205">
        <v>139</v>
      </c>
      <c r="B147" s="209" t="s">
        <v>364</v>
      </c>
      <c r="C147" s="210" t="s">
        <v>365</v>
      </c>
    </row>
    <row r="148" spans="1:3" ht="12.75" x14ac:dyDescent="0.2">
      <c r="A148" s="205">
        <v>140</v>
      </c>
      <c r="B148" s="209" t="s">
        <v>366</v>
      </c>
      <c r="C148" s="210" t="s">
        <v>367</v>
      </c>
    </row>
    <row r="149" spans="1:3" ht="12.75" x14ac:dyDescent="0.2">
      <c r="A149" s="205">
        <v>141</v>
      </c>
      <c r="B149" s="209" t="s">
        <v>368</v>
      </c>
      <c r="C149" s="210" t="s">
        <v>369</v>
      </c>
    </row>
    <row r="150" spans="1:3" ht="12.75" x14ac:dyDescent="0.2">
      <c r="A150" s="205">
        <v>142</v>
      </c>
      <c r="B150" s="209" t="s">
        <v>370</v>
      </c>
      <c r="C150" s="210" t="s">
        <v>371</v>
      </c>
    </row>
    <row r="151" spans="1:3" ht="12.75" x14ac:dyDescent="0.2">
      <c r="A151" s="205">
        <v>143</v>
      </c>
      <c r="B151" s="209" t="s">
        <v>372</v>
      </c>
      <c r="C151" s="210" t="s">
        <v>373</v>
      </c>
    </row>
    <row r="152" spans="1:3" ht="12.75" x14ac:dyDescent="0.2">
      <c r="A152" s="205">
        <v>144</v>
      </c>
      <c r="B152" s="209" t="s">
        <v>374</v>
      </c>
      <c r="C152" s="210" t="s">
        <v>375</v>
      </c>
    </row>
    <row r="153" spans="1:3" ht="12.75" x14ac:dyDescent="0.2">
      <c r="A153" s="205">
        <v>145</v>
      </c>
      <c r="B153" s="209" t="s">
        <v>376</v>
      </c>
      <c r="C153" s="210" t="s">
        <v>377</v>
      </c>
    </row>
    <row r="154" spans="1:3" ht="12.75" x14ac:dyDescent="0.2">
      <c r="A154" s="205">
        <v>146</v>
      </c>
      <c r="B154" s="209" t="s">
        <v>378</v>
      </c>
      <c r="C154" s="210" t="s">
        <v>379</v>
      </c>
    </row>
    <row r="155" spans="1:3" ht="12.75" x14ac:dyDescent="0.2">
      <c r="A155" s="205">
        <v>147</v>
      </c>
      <c r="B155" s="209" t="s">
        <v>380</v>
      </c>
      <c r="C155" s="210" t="s">
        <v>381</v>
      </c>
    </row>
    <row r="156" spans="1:3" ht="12.75" x14ac:dyDescent="0.2">
      <c r="A156" s="205">
        <v>148</v>
      </c>
      <c r="B156" s="209" t="s">
        <v>382</v>
      </c>
      <c r="C156" s="210" t="s">
        <v>383</v>
      </c>
    </row>
    <row r="157" spans="1:3" ht="12.75" x14ac:dyDescent="0.2">
      <c r="A157" s="205">
        <v>149</v>
      </c>
      <c r="B157" s="209" t="s">
        <v>384</v>
      </c>
      <c r="C157" s="210" t="s">
        <v>385</v>
      </c>
    </row>
    <row r="158" spans="1:3" ht="12.75" x14ac:dyDescent="0.2">
      <c r="A158" s="205">
        <v>150</v>
      </c>
      <c r="B158" s="209" t="s">
        <v>386</v>
      </c>
      <c r="C158" s="210" t="s">
        <v>387</v>
      </c>
    </row>
    <row r="159" spans="1:3" ht="12.75" x14ac:dyDescent="0.2">
      <c r="A159" s="205">
        <v>151</v>
      </c>
      <c r="B159" s="209" t="s">
        <v>388</v>
      </c>
      <c r="C159" s="210" t="s">
        <v>389</v>
      </c>
    </row>
    <row r="160" spans="1:3" ht="12.75" x14ac:dyDescent="0.2">
      <c r="A160" s="205">
        <v>152</v>
      </c>
      <c r="B160" s="209" t="s">
        <v>390</v>
      </c>
      <c r="C160" s="210" t="s">
        <v>391</v>
      </c>
    </row>
    <row r="161" spans="1:3" ht="12.75" x14ac:dyDescent="0.2">
      <c r="A161" s="205">
        <v>153</v>
      </c>
      <c r="B161" s="209" t="s">
        <v>392</v>
      </c>
      <c r="C161" s="210" t="s">
        <v>393</v>
      </c>
    </row>
    <row r="162" spans="1:3" ht="12.75" x14ac:dyDescent="0.2">
      <c r="A162" s="205">
        <v>154</v>
      </c>
      <c r="B162" s="209" t="s">
        <v>394</v>
      </c>
      <c r="C162" s="210" t="s">
        <v>395</v>
      </c>
    </row>
    <row r="163" spans="1:3" ht="12.75" x14ac:dyDescent="0.2">
      <c r="A163" s="205">
        <v>155</v>
      </c>
      <c r="B163" s="209" t="s">
        <v>396</v>
      </c>
      <c r="C163" s="210" t="s">
        <v>397</v>
      </c>
    </row>
    <row r="164" spans="1:3" ht="12.75" x14ac:dyDescent="0.2">
      <c r="A164" s="205">
        <v>156</v>
      </c>
      <c r="B164" s="209" t="s">
        <v>398</v>
      </c>
      <c r="C164" s="210" t="s">
        <v>399</v>
      </c>
    </row>
    <row r="165" spans="1:3" ht="12.75" x14ac:dyDescent="0.2">
      <c r="A165" s="205">
        <v>157</v>
      </c>
      <c r="B165" s="209" t="s">
        <v>400</v>
      </c>
      <c r="C165" s="210" t="s">
        <v>401</v>
      </c>
    </row>
    <row r="166" spans="1:3" ht="12.75" x14ac:dyDescent="0.2">
      <c r="A166" s="205">
        <v>158</v>
      </c>
      <c r="B166" s="209" t="s">
        <v>402</v>
      </c>
      <c r="C166" s="210" t="s">
        <v>403</v>
      </c>
    </row>
    <row r="167" spans="1:3" ht="12.75" x14ac:dyDescent="0.2">
      <c r="A167" s="205">
        <v>159</v>
      </c>
      <c r="B167" s="209" t="s">
        <v>404</v>
      </c>
      <c r="C167" s="210" t="s">
        <v>405</v>
      </c>
    </row>
    <row r="168" spans="1:3" ht="12.75" x14ac:dyDescent="0.2">
      <c r="A168" s="205">
        <v>160</v>
      </c>
      <c r="B168" s="209" t="s">
        <v>406</v>
      </c>
      <c r="C168" s="210" t="s">
        <v>407</v>
      </c>
    </row>
    <row r="169" spans="1:3" ht="12.75" x14ac:dyDescent="0.2">
      <c r="A169" s="205">
        <v>161</v>
      </c>
      <c r="B169" s="209" t="s">
        <v>408</v>
      </c>
      <c r="C169" s="210" t="s">
        <v>409</v>
      </c>
    </row>
    <row r="170" spans="1:3" ht="12.75" x14ac:dyDescent="0.2">
      <c r="A170" s="205">
        <v>162</v>
      </c>
      <c r="B170" s="209" t="s">
        <v>410</v>
      </c>
      <c r="C170" s="210" t="s">
        <v>411</v>
      </c>
    </row>
    <row r="171" spans="1:3" ht="12.75" x14ac:dyDescent="0.2">
      <c r="A171" s="205">
        <v>163</v>
      </c>
      <c r="B171" s="209" t="s">
        <v>412</v>
      </c>
      <c r="C171" s="210" t="s">
        <v>413</v>
      </c>
    </row>
    <row r="172" spans="1:3" ht="12.75" x14ac:dyDescent="0.2">
      <c r="A172" s="205">
        <v>164</v>
      </c>
      <c r="B172" s="209" t="s">
        <v>414</v>
      </c>
      <c r="C172" s="210" t="s">
        <v>415</v>
      </c>
    </row>
    <row r="173" spans="1:3" ht="12.75" x14ac:dyDescent="0.2">
      <c r="A173" s="205">
        <v>165</v>
      </c>
      <c r="B173" s="209" t="s">
        <v>416</v>
      </c>
      <c r="C173" s="210" t="s">
        <v>417</v>
      </c>
    </row>
    <row r="174" spans="1:3" ht="12.75" x14ac:dyDescent="0.2">
      <c r="A174" s="205">
        <v>166</v>
      </c>
      <c r="B174" s="209" t="s">
        <v>418</v>
      </c>
      <c r="C174" s="210" t="s">
        <v>419</v>
      </c>
    </row>
    <row r="175" spans="1:3" ht="12.75" x14ac:dyDescent="0.2">
      <c r="A175" s="205">
        <v>167</v>
      </c>
      <c r="B175" s="209" t="s">
        <v>420</v>
      </c>
      <c r="C175" s="210" t="s">
        <v>421</v>
      </c>
    </row>
    <row r="176" spans="1:3" ht="12.75" x14ac:dyDescent="0.2">
      <c r="A176" s="205">
        <v>168</v>
      </c>
      <c r="B176" s="209" t="s">
        <v>422</v>
      </c>
      <c r="C176" s="210" t="s">
        <v>423</v>
      </c>
    </row>
    <row r="177" spans="1:3" ht="12.75" x14ac:dyDescent="0.2">
      <c r="A177" s="205">
        <v>169</v>
      </c>
      <c r="B177" s="209" t="s">
        <v>424</v>
      </c>
      <c r="C177" s="210" t="s">
        <v>425</v>
      </c>
    </row>
    <row r="178" spans="1:3" ht="12.75" x14ac:dyDescent="0.2">
      <c r="A178" s="205">
        <v>170</v>
      </c>
      <c r="B178" s="209" t="s">
        <v>426</v>
      </c>
      <c r="C178" s="210" t="s">
        <v>427</v>
      </c>
    </row>
    <row r="179" spans="1:3" ht="12.75" x14ac:dyDescent="0.2">
      <c r="A179" s="205">
        <v>171</v>
      </c>
      <c r="B179" s="209" t="s">
        <v>428</v>
      </c>
      <c r="C179" s="210" t="s">
        <v>429</v>
      </c>
    </row>
    <row r="180" spans="1:3" ht="12.75" x14ac:dyDescent="0.2">
      <c r="A180" s="205">
        <v>172</v>
      </c>
      <c r="B180" s="209" t="s">
        <v>430</v>
      </c>
      <c r="C180" s="210" t="s">
        <v>431</v>
      </c>
    </row>
    <row r="181" spans="1:3" ht="12.75" x14ac:dyDescent="0.2">
      <c r="A181" s="205">
        <v>173</v>
      </c>
      <c r="B181" s="209" t="s">
        <v>432</v>
      </c>
      <c r="C181" s="210" t="s">
        <v>433</v>
      </c>
    </row>
    <row r="182" spans="1:3" ht="12.75" x14ac:dyDescent="0.2">
      <c r="A182" s="205">
        <v>174</v>
      </c>
      <c r="B182" s="209" t="s">
        <v>434</v>
      </c>
      <c r="C182" s="210" t="s">
        <v>435</v>
      </c>
    </row>
    <row r="183" spans="1:3" ht="12.75" x14ac:dyDescent="0.2">
      <c r="A183" s="205">
        <v>175</v>
      </c>
      <c r="B183" s="209" t="s">
        <v>436</v>
      </c>
      <c r="C183" s="210" t="s">
        <v>437</v>
      </c>
    </row>
    <row r="184" spans="1:3" ht="12.75" x14ac:dyDescent="0.2">
      <c r="A184" s="205">
        <v>176</v>
      </c>
      <c r="B184" s="209" t="s">
        <v>438</v>
      </c>
      <c r="C184" s="210" t="s">
        <v>439</v>
      </c>
    </row>
    <row r="185" spans="1:3" ht="12.75" x14ac:dyDescent="0.2">
      <c r="A185" s="205">
        <v>177</v>
      </c>
      <c r="B185" s="209" t="s">
        <v>440</v>
      </c>
      <c r="C185" s="210" t="s">
        <v>441</v>
      </c>
    </row>
    <row r="186" spans="1:3" ht="12.75" x14ac:dyDescent="0.2">
      <c r="A186" s="205">
        <v>178</v>
      </c>
      <c r="B186" s="209" t="s">
        <v>442</v>
      </c>
      <c r="C186" s="210" t="s">
        <v>443</v>
      </c>
    </row>
    <row r="187" spans="1:3" ht="12.75" x14ac:dyDescent="0.2">
      <c r="A187" s="205">
        <v>179</v>
      </c>
      <c r="B187" s="209" t="s">
        <v>444</v>
      </c>
      <c r="C187" s="210" t="s">
        <v>445</v>
      </c>
    </row>
    <row r="188" spans="1:3" ht="12.75" x14ac:dyDescent="0.2">
      <c r="A188" s="205">
        <v>180</v>
      </c>
      <c r="B188" s="209" t="s">
        <v>446</v>
      </c>
      <c r="C188" s="210" t="s">
        <v>447</v>
      </c>
    </row>
    <row r="189" spans="1:3" ht="12.75" x14ac:dyDescent="0.2">
      <c r="A189" s="205">
        <v>181</v>
      </c>
      <c r="B189" s="209" t="s">
        <v>448</v>
      </c>
      <c r="C189" s="210" t="s">
        <v>449</v>
      </c>
    </row>
    <row r="190" spans="1:3" ht="12.75" x14ac:dyDescent="0.2">
      <c r="A190" s="205">
        <v>182</v>
      </c>
      <c r="B190" s="209" t="s">
        <v>450</v>
      </c>
      <c r="C190" s="210" t="s">
        <v>451</v>
      </c>
    </row>
    <row r="191" spans="1:3" ht="12.75" x14ac:dyDescent="0.2">
      <c r="A191" s="205">
        <v>183</v>
      </c>
      <c r="B191" s="209" t="s">
        <v>452</v>
      </c>
      <c r="C191" s="210" t="s">
        <v>453</v>
      </c>
    </row>
    <row r="192" spans="1:3" ht="12.75" x14ac:dyDescent="0.2">
      <c r="A192" s="205">
        <v>184</v>
      </c>
      <c r="B192" s="209" t="s">
        <v>454</v>
      </c>
      <c r="C192" s="210" t="s">
        <v>455</v>
      </c>
    </row>
    <row r="193" spans="1:3" ht="12.75" x14ac:dyDescent="0.2">
      <c r="A193" s="205">
        <v>185</v>
      </c>
      <c r="B193" s="209" t="s">
        <v>456</v>
      </c>
      <c r="C193" s="210" t="s">
        <v>457</v>
      </c>
    </row>
    <row r="194" spans="1:3" ht="12.75" x14ac:dyDescent="0.2">
      <c r="A194" s="205">
        <v>186</v>
      </c>
      <c r="B194" s="209" t="s">
        <v>458</v>
      </c>
      <c r="C194" s="210" t="s">
        <v>459</v>
      </c>
    </row>
    <row r="195" spans="1:3" ht="12.75" x14ac:dyDescent="0.2">
      <c r="A195" s="205">
        <v>187</v>
      </c>
      <c r="B195" s="209" t="s">
        <v>460</v>
      </c>
      <c r="C195" s="210" t="s">
        <v>461</v>
      </c>
    </row>
    <row r="196" spans="1:3" ht="12.75" x14ac:dyDescent="0.2">
      <c r="A196" s="205">
        <v>188</v>
      </c>
      <c r="B196" s="209" t="s">
        <v>462</v>
      </c>
      <c r="C196" s="210" t="s">
        <v>463</v>
      </c>
    </row>
    <row r="197" spans="1:3" ht="12.75" x14ac:dyDescent="0.2">
      <c r="A197" s="205">
        <v>189</v>
      </c>
      <c r="B197" s="209" t="s">
        <v>464</v>
      </c>
      <c r="C197" s="210" t="s">
        <v>465</v>
      </c>
    </row>
    <row r="198" spans="1:3" ht="12.75" x14ac:dyDescent="0.2">
      <c r="A198" s="205">
        <v>190</v>
      </c>
      <c r="B198" s="209" t="s">
        <v>466</v>
      </c>
      <c r="C198" s="210" t="s">
        <v>467</v>
      </c>
    </row>
    <row r="199" spans="1:3" ht="12.75" x14ac:dyDescent="0.2">
      <c r="A199" s="205">
        <v>191</v>
      </c>
      <c r="B199" s="209" t="s">
        <v>468</v>
      </c>
      <c r="C199" s="210" t="s">
        <v>469</v>
      </c>
    </row>
    <row r="200" spans="1:3" ht="12.75" x14ac:dyDescent="0.2">
      <c r="A200" s="205">
        <v>192</v>
      </c>
      <c r="B200" s="209" t="s">
        <v>470</v>
      </c>
      <c r="C200" s="210" t="s">
        <v>471</v>
      </c>
    </row>
    <row r="201" spans="1:3" ht="12.75" x14ac:dyDescent="0.2">
      <c r="A201" s="205">
        <v>193</v>
      </c>
      <c r="B201" s="209" t="s">
        <v>472</v>
      </c>
      <c r="C201" s="210" t="s">
        <v>473</v>
      </c>
    </row>
    <row r="202" spans="1:3" ht="12.75" x14ac:dyDescent="0.2">
      <c r="A202" s="205">
        <v>194</v>
      </c>
      <c r="B202" s="209" t="s">
        <v>474</v>
      </c>
      <c r="C202" s="210" t="s">
        <v>475</v>
      </c>
    </row>
    <row r="203" spans="1:3" ht="12.75" x14ac:dyDescent="0.2">
      <c r="A203" s="205">
        <v>195</v>
      </c>
      <c r="B203" s="209" t="s">
        <v>476</v>
      </c>
      <c r="C203" s="210" t="s">
        <v>477</v>
      </c>
    </row>
    <row r="204" spans="1:3" ht="12.75" x14ac:dyDescent="0.2">
      <c r="A204" s="205">
        <v>196</v>
      </c>
      <c r="B204" s="209" t="s">
        <v>478</v>
      </c>
      <c r="C204" s="210" t="s">
        <v>479</v>
      </c>
    </row>
    <row r="205" spans="1:3" ht="12.75" x14ac:dyDescent="0.2">
      <c r="A205" s="205">
        <v>197</v>
      </c>
      <c r="B205" s="209" t="s">
        <v>480</v>
      </c>
      <c r="C205" s="210" t="s">
        <v>481</v>
      </c>
    </row>
    <row r="206" spans="1:3" ht="12.75" x14ac:dyDescent="0.2">
      <c r="A206" s="205">
        <v>198</v>
      </c>
      <c r="B206" s="209" t="s">
        <v>482</v>
      </c>
      <c r="C206" s="210" t="s">
        <v>483</v>
      </c>
    </row>
    <row r="207" spans="1:3" ht="12.75" x14ac:dyDescent="0.2">
      <c r="A207" s="205">
        <v>199</v>
      </c>
      <c r="B207" s="209" t="s">
        <v>484</v>
      </c>
      <c r="C207" s="210" t="s">
        <v>485</v>
      </c>
    </row>
    <row r="208" spans="1:3" ht="12.75" x14ac:dyDescent="0.2">
      <c r="A208" s="205">
        <v>200</v>
      </c>
      <c r="B208" s="209" t="s">
        <v>486</v>
      </c>
      <c r="C208" s="210" t="s">
        <v>487</v>
      </c>
    </row>
    <row r="209" spans="1:3" ht="12.75" x14ac:dyDescent="0.2">
      <c r="A209" s="205">
        <v>201</v>
      </c>
      <c r="B209" s="209" t="s">
        <v>488</v>
      </c>
      <c r="C209" s="210" t="s">
        <v>489</v>
      </c>
    </row>
    <row r="210" spans="1:3" ht="12.75" x14ac:dyDescent="0.2">
      <c r="A210" s="205">
        <v>202</v>
      </c>
      <c r="B210" s="209" t="s">
        <v>490</v>
      </c>
      <c r="C210" s="210" t="s">
        <v>491</v>
      </c>
    </row>
    <row r="211" spans="1:3" ht="12.75" x14ac:dyDescent="0.2">
      <c r="A211" s="205">
        <v>203</v>
      </c>
      <c r="B211" s="209" t="s">
        <v>492</v>
      </c>
      <c r="C211" s="210" t="s">
        <v>493</v>
      </c>
    </row>
    <row r="212" spans="1:3" ht="12.75" x14ac:dyDescent="0.2">
      <c r="A212" s="205">
        <v>204</v>
      </c>
      <c r="B212" s="209" t="s">
        <v>494</v>
      </c>
      <c r="C212" s="210" t="s">
        <v>495</v>
      </c>
    </row>
    <row r="213" spans="1:3" ht="12.75" x14ac:dyDescent="0.2">
      <c r="A213" s="205">
        <v>205</v>
      </c>
      <c r="B213" s="209" t="s">
        <v>496</v>
      </c>
      <c r="C213" s="210" t="s">
        <v>497</v>
      </c>
    </row>
    <row r="214" spans="1:3" ht="12.75" x14ac:dyDescent="0.2">
      <c r="A214" s="205">
        <v>206</v>
      </c>
      <c r="B214" s="209" t="s">
        <v>498</v>
      </c>
      <c r="C214" s="210" t="s">
        <v>499</v>
      </c>
    </row>
    <row r="215" spans="1:3" ht="12.75" x14ac:dyDescent="0.2">
      <c r="A215" s="205">
        <v>207</v>
      </c>
      <c r="B215" s="209" t="s">
        <v>500</v>
      </c>
      <c r="C215" s="210" t="s">
        <v>501</v>
      </c>
    </row>
    <row r="216" spans="1:3" ht="12.75" x14ac:dyDescent="0.2">
      <c r="A216" s="205">
        <v>208</v>
      </c>
      <c r="B216" s="209" t="s">
        <v>502</v>
      </c>
      <c r="C216" s="210" t="s">
        <v>503</v>
      </c>
    </row>
    <row r="217" spans="1:3" ht="12.75" x14ac:dyDescent="0.2">
      <c r="A217" s="205">
        <v>209</v>
      </c>
      <c r="B217" s="209" t="s">
        <v>504</v>
      </c>
      <c r="C217" s="210" t="s">
        <v>505</v>
      </c>
    </row>
    <row r="218" spans="1:3" ht="12.75" x14ac:dyDescent="0.2">
      <c r="A218" s="205">
        <v>210</v>
      </c>
      <c r="B218" s="209" t="s">
        <v>506</v>
      </c>
      <c r="C218" s="210" t="s">
        <v>507</v>
      </c>
    </row>
    <row r="219" spans="1:3" ht="12.75" x14ac:dyDescent="0.2">
      <c r="A219" s="205">
        <v>211</v>
      </c>
      <c r="B219" s="209" t="s">
        <v>508</v>
      </c>
      <c r="C219" s="210" t="s">
        <v>509</v>
      </c>
    </row>
    <row r="220" spans="1:3" ht="12.75" x14ac:dyDescent="0.2">
      <c r="A220" s="205">
        <v>212</v>
      </c>
      <c r="B220" s="209" t="s">
        <v>510</v>
      </c>
      <c r="C220" s="210" t="s">
        <v>511</v>
      </c>
    </row>
    <row r="221" spans="1:3" ht="12.75" x14ac:dyDescent="0.2">
      <c r="A221" s="205">
        <v>213</v>
      </c>
      <c r="B221" s="209" t="s">
        <v>512</v>
      </c>
      <c r="C221" s="210" t="s">
        <v>513</v>
      </c>
    </row>
    <row r="222" spans="1:3" ht="12.75" x14ac:dyDescent="0.2">
      <c r="A222" s="205">
        <v>214</v>
      </c>
      <c r="B222" s="209" t="s">
        <v>514</v>
      </c>
      <c r="C222" s="210" t="s">
        <v>515</v>
      </c>
    </row>
    <row r="223" spans="1:3" ht="12.75" x14ac:dyDescent="0.2">
      <c r="A223" s="205">
        <v>215</v>
      </c>
      <c r="B223" s="209" t="s">
        <v>516</v>
      </c>
      <c r="C223" s="210" t="s">
        <v>517</v>
      </c>
    </row>
    <row r="224" spans="1:3" ht="12.75" x14ac:dyDescent="0.2">
      <c r="A224" s="205">
        <v>216</v>
      </c>
      <c r="B224" s="209" t="s">
        <v>518</v>
      </c>
      <c r="C224" s="210" t="s">
        <v>519</v>
      </c>
    </row>
    <row r="225" spans="1:3" ht="12.75" x14ac:dyDescent="0.2">
      <c r="A225" s="205">
        <v>217</v>
      </c>
      <c r="B225" s="209" t="s">
        <v>520</v>
      </c>
      <c r="C225" s="210" t="s">
        <v>521</v>
      </c>
    </row>
    <row r="226" spans="1:3" ht="12.75" x14ac:dyDescent="0.2">
      <c r="A226" s="205">
        <v>218</v>
      </c>
      <c r="B226" s="209" t="s">
        <v>522</v>
      </c>
      <c r="C226" s="210" t="s">
        <v>523</v>
      </c>
    </row>
    <row r="227" spans="1:3" ht="12.75" x14ac:dyDescent="0.2">
      <c r="A227" s="205">
        <v>219</v>
      </c>
      <c r="B227" s="209" t="s">
        <v>524</v>
      </c>
      <c r="C227" s="210" t="s">
        <v>525</v>
      </c>
    </row>
    <row r="228" spans="1:3" ht="12.75" x14ac:dyDescent="0.2">
      <c r="A228" s="205">
        <v>220</v>
      </c>
      <c r="B228" s="209" t="s">
        <v>526</v>
      </c>
      <c r="C228" s="210" t="s">
        <v>527</v>
      </c>
    </row>
    <row r="229" spans="1:3" ht="12.75" x14ac:dyDescent="0.2">
      <c r="A229" s="205">
        <v>221</v>
      </c>
      <c r="B229" s="209" t="s">
        <v>528</v>
      </c>
      <c r="C229" s="210" t="s">
        <v>529</v>
      </c>
    </row>
    <row r="230" spans="1:3" ht="12.75" x14ac:dyDescent="0.2">
      <c r="A230" s="205">
        <v>222</v>
      </c>
      <c r="B230" s="209" t="s">
        <v>530</v>
      </c>
      <c r="C230" s="210" t="s">
        <v>531</v>
      </c>
    </row>
    <row r="231" spans="1:3" ht="12.75" x14ac:dyDescent="0.2">
      <c r="A231" s="205">
        <v>223</v>
      </c>
      <c r="B231" s="209" t="s">
        <v>532</v>
      </c>
      <c r="C231" s="210" t="s">
        <v>533</v>
      </c>
    </row>
    <row r="232" spans="1:3" ht="12.75" x14ac:dyDescent="0.2">
      <c r="A232" s="205">
        <v>224</v>
      </c>
      <c r="B232" s="209" t="s">
        <v>534</v>
      </c>
      <c r="C232" s="210" t="s">
        <v>535</v>
      </c>
    </row>
    <row r="233" spans="1:3" ht="12.75" x14ac:dyDescent="0.2">
      <c r="A233" s="205">
        <v>225</v>
      </c>
      <c r="B233" s="209" t="s">
        <v>536</v>
      </c>
      <c r="C233" s="210" t="s">
        <v>537</v>
      </c>
    </row>
    <row r="234" spans="1:3" ht="12.75" x14ac:dyDescent="0.2">
      <c r="A234" s="205">
        <v>226</v>
      </c>
      <c r="B234" s="209" t="s">
        <v>538</v>
      </c>
      <c r="C234" s="210" t="s">
        <v>539</v>
      </c>
    </row>
    <row r="235" spans="1:3" ht="12.75" x14ac:dyDescent="0.2">
      <c r="A235" s="205">
        <v>227</v>
      </c>
      <c r="B235" s="209" t="s">
        <v>540</v>
      </c>
      <c r="C235" s="210" t="s">
        <v>541</v>
      </c>
    </row>
    <row r="236" spans="1:3" ht="12.75" x14ac:dyDescent="0.2">
      <c r="A236" s="205">
        <v>228</v>
      </c>
      <c r="B236" s="209" t="s">
        <v>542</v>
      </c>
      <c r="C236" s="210" t="s">
        <v>543</v>
      </c>
    </row>
    <row r="237" spans="1:3" ht="12.75" x14ac:dyDescent="0.2">
      <c r="A237" s="205">
        <v>229</v>
      </c>
      <c r="B237" s="209" t="s">
        <v>544</v>
      </c>
      <c r="C237" s="210" t="s">
        <v>545</v>
      </c>
    </row>
    <row r="238" spans="1:3" ht="12.75" x14ac:dyDescent="0.2">
      <c r="A238" s="205">
        <v>230</v>
      </c>
      <c r="B238" s="209" t="s">
        <v>546</v>
      </c>
      <c r="C238" s="210" t="s">
        <v>547</v>
      </c>
    </row>
    <row r="239" spans="1:3" ht="12.75" x14ac:dyDescent="0.2">
      <c r="A239" s="205">
        <v>231</v>
      </c>
      <c r="B239" s="209" t="s">
        <v>548</v>
      </c>
      <c r="C239" s="210" t="s">
        <v>549</v>
      </c>
    </row>
    <row r="240" spans="1:3" ht="12.75" x14ac:dyDescent="0.2">
      <c r="A240" s="205">
        <v>232</v>
      </c>
      <c r="B240" s="209" t="s">
        <v>551</v>
      </c>
      <c r="C240" s="210" t="s">
        <v>552</v>
      </c>
    </row>
    <row r="241" spans="1:6" ht="12.75" x14ac:dyDescent="0.2">
      <c r="A241" s="205">
        <v>233</v>
      </c>
      <c r="B241" s="209" t="s">
        <v>553</v>
      </c>
      <c r="C241" s="210" t="s">
        <v>554</v>
      </c>
    </row>
    <row r="242" spans="1:6" ht="12.75" x14ac:dyDescent="0.2">
      <c r="A242" s="205">
        <v>234</v>
      </c>
      <c r="B242" s="209" t="s">
        <v>555</v>
      </c>
      <c r="C242" s="210" t="s">
        <v>556</v>
      </c>
    </row>
    <row r="243" spans="1:6" ht="12.75" x14ac:dyDescent="0.2">
      <c r="A243" s="205">
        <v>235</v>
      </c>
      <c r="B243" s="209" t="s">
        <v>557</v>
      </c>
      <c r="C243" s="210" t="s">
        <v>558</v>
      </c>
    </row>
    <row r="244" spans="1:6" ht="12.75" x14ac:dyDescent="0.2">
      <c r="A244" s="205">
        <v>236</v>
      </c>
      <c r="B244" s="209" t="s">
        <v>559</v>
      </c>
      <c r="C244" s="210" t="s">
        <v>560</v>
      </c>
    </row>
    <row r="245" spans="1:6" ht="12.75" x14ac:dyDescent="0.2">
      <c r="A245" s="205">
        <v>237</v>
      </c>
      <c r="B245" s="209" t="s">
        <v>561</v>
      </c>
      <c r="C245" s="210" t="s">
        <v>562</v>
      </c>
    </row>
    <row r="246" spans="1:6" ht="12.75" x14ac:dyDescent="0.2">
      <c r="A246" s="205">
        <v>238</v>
      </c>
      <c r="B246" s="209" t="s">
        <v>563</v>
      </c>
      <c r="C246" s="210" t="s">
        <v>564</v>
      </c>
    </row>
    <row r="247" spans="1:6" ht="12.75" x14ac:dyDescent="0.2">
      <c r="A247" s="205">
        <v>239</v>
      </c>
      <c r="B247" s="209" t="s">
        <v>565</v>
      </c>
      <c r="C247" s="210" t="s">
        <v>566</v>
      </c>
    </row>
    <row r="248" spans="1:6" ht="12.75" x14ac:dyDescent="0.2">
      <c r="A248" s="205">
        <v>240</v>
      </c>
      <c r="B248" s="209" t="s">
        <v>567</v>
      </c>
      <c r="C248" s="210" t="s">
        <v>568</v>
      </c>
    </row>
    <row r="249" spans="1:6" ht="12.75" x14ac:dyDescent="0.2">
      <c r="A249" s="205">
        <v>241</v>
      </c>
      <c r="B249" s="209" t="s">
        <v>569</v>
      </c>
      <c r="C249" s="210" t="s">
        <v>570</v>
      </c>
    </row>
    <row r="250" spans="1:6" ht="12.75" x14ac:dyDescent="0.2">
      <c r="A250" s="205">
        <v>242</v>
      </c>
      <c r="B250" s="209" t="s">
        <v>571</v>
      </c>
      <c r="C250" s="210" t="s">
        <v>572</v>
      </c>
    </row>
    <row r="251" spans="1:6" ht="12.75" x14ac:dyDescent="0.2">
      <c r="A251" s="205">
        <v>243</v>
      </c>
      <c r="B251" s="209" t="s">
        <v>573</v>
      </c>
      <c r="C251" s="210" t="s">
        <v>574</v>
      </c>
    </row>
    <row r="252" spans="1:6" ht="12.75" x14ac:dyDescent="0.2">
      <c r="A252" s="205">
        <v>244</v>
      </c>
      <c r="B252" s="209" t="s">
        <v>575</v>
      </c>
      <c r="C252" s="210" t="s">
        <v>576</v>
      </c>
    </row>
    <row r="253" spans="1:6" ht="12.75" x14ac:dyDescent="0.2">
      <c r="A253" s="205">
        <v>245</v>
      </c>
      <c r="B253" s="209" t="s">
        <v>577</v>
      </c>
      <c r="C253" s="210" t="s">
        <v>578</v>
      </c>
    </row>
    <row r="254" spans="1:6" ht="12.75" x14ac:dyDescent="0.2">
      <c r="A254" s="205">
        <v>246</v>
      </c>
      <c r="B254" s="209" t="s">
        <v>579</v>
      </c>
      <c r="C254" s="210" t="s">
        <v>580</v>
      </c>
      <c r="D254" s="208"/>
      <c r="E254" s="208"/>
      <c r="F254" s="208"/>
    </row>
    <row r="255" spans="1:6" ht="12.75" x14ac:dyDescent="0.2">
      <c r="A255" s="205">
        <v>247</v>
      </c>
      <c r="B255" s="209" t="s">
        <v>581</v>
      </c>
      <c r="C255" s="210" t="s">
        <v>582</v>
      </c>
    </row>
    <row r="256" spans="1:6" ht="12.75" x14ac:dyDescent="0.2">
      <c r="A256" s="205">
        <v>248</v>
      </c>
      <c r="B256" s="209" t="s">
        <v>583</v>
      </c>
      <c r="C256" s="210" t="s">
        <v>584</v>
      </c>
    </row>
    <row r="257" spans="1:3" ht="12.75" x14ac:dyDescent="0.2">
      <c r="A257" s="205">
        <v>249</v>
      </c>
      <c r="B257" s="209" t="s">
        <v>585</v>
      </c>
      <c r="C257" s="210" t="s">
        <v>586</v>
      </c>
    </row>
    <row r="258" spans="1:3" ht="12.75" x14ac:dyDescent="0.2">
      <c r="A258" s="205">
        <v>250</v>
      </c>
      <c r="B258" s="209" t="s">
        <v>587</v>
      </c>
      <c r="C258" s="210" t="s">
        <v>588</v>
      </c>
    </row>
    <row r="259" spans="1:3" ht="12.75" x14ac:dyDescent="0.2">
      <c r="A259" s="205">
        <v>251</v>
      </c>
      <c r="B259" s="209" t="s">
        <v>589</v>
      </c>
      <c r="C259" s="210" t="s">
        <v>590</v>
      </c>
    </row>
    <row r="260" spans="1:3" ht="12.75" x14ac:dyDescent="0.2">
      <c r="A260" s="205">
        <v>252</v>
      </c>
      <c r="B260" s="209" t="s">
        <v>591</v>
      </c>
      <c r="C260" s="210" t="s">
        <v>592</v>
      </c>
    </row>
    <row r="261" spans="1:3" ht="12.75" x14ac:dyDescent="0.2">
      <c r="A261" s="205">
        <v>253</v>
      </c>
      <c r="B261" s="209" t="s">
        <v>593</v>
      </c>
      <c r="C261" s="210" t="s">
        <v>594</v>
      </c>
    </row>
    <row r="262" spans="1:3" ht="12.75" x14ac:dyDescent="0.2">
      <c r="A262" s="205">
        <v>254</v>
      </c>
      <c r="B262" s="209" t="s">
        <v>595</v>
      </c>
      <c r="C262" s="210" t="s">
        <v>596</v>
      </c>
    </row>
    <row r="263" spans="1:3" ht="12.75" x14ac:dyDescent="0.2">
      <c r="A263" s="205">
        <v>255</v>
      </c>
      <c r="B263" s="209" t="s">
        <v>597</v>
      </c>
      <c r="C263" s="210" t="s">
        <v>598</v>
      </c>
    </row>
    <row r="264" spans="1:3" ht="12.75" x14ac:dyDescent="0.2">
      <c r="A264" s="205">
        <v>256</v>
      </c>
      <c r="B264" s="209" t="s">
        <v>599</v>
      </c>
      <c r="C264" s="210" t="s">
        <v>600</v>
      </c>
    </row>
    <row r="265" spans="1:3" ht="12.75" x14ac:dyDescent="0.2">
      <c r="A265" s="205">
        <v>257</v>
      </c>
      <c r="B265" s="209" t="s">
        <v>601</v>
      </c>
      <c r="C265" s="210" t="s">
        <v>602</v>
      </c>
    </row>
    <row r="266" spans="1:3" ht="12.75" x14ac:dyDescent="0.2">
      <c r="A266" s="205">
        <v>258</v>
      </c>
      <c r="B266" s="209" t="s">
        <v>603</v>
      </c>
      <c r="C266" s="210" t="s">
        <v>604</v>
      </c>
    </row>
    <row r="267" spans="1:3" ht="12.75" x14ac:dyDescent="0.2">
      <c r="A267" s="205">
        <v>259</v>
      </c>
      <c r="B267" s="209" t="s">
        <v>605</v>
      </c>
      <c r="C267" s="210" t="s">
        <v>606</v>
      </c>
    </row>
    <row r="268" spans="1:3" ht="12.75" x14ac:dyDescent="0.2">
      <c r="A268" s="205">
        <v>260</v>
      </c>
      <c r="B268" s="209" t="s">
        <v>607</v>
      </c>
      <c r="C268" s="210" t="s">
        <v>608</v>
      </c>
    </row>
    <row r="269" spans="1:3" ht="12.75" x14ac:dyDescent="0.2">
      <c r="A269" s="205">
        <v>261</v>
      </c>
      <c r="B269" s="209" t="s">
        <v>609</v>
      </c>
      <c r="C269" s="210" t="s">
        <v>610</v>
      </c>
    </row>
    <row r="270" spans="1:3" ht="12.75" x14ac:dyDescent="0.2">
      <c r="A270" s="205">
        <v>262</v>
      </c>
      <c r="B270" s="209" t="s">
        <v>611</v>
      </c>
      <c r="C270" s="210" t="s">
        <v>612</v>
      </c>
    </row>
    <row r="271" spans="1:3" ht="12.75" x14ac:dyDescent="0.2">
      <c r="A271" s="205">
        <v>263</v>
      </c>
      <c r="B271" s="209" t="s">
        <v>613</v>
      </c>
      <c r="C271" s="210" t="s">
        <v>614</v>
      </c>
    </row>
    <row r="272" spans="1:3" ht="12.75" x14ac:dyDescent="0.2">
      <c r="A272" s="205">
        <v>264</v>
      </c>
      <c r="B272" s="209" t="s">
        <v>615</v>
      </c>
      <c r="C272" s="210" t="s">
        <v>616</v>
      </c>
    </row>
    <row r="273" spans="1:3" ht="12.75" x14ac:dyDescent="0.2">
      <c r="A273" s="205">
        <v>265</v>
      </c>
      <c r="B273" s="209" t="s">
        <v>617</v>
      </c>
      <c r="C273" s="210" t="s">
        <v>618</v>
      </c>
    </row>
    <row r="274" spans="1:3" ht="12.75" x14ac:dyDescent="0.2">
      <c r="A274" s="205">
        <v>266</v>
      </c>
      <c r="B274" s="209" t="s">
        <v>619</v>
      </c>
      <c r="C274" s="210" t="s">
        <v>620</v>
      </c>
    </row>
    <row r="275" spans="1:3" ht="12.75" x14ac:dyDescent="0.2">
      <c r="A275" s="205">
        <v>267</v>
      </c>
      <c r="B275" s="209" t="s">
        <v>621</v>
      </c>
      <c r="C275" s="210" t="s">
        <v>622</v>
      </c>
    </row>
    <row r="276" spans="1:3" ht="12.75" x14ac:dyDescent="0.2">
      <c r="A276" s="205">
        <v>268</v>
      </c>
      <c r="B276" s="209" t="s">
        <v>623</v>
      </c>
      <c r="C276" s="210" t="s">
        <v>624</v>
      </c>
    </row>
    <row r="277" spans="1:3" ht="12.75" x14ac:dyDescent="0.2">
      <c r="A277" s="205">
        <v>269</v>
      </c>
      <c r="B277" s="209" t="s">
        <v>625</v>
      </c>
      <c r="C277" s="210" t="s">
        <v>626</v>
      </c>
    </row>
    <row r="278" spans="1:3" ht="12.75" x14ac:dyDescent="0.2">
      <c r="A278" s="205">
        <v>270</v>
      </c>
      <c r="B278" s="209" t="s">
        <v>627</v>
      </c>
      <c r="C278" s="210" t="s">
        <v>628</v>
      </c>
    </row>
    <row r="279" spans="1:3" ht="12.75" x14ac:dyDescent="0.2">
      <c r="A279" s="205">
        <v>271</v>
      </c>
      <c r="B279" s="209" t="s">
        <v>629</v>
      </c>
      <c r="C279" s="210" t="s">
        <v>630</v>
      </c>
    </row>
    <row r="280" spans="1:3" ht="12.75" x14ac:dyDescent="0.2">
      <c r="A280" s="205">
        <v>272</v>
      </c>
      <c r="B280" s="209" t="s">
        <v>631</v>
      </c>
      <c r="C280" s="210" t="s">
        <v>632</v>
      </c>
    </row>
    <row r="281" spans="1:3" ht="12.75" x14ac:dyDescent="0.2">
      <c r="A281" s="205">
        <v>273</v>
      </c>
      <c r="B281" s="209" t="s">
        <v>633</v>
      </c>
      <c r="C281" s="210" t="s">
        <v>634</v>
      </c>
    </row>
    <row r="282" spans="1:3" ht="12.75" x14ac:dyDescent="0.2">
      <c r="A282" s="205">
        <v>274</v>
      </c>
      <c r="B282" s="209" t="s">
        <v>635</v>
      </c>
      <c r="C282" s="210" t="s">
        <v>636</v>
      </c>
    </row>
    <row r="283" spans="1:3" ht="12.75" x14ac:dyDescent="0.2">
      <c r="A283" s="205">
        <v>275</v>
      </c>
      <c r="B283" s="209" t="s">
        <v>637</v>
      </c>
      <c r="C283" s="210" t="s">
        <v>638</v>
      </c>
    </row>
    <row r="284" spans="1:3" ht="12.75" x14ac:dyDescent="0.2">
      <c r="A284" s="205">
        <v>276</v>
      </c>
      <c r="B284" s="209" t="s">
        <v>639</v>
      </c>
      <c r="C284" s="210" t="s">
        <v>640</v>
      </c>
    </row>
    <row r="285" spans="1:3" ht="12.75" x14ac:dyDescent="0.2">
      <c r="A285" s="205">
        <v>277</v>
      </c>
      <c r="B285" s="209" t="s">
        <v>641</v>
      </c>
      <c r="C285" s="210" t="s">
        <v>642</v>
      </c>
    </row>
    <row r="286" spans="1:3" ht="12.75" x14ac:dyDescent="0.2">
      <c r="A286" s="205">
        <v>278</v>
      </c>
      <c r="B286" s="209" t="s">
        <v>643</v>
      </c>
      <c r="C286" s="210" t="s">
        <v>644</v>
      </c>
    </row>
    <row r="287" spans="1:3" ht="12.75" x14ac:dyDescent="0.2">
      <c r="A287" s="205">
        <v>279</v>
      </c>
      <c r="B287" s="209" t="s">
        <v>645</v>
      </c>
      <c r="C287" s="210" t="s">
        <v>646</v>
      </c>
    </row>
    <row r="288" spans="1:3" ht="12.75" x14ac:dyDescent="0.2">
      <c r="A288" s="205">
        <v>280</v>
      </c>
      <c r="B288" s="209" t="s">
        <v>647</v>
      </c>
      <c r="C288" s="210" t="s">
        <v>648</v>
      </c>
    </row>
    <row r="289" spans="1:3" ht="12.75" x14ac:dyDescent="0.2">
      <c r="A289" s="205">
        <v>281</v>
      </c>
      <c r="B289" s="209" t="s">
        <v>649</v>
      </c>
      <c r="C289" s="210" t="s">
        <v>650</v>
      </c>
    </row>
    <row r="290" spans="1:3" ht="12.75" x14ac:dyDescent="0.2">
      <c r="A290" s="205">
        <v>282</v>
      </c>
      <c r="B290" s="209" t="s">
        <v>651</v>
      </c>
      <c r="C290" s="210" t="s">
        <v>652</v>
      </c>
    </row>
    <row r="291" spans="1:3" ht="12.75" x14ac:dyDescent="0.2">
      <c r="A291" s="205">
        <v>283</v>
      </c>
      <c r="B291" s="209" t="s">
        <v>653</v>
      </c>
      <c r="C291" s="210" t="s">
        <v>654</v>
      </c>
    </row>
    <row r="292" spans="1:3" ht="12.75" x14ac:dyDescent="0.2">
      <c r="A292" s="205">
        <v>284</v>
      </c>
      <c r="B292" s="209" t="s">
        <v>655</v>
      </c>
      <c r="C292" s="210" t="s">
        <v>656</v>
      </c>
    </row>
    <row r="293" spans="1:3" ht="12.75" x14ac:dyDescent="0.2">
      <c r="A293" s="205">
        <v>285</v>
      </c>
      <c r="B293" s="209" t="s">
        <v>657</v>
      </c>
      <c r="C293" s="210" t="s">
        <v>658</v>
      </c>
    </row>
    <row r="294" spans="1:3" ht="12.75" x14ac:dyDescent="0.2">
      <c r="A294" s="205">
        <v>286</v>
      </c>
      <c r="B294" s="209" t="s">
        <v>659</v>
      </c>
      <c r="C294" s="210" t="s">
        <v>660</v>
      </c>
    </row>
    <row r="295" spans="1:3" ht="12.75" x14ac:dyDescent="0.2">
      <c r="A295" s="205">
        <v>287</v>
      </c>
      <c r="B295" s="209" t="s">
        <v>661</v>
      </c>
      <c r="C295" s="210" t="s">
        <v>662</v>
      </c>
    </row>
    <row r="296" spans="1:3" ht="12.75" x14ac:dyDescent="0.2">
      <c r="A296" s="205">
        <v>288</v>
      </c>
      <c r="B296" s="209" t="s">
        <v>663</v>
      </c>
      <c r="C296" s="210" t="s">
        <v>664</v>
      </c>
    </row>
    <row r="297" spans="1:3" ht="12.75" x14ac:dyDescent="0.2">
      <c r="A297" s="205">
        <v>289</v>
      </c>
      <c r="B297" s="209" t="s">
        <v>665</v>
      </c>
      <c r="C297" s="210" t="s">
        <v>666</v>
      </c>
    </row>
    <row r="298" spans="1:3" ht="12.75" x14ac:dyDescent="0.2">
      <c r="A298" s="205">
        <v>290</v>
      </c>
      <c r="B298" s="209" t="s">
        <v>667</v>
      </c>
      <c r="C298" s="210" t="s">
        <v>668</v>
      </c>
    </row>
    <row r="299" spans="1:3" ht="12.75" x14ac:dyDescent="0.2">
      <c r="A299" s="205">
        <v>291</v>
      </c>
      <c r="B299" s="209" t="s">
        <v>669</v>
      </c>
      <c r="C299" s="210" t="s">
        <v>670</v>
      </c>
    </row>
    <row r="300" spans="1:3" ht="12.75" x14ac:dyDescent="0.2">
      <c r="A300" s="205">
        <v>292</v>
      </c>
      <c r="B300" s="209" t="s">
        <v>671</v>
      </c>
      <c r="C300" s="210" t="s">
        <v>672</v>
      </c>
    </row>
    <row r="301" spans="1:3" ht="12.75" x14ac:dyDescent="0.2">
      <c r="A301" s="205">
        <v>293</v>
      </c>
      <c r="B301" s="209" t="s">
        <v>673</v>
      </c>
      <c r="C301" s="210" t="s">
        <v>674</v>
      </c>
    </row>
    <row r="302" spans="1:3" ht="12.75" x14ac:dyDescent="0.2">
      <c r="A302" s="205">
        <v>294</v>
      </c>
      <c r="B302" s="209" t="s">
        <v>675</v>
      </c>
      <c r="C302" s="210" t="s">
        <v>676</v>
      </c>
    </row>
    <row r="303" spans="1:3" ht="12.75" x14ac:dyDescent="0.2">
      <c r="A303" s="205">
        <v>295</v>
      </c>
      <c r="B303" s="209" t="s">
        <v>677</v>
      </c>
      <c r="C303" s="210" t="s">
        <v>678</v>
      </c>
    </row>
    <row r="304" spans="1:3" ht="12.75" x14ac:dyDescent="0.2">
      <c r="A304" s="205">
        <v>296</v>
      </c>
      <c r="B304" s="209" t="s">
        <v>679</v>
      </c>
      <c r="C304" s="210" t="s">
        <v>680</v>
      </c>
    </row>
    <row r="305" spans="1:3" ht="12.75" x14ac:dyDescent="0.2">
      <c r="A305" s="205">
        <v>297</v>
      </c>
      <c r="B305" s="209" t="s">
        <v>681</v>
      </c>
      <c r="C305" s="210" t="s">
        <v>682</v>
      </c>
    </row>
    <row r="306" spans="1:3" ht="12.75" x14ac:dyDescent="0.2">
      <c r="A306" s="205">
        <v>298</v>
      </c>
      <c r="B306" s="209" t="s">
        <v>683</v>
      </c>
      <c r="C306" s="210" t="s">
        <v>684</v>
      </c>
    </row>
    <row r="307" spans="1:3" ht="12.75" x14ac:dyDescent="0.2">
      <c r="A307" s="205">
        <v>299</v>
      </c>
      <c r="B307" s="209" t="s">
        <v>685</v>
      </c>
      <c r="C307" s="210" t="s">
        <v>686</v>
      </c>
    </row>
    <row r="308" spans="1:3" ht="12.75" x14ac:dyDescent="0.2">
      <c r="A308" s="205">
        <v>300</v>
      </c>
      <c r="B308" s="209" t="s">
        <v>687</v>
      </c>
      <c r="C308" s="210" t="s">
        <v>688</v>
      </c>
    </row>
    <row r="309" spans="1:3" ht="12.75" x14ac:dyDescent="0.2">
      <c r="A309" s="205">
        <v>301</v>
      </c>
      <c r="B309" s="209" t="s">
        <v>689</v>
      </c>
      <c r="C309" s="210" t="s">
        <v>690</v>
      </c>
    </row>
    <row r="310" spans="1:3" ht="12.75" x14ac:dyDescent="0.2">
      <c r="A310" s="205">
        <v>302</v>
      </c>
      <c r="B310" s="209" t="s">
        <v>691</v>
      </c>
      <c r="C310" s="210" t="s">
        <v>692</v>
      </c>
    </row>
    <row r="311" spans="1:3" ht="12.75" x14ac:dyDescent="0.2">
      <c r="A311" s="205">
        <v>303</v>
      </c>
      <c r="B311" s="209" t="s">
        <v>693</v>
      </c>
      <c r="C311" s="210" t="s">
        <v>694</v>
      </c>
    </row>
    <row r="312" spans="1:3" ht="12.75" x14ac:dyDescent="0.2">
      <c r="A312" s="205">
        <v>304</v>
      </c>
      <c r="B312" s="209" t="s">
        <v>695</v>
      </c>
      <c r="C312" s="210" t="s">
        <v>696</v>
      </c>
    </row>
    <row r="313" spans="1:3" ht="12.75" x14ac:dyDescent="0.2">
      <c r="A313" s="205">
        <v>305</v>
      </c>
      <c r="B313" s="209" t="s">
        <v>697</v>
      </c>
      <c r="C313" s="210" t="s">
        <v>698</v>
      </c>
    </row>
    <row r="314" spans="1:3" ht="12.75" x14ac:dyDescent="0.2">
      <c r="A314" s="205">
        <v>306</v>
      </c>
      <c r="B314" s="209" t="s">
        <v>699</v>
      </c>
      <c r="C314" s="210" t="s">
        <v>700</v>
      </c>
    </row>
    <row r="315" spans="1:3" ht="12.75" x14ac:dyDescent="0.2">
      <c r="A315" s="205">
        <v>307</v>
      </c>
      <c r="B315" s="209" t="s">
        <v>701</v>
      </c>
      <c r="C315" s="210" t="s">
        <v>702</v>
      </c>
    </row>
    <row r="316" spans="1:3" ht="12.75" x14ac:dyDescent="0.2">
      <c r="A316" s="205">
        <v>308</v>
      </c>
      <c r="B316" s="209" t="s">
        <v>703</v>
      </c>
      <c r="C316" s="210" t="s">
        <v>704</v>
      </c>
    </row>
    <row r="317" spans="1:3" ht="12.75" x14ac:dyDescent="0.2">
      <c r="A317" s="205">
        <v>309</v>
      </c>
      <c r="B317" s="209" t="s">
        <v>705</v>
      </c>
      <c r="C317" s="210" t="s">
        <v>706</v>
      </c>
    </row>
    <row r="318" spans="1:3" ht="12.75" x14ac:dyDescent="0.2">
      <c r="A318" s="205">
        <v>310</v>
      </c>
      <c r="B318" s="209" t="s">
        <v>707</v>
      </c>
      <c r="C318" s="210" t="s">
        <v>708</v>
      </c>
    </row>
    <row r="319" spans="1:3" ht="12.75" x14ac:dyDescent="0.2">
      <c r="A319" s="205">
        <v>311</v>
      </c>
      <c r="B319" s="209" t="s">
        <v>709</v>
      </c>
      <c r="C319" s="210" t="s">
        <v>710</v>
      </c>
    </row>
    <row r="320" spans="1:3" ht="12.75" x14ac:dyDescent="0.2">
      <c r="A320" s="205">
        <v>312</v>
      </c>
      <c r="B320" s="209" t="s">
        <v>711</v>
      </c>
      <c r="C320" s="210" t="s">
        <v>712</v>
      </c>
    </row>
    <row r="321" spans="1:3" ht="12.75" x14ac:dyDescent="0.2">
      <c r="A321" s="205">
        <v>313</v>
      </c>
      <c r="B321" s="209" t="s">
        <v>713</v>
      </c>
      <c r="C321" s="210" t="s">
        <v>714</v>
      </c>
    </row>
    <row r="322" spans="1:3" ht="12.75" x14ac:dyDescent="0.2">
      <c r="A322" s="205">
        <v>314</v>
      </c>
      <c r="B322" s="209" t="s">
        <v>715</v>
      </c>
      <c r="C322" s="210" t="s">
        <v>716</v>
      </c>
    </row>
    <row r="323" spans="1:3" ht="12.75" x14ac:dyDescent="0.2">
      <c r="A323" s="205">
        <v>315</v>
      </c>
      <c r="B323" s="209" t="s">
        <v>717</v>
      </c>
      <c r="C323" s="210" t="s">
        <v>718</v>
      </c>
    </row>
    <row r="324" spans="1:3" ht="12.75" x14ac:dyDescent="0.2">
      <c r="A324" s="205">
        <v>316</v>
      </c>
      <c r="B324" s="209" t="s">
        <v>719</v>
      </c>
      <c r="C324" s="210" t="s">
        <v>720</v>
      </c>
    </row>
    <row r="325" spans="1:3" ht="12.75" x14ac:dyDescent="0.2">
      <c r="A325" s="205">
        <v>317</v>
      </c>
      <c r="B325" s="209" t="s">
        <v>721</v>
      </c>
      <c r="C325" s="210" t="s">
        <v>722</v>
      </c>
    </row>
    <row r="326" spans="1:3" ht="12.75" x14ac:dyDescent="0.2">
      <c r="A326" s="205">
        <v>318</v>
      </c>
      <c r="B326" s="209" t="s">
        <v>723</v>
      </c>
      <c r="C326" s="210" t="s">
        <v>724</v>
      </c>
    </row>
    <row r="327" spans="1:3" ht="12.75" x14ac:dyDescent="0.2">
      <c r="A327" s="205">
        <v>319</v>
      </c>
      <c r="B327" s="209" t="s">
        <v>725</v>
      </c>
      <c r="C327" s="210" t="s">
        <v>726</v>
      </c>
    </row>
    <row r="328" spans="1:3" ht="12.75" x14ac:dyDescent="0.2">
      <c r="A328" s="205">
        <v>320</v>
      </c>
      <c r="B328" s="209" t="s">
        <v>727</v>
      </c>
      <c r="C328" s="210" t="s">
        <v>728</v>
      </c>
    </row>
    <row r="329" spans="1:3" ht="12.75" x14ac:dyDescent="0.2">
      <c r="A329" s="205">
        <v>321</v>
      </c>
      <c r="B329" s="209" t="s">
        <v>729</v>
      </c>
      <c r="C329" s="210" t="s">
        <v>730</v>
      </c>
    </row>
    <row r="330" spans="1:3" ht="12.75" x14ac:dyDescent="0.2">
      <c r="A330" s="205">
        <v>322</v>
      </c>
      <c r="B330" s="209" t="s">
        <v>731</v>
      </c>
      <c r="C330" s="210" t="s">
        <v>732</v>
      </c>
    </row>
    <row r="331" spans="1:3" ht="12.75" x14ac:dyDescent="0.2">
      <c r="A331" s="205">
        <v>323</v>
      </c>
      <c r="B331" s="209" t="s">
        <v>733</v>
      </c>
      <c r="C331" s="210" t="s">
        <v>734</v>
      </c>
    </row>
    <row r="332" spans="1:3" ht="12.75" x14ac:dyDescent="0.2">
      <c r="A332" s="205">
        <v>324</v>
      </c>
      <c r="B332" s="209" t="s">
        <v>735</v>
      </c>
      <c r="C332" s="210" t="s">
        <v>736</v>
      </c>
    </row>
    <row r="333" spans="1:3" ht="12.75" x14ac:dyDescent="0.2">
      <c r="A333" s="205">
        <v>325</v>
      </c>
      <c r="B333" s="209" t="s">
        <v>737</v>
      </c>
      <c r="C333" s="210" t="s">
        <v>738</v>
      </c>
    </row>
    <row r="334" spans="1:3" ht="13.5" thickBot="1" x14ac:dyDescent="0.25">
      <c r="A334" s="213">
        <v>326</v>
      </c>
      <c r="B334" s="214" t="s">
        <v>739</v>
      </c>
      <c r="C334" s="215" t="s">
        <v>740</v>
      </c>
    </row>
    <row r="335" spans="1:3" ht="12.75" x14ac:dyDescent="0.2">
      <c r="A335" s="216">
        <v>327</v>
      </c>
      <c r="B335" s="217" t="s">
        <v>1040</v>
      </c>
      <c r="C335" s="218" t="s">
        <v>1046</v>
      </c>
    </row>
    <row r="336" spans="1:3" s="187" customFormat="1" ht="12.75" x14ac:dyDescent="0.2">
      <c r="A336" s="188"/>
      <c r="B336" s="188"/>
      <c r="C336" s="188"/>
    </row>
    <row r="337" spans="1:3" s="187" customFormat="1" x14ac:dyDescent="0.2">
      <c r="A337" s="95"/>
      <c r="B337" s="95"/>
      <c r="C337" s="95"/>
    </row>
    <row r="338" spans="1:3" s="187" customFormat="1" x14ac:dyDescent="0.2">
      <c r="A338" s="95"/>
      <c r="B338" s="95"/>
      <c r="C338" s="95"/>
    </row>
    <row r="339" spans="1:3" s="187" customFormat="1" x14ac:dyDescent="0.2">
      <c r="A339" s="95"/>
      <c r="B339" s="95"/>
      <c r="C339" s="95"/>
    </row>
    <row r="340" spans="1:3" s="187" customFormat="1" x14ac:dyDescent="0.2">
      <c r="A340" s="95"/>
      <c r="B340" s="95"/>
      <c r="C340" s="95"/>
    </row>
    <row r="341" spans="1:3" s="187" customFormat="1" x14ac:dyDescent="0.2">
      <c r="A341" s="95"/>
      <c r="B341" s="95"/>
      <c r="C341" s="95"/>
    </row>
    <row r="342" spans="1:3" s="187" customFormat="1" x14ac:dyDescent="0.2">
      <c r="A342" s="95"/>
      <c r="B342" s="95"/>
      <c r="C342" s="95"/>
    </row>
    <row r="343" spans="1:3" s="187" customFormat="1" x14ac:dyDescent="0.2">
      <c r="A343" s="95"/>
      <c r="B343" s="95"/>
      <c r="C343" s="95"/>
    </row>
    <row r="344" spans="1:3" s="187" customFormat="1" x14ac:dyDescent="0.2">
      <c r="A344" s="95"/>
      <c r="B344" s="95"/>
      <c r="C344" s="95"/>
    </row>
    <row r="345" spans="1:3" s="187" customFormat="1" x14ac:dyDescent="0.2">
      <c r="A345" s="95"/>
      <c r="B345" s="95"/>
      <c r="C345" s="95"/>
    </row>
    <row r="346" spans="1:3" s="187" customFormat="1" x14ac:dyDescent="0.2">
      <c r="A346" s="95"/>
      <c r="B346" s="95"/>
      <c r="C346" s="95"/>
    </row>
    <row r="347" spans="1:3" s="187" customFormat="1" x14ac:dyDescent="0.2">
      <c r="A347" s="95"/>
      <c r="B347" s="95"/>
      <c r="C347" s="95"/>
    </row>
    <row r="348" spans="1:3" s="187" customFormat="1" x14ac:dyDescent="0.2">
      <c r="A348" s="95"/>
      <c r="B348" s="95"/>
      <c r="C348" s="95"/>
    </row>
    <row r="349" spans="1:3" s="187" customFormat="1" x14ac:dyDescent="0.2">
      <c r="A349" s="95"/>
      <c r="B349" s="95"/>
      <c r="C349" s="95"/>
    </row>
    <row r="350" spans="1:3" s="187" customFormat="1" x14ac:dyDescent="0.2">
      <c r="A350" s="95"/>
      <c r="B350" s="95"/>
      <c r="C350" s="95"/>
    </row>
    <row r="351" spans="1:3" s="187" customFormat="1" x14ac:dyDescent="0.2">
      <c r="A351" s="95"/>
      <c r="B351" s="95"/>
      <c r="C351" s="95"/>
    </row>
    <row r="352" spans="1:3" s="187" customFormat="1" x14ac:dyDescent="0.2">
      <c r="A352" s="95"/>
      <c r="B352" s="95"/>
      <c r="C352" s="95"/>
    </row>
    <row r="353" spans="1:3" s="187" customFormat="1" x14ac:dyDescent="0.2">
      <c r="A353" s="95"/>
      <c r="B353" s="95"/>
      <c r="C353" s="95"/>
    </row>
    <row r="354" spans="1:3" s="187" customFormat="1" x14ac:dyDescent="0.2">
      <c r="A354" s="95"/>
      <c r="B354" s="95"/>
      <c r="C354" s="95"/>
    </row>
    <row r="355" spans="1:3" s="187" customFormat="1" x14ac:dyDescent="0.2">
      <c r="A355" s="95"/>
      <c r="B355" s="95"/>
      <c r="C355" s="95"/>
    </row>
    <row r="356" spans="1:3" s="187" customFormat="1" x14ac:dyDescent="0.2">
      <c r="A356" s="95"/>
      <c r="B356" s="95"/>
      <c r="C356" s="95"/>
    </row>
    <row r="357" spans="1:3" s="187" customFormat="1" x14ac:dyDescent="0.2">
      <c r="A357" s="95"/>
      <c r="B357" s="95"/>
      <c r="C357" s="95"/>
    </row>
    <row r="358" spans="1:3" s="187" customFormat="1" x14ac:dyDescent="0.2">
      <c r="A358" s="95"/>
      <c r="B358" s="95"/>
      <c r="C358" s="95"/>
    </row>
    <row r="359" spans="1:3" s="187" customFormat="1" x14ac:dyDescent="0.2">
      <c r="A359" s="95"/>
      <c r="B359" s="95"/>
      <c r="C359" s="95"/>
    </row>
    <row r="360" spans="1:3" s="187" customFormat="1" x14ac:dyDescent="0.2">
      <c r="A360" s="95"/>
      <c r="B360" s="95"/>
      <c r="C360" s="95"/>
    </row>
    <row r="361" spans="1:3" s="187" customFormat="1" x14ac:dyDescent="0.2">
      <c r="A361" s="95"/>
      <c r="B361" s="95"/>
      <c r="C361" s="95"/>
    </row>
    <row r="362" spans="1:3" s="187" customFormat="1" x14ac:dyDescent="0.2">
      <c r="A362" s="95"/>
      <c r="B362" s="95"/>
      <c r="C362" s="95"/>
    </row>
    <row r="363" spans="1:3" s="187" customFormat="1" x14ac:dyDescent="0.2">
      <c r="A363" s="95"/>
      <c r="B363" s="95"/>
      <c r="C363" s="95"/>
    </row>
    <row r="364" spans="1:3" s="187" customFormat="1" x14ac:dyDescent="0.2">
      <c r="A364" s="95"/>
      <c r="B364" s="95"/>
      <c r="C364" s="95"/>
    </row>
    <row r="365" spans="1:3" s="187" customFormat="1" x14ac:dyDescent="0.2">
      <c r="A365" s="95"/>
      <c r="B365" s="95"/>
      <c r="C365" s="95"/>
    </row>
    <row r="366" spans="1:3" s="187" customFormat="1" x14ac:dyDescent="0.2">
      <c r="A366" s="95"/>
      <c r="B366" s="95"/>
      <c r="C366" s="95"/>
    </row>
    <row r="367" spans="1:3" s="187" customFormat="1" x14ac:dyDescent="0.2">
      <c r="A367" s="95"/>
      <c r="B367" s="95"/>
      <c r="C367" s="95"/>
    </row>
    <row r="368" spans="1:3" s="187" customFormat="1" x14ac:dyDescent="0.2">
      <c r="A368" s="95"/>
      <c r="B368" s="95"/>
      <c r="C368" s="95"/>
    </row>
    <row r="369" spans="1:3" s="187" customFormat="1" x14ac:dyDescent="0.2">
      <c r="A369" s="95"/>
      <c r="B369" s="95"/>
      <c r="C369" s="95"/>
    </row>
    <row r="370" spans="1:3" s="187" customFormat="1" x14ac:dyDescent="0.2">
      <c r="A370" s="95"/>
      <c r="B370" s="95"/>
      <c r="C370" s="95"/>
    </row>
    <row r="371" spans="1:3" s="187" customFormat="1" x14ac:dyDescent="0.2">
      <c r="A371" s="95"/>
      <c r="B371" s="95"/>
      <c r="C371" s="95"/>
    </row>
    <row r="372" spans="1:3" s="187" customFormat="1" x14ac:dyDescent="0.2">
      <c r="A372" s="95"/>
      <c r="B372" s="95"/>
      <c r="C372" s="95"/>
    </row>
    <row r="373" spans="1:3" s="187" customFormat="1" x14ac:dyDescent="0.2">
      <c r="A373" s="95"/>
      <c r="B373" s="95"/>
      <c r="C373" s="95"/>
    </row>
    <row r="374" spans="1:3" s="187" customFormat="1" x14ac:dyDescent="0.2">
      <c r="A374" s="95"/>
      <c r="B374" s="95"/>
      <c r="C374" s="95"/>
    </row>
    <row r="375" spans="1:3" s="187" customFormat="1" x14ac:dyDescent="0.2">
      <c r="A375" s="95"/>
      <c r="B375" s="95"/>
      <c r="C375" s="95"/>
    </row>
    <row r="376" spans="1:3" s="187" customFormat="1" x14ac:dyDescent="0.2">
      <c r="A376" s="95"/>
      <c r="B376" s="95"/>
      <c r="C376" s="95"/>
    </row>
    <row r="377" spans="1:3" s="187" customFormat="1" x14ac:dyDescent="0.2">
      <c r="A377" s="95"/>
      <c r="B377" s="95"/>
      <c r="C377" s="95"/>
    </row>
    <row r="378" spans="1:3" s="187" customFormat="1" x14ac:dyDescent="0.2">
      <c r="A378" s="95"/>
      <c r="B378" s="95"/>
      <c r="C378" s="95"/>
    </row>
    <row r="379" spans="1:3" s="187" customFormat="1" x14ac:dyDescent="0.2">
      <c r="A379" s="95"/>
      <c r="B379" s="95"/>
      <c r="C379" s="95"/>
    </row>
    <row r="380" spans="1:3" s="187" customFormat="1" x14ac:dyDescent="0.2">
      <c r="A380" s="95"/>
      <c r="B380" s="95"/>
      <c r="C380" s="95"/>
    </row>
    <row r="381" spans="1:3" s="187" customFormat="1" x14ac:dyDescent="0.2">
      <c r="A381" s="95"/>
      <c r="B381" s="95"/>
      <c r="C381" s="95"/>
    </row>
    <row r="382" spans="1:3" s="187" customFormat="1" x14ac:dyDescent="0.2">
      <c r="A382" s="95"/>
      <c r="B382" s="95"/>
      <c r="C382" s="95"/>
    </row>
    <row r="383" spans="1:3" s="187" customFormat="1" x14ac:dyDescent="0.2">
      <c r="A383" s="95"/>
      <c r="B383" s="95"/>
      <c r="C383" s="95"/>
    </row>
    <row r="384" spans="1:3" s="187" customFormat="1" x14ac:dyDescent="0.2">
      <c r="A384" s="95"/>
      <c r="B384" s="95"/>
      <c r="C384" s="95"/>
    </row>
    <row r="385" spans="1:3" s="187" customFormat="1" x14ac:dyDescent="0.2">
      <c r="A385" s="95"/>
      <c r="B385" s="95"/>
      <c r="C385" s="95"/>
    </row>
    <row r="386" spans="1:3" s="187" customFormat="1" x14ac:dyDescent="0.2">
      <c r="A386" s="95"/>
      <c r="B386" s="95"/>
      <c r="C386" s="95"/>
    </row>
    <row r="387" spans="1:3" s="187" customFormat="1" x14ac:dyDescent="0.2">
      <c r="A387" s="95"/>
      <c r="B387" s="95"/>
      <c r="C387" s="95"/>
    </row>
    <row r="388" spans="1:3" s="187" customFormat="1" x14ac:dyDescent="0.2">
      <c r="A388" s="95"/>
      <c r="B388" s="95"/>
      <c r="C388" s="95"/>
    </row>
    <row r="389" spans="1:3" s="187" customFormat="1" x14ac:dyDescent="0.2">
      <c r="A389" s="95"/>
      <c r="B389" s="95"/>
      <c r="C389" s="95"/>
    </row>
    <row r="390" spans="1:3" s="187" customFormat="1" x14ac:dyDescent="0.2">
      <c r="A390" s="95"/>
      <c r="B390" s="95"/>
      <c r="C390" s="95"/>
    </row>
    <row r="391" spans="1:3" s="187" customFormat="1" x14ac:dyDescent="0.2">
      <c r="A391" s="95"/>
      <c r="B391" s="95"/>
      <c r="C391" s="95"/>
    </row>
    <row r="392" spans="1:3" s="187" customFormat="1" x14ac:dyDescent="0.2">
      <c r="A392" s="95"/>
      <c r="B392" s="95"/>
      <c r="C392" s="95"/>
    </row>
    <row r="393" spans="1:3" s="187" customFormat="1" x14ac:dyDescent="0.2">
      <c r="A393" s="95"/>
      <c r="B393" s="95"/>
      <c r="C393" s="95"/>
    </row>
    <row r="394" spans="1:3" s="187" customFormat="1" x14ac:dyDescent="0.2">
      <c r="A394" s="95"/>
      <c r="B394" s="95"/>
      <c r="C394" s="95"/>
    </row>
    <row r="395" spans="1:3" s="187" customFormat="1" x14ac:dyDescent="0.2">
      <c r="A395" s="95"/>
      <c r="B395" s="95"/>
      <c r="C395" s="95"/>
    </row>
    <row r="396" spans="1:3" s="187" customFormat="1" x14ac:dyDescent="0.2">
      <c r="A396" s="95"/>
      <c r="B396" s="95"/>
      <c r="C396" s="95"/>
    </row>
    <row r="397" spans="1:3" s="187" customFormat="1" x14ac:dyDescent="0.2">
      <c r="A397" s="95"/>
      <c r="B397" s="95"/>
      <c r="C397" s="95"/>
    </row>
    <row r="398" spans="1:3" s="187" customFormat="1" x14ac:dyDescent="0.2">
      <c r="A398" s="95"/>
      <c r="B398" s="95"/>
      <c r="C398" s="95"/>
    </row>
    <row r="399" spans="1:3" s="187" customFormat="1" x14ac:dyDescent="0.2">
      <c r="A399" s="95"/>
      <c r="B399" s="95"/>
      <c r="C399" s="95"/>
    </row>
    <row r="400" spans="1:3" s="187" customFormat="1" x14ac:dyDescent="0.2">
      <c r="A400" s="95"/>
      <c r="B400" s="95"/>
      <c r="C400" s="95"/>
    </row>
    <row r="401" spans="1:3" s="187" customFormat="1" x14ac:dyDescent="0.2">
      <c r="A401" s="95"/>
      <c r="B401" s="95"/>
      <c r="C401" s="95"/>
    </row>
    <row r="402" spans="1:3" s="187" customFormat="1" x14ac:dyDescent="0.2">
      <c r="A402" s="95"/>
      <c r="B402" s="95"/>
      <c r="C402" s="95"/>
    </row>
    <row r="403" spans="1:3" s="187" customFormat="1" x14ac:dyDescent="0.2">
      <c r="A403" s="95"/>
      <c r="B403" s="95"/>
      <c r="C403" s="95"/>
    </row>
    <row r="404" spans="1:3" s="187" customFormat="1" x14ac:dyDescent="0.2">
      <c r="A404" s="95"/>
      <c r="B404" s="95"/>
      <c r="C404" s="95"/>
    </row>
    <row r="405" spans="1:3" s="187" customFormat="1" x14ac:dyDescent="0.2">
      <c r="A405" s="95"/>
      <c r="B405" s="95"/>
      <c r="C405" s="95"/>
    </row>
    <row r="406" spans="1:3" s="187" customFormat="1" x14ac:dyDescent="0.2">
      <c r="A406" s="95"/>
      <c r="B406" s="95"/>
      <c r="C406" s="95"/>
    </row>
    <row r="407" spans="1:3" s="187" customFormat="1" x14ac:dyDescent="0.2">
      <c r="A407" s="95"/>
      <c r="B407" s="95"/>
      <c r="C407" s="95"/>
    </row>
    <row r="408" spans="1:3" s="187" customFormat="1" x14ac:dyDescent="0.2">
      <c r="A408" s="95"/>
      <c r="B408" s="95"/>
      <c r="C408" s="95"/>
    </row>
    <row r="409" spans="1:3" s="187" customFormat="1" x14ac:dyDescent="0.2">
      <c r="A409" s="95"/>
      <c r="B409" s="95"/>
      <c r="C409" s="95"/>
    </row>
    <row r="410" spans="1:3" s="187" customFormat="1" x14ac:dyDescent="0.2">
      <c r="A410" s="95"/>
      <c r="B410" s="95"/>
      <c r="C410" s="95"/>
    </row>
    <row r="411" spans="1:3" s="187" customFormat="1" x14ac:dyDescent="0.2">
      <c r="A411" s="95"/>
      <c r="B411" s="95"/>
      <c r="C411" s="95"/>
    </row>
    <row r="412" spans="1:3" s="187" customFormat="1" x14ac:dyDescent="0.2">
      <c r="A412" s="95"/>
      <c r="B412" s="95"/>
      <c r="C412" s="95"/>
    </row>
    <row r="413" spans="1:3" s="187" customFormat="1" x14ac:dyDescent="0.2">
      <c r="A413" s="95"/>
      <c r="B413" s="95"/>
      <c r="C413" s="95"/>
    </row>
    <row r="414" spans="1:3" s="187" customFormat="1" x14ac:dyDescent="0.2">
      <c r="A414" s="95"/>
      <c r="B414" s="95"/>
      <c r="C414" s="95"/>
    </row>
    <row r="415" spans="1:3" s="187" customFormat="1" x14ac:dyDescent="0.2">
      <c r="A415" s="95"/>
      <c r="B415" s="95"/>
      <c r="C415" s="95"/>
    </row>
    <row r="416" spans="1:3" s="187" customFormat="1" x14ac:dyDescent="0.2">
      <c r="A416" s="95"/>
      <c r="B416" s="95"/>
      <c r="C416" s="95"/>
    </row>
    <row r="417" spans="1:3" s="187" customFormat="1" x14ac:dyDescent="0.2">
      <c r="A417" s="95"/>
      <c r="B417" s="95"/>
      <c r="C417" s="95"/>
    </row>
    <row r="418" spans="1:3" s="187" customFormat="1" x14ac:dyDescent="0.2">
      <c r="A418" s="95"/>
      <c r="B418" s="95"/>
      <c r="C418" s="95"/>
    </row>
    <row r="419" spans="1:3" s="187" customFormat="1" x14ac:dyDescent="0.2">
      <c r="A419" s="95"/>
      <c r="B419" s="95"/>
      <c r="C419" s="95"/>
    </row>
    <row r="420" spans="1:3" s="187" customFormat="1" x14ac:dyDescent="0.2">
      <c r="A420" s="95"/>
      <c r="B420" s="95"/>
      <c r="C420" s="95"/>
    </row>
    <row r="421" spans="1:3" s="187" customFormat="1" x14ac:dyDescent="0.2">
      <c r="A421" s="95"/>
      <c r="B421" s="95"/>
      <c r="C421" s="95"/>
    </row>
    <row r="422" spans="1:3" s="187" customFormat="1" x14ac:dyDescent="0.2">
      <c r="A422" s="95"/>
      <c r="B422" s="95"/>
      <c r="C422" s="95"/>
    </row>
    <row r="423" spans="1:3" s="187" customFormat="1" x14ac:dyDescent="0.2">
      <c r="A423" s="95"/>
      <c r="B423" s="95"/>
      <c r="C423" s="95"/>
    </row>
    <row r="424" spans="1:3" s="187" customFormat="1" x14ac:dyDescent="0.2">
      <c r="A424" s="95"/>
      <c r="B424" s="95"/>
      <c r="C424" s="95"/>
    </row>
    <row r="425" spans="1:3" s="187" customFormat="1" x14ac:dyDescent="0.2">
      <c r="A425" s="95"/>
      <c r="B425" s="95"/>
      <c r="C425" s="95"/>
    </row>
    <row r="426" spans="1:3" s="187" customFormat="1" x14ac:dyDescent="0.2">
      <c r="A426" s="95"/>
      <c r="B426" s="95"/>
      <c r="C426" s="95"/>
    </row>
    <row r="427" spans="1:3" s="187" customFormat="1" x14ac:dyDescent="0.2">
      <c r="A427" s="95"/>
      <c r="B427" s="95"/>
      <c r="C427" s="95"/>
    </row>
    <row r="428" spans="1:3" s="187" customFormat="1" x14ac:dyDescent="0.2">
      <c r="A428" s="95"/>
      <c r="B428" s="95"/>
      <c r="C428" s="95"/>
    </row>
    <row r="429" spans="1:3" s="187" customFormat="1" x14ac:dyDescent="0.2">
      <c r="A429" s="95"/>
      <c r="B429" s="95"/>
      <c r="C429" s="95"/>
    </row>
    <row r="430" spans="1:3" s="187" customFormat="1" x14ac:dyDescent="0.2">
      <c r="A430" s="95"/>
      <c r="B430" s="95"/>
      <c r="C430" s="95"/>
    </row>
    <row r="431" spans="1:3" s="187" customFormat="1" x14ac:dyDescent="0.2">
      <c r="A431" s="95"/>
      <c r="B431" s="95"/>
      <c r="C431" s="95"/>
    </row>
    <row r="432" spans="1:3" s="187" customFormat="1" x14ac:dyDescent="0.2">
      <c r="A432" s="95"/>
      <c r="B432" s="95"/>
      <c r="C432" s="95"/>
    </row>
    <row r="433" spans="1:3" s="187" customFormat="1" x14ac:dyDescent="0.2">
      <c r="A433" s="95"/>
      <c r="B433" s="95"/>
      <c r="C433" s="95"/>
    </row>
    <row r="434" spans="1:3" s="187" customFormat="1" x14ac:dyDescent="0.2">
      <c r="A434" s="95"/>
      <c r="B434" s="95"/>
      <c r="C434" s="95"/>
    </row>
    <row r="435" spans="1:3" s="187" customFormat="1" x14ac:dyDescent="0.2">
      <c r="A435" s="95"/>
      <c r="B435" s="95"/>
      <c r="C435" s="95"/>
    </row>
    <row r="436" spans="1:3" s="187" customFormat="1" x14ac:dyDescent="0.2">
      <c r="A436" s="95"/>
      <c r="B436" s="95"/>
      <c r="C436" s="95"/>
    </row>
    <row r="437" spans="1:3" s="187" customFormat="1" x14ac:dyDescent="0.2">
      <c r="A437" s="95"/>
      <c r="B437" s="95"/>
      <c r="C437" s="95"/>
    </row>
    <row r="438" spans="1:3" s="187" customFormat="1" x14ac:dyDescent="0.2">
      <c r="A438" s="95"/>
      <c r="B438" s="95"/>
      <c r="C438" s="95"/>
    </row>
    <row r="439" spans="1:3" s="187" customFormat="1" x14ac:dyDescent="0.2">
      <c r="A439" s="95"/>
      <c r="B439" s="95"/>
      <c r="C439" s="95"/>
    </row>
    <row r="440" spans="1:3" s="187" customFormat="1" x14ac:dyDescent="0.2">
      <c r="A440" s="95"/>
      <c r="B440" s="95"/>
      <c r="C440" s="95"/>
    </row>
    <row r="441" spans="1:3" s="187" customFormat="1" x14ac:dyDescent="0.2">
      <c r="A441" s="95"/>
      <c r="B441" s="95"/>
      <c r="C441" s="95"/>
    </row>
    <row r="442" spans="1:3" s="187" customFormat="1" x14ac:dyDescent="0.2">
      <c r="A442" s="95"/>
      <c r="B442" s="95"/>
      <c r="C442" s="95"/>
    </row>
    <row r="443" spans="1:3" s="187" customFormat="1" x14ac:dyDescent="0.2">
      <c r="A443" s="95"/>
      <c r="B443" s="95"/>
      <c r="C443" s="95"/>
    </row>
    <row r="444" spans="1:3" s="187" customFormat="1" x14ac:dyDescent="0.2">
      <c r="A444" s="95"/>
      <c r="B444" s="95"/>
      <c r="C444" s="95"/>
    </row>
    <row r="445" spans="1:3" s="187" customFormat="1" x14ac:dyDescent="0.2">
      <c r="A445" s="95"/>
      <c r="B445" s="95"/>
      <c r="C445" s="95"/>
    </row>
    <row r="446" spans="1:3" s="187" customFormat="1" x14ac:dyDescent="0.2">
      <c r="A446" s="95"/>
      <c r="B446" s="95"/>
      <c r="C446" s="95"/>
    </row>
    <row r="447" spans="1:3" s="187" customFormat="1" x14ac:dyDescent="0.2">
      <c r="A447" s="95"/>
      <c r="B447" s="95"/>
      <c r="C447" s="95"/>
    </row>
    <row r="448" spans="1:3" s="187" customFormat="1" x14ac:dyDescent="0.2">
      <c r="A448" s="95"/>
      <c r="B448" s="95"/>
      <c r="C448" s="95"/>
    </row>
    <row r="449" spans="1:3" s="187" customFormat="1" x14ac:dyDescent="0.2">
      <c r="A449" s="95"/>
      <c r="B449" s="95"/>
      <c r="C449" s="95"/>
    </row>
    <row r="450" spans="1:3" s="187" customFormat="1" x14ac:dyDescent="0.2">
      <c r="A450" s="95"/>
      <c r="B450" s="95"/>
      <c r="C450" s="95"/>
    </row>
    <row r="451" spans="1:3" s="187" customFormat="1" x14ac:dyDescent="0.2">
      <c r="A451" s="95"/>
      <c r="B451" s="95"/>
      <c r="C451" s="95"/>
    </row>
    <row r="452" spans="1:3" s="187" customFormat="1" x14ac:dyDescent="0.2">
      <c r="A452" s="95"/>
      <c r="B452" s="95"/>
      <c r="C452" s="95"/>
    </row>
    <row r="453" spans="1:3" s="187" customFormat="1" x14ac:dyDescent="0.2">
      <c r="A453" s="95"/>
      <c r="B453" s="95"/>
      <c r="C453" s="95"/>
    </row>
    <row r="454" spans="1:3" s="187" customFormat="1" x14ac:dyDescent="0.2">
      <c r="A454" s="95"/>
      <c r="B454" s="95"/>
      <c r="C454" s="95"/>
    </row>
    <row r="455" spans="1:3" s="187" customFormat="1" x14ac:dyDescent="0.2">
      <c r="A455" s="95"/>
      <c r="B455" s="95"/>
      <c r="C455" s="95"/>
    </row>
    <row r="456" spans="1:3" s="187" customFormat="1" x14ac:dyDescent="0.2">
      <c r="A456" s="95"/>
      <c r="B456" s="95"/>
      <c r="C456" s="95"/>
    </row>
    <row r="457" spans="1:3" s="187" customFormat="1" x14ac:dyDescent="0.2">
      <c r="A457" s="95"/>
      <c r="B457" s="95"/>
      <c r="C457" s="95"/>
    </row>
    <row r="458" spans="1:3" s="187" customFormat="1" x14ac:dyDescent="0.2">
      <c r="A458" s="95"/>
      <c r="B458" s="95"/>
      <c r="C458" s="95"/>
    </row>
    <row r="459" spans="1:3" s="187" customFormat="1" x14ac:dyDescent="0.2">
      <c r="A459" s="95"/>
      <c r="B459" s="95"/>
      <c r="C459" s="95"/>
    </row>
    <row r="460" spans="1:3" s="187" customFormat="1" x14ac:dyDescent="0.2">
      <c r="A460" s="95"/>
      <c r="B460" s="95"/>
      <c r="C460" s="95"/>
    </row>
    <row r="461" spans="1:3" s="187" customFormat="1" x14ac:dyDescent="0.2">
      <c r="A461" s="95"/>
      <c r="B461" s="95"/>
      <c r="C461" s="95"/>
    </row>
    <row r="462" spans="1:3" s="187" customFormat="1" x14ac:dyDescent="0.2">
      <c r="A462" s="95"/>
      <c r="B462" s="95"/>
      <c r="C462" s="95"/>
    </row>
    <row r="463" spans="1:3" s="187" customFormat="1" x14ac:dyDescent="0.2">
      <c r="A463" s="95"/>
      <c r="B463" s="95"/>
      <c r="C463" s="95"/>
    </row>
    <row r="464" spans="1:3" s="187" customFormat="1" x14ac:dyDescent="0.2">
      <c r="A464" s="95"/>
      <c r="B464" s="95"/>
      <c r="C464" s="95"/>
    </row>
    <row r="465" spans="1:3" s="187" customFormat="1" x14ac:dyDescent="0.2">
      <c r="A465" s="95"/>
      <c r="B465" s="95"/>
      <c r="C465" s="95"/>
    </row>
    <row r="466" spans="1:3" s="187" customFormat="1" x14ac:dyDescent="0.2">
      <c r="A466" s="95"/>
      <c r="B466" s="95"/>
      <c r="C466" s="95"/>
    </row>
    <row r="467" spans="1:3" s="187" customFormat="1" x14ac:dyDescent="0.2">
      <c r="A467" s="95"/>
      <c r="B467" s="95"/>
      <c r="C467" s="95"/>
    </row>
    <row r="468" spans="1:3" s="187" customFormat="1" x14ac:dyDescent="0.2">
      <c r="A468" s="95"/>
      <c r="B468" s="95"/>
      <c r="C468" s="95"/>
    </row>
    <row r="469" spans="1:3" s="187" customFormat="1" x14ac:dyDescent="0.2">
      <c r="A469" s="95"/>
      <c r="B469" s="95"/>
      <c r="C469" s="95"/>
    </row>
    <row r="470" spans="1:3" s="187" customFormat="1" x14ac:dyDescent="0.2">
      <c r="A470" s="95"/>
      <c r="B470" s="95"/>
      <c r="C470" s="95"/>
    </row>
    <row r="471" spans="1:3" s="187" customFormat="1" x14ac:dyDescent="0.2">
      <c r="A471" s="95"/>
      <c r="B471" s="95"/>
      <c r="C471" s="95"/>
    </row>
    <row r="472" spans="1:3" s="187" customFormat="1" x14ac:dyDescent="0.2">
      <c r="A472" s="95"/>
      <c r="B472" s="95"/>
      <c r="C472" s="95"/>
    </row>
    <row r="473" spans="1:3" s="187" customFormat="1" x14ac:dyDescent="0.2">
      <c r="A473" s="95"/>
      <c r="B473" s="95"/>
      <c r="C473" s="95"/>
    </row>
    <row r="474" spans="1:3" s="187" customFormat="1" x14ac:dyDescent="0.2">
      <c r="A474" s="95"/>
      <c r="B474" s="95"/>
      <c r="C474" s="95"/>
    </row>
    <row r="475" spans="1:3" s="187" customFormat="1" x14ac:dyDescent="0.2">
      <c r="A475" s="95"/>
      <c r="B475" s="95"/>
      <c r="C475" s="95"/>
    </row>
    <row r="476" spans="1:3" s="187" customFormat="1" x14ac:dyDescent="0.2">
      <c r="A476" s="95"/>
      <c r="B476" s="95"/>
      <c r="C476" s="95"/>
    </row>
    <row r="477" spans="1:3" s="187" customFormat="1" x14ac:dyDescent="0.2">
      <c r="A477" s="95"/>
      <c r="B477" s="95"/>
      <c r="C477" s="95"/>
    </row>
    <row r="478" spans="1:3" s="187" customFormat="1" x14ac:dyDescent="0.2">
      <c r="A478" s="95"/>
      <c r="B478" s="95"/>
      <c r="C478" s="95"/>
    </row>
    <row r="479" spans="1:3" s="187" customFormat="1" x14ac:dyDescent="0.2">
      <c r="A479" s="95"/>
      <c r="B479" s="95"/>
      <c r="C479" s="95"/>
    </row>
    <row r="480" spans="1:3" s="187" customFormat="1" x14ac:dyDescent="0.2">
      <c r="A480" s="95"/>
      <c r="B480" s="95"/>
      <c r="C480" s="95"/>
    </row>
    <row r="481" spans="1:3" s="187" customFormat="1" x14ac:dyDescent="0.2">
      <c r="A481" s="95"/>
      <c r="B481" s="95"/>
      <c r="C481" s="95"/>
    </row>
    <row r="482" spans="1:3" s="187" customFormat="1" x14ac:dyDescent="0.2">
      <c r="A482" s="95"/>
      <c r="B482" s="95"/>
      <c r="C482" s="95"/>
    </row>
    <row r="483" spans="1:3" s="187" customFormat="1" x14ac:dyDescent="0.2">
      <c r="A483" s="95"/>
      <c r="B483" s="95"/>
      <c r="C483" s="95"/>
    </row>
    <row r="484" spans="1:3" s="187" customFormat="1" x14ac:dyDescent="0.2">
      <c r="A484" s="95"/>
      <c r="B484" s="95"/>
      <c r="C484" s="95"/>
    </row>
    <row r="485" spans="1:3" s="187" customFormat="1" x14ac:dyDescent="0.2">
      <c r="A485" s="95"/>
      <c r="B485" s="95"/>
      <c r="C485" s="95"/>
    </row>
    <row r="486" spans="1:3" s="187" customFormat="1" x14ac:dyDescent="0.2">
      <c r="A486" s="95"/>
      <c r="B486" s="95"/>
      <c r="C486" s="95"/>
    </row>
    <row r="487" spans="1:3" s="187" customFormat="1" x14ac:dyDescent="0.2">
      <c r="A487" s="95"/>
      <c r="B487" s="95"/>
      <c r="C487" s="95"/>
    </row>
    <row r="488" spans="1:3" s="187" customFormat="1" x14ac:dyDescent="0.2">
      <c r="A488" s="95"/>
      <c r="B488" s="95"/>
      <c r="C488" s="95"/>
    </row>
    <row r="489" spans="1:3" s="187" customFormat="1" x14ac:dyDescent="0.2">
      <c r="A489" s="95"/>
      <c r="B489" s="95"/>
      <c r="C489" s="95"/>
    </row>
    <row r="490" spans="1:3" s="187" customFormat="1" x14ac:dyDescent="0.2">
      <c r="A490" s="95"/>
      <c r="B490" s="95"/>
      <c r="C490" s="95"/>
    </row>
    <row r="491" spans="1:3" s="187" customFormat="1" x14ac:dyDescent="0.2">
      <c r="A491" s="95"/>
      <c r="B491" s="95"/>
      <c r="C491" s="95"/>
    </row>
    <row r="492" spans="1:3" s="187" customFormat="1" x14ac:dyDescent="0.2">
      <c r="A492" s="95"/>
      <c r="B492" s="95"/>
      <c r="C492" s="95"/>
    </row>
    <row r="493" spans="1:3" s="187" customFormat="1" x14ac:dyDescent="0.2">
      <c r="A493" s="95"/>
      <c r="B493" s="95"/>
      <c r="C493" s="95"/>
    </row>
    <row r="494" spans="1:3" s="187" customFormat="1" x14ac:dyDescent="0.2">
      <c r="A494" s="95"/>
      <c r="B494" s="95"/>
      <c r="C494" s="95"/>
    </row>
    <row r="495" spans="1:3" s="187" customFormat="1" x14ac:dyDescent="0.2">
      <c r="A495" s="95"/>
      <c r="B495" s="95"/>
      <c r="C495" s="95"/>
    </row>
    <row r="496" spans="1:3" s="187" customFormat="1" x14ac:dyDescent="0.2">
      <c r="A496" s="95"/>
      <c r="B496" s="95"/>
      <c r="C496" s="95"/>
    </row>
    <row r="497" spans="1:3" s="187" customFormat="1" x14ac:dyDescent="0.2">
      <c r="A497" s="95"/>
      <c r="B497" s="95"/>
      <c r="C497" s="95"/>
    </row>
    <row r="498" spans="1:3" s="187" customFormat="1" x14ac:dyDescent="0.2">
      <c r="A498" s="95"/>
      <c r="B498" s="95"/>
      <c r="C498" s="95"/>
    </row>
    <row r="499" spans="1:3" s="187" customFormat="1" x14ac:dyDescent="0.2">
      <c r="A499" s="95"/>
      <c r="B499" s="95"/>
      <c r="C499" s="95"/>
    </row>
    <row r="500" spans="1:3" s="187" customFormat="1" x14ac:dyDescent="0.2">
      <c r="A500" s="95"/>
      <c r="B500" s="95"/>
      <c r="C500" s="95"/>
    </row>
    <row r="501" spans="1:3" s="187" customFormat="1" x14ac:dyDescent="0.2">
      <c r="A501" s="95"/>
      <c r="B501" s="95"/>
      <c r="C501" s="95"/>
    </row>
    <row r="502" spans="1:3" s="187" customFormat="1" x14ac:dyDescent="0.2">
      <c r="A502" s="95"/>
      <c r="B502" s="95"/>
      <c r="C502" s="95"/>
    </row>
    <row r="503" spans="1:3" s="187" customFormat="1" x14ac:dyDescent="0.2">
      <c r="A503" s="95"/>
      <c r="B503" s="95"/>
      <c r="C503" s="95"/>
    </row>
    <row r="504" spans="1:3" s="187" customFormat="1" x14ac:dyDescent="0.2">
      <c r="A504" s="95"/>
      <c r="B504" s="95"/>
      <c r="C504" s="95"/>
    </row>
    <row r="505" spans="1:3" s="187" customFormat="1" x14ac:dyDescent="0.2">
      <c r="A505" s="95"/>
      <c r="B505" s="95"/>
      <c r="C505" s="95"/>
    </row>
    <row r="506" spans="1:3" s="187" customFormat="1" x14ac:dyDescent="0.2">
      <c r="A506" s="95"/>
      <c r="B506" s="95"/>
      <c r="C506" s="95"/>
    </row>
    <row r="507" spans="1:3" s="187" customFormat="1" x14ac:dyDescent="0.2">
      <c r="A507" s="95"/>
      <c r="B507" s="95"/>
      <c r="C507" s="95"/>
    </row>
    <row r="508" spans="1:3" s="187" customFormat="1" x14ac:dyDescent="0.2">
      <c r="A508" s="95"/>
      <c r="B508" s="95"/>
      <c r="C508" s="95"/>
    </row>
    <row r="509" spans="1:3" s="187" customFormat="1" x14ac:dyDescent="0.2">
      <c r="A509" s="95"/>
      <c r="B509" s="95"/>
      <c r="C509" s="95"/>
    </row>
    <row r="510" spans="1:3" s="187" customFormat="1" x14ac:dyDescent="0.2">
      <c r="A510" s="95"/>
      <c r="B510" s="95"/>
      <c r="C510" s="95"/>
    </row>
    <row r="511" spans="1:3" s="187" customFormat="1" x14ac:dyDescent="0.2">
      <c r="A511" s="95"/>
      <c r="B511" s="95"/>
      <c r="C511" s="95"/>
    </row>
    <row r="512" spans="1:3" s="187" customFormat="1" x14ac:dyDescent="0.2">
      <c r="A512" s="95"/>
      <c r="B512" s="95"/>
      <c r="C512" s="95"/>
    </row>
    <row r="513" spans="1:3" s="187" customFormat="1" x14ac:dyDescent="0.2">
      <c r="A513" s="95"/>
      <c r="B513" s="95"/>
      <c r="C513" s="95"/>
    </row>
    <row r="514" spans="1:3" s="187" customFormat="1" x14ac:dyDescent="0.2">
      <c r="A514" s="95"/>
      <c r="B514" s="95"/>
      <c r="C514" s="95"/>
    </row>
    <row r="515" spans="1:3" s="187" customFormat="1" x14ac:dyDescent="0.2">
      <c r="A515" s="95"/>
      <c r="B515" s="95"/>
      <c r="C515" s="95"/>
    </row>
    <row r="516" spans="1:3" s="187" customFormat="1" x14ac:dyDescent="0.2">
      <c r="A516" s="95"/>
      <c r="B516" s="95"/>
      <c r="C516" s="95"/>
    </row>
    <row r="517" spans="1:3" s="187" customFormat="1" x14ac:dyDescent="0.2">
      <c r="A517" s="95"/>
      <c r="B517" s="95"/>
      <c r="C517" s="95"/>
    </row>
    <row r="518" spans="1:3" s="187" customFormat="1" x14ac:dyDescent="0.2">
      <c r="A518" s="95"/>
      <c r="B518" s="95"/>
      <c r="C518" s="95"/>
    </row>
    <row r="519" spans="1:3" s="187" customFormat="1" x14ac:dyDescent="0.2">
      <c r="A519" s="95"/>
      <c r="B519" s="95"/>
      <c r="C519" s="95"/>
    </row>
    <row r="520" spans="1:3" s="187" customFormat="1" x14ac:dyDescent="0.2">
      <c r="A520" s="95"/>
      <c r="B520" s="95"/>
      <c r="C520" s="95"/>
    </row>
    <row r="521" spans="1:3" s="187" customFormat="1" x14ac:dyDescent="0.2">
      <c r="A521" s="95"/>
      <c r="B521" s="95"/>
      <c r="C521" s="95"/>
    </row>
    <row r="522" spans="1:3" s="187" customFormat="1" x14ac:dyDescent="0.2">
      <c r="A522" s="95"/>
      <c r="B522" s="95"/>
      <c r="C522" s="95"/>
    </row>
    <row r="523" spans="1:3" s="187" customFormat="1" x14ac:dyDescent="0.2">
      <c r="A523" s="95"/>
      <c r="B523" s="95"/>
      <c r="C523" s="95"/>
    </row>
    <row r="524" spans="1:3" s="187" customFormat="1" x14ac:dyDescent="0.2">
      <c r="A524" s="95"/>
      <c r="B524" s="95"/>
      <c r="C524" s="95"/>
    </row>
    <row r="525" spans="1:3" s="187" customFormat="1" x14ac:dyDescent="0.2">
      <c r="A525" s="95"/>
      <c r="B525" s="95"/>
      <c r="C525" s="95"/>
    </row>
    <row r="526" spans="1:3" s="187" customFormat="1" x14ac:dyDescent="0.2">
      <c r="A526" s="95"/>
      <c r="B526" s="95"/>
      <c r="C526" s="95"/>
    </row>
    <row r="527" spans="1:3" s="187" customFormat="1" x14ac:dyDescent="0.2">
      <c r="A527" s="95"/>
      <c r="B527" s="95"/>
      <c r="C527" s="95"/>
    </row>
    <row r="528" spans="1:3" s="187" customFormat="1" x14ac:dyDescent="0.2">
      <c r="A528" s="95"/>
      <c r="B528" s="95"/>
      <c r="C528" s="95"/>
    </row>
    <row r="529" spans="1:3" s="187" customFormat="1" x14ac:dyDescent="0.2">
      <c r="A529" s="95"/>
      <c r="B529" s="95"/>
      <c r="C529" s="95"/>
    </row>
    <row r="530" spans="1:3" s="187" customFormat="1" x14ac:dyDescent="0.2">
      <c r="A530" s="95"/>
      <c r="B530" s="95"/>
      <c r="C530" s="95"/>
    </row>
    <row r="531" spans="1:3" s="187" customFormat="1" x14ac:dyDescent="0.2">
      <c r="A531" s="95"/>
      <c r="B531" s="95"/>
      <c r="C531" s="95"/>
    </row>
    <row r="532" spans="1:3" s="187" customFormat="1" x14ac:dyDescent="0.2">
      <c r="A532" s="95"/>
      <c r="B532" s="95"/>
      <c r="C532" s="95"/>
    </row>
    <row r="533" spans="1:3" s="187" customFormat="1" x14ac:dyDescent="0.2">
      <c r="A533" s="95"/>
      <c r="B533" s="95"/>
      <c r="C533" s="95"/>
    </row>
    <row r="534" spans="1:3" s="187" customFormat="1" x14ac:dyDescent="0.2">
      <c r="A534" s="95"/>
      <c r="B534" s="95"/>
      <c r="C534" s="95"/>
    </row>
    <row r="535" spans="1:3" s="187" customFormat="1" x14ac:dyDescent="0.2">
      <c r="A535" s="95"/>
      <c r="B535" s="95"/>
      <c r="C535" s="95"/>
    </row>
    <row r="536" spans="1:3" s="187" customFormat="1" x14ac:dyDescent="0.2">
      <c r="A536" s="95"/>
      <c r="B536" s="95"/>
      <c r="C536" s="95"/>
    </row>
    <row r="537" spans="1:3" s="187" customFormat="1" x14ac:dyDescent="0.2">
      <c r="A537" s="95"/>
      <c r="B537" s="95"/>
      <c r="C537" s="95"/>
    </row>
    <row r="538" spans="1:3" s="187" customFormat="1" x14ac:dyDescent="0.2">
      <c r="A538" s="95"/>
      <c r="B538" s="95"/>
      <c r="C538" s="95"/>
    </row>
    <row r="539" spans="1:3" s="187" customFormat="1" x14ac:dyDescent="0.2">
      <c r="A539" s="95"/>
      <c r="B539" s="95"/>
      <c r="C539" s="95"/>
    </row>
    <row r="540" spans="1:3" s="187" customFormat="1" x14ac:dyDescent="0.2">
      <c r="A540" s="95"/>
      <c r="B540" s="95"/>
      <c r="C540" s="95"/>
    </row>
    <row r="541" spans="1:3" s="187" customFormat="1" x14ac:dyDescent="0.2">
      <c r="A541" s="95"/>
      <c r="B541" s="95"/>
      <c r="C541" s="95"/>
    </row>
    <row r="542" spans="1:3" s="187" customFormat="1" x14ac:dyDescent="0.2">
      <c r="A542" s="95"/>
      <c r="B542" s="95"/>
      <c r="C542" s="95"/>
    </row>
    <row r="543" spans="1:3" s="187" customFormat="1" x14ac:dyDescent="0.2">
      <c r="A543" s="95"/>
      <c r="B543" s="95"/>
      <c r="C543" s="95"/>
    </row>
    <row r="544" spans="1:3" s="187" customFormat="1" x14ac:dyDescent="0.2">
      <c r="A544" s="95"/>
      <c r="B544" s="95"/>
      <c r="C544" s="95"/>
    </row>
    <row r="545" spans="1:3" s="187" customFormat="1" x14ac:dyDescent="0.2">
      <c r="A545" s="95"/>
      <c r="B545" s="95"/>
      <c r="C545" s="95"/>
    </row>
    <row r="546" spans="1:3" s="187" customFormat="1" x14ac:dyDescent="0.2">
      <c r="A546" s="95"/>
      <c r="B546" s="95"/>
      <c r="C546" s="95"/>
    </row>
    <row r="547" spans="1:3" s="187" customFormat="1" x14ac:dyDescent="0.2">
      <c r="A547" s="95"/>
      <c r="B547" s="95"/>
      <c r="C547" s="95"/>
    </row>
    <row r="548" spans="1:3" s="187" customFormat="1" x14ac:dyDescent="0.2">
      <c r="A548" s="95"/>
      <c r="B548" s="95"/>
      <c r="C548" s="95"/>
    </row>
    <row r="549" spans="1:3" s="187" customFormat="1" x14ac:dyDescent="0.2">
      <c r="A549" s="95"/>
      <c r="B549" s="95"/>
      <c r="C549" s="95"/>
    </row>
    <row r="550" spans="1:3" s="187" customFormat="1" x14ac:dyDescent="0.2">
      <c r="A550" s="95"/>
      <c r="B550" s="95"/>
      <c r="C550" s="95"/>
    </row>
    <row r="551" spans="1:3" s="187" customFormat="1" x14ac:dyDescent="0.2">
      <c r="A551" s="95"/>
      <c r="B551" s="95"/>
      <c r="C551" s="95"/>
    </row>
    <row r="552" spans="1:3" s="187" customFormat="1" x14ac:dyDescent="0.2">
      <c r="A552" s="95"/>
      <c r="B552" s="95"/>
      <c r="C552" s="95"/>
    </row>
    <row r="553" spans="1:3" s="187" customFormat="1" x14ac:dyDescent="0.2">
      <c r="A553" s="95"/>
      <c r="B553" s="95"/>
      <c r="C553" s="95"/>
    </row>
    <row r="554" spans="1:3" s="187" customFormat="1" x14ac:dyDescent="0.2">
      <c r="A554" s="95"/>
      <c r="B554" s="95"/>
      <c r="C554" s="95"/>
    </row>
    <row r="555" spans="1:3" s="187" customFormat="1" x14ac:dyDescent="0.2">
      <c r="A555" s="95"/>
      <c r="B555" s="95"/>
      <c r="C555" s="95"/>
    </row>
    <row r="556" spans="1:3" s="187" customFormat="1" x14ac:dyDescent="0.2">
      <c r="A556" s="95"/>
      <c r="B556" s="95"/>
      <c r="C556" s="95"/>
    </row>
    <row r="557" spans="1:3" s="187" customFormat="1" x14ac:dyDescent="0.2">
      <c r="A557" s="95"/>
      <c r="B557" s="95"/>
      <c r="C557" s="95"/>
    </row>
    <row r="558" spans="1:3" s="187" customFormat="1" x14ac:dyDescent="0.2">
      <c r="A558" s="95"/>
      <c r="B558" s="95"/>
      <c r="C558" s="95"/>
    </row>
    <row r="559" spans="1:3" s="187" customFormat="1" x14ac:dyDescent="0.2">
      <c r="A559" s="95"/>
      <c r="B559" s="95"/>
      <c r="C559" s="95"/>
    </row>
    <row r="560" spans="1:3" s="187" customFormat="1" x14ac:dyDescent="0.2">
      <c r="A560" s="95"/>
      <c r="B560" s="95"/>
      <c r="C560" s="95"/>
    </row>
    <row r="561" spans="1:3" s="187" customFormat="1" x14ac:dyDescent="0.2">
      <c r="A561" s="95"/>
      <c r="B561" s="95"/>
      <c r="C561" s="95"/>
    </row>
    <row r="562" spans="1:3" s="187" customFormat="1" x14ac:dyDescent="0.2">
      <c r="A562" s="95"/>
      <c r="B562" s="95"/>
      <c r="C562" s="95"/>
    </row>
    <row r="563" spans="1:3" s="187" customFormat="1" x14ac:dyDescent="0.2">
      <c r="A563" s="95"/>
      <c r="B563" s="95"/>
      <c r="C563" s="95"/>
    </row>
    <row r="564" spans="1:3" s="187" customFormat="1" x14ac:dyDescent="0.2">
      <c r="A564" s="95"/>
      <c r="B564" s="95"/>
      <c r="C564" s="95"/>
    </row>
    <row r="565" spans="1:3" s="187" customFormat="1" x14ac:dyDescent="0.2">
      <c r="A565" s="95"/>
      <c r="B565" s="95"/>
      <c r="C565" s="95"/>
    </row>
    <row r="566" spans="1:3" s="187" customFormat="1" x14ac:dyDescent="0.2">
      <c r="A566" s="95"/>
      <c r="B566" s="95"/>
      <c r="C566" s="95"/>
    </row>
    <row r="567" spans="1:3" s="187" customFormat="1" x14ac:dyDescent="0.2">
      <c r="A567" s="95"/>
      <c r="B567" s="95"/>
      <c r="C567" s="95"/>
    </row>
    <row r="568" spans="1:3" s="187" customFormat="1" x14ac:dyDescent="0.2">
      <c r="A568" s="95"/>
      <c r="B568" s="95"/>
      <c r="C568" s="95"/>
    </row>
    <row r="569" spans="1:3" s="187" customFormat="1" x14ac:dyDescent="0.2">
      <c r="A569" s="95"/>
      <c r="B569" s="95"/>
      <c r="C569" s="95"/>
    </row>
    <row r="570" spans="1:3" s="187" customFormat="1" x14ac:dyDescent="0.2">
      <c r="A570" s="95"/>
      <c r="B570" s="95"/>
      <c r="C570" s="95"/>
    </row>
    <row r="571" spans="1:3" s="187" customFormat="1" x14ac:dyDescent="0.2">
      <c r="A571" s="95"/>
      <c r="B571" s="95"/>
      <c r="C571" s="95"/>
    </row>
    <row r="572" spans="1:3" s="187" customFormat="1" x14ac:dyDescent="0.2">
      <c r="A572" s="95"/>
      <c r="B572" s="95"/>
      <c r="C572" s="95"/>
    </row>
    <row r="573" spans="1:3" s="187" customFormat="1" x14ac:dyDescent="0.2">
      <c r="A573" s="95"/>
      <c r="B573" s="95"/>
      <c r="C573" s="95"/>
    </row>
    <row r="574" spans="1:3" s="187" customFormat="1" x14ac:dyDescent="0.2">
      <c r="A574" s="95"/>
      <c r="B574" s="95"/>
      <c r="C574" s="95"/>
    </row>
    <row r="575" spans="1:3" s="187" customFormat="1" x14ac:dyDescent="0.2">
      <c r="A575" s="95"/>
      <c r="B575" s="95"/>
      <c r="C575" s="95"/>
    </row>
    <row r="576" spans="1:3" s="187" customFormat="1" x14ac:dyDescent="0.2">
      <c r="A576" s="95"/>
      <c r="B576" s="95"/>
      <c r="C576" s="95"/>
    </row>
    <row r="577" spans="1:3" s="187" customFormat="1" x14ac:dyDescent="0.2">
      <c r="A577" s="95"/>
      <c r="B577" s="95"/>
      <c r="C577" s="95"/>
    </row>
    <row r="578" spans="1:3" s="187" customFormat="1" x14ac:dyDescent="0.2">
      <c r="A578" s="95"/>
      <c r="B578" s="95"/>
      <c r="C578" s="95"/>
    </row>
    <row r="579" spans="1:3" s="187" customFormat="1" x14ac:dyDescent="0.2">
      <c r="A579" s="95"/>
      <c r="B579" s="95"/>
      <c r="C579" s="95"/>
    </row>
    <row r="580" spans="1:3" s="187" customFormat="1" x14ac:dyDescent="0.2">
      <c r="A580" s="95"/>
      <c r="B580" s="95"/>
      <c r="C580" s="95"/>
    </row>
  </sheetData>
  <dataValidations count="2">
    <dataValidation type="custom" allowBlank="1" showInputMessage="1" showErrorMessage="1" sqref="A336:C1048576 D1:AC1048576 AE1:XFD1048576 AD2:AD1048576" xr:uid="{00000000-0002-0000-0700-000000000000}">
      <formula1>$AD$1="Unlock"</formula1>
    </dataValidation>
    <dataValidation type="custom" allowBlank="1" showInputMessage="1" showErrorMessage="1" sqref="A1:C109 B110:C239 A240:C335 A110:A239"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338"/>
  <sheetViews>
    <sheetView zoomScaleNormal="100" workbookViewId="0"/>
  </sheetViews>
  <sheetFormatPr defaultRowHeight="12.75" x14ac:dyDescent="0.2"/>
  <cols>
    <col min="1" max="1" width="3.7109375" style="187" customWidth="1"/>
    <col min="2" max="2" width="4.140625" style="187" customWidth="1"/>
    <col min="3" max="3" width="9.140625" style="187"/>
    <col min="4" max="4" width="31.5703125" style="187" customWidth="1"/>
    <col min="5" max="5" width="14.7109375" style="446" customWidth="1"/>
    <col min="6" max="6" width="13.5703125" style="446" customWidth="1"/>
    <col min="7" max="7" width="13.7109375" style="446" customWidth="1"/>
    <col min="8" max="8" width="11.85546875" style="446" customWidth="1"/>
    <col min="9" max="9" width="13.28515625" style="446" customWidth="1"/>
    <col min="10" max="10" width="13.42578125" style="446" customWidth="1"/>
    <col min="11" max="11" width="11" style="446" customWidth="1"/>
    <col min="12" max="12" width="12.28515625" style="446" customWidth="1"/>
    <col min="13" max="13" width="11.28515625" style="446" customWidth="1"/>
    <col min="14" max="14" width="16.140625" style="446" customWidth="1"/>
    <col min="15" max="16" width="15.85546875" style="446" customWidth="1"/>
    <col min="17" max="17" width="14" style="446" customWidth="1"/>
    <col min="18" max="18" width="14.28515625" style="187" customWidth="1"/>
    <col min="19" max="19" width="18.5703125" style="187" customWidth="1"/>
    <col min="20" max="20" width="30.85546875" style="187" customWidth="1"/>
    <col min="21" max="32" width="9.140625" style="187"/>
  </cols>
  <sheetData>
    <row r="1" spans="2:21" s="187" customFormat="1" x14ac:dyDescent="0.2">
      <c r="C1" s="648"/>
      <c r="D1" s="188"/>
      <c r="E1" s="689">
        <v>3</v>
      </c>
      <c r="F1" s="690">
        <v>4</v>
      </c>
      <c r="G1" s="690">
        <v>5</v>
      </c>
      <c r="H1" s="690">
        <v>6</v>
      </c>
      <c r="I1" s="690">
        <v>7</v>
      </c>
      <c r="J1" s="690">
        <v>8</v>
      </c>
      <c r="K1" s="690">
        <v>9</v>
      </c>
      <c r="L1" s="690">
        <v>10</v>
      </c>
      <c r="M1" s="690">
        <v>11</v>
      </c>
      <c r="N1" s="690">
        <v>12</v>
      </c>
      <c r="O1" s="690">
        <v>13</v>
      </c>
      <c r="P1" s="690">
        <v>14</v>
      </c>
      <c r="Q1" s="690">
        <v>15</v>
      </c>
    </row>
    <row r="2" spans="2:21" s="447" customFormat="1" ht="100.5" customHeight="1" x14ac:dyDescent="0.2">
      <c r="D2" s="432"/>
      <c r="E2" s="433" t="s">
        <v>955</v>
      </c>
      <c r="F2" s="433" t="s">
        <v>956</v>
      </c>
      <c r="G2" s="433" t="s">
        <v>957</v>
      </c>
      <c r="H2" s="433" t="s">
        <v>958</v>
      </c>
      <c r="I2" s="433" t="s">
        <v>959</v>
      </c>
      <c r="J2" s="433" t="s">
        <v>960</v>
      </c>
      <c r="K2" s="433" t="s">
        <v>961</v>
      </c>
      <c r="L2" s="433" t="s">
        <v>962</v>
      </c>
      <c r="M2" s="433" t="s">
        <v>963</v>
      </c>
      <c r="N2" s="433" t="s">
        <v>964</v>
      </c>
      <c r="O2" s="433" t="s">
        <v>965</v>
      </c>
      <c r="P2" s="433" t="s">
        <v>1535</v>
      </c>
      <c r="Q2" s="433" t="s">
        <v>966</v>
      </c>
      <c r="R2" s="448"/>
    </row>
    <row r="3" spans="2:21" x14ac:dyDescent="0.2">
      <c r="D3" s="188" t="s">
        <v>1052</v>
      </c>
      <c r="E3" s="446">
        <v>1</v>
      </c>
      <c r="F3" s="446">
        <v>2</v>
      </c>
      <c r="G3" s="446">
        <v>3</v>
      </c>
      <c r="H3" s="446">
        <v>4</v>
      </c>
      <c r="I3" s="446">
        <v>5</v>
      </c>
      <c r="J3" s="446">
        <v>6</v>
      </c>
      <c r="K3" s="446">
        <v>7</v>
      </c>
      <c r="L3" s="446">
        <v>8</v>
      </c>
      <c r="M3" s="446">
        <v>9</v>
      </c>
      <c r="N3" s="446">
        <v>10</v>
      </c>
      <c r="O3" s="446">
        <v>11</v>
      </c>
      <c r="P3" s="446">
        <v>12</v>
      </c>
      <c r="Q3" s="446">
        <v>13</v>
      </c>
    </row>
    <row r="4" spans="2:21" x14ac:dyDescent="0.2">
      <c r="D4" s="187" t="s">
        <v>967</v>
      </c>
      <c r="E4" s="446">
        <v>1</v>
      </c>
      <c r="F4" s="446">
        <v>1</v>
      </c>
      <c r="G4" s="446">
        <v>1</v>
      </c>
      <c r="H4" s="446">
        <v>1</v>
      </c>
      <c r="I4" s="446">
        <v>1</v>
      </c>
      <c r="J4" s="446">
        <v>1</v>
      </c>
      <c r="K4" s="446">
        <v>1</v>
      </c>
      <c r="L4" s="446">
        <v>1</v>
      </c>
      <c r="M4" s="446">
        <v>1</v>
      </c>
      <c r="N4" s="446">
        <v>1</v>
      </c>
      <c r="O4" s="446">
        <v>1</v>
      </c>
      <c r="P4" s="446">
        <v>1</v>
      </c>
      <c r="Q4" s="446">
        <v>1</v>
      </c>
      <c r="R4" s="188"/>
      <c r="S4" s="188"/>
      <c r="T4" s="188"/>
      <c r="U4" s="188"/>
    </row>
    <row r="5" spans="2:21" s="187" customFormat="1" x14ac:dyDescent="0.2">
      <c r="C5" s="447" t="s">
        <v>968</v>
      </c>
      <c r="D5" s="447" t="s">
        <v>86</v>
      </c>
      <c r="E5" s="446"/>
      <c r="F5" s="446"/>
      <c r="G5" s="446"/>
      <c r="H5" s="446"/>
      <c r="I5" s="446"/>
      <c r="J5" s="446"/>
      <c r="K5" s="446"/>
      <c r="L5" s="446"/>
      <c r="M5" s="446"/>
      <c r="N5" s="446"/>
      <c r="O5" s="446"/>
      <c r="P5" s="446"/>
      <c r="Q5" s="446"/>
      <c r="R5" s="447" t="s">
        <v>21</v>
      </c>
      <c r="S5" s="447" t="s">
        <v>1042</v>
      </c>
      <c r="T5" s="447" t="s">
        <v>1043</v>
      </c>
      <c r="U5" s="188" t="s">
        <v>1053</v>
      </c>
    </row>
    <row r="6" spans="2:21" x14ac:dyDescent="0.2">
      <c r="B6" s="187">
        <v>1</v>
      </c>
      <c r="C6" s="188" t="s">
        <v>91</v>
      </c>
      <c r="D6" s="188" t="s">
        <v>90</v>
      </c>
      <c r="E6" s="208">
        <v>18458871</v>
      </c>
      <c r="F6" s="208">
        <v>0</v>
      </c>
      <c r="G6" s="208">
        <v>745574</v>
      </c>
      <c r="H6" s="208">
        <v>86721</v>
      </c>
      <c r="I6" s="208">
        <v>0</v>
      </c>
      <c r="J6" s="208">
        <v>86721</v>
      </c>
      <c r="K6" s="208">
        <v>0</v>
      </c>
      <c r="L6" s="208">
        <v>0</v>
      </c>
      <c r="M6" s="208">
        <v>0</v>
      </c>
      <c r="N6" s="208">
        <v>0</v>
      </c>
      <c r="O6" s="208">
        <v>0</v>
      </c>
      <c r="P6" s="208">
        <v>0</v>
      </c>
      <c r="Q6" s="208">
        <v>17626576</v>
      </c>
      <c r="R6" s="187" t="s">
        <v>90</v>
      </c>
      <c r="S6" s="187" t="s">
        <v>752</v>
      </c>
      <c r="T6" s="187" t="s">
        <v>751</v>
      </c>
      <c r="U6" s="187" t="s">
        <v>1054</v>
      </c>
    </row>
    <row r="7" spans="2:21" x14ac:dyDescent="0.2">
      <c r="B7" s="187">
        <v>2</v>
      </c>
      <c r="C7" s="188" t="s">
        <v>93</v>
      </c>
      <c r="D7" s="188" t="s">
        <v>92</v>
      </c>
      <c r="E7" s="208">
        <v>27475739</v>
      </c>
      <c r="F7" s="208">
        <v>716267</v>
      </c>
      <c r="G7" s="208">
        <v>0</v>
      </c>
      <c r="H7" s="208">
        <v>182468</v>
      </c>
      <c r="I7" s="208">
        <v>0</v>
      </c>
      <c r="J7" s="208">
        <v>182468</v>
      </c>
      <c r="K7" s="208">
        <v>0</v>
      </c>
      <c r="L7" s="208">
        <v>0</v>
      </c>
      <c r="M7" s="208">
        <v>381971</v>
      </c>
      <c r="N7" s="208">
        <v>372905</v>
      </c>
      <c r="O7" s="208">
        <v>9066</v>
      </c>
      <c r="P7" s="208">
        <v>0</v>
      </c>
      <c r="Q7" s="208">
        <v>27627567</v>
      </c>
      <c r="R7" s="187" t="s">
        <v>92</v>
      </c>
      <c r="S7" s="187" t="s">
        <v>803</v>
      </c>
      <c r="T7" s="187" t="s">
        <v>751</v>
      </c>
      <c r="U7" s="187" t="s">
        <v>1054</v>
      </c>
    </row>
    <row r="8" spans="2:21" x14ac:dyDescent="0.2">
      <c r="B8" s="187">
        <v>3</v>
      </c>
      <c r="C8" s="188" t="s">
        <v>95</v>
      </c>
      <c r="D8" s="188" t="s">
        <v>94</v>
      </c>
      <c r="E8" s="208">
        <v>29554093</v>
      </c>
      <c r="F8" s="208">
        <v>613919</v>
      </c>
      <c r="G8" s="208">
        <v>0</v>
      </c>
      <c r="H8" s="208">
        <v>149481</v>
      </c>
      <c r="I8" s="208">
        <v>0</v>
      </c>
      <c r="J8" s="208">
        <v>149481</v>
      </c>
      <c r="K8" s="208">
        <v>0</v>
      </c>
      <c r="L8" s="208">
        <v>0</v>
      </c>
      <c r="M8" s="208">
        <v>6299</v>
      </c>
      <c r="N8" s="208">
        <v>6299</v>
      </c>
      <c r="O8" s="208">
        <v>0</v>
      </c>
      <c r="P8" s="208">
        <v>0</v>
      </c>
      <c r="Q8" s="208">
        <v>30012232</v>
      </c>
      <c r="R8" s="187" t="s">
        <v>94</v>
      </c>
      <c r="S8" s="187" t="s">
        <v>807</v>
      </c>
      <c r="T8" s="187" t="s">
        <v>806</v>
      </c>
      <c r="U8" s="187" t="s">
        <v>1054</v>
      </c>
    </row>
    <row r="9" spans="2:21" x14ac:dyDescent="0.2">
      <c r="B9" s="187">
        <v>4</v>
      </c>
      <c r="C9" s="188" t="s">
        <v>97</v>
      </c>
      <c r="D9" s="188" t="s">
        <v>96</v>
      </c>
      <c r="E9" s="208">
        <v>34190322</v>
      </c>
      <c r="F9" s="208">
        <v>136417</v>
      </c>
      <c r="G9" s="208">
        <v>0</v>
      </c>
      <c r="H9" s="208">
        <v>184923</v>
      </c>
      <c r="I9" s="208">
        <v>0</v>
      </c>
      <c r="J9" s="208">
        <v>184923</v>
      </c>
      <c r="K9" s="208">
        <v>0</v>
      </c>
      <c r="L9" s="208">
        <v>0</v>
      </c>
      <c r="M9" s="208">
        <v>0</v>
      </c>
      <c r="N9" s="208">
        <v>0</v>
      </c>
      <c r="O9" s="208">
        <v>0</v>
      </c>
      <c r="P9" s="208">
        <v>0</v>
      </c>
      <c r="Q9" s="208">
        <v>34141816</v>
      </c>
      <c r="R9" s="187" t="s">
        <v>96</v>
      </c>
      <c r="S9" s="187" t="s">
        <v>752</v>
      </c>
      <c r="T9" s="187" t="s">
        <v>751</v>
      </c>
      <c r="U9" s="187" t="s">
        <v>1054</v>
      </c>
    </row>
    <row r="10" spans="2:21" x14ac:dyDescent="0.2">
      <c r="B10" s="187">
        <v>5</v>
      </c>
      <c r="C10" s="188" t="s">
        <v>99</v>
      </c>
      <c r="D10" s="188" t="s">
        <v>98</v>
      </c>
      <c r="E10" s="208">
        <v>36107593</v>
      </c>
      <c r="F10" s="208">
        <v>415424</v>
      </c>
      <c r="G10" s="208">
        <v>0</v>
      </c>
      <c r="H10" s="208">
        <v>130283</v>
      </c>
      <c r="I10" s="208">
        <v>0</v>
      </c>
      <c r="J10" s="208">
        <v>130283</v>
      </c>
      <c r="K10" s="208">
        <v>0</v>
      </c>
      <c r="L10" s="208">
        <v>0</v>
      </c>
      <c r="M10" s="208">
        <v>22564</v>
      </c>
      <c r="N10" s="208">
        <v>22564</v>
      </c>
      <c r="O10" s="208">
        <v>0</v>
      </c>
      <c r="P10" s="208">
        <v>0</v>
      </c>
      <c r="Q10" s="208">
        <v>36370170</v>
      </c>
      <c r="R10" s="187" t="s">
        <v>98</v>
      </c>
      <c r="S10" s="187" t="s">
        <v>816</v>
      </c>
      <c r="T10" s="187" t="s">
        <v>815</v>
      </c>
      <c r="U10" s="187" t="s">
        <v>1054</v>
      </c>
    </row>
    <row r="11" spans="2:21" x14ac:dyDescent="0.2">
      <c r="B11" s="187">
        <v>6</v>
      </c>
      <c r="C11" s="188" t="s">
        <v>101</v>
      </c>
      <c r="D11" s="188" t="s">
        <v>100</v>
      </c>
      <c r="E11" s="208">
        <v>50882382</v>
      </c>
      <c r="F11" s="208">
        <v>0</v>
      </c>
      <c r="G11" s="208">
        <v>50099</v>
      </c>
      <c r="H11" s="208">
        <v>186007</v>
      </c>
      <c r="I11" s="208">
        <v>0</v>
      </c>
      <c r="J11" s="208">
        <v>186007</v>
      </c>
      <c r="K11" s="208">
        <v>0</v>
      </c>
      <c r="L11" s="208">
        <v>0</v>
      </c>
      <c r="M11" s="208">
        <v>100198</v>
      </c>
      <c r="N11" s="208">
        <v>100198</v>
      </c>
      <c r="O11" s="208">
        <v>0</v>
      </c>
      <c r="P11" s="208">
        <v>0</v>
      </c>
      <c r="Q11" s="208">
        <v>50546078</v>
      </c>
      <c r="R11" s="187" t="s">
        <v>100</v>
      </c>
      <c r="S11" s="187" t="s">
        <v>786</v>
      </c>
      <c r="T11" s="187" t="s">
        <v>785</v>
      </c>
      <c r="U11" s="187" t="s">
        <v>1054</v>
      </c>
    </row>
    <row r="12" spans="2:21" x14ac:dyDescent="0.2">
      <c r="B12" s="187">
        <v>7</v>
      </c>
      <c r="C12" s="188" t="s">
        <v>103</v>
      </c>
      <c r="D12" s="188" t="s">
        <v>102</v>
      </c>
      <c r="E12" s="208">
        <v>52934912</v>
      </c>
      <c r="F12" s="208">
        <v>137162</v>
      </c>
      <c r="G12" s="208">
        <v>0</v>
      </c>
      <c r="H12" s="208">
        <v>224065</v>
      </c>
      <c r="I12" s="208">
        <v>0</v>
      </c>
      <c r="J12" s="208">
        <v>224065</v>
      </c>
      <c r="K12" s="208">
        <v>0</v>
      </c>
      <c r="L12" s="208">
        <v>523808</v>
      </c>
      <c r="M12" s="208">
        <v>226780</v>
      </c>
      <c r="N12" s="208">
        <v>0</v>
      </c>
      <c r="O12" s="208">
        <v>226780</v>
      </c>
      <c r="P12" s="208">
        <v>0</v>
      </c>
      <c r="Q12" s="208">
        <v>52097421</v>
      </c>
      <c r="R12" s="187" t="s">
        <v>102</v>
      </c>
      <c r="S12" s="187" t="s">
        <v>750</v>
      </c>
      <c r="T12" s="187" t="s">
        <v>749</v>
      </c>
      <c r="U12" s="187" t="s">
        <v>1054</v>
      </c>
    </row>
    <row r="13" spans="2:21" x14ac:dyDescent="0.2">
      <c r="B13" s="187">
        <v>8</v>
      </c>
      <c r="C13" s="188" t="s">
        <v>105</v>
      </c>
      <c r="D13" s="188" t="s">
        <v>104</v>
      </c>
      <c r="E13" s="208">
        <v>22098135</v>
      </c>
      <c r="F13" s="208">
        <v>0</v>
      </c>
      <c r="G13" s="208">
        <v>12597</v>
      </c>
      <c r="H13" s="208">
        <v>129887</v>
      </c>
      <c r="I13" s="208">
        <v>0</v>
      </c>
      <c r="J13" s="208">
        <v>129887</v>
      </c>
      <c r="K13" s="208">
        <v>0</v>
      </c>
      <c r="L13" s="208">
        <v>94965</v>
      </c>
      <c r="M13" s="208">
        <v>13607</v>
      </c>
      <c r="N13" s="208">
        <v>13607</v>
      </c>
      <c r="O13" s="208">
        <v>0</v>
      </c>
      <c r="P13" s="208">
        <v>0</v>
      </c>
      <c r="Q13" s="208">
        <v>21847079</v>
      </c>
      <c r="R13" s="187" t="s">
        <v>104</v>
      </c>
      <c r="S13" s="187" t="s">
        <v>778</v>
      </c>
      <c r="T13" s="187" t="s">
        <v>751</v>
      </c>
      <c r="U13" s="187" t="s">
        <v>1054</v>
      </c>
    </row>
    <row r="14" spans="2:21" x14ac:dyDescent="0.2">
      <c r="B14" s="187">
        <v>9</v>
      </c>
      <c r="C14" s="188" t="s">
        <v>107</v>
      </c>
      <c r="D14" s="188" t="s">
        <v>106</v>
      </c>
      <c r="E14" s="208">
        <v>61337458</v>
      </c>
      <c r="F14" s="208">
        <v>100289</v>
      </c>
      <c r="G14" s="208">
        <v>0</v>
      </c>
      <c r="H14" s="208">
        <v>203979</v>
      </c>
      <c r="I14" s="208">
        <v>0</v>
      </c>
      <c r="J14" s="208">
        <v>203979</v>
      </c>
      <c r="K14" s="208">
        <v>0</v>
      </c>
      <c r="L14" s="208">
        <v>0</v>
      </c>
      <c r="M14" s="208">
        <v>0</v>
      </c>
      <c r="N14" s="208">
        <v>0</v>
      </c>
      <c r="O14" s="208">
        <v>0</v>
      </c>
      <c r="P14" s="208">
        <v>0</v>
      </c>
      <c r="Q14" s="208">
        <v>61233768</v>
      </c>
      <c r="R14" s="187" t="s">
        <v>863</v>
      </c>
      <c r="S14" s="187" t="s">
        <v>767</v>
      </c>
      <c r="T14" s="187" t="s">
        <v>743</v>
      </c>
      <c r="U14" s="187" t="s">
        <v>1055</v>
      </c>
    </row>
    <row r="15" spans="2:21" x14ac:dyDescent="0.2">
      <c r="B15" s="187">
        <v>10</v>
      </c>
      <c r="C15" s="188" t="s">
        <v>109</v>
      </c>
      <c r="D15" s="188" t="s">
        <v>108</v>
      </c>
      <c r="E15" s="208">
        <v>109431018</v>
      </c>
      <c r="F15" s="208">
        <v>1220627</v>
      </c>
      <c r="G15" s="208">
        <v>0</v>
      </c>
      <c r="H15" s="208">
        <v>418217</v>
      </c>
      <c r="I15" s="208">
        <v>0</v>
      </c>
      <c r="J15" s="208">
        <v>418217</v>
      </c>
      <c r="K15" s="208">
        <v>0</v>
      </c>
      <c r="L15" s="208">
        <v>0</v>
      </c>
      <c r="M15" s="208">
        <v>0</v>
      </c>
      <c r="N15" s="208">
        <v>0</v>
      </c>
      <c r="O15" s="208">
        <v>0</v>
      </c>
      <c r="P15" s="208">
        <v>0</v>
      </c>
      <c r="Q15" s="208">
        <v>110233428</v>
      </c>
      <c r="R15" s="187" t="s">
        <v>108</v>
      </c>
      <c r="S15" s="187" t="s">
        <v>767</v>
      </c>
      <c r="T15" s="187" t="s">
        <v>743</v>
      </c>
      <c r="U15" s="187" t="s">
        <v>1055</v>
      </c>
    </row>
    <row r="16" spans="2:21" x14ac:dyDescent="0.2">
      <c r="B16" s="187">
        <v>11</v>
      </c>
      <c r="C16" s="188" t="s">
        <v>111</v>
      </c>
      <c r="D16" s="188" t="s">
        <v>110</v>
      </c>
      <c r="E16" s="208">
        <v>49789259</v>
      </c>
      <c r="F16" s="208">
        <v>0</v>
      </c>
      <c r="G16" s="208">
        <v>1874712</v>
      </c>
      <c r="H16" s="208">
        <v>259756</v>
      </c>
      <c r="I16" s="208">
        <v>0</v>
      </c>
      <c r="J16" s="208">
        <v>259756</v>
      </c>
      <c r="K16" s="208">
        <v>0</v>
      </c>
      <c r="L16" s="208">
        <v>518133</v>
      </c>
      <c r="M16" s="208">
        <v>48314</v>
      </c>
      <c r="N16" s="208">
        <v>48314</v>
      </c>
      <c r="O16" s="208">
        <v>0</v>
      </c>
      <c r="P16" s="208">
        <v>0</v>
      </c>
      <c r="Q16" s="208">
        <v>47088344</v>
      </c>
      <c r="R16" s="187" t="s">
        <v>110</v>
      </c>
      <c r="S16" s="187" t="s">
        <v>754</v>
      </c>
      <c r="T16" s="187" t="s">
        <v>811</v>
      </c>
      <c r="U16" s="187" t="s">
        <v>1056</v>
      </c>
    </row>
    <row r="17" spans="2:21" x14ac:dyDescent="0.2">
      <c r="B17" s="187">
        <v>12</v>
      </c>
      <c r="C17" s="188" t="s">
        <v>113</v>
      </c>
      <c r="D17" s="188" t="s">
        <v>112</v>
      </c>
      <c r="E17" s="208">
        <v>24316199</v>
      </c>
      <c r="F17" s="208">
        <v>0</v>
      </c>
      <c r="G17" s="208">
        <v>2329751</v>
      </c>
      <c r="H17" s="208">
        <v>92558</v>
      </c>
      <c r="I17" s="208">
        <v>0</v>
      </c>
      <c r="J17" s="208">
        <v>92558</v>
      </c>
      <c r="K17" s="208">
        <v>0</v>
      </c>
      <c r="L17" s="208">
        <v>0</v>
      </c>
      <c r="M17" s="208">
        <v>157208</v>
      </c>
      <c r="N17" s="208">
        <v>157208</v>
      </c>
      <c r="O17" s="208">
        <v>0</v>
      </c>
      <c r="P17" s="208">
        <v>0</v>
      </c>
      <c r="Q17" s="208">
        <v>21736682</v>
      </c>
      <c r="R17" s="187" t="s">
        <v>112</v>
      </c>
      <c r="S17" s="187" t="s">
        <v>803</v>
      </c>
      <c r="T17" s="187" t="s">
        <v>751</v>
      </c>
      <c r="U17" s="187" t="s">
        <v>1054</v>
      </c>
    </row>
    <row r="18" spans="2:21" x14ac:dyDescent="0.2">
      <c r="B18" s="187">
        <v>13</v>
      </c>
      <c r="C18" s="188" t="s">
        <v>115</v>
      </c>
      <c r="D18" s="188" t="s">
        <v>114</v>
      </c>
      <c r="E18" s="208">
        <v>77805296</v>
      </c>
      <c r="F18" s="208">
        <v>0</v>
      </c>
      <c r="G18" s="208">
        <v>104171</v>
      </c>
      <c r="H18" s="208">
        <v>229014</v>
      </c>
      <c r="I18" s="208">
        <v>0</v>
      </c>
      <c r="J18" s="208">
        <v>229014</v>
      </c>
      <c r="K18" s="208">
        <v>0</v>
      </c>
      <c r="L18" s="208">
        <v>0</v>
      </c>
      <c r="M18" s="208">
        <v>51218</v>
      </c>
      <c r="N18" s="208">
        <v>51218</v>
      </c>
      <c r="O18" s="208">
        <v>0</v>
      </c>
      <c r="P18" s="208">
        <v>0</v>
      </c>
      <c r="Q18" s="208">
        <v>77420893</v>
      </c>
      <c r="R18" s="187" t="s">
        <v>114</v>
      </c>
      <c r="S18" s="187" t="s">
        <v>784</v>
      </c>
      <c r="T18" s="187" t="s">
        <v>783</v>
      </c>
      <c r="U18" s="187" t="s">
        <v>1054</v>
      </c>
    </row>
    <row r="19" spans="2:21" x14ac:dyDescent="0.2">
      <c r="B19" s="187">
        <v>14</v>
      </c>
      <c r="C19" s="188" t="s">
        <v>117</v>
      </c>
      <c r="D19" s="188" t="s">
        <v>116</v>
      </c>
      <c r="E19" s="208">
        <v>70954946</v>
      </c>
      <c r="F19" s="208">
        <v>0</v>
      </c>
      <c r="G19" s="208">
        <v>4102040</v>
      </c>
      <c r="H19" s="208">
        <v>203240</v>
      </c>
      <c r="I19" s="208">
        <v>0</v>
      </c>
      <c r="J19" s="208">
        <v>203240</v>
      </c>
      <c r="K19" s="208">
        <v>0</v>
      </c>
      <c r="L19" s="208">
        <v>0</v>
      </c>
      <c r="M19" s="208">
        <v>327178</v>
      </c>
      <c r="N19" s="208">
        <v>92088</v>
      </c>
      <c r="O19" s="208">
        <v>235090</v>
      </c>
      <c r="P19" s="208">
        <v>0</v>
      </c>
      <c r="Q19" s="208">
        <v>66322488</v>
      </c>
      <c r="R19" s="187" t="s">
        <v>116</v>
      </c>
      <c r="S19" s="187" t="s">
        <v>761</v>
      </c>
      <c r="T19" s="187" t="s">
        <v>760</v>
      </c>
      <c r="U19" s="187" t="s">
        <v>1054</v>
      </c>
    </row>
    <row r="20" spans="2:21" x14ac:dyDescent="0.2">
      <c r="B20" s="187">
        <v>15</v>
      </c>
      <c r="C20" s="188" t="s">
        <v>119</v>
      </c>
      <c r="D20" s="188" t="s">
        <v>118</v>
      </c>
      <c r="E20" s="208">
        <v>49648575</v>
      </c>
      <c r="F20" s="208">
        <v>0</v>
      </c>
      <c r="G20" s="208">
        <v>6725268</v>
      </c>
      <c r="H20" s="208">
        <v>167375</v>
      </c>
      <c r="I20" s="208">
        <v>0</v>
      </c>
      <c r="J20" s="208">
        <v>167375</v>
      </c>
      <c r="K20" s="208">
        <v>0</v>
      </c>
      <c r="L20" s="208">
        <v>0</v>
      </c>
      <c r="M20" s="208">
        <v>589979</v>
      </c>
      <c r="N20" s="208">
        <v>589979</v>
      </c>
      <c r="O20" s="208">
        <v>0</v>
      </c>
      <c r="P20" s="208">
        <v>0</v>
      </c>
      <c r="Q20" s="208">
        <v>42165953</v>
      </c>
      <c r="R20" s="187" t="s">
        <v>118</v>
      </c>
      <c r="S20" s="187" t="s">
        <v>816</v>
      </c>
      <c r="T20" s="187" t="s">
        <v>815</v>
      </c>
      <c r="U20" s="187" t="s">
        <v>1054</v>
      </c>
    </row>
    <row r="21" spans="2:21" x14ac:dyDescent="0.2">
      <c r="B21" s="187">
        <v>16</v>
      </c>
      <c r="C21" s="188" t="s">
        <v>121</v>
      </c>
      <c r="D21" s="188" t="s">
        <v>120</v>
      </c>
      <c r="E21" s="208">
        <v>67613619</v>
      </c>
      <c r="F21" s="208">
        <v>0</v>
      </c>
      <c r="G21" s="208">
        <v>307468</v>
      </c>
      <c r="H21" s="208">
        <v>261134</v>
      </c>
      <c r="I21" s="208">
        <v>0</v>
      </c>
      <c r="J21" s="208">
        <v>261134</v>
      </c>
      <c r="K21" s="208">
        <v>0</v>
      </c>
      <c r="L21" s="208">
        <v>653881</v>
      </c>
      <c r="M21" s="208">
        <v>28507</v>
      </c>
      <c r="N21" s="208">
        <v>28507</v>
      </c>
      <c r="O21" s="208">
        <v>0</v>
      </c>
      <c r="P21" s="208">
        <v>0</v>
      </c>
      <c r="Q21" s="208">
        <v>66362629</v>
      </c>
      <c r="R21" s="187" t="s">
        <v>862</v>
      </c>
      <c r="S21" s="187" t="s">
        <v>742</v>
      </c>
      <c r="T21" s="187" t="s">
        <v>804</v>
      </c>
      <c r="U21" s="187" t="s">
        <v>742</v>
      </c>
    </row>
    <row r="22" spans="2:21" x14ac:dyDescent="0.2">
      <c r="B22" s="187">
        <v>17</v>
      </c>
      <c r="C22" s="188" t="s">
        <v>123</v>
      </c>
      <c r="D22" s="188" t="s">
        <v>122</v>
      </c>
      <c r="E22" s="208">
        <v>64737371</v>
      </c>
      <c r="F22" s="208">
        <v>0</v>
      </c>
      <c r="G22" s="208">
        <v>2698188</v>
      </c>
      <c r="H22" s="208">
        <v>228106</v>
      </c>
      <c r="I22" s="208">
        <v>0</v>
      </c>
      <c r="J22" s="208">
        <v>228106</v>
      </c>
      <c r="K22" s="208">
        <v>0</v>
      </c>
      <c r="L22" s="208">
        <v>0</v>
      </c>
      <c r="M22" s="208">
        <v>658913</v>
      </c>
      <c r="N22" s="208">
        <v>658913</v>
      </c>
      <c r="O22" s="208">
        <v>0</v>
      </c>
      <c r="P22" s="208">
        <v>0</v>
      </c>
      <c r="Q22" s="208">
        <v>61152164</v>
      </c>
      <c r="R22" s="187" t="s">
        <v>122</v>
      </c>
      <c r="S22" s="187" t="s">
        <v>742</v>
      </c>
      <c r="T22" s="187" t="s">
        <v>837</v>
      </c>
      <c r="U22" s="187" t="s">
        <v>742</v>
      </c>
    </row>
    <row r="23" spans="2:21" x14ac:dyDescent="0.2">
      <c r="B23" s="187">
        <v>18</v>
      </c>
      <c r="C23" s="188" t="s">
        <v>125</v>
      </c>
      <c r="D23" s="188" t="s">
        <v>124</v>
      </c>
      <c r="E23" s="208">
        <v>75084047</v>
      </c>
      <c r="F23" s="208">
        <v>0</v>
      </c>
      <c r="G23" s="208">
        <v>227844</v>
      </c>
      <c r="H23" s="208">
        <v>251511</v>
      </c>
      <c r="I23" s="208">
        <v>0</v>
      </c>
      <c r="J23" s="208">
        <v>251511</v>
      </c>
      <c r="K23" s="208">
        <v>0</v>
      </c>
      <c r="L23" s="208">
        <v>0</v>
      </c>
      <c r="M23" s="208">
        <v>0</v>
      </c>
      <c r="N23" s="208">
        <v>0</v>
      </c>
      <c r="O23" s="208">
        <v>0</v>
      </c>
      <c r="P23" s="208">
        <v>0</v>
      </c>
      <c r="Q23" s="208">
        <v>74604692</v>
      </c>
      <c r="R23" s="187" t="s">
        <v>124</v>
      </c>
      <c r="S23" s="187" t="s">
        <v>767</v>
      </c>
      <c r="T23" s="187" t="s">
        <v>743</v>
      </c>
      <c r="U23" s="187" t="s">
        <v>1055</v>
      </c>
    </row>
    <row r="24" spans="2:21" x14ac:dyDescent="0.2">
      <c r="B24" s="187">
        <v>19</v>
      </c>
      <c r="C24" s="188" t="s">
        <v>127</v>
      </c>
      <c r="D24" s="188" t="s">
        <v>126</v>
      </c>
      <c r="E24" s="208">
        <v>432314557</v>
      </c>
      <c r="F24" s="208">
        <v>0</v>
      </c>
      <c r="G24" s="208">
        <v>1823998</v>
      </c>
      <c r="H24" s="208">
        <v>1879843</v>
      </c>
      <c r="I24" s="208">
        <v>0</v>
      </c>
      <c r="J24" s="208">
        <v>1879843</v>
      </c>
      <c r="K24" s="208">
        <v>0</v>
      </c>
      <c r="L24" s="208">
        <v>94660</v>
      </c>
      <c r="M24" s="208">
        <v>0</v>
      </c>
      <c r="N24" s="208">
        <v>0</v>
      </c>
      <c r="O24" s="208">
        <v>0</v>
      </c>
      <c r="P24" s="208">
        <v>0</v>
      </c>
      <c r="Q24" s="208">
        <v>428516056</v>
      </c>
      <c r="R24" s="187" t="s">
        <v>126</v>
      </c>
      <c r="S24" s="187" t="s">
        <v>754</v>
      </c>
      <c r="T24" s="187" t="s">
        <v>753</v>
      </c>
      <c r="U24" s="187" t="s">
        <v>1056</v>
      </c>
    </row>
    <row r="25" spans="2:21" x14ac:dyDescent="0.2">
      <c r="B25" s="187">
        <v>20</v>
      </c>
      <c r="C25" s="188" t="s">
        <v>129</v>
      </c>
      <c r="D25" s="188" t="s">
        <v>128</v>
      </c>
      <c r="E25" s="208">
        <v>46332336</v>
      </c>
      <c r="F25" s="208">
        <v>177116</v>
      </c>
      <c r="G25" s="208">
        <v>0</v>
      </c>
      <c r="H25" s="208">
        <v>103755</v>
      </c>
      <c r="I25" s="208">
        <v>0</v>
      </c>
      <c r="J25" s="208">
        <v>103755</v>
      </c>
      <c r="K25" s="208">
        <v>0</v>
      </c>
      <c r="L25" s="208">
        <v>0</v>
      </c>
      <c r="M25" s="208">
        <v>0</v>
      </c>
      <c r="N25" s="208">
        <v>0</v>
      </c>
      <c r="O25" s="208">
        <v>0</v>
      </c>
      <c r="P25" s="208">
        <v>0</v>
      </c>
      <c r="Q25" s="208">
        <v>46405697</v>
      </c>
      <c r="R25" s="187" t="s">
        <v>128</v>
      </c>
      <c r="S25" s="187" t="s">
        <v>825</v>
      </c>
      <c r="T25" s="187" t="s">
        <v>813</v>
      </c>
      <c r="U25" s="187" t="s">
        <v>1054</v>
      </c>
    </row>
    <row r="26" spans="2:21" x14ac:dyDescent="0.2">
      <c r="B26" s="187">
        <v>21</v>
      </c>
      <c r="C26" s="188" t="s">
        <v>131</v>
      </c>
      <c r="D26" s="188" t="s">
        <v>130</v>
      </c>
      <c r="E26" s="208">
        <v>45473248</v>
      </c>
      <c r="F26" s="208">
        <v>0</v>
      </c>
      <c r="G26" s="208">
        <v>3219685</v>
      </c>
      <c r="H26" s="208">
        <v>249825</v>
      </c>
      <c r="I26" s="208">
        <v>0</v>
      </c>
      <c r="J26" s="208">
        <v>249825</v>
      </c>
      <c r="K26" s="208">
        <v>0</v>
      </c>
      <c r="L26" s="208">
        <v>0</v>
      </c>
      <c r="M26" s="208">
        <v>0</v>
      </c>
      <c r="N26" s="208">
        <v>0</v>
      </c>
      <c r="O26" s="208">
        <v>0</v>
      </c>
      <c r="P26" s="208">
        <v>0</v>
      </c>
      <c r="Q26" s="208">
        <v>42003738</v>
      </c>
      <c r="R26" s="187" t="s">
        <v>861</v>
      </c>
      <c r="S26" s="187" t="s">
        <v>742</v>
      </c>
      <c r="T26" s="187" t="s">
        <v>747</v>
      </c>
      <c r="U26" s="187" t="s">
        <v>742</v>
      </c>
    </row>
    <row r="27" spans="2:21" x14ac:dyDescent="0.2">
      <c r="B27" s="187">
        <v>22</v>
      </c>
      <c r="C27" s="188" t="s">
        <v>133</v>
      </c>
      <c r="D27" s="188" t="s">
        <v>132</v>
      </c>
      <c r="E27" s="208">
        <v>45178640</v>
      </c>
      <c r="F27" s="208">
        <v>0</v>
      </c>
      <c r="G27" s="208">
        <v>2140889</v>
      </c>
      <c r="H27" s="208">
        <v>259324</v>
      </c>
      <c r="I27" s="208">
        <v>0</v>
      </c>
      <c r="J27" s="208">
        <v>259324</v>
      </c>
      <c r="K27" s="208">
        <v>0</v>
      </c>
      <c r="L27" s="208">
        <v>209522</v>
      </c>
      <c r="M27" s="208">
        <v>2435</v>
      </c>
      <c r="N27" s="208">
        <v>2435</v>
      </c>
      <c r="O27" s="208">
        <v>0</v>
      </c>
      <c r="P27" s="208">
        <v>0</v>
      </c>
      <c r="Q27" s="208">
        <v>42566470</v>
      </c>
      <c r="R27" s="187" t="s">
        <v>860</v>
      </c>
      <c r="S27" s="187" t="s">
        <v>742</v>
      </c>
      <c r="T27" s="187" t="s">
        <v>747</v>
      </c>
      <c r="U27" s="187" t="s">
        <v>742</v>
      </c>
    </row>
    <row r="28" spans="2:21" x14ac:dyDescent="0.2">
      <c r="B28" s="187">
        <v>23</v>
      </c>
      <c r="C28" s="188" t="s">
        <v>135</v>
      </c>
      <c r="D28" s="188" t="s">
        <v>134</v>
      </c>
      <c r="E28" s="208">
        <v>29231204</v>
      </c>
      <c r="F28" s="208">
        <v>45564</v>
      </c>
      <c r="G28" s="208">
        <v>0</v>
      </c>
      <c r="H28" s="208">
        <v>95941</v>
      </c>
      <c r="I28" s="208">
        <v>0</v>
      </c>
      <c r="J28" s="208">
        <v>95941</v>
      </c>
      <c r="K28" s="208">
        <v>0</v>
      </c>
      <c r="L28" s="208">
        <v>0</v>
      </c>
      <c r="M28" s="208">
        <v>64423</v>
      </c>
      <c r="N28" s="208">
        <v>64423</v>
      </c>
      <c r="O28" s="208">
        <v>0</v>
      </c>
      <c r="P28" s="208">
        <v>0</v>
      </c>
      <c r="Q28" s="208">
        <v>29116404</v>
      </c>
      <c r="R28" s="187" t="s">
        <v>134</v>
      </c>
      <c r="S28" s="187" t="s">
        <v>807</v>
      </c>
      <c r="T28" s="187" t="s">
        <v>806</v>
      </c>
      <c r="U28" s="187" t="s">
        <v>1054</v>
      </c>
    </row>
    <row r="29" spans="2:21" x14ac:dyDescent="0.2">
      <c r="B29" s="187">
        <v>24</v>
      </c>
      <c r="C29" s="188" t="s">
        <v>137</v>
      </c>
      <c r="D29" s="188" t="s">
        <v>136</v>
      </c>
      <c r="E29" s="208">
        <v>83632863</v>
      </c>
      <c r="F29" s="208">
        <v>0</v>
      </c>
      <c r="G29" s="208">
        <v>3451861</v>
      </c>
      <c r="H29" s="208">
        <v>392835</v>
      </c>
      <c r="I29" s="208">
        <v>0</v>
      </c>
      <c r="J29" s="208">
        <v>392835</v>
      </c>
      <c r="K29" s="208">
        <v>0</v>
      </c>
      <c r="L29" s="208">
        <v>0</v>
      </c>
      <c r="M29" s="208">
        <v>0</v>
      </c>
      <c r="N29" s="208">
        <v>0</v>
      </c>
      <c r="O29" s="208">
        <v>0</v>
      </c>
      <c r="P29" s="208">
        <v>0</v>
      </c>
      <c r="Q29" s="208">
        <v>79788167</v>
      </c>
      <c r="R29" s="187" t="s">
        <v>136</v>
      </c>
      <c r="S29" s="187" t="s">
        <v>754</v>
      </c>
      <c r="T29" s="187" t="s">
        <v>763</v>
      </c>
      <c r="U29" s="187" t="s">
        <v>1056</v>
      </c>
    </row>
    <row r="30" spans="2:21" x14ac:dyDescent="0.2">
      <c r="B30" s="187">
        <v>25</v>
      </c>
      <c r="C30" s="188" t="s">
        <v>139</v>
      </c>
      <c r="D30" s="188" t="s">
        <v>138</v>
      </c>
      <c r="E30" s="208">
        <v>21964062</v>
      </c>
      <c r="F30" s="208">
        <v>184625</v>
      </c>
      <c r="G30" s="208">
        <v>0</v>
      </c>
      <c r="H30" s="208">
        <v>91672</v>
      </c>
      <c r="I30" s="208">
        <v>0</v>
      </c>
      <c r="J30" s="208">
        <v>91672</v>
      </c>
      <c r="K30" s="208">
        <v>0</v>
      </c>
      <c r="L30" s="208">
        <v>0</v>
      </c>
      <c r="M30" s="208">
        <v>170056</v>
      </c>
      <c r="N30" s="208">
        <v>170056</v>
      </c>
      <c r="O30" s="208">
        <v>0</v>
      </c>
      <c r="P30" s="208">
        <v>0</v>
      </c>
      <c r="Q30" s="208">
        <v>21886959</v>
      </c>
      <c r="R30" s="187" t="s">
        <v>138</v>
      </c>
      <c r="S30" s="187" t="s">
        <v>771</v>
      </c>
      <c r="T30" s="187" t="s">
        <v>751</v>
      </c>
      <c r="U30" s="187" t="s">
        <v>1054</v>
      </c>
    </row>
    <row r="31" spans="2:21" x14ac:dyDescent="0.2">
      <c r="B31" s="187">
        <v>26</v>
      </c>
      <c r="C31" s="188" t="s">
        <v>141</v>
      </c>
      <c r="D31" s="188" t="s">
        <v>140</v>
      </c>
      <c r="E31" s="208">
        <v>60665869</v>
      </c>
      <c r="F31" s="208">
        <v>0</v>
      </c>
      <c r="G31" s="208">
        <v>1857241</v>
      </c>
      <c r="H31" s="208">
        <v>291069</v>
      </c>
      <c r="I31" s="208">
        <v>0</v>
      </c>
      <c r="J31" s="208">
        <v>291069</v>
      </c>
      <c r="K31" s="208">
        <v>0</v>
      </c>
      <c r="L31" s="208">
        <v>0</v>
      </c>
      <c r="M31" s="208">
        <v>226</v>
      </c>
      <c r="N31" s="208">
        <v>226</v>
      </c>
      <c r="O31" s="208">
        <v>0</v>
      </c>
      <c r="P31" s="208">
        <v>0</v>
      </c>
      <c r="Q31" s="208">
        <v>58517333</v>
      </c>
      <c r="R31" s="187" t="s">
        <v>859</v>
      </c>
      <c r="S31" s="187" t="s">
        <v>742</v>
      </c>
      <c r="T31" s="187" t="s">
        <v>764</v>
      </c>
      <c r="U31" s="187" t="s">
        <v>742</v>
      </c>
    </row>
    <row r="32" spans="2:21" x14ac:dyDescent="0.2">
      <c r="B32" s="187">
        <v>27</v>
      </c>
      <c r="C32" s="188" t="s">
        <v>143</v>
      </c>
      <c r="D32" s="188" t="s">
        <v>142</v>
      </c>
      <c r="E32" s="208">
        <v>79846496</v>
      </c>
      <c r="F32" s="208">
        <v>229639</v>
      </c>
      <c r="G32" s="208">
        <v>0</v>
      </c>
      <c r="H32" s="208">
        <v>140882</v>
      </c>
      <c r="I32" s="208">
        <v>0</v>
      </c>
      <c r="J32" s="208">
        <v>140882</v>
      </c>
      <c r="K32" s="208">
        <v>0</v>
      </c>
      <c r="L32" s="208">
        <v>0</v>
      </c>
      <c r="M32" s="208">
        <v>0</v>
      </c>
      <c r="N32" s="208">
        <v>0</v>
      </c>
      <c r="O32" s="208">
        <v>0</v>
      </c>
      <c r="P32" s="208">
        <v>0</v>
      </c>
      <c r="Q32" s="208">
        <v>79935253</v>
      </c>
      <c r="R32" s="187" t="s">
        <v>858</v>
      </c>
      <c r="S32" s="187" t="s">
        <v>742</v>
      </c>
      <c r="T32" s="187" t="s">
        <v>755</v>
      </c>
      <c r="U32" s="187" t="s">
        <v>742</v>
      </c>
    </row>
    <row r="33" spans="1:21" x14ac:dyDescent="0.2">
      <c r="B33" s="187">
        <v>28</v>
      </c>
      <c r="C33" s="188" t="s">
        <v>145</v>
      </c>
      <c r="D33" s="188" t="s">
        <v>144</v>
      </c>
      <c r="E33" s="208">
        <v>133510288</v>
      </c>
      <c r="F33" s="208">
        <v>0</v>
      </c>
      <c r="G33" s="208">
        <v>1860489</v>
      </c>
      <c r="H33" s="208">
        <v>728336</v>
      </c>
      <c r="I33" s="208">
        <v>0</v>
      </c>
      <c r="J33" s="208">
        <v>728336</v>
      </c>
      <c r="K33" s="208">
        <v>0</v>
      </c>
      <c r="L33" s="208">
        <v>0</v>
      </c>
      <c r="M33" s="208">
        <v>0</v>
      </c>
      <c r="N33" s="208">
        <v>0</v>
      </c>
      <c r="O33" s="208">
        <v>0</v>
      </c>
      <c r="P33" s="208">
        <v>0</v>
      </c>
      <c r="Q33" s="208">
        <v>130921463</v>
      </c>
      <c r="R33" s="187" t="s">
        <v>144</v>
      </c>
      <c r="S33" s="187" t="s">
        <v>754</v>
      </c>
      <c r="T33" s="187" t="s">
        <v>782</v>
      </c>
      <c r="U33" s="187" t="s">
        <v>1056</v>
      </c>
    </row>
    <row r="34" spans="1:21" x14ac:dyDescent="0.2">
      <c r="B34" s="187">
        <v>29</v>
      </c>
      <c r="C34" s="188" t="s">
        <v>147</v>
      </c>
      <c r="D34" s="188" t="s">
        <v>146</v>
      </c>
      <c r="E34" s="208">
        <v>42307738</v>
      </c>
      <c r="F34" s="208">
        <v>219413</v>
      </c>
      <c r="G34" s="208">
        <v>0</v>
      </c>
      <c r="H34" s="208">
        <v>192808</v>
      </c>
      <c r="I34" s="208">
        <v>0</v>
      </c>
      <c r="J34" s="208">
        <v>192808</v>
      </c>
      <c r="K34" s="208">
        <v>0</v>
      </c>
      <c r="L34" s="208">
        <v>0</v>
      </c>
      <c r="M34" s="208">
        <v>201828</v>
      </c>
      <c r="N34" s="208">
        <v>97132</v>
      </c>
      <c r="O34" s="208">
        <v>104696</v>
      </c>
      <c r="P34" s="208">
        <v>0</v>
      </c>
      <c r="Q34" s="208">
        <v>42132515</v>
      </c>
      <c r="R34" s="187" t="s">
        <v>146</v>
      </c>
      <c r="S34" s="187" t="s">
        <v>784</v>
      </c>
      <c r="T34" s="187" t="s">
        <v>783</v>
      </c>
      <c r="U34" s="187" t="s">
        <v>1054</v>
      </c>
    </row>
    <row r="35" spans="1:21" x14ac:dyDescent="0.2">
      <c r="B35" s="187">
        <v>30</v>
      </c>
      <c r="C35" s="188" t="s">
        <v>149</v>
      </c>
      <c r="D35" s="188" t="s">
        <v>148</v>
      </c>
      <c r="E35" s="208">
        <v>31565009</v>
      </c>
      <c r="F35" s="208">
        <v>461504</v>
      </c>
      <c r="G35" s="208">
        <v>0</v>
      </c>
      <c r="H35" s="208">
        <v>163384</v>
      </c>
      <c r="I35" s="208">
        <v>0</v>
      </c>
      <c r="J35" s="208">
        <v>163384</v>
      </c>
      <c r="K35" s="208">
        <v>0</v>
      </c>
      <c r="L35" s="208">
        <v>0</v>
      </c>
      <c r="M35" s="208">
        <v>2385940</v>
      </c>
      <c r="N35" s="208">
        <v>2385940</v>
      </c>
      <c r="O35" s="208">
        <v>0</v>
      </c>
      <c r="P35" s="208">
        <v>0</v>
      </c>
      <c r="Q35" s="208">
        <v>29477189</v>
      </c>
      <c r="R35" s="187" t="s">
        <v>148</v>
      </c>
      <c r="S35" s="187" t="s">
        <v>802</v>
      </c>
      <c r="T35" s="187" t="s">
        <v>751</v>
      </c>
      <c r="U35" s="187" t="s">
        <v>1054</v>
      </c>
    </row>
    <row r="36" spans="1:21" x14ac:dyDescent="0.2">
      <c r="B36" s="187">
        <v>31</v>
      </c>
      <c r="C36" s="188" t="s">
        <v>151</v>
      </c>
      <c r="D36" s="188" t="s">
        <v>150</v>
      </c>
      <c r="E36" s="208">
        <v>133043140</v>
      </c>
      <c r="F36" s="208">
        <v>1429147</v>
      </c>
      <c r="G36" s="208">
        <v>0</v>
      </c>
      <c r="H36" s="208">
        <v>418540</v>
      </c>
      <c r="I36" s="208">
        <v>0</v>
      </c>
      <c r="J36" s="208">
        <v>418540</v>
      </c>
      <c r="K36" s="208">
        <v>0</v>
      </c>
      <c r="L36" s="208">
        <v>0</v>
      </c>
      <c r="M36" s="208">
        <v>0</v>
      </c>
      <c r="N36" s="208">
        <v>0</v>
      </c>
      <c r="O36" s="208">
        <v>0</v>
      </c>
      <c r="P36" s="208">
        <v>0</v>
      </c>
      <c r="Q36" s="208">
        <v>134053747</v>
      </c>
      <c r="R36" s="187" t="s">
        <v>150</v>
      </c>
      <c r="S36" s="187" t="s">
        <v>767</v>
      </c>
      <c r="T36" s="187" t="s">
        <v>743</v>
      </c>
      <c r="U36" s="187" t="s">
        <v>1055</v>
      </c>
    </row>
    <row r="37" spans="1:21" x14ac:dyDescent="0.2">
      <c r="B37" s="187">
        <v>32</v>
      </c>
      <c r="C37" s="188" t="s">
        <v>153</v>
      </c>
      <c r="D37" s="188" t="s">
        <v>152</v>
      </c>
      <c r="E37" s="208">
        <v>28430287</v>
      </c>
      <c r="F37" s="208">
        <v>0</v>
      </c>
      <c r="G37" s="208">
        <v>551766</v>
      </c>
      <c r="H37" s="208">
        <v>105452</v>
      </c>
      <c r="I37" s="208">
        <v>0</v>
      </c>
      <c r="J37" s="208">
        <v>105452</v>
      </c>
      <c r="K37" s="208">
        <v>0</v>
      </c>
      <c r="L37" s="208">
        <v>0</v>
      </c>
      <c r="M37" s="208">
        <v>0</v>
      </c>
      <c r="N37" s="208">
        <v>0</v>
      </c>
      <c r="O37" s="208">
        <v>0</v>
      </c>
      <c r="P37" s="208">
        <v>0</v>
      </c>
      <c r="Q37" s="208">
        <v>27773069</v>
      </c>
      <c r="R37" s="187" t="s">
        <v>152</v>
      </c>
      <c r="S37" s="187" t="s">
        <v>784</v>
      </c>
      <c r="T37" s="187" t="s">
        <v>783</v>
      </c>
      <c r="U37" s="187" t="s">
        <v>1054</v>
      </c>
    </row>
    <row r="38" spans="1:21" x14ac:dyDescent="0.2">
      <c r="B38" s="187">
        <v>33</v>
      </c>
      <c r="C38" s="188" t="s">
        <v>155</v>
      </c>
      <c r="D38" s="188" t="s">
        <v>154</v>
      </c>
      <c r="E38" s="208">
        <v>109059656</v>
      </c>
      <c r="F38" s="208">
        <v>4383386</v>
      </c>
      <c r="G38" s="208">
        <v>0</v>
      </c>
      <c r="H38" s="208">
        <v>442154</v>
      </c>
      <c r="I38" s="208">
        <v>0</v>
      </c>
      <c r="J38" s="208">
        <v>442154</v>
      </c>
      <c r="K38" s="208">
        <v>0</v>
      </c>
      <c r="L38" s="208">
        <v>0</v>
      </c>
      <c r="M38" s="208">
        <v>0</v>
      </c>
      <c r="N38" s="208">
        <v>0</v>
      </c>
      <c r="O38" s="208">
        <v>0</v>
      </c>
      <c r="P38" s="208">
        <v>0</v>
      </c>
      <c r="Q38" s="208">
        <v>113000888</v>
      </c>
      <c r="R38" s="187" t="s">
        <v>857</v>
      </c>
      <c r="S38" s="187" t="s">
        <v>742</v>
      </c>
      <c r="T38" s="187" t="s">
        <v>776</v>
      </c>
      <c r="U38" s="187" t="s">
        <v>742</v>
      </c>
    </row>
    <row r="39" spans="1:21" x14ac:dyDescent="0.2">
      <c r="A39" s="188"/>
      <c r="B39" s="187">
        <v>34</v>
      </c>
      <c r="C39" s="188" t="s">
        <v>157</v>
      </c>
      <c r="D39" s="188" t="s">
        <v>156</v>
      </c>
      <c r="E39" s="208">
        <v>214800193.27000001</v>
      </c>
      <c r="F39" s="208">
        <v>0</v>
      </c>
      <c r="G39" s="208">
        <v>2354727</v>
      </c>
      <c r="H39" s="208">
        <v>714145</v>
      </c>
      <c r="I39" s="208">
        <v>0</v>
      </c>
      <c r="J39" s="208">
        <v>714145</v>
      </c>
      <c r="K39" s="208">
        <v>0</v>
      </c>
      <c r="L39" s="208">
        <v>4398785</v>
      </c>
      <c r="M39" s="208">
        <v>172874.33000000002</v>
      </c>
      <c r="N39" s="208">
        <v>172874</v>
      </c>
      <c r="O39" s="208">
        <v>0.33000000001629815</v>
      </c>
      <c r="P39" s="208">
        <v>0</v>
      </c>
      <c r="Q39" s="208">
        <v>207159661.94</v>
      </c>
      <c r="R39" s="187" t="s">
        <v>856</v>
      </c>
      <c r="S39" s="187" t="s">
        <v>742</v>
      </c>
      <c r="T39" s="187" t="s">
        <v>804</v>
      </c>
      <c r="U39" s="187" t="s">
        <v>742</v>
      </c>
    </row>
    <row r="40" spans="1:21" x14ac:dyDescent="0.2">
      <c r="B40" s="187">
        <v>35</v>
      </c>
      <c r="C40" s="188" t="s">
        <v>159</v>
      </c>
      <c r="D40" s="188" t="s">
        <v>158</v>
      </c>
      <c r="E40" s="208">
        <v>29390899</v>
      </c>
      <c r="F40" s="208">
        <v>0</v>
      </c>
      <c r="G40" s="208">
        <v>686278</v>
      </c>
      <c r="H40" s="208">
        <v>139228</v>
      </c>
      <c r="I40" s="208">
        <v>0</v>
      </c>
      <c r="J40" s="208">
        <v>139228</v>
      </c>
      <c r="K40" s="208">
        <v>0</v>
      </c>
      <c r="L40" s="208">
        <v>0</v>
      </c>
      <c r="M40" s="208">
        <v>162673</v>
      </c>
      <c r="N40" s="208">
        <v>162673</v>
      </c>
      <c r="O40" s="208">
        <v>0</v>
      </c>
      <c r="P40" s="208">
        <v>0</v>
      </c>
      <c r="Q40" s="208">
        <v>28402720</v>
      </c>
      <c r="R40" s="187" t="s">
        <v>158</v>
      </c>
      <c r="S40" s="187" t="s">
        <v>802</v>
      </c>
      <c r="T40" s="187" t="s">
        <v>751</v>
      </c>
      <c r="U40" s="187" t="s">
        <v>1054</v>
      </c>
    </row>
    <row r="41" spans="1:21" x14ac:dyDescent="0.2">
      <c r="B41" s="187">
        <v>36</v>
      </c>
      <c r="C41" s="188" t="s">
        <v>161</v>
      </c>
      <c r="D41" s="188" t="s">
        <v>160</v>
      </c>
      <c r="E41" s="208">
        <v>90417930</v>
      </c>
      <c r="F41" s="208">
        <v>3436241</v>
      </c>
      <c r="G41" s="208">
        <v>0</v>
      </c>
      <c r="H41" s="208">
        <v>333958</v>
      </c>
      <c r="I41" s="208">
        <v>0</v>
      </c>
      <c r="J41" s="208">
        <v>333958</v>
      </c>
      <c r="K41" s="208">
        <v>0</v>
      </c>
      <c r="L41" s="208">
        <v>0</v>
      </c>
      <c r="M41" s="208">
        <v>0</v>
      </c>
      <c r="N41" s="208">
        <v>0</v>
      </c>
      <c r="O41" s="208">
        <v>0</v>
      </c>
      <c r="P41" s="208">
        <v>0</v>
      </c>
      <c r="Q41" s="208">
        <v>93520213</v>
      </c>
      <c r="R41" s="187" t="s">
        <v>160</v>
      </c>
      <c r="S41" s="187" t="s">
        <v>767</v>
      </c>
      <c r="T41" s="187" t="s">
        <v>743</v>
      </c>
      <c r="U41" s="187" t="s">
        <v>1055</v>
      </c>
    </row>
    <row r="42" spans="1:21" x14ac:dyDescent="0.2">
      <c r="B42" s="187">
        <v>37</v>
      </c>
      <c r="C42" s="188" t="s">
        <v>163</v>
      </c>
      <c r="D42" s="188" t="s">
        <v>162</v>
      </c>
      <c r="E42" s="208">
        <v>24267890</v>
      </c>
      <c r="F42" s="208">
        <v>0</v>
      </c>
      <c r="G42" s="208">
        <v>592924</v>
      </c>
      <c r="H42" s="208">
        <v>120902</v>
      </c>
      <c r="I42" s="208">
        <v>0</v>
      </c>
      <c r="J42" s="208">
        <v>120902</v>
      </c>
      <c r="K42" s="208">
        <v>0</v>
      </c>
      <c r="L42" s="208">
        <v>0</v>
      </c>
      <c r="M42" s="208">
        <v>0</v>
      </c>
      <c r="N42" s="208">
        <v>0</v>
      </c>
      <c r="O42" s="208">
        <v>0</v>
      </c>
      <c r="P42" s="208">
        <v>0</v>
      </c>
      <c r="Q42" s="208">
        <v>23554064</v>
      </c>
      <c r="R42" s="187" t="s">
        <v>162</v>
      </c>
      <c r="S42" s="187" t="s">
        <v>746</v>
      </c>
      <c r="T42" s="187" t="s">
        <v>745</v>
      </c>
      <c r="U42" s="187" t="s">
        <v>1054</v>
      </c>
    </row>
    <row r="43" spans="1:21" x14ac:dyDescent="0.2">
      <c r="B43" s="187">
        <v>38</v>
      </c>
      <c r="C43" s="188" t="s">
        <v>165</v>
      </c>
      <c r="D43" s="188" t="s">
        <v>164</v>
      </c>
      <c r="E43" s="208">
        <v>39433294</v>
      </c>
      <c r="F43" s="208">
        <v>0</v>
      </c>
      <c r="G43" s="208">
        <v>1099192</v>
      </c>
      <c r="H43" s="208">
        <v>112353</v>
      </c>
      <c r="I43" s="208">
        <v>0</v>
      </c>
      <c r="J43" s="208">
        <v>112353</v>
      </c>
      <c r="K43" s="208">
        <v>0</v>
      </c>
      <c r="L43" s="208">
        <v>0</v>
      </c>
      <c r="M43" s="208">
        <v>0</v>
      </c>
      <c r="N43" s="208">
        <v>0</v>
      </c>
      <c r="O43" s="208">
        <v>0</v>
      </c>
      <c r="P43" s="208">
        <v>0</v>
      </c>
      <c r="Q43" s="208">
        <v>38221749</v>
      </c>
      <c r="R43" s="187" t="s">
        <v>164</v>
      </c>
      <c r="S43" s="187" t="s">
        <v>774</v>
      </c>
      <c r="T43" s="187" t="s">
        <v>751</v>
      </c>
      <c r="U43" s="187" t="s">
        <v>1054</v>
      </c>
    </row>
    <row r="44" spans="1:21" x14ac:dyDescent="0.2">
      <c r="B44" s="187">
        <v>39</v>
      </c>
      <c r="C44" s="188" t="s">
        <v>167</v>
      </c>
      <c r="D44" s="188" t="s">
        <v>166</v>
      </c>
      <c r="E44" s="208">
        <v>26496143</v>
      </c>
      <c r="F44" s="208">
        <v>653682</v>
      </c>
      <c r="G44" s="208">
        <v>0</v>
      </c>
      <c r="H44" s="208">
        <v>103272</v>
      </c>
      <c r="I44" s="208">
        <v>0</v>
      </c>
      <c r="J44" s="208">
        <v>103272</v>
      </c>
      <c r="K44" s="208">
        <v>0</v>
      </c>
      <c r="L44" s="208">
        <v>0</v>
      </c>
      <c r="M44" s="208">
        <v>0</v>
      </c>
      <c r="N44" s="208">
        <v>0</v>
      </c>
      <c r="O44" s="208">
        <v>0</v>
      </c>
      <c r="P44" s="208">
        <v>0</v>
      </c>
      <c r="Q44" s="208">
        <v>27046553</v>
      </c>
      <c r="R44" s="187" t="s">
        <v>166</v>
      </c>
      <c r="S44" s="187" t="s">
        <v>816</v>
      </c>
      <c r="T44" s="187" t="s">
        <v>815</v>
      </c>
      <c r="U44" s="187" t="s">
        <v>1054</v>
      </c>
    </row>
    <row r="45" spans="1:21" x14ac:dyDescent="0.2">
      <c r="B45" s="187">
        <v>40</v>
      </c>
      <c r="C45" s="188" t="s">
        <v>169</v>
      </c>
      <c r="D45" s="188" t="s">
        <v>168</v>
      </c>
      <c r="E45" s="208">
        <v>27126590</v>
      </c>
      <c r="F45" s="208">
        <v>0</v>
      </c>
      <c r="G45" s="208">
        <v>755059</v>
      </c>
      <c r="H45" s="208">
        <v>148187</v>
      </c>
      <c r="I45" s="208">
        <v>0</v>
      </c>
      <c r="J45" s="208">
        <v>148187</v>
      </c>
      <c r="K45" s="208">
        <v>0</v>
      </c>
      <c r="L45" s="208">
        <v>0</v>
      </c>
      <c r="M45" s="208">
        <v>234779</v>
      </c>
      <c r="N45" s="208">
        <v>234779</v>
      </c>
      <c r="O45" s="208">
        <v>0</v>
      </c>
      <c r="P45" s="208">
        <v>0</v>
      </c>
      <c r="Q45" s="208">
        <v>25988565</v>
      </c>
      <c r="R45" s="187" t="s">
        <v>168</v>
      </c>
      <c r="S45" s="187" t="s">
        <v>748</v>
      </c>
      <c r="T45" s="187" t="s">
        <v>747</v>
      </c>
      <c r="U45" s="187" t="s">
        <v>1054</v>
      </c>
    </row>
    <row r="46" spans="1:21" x14ac:dyDescent="0.2">
      <c r="B46" s="187">
        <v>41</v>
      </c>
      <c r="C46" s="188" t="s">
        <v>171</v>
      </c>
      <c r="D46" s="188" t="s">
        <v>170</v>
      </c>
      <c r="E46" s="208">
        <v>53637585</v>
      </c>
      <c r="F46" s="208">
        <v>0</v>
      </c>
      <c r="G46" s="208">
        <v>1079462</v>
      </c>
      <c r="H46" s="208">
        <v>239552</v>
      </c>
      <c r="I46" s="208">
        <v>0</v>
      </c>
      <c r="J46" s="208">
        <v>239552</v>
      </c>
      <c r="K46" s="208">
        <v>0</v>
      </c>
      <c r="L46" s="208">
        <v>0</v>
      </c>
      <c r="M46" s="208">
        <v>0</v>
      </c>
      <c r="N46" s="208">
        <v>0</v>
      </c>
      <c r="O46" s="208">
        <v>0</v>
      </c>
      <c r="P46" s="208">
        <v>0</v>
      </c>
      <c r="Q46" s="208">
        <v>52318571</v>
      </c>
      <c r="R46" s="187" t="s">
        <v>170</v>
      </c>
      <c r="S46" s="187" t="s">
        <v>754</v>
      </c>
      <c r="T46" s="187" t="s">
        <v>763</v>
      </c>
      <c r="U46" s="187" t="s">
        <v>1056</v>
      </c>
    </row>
    <row r="47" spans="1:21" x14ac:dyDescent="0.2">
      <c r="B47" s="187">
        <v>42</v>
      </c>
      <c r="C47" s="188" t="s">
        <v>173</v>
      </c>
      <c r="D47" s="188" t="s">
        <v>172</v>
      </c>
      <c r="E47" s="208">
        <v>55066363.909999996</v>
      </c>
      <c r="F47" s="208">
        <v>0</v>
      </c>
      <c r="G47" s="208">
        <v>233399</v>
      </c>
      <c r="H47" s="208">
        <v>350505</v>
      </c>
      <c r="I47" s="208">
        <v>0</v>
      </c>
      <c r="J47" s="208">
        <v>350505</v>
      </c>
      <c r="K47" s="208">
        <v>0</v>
      </c>
      <c r="L47" s="208">
        <v>0</v>
      </c>
      <c r="M47" s="208">
        <v>481356</v>
      </c>
      <c r="N47" s="208">
        <v>481356</v>
      </c>
      <c r="O47" s="208">
        <v>0</v>
      </c>
      <c r="P47" s="208">
        <v>0</v>
      </c>
      <c r="Q47" s="208">
        <v>54001103.909999996</v>
      </c>
      <c r="R47" s="187" t="s">
        <v>172</v>
      </c>
      <c r="S47" s="187" t="s">
        <v>754</v>
      </c>
      <c r="T47" s="187" t="s">
        <v>782</v>
      </c>
      <c r="U47" s="187" t="s">
        <v>1056</v>
      </c>
    </row>
    <row r="48" spans="1:21" x14ac:dyDescent="0.2">
      <c r="B48" s="187">
        <v>43</v>
      </c>
      <c r="C48" s="188" t="s">
        <v>175</v>
      </c>
      <c r="D48" s="188" t="s">
        <v>174</v>
      </c>
      <c r="E48" s="208">
        <v>109174630</v>
      </c>
      <c r="F48" s="208">
        <v>307848</v>
      </c>
      <c r="G48" s="208">
        <v>0</v>
      </c>
      <c r="H48" s="208">
        <v>234320</v>
      </c>
      <c r="I48" s="208">
        <v>0</v>
      </c>
      <c r="J48" s="208">
        <v>234320</v>
      </c>
      <c r="K48" s="208">
        <v>0</v>
      </c>
      <c r="L48" s="208">
        <v>0</v>
      </c>
      <c r="M48" s="208">
        <v>0</v>
      </c>
      <c r="N48" s="208">
        <v>0</v>
      </c>
      <c r="O48" s="208">
        <v>0</v>
      </c>
      <c r="P48" s="208">
        <v>0</v>
      </c>
      <c r="Q48" s="208">
        <v>109248158</v>
      </c>
      <c r="R48" s="187" t="s">
        <v>174</v>
      </c>
      <c r="S48" s="187" t="s">
        <v>809</v>
      </c>
      <c r="T48" s="187" t="s">
        <v>808</v>
      </c>
      <c r="U48" s="187" t="s">
        <v>1054</v>
      </c>
    </row>
    <row r="49" spans="2:21" x14ac:dyDescent="0.2">
      <c r="B49" s="187">
        <v>44</v>
      </c>
      <c r="C49" s="188" t="s">
        <v>177</v>
      </c>
      <c r="D49" s="188" t="s">
        <v>176</v>
      </c>
      <c r="E49" s="208">
        <v>621176723.14999998</v>
      </c>
      <c r="F49" s="208">
        <v>16973048</v>
      </c>
      <c r="G49" s="208">
        <v>0</v>
      </c>
      <c r="H49" s="208">
        <v>1262515</v>
      </c>
      <c r="I49" s="208">
        <v>0</v>
      </c>
      <c r="J49" s="208">
        <v>1262515</v>
      </c>
      <c r="K49" s="208">
        <v>0</v>
      </c>
      <c r="L49" s="208">
        <v>0</v>
      </c>
      <c r="M49" s="208">
        <v>0</v>
      </c>
      <c r="N49" s="208">
        <v>0</v>
      </c>
      <c r="O49" s="208">
        <v>0</v>
      </c>
      <c r="P49" s="208">
        <v>0</v>
      </c>
      <c r="Q49" s="208">
        <v>636887256.14999998</v>
      </c>
      <c r="R49" s="187" t="s">
        <v>176</v>
      </c>
      <c r="S49" s="187" t="s">
        <v>767</v>
      </c>
      <c r="T49" s="187" t="s">
        <v>743</v>
      </c>
      <c r="U49" s="187" t="s">
        <v>1057</v>
      </c>
    </row>
    <row r="50" spans="2:21" x14ac:dyDescent="0.2">
      <c r="B50" s="187">
        <v>45</v>
      </c>
      <c r="C50" s="188" t="s">
        <v>179</v>
      </c>
      <c r="D50" s="188" t="s">
        <v>178</v>
      </c>
      <c r="E50" s="208">
        <v>31029326</v>
      </c>
      <c r="F50" s="208">
        <v>0</v>
      </c>
      <c r="G50" s="208">
        <v>380815</v>
      </c>
      <c r="H50" s="208">
        <v>132868</v>
      </c>
      <c r="I50" s="208">
        <v>0</v>
      </c>
      <c r="J50" s="208">
        <v>132868</v>
      </c>
      <c r="K50" s="208">
        <v>0</v>
      </c>
      <c r="L50" s="208">
        <v>0</v>
      </c>
      <c r="M50" s="208">
        <v>0</v>
      </c>
      <c r="N50" s="208">
        <v>0</v>
      </c>
      <c r="O50" s="208">
        <v>0</v>
      </c>
      <c r="P50" s="208">
        <v>0</v>
      </c>
      <c r="Q50" s="208">
        <v>30515643</v>
      </c>
      <c r="R50" s="187" t="s">
        <v>178</v>
      </c>
      <c r="S50" s="187" t="s">
        <v>794</v>
      </c>
      <c r="T50" s="187" t="s">
        <v>793</v>
      </c>
      <c r="U50" s="187" t="s">
        <v>1054</v>
      </c>
    </row>
    <row r="51" spans="2:21" x14ac:dyDescent="0.2">
      <c r="B51" s="187">
        <v>46</v>
      </c>
      <c r="C51" s="188" t="s">
        <v>181</v>
      </c>
      <c r="D51" s="188" t="s">
        <v>180</v>
      </c>
      <c r="E51" s="208">
        <v>53276666</v>
      </c>
      <c r="F51" s="208">
        <v>0</v>
      </c>
      <c r="G51" s="208">
        <v>2106040</v>
      </c>
      <c r="H51" s="208">
        <v>229160</v>
      </c>
      <c r="I51" s="208">
        <v>0</v>
      </c>
      <c r="J51" s="208">
        <v>229160</v>
      </c>
      <c r="K51" s="208">
        <v>0</v>
      </c>
      <c r="L51" s="208">
        <v>0</v>
      </c>
      <c r="M51" s="208">
        <v>326686</v>
      </c>
      <c r="N51" s="208">
        <v>326686</v>
      </c>
      <c r="O51" s="208">
        <v>0</v>
      </c>
      <c r="P51" s="208">
        <v>0</v>
      </c>
      <c r="Q51" s="208">
        <v>50614780</v>
      </c>
      <c r="R51" s="187" t="s">
        <v>180</v>
      </c>
      <c r="S51" s="187" t="s">
        <v>786</v>
      </c>
      <c r="T51" s="187" t="s">
        <v>785</v>
      </c>
      <c r="U51" s="187" t="s">
        <v>1054</v>
      </c>
    </row>
    <row r="52" spans="2:21" x14ac:dyDescent="0.2">
      <c r="B52" s="187">
        <v>47</v>
      </c>
      <c r="C52" s="188" t="s">
        <v>183</v>
      </c>
      <c r="D52" s="188" t="s">
        <v>182</v>
      </c>
      <c r="E52" s="208">
        <v>42354426</v>
      </c>
      <c r="F52" s="208">
        <v>0</v>
      </c>
      <c r="G52" s="208">
        <v>1791783</v>
      </c>
      <c r="H52" s="208">
        <v>178507</v>
      </c>
      <c r="I52" s="208">
        <v>0</v>
      </c>
      <c r="J52" s="208">
        <v>178507</v>
      </c>
      <c r="K52" s="208">
        <v>0</v>
      </c>
      <c r="L52" s="208">
        <v>0</v>
      </c>
      <c r="M52" s="208">
        <v>319449</v>
      </c>
      <c r="N52" s="208">
        <v>319449</v>
      </c>
      <c r="O52" s="208">
        <v>0</v>
      </c>
      <c r="P52" s="208">
        <v>0</v>
      </c>
      <c r="Q52" s="208">
        <v>40064687</v>
      </c>
      <c r="R52" s="187" t="s">
        <v>182</v>
      </c>
      <c r="S52" s="187" t="s">
        <v>803</v>
      </c>
      <c r="T52" s="187" t="s">
        <v>751</v>
      </c>
      <c r="U52" s="187" t="s">
        <v>1054</v>
      </c>
    </row>
    <row r="53" spans="2:21" x14ac:dyDescent="0.2">
      <c r="B53" s="187">
        <v>48</v>
      </c>
      <c r="C53" s="188" t="s">
        <v>185</v>
      </c>
      <c r="D53" s="188" t="s">
        <v>184</v>
      </c>
      <c r="E53" s="208">
        <v>13684189.52</v>
      </c>
      <c r="F53" s="208">
        <v>0</v>
      </c>
      <c r="G53" s="208">
        <v>77487</v>
      </c>
      <c r="H53" s="208">
        <v>78327</v>
      </c>
      <c r="I53" s="208">
        <v>0</v>
      </c>
      <c r="J53" s="208">
        <v>78327</v>
      </c>
      <c r="K53" s="208">
        <v>0</v>
      </c>
      <c r="L53" s="208">
        <v>0</v>
      </c>
      <c r="M53" s="208">
        <v>0</v>
      </c>
      <c r="N53" s="208">
        <v>0</v>
      </c>
      <c r="O53" s="208">
        <v>0</v>
      </c>
      <c r="P53" s="208">
        <v>0</v>
      </c>
      <c r="Q53" s="208">
        <v>13528375.52</v>
      </c>
      <c r="R53" s="187" t="s">
        <v>184</v>
      </c>
      <c r="S53" s="187" t="s">
        <v>784</v>
      </c>
      <c r="T53" s="187" t="s">
        <v>783</v>
      </c>
      <c r="U53" s="187" t="s">
        <v>1054</v>
      </c>
    </row>
    <row r="54" spans="2:21" x14ac:dyDescent="0.2">
      <c r="B54" s="187">
        <v>49</v>
      </c>
      <c r="C54" s="188" t="s">
        <v>187</v>
      </c>
      <c r="D54" s="188" t="s">
        <v>186</v>
      </c>
      <c r="E54" s="208">
        <v>88288272</v>
      </c>
      <c r="F54" s="208">
        <v>0</v>
      </c>
      <c r="G54" s="208">
        <v>698521</v>
      </c>
      <c r="H54" s="208">
        <v>302614</v>
      </c>
      <c r="I54" s="208">
        <v>0</v>
      </c>
      <c r="J54" s="208">
        <v>302614</v>
      </c>
      <c r="K54" s="208">
        <v>0</v>
      </c>
      <c r="L54" s="208">
        <v>0</v>
      </c>
      <c r="M54" s="208">
        <v>371991</v>
      </c>
      <c r="N54" s="208">
        <v>371991</v>
      </c>
      <c r="O54" s="208">
        <v>0</v>
      </c>
      <c r="P54" s="208">
        <v>0</v>
      </c>
      <c r="Q54" s="208">
        <v>86915146</v>
      </c>
      <c r="R54" s="187" t="s">
        <v>186</v>
      </c>
      <c r="S54" s="187" t="s">
        <v>742</v>
      </c>
      <c r="T54" s="187" t="s">
        <v>837</v>
      </c>
      <c r="U54" s="187" t="s">
        <v>742</v>
      </c>
    </row>
    <row r="55" spans="2:21" x14ac:dyDescent="0.2">
      <c r="B55" s="187">
        <v>50</v>
      </c>
      <c r="C55" s="188" t="s">
        <v>189</v>
      </c>
      <c r="D55" s="188" t="s">
        <v>188</v>
      </c>
      <c r="E55" s="208">
        <v>44248860</v>
      </c>
      <c r="F55" s="208">
        <v>900620</v>
      </c>
      <c r="G55" s="208">
        <v>0</v>
      </c>
      <c r="H55" s="208">
        <v>192801</v>
      </c>
      <c r="I55" s="208">
        <v>0</v>
      </c>
      <c r="J55" s="208">
        <v>192801</v>
      </c>
      <c r="K55" s="208">
        <v>0</v>
      </c>
      <c r="L55" s="208">
        <v>222402</v>
      </c>
      <c r="M55" s="208">
        <v>187612</v>
      </c>
      <c r="N55" s="208">
        <v>183388</v>
      </c>
      <c r="O55" s="208">
        <v>4224</v>
      </c>
      <c r="P55" s="208">
        <v>0</v>
      </c>
      <c r="Q55" s="208">
        <v>44546665</v>
      </c>
      <c r="R55" s="187" t="s">
        <v>188</v>
      </c>
      <c r="S55" s="187" t="s">
        <v>825</v>
      </c>
      <c r="T55" s="187" t="s">
        <v>813</v>
      </c>
      <c r="U55" s="187" t="s">
        <v>1054</v>
      </c>
    </row>
    <row r="56" spans="2:21" x14ac:dyDescent="0.2">
      <c r="B56" s="187">
        <v>51</v>
      </c>
      <c r="C56" s="188" t="s">
        <v>191</v>
      </c>
      <c r="D56" s="188" t="s">
        <v>190</v>
      </c>
      <c r="E56" s="208">
        <v>80661582.700000003</v>
      </c>
      <c r="F56" s="208">
        <v>0</v>
      </c>
      <c r="G56" s="208">
        <v>1828117</v>
      </c>
      <c r="H56" s="208">
        <v>217641</v>
      </c>
      <c r="I56" s="208">
        <v>0</v>
      </c>
      <c r="J56" s="208">
        <v>217641</v>
      </c>
      <c r="K56" s="208">
        <v>0</v>
      </c>
      <c r="L56" s="208">
        <v>0</v>
      </c>
      <c r="M56" s="208">
        <v>0</v>
      </c>
      <c r="N56" s="208">
        <v>0</v>
      </c>
      <c r="O56" s="208">
        <v>0</v>
      </c>
      <c r="P56" s="208">
        <v>0</v>
      </c>
      <c r="Q56" s="208">
        <v>78615824.700000003</v>
      </c>
      <c r="R56" s="187" t="s">
        <v>190</v>
      </c>
      <c r="S56" s="187" t="s">
        <v>784</v>
      </c>
      <c r="T56" s="187" t="s">
        <v>783</v>
      </c>
      <c r="U56" s="187" t="s">
        <v>1054</v>
      </c>
    </row>
    <row r="57" spans="2:21" x14ac:dyDescent="0.2">
      <c r="B57" s="187">
        <v>52</v>
      </c>
      <c r="C57" s="188" t="s">
        <v>193</v>
      </c>
      <c r="D57" s="188" t="s">
        <v>192</v>
      </c>
      <c r="E57" s="208">
        <v>54519145</v>
      </c>
      <c r="F57" s="208">
        <v>0</v>
      </c>
      <c r="G57" s="208">
        <v>1195817</v>
      </c>
      <c r="H57" s="208">
        <v>170056</v>
      </c>
      <c r="I57" s="208">
        <v>0</v>
      </c>
      <c r="J57" s="208">
        <v>170056</v>
      </c>
      <c r="K57" s="208">
        <v>0</v>
      </c>
      <c r="L57" s="208">
        <v>0</v>
      </c>
      <c r="M57" s="208">
        <v>0</v>
      </c>
      <c r="N57" s="208">
        <v>0</v>
      </c>
      <c r="O57" s="208">
        <v>0</v>
      </c>
      <c r="P57" s="208">
        <v>0</v>
      </c>
      <c r="Q57" s="208">
        <v>53153272</v>
      </c>
      <c r="R57" s="187" t="s">
        <v>192</v>
      </c>
      <c r="S57" s="187" t="s">
        <v>790</v>
      </c>
      <c r="T57" s="187" t="s">
        <v>751</v>
      </c>
      <c r="U57" s="187" t="s">
        <v>1054</v>
      </c>
    </row>
    <row r="58" spans="2:21" x14ac:dyDescent="0.2">
      <c r="B58" s="187">
        <v>53</v>
      </c>
      <c r="C58" s="188" t="s">
        <v>195</v>
      </c>
      <c r="D58" s="188" t="s">
        <v>194</v>
      </c>
      <c r="E58" s="208">
        <v>89830097</v>
      </c>
      <c r="F58" s="208">
        <v>4121246</v>
      </c>
      <c r="G58" s="208">
        <v>0</v>
      </c>
      <c r="H58" s="208">
        <v>227084</v>
      </c>
      <c r="I58" s="208">
        <v>0</v>
      </c>
      <c r="J58" s="208">
        <v>227084</v>
      </c>
      <c r="K58" s="208">
        <v>0</v>
      </c>
      <c r="L58" s="208">
        <v>0</v>
      </c>
      <c r="M58" s="208">
        <v>499631</v>
      </c>
      <c r="N58" s="208">
        <v>261758</v>
      </c>
      <c r="O58" s="208">
        <v>237873</v>
      </c>
      <c r="P58" s="208">
        <v>0</v>
      </c>
      <c r="Q58" s="208">
        <v>93224628</v>
      </c>
      <c r="R58" s="187" t="s">
        <v>194</v>
      </c>
      <c r="S58" s="187" t="s">
        <v>770</v>
      </c>
      <c r="T58" s="187" t="s">
        <v>751</v>
      </c>
      <c r="U58" s="187" t="s">
        <v>1054</v>
      </c>
    </row>
    <row r="59" spans="2:21" x14ac:dyDescent="0.2">
      <c r="B59" s="187">
        <v>54</v>
      </c>
      <c r="C59" s="188" t="s">
        <v>197</v>
      </c>
      <c r="D59" s="188" t="s">
        <v>196</v>
      </c>
      <c r="E59" s="208">
        <v>137339542</v>
      </c>
      <c r="F59" s="208">
        <v>0</v>
      </c>
      <c r="G59" s="208">
        <v>869941</v>
      </c>
      <c r="H59" s="208">
        <v>566053</v>
      </c>
      <c r="I59" s="208">
        <v>0</v>
      </c>
      <c r="J59" s="208">
        <v>566053</v>
      </c>
      <c r="K59" s="208">
        <v>0</v>
      </c>
      <c r="L59" s="208">
        <v>175012</v>
      </c>
      <c r="M59" s="208">
        <v>129799</v>
      </c>
      <c r="N59" s="208">
        <v>129799</v>
      </c>
      <c r="O59" s="208">
        <v>0</v>
      </c>
      <c r="P59" s="208">
        <v>0</v>
      </c>
      <c r="Q59" s="208">
        <v>135598737</v>
      </c>
      <c r="R59" s="187" t="s">
        <v>196</v>
      </c>
      <c r="S59" s="187" t="s">
        <v>742</v>
      </c>
      <c r="T59" s="187" t="s">
        <v>780</v>
      </c>
      <c r="U59" s="187" t="s">
        <v>742</v>
      </c>
    </row>
    <row r="60" spans="2:21" x14ac:dyDescent="0.2">
      <c r="B60" s="187">
        <v>55</v>
      </c>
      <c r="C60" s="188" t="s">
        <v>199</v>
      </c>
      <c r="D60" s="188" t="s">
        <v>855</v>
      </c>
      <c r="E60" s="208">
        <v>148510680</v>
      </c>
      <c r="F60" s="208">
        <v>0</v>
      </c>
      <c r="G60" s="208">
        <v>10861860</v>
      </c>
      <c r="H60" s="208">
        <v>478716</v>
      </c>
      <c r="I60" s="208">
        <v>0</v>
      </c>
      <c r="J60" s="208">
        <v>478716</v>
      </c>
      <c r="K60" s="208">
        <v>0</v>
      </c>
      <c r="L60" s="208">
        <v>20209</v>
      </c>
      <c r="M60" s="208">
        <v>585489</v>
      </c>
      <c r="N60" s="208">
        <v>585489</v>
      </c>
      <c r="O60" s="208">
        <v>0</v>
      </c>
      <c r="P60" s="208">
        <v>0</v>
      </c>
      <c r="Q60" s="208">
        <v>136564406</v>
      </c>
      <c r="R60" s="187" t="s">
        <v>855</v>
      </c>
      <c r="S60" s="187" t="s">
        <v>742</v>
      </c>
      <c r="T60" s="187" t="s">
        <v>780</v>
      </c>
      <c r="U60" s="187" t="s">
        <v>742</v>
      </c>
    </row>
    <row r="61" spans="2:21" x14ac:dyDescent="0.2">
      <c r="B61" s="187">
        <v>56</v>
      </c>
      <c r="C61" s="188" t="s">
        <v>201</v>
      </c>
      <c r="D61" s="188" t="s">
        <v>200</v>
      </c>
      <c r="E61" s="208">
        <v>38894706</v>
      </c>
      <c r="F61" s="208">
        <v>0</v>
      </c>
      <c r="G61" s="208">
        <v>163033</v>
      </c>
      <c r="H61" s="208">
        <v>164099</v>
      </c>
      <c r="I61" s="208">
        <v>0</v>
      </c>
      <c r="J61" s="208">
        <v>164099</v>
      </c>
      <c r="K61" s="208">
        <v>0</v>
      </c>
      <c r="L61" s="208">
        <v>1204152</v>
      </c>
      <c r="M61" s="208">
        <v>49882</v>
      </c>
      <c r="N61" s="208">
        <v>49882</v>
      </c>
      <c r="O61" s="208">
        <v>0</v>
      </c>
      <c r="P61" s="208">
        <v>0</v>
      </c>
      <c r="Q61" s="208">
        <v>37313540</v>
      </c>
      <c r="R61" s="187" t="s">
        <v>200</v>
      </c>
      <c r="S61" s="187" t="s">
        <v>807</v>
      </c>
      <c r="T61" s="187" t="s">
        <v>806</v>
      </c>
      <c r="U61" s="187" t="s">
        <v>1054</v>
      </c>
    </row>
    <row r="62" spans="2:21" x14ac:dyDescent="0.2">
      <c r="B62" s="187">
        <v>57</v>
      </c>
      <c r="C62" s="188" t="s">
        <v>203</v>
      </c>
      <c r="D62" s="188" t="s">
        <v>202</v>
      </c>
      <c r="E62" s="208">
        <v>47182694.609999992</v>
      </c>
      <c r="F62" s="208">
        <v>911615</v>
      </c>
      <c r="G62" s="208">
        <v>0</v>
      </c>
      <c r="H62" s="208">
        <v>198581</v>
      </c>
      <c r="I62" s="208">
        <v>0</v>
      </c>
      <c r="J62" s="208">
        <v>198581</v>
      </c>
      <c r="K62" s="208">
        <v>0</v>
      </c>
      <c r="L62" s="208">
        <v>0</v>
      </c>
      <c r="M62" s="208">
        <v>138566</v>
      </c>
      <c r="N62" s="208">
        <v>123492</v>
      </c>
      <c r="O62" s="208">
        <v>15074</v>
      </c>
      <c r="P62" s="208">
        <v>0</v>
      </c>
      <c r="Q62" s="208">
        <v>47757162.609999992</v>
      </c>
      <c r="R62" s="187" t="s">
        <v>202</v>
      </c>
      <c r="S62" s="187" t="s">
        <v>752</v>
      </c>
      <c r="T62" s="187" t="s">
        <v>751</v>
      </c>
      <c r="U62" s="187" t="s">
        <v>1054</v>
      </c>
    </row>
    <row r="63" spans="2:21" x14ac:dyDescent="0.2">
      <c r="B63" s="187">
        <v>58</v>
      </c>
      <c r="C63" s="188" t="s">
        <v>205</v>
      </c>
      <c r="D63" s="188" t="s">
        <v>204</v>
      </c>
      <c r="E63" s="208">
        <v>21027631</v>
      </c>
      <c r="F63" s="208">
        <v>640414</v>
      </c>
      <c r="G63" s="208">
        <v>0</v>
      </c>
      <c r="H63" s="208">
        <v>110239</v>
      </c>
      <c r="I63" s="208">
        <v>0</v>
      </c>
      <c r="J63" s="208">
        <v>110239</v>
      </c>
      <c r="K63" s="208">
        <v>0</v>
      </c>
      <c r="L63" s="208">
        <v>0</v>
      </c>
      <c r="M63" s="208">
        <v>0</v>
      </c>
      <c r="N63" s="208">
        <v>0</v>
      </c>
      <c r="O63" s="208">
        <v>0</v>
      </c>
      <c r="P63" s="208">
        <v>0</v>
      </c>
      <c r="Q63" s="208">
        <v>21557806</v>
      </c>
      <c r="R63" s="187" t="s">
        <v>204</v>
      </c>
      <c r="S63" s="187" t="s">
        <v>750</v>
      </c>
      <c r="T63" s="187" t="s">
        <v>749</v>
      </c>
      <c r="U63" s="187" t="s">
        <v>1054</v>
      </c>
    </row>
    <row r="64" spans="2:21" x14ac:dyDescent="0.2">
      <c r="B64" s="187">
        <v>59</v>
      </c>
      <c r="C64" s="188" t="s">
        <v>207</v>
      </c>
      <c r="D64" s="188" t="s">
        <v>206</v>
      </c>
      <c r="E64" s="208">
        <v>25101225</v>
      </c>
      <c r="F64" s="208">
        <v>0</v>
      </c>
      <c r="G64" s="208">
        <v>990077</v>
      </c>
      <c r="H64" s="208">
        <v>130263</v>
      </c>
      <c r="I64" s="208">
        <v>0</v>
      </c>
      <c r="J64" s="208">
        <v>130263</v>
      </c>
      <c r="K64" s="208">
        <v>0</v>
      </c>
      <c r="L64" s="208">
        <v>0</v>
      </c>
      <c r="M64" s="208">
        <v>0</v>
      </c>
      <c r="N64" s="208">
        <v>0</v>
      </c>
      <c r="O64" s="208">
        <v>0</v>
      </c>
      <c r="P64" s="208">
        <v>0</v>
      </c>
      <c r="Q64" s="208">
        <v>23980885</v>
      </c>
      <c r="R64" s="187" t="s">
        <v>206</v>
      </c>
      <c r="S64" s="187" t="s">
        <v>748</v>
      </c>
      <c r="T64" s="187" t="s">
        <v>747</v>
      </c>
      <c r="U64" s="187" t="s">
        <v>1054</v>
      </c>
    </row>
    <row r="65" spans="1:21" x14ac:dyDescent="0.2">
      <c r="B65" s="187">
        <v>60</v>
      </c>
      <c r="C65" s="188" t="s">
        <v>209</v>
      </c>
      <c r="D65" s="188" t="s">
        <v>208</v>
      </c>
      <c r="E65" s="208">
        <v>20951178</v>
      </c>
      <c r="F65" s="208">
        <v>20051</v>
      </c>
      <c r="G65" s="208">
        <v>0</v>
      </c>
      <c r="H65" s="208">
        <v>74984</v>
      </c>
      <c r="I65" s="208">
        <v>0</v>
      </c>
      <c r="J65" s="208">
        <v>74984</v>
      </c>
      <c r="K65" s="208">
        <v>0</v>
      </c>
      <c r="L65" s="208">
        <v>0</v>
      </c>
      <c r="M65" s="208">
        <v>210243</v>
      </c>
      <c r="N65" s="208">
        <v>210243</v>
      </c>
      <c r="O65" s="208">
        <v>0</v>
      </c>
      <c r="P65" s="208">
        <v>0</v>
      </c>
      <c r="Q65" s="208">
        <v>20686002</v>
      </c>
      <c r="R65" s="187" t="s">
        <v>208</v>
      </c>
      <c r="S65" s="187" t="s">
        <v>765</v>
      </c>
      <c r="T65" s="187" t="s">
        <v>764</v>
      </c>
      <c r="U65" s="187" t="s">
        <v>1054</v>
      </c>
    </row>
    <row r="66" spans="1:21" x14ac:dyDescent="0.2">
      <c r="B66" s="187">
        <v>61</v>
      </c>
      <c r="C66" s="188" t="s">
        <v>211</v>
      </c>
      <c r="D66" s="188" t="s">
        <v>210</v>
      </c>
      <c r="E66" s="208">
        <v>1185091367</v>
      </c>
      <c r="F66" s="208">
        <v>12705461</v>
      </c>
      <c r="G66" s="208">
        <v>0</v>
      </c>
      <c r="H66" s="208">
        <v>1982843</v>
      </c>
      <c r="I66" s="208">
        <v>0</v>
      </c>
      <c r="J66" s="208">
        <v>1982843</v>
      </c>
      <c r="K66" s="208">
        <v>11605000</v>
      </c>
      <c r="L66" s="208">
        <v>0</v>
      </c>
      <c r="M66" s="208">
        <v>0</v>
      </c>
      <c r="N66" s="208">
        <v>0</v>
      </c>
      <c r="O66" s="208">
        <v>0</v>
      </c>
      <c r="P66" s="208">
        <v>0</v>
      </c>
      <c r="Q66" s="208">
        <v>1184208985</v>
      </c>
      <c r="R66" s="187" t="s">
        <v>210</v>
      </c>
      <c r="S66" s="187" t="s">
        <v>854</v>
      </c>
      <c r="T66" s="187" t="s">
        <v>743</v>
      </c>
      <c r="U66" s="187" t="s">
        <v>1057</v>
      </c>
    </row>
    <row r="67" spans="1:21" x14ac:dyDescent="0.2">
      <c r="B67" s="187">
        <v>62</v>
      </c>
      <c r="C67" s="188" t="s">
        <v>213</v>
      </c>
      <c r="D67" s="188" t="s">
        <v>212</v>
      </c>
      <c r="E67" s="208">
        <v>59988583</v>
      </c>
      <c r="F67" s="208">
        <v>0</v>
      </c>
      <c r="G67" s="208">
        <v>523677</v>
      </c>
      <c r="H67" s="208">
        <v>237632</v>
      </c>
      <c r="I67" s="208">
        <v>0</v>
      </c>
      <c r="J67" s="208">
        <v>237632</v>
      </c>
      <c r="K67" s="208">
        <v>0</v>
      </c>
      <c r="L67" s="208">
        <v>0</v>
      </c>
      <c r="M67" s="208">
        <v>0</v>
      </c>
      <c r="N67" s="208">
        <v>0</v>
      </c>
      <c r="O67" s="208">
        <v>0</v>
      </c>
      <c r="P67" s="208">
        <v>0</v>
      </c>
      <c r="Q67" s="208">
        <v>59227274</v>
      </c>
      <c r="R67" s="187" t="s">
        <v>212</v>
      </c>
      <c r="S67" s="187" t="s">
        <v>784</v>
      </c>
      <c r="T67" s="187" t="s">
        <v>783</v>
      </c>
      <c r="U67" s="187" t="s">
        <v>1054</v>
      </c>
    </row>
    <row r="68" spans="1:21" x14ac:dyDescent="0.2">
      <c r="A68" s="187" t="s">
        <v>1811</v>
      </c>
      <c r="B68" s="187">
        <v>63</v>
      </c>
      <c r="C68" s="188" t="s">
        <v>215</v>
      </c>
      <c r="D68" s="188" t="s">
        <v>214</v>
      </c>
      <c r="E68" s="208">
        <v>44331367</v>
      </c>
      <c r="F68" s="208">
        <v>0</v>
      </c>
      <c r="G68" s="208">
        <v>5336483</v>
      </c>
      <c r="H68" s="208">
        <v>102511</v>
      </c>
      <c r="I68" s="208">
        <v>0</v>
      </c>
      <c r="J68" s="208">
        <v>102511</v>
      </c>
      <c r="K68" s="208">
        <v>0</v>
      </c>
      <c r="L68" s="208">
        <v>0</v>
      </c>
      <c r="M68" s="208">
        <v>35220</v>
      </c>
      <c r="N68" s="208">
        <v>35220</v>
      </c>
      <c r="O68" s="208">
        <v>0</v>
      </c>
      <c r="P68" s="208">
        <v>0</v>
      </c>
      <c r="Q68" s="208">
        <v>38857153</v>
      </c>
      <c r="R68" s="187" t="s">
        <v>214</v>
      </c>
      <c r="S68" s="187" t="s">
        <v>803</v>
      </c>
      <c r="T68" s="187" t="s">
        <v>751</v>
      </c>
      <c r="U68" s="187" t="s">
        <v>1054</v>
      </c>
    </row>
    <row r="69" spans="1:21" x14ac:dyDescent="0.2">
      <c r="A69" s="188" t="s">
        <v>1817</v>
      </c>
      <c r="B69" s="187">
        <v>64</v>
      </c>
      <c r="C69" s="188" t="s">
        <v>217</v>
      </c>
      <c r="D69" s="188" t="s">
        <v>216</v>
      </c>
      <c r="E69" s="208">
        <v>37553576</v>
      </c>
      <c r="F69" s="208">
        <v>0</v>
      </c>
      <c r="G69" s="208">
        <v>635646</v>
      </c>
      <c r="H69" s="208">
        <v>88006</v>
      </c>
      <c r="I69" s="208">
        <v>0</v>
      </c>
      <c r="J69" s="208">
        <v>88006</v>
      </c>
      <c r="K69" s="208">
        <v>0</v>
      </c>
      <c r="L69" s="208">
        <v>0</v>
      </c>
      <c r="M69" s="208">
        <v>0</v>
      </c>
      <c r="N69" s="208">
        <v>0</v>
      </c>
      <c r="O69" s="208">
        <v>0</v>
      </c>
      <c r="P69" s="208">
        <v>0</v>
      </c>
      <c r="Q69" s="208">
        <v>36829924</v>
      </c>
      <c r="R69" s="187" t="s">
        <v>216</v>
      </c>
      <c r="S69" s="187" t="s">
        <v>775</v>
      </c>
      <c r="T69" s="187" t="s">
        <v>751</v>
      </c>
      <c r="U69" s="187" t="s">
        <v>1054</v>
      </c>
    </row>
    <row r="70" spans="1:21" x14ac:dyDescent="0.2">
      <c r="B70" s="187">
        <v>65</v>
      </c>
      <c r="C70" s="188" t="s">
        <v>219</v>
      </c>
      <c r="D70" s="188" t="s">
        <v>218</v>
      </c>
      <c r="E70" s="208">
        <v>157828857</v>
      </c>
      <c r="F70" s="208">
        <v>42129</v>
      </c>
      <c r="G70" s="208">
        <v>0</v>
      </c>
      <c r="H70" s="208">
        <v>1125959</v>
      </c>
      <c r="I70" s="208">
        <v>0</v>
      </c>
      <c r="J70" s="208">
        <v>1125959</v>
      </c>
      <c r="K70" s="208">
        <v>0</v>
      </c>
      <c r="L70" s="208">
        <v>134760</v>
      </c>
      <c r="M70" s="208">
        <v>1570086</v>
      </c>
      <c r="N70" s="208">
        <v>1570086</v>
      </c>
      <c r="O70" s="208">
        <v>0</v>
      </c>
      <c r="P70" s="208">
        <v>0</v>
      </c>
      <c r="Q70" s="208">
        <v>155040181</v>
      </c>
      <c r="R70" s="187" t="s">
        <v>218</v>
      </c>
      <c r="S70" s="187" t="s">
        <v>742</v>
      </c>
      <c r="T70" s="187" t="s">
        <v>751</v>
      </c>
      <c r="U70" s="187" t="s">
        <v>742</v>
      </c>
    </row>
    <row r="71" spans="1:21" x14ac:dyDescent="0.2">
      <c r="B71" s="187">
        <v>66</v>
      </c>
      <c r="C71" s="188" t="s">
        <v>221</v>
      </c>
      <c r="D71" s="188" t="s">
        <v>220</v>
      </c>
      <c r="E71" s="208">
        <v>31560624</v>
      </c>
      <c r="F71" s="208">
        <v>826436</v>
      </c>
      <c r="G71" s="208">
        <v>0</v>
      </c>
      <c r="H71" s="208">
        <v>179327</v>
      </c>
      <c r="I71" s="208">
        <v>0</v>
      </c>
      <c r="J71" s="208">
        <v>179327</v>
      </c>
      <c r="K71" s="208">
        <v>0</v>
      </c>
      <c r="L71" s="208">
        <v>0</v>
      </c>
      <c r="M71" s="208">
        <v>83627</v>
      </c>
      <c r="N71" s="208">
        <v>83627</v>
      </c>
      <c r="O71" s="208">
        <v>0</v>
      </c>
      <c r="P71" s="208">
        <v>0</v>
      </c>
      <c r="Q71" s="208">
        <v>32124106</v>
      </c>
      <c r="R71" s="187" t="s">
        <v>220</v>
      </c>
      <c r="S71" s="187" t="s">
        <v>790</v>
      </c>
      <c r="T71" s="187" t="s">
        <v>751</v>
      </c>
      <c r="U71" s="187" t="s">
        <v>1054</v>
      </c>
    </row>
    <row r="72" spans="1:21" x14ac:dyDescent="0.2">
      <c r="B72" s="187">
        <v>67</v>
      </c>
      <c r="C72" s="188" t="s">
        <v>223</v>
      </c>
      <c r="D72" s="188" t="s">
        <v>222</v>
      </c>
      <c r="E72" s="208">
        <v>119337743</v>
      </c>
      <c r="F72" s="208">
        <v>0</v>
      </c>
      <c r="G72" s="208">
        <v>2994289</v>
      </c>
      <c r="H72" s="208">
        <v>375121</v>
      </c>
      <c r="I72" s="208">
        <v>0</v>
      </c>
      <c r="J72" s="208">
        <v>375121</v>
      </c>
      <c r="K72" s="208">
        <v>0</v>
      </c>
      <c r="L72" s="208">
        <v>0</v>
      </c>
      <c r="M72" s="208">
        <v>0</v>
      </c>
      <c r="N72" s="208">
        <v>0</v>
      </c>
      <c r="O72" s="208">
        <v>0</v>
      </c>
      <c r="P72" s="208">
        <v>0</v>
      </c>
      <c r="Q72" s="208">
        <v>115968333</v>
      </c>
      <c r="R72" s="187" t="s">
        <v>222</v>
      </c>
      <c r="S72" s="187" t="s">
        <v>754</v>
      </c>
      <c r="T72" s="187" t="s">
        <v>753</v>
      </c>
      <c r="U72" s="187" t="s">
        <v>1056</v>
      </c>
    </row>
    <row r="73" spans="1:21" x14ac:dyDescent="0.2">
      <c r="B73" s="187">
        <v>68</v>
      </c>
      <c r="C73" s="188" t="s">
        <v>225</v>
      </c>
      <c r="D73" s="188" t="s">
        <v>224</v>
      </c>
      <c r="E73" s="208">
        <v>18312843</v>
      </c>
      <c r="F73" s="208">
        <v>362849</v>
      </c>
      <c r="G73" s="208">
        <v>0</v>
      </c>
      <c r="H73" s="208">
        <v>116449</v>
      </c>
      <c r="I73" s="208">
        <v>0</v>
      </c>
      <c r="J73" s="208">
        <v>116449</v>
      </c>
      <c r="K73" s="208">
        <v>0</v>
      </c>
      <c r="L73" s="208">
        <v>0</v>
      </c>
      <c r="M73" s="208">
        <v>0</v>
      </c>
      <c r="N73" s="208">
        <v>0</v>
      </c>
      <c r="O73" s="208">
        <v>0</v>
      </c>
      <c r="P73" s="208">
        <v>0</v>
      </c>
      <c r="Q73" s="208">
        <v>18559243</v>
      </c>
      <c r="R73" s="187" t="s">
        <v>224</v>
      </c>
      <c r="S73" s="187" t="s">
        <v>812</v>
      </c>
      <c r="T73" s="187" t="s">
        <v>741</v>
      </c>
      <c r="U73" s="187" t="s">
        <v>1054</v>
      </c>
    </row>
    <row r="74" spans="1:21" x14ac:dyDescent="0.2">
      <c r="B74" s="187">
        <v>69</v>
      </c>
      <c r="C74" s="188" t="s">
        <v>227</v>
      </c>
      <c r="D74" s="188" t="s">
        <v>226</v>
      </c>
      <c r="E74" s="208">
        <v>122158576</v>
      </c>
      <c r="F74" s="208">
        <v>0</v>
      </c>
      <c r="G74" s="208">
        <v>2344960</v>
      </c>
      <c r="H74" s="208">
        <v>201945</v>
      </c>
      <c r="I74" s="208">
        <v>0</v>
      </c>
      <c r="J74" s="208">
        <v>201945</v>
      </c>
      <c r="K74" s="208">
        <v>0</v>
      </c>
      <c r="L74" s="208">
        <v>0</v>
      </c>
      <c r="M74" s="208">
        <v>4800</v>
      </c>
      <c r="N74" s="208">
        <v>4800</v>
      </c>
      <c r="O74" s="208">
        <v>0</v>
      </c>
      <c r="P74" s="208">
        <v>0</v>
      </c>
      <c r="Q74" s="208">
        <v>119606871</v>
      </c>
      <c r="R74" s="187" t="s">
        <v>226</v>
      </c>
      <c r="S74" s="187" t="s">
        <v>752</v>
      </c>
      <c r="T74" s="187" t="s">
        <v>751</v>
      </c>
      <c r="U74" s="187" t="s">
        <v>1054</v>
      </c>
    </row>
    <row r="75" spans="1:21" x14ac:dyDescent="0.2">
      <c r="B75" s="187">
        <v>70</v>
      </c>
      <c r="C75" s="188" t="s">
        <v>229</v>
      </c>
      <c r="D75" s="188" t="s">
        <v>228</v>
      </c>
      <c r="E75" s="208">
        <v>126138642</v>
      </c>
      <c r="F75" s="208">
        <v>5316587</v>
      </c>
      <c r="G75" s="208">
        <v>0</v>
      </c>
      <c r="H75" s="208">
        <v>425727</v>
      </c>
      <c r="I75" s="208">
        <v>0</v>
      </c>
      <c r="J75" s="208">
        <v>425727</v>
      </c>
      <c r="K75" s="208">
        <v>0</v>
      </c>
      <c r="L75" s="208">
        <v>2511947</v>
      </c>
      <c r="M75" s="208">
        <v>0</v>
      </c>
      <c r="N75" s="208">
        <v>0</v>
      </c>
      <c r="O75" s="208">
        <v>0</v>
      </c>
      <c r="P75" s="208">
        <v>0</v>
      </c>
      <c r="Q75" s="208">
        <v>128517555</v>
      </c>
      <c r="R75" s="187" t="s">
        <v>228</v>
      </c>
      <c r="S75" s="187" t="s">
        <v>767</v>
      </c>
      <c r="T75" s="187" t="s">
        <v>743</v>
      </c>
      <c r="U75" s="187" t="s">
        <v>1055</v>
      </c>
    </row>
    <row r="76" spans="1:21" x14ac:dyDescent="0.2">
      <c r="B76" s="187">
        <v>71</v>
      </c>
      <c r="C76" s="188" t="s">
        <v>231</v>
      </c>
      <c r="D76" s="188" t="s">
        <v>230</v>
      </c>
      <c r="E76" s="208">
        <v>63707184</v>
      </c>
      <c r="F76" s="208">
        <v>40277</v>
      </c>
      <c r="G76" s="208">
        <v>0</v>
      </c>
      <c r="H76" s="208">
        <v>207800</v>
      </c>
      <c r="I76" s="208">
        <v>0</v>
      </c>
      <c r="J76" s="208">
        <v>207800</v>
      </c>
      <c r="K76" s="208">
        <v>0</v>
      </c>
      <c r="L76" s="208">
        <v>214115</v>
      </c>
      <c r="M76" s="208">
        <v>42783</v>
      </c>
      <c r="N76" s="208">
        <v>42783</v>
      </c>
      <c r="O76" s="208">
        <v>0</v>
      </c>
      <c r="P76" s="208">
        <v>0</v>
      </c>
      <c r="Q76" s="208">
        <v>63282763</v>
      </c>
      <c r="R76" s="187" t="s">
        <v>230</v>
      </c>
      <c r="S76" s="187" t="s">
        <v>774</v>
      </c>
      <c r="T76" s="187" t="s">
        <v>751</v>
      </c>
      <c r="U76" s="187" t="s">
        <v>1054</v>
      </c>
    </row>
    <row r="77" spans="1:21" x14ac:dyDescent="0.2">
      <c r="B77" s="187">
        <v>72</v>
      </c>
      <c r="C77" s="188" t="s">
        <v>233</v>
      </c>
      <c r="D77" s="188" t="s">
        <v>232</v>
      </c>
      <c r="E77" s="208">
        <v>33961182</v>
      </c>
      <c r="F77" s="208">
        <v>0</v>
      </c>
      <c r="G77" s="208">
        <v>2407299</v>
      </c>
      <c r="H77" s="208">
        <v>144093</v>
      </c>
      <c r="I77" s="208">
        <v>0</v>
      </c>
      <c r="J77" s="208">
        <v>144093</v>
      </c>
      <c r="K77" s="208">
        <v>0</v>
      </c>
      <c r="L77" s="208">
        <v>203084</v>
      </c>
      <c r="M77" s="208">
        <v>0</v>
      </c>
      <c r="N77" s="208">
        <v>0</v>
      </c>
      <c r="O77" s="208">
        <v>0</v>
      </c>
      <c r="P77" s="208">
        <v>0</v>
      </c>
      <c r="Q77" s="208">
        <v>31206706</v>
      </c>
      <c r="R77" s="187" t="s">
        <v>853</v>
      </c>
      <c r="S77" s="187" t="s">
        <v>742</v>
      </c>
      <c r="T77" s="187" t="s">
        <v>851</v>
      </c>
      <c r="U77" s="187" t="s">
        <v>742</v>
      </c>
    </row>
    <row r="78" spans="1:21" x14ac:dyDescent="0.2">
      <c r="B78" s="187">
        <v>73</v>
      </c>
      <c r="C78" s="188" t="s">
        <v>235</v>
      </c>
      <c r="D78" s="188" t="s">
        <v>234</v>
      </c>
      <c r="E78" s="208">
        <v>89322747</v>
      </c>
      <c r="F78" s="208">
        <v>0</v>
      </c>
      <c r="G78" s="208">
        <v>4258832</v>
      </c>
      <c r="H78" s="208">
        <v>172215</v>
      </c>
      <c r="I78" s="208">
        <v>0</v>
      </c>
      <c r="J78" s="208">
        <v>172215</v>
      </c>
      <c r="K78" s="208">
        <v>0</v>
      </c>
      <c r="L78" s="208">
        <v>0</v>
      </c>
      <c r="M78" s="208">
        <v>0</v>
      </c>
      <c r="N78" s="208">
        <v>0</v>
      </c>
      <c r="O78" s="208">
        <v>0</v>
      </c>
      <c r="P78" s="208">
        <v>0</v>
      </c>
      <c r="Q78" s="208">
        <v>84891700</v>
      </c>
      <c r="R78" s="187" t="s">
        <v>234</v>
      </c>
      <c r="S78" s="187" t="s">
        <v>786</v>
      </c>
      <c r="T78" s="187" t="s">
        <v>785</v>
      </c>
      <c r="U78" s="187" t="s">
        <v>1054</v>
      </c>
    </row>
    <row r="79" spans="1:21" x14ac:dyDescent="0.2">
      <c r="B79" s="187">
        <v>74</v>
      </c>
      <c r="C79" s="188" t="s">
        <v>237</v>
      </c>
      <c r="D79" s="188" t="s">
        <v>236</v>
      </c>
      <c r="E79" s="208">
        <v>45830039</v>
      </c>
      <c r="F79" s="208">
        <v>0</v>
      </c>
      <c r="G79" s="208">
        <v>442368</v>
      </c>
      <c r="H79" s="208">
        <v>119221</v>
      </c>
      <c r="I79" s="208">
        <v>0</v>
      </c>
      <c r="J79" s="208">
        <v>119221</v>
      </c>
      <c r="K79" s="208">
        <v>0</v>
      </c>
      <c r="L79" s="208">
        <v>0</v>
      </c>
      <c r="M79" s="208">
        <v>674296</v>
      </c>
      <c r="N79" s="208">
        <v>674296</v>
      </c>
      <c r="O79" s="208">
        <v>0</v>
      </c>
      <c r="P79" s="208">
        <v>0</v>
      </c>
      <c r="Q79" s="208">
        <v>44594154</v>
      </c>
      <c r="R79" s="187" t="s">
        <v>236</v>
      </c>
      <c r="S79" s="187" t="s">
        <v>775</v>
      </c>
      <c r="T79" s="187" t="s">
        <v>751</v>
      </c>
      <c r="U79" s="187" t="s">
        <v>1054</v>
      </c>
    </row>
    <row r="80" spans="1:21" x14ac:dyDescent="0.2">
      <c r="B80" s="187">
        <v>75</v>
      </c>
      <c r="C80" s="188" t="s">
        <v>239</v>
      </c>
      <c r="D80" s="188" t="s">
        <v>238</v>
      </c>
      <c r="E80" s="208">
        <v>87690745</v>
      </c>
      <c r="F80" s="208">
        <v>1606592</v>
      </c>
      <c r="G80" s="208">
        <v>0</v>
      </c>
      <c r="H80" s="208">
        <v>318634</v>
      </c>
      <c r="I80" s="208">
        <v>0</v>
      </c>
      <c r="J80" s="208">
        <v>318634</v>
      </c>
      <c r="K80" s="208">
        <v>0</v>
      </c>
      <c r="L80" s="208">
        <v>120053</v>
      </c>
      <c r="M80" s="208">
        <v>729538</v>
      </c>
      <c r="N80" s="208">
        <v>729538</v>
      </c>
      <c r="O80" s="208">
        <v>0</v>
      </c>
      <c r="P80" s="208">
        <v>0</v>
      </c>
      <c r="Q80" s="208">
        <v>88129112</v>
      </c>
      <c r="R80" s="187" t="s">
        <v>852</v>
      </c>
      <c r="S80" s="187" t="s">
        <v>742</v>
      </c>
      <c r="T80" s="187" t="s">
        <v>806</v>
      </c>
      <c r="U80" s="187" t="s">
        <v>742</v>
      </c>
    </row>
    <row r="81" spans="1:21" x14ac:dyDescent="0.2">
      <c r="B81" s="187">
        <v>76</v>
      </c>
      <c r="C81" s="188" t="s">
        <v>241</v>
      </c>
      <c r="D81" s="188" t="s">
        <v>240</v>
      </c>
      <c r="E81" s="208">
        <v>18393208</v>
      </c>
      <c r="F81" s="208">
        <v>1550294</v>
      </c>
      <c r="G81" s="208">
        <v>0</v>
      </c>
      <c r="H81" s="208">
        <v>146820</v>
      </c>
      <c r="I81" s="208">
        <v>0</v>
      </c>
      <c r="J81" s="208">
        <v>146820</v>
      </c>
      <c r="K81" s="208">
        <v>0</v>
      </c>
      <c r="L81" s="208">
        <v>0</v>
      </c>
      <c r="M81" s="208">
        <v>156767</v>
      </c>
      <c r="N81" s="208">
        <v>156767</v>
      </c>
      <c r="O81" s="208">
        <v>0</v>
      </c>
      <c r="P81" s="208">
        <v>0</v>
      </c>
      <c r="Q81" s="208">
        <v>19639915</v>
      </c>
      <c r="R81" s="187" t="s">
        <v>240</v>
      </c>
      <c r="S81" s="187" t="s">
        <v>807</v>
      </c>
      <c r="T81" s="187" t="s">
        <v>806</v>
      </c>
      <c r="U81" s="187" t="s">
        <v>1054</v>
      </c>
    </row>
    <row r="82" spans="1:21" x14ac:dyDescent="0.2">
      <c r="B82" s="187">
        <v>77</v>
      </c>
      <c r="C82" s="188" t="s">
        <v>243</v>
      </c>
      <c r="D82" s="188" t="s">
        <v>242</v>
      </c>
      <c r="E82" s="208">
        <v>95638686</v>
      </c>
      <c r="F82" s="208">
        <v>0</v>
      </c>
      <c r="G82" s="208">
        <v>1404321</v>
      </c>
      <c r="H82" s="208">
        <v>372424</v>
      </c>
      <c r="I82" s="208">
        <v>0</v>
      </c>
      <c r="J82" s="208">
        <v>372424</v>
      </c>
      <c r="K82" s="208">
        <v>0</v>
      </c>
      <c r="L82" s="208">
        <v>0</v>
      </c>
      <c r="M82" s="208">
        <v>176028</v>
      </c>
      <c r="N82" s="208">
        <v>176028</v>
      </c>
      <c r="O82" s="208">
        <v>0</v>
      </c>
      <c r="P82" s="208">
        <v>0</v>
      </c>
      <c r="Q82" s="208">
        <v>93685913</v>
      </c>
      <c r="R82" s="187" t="s">
        <v>242</v>
      </c>
      <c r="S82" s="187" t="s">
        <v>754</v>
      </c>
      <c r="T82" s="187" t="s">
        <v>811</v>
      </c>
      <c r="U82" s="187" t="s">
        <v>1056</v>
      </c>
    </row>
    <row r="83" spans="1:21" x14ac:dyDescent="0.2">
      <c r="B83" s="187">
        <v>78</v>
      </c>
      <c r="C83" s="188" t="s">
        <v>245</v>
      </c>
      <c r="D83" s="188" t="s">
        <v>244</v>
      </c>
      <c r="E83" s="208">
        <v>40605871</v>
      </c>
      <c r="F83" s="208">
        <v>0</v>
      </c>
      <c r="G83" s="208">
        <v>581436</v>
      </c>
      <c r="H83" s="208">
        <v>159573</v>
      </c>
      <c r="I83" s="208">
        <v>0</v>
      </c>
      <c r="J83" s="208">
        <v>159573</v>
      </c>
      <c r="K83" s="208">
        <v>0</v>
      </c>
      <c r="L83" s="208">
        <v>0</v>
      </c>
      <c r="M83" s="208">
        <v>303313</v>
      </c>
      <c r="N83" s="208">
        <v>303313</v>
      </c>
      <c r="O83" s="208">
        <v>0</v>
      </c>
      <c r="P83" s="208">
        <v>0</v>
      </c>
      <c r="Q83" s="208">
        <v>39561549</v>
      </c>
      <c r="R83" s="187" t="s">
        <v>244</v>
      </c>
      <c r="S83" s="187" t="s">
        <v>786</v>
      </c>
      <c r="T83" s="187" t="s">
        <v>785</v>
      </c>
      <c r="U83" s="187" t="s">
        <v>1054</v>
      </c>
    </row>
    <row r="84" spans="1:21" x14ac:dyDescent="0.2">
      <c r="B84" s="187">
        <v>79</v>
      </c>
      <c r="C84" s="188" t="s">
        <v>247</v>
      </c>
      <c r="D84" s="188" t="s">
        <v>246</v>
      </c>
      <c r="E84" s="208">
        <v>87717768</v>
      </c>
      <c r="F84" s="208">
        <v>0</v>
      </c>
      <c r="G84" s="208">
        <v>2006534</v>
      </c>
      <c r="H84" s="208">
        <v>420256</v>
      </c>
      <c r="I84" s="208">
        <v>0</v>
      </c>
      <c r="J84" s="208">
        <v>420256</v>
      </c>
      <c r="K84" s="208">
        <v>0</v>
      </c>
      <c r="L84" s="208">
        <v>0</v>
      </c>
      <c r="M84" s="208">
        <v>0</v>
      </c>
      <c r="N84" s="208">
        <v>0</v>
      </c>
      <c r="O84" s="208">
        <v>0</v>
      </c>
      <c r="P84" s="208">
        <v>0</v>
      </c>
      <c r="Q84" s="208">
        <v>85290978</v>
      </c>
      <c r="R84" s="187" t="s">
        <v>246</v>
      </c>
      <c r="S84" s="187" t="s">
        <v>754</v>
      </c>
      <c r="T84" s="187" t="s">
        <v>753</v>
      </c>
      <c r="U84" s="187" t="s">
        <v>1056</v>
      </c>
    </row>
    <row r="85" spans="1:21" x14ac:dyDescent="0.2">
      <c r="B85" s="187">
        <v>80</v>
      </c>
      <c r="C85" s="188" t="s">
        <v>249</v>
      </c>
      <c r="D85" s="188" t="s">
        <v>248</v>
      </c>
      <c r="E85" s="208">
        <v>112827327</v>
      </c>
      <c r="F85" s="208">
        <v>0</v>
      </c>
      <c r="G85" s="208">
        <v>1897572</v>
      </c>
      <c r="H85" s="208">
        <v>586050</v>
      </c>
      <c r="I85" s="208">
        <v>0</v>
      </c>
      <c r="J85" s="208">
        <v>586050</v>
      </c>
      <c r="K85" s="208">
        <v>0</v>
      </c>
      <c r="L85" s="208">
        <v>0</v>
      </c>
      <c r="M85" s="208">
        <v>177655</v>
      </c>
      <c r="N85" s="208">
        <v>177655</v>
      </c>
      <c r="O85" s="208">
        <v>0</v>
      </c>
      <c r="P85" s="208">
        <v>0</v>
      </c>
      <c r="Q85" s="208">
        <v>110166050</v>
      </c>
      <c r="R85" s="187" t="s">
        <v>248</v>
      </c>
      <c r="S85" s="187" t="s">
        <v>742</v>
      </c>
      <c r="T85" s="187" t="s">
        <v>851</v>
      </c>
      <c r="U85" s="187" t="s">
        <v>742</v>
      </c>
    </row>
    <row r="86" spans="1:21" x14ac:dyDescent="0.2">
      <c r="B86" s="187">
        <v>81</v>
      </c>
      <c r="C86" s="188" t="s">
        <v>251</v>
      </c>
      <c r="D86" s="188" t="s">
        <v>250</v>
      </c>
      <c r="E86" s="208">
        <v>147453744</v>
      </c>
      <c r="F86" s="208">
        <v>2963471</v>
      </c>
      <c r="G86" s="208">
        <v>0</v>
      </c>
      <c r="H86" s="208">
        <v>498579</v>
      </c>
      <c r="I86" s="208">
        <v>0</v>
      </c>
      <c r="J86" s="208">
        <v>498579</v>
      </c>
      <c r="K86" s="208">
        <v>0</v>
      </c>
      <c r="L86" s="208">
        <v>0</v>
      </c>
      <c r="M86" s="208">
        <v>0</v>
      </c>
      <c r="N86" s="208">
        <v>0</v>
      </c>
      <c r="O86" s="208">
        <v>0</v>
      </c>
      <c r="P86" s="208">
        <v>0</v>
      </c>
      <c r="Q86" s="208">
        <v>149918636</v>
      </c>
      <c r="R86" s="187" t="s">
        <v>250</v>
      </c>
      <c r="S86" s="187" t="s">
        <v>767</v>
      </c>
      <c r="T86" s="187" t="s">
        <v>743</v>
      </c>
      <c r="U86" s="187" t="s">
        <v>1055</v>
      </c>
    </row>
    <row r="87" spans="1:21" x14ac:dyDescent="0.2">
      <c r="B87" s="187">
        <v>82</v>
      </c>
      <c r="C87" s="188" t="s">
        <v>253</v>
      </c>
      <c r="D87" s="188" t="s">
        <v>252</v>
      </c>
      <c r="E87" s="208">
        <v>20601412</v>
      </c>
      <c r="F87" s="208">
        <v>1146018</v>
      </c>
      <c r="G87" s="208">
        <v>0</v>
      </c>
      <c r="H87" s="208">
        <v>94722</v>
      </c>
      <c r="I87" s="208">
        <v>0</v>
      </c>
      <c r="J87" s="208">
        <v>94722</v>
      </c>
      <c r="K87" s="208">
        <v>0</v>
      </c>
      <c r="L87" s="208">
        <v>0</v>
      </c>
      <c r="M87" s="208">
        <v>840826</v>
      </c>
      <c r="N87" s="208">
        <v>840826</v>
      </c>
      <c r="O87" s="208">
        <v>0</v>
      </c>
      <c r="P87" s="208">
        <v>0</v>
      </c>
      <c r="Q87" s="208">
        <v>20811882</v>
      </c>
      <c r="R87" s="187" t="s">
        <v>252</v>
      </c>
      <c r="S87" s="187" t="s">
        <v>809</v>
      </c>
      <c r="T87" s="187" t="s">
        <v>808</v>
      </c>
      <c r="U87" s="187" t="s">
        <v>1054</v>
      </c>
    </row>
    <row r="88" spans="1:21" x14ac:dyDescent="0.2">
      <c r="B88" s="187">
        <v>83</v>
      </c>
      <c r="C88" s="188" t="s">
        <v>255</v>
      </c>
      <c r="D88" s="188" t="s">
        <v>254</v>
      </c>
      <c r="E88" s="208">
        <v>36886223</v>
      </c>
      <c r="F88" s="208">
        <v>400331</v>
      </c>
      <c r="G88" s="208">
        <v>0</v>
      </c>
      <c r="H88" s="208">
        <v>228623</v>
      </c>
      <c r="I88" s="208">
        <v>0</v>
      </c>
      <c r="J88" s="208">
        <v>228623</v>
      </c>
      <c r="K88" s="208">
        <v>0</v>
      </c>
      <c r="L88" s="208">
        <v>232987</v>
      </c>
      <c r="M88" s="208">
        <v>313813</v>
      </c>
      <c r="N88" s="208">
        <v>313813</v>
      </c>
      <c r="O88" s="208">
        <v>0</v>
      </c>
      <c r="P88" s="208">
        <v>0</v>
      </c>
      <c r="Q88" s="208">
        <v>36511131</v>
      </c>
      <c r="R88" s="187" t="s">
        <v>254</v>
      </c>
      <c r="S88" s="187" t="s">
        <v>772</v>
      </c>
      <c r="T88" s="187" t="s">
        <v>768</v>
      </c>
      <c r="U88" s="187" t="s">
        <v>1054</v>
      </c>
    </row>
    <row r="89" spans="1:21" x14ac:dyDescent="0.2">
      <c r="B89" s="187">
        <v>84</v>
      </c>
      <c r="C89" s="188" t="s">
        <v>257</v>
      </c>
      <c r="D89" s="188" t="s">
        <v>256</v>
      </c>
      <c r="E89" s="208">
        <v>21928772</v>
      </c>
      <c r="F89" s="208">
        <v>365759</v>
      </c>
      <c r="G89" s="208">
        <v>0</v>
      </c>
      <c r="H89" s="208">
        <v>107467</v>
      </c>
      <c r="I89" s="208">
        <v>0</v>
      </c>
      <c r="J89" s="208">
        <v>107467</v>
      </c>
      <c r="K89" s="208">
        <v>0</v>
      </c>
      <c r="L89" s="208">
        <v>0</v>
      </c>
      <c r="M89" s="208">
        <v>210243</v>
      </c>
      <c r="N89" s="208">
        <v>210243</v>
      </c>
      <c r="O89" s="208">
        <v>0</v>
      </c>
      <c r="P89" s="208">
        <v>0</v>
      </c>
      <c r="Q89" s="208">
        <v>21976821</v>
      </c>
      <c r="R89" s="187" t="s">
        <v>256</v>
      </c>
      <c r="S89" s="187" t="s">
        <v>765</v>
      </c>
      <c r="T89" s="187" t="s">
        <v>764</v>
      </c>
      <c r="U89" s="187" t="s">
        <v>1054</v>
      </c>
    </row>
    <row r="90" spans="1:21" x14ac:dyDescent="0.2">
      <c r="B90" s="187">
        <v>85</v>
      </c>
      <c r="C90" s="188" t="s">
        <v>259</v>
      </c>
      <c r="D90" s="188" t="s">
        <v>258</v>
      </c>
      <c r="E90" s="208">
        <v>29901694</v>
      </c>
      <c r="F90" s="208">
        <v>957487</v>
      </c>
      <c r="G90" s="208">
        <v>0</v>
      </c>
      <c r="H90" s="208">
        <v>154906</v>
      </c>
      <c r="I90" s="208">
        <v>0</v>
      </c>
      <c r="J90" s="208">
        <v>154906</v>
      </c>
      <c r="K90" s="208">
        <v>0</v>
      </c>
      <c r="L90" s="208">
        <v>37657</v>
      </c>
      <c r="M90" s="208">
        <v>0</v>
      </c>
      <c r="N90" s="208">
        <v>0</v>
      </c>
      <c r="O90" s="208">
        <v>0</v>
      </c>
      <c r="P90" s="208">
        <v>0</v>
      </c>
      <c r="Q90" s="208">
        <v>30666618</v>
      </c>
      <c r="R90" s="187" t="s">
        <v>258</v>
      </c>
      <c r="S90" s="187" t="s">
        <v>761</v>
      </c>
      <c r="T90" s="187" t="s">
        <v>760</v>
      </c>
      <c r="U90" s="187" t="s">
        <v>1054</v>
      </c>
    </row>
    <row r="91" spans="1:21" x14ac:dyDescent="0.2">
      <c r="B91" s="187">
        <v>86</v>
      </c>
      <c r="C91" s="188" t="s">
        <v>261</v>
      </c>
      <c r="D91" s="188" t="s">
        <v>260</v>
      </c>
      <c r="E91" s="208">
        <v>43179506</v>
      </c>
      <c r="F91" s="208">
        <v>607288</v>
      </c>
      <c r="G91" s="208">
        <v>0</v>
      </c>
      <c r="H91" s="208">
        <v>197610</v>
      </c>
      <c r="I91" s="208">
        <v>0</v>
      </c>
      <c r="J91" s="208">
        <v>197610</v>
      </c>
      <c r="K91" s="208">
        <v>0</v>
      </c>
      <c r="L91" s="208">
        <v>0</v>
      </c>
      <c r="M91" s="208">
        <v>0</v>
      </c>
      <c r="N91" s="208">
        <v>0</v>
      </c>
      <c r="O91" s="208">
        <v>0</v>
      </c>
      <c r="P91" s="208">
        <v>0</v>
      </c>
      <c r="Q91" s="208">
        <v>43589184</v>
      </c>
      <c r="R91" s="187" t="s">
        <v>260</v>
      </c>
      <c r="S91" s="187" t="s">
        <v>774</v>
      </c>
      <c r="T91" s="187" t="s">
        <v>751</v>
      </c>
      <c r="U91" s="187" t="s">
        <v>1054</v>
      </c>
    </row>
    <row r="92" spans="1:21" x14ac:dyDescent="0.2">
      <c r="B92" s="187">
        <v>87</v>
      </c>
      <c r="C92" s="188" t="s">
        <v>263</v>
      </c>
      <c r="D92" s="188" t="s">
        <v>262</v>
      </c>
      <c r="E92" s="208">
        <v>37321497</v>
      </c>
      <c r="F92" s="208">
        <v>1095310</v>
      </c>
      <c r="G92" s="208">
        <v>0</v>
      </c>
      <c r="H92" s="208">
        <v>264379</v>
      </c>
      <c r="I92" s="208">
        <v>0</v>
      </c>
      <c r="J92" s="208">
        <v>264379</v>
      </c>
      <c r="K92" s="208">
        <v>0</v>
      </c>
      <c r="L92" s="208">
        <v>0</v>
      </c>
      <c r="M92" s="208">
        <v>756684</v>
      </c>
      <c r="N92" s="208">
        <v>685164</v>
      </c>
      <c r="O92" s="208">
        <v>71520</v>
      </c>
      <c r="P92" s="208">
        <v>0</v>
      </c>
      <c r="Q92" s="208">
        <v>37395744</v>
      </c>
      <c r="R92" s="187" t="s">
        <v>262</v>
      </c>
      <c r="S92" s="187" t="s">
        <v>771</v>
      </c>
      <c r="T92" s="187" t="s">
        <v>751</v>
      </c>
      <c r="U92" s="187" t="s">
        <v>1054</v>
      </c>
    </row>
    <row r="93" spans="1:21" x14ac:dyDescent="0.2">
      <c r="A93" s="187" t="s">
        <v>1811</v>
      </c>
      <c r="B93" s="187">
        <v>88</v>
      </c>
      <c r="C93" s="188" t="s">
        <v>265</v>
      </c>
      <c r="D93" s="188" t="s">
        <v>264</v>
      </c>
      <c r="E93" s="208">
        <v>33622055</v>
      </c>
      <c r="F93" s="208">
        <v>0</v>
      </c>
      <c r="G93" s="208">
        <v>264332</v>
      </c>
      <c r="H93" s="208">
        <v>100875</v>
      </c>
      <c r="I93" s="208">
        <v>0</v>
      </c>
      <c r="J93" s="208">
        <v>100875</v>
      </c>
      <c r="K93" s="208">
        <v>0</v>
      </c>
      <c r="L93" s="208">
        <v>0</v>
      </c>
      <c r="M93" s="208">
        <v>445962</v>
      </c>
      <c r="N93" s="208">
        <v>445962</v>
      </c>
      <c r="O93" s="208">
        <v>0</v>
      </c>
      <c r="P93" s="208">
        <v>0</v>
      </c>
      <c r="Q93" s="208">
        <v>32810886</v>
      </c>
      <c r="R93" s="187" t="s">
        <v>264</v>
      </c>
      <c r="S93" s="187" t="s">
        <v>775</v>
      </c>
      <c r="T93" s="187" t="s">
        <v>751</v>
      </c>
      <c r="U93" s="187" t="s">
        <v>1054</v>
      </c>
    </row>
    <row r="94" spans="1:21" x14ac:dyDescent="0.2">
      <c r="B94" s="187">
        <v>89</v>
      </c>
      <c r="C94" s="188" t="s">
        <v>267</v>
      </c>
      <c r="D94" s="188" t="s">
        <v>266</v>
      </c>
      <c r="E94" s="208">
        <v>107177868</v>
      </c>
      <c r="F94" s="208">
        <v>0</v>
      </c>
      <c r="G94" s="208">
        <v>7585030</v>
      </c>
      <c r="H94" s="208">
        <v>434166</v>
      </c>
      <c r="I94" s="208">
        <v>0</v>
      </c>
      <c r="J94" s="208">
        <v>434166</v>
      </c>
      <c r="K94" s="208">
        <v>0</v>
      </c>
      <c r="L94" s="208">
        <v>0</v>
      </c>
      <c r="M94" s="208">
        <v>4614559</v>
      </c>
      <c r="N94" s="208">
        <v>4614559</v>
      </c>
      <c r="O94" s="208">
        <v>0</v>
      </c>
      <c r="P94" s="208">
        <v>0</v>
      </c>
      <c r="Q94" s="208">
        <v>94544113</v>
      </c>
      <c r="R94" s="187" t="s">
        <v>850</v>
      </c>
      <c r="S94" s="187" t="s">
        <v>742</v>
      </c>
      <c r="T94" s="187" t="s">
        <v>830</v>
      </c>
      <c r="U94" s="187" t="s">
        <v>742</v>
      </c>
    </row>
    <row r="95" spans="1:21" x14ac:dyDescent="0.2">
      <c r="B95" s="187">
        <v>90</v>
      </c>
      <c r="C95" s="188" t="s">
        <v>269</v>
      </c>
      <c r="D95" s="188" t="s">
        <v>268</v>
      </c>
      <c r="E95" s="208">
        <v>53215659</v>
      </c>
      <c r="F95" s="208">
        <v>0</v>
      </c>
      <c r="G95" s="208">
        <v>875135</v>
      </c>
      <c r="H95" s="208">
        <v>174671</v>
      </c>
      <c r="I95" s="208">
        <v>0</v>
      </c>
      <c r="J95" s="208">
        <v>174671</v>
      </c>
      <c r="K95" s="208">
        <v>0</v>
      </c>
      <c r="L95" s="208">
        <v>0</v>
      </c>
      <c r="M95" s="208">
        <v>0</v>
      </c>
      <c r="N95" s="208">
        <v>0</v>
      </c>
      <c r="O95" s="208">
        <v>0</v>
      </c>
      <c r="P95" s="208">
        <v>0</v>
      </c>
      <c r="Q95" s="208">
        <v>52165853</v>
      </c>
      <c r="R95" s="187" t="s">
        <v>268</v>
      </c>
      <c r="S95" s="187" t="s">
        <v>794</v>
      </c>
      <c r="T95" s="187" t="s">
        <v>793</v>
      </c>
      <c r="U95" s="187" t="s">
        <v>1054</v>
      </c>
    </row>
    <row r="96" spans="1:21" x14ac:dyDescent="0.2">
      <c r="A96" s="187" t="s">
        <v>1811</v>
      </c>
      <c r="B96" s="187">
        <v>91</v>
      </c>
      <c r="C96" s="188" t="s">
        <v>271</v>
      </c>
      <c r="D96" s="188" t="s">
        <v>270</v>
      </c>
      <c r="E96" s="208">
        <v>34161920</v>
      </c>
      <c r="F96" s="208">
        <v>574513</v>
      </c>
      <c r="G96" s="208">
        <v>0</v>
      </c>
      <c r="H96" s="208">
        <v>128715</v>
      </c>
      <c r="I96" s="208">
        <v>0</v>
      </c>
      <c r="J96" s="208">
        <v>128715</v>
      </c>
      <c r="K96" s="208">
        <v>0</v>
      </c>
      <c r="L96" s="208">
        <v>0</v>
      </c>
      <c r="M96" s="208">
        <v>0</v>
      </c>
      <c r="N96" s="208">
        <v>0</v>
      </c>
      <c r="O96" s="208">
        <v>0</v>
      </c>
      <c r="P96" s="208">
        <v>0</v>
      </c>
      <c r="Q96" s="208">
        <v>34607718</v>
      </c>
      <c r="R96" s="187" t="s">
        <v>270</v>
      </c>
      <c r="S96" s="187" t="s">
        <v>777</v>
      </c>
      <c r="T96" s="187" t="s">
        <v>776</v>
      </c>
      <c r="U96" s="187" t="s">
        <v>1054</v>
      </c>
    </row>
    <row r="97" spans="1:21" x14ac:dyDescent="0.2">
      <c r="B97" s="187">
        <v>92</v>
      </c>
      <c r="C97" s="188" t="s">
        <v>273</v>
      </c>
      <c r="D97" s="188" t="s">
        <v>272</v>
      </c>
      <c r="E97" s="208">
        <v>59046746</v>
      </c>
      <c r="F97" s="208">
        <v>0</v>
      </c>
      <c r="G97" s="208">
        <v>1098705</v>
      </c>
      <c r="H97" s="208">
        <v>146707</v>
      </c>
      <c r="I97" s="208">
        <v>0</v>
      </c>
      <c r="J97" s="208">
        <v>146707</v>
      </c>
      <c r="K97" s="208">
        <v>0</v>
      </c>
      <c r="L97" s="208">
        <v>0</v>
      </c>
      <c r="M97" s="208">
        <v>0</v>
      </c>
      <c r="N97" s="208">
        <v>0</v>
      </c>
      <c r="O97" s="208">
        <v>0</v>
      </c>
      <c r="P97" s="208">
        <v>0</v>
      </c>
      <c r="Q97" s="208">
        <v>57801334</v>
      </c>
      <c r="R97" s="187" t="s">
        <v>272</v>
      </c>
      <c r="S97" s="187" t="s">
        <v>761</v>
      </c>
      <c r="T97" s="187" t="s">
        <v>760</v>
      </c>
      <c r="U97" s="187" t="s">
        <v>1054</v>
      </c>
    </row>
    <row r="98" spans="1:21" x14ac:dyDescent="0.2">
      <c r="A98" s="185"/>
      <c r="B98" s="187">
        <v>93</v>
      </c>
      <c r="C98" s="188" t="s">
        <v>275</v>
      </c>
      <c r="D98" s="188" t="s">
        <v>274</v>
      </c>
      <c r="E98" s="208">
        <v>20972824</v>
      </c>
      <c r="F98" s="208">
        <v>440354</v>
      </c>
      <c r="G98" s="208">
        <v>0</v>
      </c>
      <c r="H98" s="208">
        <v>126168</v>
      </c>
      <c r="I98" s="208">
        <v>0</v>
      </c>
      <c r="J98" s="208">
        <v>126168</v>
      </c>
      <c r="K98" s="208">
        <v>0</v>
      </c>
      <c r="L98" s="208">
        <v>0</v>
      </c>
      <c r="M98" s="208">
        <v>20359</v>
      </c>
      <c r="N98" s="208">
        <v>20359</v>
      </c>
      <c r="O98" s="208">
        <v>0</v>
      </c>
      <c r="P98" s="208">
        <v>0</v>
      </c>
      <c r="Q98" s="208">
        <v>21266651</v>
      </c>
      <c r="R98" s="187" t="s">
        <v>274</v>
      </c>
      <c r="S98" s="187" t="s">
        <v>803</v>
      </c>
      <c r="T98" s="187" t="s">
        <v>751</v>
      </c>
      <c r="U98" s="187" t="s">
        <v>1054</v>
      </c>
    </row>
    <row r="99" spans="1:21" x14ac:dyDescent="0.2">
      <c r="B99" s="187">
        <v>94</v>
      </c>
      <c r="C99" s="188" t="s">
        <v>277</v>
      </c>
      <c r="D99" s="188" t="s">
        <v>276</v>
      </c>
      <c r="E99" s="208">
        <v>64551356</v>
      </c>
      <c r="F99" s="208">
        <v>2080326</v>
      </c>
      <c r="G99" s="208">
        <v>0</v>
      </c>
      <c r="H99" s="208">
        <v>181894</v>
      </c>
      <c r="I99" s="208">
        <v>0</v>
      </c>
      <c r="J99" s="208">
        <v>181894</v>
      </c>
      <c r="K99" s="208">
        <v>0</v>
      </c>
      <c r="L99" s="208">
        <v>0</v>
      </c>
      <c r="M99" s="208">
        <v>19741</v>
      </c>
      <c r="N99" s="208">
        <v>19741</v>
      </c>
      <c r="O99" s="208">
        <v>0</v>
      </c>
      <c r="P99" s="208">
        <v>0</v>
      </c>
      <c r="Q99" s="208">
        <v>66430047</v>
      </c>
      <c r="R99" s="187" t="s">
        <v>276</v>
      </c>
      <c r="S99" s="187" t="s">
        <v>757</v>
      </c>
      <c r="T99" s="187" t="s">
        <v>751</v>
      </c>
      <c r="U99" s="187" t="s">
        <v>1054</v>
      </c>
    </row>
    <row r="100" spans="1:21" x14ac:dyDescent="0.2">
      <c r="B100" s="187">
        <v>95</v>
      </c>
      <c r="C100" s="188" t="s">
        <v>279</v>
      </c>
      <c r="D100" s="188" t="s">
        <v>278</v>
      </c>
      <c r="E100" s="208">
        <v>111948754</v>
      </c>
      <c r="F100" s="208">
        <v>0</v>
      </c>
      <c r="G100" s="208">
        <v>450106</v>
      </c>
      <c r="H100" s="208">
        <v>336786</v>
      </c>
      <c r="I100" s="208">
        <v>0</v>
      </c>
      <c r="J100" s="208">
        <v>336786</v>
      </c>
      <c r="K100" s="208">
        <v>0</v>
      </c>
      <c r="L100" s="208">
        <v>0</v>
      </c>
      <c r="M100" s="208">
        <v>0</v>
      </c>
      <c r="N100" s="208">
        <v>0</v>
      </c>
      <c r="O100" s="208">
        <v>0</v>
      </c>
      <c r="P100" s="208">
        <v>0</v>
      </c>
      <c r="Q100" s="208">
        <v>111161862</v>
      </c>
      <c r="R100" s="187" t="s">
        <v>278</v>
      </c>
      <c r="S100" s="187" t="s">
        <v>767</v>
      </c>
      <c r="T100" s="187" t="s">
        <v>743</v>
      </c>
      <c r="U100" s="187" t="s">
        <v>1055</v>
      </c>
    </row>
    <row r="101" spans="1:21" x14ac:dyDescent="0.2">
      <c r="B101" s="187">
        <v>96</v>
      </c>
      <c r="C101" s="188" t="s">
        <v>281</v>
      </c>
      <c r="D101" s="188" t="s">
        <v>280</v>
      </c>
      <c r="E101" s="208">
        <v>36923418</v>
      </c>
      <c r="F101" s="208">
        <v>530191</v>
      </c>
      <c r="G101" s="208">
        <v>0</v>
      </c>
      <c r="H101" s="208">
        <v>172565</v>
      </c>
      <c r="I101" s="208">
        <v>0</v>
      </c>
      <c r="J101" s="208">
        <v>172565</v>
      </c>
      <c r="K101" s="208">
        <v>0</v>
      </c>
      <c r="L101" s="208">
        <v>0</v>
      </c>
      <c r="M101" s="208">
        <v>0</v>
      </c>
      <c r="N101" s="208">
        <v>0</v>
      </c>
      <c r="O101" s="208">
        <v>0</v>
      </c>
      <c r="P101" s="208">
        <v>0</v>
      </c>
      <c r="Q101" s="208">
        <v>37281044</v>
      </c>
      <c r="R101" s="187" t="s">
        <v>280</v>
      </c>
      <c r="S101" s="187" t="s">
        <v>784</v>
      </c>
      <c r="T101" s="187" t="s">
        <v>783</v>
      </c>
      <c r="U101" s="187" t="s">
        <v>1054</v>
      </c>
    </row>
    <row r="102" spans="1:21" x14ac:dyDescent="0.2">
      <c r="B102" s="187">
        <v>97</v>
      </c>
      <c r="C102" s="188" t="s">
        <v>283</v>
      </c>
      <c r="D102" s="188" t="s">
        <v>282</v>
      </c>
      <c r="E102" s="208">
        <v>29238478</v>
      </c>
      <c r="F102" s="208">
        <v>406337</v>
      </c>
      <c r="G102" s="208">
        <v>0</v>
      </c>
      <c r="H102" s="208">
        <v>85059</v>
      </c>
      <c r="I102" s="208">
        <v>0</v>
      </c>
      <c r="J102" s="208">
        <v>85059</v>
      </c>
      <c r="K102" s="208">
        <v>0</v>
      </c>
      <c r="L102" s="208">
        <v>0</v>
      </c>
      <c r="M102" s="208">
        <v>0</v>
      </c>
      <c r="N102" s="208">
        <v>0</v>
      </c>
      <c r="O102" s="208">
        <v>0</v>
      </c>
      <c r="P102" s="208">
        <v>0</v>
      </c>
      <c r="Q102" s="208">
        <v>29559756</v>
      </c>
      <c r="R102" s="187" t="s">
        <v>282</v>
      </c>
      <c r="S102" s="187" t="s">
        <v>757</v>
      </c>
      <c r="T102" s="187" t="s">
        <v>751</v>
      </c>
      <c r="U102" s="187" t="s">
        <v>1054</v>
      </c>
    </row>
    <row r="103" spans="1:21" x14ac:dyDescent="0.2">
      <c r="B103" s="187">
        <v>98</v>
      </c>
      <c r="C103" s="188" t="s">
        <v>285</v>
      </c>
      <c r="D103" s="188" t="s">
        <v>284</v>
      </c>
      <c r="E103" s="208">
        <v>25600820</v>
      </c>
      <c r="F103" s="208">
        <v>0</v>
      </c>
      <c r="G103" s="208">
        <v>53007</v>
      </c>
      <c r="H103" s="208">
        <v>134049</v>
      </c>
      <c r="I103" s="208">
        <v>0</v>
      </c>
      <c r="J103" s="208">
        <v>134049</v>
      </c>
      <c r="K103" s="208">
        <v>0</v>
      </c>
      <c r="L103" s="208">
        <v>0</v>
      </c>
      <c r="M103" s="208">
        <v>0</v>
      </c>
      <c r="N103" s="208">
        <v>0</v>
      </c>
      <c r="O103" s="208">
        <v>0</v>
      </c>
      <c r="P103" s="208">
        <v>0</v>
      </c>
      <c r="Q103" s="208">
        <v>25413764</v>
      </c>
      <c r="R103" s="187" t="s">
        <v>284</v>
      </c>
      <c r="S103" s="187" t="s">
        <v>807</v>
      </c>
      <c r="T103" s="187" t="s">
        <v>806</v>
      </c>
      <c r="U103" s="187" t="s">
        <v>1054</v>
      </c>
    </row>
    <row r="104" spans="1:21" x14ac:dyDescent="0.2">
      <c r="B104" s="187">
        <v>99</v>
      </c>
      <c r="C104" s="188" t="s">
        <v>287</v>
      </c>
      <c r="D104" s="188" t="s">
        <v>286</v>
      </c>
      <c r="E104" s="208">
        <v>78654283</v>
      </c>
      <c r="F104" s="208">
        <v>0</v>
      </c>
      <c r="G104" s="208">
        <v>1952689</v>
      </c>
      <c r="H104" s="208">
        <v>216303</v>
      </c>
      <c r="I104" s="208">
        <v>0</v>
      </c>
      <c r="J104" s="208">
        <v>216303</v>
      </c>
      <c r="K104" s="208">
        <v>0</v>
      </c>
      <c r="L104" s="208">
        <v>0</v>
      </c>
      <c r="M104" s="208">
        <v>0</v>
      </c>
      <c r="N104" s="208">
        <v>0</v>
      </c>
      <c r="O104" s="208">
        <v>0</v>
      </c>
      <c r="P104" s="208">
        <v>0</v>
      </c>
      <c r="Q104" s="208">
        <v>76485291</v>
      </c>
      <c r="R104" s="187" t="s">
        <v>286</v>
      </c>
      <c r="S104" s="187" t="s">
        <v>772</v>
      </c>
      <c r="T104" s="187" t="s">
        <v>768</v>
      </c>
      <c r="U104" s="187" t="s">
        <v>1054</v>
      </c>
    </row>
    <row r="105" spans="1:21" x14ac:dyDescent="0.2">
      <c r="B105" s="187">
        <v>100</v>
      </c>
      <c r="C105" s="188" t="s">
        <v>289</v>
      </c>
      <c r="D105" s="188" t="s">
        <v>288</v>
      </c>
      <c r="E105" s="208">
        <v>40538680</v>
      </c>
      <c r="F105" s="208">
        <v>0</v>
      </c>
      <c r="G105" s="208">
        <v>997584</v>
      </c>
      <c r="H105" s="208">
        <v>137639</v>
      </c>
      <c r="I105" s="208">
        <v>0</v>
      </c>
      <c r="J105" s="208">
        <v>137639</v>
      </c>
      <c r="K105" s="208">
        <v>0</v>
      </c>
      <c r="L105" s="208">
        <v>104481</v>
      </c>
      <c r="M105" s="208">
        <v>79953</v>
      </c>
      <c r="N105" s="208">
        <v>79953</v>
      </c>
      <c r="O105" s="208">
        <v>0</v>
      </c>
      <c r="P105" s="208">
        <v>0</v>
      </c>
      <c r="Q105" s="208">
        <v>39219023</v>
      </c>
      <c r="R105" s="187" t="s">
        <v>288</v>
      </c>
      <c r="S105" s="187" t="s">
        <v>761</v>
      </c>
      <c r="T105" s="187" t="s">
        <v>760</v>
      </c>
      <c r="U105" s="187" t="s">
        <v>1054</v>
      </c>
    </row>
    <row r="106" spans="1:21" x14ac:dyDescent="0.2">
      <c r="B106" s="187">
        <v>101</v>
      </c>
      <c r="C106" s="188" t="s">
        <v>291</v>
      </c>
      <c r="D106" s="188" t="s">
        <v>290</v>
      </c>
      <c r="E106" s="208">
        <v>23250211.890000001</v>
      </c>
      <c r="F106" s="208">
        <v>155446</v>
      </c>
      <c r="G106" s="208">
        <v>0</v>
      </c>
      <c r="H106" s="208">
        <v>122761</v>
      </c>
      <c r="I106" s="208">
        <v>0</v>
      </c>
      <c r="J106" s="208">
        <v>122761</v>
      </c>
      <c r="K106" s="208">
        <v>0</v>
      </c>
      <c r="L106" s="208">
        <v>0</v>
      </c>
      <c r="M106" s="208">
        <v>302408</v>
      </c>
      <c r="N106" s="208">
        <v>302408</v>
      </c>
      <c r="O106" s="208">
        <v>0</v>
      </c>
      <c r="P106" s="208">
        <v>0</v>
      </c>
      <c r="Q106" s="208">
        <v>22980488.890000001</v>
      </c>
      <c r="R106" s="187" t="s">
        <v>290</v>
      </c>
      <c r="S106" s="187" t="s">
        <v>809</v>
      </c>
      <c r="T106" s="187" t="s">
        <v>808</v>
      </c>
      <c r="U106" s="187" t="s">
        <v>1054</v>
      </c>
    </row>
    <row r="107" spans="1:21" x14ac:dyDescent="0.2">
      <c r="B107" s="187">
        <v>102</v>
      </c>
      <c r="C107" s="188" t="s">
        <v>550</v>
      </c>
      <c r="D107" s="188" t="s">
        <v>1533</v>
      </c>
      <c r="E107" s="208">
        <v>29411654</v>
      </c>
      <c r="F107" s="208">
        <v>0</v>
      </c>
      <c r="G107" s="208">
        <v>408614</v>
      </c>
      <c r="H107" s="208">
        <v>146744</v>
      </c>
      <c r="I107" s="208">
        <v>0</v>
      </c>
      <c r="J107" s="208">
        <v>146744</v>
      </c>
      <c r="K107" s="208">
        <v>0</v>
      </c>
      <c r="L107" s="208">
        <v>0</v>
      </c>
      <c r="M107" s="208">
        <v>0</v>
      </c>
      <c r="N107" s="208">
        <v>0</v>
      </c>
      <c r="O107" s="208">
        <v>0</v>
      </c>
      <c r="P107" s="208">
        <v>0</v>
      </c>
      <c r="Q107" s="208">
        <v>28856296</v>
      </c>
      <c r="R107" s="188" t="s">
        <v>1536</v>
      </c>
      <c r="S107" s="647" t="s">
        <v>786</v>
      </c>
      <c r="T107" s="647" t="s">
        <v>785</v>
      </c>
      <c r="U107" s="647" t="s">
        <v>1054</v>
      </c>
    </row>
    <row r="108" spans="1:21" x14ac:dyDescent="0.2">
      <c r="B108" s="187">
        <v>103</v>
      </c>
      <c r="C108" s="188" t="s">
        <v>293</v>
      </c>
      <c r="D108" s="188" t="s">
        <v>292</v>
      </c>
      <c r="E108" s="208">
        <v>23768748</v>
      </c>
      <c r="F108" s="208">
        <v>724974</v>
      </c>
      <c r="G108" s="208">
        <v>0</v>
      </c>
      <c r="H108" s="208">
        <v>89903</v>
      </c>
      <c r="I108" s="208">
        <v>0</v>
      </c>
      <c r="J108" s="208">
        <v>89903</v>
      </c>
      <c r="K108" s="208">
        <v>0</v>
      </c>
      <c r="L108" s="208">
        <v>0</v>
      </c>
      <c r="M108" s="208">
        <v>172517</v>
      </c>
      <c r="N108" s="208">
        <v>172517</v>
      </c>
      <c r="O108" s="208">
        <v>0</v>
      </c>
      <c r="P108" s="208">
        <v>0</v>
      </c>
      <c r="Q108" s="208">
        <v>24231302</v>
      </c>
      <c r="R108" s="187" t="s">
        <v>292</v>
      </c>
      <c r="S108" s="187" t="s">
        <v>778</v>
      </c>
      <c r="T108" s="187" t="s">
        <v>751</v>
      </c>
      <c r="U108" s="187" t="s">
        <v>1054</v>
      </c>
    </row>
    <row r="109" spans="1:21" x14ac:dyDescent="0.2">
      <c r="B109" s="187">
        <v>104</v>
      </c>
      <c r="C109" s="188" t="s">
        <v>295</v>
      </c>
      <c r="D109" s="188" t="s">
        <v>294</v>
      </c>
      <c r="E109" s="208">
        <v>12295768</v>
      </c>
      <c r="F109" s="208">
        <v>577965</v>
      </c>
      <c r="G109" s="208">
        <v>0</v>
      </c>
      <c r="H109" s="208">
        <v>119349</v>
      </c>
      <c r="I109" s="208">
        <v>0</v>
      </c>
      <c r="J109" s="208">
        <v>119349</v>
      </c>
      <c r="K109" s="208">
        <v>0</v>
      </c>
      <c r="L109" s="208">
        <v>0</v>
      </c>
      <c r="M109" s="208">
        <v>109520</v>
      </c>
      <c r="N109" s="208">
        <v>109520</v>
      </c>
      <c r="O109" s="208">
        <v>0</v>
      </c>
      <c r="P109" s="208">
        <v>0</v>
      </c>
      <c r="Q109" s="208">
        <v>12644864</v>
      </c>
      <c r="R109" s="187" t="s">
        <v>294</v>
      </c>
      <c r="S109" s="187" t="s">
        <v>790</v>
      </c>
      <c r="T109" s="187" t="s">
        <v>751</v>
      </c>
      <c r="U109" s="187" t="s">
        <v>1054</v>
      </c>
    </row>
    <row r="110" spans="1:21" x14ac:dyDescent="0.2">
      <c r="B110" s="187">
        <v>105</v>
      </c>
      <c r="C110" s="188" t="s">
        <v>297</v>
      </c>
      <c r="D110" s="188" t="s">
        <v>296</v>
      </c>
      <c r="E110" s="208">
        <v>25437831</v>
      </c>
      <c r="F110" s="208">
        <v>0</v>
      </c>
      <c r="G110" s="208">
        <v>418719</v>
      </c>
      <c r="H110" s="208">
        <v>113116</v>
      </c>
      <c r="I110" s="208">
        <v>0</v>
      </c>
      <c r="J110" s="208">
        <v>113116</v>
      </c>
      <c r="K110" s="208">
        <v>0</v>
      </c>
      <c r="L110" s="208">
        <v>0</v>
      </c>
      <c r="M110" s="208">
        <v>57371</v>
      </c>
      <c r="N110" s="208">
        <v>45897</v>
      </c>
      <c r="O110" s="208">
        <v>11474</v>
      </c>
      <c r="P110" s="208">
        <v>25390</v>
      </c>
      <c r="Q110" s="208">
        <v>24823235</v>
      </c>
      <c r="R110" s="187" t="s">
        <v>296</v>
      </c>
      <c r="S110" s="187" t="s">
        <v>748</v>
      </c>
      <c r="T110" s="187" t="s">
        <v>747</v>
      </c>
      <c r="U110" s="187" t="s">
        <v>1054</v>
      </c>
    </row>
    <row r="111" spans="1:21" x14ac:dyDescent="0.2">
      <c r="B111" s="187">
        <v>106</v>
      </c>
      <c r="C111" s="188" t="s">
        <v>299</v>
      </c>
      <c r="D111" s="188" t="s">
        <v>298</v>
      </c>
      <c r="E111" s="208">
        <v>91214563</v>
      </c>
      <c r="F111" s="208">
        <v>0</v>
      </c>
      <c r="G111" s="208">
        <v>1829609</v>
      </c>
      <c r="H111" s="208">
        <v>282158</v>
      </c>
      <c r="I111" s="208">
        <v>0</v>
      </c>
      <c r="J111" s="208">
        <v>282158</v>
      </c>
      <c r="K111" s="208">
        <v>0</v>
      </c>
      <c r="L111" s="208">
        <v>599180</v>
      </c>
      <c r="M111" s="208">
        <v>0</v>
      </c>
      <c r="N111" s="208">
        <v>0</v>
      </c>
      <c r="O111" s="208">
        <v>0</v>
      </c>
      <c r="P111" s="208">
        <v>0</v>
      </c>
      <c r="Q111" s="208">
        <v>88503616</v>
      </c>
      <c r="R111" s="187" t="s">
        <v>298</v>
      </c>
      <c r="S111" s="187" t="s">
        <v>754</v>
      </c>
      <c r="T111" s="187" t="s">
        <v>796</v>
      </c>
      <c r="U111" s="187" t="s">
        <v>1056</v>
      </c>
    </row>
    <row r="112" spans="1:21" x14ac:dyDescent="0.2">
      <c r="B112" s="187">
        <v>107</v>
      </c>
      <c r="C112" s="188" t="s">
        <v>301</v>
      </c>
      <c r="D112" s="188" t="s">
        <v>300</v>
      </c>
      <c r="E112" s="208">
        <v>22500178.27</v>
      </c>
      <c r="F112" s="208">
        <v>545105</v>
      </c>
      <c r="G112" s="208">
        <v>0</v>
      </c>
      <c r="H112" s="208">
        <v>100325</v>
      </c>
      <c r="I112" s="208">
        <v>0</v>
      </c>
      <c r="J112" s="208">
        <v>100325</v>
      </c>
      <c r="K112" s="208">
        <v>0</v>
      </c>
      <c r="L112" s="208">
        <v>0</v>
      </c>
      <c r="M112" s="208">
        <v>134786</v>
      </c>
      <c r="N112" s="208">
        <v>134786</v>
      </c>
      <c r="O112" s="208">
        <v>0</v>
      </c>
      <c r="P112" s="208">
        <v>0</v>
      </c>
      <c r="Q112" s="208">
        <v>22810172.27</v>
      </c>
      <c r="R112" s="187" t="s">
        <v>300</v>
      </c>
      <c r="S112" s="187" t="s">
        <v>816</v>
      </c>
      <c r="T112" s="187" t="s">
        <v>815</v>
      </c>
      <c r="U112" s="187" t="s">
        <v>1054</v>
      </c>
    </row>
    <row r="113" spans="2:21" x14ac:dyDescent="0.2">
      <c r="B113" s="187">
        <v>108</v>
      </c>
      <c r="C113" s="188" t="s">
        <v>303</v>
      </c>
      <c r="D113" s="188" t="s">
        <v>302</v>
      </c>
      <c r="E113" s="208">
        <v>54159148</v>
      </c>
      <c r="F113" s="208">
        <v>0</v>
      </c>
      <c r="G113" s="208">
        <v>1634235</v>
      </c>
      <c r="H113" s="208">
        <v>172566</v>
      </c>
      <c r="I113" s="208">
        <v>0</v>
      </c>
      <c r="J113" s="208">
        <v>172566</v>
      </c>
      <c r="K113" s="208">
        <v>0</v>
      </c>
      <c r="L113" s="208">
        <v>0</v>
      </c>
      <c r="M113" s="208">
        <v>0</v>
      </c>
      <c r="N113" s="208">
        <v>0</v>
      </c>
      <c r="O113" s="208">
        <v>0</v>
      </c>
      <c r="P113" s="208">
        <v>0</v>
      </c>
      <c r="Q113" s="208">
        <v>52352347</v>
      </c>
      <c r="R113" s="187" t="s">
        <v>302</v>
      </c>
      <c r="S113" s="187" t="s">
        <v>790</v>
      </c>
      <c r="T113" s="187" t="s">
        <v>751</v>
      </c>
      <c r="U113" s="187" t="s">
        <v>1054</v>
      </c>
    </row>
    <row r="114" spans="2:21" x14ac:dyDescent="0.2">
      <c r="B114" s="187">
        <v>109</v>
      </c>
      <c r="C114" s="188" t="s">
        <v>305</v>
      </c>
      <c r="D114" s="188" t="s">
        <v>304</v>
      </c>
      <c r="E114" s="208">
        <v>14596857</v>
      </c>
      <c r="F114" s="208">
        <v>0</v>
      </c>
      <c r="G114" s="208">
        <v>145064</v>
      </c>
      <c r="H114" s="208">
        <v>78594</v>
      </c>
      <c r="I114" s="208">
        <v>0</v>
      </c>
      <c r="J114" s="208">
        <v>78594</v>
      </c>
      <c r="K114" s="208">
        <v>0</v>
      </c>
      <c r="L114" s="208">
        <v>0</v>
      </c>
      <c r="M114" s="208">
        <v>0</v>
      </c>
      <c r="N114" s="208">
        <v>0</v>
      </c>
      <c r="O114" s="208">
        <v>0</v>
      </c>
      <c r="P114" s="208">
        <v>0</v>
      </c>
      <c r="Q114" s="208">
        <v>14373199</v>
      </c>
      <c r="R114" s="187" t="s">
        <v>304</v>
      </c>
      <c r="S114" s="187" t="s">
        <v>761</v>
      </c>
      <c r="T114" s="187" t="s">
        <v>760</v>
      </c>
      <c r="U114" s="187" t="s">
        <v>1054</v>
      </c>
    </row>
    <row r="115" spans="2:21" x14ac:dyDescent="0.2">
      <c r="B115" s="187">
        <v>110</v>
      </c>
      <c r="C115" s="188" t="s">
        <v>307</v>
      </c>
      <c r="D115" s="188" t="s">
        <v>306</v>
      </c>
      <c r="E115" s="208">
        <v>25454595</v>
      </c>
      <c r="F115" s="208">
        <v>0</v>
      </c>
      <c r="G115" s="208">
        <v>145643</v>
      </c>
      <c r="H115" s="208">
        <v>94668</v>
      </c>
      <c r="I115" s="208">
        <v>0</v>
      </c>
      <c r="J115" s="208">
        <v>94668</v>
      </c>
      <c r="K115" s="208">
        <v>0</v>
      </c>
      <c r="L115" s="208">
        <v>0</v>
      </c>
      <c r="M115" s="208">
        <v>0</v>
      </c>
      <c r="N115" s="208">
        <v>0</v>
      </c>
      <c r="O115" s="208">
        <v>0</v>
      </c>
      <c r="P115" s="208">
        <v>0</v>
      </c>
      <c r="Q115" s="208">
        <v>25214284</v>
      </c>
      <c r="R115" s="187" t="s">
        <v>306</v>
      </c>
      <c r="S115" s="187" t="s">
        <v>786</v>
      </c>
      <c r="T115" s="187" t="s">
        <v>785</v>
      </c>
      <c r="U115" s="187" t="s">
        <v>1054</v>
      </c>
    </row>
    <row r="116" spans="2:21" x14ac:dyDescent="0.2">
      <c r="B116" s="187">
        <v>111</v>
      </c>
      <c r="C116" s="188" t="s">
        <v>309</v>
      </c>
      <c r="D116" s="188" t="s">
        <v>308</v>
      </c>
      <c r="E116" s="208">
        <v>38593814</v>
      </c>
      <c r="F116" s="208">
        <v>0</v>
      </c>
      <c r="G116" s="208">
        <v>1024669</v>
      </c>
      <c r="H116" s="208">
        <v>178566</v>
      </c>
      <c r="I116" s="208">
        <v>0</v>
      </c>
      <c r="J116" s="208">
        <v>178566</v>
      </c>
      <c r="K116" s="208">
        <v>0</v>
      </c>
      <c r="L116" s="208">
        <v>338381</v>
      </c>
      <c r="M116" s="208">
        <v>58034</v>
      </c>
      <c r="N116" s="208">
        <v>58034</v>
      </c>
      <c r="O116" s="208">
        <v>0</v>
      </c>
      <c r="P116" s="208">
        <v>0</v>
      </c>
      <c r="Q116" s="208">
        <v>36994164</v>
      </c>
      <c r="R116" s="187" t="s">
        <v>308</v>
      </c>
      <c r="S116" s="187" t="s">
        <v>802</v>
      </c>
      <c r="T116" s="187" t="s">
        <v>751</v>
      </c>
      <c r="U116" s="187" t="s">
        <v>1054</v>
      </c>
    </row>
    <row r="117" spans="2:21" x14ac:dyDescent="0.2">
      <c r="B117" s="187">
        <v>112</v>
      </c>
      <c r="C117" s="188" t="s">
        <v>311</v>
      </c>
      <c r="D117" s="188" t="s">
        <v>310</v>
      </c>
      <c r="E117" s="208">
        <v>88281621</v>
      </c>
      <c r="F117" s="208">
        <v>2693179</v>
      </c>
      <c r="G117" s="208">
        <v>0</v>
      </c>
      <c r="H117" s="208">
        <v>291335</v>
      </c>
      <c r="I117" s="208">
        <v>0</v>
      </c>
      <c r="J117" s="208">
        <v>291335</v>
      </c>
      <c r="K117" s="208">
        <v>0</v>
      </c>
      <c r="L117" s="208">
        <v>0</v>
      </c>
      <c r="M117" s="208">
        <v>0</v>
      </c>
      <c r="N117" s="208">
        <v>0</v>
      </c>
      <c r="O117" s="208">
        <v>0</v>
      </c>
      <c r="P117" s="208">
        <v>0</v>
      </c>
      <c r="Q117" s="208">
        <v>90683465</v>
      </c>
      <c r="R117" s="187" t="s">
        <v>310</v>
      </c>
      <c r="S117" s="187" t="s">
        <v>767</v>
      </c>
      <c r="T117" s="187" t="s">
        <v>743</v>
      </c>
      <c r="U117" s="187" t="s">
        <v>1057</v>
      </c>
    </row>
    <row r="118" spans="2:21" x14ac:dyDescent="0.2">
      <c r="B118" s="187">
        <v>113</v>
      </c>
      <c r="C118" s="188" t="s">
        <v>313</v>
      </c>
      <c r="D118" s="188" t="s">
        <v>312</v>
      </c>
      <c r="E118" s="208">
        <v>94138239</v>
      </c>
      <c r="F118" s="208">
        <v>1521379</v>
      </c>
      <c r="G118" s="208">
        <v>0</v>
      </c>
      <c r="H118" s="208">
        <v>231056</v>
      </c>
      <c r="I118" s="208">
        <v>0</v>
      </c>
      <c r="J118" s="208">
        <v>231056</v>
      </c>
      <c r="K118" s="208">
        <v>0</v>
      </c>
      <c r="L118" s="208">
        <v>0</v>
      </c>
      <c r="M118" s="208">
        <v>0</v>
      </c>
      <c r="N118" s="208">
        <v>0</v>
      </c>
      <c r="O118" s="208">
        <v>0</v>
      </c>
      <c r="P118" s="208">
        <v>0</v>
      </c>
      <c r="Q118" s="208">
        <v>95428562</v>
      </c>
      <c r="R118" s="187" t="s">
        <v>312</v>
      </c>
      <c r="S118" s="187" t="s">
        <v>757</v>
      </c>
      <c r="T118" s="187" t="s">
        <v>751</v>
      </c>
      <c r="U118" s="187" t="s">
        <v>1054</v>
      </c>
    </row>
    <row r="119" spans="2:21" x14ac:dyDescent="0.2">
      <c r="B119" s="187">
        <v>114</v>
      </c>
      <c r="C119" s="188" t="s">
        <v>315</v>
      </c>
      <c r="D119" s="188" t="s">
        <v>314</v>
      </c>
      <c r="E119" s="208">
        <v>117834281</v>
      </c>
      <c r="F119" s="208">
        <v>17361030</v>
      </c>
      <c r="G119" s="208">
        <v>0</v>
      </c>
      <c r="H119" s="208">
        <v>546851</v>
      </c>
      <c r="I119" s="208">
        <v>0</v>
      </c>
      <c r="J119" s="208">
        <v>546851</v>
      </c>
      <c r="K119" s="208">
        <v>0</v>
      </c>
      <c r="L119" s="208">
        <v>0</v>
      </c>
      <c r="M119" s="208">
        <v>0</v>
      </c>
      <c r="N119" s="208">
        <v>0</v>
      </c>
      <c r="O119" s="208">
        <v>0</v>
      </c>
      <c r="P119" s="208">
        <v>0</v>
      </c>
      <c r="Q119" s="208">
        <v>134648460</v>
      </c>
      <c r="R119" s="187" t="s">
        <v>314</v>
      </c>
      <c r="S119" s="187" t="s">
        <v>767</v>
      </c>
      <c r="T119" s="187" t="s">
        <v>743</v>
      </c>
      <c r="U119" s="187" t="s">
        <v>1057</v>
      </c>
    </row>
    <row r="120" spans="2:21" x14ac:dyDescent="0.2">
      <c r="B120" s="187">
        <v>115</v>
      </c>
      <c r="C120" s="188" t="s">
        <v>317</v>
      </c>
      <c r="D120" s="188" t="s">
        <v>316</v>
      </c>
      <c r="E120" s="208">
        <v>55582755</v>
      </c>
      <c r="F120" s="208">
        <v>0</v>
      </c>
      <c r="G120" s="208">
        <v>3050520</v>
      </c>
      <c r="H120" s="208">
        <v>156251</v>
      </c>
      <c r="I120" s="208">
        <v>0</v>
      </c>
      <c r="J120" s="208">
        <v>156251</v>
      </c>
      <c r="K120" s="208">
        <v>0</v>
      </c>
      <c r="L120" s="208">
        <v>0</v>
      </c>
      <c r="M120" s="208">
        <v>0</v>
      </c>
      <c r="N120" s="208">
        <v>0</v>
      </c>
      <c r="O120" s="208">
        <v>0</v>
      </c>
      <c r="P120" s="208">
        <v>0</v>
      </c>
      <c r="Q120" s="208">
        <v>52375984</v>
      </c>
      <c r="R120" s="187" t="s">
        <v>849</v>
      </c>
      <c r="S120" s="187" t="s">
        <v>742</v>
      </c>
      <c r="T120" s="187" t="s">
        <v>780</v>
      </c>
      <c r="U120" s="187" t="s">
        <v>742</v>
      </c>
    </row>
    <row r="121" spans="2:21" x14ac:dyDescent="0.2">
      <c r="B121" s="187">
        <v>116</v>
      </c>
      <c r="C121" s="188" t="s">
        <v>319</v>
      </c>
      <c r="D121" s="188" t="s">
        <v>318</v>
      </c>
      <c r="E121" s="208">
        <v>27098221</v>
      </c>
      <c r="F121" s="208">
        <v>363009</v>
      </c>
      <c r="G121" s="208">
        <v>0</v>
      </c>
      <c r="H121" s="208">
        <v>155090</v>
      </c>
      <c r="I121" s="208">
        <v>0</v>
      </c>
      <c r="J121" s="208">
        <v>155090</v>
      </c>
      <c r="K121" s="208">
        <v>0</v>
      </c>
      <c r="L121" s="208">
        <v>0</v>
      </c>
      <c r="M121" s="208">
        <v>69576</v>
      </c>
      <c r="N121" s="208">
        <v>69576</v>
      </c>
      <c r="O121" s="208">
        <v>0</v>
      </c>
      <c r="P121" s="208">
        <v>0</v>
      </c>
      <c r="Q121" s="208">
        <v>27236564</v>
      </c>
      <c r="R121" s="187" t="s">
        <v>318</v>
      </c>
      <c r="S121" s="187" t="s">
        <v>812</v>
      </c>
      <c r="T121" s="187" t="s">
        <v>741</v>
      </c>
      <c r="U121" s="187" t="s">
        <v>1054</v>
      </c>
    </row>
    <row r="122" spans="2:21" x14ac:dyDescent="0.2">
      <c r="B122" s="187">
        <v>117</v>
      </c>
      <c r="C122" s="188" t="s">
        <v>321</v>
      </c>
      <c r="D122" s="188" t="s">
        <v>320</v>
      </c>
      <c r="E122" s="208">
        <v>227120125</v>
      </c>
      <c r="F122" s="208">
        <v>9519945</v>
      </c>
      <c r="G122" s="208">
        <v>0</v>
      </c>
      <c r="H122" s="208">
        <v>582048</v>
      </c>
      <c r="I122" s="208">
        <v>0</v>
      </c>
      <c r="J122" s="208">
        <v>582048</v>
      </c>
      <c r="K122" s="208">
        <v>0</v>
      </c>
      <c r="L122" s="208">
        <v>0</v>
      </c>
      <c r="M122" s="208">
        <v>0</v>
      </c>
      <c r="N122" s="208">
        <v>0</v>
      </c>
      <c r="O122" s="208">
        <v>0</v>
      </c>
      <c r="P122" s="208">
        <v>0</v>
      </c>
      <c r="Q122" s="208">
        <v>236058022</v>
      </c>
      <c r="R122" s="187" t="s">
        <v>848</v>
      </c>
      <c r="S122" s="187" t="s">
        <v>767</v>
      </c>
      <c r="T122" s="187" t="s">
        <v>743</v>
      </c>
      <c r="U122" s="187" t="s">
        <v>1057</v>
      </c>
    </row>
    <row r="123" spans="2:21" x14ac:dyDescent="0.2">
      <c r="B123" s="187">
        <v>118</v>
      </c>
      <c r="C123" s="188" t="s">
        <v>323</v>
      </c>
      <c r="D123" s="188" t="s">
        <v>322</v>
      </c>
      <c r="E123" s="208">
        <v>45660064</v>
      </c>
      <c r="F123" s="208">
        <v>1172310</v>
      </c>
      <c r="G123" s="208">
        <v>0</v>
      </c>
      <c r="H123" s="208">
        <v>127235</v>
      </c>
      <c r="I123" s="208">
        <v>0</v>
      </c>
      <c r="J123" s="208">
        <v>127235</v>
      </c>
      <c r="K123" s="208">
        <v>0</v>
      </c>
      <c r="L123" s="208">
        <v>0</v>
      </c>
      <c r="M123" s="208">
        <v>36706</v>
      </c>
      <c r="N123" s="208">
        <v>36706</v>
      </c>
      <c r="O123" s="208">
        <v>0</v>
      </c>
      <c r="P123" s="208">
        <v>0</v>
      </c>
      <c r="Q123" s="208">
        <v>46668433</v>
      </c>
      <c r="R123" s="187" t="s">
        <v>322</v>
      </c>
      <c r="S123" s="187" t="s">
        <v>825</v>
      </c>
      <c r="T123" s="187" t="s">
        <v>813</v>
      </c>
      <c r="U123" s="187" t="s">
        <v>1054</v>
      </c>
    </row>
    <row r="124" spans="2:21" x14ac:dyDescent="0.2">
      <c r="B124" s="187">
        <v>119</v>
      </c>
      <c r="C124" s="188" t="s">
        <v>325</v>
      </c>
      <c r="D124" s="188" t="s">
        <v>324</v>
      </c>
      <c r="E124" s="208">
        <v>71482601</v>
      </c>
      <c r="F124" s="208">
        <v>4221030</v>
      </c>
      <c r="G124" s="208">
        <v>0</v>
      </c>
      <c r="H124" s="208">
        <v>308003</v>
      </c>
      <c r="I124" s="208">
        <v>0</v>
      </c>
      <c r="J124" s="208">
        <v>308003</v>
      </c>
      <c r="K124" s="208">
        <v>0</v>
      </c>
      <c r="L124" s="208">
        <v>0</v>
      </c>
      <c r="M124" s="208">
        <v>0</v>
      </c>
      <c r="N124" s="208">
        <v>0</v>
      </c>
      <c r="O124" s="208">
        <v>0</v>
      </c>
      <c r="P124" s="208">
        <v>0</v>
      </c>
      <c r="Q124" s="208">
        <v>75395628</v>
      </c>
      <c r="R124" s="187" t="s">
        <v>324</v>
      </c>
      <c r="S124" s="187" t="s">
        <v>767</v>
      </c>
      <c r="T124" s="187" t="s">
        <v>743</v>
      </c>
      <c r="U124" s="187" t="s">
        <v>1055</v>
      </c>
    </row>
    <row r="125" spans="2:21" x14ac:dyDescent="0.2">
      <c r="B125" s="187">
        <v>120</v>
      </c>
      <c r="C125" s="188" t="s">
        <v>327</v>
      </c>
      <c r="D125" s="188" t="s">
        <v>326</v>
      </c>
      <c r="E125" s="208">
        <v>47253962</v>
      </c>
      <c r="F125" s="208">
        <v>0</v>
      </c>
      <c r="G125" s="208">
        <v>637118</v>
      </c>
      <c r="H125" s="208">
        <v>116795</v>
      </c>
      <c r="I125" s="208">
        <v>0</v>
      </c>
      <c r="J125" s="208">
        <v>116795</v>
      </c>
      <c r="K125" s="208">
        <v>0</v>
      </c>
      <c r="L125" s="208">
        <v>875098</v>
      </c>
      <c r="M125" s="208">
        <v>0</v>
      </c>
      <c r="N125" s="208">
        <v>0</v>
      </c>
      <c r="O125" s="208">
        <v>0</v>
      </c>
      <c r="P125" s="208">
        <v>0</v>
      </c>
      <c r="Q125" s="208">
        <v>45624951</v>
      </c>
      <c r="R125" s="187" t="s">
        <v>326</v>
      </c>
      <c r="S125" s="187" t="s">
        <v>784</v>
      </c>
      <c r="T125" s="187" t="s">
        <v>783</v>
      </c>
      <c r="U125" s="187" t="s">
        <v>1054</v>
      </c>
    </row>
    <row r="126" spans="2:21" x14ac:dyDescent="0.2">
      <c r="B126" s="187">
        <v>121</v>
      </c>
      <c r="C126" s="188" t="s">
        <v>329</v>
      </c>
      <c r="D126" s="188" t="s">
        <v>328</v>
      </c>
      <c r="E126" s="208">
        <v>61212619</v>
      </c>
      <c r="F126" s="208">
        <v>387790</v>
      </c>
      <c r="G126" s="208">
        <v>0</v>
      </c>
      <c r="H126" s="208">
        <v>286834</v>
      </c>
      <c r="I126" s="208">
        <v>0</v>
      </c>
      <c r="J126" s="208">
        <v>286834</v>
      </c>
      <c r="K126" s="208">
        <v>0</v>
      </c>
      <c r="L126" s="208">
        <v>0</v>
      </c>
      <c r="M126" s="208">
        <v>237148</v>
      </c>
      <c r="N126" s="208">
        <v>0</v>
      </c>
      <c r="O126" s="208">
        <v>237148</v>
      </c>
      <c r="P126" s="208">
        <v>0</v>
      </c>
      <c r="Q126" s="208">
        <v>61076427</v>
      </c>
      <c r="R126" s="187" t="s">
        <v>328</v>
      </c>
      <c r="S126" s="187" t="s">
        <v>812</v>
      </c>
      <c r="T126" s="187" t="s">
        <v>741</v>
      </c>
      <c r="U126" s="187" t="s">
        <v>1054</v>
      </c>
    </row>
    <row r="127" spans="2:21" x14ac:dyDescent="0.2">
      <c r="B127" s="187">
        <v>122</v>
      </c>
      <c r="C127" s="188" t="s">
        <v>331</v>
      </c>
      <c r="D127" s="188" t="s">
        <v>330</v>
      </c>
      <c r="E127" s="208">
        <v>51351165</v>
      </c>
      <c r="F127" s="208">
        <v>1330831</v>
      </c>
      <c r="G127" s="208">
        <v>0</v>
      </c>
      <c r="H127" s="208">
        <v>244486</v>
      </c>
      <c r="I127" s="208">
        <v>0</v>
      </c>
      <c r="J127" s="208">
        <v>244486</v>
      </c>
      <c r="K127" s="208">
        <v>0</v>
      </c>
      <c r="L127" s="208">
        <v>0</v>
      </c>
      <c r="M127" s="208">
        <v>0</v>
      </c>
      <c r="N127" s="208">
        <v>0</v>
      </c>
      <c r="O127" s="208">
        <v>0</v>
      </c>
      <c r="P127" s="208">
        <v>0</v>
      </c>
      <c r="Q127" s="208">
        <v>52437510</v>
      </c>
      <c r="R127" s="187" t="s">
        <v>330</v>
      </c>
      <c r="S127" s="187" t="s">
        <v>767</v>
      </c>
      <c r="T127" s="187" t="s">
        <v>743</v>
      </c>
      <c r="U127" s="187" t="s">
        <v>1055</v>
      </c>
    </row>
    <row r="128" spans="2:21" x14ac:dyDescent="0.2">
      <c r="B128" s="187">
        <v>123</v>
      </c>
      <c r="C128" s="188" t="s">
        <v>333</v>
      </c>
      <c r="D128" s="188" t="s">
        <v>332</v>
      </c>
      <c r="E128" s="208">
        <v>30152537</v>
      </c>
      <c r="F128" s="208">
        <v>183423</v>
      </c>
      <c r="G128" s="208">
        <v>0</v>
      </c>
      <c r="H128" s="208">
        <v>99862</v>
      </c>
      <c r="I128" s="208">
        <v>0</v>
      </c>
      <c r="J128" s="208">
        <v>99862</v>
      </c>
      <c r="K128" s="208">
        <v>0</v>
      </c>
      <c r="L128" s="208">
        <v>0</v>
      </c>
      <c r="M128" s="208">
        <v>0</v>
      </c>
      <c r="N128" s="208">
        <v>0</v>
      </c>
      <c r="O128" s="208">
        <v>0</v>
      </c>
      <c r="P128" s="208">
        <v>0</v>
      </c>
      <c r="Q128" s="208">
        <v>30236098</v>
      </c>
      <c r="R128" s="187" t="s">
        <v>332</v>
      </c>
      <c r="S128" s="187" t="s">
        <v>761</v>
      </c>
      <c r="T128" s="187" t="s">
        <v>760</v>
      </c>
      <c r="U128" s="187" t="s">
        <v>1054</v>
      </c>
    </row>
    <row r="129" spans="1:21" x14ac:dyDescent="0.2">
      <c r="B129" s="187">
        <v>124</v>
      </c>
      <c r="C129" s="188" t="s">
        <v>335</v>
      </c>
      <c r="D129" s="188" t="s">
        <v>334</v>
      </c>
      <c r="E129" s="208">
        <v>31273262</v>
      </c>
      <c r="F129" s="208">
        <v>0</v>
      </c>
      <c r="G129" s="208">
        <v>1167472</v>
      </c>
      <c r="H129" s="208">
        <v>114740</v>
      </c>
      <c r="I129" s="208">
        <v>0</v>
      </c>
      <c r="J129" s="208">
        <v>114740</v>
      </c>
      <c r="K129" s="208">
        <v>0</v>
      </c>
      <c r="L129" s="208">
        <v>78512</v>
      </c>
      <c r="M129" s="208">
        <v>0</v>
      </c>
      <c r="N129" s="208">
        <v>0</v>
      </c>
      <c r="O129" s="208">
        <v>0</v>
      </c>
      <c r="P129" s="208">
        <v>0</v>
      </c>
      <c r="Q129" s="208">
        <v>29912538</v>
      </c>
      <c r="R129" s="187" t="s">
        <v>847</v>
      </c>
      <c r="S129" s="187" t="s">
        <v>742</v>
      </c>
      <c r="T129" s="187" t="s">
        <v>798</v>
      </c>
      <c r="U129" s="187" t="s">
        <v>742</v>
      </c>
    </row>
    <row r="130" spans="1:21" x14ac:dyDescent="0.2">
      <c r="B130" s="187">
        <v>125</v>
      </c>
      <c r="C130" s="188" t="s">
        <v>337</v>
      </c>
      <c r="D130" s="188" t="s">
        <v>336</v>
      </c>
      <c r="E130" s="208">
        <v>20921236</v>
      </c>
      <c r="F130" s="208">
        <v>3224</v>
      </c>
      <c r="G130" s="208">
        <v>0</v>
      </c>
      <c r="H130" s="208">
        <v>131620</v>
      </c>
      <c r="I130" s="208">
        <v>0</v>
      </c>
      <c r="J130" s="208">
        <v>131620</v>
      </c>
      <c r="K130" s="208">
        <v>0</v>
      </c>
      <c r="L130" s="208">
        <v>0</v>
      </c>
      <c r="M130" s="208">
        <v>0</v>
      </c>
      <c r="N130" s="208">
        <v>0</v>
      </c>
      <c r="O130" s="208">
        <v>0</v>
      </c>
      <c r="P130" s="208">
        <v>0</v>
      </c>
      <c r="Q130" s="208">
        <v>20792840</v>
      </c>
      <c r="R130" s="187" t="s">
        <v>336</v>
      </c>
      <c r="S130" s="187" t="s">
        <v>777</v>
      </c>
      <c r="T130" s="187" t="s">
        <v>776</v>
      </c>
      <c r="U130" s="187" t="s">
        <v>1054</v>
      </c>
    </row>
    <row r="131" spans="1:21" x14ac:dyDescent="0.2">
      <c r="B131" s="187">
        <v>126</v>
      </c>
      <c r="C131" s="188" t="s">
        <v>339</v>
      </c>
      <c r="D131" s="188" t="s">
        <v>338</v>
      </c>
      <c r="E131" s="208">
        <v>35772562</v>
      </c>
      <c r="F131" s="208">
        <v>0</v>
      </c>
      <c r="G131" s="208">
        <v>867703</v>
      </c>
      <c r="H131" s="208">
        <v>137914</v>
      </c>
      <c r="I131" s="208">
        <v>0</v>
      </c>
      <c r="J131" s="208">
        <v>137914</v>
      </c>
      <c r="K131" s="208">
        <v>0</v>
      </c>
      <c r="L131" s="208">
        <v>0</v>
      </c>
      <c r="M131" s="208">
        <v>0</v>
      </c>
      <c r="N131" s="208">
        <v>0</v>
      </c>
      <c r="O131" s="208">
        <v>0</v>
      </c>
      <c r="P131" s="208">
        <v>0</v>
      </c>
      <c r="Q131" s="208">
        <v>34766945</v>
      </c>
      <c r="R131" s="187" t="s">
        <v>338</v>
      </c>
      <c r="S131" s="187" t="s">
        <v>761</v>
      </c>
      <c r="T131" s="187" t="s">
        <v>760</v>
      </c>
      <c r="U131" s="187" t="s">
        <v>1054</v>
      </c>
    </row>
    <row r="132" spans="1:21" x14ac:dyDescent="0.2">
      <c r="A132" s="188"/>
      <c r="B132" s="187">
        <v>127</v>
      </c>
      <c r="C132" s="188" t="s">
        <v>341</v>
      </c>
      <c r="D132" s="188" t="s">
        <v>340</v>
      </c>
      <c r="E132" s="208">
        <v>77595238</v>
      </c>
      <c r="F132" s="208">
        <v>1575672</v>
      </c>
      <c r="G132" s="208">
        <v>0</v>
      </c>
      <c r="H132" s="208">
        <v>272140</v>
      </c>
      <c r="I132" s="208">
        <v>0</v>
      </c>
      <c r="J132" s="208">
        <v>272140</v>
      </c>
      <c r="K132" s="208">
        <v>0</v>
      </c>
      <c r="L132" s="208">
        <v>0</v>
      </c>
      <c r="M132" s="208">
        <v>0</v>
      </c>
      <c r="N132" s="208">
        <v>0</v>
      </c>
      <c r="O132" s="208">
        <v>0</v>
      </c>
      <c r="P132" s="208">
        <v>0</v>
      </c>
      <c r="Q132" s="208">
        <v>78898770</v>
      </c>
      <c r="R132" s="187" t="s">
        <v>340</v>
      </c>
      <c r="S132" s="187" t="s">
        <v>767</v>
      </c>
      <c r="T132" s="187" t="s">
        <v>743</v>
      </c>
      <c r="U132" s="187" t="s">
        <v>1055</v>
      </c>
    </row>
    <row r="133" spans="1:21" x14ac:dyDescent="0.2">
      <c r="B133" s="187">
        <v>128</v>
      </c>
      <c r="C133" s="188" t="s">
        <v>343</v>
      </c>
      <c r="D133" s="188" t="s">
        <v>342</v>
      </c>
      <c r="E133" s="208">
        <v>45205473</v>
      </c>
      <c r="F133" s="208">
        <v>808374</v>
      </c>
      <c r="G133" s="208">
        <v>0</v>
      </c>
      <c r="H133" s="208">
        <v>300791</v>
      </c>
      <c r="I133" s="208">
        <v>0</v>
      </c>
      <c r="J133" s="208">
        <v>300791</v>
      </c>
      <c r="K133" s="208">
        <v>0</v>
      </c>
      <c r="L133" s="208">
        <v>77445</v>
      </c>
      <c r="M133" s="208">
        <v>177704</v>
      </c>
      <c r="N133" s="208">
        <v>177704</v>
      </c>
      <c r="O133" s="208">
        <v>0</v>
      </c>
      <c r="P133" s="208">
        <v>0</v>
      </c>
      <c r="Q133" s="208">
        <v>45457907</v>
      </c>
      <c r="R133" s="187" t="s">
        <v>846</v>
      </c>
      <c r="S133" s="187" t="s">
        <v>742</v>
      </c>
      <c r="T133" s="187" t="s">
        <v>745</v>
      </c>
      <c r="U133" s="187" t="s">
        <v>742</v>
      </c>
    </row>
    <row r="134" spans="1:21" x14ac:dyDescent="0.2">
      <c r="B134" s="187">
        <v>129</v>
      </c>
      <c r="C134" s="188" t="s">
        <v>345</v>
      </c>
      <c r="D134" s="188" t="s">
        <v>344</v>
      </c>
      <c r="E134" s="208">
        <v>45138080</v>
      </c>
      <c r="F134" s="208">
        <v>0</v>
      </c>
      <c r="G134" s="208">
        <v>318615</v>
      </c>
      <c r="H134" s="208">
        <v>151694</v>
      </c>
      <c r="I134" s="208">
        <v>0</v>
      </c>
      <c r="J134" s="208">
        <v>151694</v>
      </c>
      <c r="K134" s="208">
        <v>0</v>
      </c>
      <c r="L134" s="208">
        <v>0</v>
      </c>
      <c r="M134" s="208">
        <v>0</v>
      </c>
      <c r="N134" s="208">
        <v>0</v>
      </c>
      <c r="O134" s="208">
        <v>0</v>
      </c>
      <c r="P134" s="208">
        <v>0</v>
      </c>
      <c r="Q134" s="208">
        <v>44667771</v>
      </c>
      <c r="R134" s="187" t="s">
        <v>344</v>
      </c>
      <c r="S134" s="187" t="s">
        <v>774</v>
      </c>
      <c r="T134" s="187" t="s">
        <v>751</v>
      </c>
      <c r="U134" s="187" t="s">
        <v>1054</v>
      </c>
    </row>
    <row r="135" spans="1:21" x14ac:dyDescent="0.2">
      <c r="B135" s="187">
        <v>130</v>
      </c>
      <c r="C135" s="188" t="s">
        <v>347</v>
      </c>
      <c r="D135" s="188" t="s">
        <v>346</v>
      </c>
      <c r="E135" s="208">
        <v>24657248</v>
      </c>
      <c r="F135" s="208">
        <v>1186010</v>
      </c>
      <c r="G135" s="208">
        <v>0</v>
      </c>
      <c r="H135" s="208">
        <v>136210</v>
      </c>
      <c r="I135" s="208">
        <v>0</v>
      </c>
      <c r="J135" s="208">
        <v>136210</v>
      </c>
      <c r="K135" s="208">
        <v>0</v>
      </c>
      <c r="L135" s="208">
        <v>0</v>
      </c>
      <c r="M135" s="208">
        <v>0</v>
      </c>
      <c r="N135" s="208">
        <v>0</v>
      </c>
      <c r="O135" s="208">
        <v>0</v>
      </c>
      <c r="P135" s="208">
        <v>0</v>
      </c>
      <c r="Q135" s="208">
        <v>25707048</v>
      </c>
      <c r="R135" s="187" t="s">
        <v>346</v>
      </c>
      <c r="S135" s="187" t="s">
        <v>807</v>
      </c>
      <c r="T135" s="187" t="s">
        <v>806</v>
      </c>
      <c r="U135" s="187" t="s">
        <v>1054</v>
      </c>
    </row>
    <row r="136" spans="1:21" x14ac:dyDescent="0.2">
      <c r="B136" s="187">
        <v>131</v>
      </c>
      <c r="C136" s="188" t="s">
        <v>349</v>
      </c>
      <c r="D136" s="188" t="s">
        <v>348</v>
      </c>
      <c r="E136" s="208">
        <v>385385476</v>
      </c>
      <c r="F136" s="208">
        <v>0</v>
      </c>
      <c r="G136" s="208">
        <v>18682822</v>
      </c>
      <c r="H136" s="208">
        <v>574046</v>
      </c>
      <c r="I136" s="208">
        <v>0</v>
      </c>
      <c r="J136" s="208">
        <v>574046</v>
      </c>
      <c r="K136" s="208">
        <v>0</v>
      </c>
      <c r="L136" s="208">
        <v>0</v>
      </c>
      <c r="M136" s="208">
        <v>0</v>
      </c>
      <c r="N136" s="208">
        <v>0</v>
      </c>
      <c r="O136" s="208">
        <v>0</v>
      </c>
      <c r="P136" s="208">
        <v>0</v>
      </c>
      <c r="Q136" s="208">
        <v>366128608</v>
      </c>
      <c r="R136" s="187" t="s">
        <v>348</v>
      </c>
      <c r="S136" s="187" t="s">
        <v>767</v>
      </c>
      <c r="T136" s="187" t="s">
        <v>743</v>
      </c>
      <c r="U136" s="187" t="s">
        <v>1055</v>
      </c>
    </row>
    <row r="137" spans="1:21" x14ac:dyDescent="0.2">
      <c r="A137" s="188"/>
      <c r="B137" s="187">
        <v>132</v>
      </c>
      <c r="C137" s="188" t="s">
        <v>351</v>
      </c>
      <c r="D137" s="188" t="s">
        <v>350</v>
      </c>
      <c r="E137" s="208">
        <v>32030945</v>
      </c>
      <c r="F137" s="208">
        <v>437177</v>
      </c>
      <c r="G137" s="208">
        <v>0</v>
      </c>
      <c r="H137" s="208">
        <v>126266</v>
      </c>
      <c r="I137" s="208">
        <v>0</v>
      </c>
      <c r="J137" s="208">
        <v>126266</v>
      </c>
      <c r="K137" s="208">
        <v>0</v>
      </c>
      <c r="L137" s="208">
        <v>80136</v>
      </c>
      <c r="M137" s="208">
        <v>78899</v>
      </c>
      <c r="N137" s="208">
        <v>78899</v>
      </c>
      <c r="O137" s="208">
        <v>0</v>
      </c>
      <c r="P137" s="208">
        <v>0</v>
      </c>
      <c r="Q137" s="208">
        <v>32182821</v>
      </c>
      <c r="R137" s="187" t="s">
        <v>845</v>
      </c>
      <c r="S137" s="187" t="s">
        <v>825</v>
      </c>
      <c r="T137" s="187" t="s">
        <v>813</v>
      </c>
      <c r="U137" s="187" t="s">
        <v>1054</v>
      </c>
    </row>
    <row r="138" spans="1:21" x14ac:dyDescent="0.2">
      <c r="B138" s="187">
        <v>133</v>
      </c>
      <c r="C138" s="188" t="s">
        <v>353</v>
      </c>
      <c r="D138" s="188" t="s">
        <v>352</v>
      </c>
      <c r="E138" s="208">
        <v>40995192</v>
      </c>
      <c r="F138" s="208">
        <v>839149</v>
      </c>
      <c r="G138" s="208">
        <v>0</v>
      </c>
      <c r="H138" s="208">
        <v>180268</v>
      </c>
      <c r="I138" s="208">
        <v>0</v>
      </c>
      <c r="J138" s="208">
        <v>180268</v>
      </c>
      <c r="K138" s="208">
        <v>0</v>
      </c>
      <c r="L138" s="208">
        <v>0</v>
      </c>
      <c r="M138" s="208">
        <v>0</v>
      </c>
      <c r="N138" s="208">
        <v>0</v>
      </c>
      <c r="O138" s="208">
        <v>0</v>
      </c>
      <c r="P138" s="208">
        <v>0</v>
      </c>
      <c r="Q138" s="208">
        <v>41654073</v>
      </c>
      <c r="R138" s="187" t="s">
        <v>352</v>
      </c>
      <c r="S138" s="187" t="s">
        <v>752</v>
      </c>
      <c r="T138" s="187" t="s">
        <v>751</v>
      </c>
      <c r="U138" s="187" t="s">
        <v>1054</v>
      </c>
    </row>
    <row r="139" spans="1:21" x14ac:dyDescent="0.2">
      <c r="B139" s="187">
        <v>134</v>
      </c>
      <c r="C139" s="188" t="s">
        <v>355</v>
      </c>
      <c r="D139" s="188" t="s">
        <v>354</v>
      </c>
      <c r="E139" s="208">
        <v>191496314</v>
      </c>
      <c r="F139" s="208">
        <v>4851730</v>
      </c>
      <c r="G139" s="208">
        <v>0</v>
      </c>
      <c r="H139" s="208">
        <v>418053</v>
      </c>
      <c r="I139" s="208">
        <v>0</v>
      </c>
      <c r="J139" s="208">
        <v>418053</v>
      </c>
      <c r="K139" s="208">
        <v>0</v>
      </c>
      <c r="L139" s="208">
        <v>0</v>
      </c>
      <c r="M139" s="208">
        <v>0</v>
      </c>
      <c r="N139" s="208">
        <v>0</v>
      </c>
      <c r="O139" s="208">
        <v>0</v>
      </c>
      <c r="P139" s="208">
        <v>0</v>
      </c>
      <c r="Q139" s="208">
        <v>195929991</v>
      </c>
      <c r="R139" s="187" t="s">
        <v>354</v>
      </c>
      <c r="S139" s="187" t="s">
        <v>767</v>
      </c>
      <c r="T139" s="187" t="s">
        <v>743</v>
      </c>
      <c r="U139" s="187" t="s">
        <v>1055</v>
      </c>
    </row>
    <row r="140" spans="1:21" x14ac:dyDescent="0.2">
      <c r="B140" s="187">
        <v>135</v>
      </c>
      <c r="C140" s="188" t="s">
        <v>357</v>
      </c>
      <c r="D140" s="188" t="s">
        <v>356</v>
      </c>
      <c r="E140" s="208">
        <v>64618069</v>
      </c>
      <c r="F140" s="208">
        <v>0</v>
      </c>
      <c r="G140" s="208">
        <v>996266</v>
      </c>
      <c r="H140" s="208">
        <v>215821</v>
      </c>
      <c r="I140" s="208">
        <v>0</v>
      </c>
      <c r="J140" s="208">
        <v>215821</v>
      </c>
      <c r="K140" s="208">
        <v>0</v>
      </c>
      <c r="L140" s="208">
        <v>1132448</v>
      </c>
      <c r="M140" s="208">
        <v>879563</v>
      </c>
      <c r="N140" s="208">
        <v>879563</v>
      </c>
      <c r="O140" s="208">
        <v>0</v>
      </c>
      <c r="P140" s="208">
        <v>0</v>
      </c>
      <c r="Q140" s="208">
        <v>61393971</v>
      </c>
      <c r="R140" s="187" t="s">
        <v>356</v>
      </c>
      <c r="S140" s="187" t="s">
        <v>809</v>
      </c>
      <c r="T140" s="187" t="s">
        <v>808</v>
      </c>
      <c r="U140" s="187" t="s">
        <v>1054</v>
      </c>
    </row>
    <row r="141" spans="1:21" x14ac:dyDescent="0.2">
      <c r="B141" s="187">
        <v>136</v>
      </c>
      <c r="C141" s="188" t="s">
        <v>359</v>
      </c>
      <c r="D141" s="188" t="s">
        <v>358</v>
      </c>
      <c r="E141" s="208">
        <v>18952633</v>
      </c>
      <c r="F141" s="208">
        <v>0</v>
      </c>
      <c r="G141" s="208">
        <v>678278</v>
      </c>
      <c r="H141" s="208">
        <v>124871</v>
      </c>
      <c r="I141" s="208">
        <v>0</v>
      </c>
      <c r="J141" s="208">
        <v>124871</v>
      </c>
      <c r="K141" s="208">
        <v>0</v>
      </c>
      <c r="L141" s="208">
        <v>0</v>
      </c>
      <c r="M141" s="208">
        <v>0</v>
      </c>
      <c r="N141" s="208">
        <v>0</v>
      </c>
      <c r="O141" s="208">
        <v>0</v>
      </c>
      <c r="P141" s="208">
        <v>0</v>
      </c>
      <c r="Q141" s="208">
        <v>18149484</v>
      </c>
      <c r="R141" s="187" t="s">
        <v>358</v>
      </c>
      <c r="S141" s="187" t="s">
        <v>748</v>
      </c>
      <c r="T141" s="187" t="s">
        <v>747</v>
      </c>
      <c r="U141" s="187" t="s">
        <v>1054</v>
      </c>
    </row>
    <row r="142" spans="1:21" x14ac:dyDescent="0.2">
      <c r="A142" s="188"/>
      <c r="B142" s="187">
        <v>137</v>
      </c>
      <c r="C142" s="188" t="s">
        <v>361</v>
      </c>
      <c r="D142" s="188" t="s">
        <v>360</v>
      </c>
      <c r="E142" s="208">
        <v>55107094</v>
      </c>
      <c r="F142" s="208">
        <v>0</v>
      </c>
      <c r="G142" s="208">
        <v>1232033</v>
      </c>
      <c r="H142" s="208">
        <v>186210</v>
      </c>
      <c r="I142" s="208">
        <v>0</v>
      </c>
      <c r="J142" s="208">
        <v>186210</v>
      </c>
      <c r="K142" s="208">
        <v>0</v>
      </c>
      <c r="L142" s="208">
        <v>567870</v>
      </c>
      <c r="M142" s="208">
        <v>3217</v>
      </c>
      <c r="N142" s="208">
        <v>3109</v>
      </c>
      <c r="O142" s="208">
        <v>108</v>
      </c>
      <c r="P142" s="208">
        <v>0</v>
      </c>
      <c r="Q142" s="208">
        <v>53117764</v>
      </c>
      <c r="R142" s="187" t="s">
        <v>360</v>
      </c>
      <c r="S142" s="187" t="s">
        <v>778</v>
      </c>
      <c r="T142" s="187" t="s">
        <v>751</v>
      </c>
      <c r="U142" s="187" t="s">
        <v>1054</v>
      </c>
    </row>
    <row r="143" spans="1:21" x14ac:dyDescent="0.2">
      <c r="B143" s="187">
        <v>138</v>
      </c>
      <c r="C143" s="188" t="s">
        <v>363</v>
      </c>
      <c r="D143" s="188" t="s">
        <v>362</v>
      </c>
      <c r="E143" s="208">
        <v>37576777</v>
      </c>
      <c r="F143" s="208">
        <v>1605668</v>
      </c>
      <c r="G143" s="208">
        <v>0</v>
      </c>
      <c r="H143" s="208">
        <v>263701</v>
      </c>
      <c r="I143" s="208">
        <v>0</v>
      </c>
      <c r="J143" s="208">
        <v>263701</v>
      </c>
      <c r="K143" s="208">
        <v>0</v>
      </c>
      <c r="L143" s="208">
        <v>0</v>
      </c>
      <c r="M143" s="208">
        <v>277491</v>
      </c>
      <c r="N143" s="208">
        <v>277491</v>
      </c>
      <c r="O143" s="208">
        <v>0</v>
      </c>
      <c r="P143" s="208">
        <v>0</v>
      </c>
      <c r="Q143" s="208">
        <v>38641253</v>
      </c>
      <c r="R143" s="187" t="s">
        <v>844</v>
      </c>
      <c r="S143" s="187" t="s">
        <v>742</v>
      </c>
      <c r="T143" s="187" t="s">
        <v>751</v>
      </c>
      <c r="U143" s="187" t="s">
        <v>742</v>
      </c>
    </row>
    <row r="144" spans="1:21" x14ac:dyDescent="0.2">
      <c r="B144" s="187">
        <v>139</v>
      </c>
      <c r="C144" s="188" t="s">
        <v>365</v>
      </c>
      <c r="D144" s="188" t="s">
        <v>364</v>
      </c>
      <c r="E144" s="208">
        <v>1504023</v>
      </c>
      <c r="F144" s="208">
        <v>14310</v>
      </c>
      <c r="G144" s="208">
        <v>0</v>
      </c>
      <c r="H144" s="208">
        <v>24069</v>
      </c>
      <c r="I144" s="208">
        <v>0</v>
      </c>
      <c r="J144" s="208">
        <v>24069</v>
      </c>
      <c r="K144" s="208">
        <v>0</v>
      </c>
      <c r="L144" s="208">
        <v>0</v>
      </c>
      <c r="M144" s="208">
        <v>0</v>
      </c>
      <c r="N144" s="208">
        <v>0</v>
      </c>
      <c r="O144" s="208">
        <v>0</v>
      </c>
      <c r="P144" s="208">
        <v>0</v>
      </c>
      <c r="Q144" s="208">
        <v>1494264</v>
      </c>
      <c r="R144" s="187" t="s">
        <v>364</v>
      </c>
      <c r="S144" s="187" t="s">
        <v>742</v>
      </c>
      <c r="T144" s="187" t="s">
        <v>751</v>
      </c>
      <c r="U144" s="187" t="s">
        <v>742</v>
      </c>
    </row>
    <row r="145" spans="1:21" x14ac:dyDescent="0.2">
      <c r="B145" s="187">
        <v>140</v>
      </c>
      <c r="C145" s="188" t="s">
        <v>367</v>
      </c>
      <c r="D145" s="188" t="s">
        <v>366</v>
      </c>
      <c r="E145" s="208">
        <v>275235890</v>
      </c>
      <c r="F145" s="208">
        <v>18380908</v>
      </c>
      <c r="G145" s="208">
        <v>0</v>
      </c>
      <c r="H145" s="208">
        <v>706880</v>
      </c>
      <c r="I145" s="208">
        <v>0</v>
      </c>
      <c r="J145" s="208">
        <v>706880</v>
      </c>
      <c r="K145" s="208">
        <v>0</v>
      </c>
      <c r="L145" s="208">
        <v>0</v>
      </c>
      <c r="M145" s="208">
        <v>76437</v>
      </c>
      <c r="N145" s="208">
        <v>76437</v>
      </c>
      <c r="O145" s="208">
        <v>0</v>
      </c>
      <c r="P145" s="208">
        <v>0</v>
      </c>
      <c r="Q145" s="208">
        <v>292833481</v>
      </c>
      <c r="R145" s="187" t="s">
        <v>366</v>
      </c>
      <c r="S145" s="187" t="s">
        <v>767</v>
      </c>
      <c r="T145" s="187" t="s">
        <v>743</v>
      </c>
      <c r="U145" s="187" t="s">
        <v>1057</v>
      </c>
    </row>
    <row r="146" spans="1:21" x14ac:dyDescent="0.2">
      <c r="B146" s="187">
        <v>141</v>
      </c>
      <c r="C146" s="188" t="s">
        <v>369</v>
      </c>
      <c r="D146" s="188" t="s">
        <v>368</v>
      </c>
      <c r="E146" s="208">
        <v>329255649</v>
      </c>
      <c r="F146" s="208">
        <v>6799908</v>
      </c>
      <c r="G146" s="208">
        <v>0</v>
      </c>
      <c r="H146" s="208">
        <v>654901</v>
      </c>
      <c r="I146" s="208">
        <v>0</v>
      </c>
      <c r="J146" s="208">
        <v>654901</v>
      </c>
      <c r="K146" s="208">
        <v>0</v>
      </c>
      <c r="L146" s="208">
        <v>0</v>
      </c>
      <c r="M146" s="208">
        <v>0</v>
      </c>
      <c r="N146" s="208">
        <v>0</v>
      </c>
      <c r="O146" s="208">
        <v>0</v>
      </c>
      <c r="P146" s="208">
        <v>0</v>
      </c>
      <c r="Q146" s="208">
        <v>335400656</v>
      </c>
      <c r="R146" s="187" t="s">
        <v>843</v>
      </c>
      <c r="S146" s="187" t="s">
        <v>767</v>
      </c>
      <c r="T146" s="187" t="s">
        <v>743</v>
      </c>
      <c r="U146" s="187" t="s">
        <v>1057</v>
      </c>
    </row>
    <row r="147" spans="1:21" x14ac:dyDescent="0.2">
      <c r="B147" s="187">
        <v>142</v>
      </c>
      <c r="C147" s="188" t="s">
        <v>371</v>
      </c>
      <c r="D147" s="188" t="s">
        <v>370</v>
      </c>
      <c r="E147" s="208">
        <v>32760048</v>
      </c>
      <c r="F147" s="208">
        <v>0</v>
      </c>
      <c r="G147" s="208">
        <v>239679</v>
      </c>
      <c r="H147" s="208">
        <v>109312</v>
      </c>
      <c r="I147" s="208">
        <v>0</v>
      </c>
      <c r="J147" s="208">
        <v>109312</v>
      </c>
      <c r="K147" s="208">
        <v>0</v>
      </c>
      <c r="L147" s="208">
        <v>0</v>
      </c>
      <c r="M147" s="208">
        <v>347536</v>
      </c>
      <c r="N147" s="208">
        <v>347536</v>
      </c>
      <c r="O147" s="208">
        <v>0</v>
      </c>
      <c r="P147" s="208">
        <v>0</v>
      </c>
      <c r="Q147" s="208">
        <v>32063521</v>
      </c>
      <c r="R147" s="187" t="s">
        <v>370</v>
      </c>
      <c r="S147" s="187" t="s">
        <v>775</v>
      </c>
      <c r="T147" s="187" t="s">
        <v>751</v>
      </c>
      <c r="U147" s="187" t="s">
        <v>1054</v>
      </c>
    </row>
    <row r="148" spans="1:21" x14ac:dyDescent="0.2">
      <c r="A148" s="187" t="s">
        <v>1817</v>
      </c>
      <c r="B148" s="187">
        <v>143</v>
      </c>
      <c r="C148" s="188" t="s">
        <v>373</v>
      </c>
      <c r="D148" s="188" t="s">
        <v>372</v>
      </c>
      <c r="E148" s="208">
        <v>46584983</v>
      </c>
      <c r="F148" s="208">
        <v>0</v>
      </c>
      <c r="G148" s="208">
        <v>114411</v>
      </c>
      <c r="H148" s="208">
        <v>219879</v>
      </c>
      <c r="I148" s="208">
        <v>0</v>
      </c>
      <c r="J148" s="208">
        <v>219879</v>
      </c>
      <c r="K148" s="208">
        <v>0</v>
      </c>
      <c r="L148" s="208">
        <v>0</v>
      </c>
      <c r="M148" s="208">
        <v>3162615</v>
      </c>
      <c r="N148" s="208">
        <v>3162615</v>
      </c>
      <c r="O148" s="208">
        <v>0</v>
      </c>
      <c r="P148" s="208">
        <v>0</v>
      </c>
      <c r="Q148" s="208">
        <v>43088078</v>
      </c>
      <c r="R148" s="187" t="s">
        <v>842</v>
      </c>
      <c r="S148" s="187" t="s">
        <v>802</v>
      </c>
      <c r="T148" s="187" t="s">
        <v>751</v>
      </c>
      <c r="U148" s="187" t="s">
        <v>1054</v>
      </c>
    </row>
    <row r="149" spans="1:21" x14ac:dyDescent="0.2">
      <c r="B149" s="187">
        <v>144</v>
      </c>
      <c r="C149" s="188" t="s">
        <v>375</v>
      </c>
      <c r="D149" s="188" t="s">
        <v>374</v>
      </c>
      <c r="E149" s="208">
        <v>78709746</v>
      </c>
      <c r="F149" s="208">
        <v>0</v>
      </c>
      <c r="G149" s="208">
        <v>2878894</v>
      </c>
      <c r="H149" s="208">
        <v>356351</v>
      </c>
      <c r="I149" s="208">
        <v>0</v>
      </c>
      <c r="J149" s="208">
        <v>356351</v>
      </c>
      <c r="K149" s="208">
        <v>0</v>
      </c>
      <c r="L149" s="208">
        <v>2857973</v>
      </c>
      <c r="M149" s="208">
        <v>50509</v>
      </c>
      <c r="N149" s="208">
        <v>50509</v>
      </c>
      <c r="O149" s="208">
        <v>0</v>
      </c>
      <c r="P149" s="208">
        <v>0</v>
      </c>
      <c r="Q149" s="208">
        <v>72566019</v>
      </c>
      <c r="R149" s="187" t="s">
        <v>841</v>
      </c>
      <c r="S149" s="187" t="s">
        <v>742</v>
      </c>
      <c r="T149" s="187" t="s">
        <v>830</v>
      </c>
      <c r="U149" s="187" t="s">
        <v>742</v>
      </c>
    </row>
    <row r="150" spans="1:21" x14ac:dyDescent="0.2">
      <c r="B150" s="187">
        <v>145</v>
      </c>
      <c r="C150" s="188" t="s">
        <v>377</v>
      </c>
      <c r="D150" s="188" t="s">
        <v>376</v>
      </c>
      <c r="E150" s="208">
        <v>85365315</v>
      </c>
      <c r="F150" s="208">
        <v>0</v>
      </c>
      <c r="G150" s="208">
        <v>322563</v>
      </c>
      <c r="H150" s="208">
        <v>242238</v>
      </c>
      <c r="I150" s="208">
        <v>0</v>
      </c>
      <c r="J150" s="208">
        <v>242238</v>
      </c>
      <c r="K150" s="208">
        <v>0</v>
      </c>
      <c r="L150" s="208">
        <v>0</v>
      </c>
      <c r="M150" s="208">
        <v>0</v>
      </c>
      <c r="N150" s="208">
        <v>0</v>
      </c>
      <c r="O150" s="208">
        <v>0</v>
      </c>
      <c r="P150" s="208">
        <v>0</v>
      </c>
      <c r="Q150" s="208">
        <v>84800514</v>
      </c>
      <c r="R150" s="187" t="s">
        <v>840</v>
      </c>
      <c r="S150" s="187" t="s">
        <v>767</v>
      </c>
      <c r="T150" s="187" t="s">
        <v>743</v>
      </c>
      <c r="U150" s="187" t="s">
        <v>1055</v>
      </c>
    </row>
    <row r="151" spans="1:21" x14ac:dyDescent="0.2">
      <c r="B151" s="187">
        <v>146</v>
      </c>
      <c r="C151" s="188" t="s">
        <v>379</v>
      </c>
      <c r="D151" s="188" t="s">
        <v>378</v>
      </c>
      <c r="E151" s="208">
        <v>111555251</v>
      </c>
      <c r="F151" s="208">
        <v>0</v>
      </c>
      <c r="G151" s="208">
        <v>1447118</v>
      </c>
      <c r="H151" s="208">
        <v>598520</v>
      </c>
      <c r="I151" s="208">
        <v>0</v>
      </c>
      <c r="J151" s="208">
        <v>598520</v>
      </c>
      <c r="K151" s="208">
        <v>0</v>
      </c>
      <c r="L151" s="208">
        <v>72366</v>
      </c>
      <c r="M151" s="208">
        <v>0</v>
      </c>
      <c r="N151" s="208">
        <v>0</v>
      </c>
      <c r="O151" s="208">
        <v>0</v>
      </c>
      <c r="P151" s="208">
        <v>0</v>
      </c>
      <c r="Q151" s="208">
        <v>109437247</v>
      </c>
      <c r="R151" s="187" t="s">
        <v>378</v>
      </c>
      <c r="S151" s="187" t="s">
        <v>754</v>
      </c>
      <c r="T151" s="187" t="s">
        <v>782</v>
      </c>
      <c r="U151" s="187" t="s">
        <v>1056</v>
      </c>
    </row>
    <row r="152" spans="1:21" x14ac:dyDescent="0.2">
      <c r="B152" s="187">
        <v>147</v>
      </c>
      <c r="C152" s="188" t="s">
        <v>381</v>
      </c>
      <c r="D152" s="188" t="s">
        <v>380</v>
      </c>
      <c r="E152" s="208">
        <v>44771588</v>
      </c>
      <c r="F152" s="208">
        <v>832758</v>
      </c>
      <c r="G152" s="208">
        <v>0</v>
      </c>
      <c r="H152" s="208">
        <v>141368</v>
      </c>
      <c r="I152" s="208">
        <v>0</v>
      </c>
      <c r="J152" s="208">
        <v>141368</v>
      </c>
      <c r="K152" s="208">
        <v>0</v>
      </c>
      <c r="L152" s="208">
        <v>0</v>
      </c>
      <c r="M152" s="208">
        <v>0</v>
      </c>
      <c r="N152" s="208">
        <v>0</v>
      </c>
      <c r="O152" s="208">
        <v>0</v>
      </c>
      <c r="P152" s="208">
        <v>0</v>
      </c>
      <c r="Q152" s="208">
        <v>45462978</v>
      </c>
      <c r="R152" s="187" t="s">
        <v>380</v>
      </c>
      <c r="S152" s="187" t="s">
        <v>754</v>
      </c>
      <c r="T152" s="187" t="s">
        <v>758</v>
      </c>
      <c r="U152" s="187" t="s">
        <v>1056</v>
      </c>
    </row>
    <row r="153" spans="1:21" x14ac:dyDescent="0.2">
      <c r="B153" s="187">
        <v>148</v>
      </c>
      <c r="C153" s="188" t="s">
        <v>383</v>
      </c>
      <c r="D153" s="188" t="s">
        <v>382</v>
      </c>
      <c r="E153" s="208">
        <v>162316884</v>
      </c>
      <c r="F153" s="208">
        <v>11775095</v>
      </c>
      <c r="G153" s="208">
        <v>0</v>
      </c>
      <c r="H153" s="208">
        <v>507173</v>
      </c>
      <c r="I153" s="208">
        <v>0</v>
      </c>
      <c r="J153" s="208">
        <v>507173</v>
      </c>
      <c r="K153" s="208">
        <v>0</v>
      </c>
      <c r="L153" s="208">
        <v>0</v>
      </c>
      <c r="M153" s="208">
        <v>0</v>
      </c>
      <c r="N153" s="208">
        <v>0</v>
      </c>
      <c r="O153" s="208">
        <v>0</v>
      </c>
      <c r="P153" s="208">
        <v>0</v>
      </c>
      <c r="Q153" s="208">
        <v>173584806</v>
      </c>
      <c r="R153" s="187" t="s">
        <v>382</v>
      </c>
      <c r="S153" s="187" t="s">
        <v>767</v>
      </c>
      <c r="T153" s="187" t="s">
        <v>743</v>
      </c>
      <c r="U153" s="187" t="s">
        <v>1057</v>
      </c>
    </row>
    <row r="154" spans="1:21" x14ac:dyDescent="0.2">
      <c r="B154" s="187">
        <v>149</v>
      </c>
      <c r="C154" s="188" t="s">
        <v>385</v>
      </c>
      <c r="D154" s="188" t="s">
        <v>384</v>
      </c>
      <c r="E154" s="208">
        <v>62550849</v>
      </c>
      <c r="F154" s="208">
        <v>0</v>
      </c>
      <c r="G154" s="208">
        <v>379175</v>
      </c>
      <c r="H154" s="208">
        <v>214675</v>
      </c>
      <c r="I154" s="208">
        <v>0</v>
      </c>
      <c r="J154" s="208">
        <v>214675</v>
      </c>
      <c r="K154" s="208">
        <v>0</v>
      </c>
      <c r="L154" s="208">
        <v>0</v>
      </c>
      <c r="M154" s="208">
        <v>996554</v>
      </c>
      <c r="N154" s="208">
        <v>986922</v>
      </c>
      <c r="O154" s="208">
        <v>9632</v>
      </c>
      <c r="P154" s="208">
        <v>0</v>
      </c>
      <c r="Q154" s="208">
        <v>60960445</v>
      </c>
      <c r="R154" s="187" t="s">
        <v>384</v>
      </c>
      <c r="S154" s="187" t="s">
        <v>748</v>
      </c>
      <c r="T154" s="187" t="s">
        <v>747</v>
      </c>
      <c r="U154" s="187" t="s">
        <v>1054</v>
      </c>
    </row>
    <row r="155" spans="1:21" x14ac:dyDescent="0.2">
      <c r="B155" s="187">
        <v>150</v>
      </c>
      <c r="C155" s="188" t="s">
        <v>387</v>
      </c>
      <c r="D155" s="188" t="s">
        <v>386</v>
      </c>
      <c r="E155" s="208">
        <v>371605438</v>
      </c>
      <c r="F155" s="208">
        <v>0</v>
      </c>
      <c r="G155" s="208">
        <v>9747041</v>
      </c>
      <c r="H155" s="208">
        <v>1205212</v>
      </c>
      <c r="I155" s="208">
        <v>0</v>
      </c>
      <c r="J155" s="208">
        <v>1205212</v>
      </c>
      <c r="K155" s="208">
        <v>0</v>
      </c>
      <c r="L155" s="208">
        <v>1121248</v>
      </c>
      <c r="M155" s="208">
        <v>226148</v>
      </c>
      <c r="N155" s="208">
        <v>226148</v>
      </c>
      <c r="O155" s="208">
        <v>0</v>
      </c>
      <c r="P155" s="208">
        <v>0</v>
      </c>
      <c r="Q155" s="208">
        <v>359305789</v>
      </c>
      <c r="R155" s="187" t="s">
        <v>386</v>
      </c>
      <c r="S155" s="187" t="s">
        <v>754</v>
      </c>
      <c r="T155" s="187" t="s">
        <v>782</v>
      </c>
      <c r="U155" s="187" t="s">
        <v>1056</v>
      </c>
    </row>
    <row r="156" spans="1:21" x14ac:dyDescent="0.2">
      <c r="B156" s="187">
        <v>151</v>
      </c>
      <c r="C156" s="188" t="s">
        <v>389</v>
      </c>
      <c r="D156" s="188" t="s">
        <v>388</v>
      </c>
      <c r="E156" s="208">
        <v>101299640</v>
      </c>
      <c r="F156" s="208">
        <v>5918364</v>
      </c>
      <c r="G156" s="208">
        <v>0</v>
      </c>
      <c r="H156" s="208">
        <v>488823</v>
      </c>
      <c r="I156" s="208">
        <v>0</v>
      </c>
      <c r="J156" s="208">
        <v>488823</v>
      </c>
      <c r="K156" s="208">
        <v>0</v>
      </c>
      <c r="L156" s="208">
        <v>0</v>
      </c>
      <c r="M156" s="208">
        <v>0</v>
      </c>
      <c r="N156" s="208">
        <v>0</v>
      </c>
      <c r="O156" s="208">
        <v>0</v>
      </c>
      <c r="P156" s="208">
        <v>0</v>
      </c>
      <c r="Q156" s="208">
        <v>106729181</v>
      </c>
      <c r="R156" s="187" t="s">
        <v>839</v>
      </c>
      <c r="S156" s="187" t="s">
        <v>742</v>
      </c>
      <c r="T156" s="187" t="s">
        <v>813</v>
      </c>
      <c r="U156" s="187" t="s">
        <v>742</v>
      </c>
    </row>
    <row r="157" spans="1:21" x14ac:dyDescent="0.2">
      <c r="A157" s="187" t="s">
        <v>1811</v>
      </c>
      <c r="B157" s="187">
        <v>152</v>
      </c>
      <c r="C157" s="188" t="s">
        <v>391</v>
      </c>
      <c r="D157" s="188" t="s">
        <v>390</v>
      </c>
      <c r="E157" s="208">
        <v>25418310</v>
      </c>
      <c r="F157" s="208">
        <v>546244</v>
      </c>
      <c r="G157" s="208">
        <v>0</v>
      </c>
      <c r="H157" s="208">
        <v>134766</v>
      </c>
      <c r="I157" s="208">
        <v>0</v>
      </c>
      <c r="J157" s="208">
        <v>134766</v>
      </c>
      <c r="K157" s="208">
        <v>0</v>
      </c>
      <c r="L157" s="208">
        <v>342254</v>
      </c>
      <c r="M157" s="208">
        <v>0</v>
      </c>
      <c r="N157" s="208">
        <v>0</v>
      </c>
      <c r="O157" s="208">
        <v>0</v>
      </c>
      <c r="P157" s="208">
        <v>0</v>
      </c>
      <c r="Q157" s="208">
        <v>25487534</v>
      </c>
      <c r="R157" s="187" t="s">
        <v>390</v>
      </c>
      <c r="S157" s="187" t="s">
        <v>777</v>
      </c>
      <c r="T157" s="187" t="s">
        <v>776</v>
      </c>
      <c r="U157" s="187" t="s">
        <v>1054</v>
      </c>
    </row>
    <row r="158" spans="1:21" x14ac:dyDescent="0.2">
      <c r="B158" s="187">
        <v>153</v>
      </c>
      <c r="C158" s="188" t="s">
        <v>393</v>
      </c>
      <c r="D158" s="188" t="s">
        <v>392</v>
      </c>
      <c r="E158" s="208">
        <v>61559728</v>
      </c>
      <c r="F158" s="208">
        <v>3815031</v>
      </c>
      <c r="G158" s="208">
        <v>0</v>
      </c>
      <c r="H158" s="208">
        <v>305024</v>
      </c>
      <c r="I158" s="208">
        <v>0</v>
      </c>
      <c r="J158" s="208">
        <v>305024</v>
      </c>
      <c r="K158" s="208">
        <v>0</v>
      </c>
      <c r="L158" s="208">
        <v>0</v>
      </c>
      <c r="M158" s="208">
        <v>0</v>
      </c>
      <c r="N158" s="208">
        <v>0</v>
      </c>
      <c r="O158" s="208">
        <v>0</v>
      </c>
      <c r="P158" s="208">
        <v>0</v>
      </c>
      <c r="Q158" s="208">
        <v>65069735</v>
      </c>
      <c r="R158" s="187" t="s">
        <v>392</v>
      </c>
      <c r="S158" s="187" t="s">
        <v>767</v>
      </c>
      <c r="T158" s="187" t="s">
        <v>743</v>
      </c>
      <c r="U158" s="187" t="s">
        <v>1057</v>
      </c>
    </row>
    <row r="159" spans="1:21" x14ac:dyDescent="0.2">
      <c r="B159" s="187">
        <v>154</v>
      </c>
      <c r="C159" s="188" t="s">
        <v>395</v>
      </c>
      <c r="D159" s="188" t="s">
        <v>394</v>
      </c>
      <c r="E159" s="208">
        <v>36887630</v>
      </c>
      <c r="F159" s="208">
        <v>248996</v>
      </c>
      <c r="G159" s="208">
        <v>0</v>
      </c>
      <c r="H159" s="208">
        <v>123519</v>
      </c>
      <c r="I159" s="208">
        <v>0</v>
      </c>
      <c r="J159" s="208">
        <v>123519</v>
      </c>
      <c r="K159" s="208">
        <v>0</v>
      </c>
      <c r="L159" s="208">
        <v>0</v>
      </c>
      <c r="M159" s="208">
        <v>0</v>
      </c>
      <c r="N159" s="208">
        <v>0</v>
      </c>
      <c r="O159" s="208">
        <v>0</v>
      </c>
      <c r="P159" s="208">
        <v>0</v>
      </c>
      <c r="Q159" s="208">
        <v>37013107</v>
      </c>
      <c r="R159" s="187" t="s">
        <v>394</v>
      </c>
      <c r="S159" s="187" t="s">
        <v>794</v>
      </c>
      <c r="T159" s="187" t="s">
        <v>793</v>
      </c>
      <c r="U159" s="187" t="s">
        <v>1054</v>
      </c>
    </row>
    <row r="160" spans="1:21" x14ac:dyDescent="0.2">
      <c r="B160" s="187">
        <v>155</v>
      </c>
      <c r="C160" s="188" t="s">
        <v>397</v>
      </c>
      <c r="D160" s="188" t="s">
        <v>396</v>
      </c>
      <c r="E160" s="208">
        <v>45485189</v>
      </c>
      <c r="F160" s="208">
        <v>0</v>
      </c>
      <c r="G160" s="208">
        <v>34501</v>
      </c>
      <c r="H160" s="208">
        <v>144939</v>
      </c>
      <c r="I160" s="208">
        <v>0</v>
      </c>
      <c r="J160" s="208">
        <v>144939</v>
      </c>
      <c r="K160" s="208">
        <v>0</v>
      </c>
      <c r="L160" s="208">
        <v>0</v>
      </c>
      <c r="M160" s="208">
        <v>0</v>
      </c>
      <c r="N160" s="208">
        <v>0</v>
      </c>
      <c r="O160" s="208">
        <v>0</v>
      </c>
      <c r="P160" s="208">
        <v>0</v>
      </c>
      <c r="Q160" s="208">
        <v>45305749</v>
      </c>
      <c r="R160" s="187" t="s">
        <v>396</v>
      </c>
      <c r="S160" s="187" t="s">
        <v>771</v>
      </c>
      <c r="T160" s="187" t="s">
        <v>751</v>
      </c>
      <c r="U160" s="187" t="s">
        <v>1054</v>
      </c>
    </row>
    <row r="161" spans="2:21" x14ac:dyDescent="0.2">
      <c r="B161" s="187">
        <v>156</v>
      </c>
      <c r="C161" s="188" t="s">
        <v>399</v>
      </c>
      <c r="D161" s="188" t="s">
        <v>398</v>
      </c>
      <c r="E161" s="208">
        <v>195574827</v>
      </c>
      <c r="F161" s="208">
        <v>0</v>
      </c>
      <c r="G161" s="208">
        <v>3804829</v>
      </c>
      <c r="H161" s="208">
        <v>763373</v>
      </c>
      <c r="I161" s="208">
        <v>0</v>
      </c>
      <c r="J161" s="208">
        <v>763373</v>
      </c>
      <c r="K161" s="208">
        <v>0</v>
      </c>
      <c r="L161" s="208">
        <v>0</v>
      </c>
      <c r="M161" s="208">
        <v>0</v>
      </c>
      <c r="N161" s="208">
        <v>0</v>
      </c>
      <c r="O161" s="208">
        <v>0</v>
      </c>
      <c r="P161" s="208">
        <v>0</v>
      </c>
      <c r="Q161" s="208">
        <v>191006625</v>
      </c>
      <c r="R161" s="187" t="s">
        <v>398</v>
      </c>
      <c r="S161" s="187" t="s">
        <v>754</v>
      </c>
      <c r="T161" s="187" t="s">
        <v>758</v>
      </c>
      <c r="U161" s="187" t="s">
        <v>1056</v>
      </c>
    </row>
    <row r="162" spans="2:21" x14ac:dyDescent="0.2">
      <c r="B162" s="187">
        <v>157</v>
      </c>
      <c r="C162" s="188" t="s">
        <v>401</v>
      </c>
      <c r="D162" s="188" t="s">
        <v>400</v>
      </c>
      <c r="E162" s="208">
        <v>62734541</v>
      </c>
      <c r="F162" s="208">
        <v>236005</v>
      </c>
      <c r="G162" s="208">
        <v>0</v>
      </c>
      <c r="H162" s="208">
        <v>243357</v>
      </c>
      <c r="I162" s="208">
        <v>0</v>
      </c>
      <c r="J162" s="208">
        <v>243357</v>
      </c>
      <c r="K162" s="208">
        <v>0</v>
      </c>
      <c r="L162" s="208">
        <v>0</v>
      </c>
      <c r="M162" s="208">
        <v>0</v>
      </c>
      <c r="N162" s="208">
        <v>0</v>
      </c>
      <c r="O162" s="208">
        <v>0</v>
      </c>
      <c r="P162" s="208">
        <v>0</v>
      </c>
      <c r="Q162" s="208">
        <v>62727189</v>
      </c>
      <c r="R162" s="187" t="s">
        <v>838</v>
      </c>
      <c r="S162" s="187" t="s">
        <v>742</v>
      </c>
      <c r="T162" s="187" t="s">
        <v>837</v>
      </c>
      <c r="U162" s="187" t="s">
        <v>742</v>
      </c>
    </row>
    <row r="163" spans="2:21" x14ac:dyDescent="0.2">
      <c r="B163" s="187">
        <v>158</v>
      </c>
      <c r="C163" s="188" t="s">
        <v>403</v>
      </c>
      <c r="D163" s="188" t="s">
        <v>402</v>
      </c>
      <c r="E163" s="208">
        <v>59934340</v>
      </c>
      <c r="F163" s="208">
        <v>0</v>
      </c>
      <c r="G163" s="208">
        <v>1507823</v>
      </c>
      <c r="H163" s="208">
        <v>206311</v>
      </c>
      <c r="I163" s="208">
        <v>0</v>
      </c>
      <c r="J163" s="208">
        <v>206311</v>
      </c>
      <c r="K163" s="208">
        <v>0</v>
      </c>
      <c r="L163" s="208">
        <v>0</v>
      </c>
      <c r="M163" s="208">
        <v>32817</v>
      </c>
      <c r="N163" s="208">
        <v>32817</v>
      </c>
      <c r="O163" s="208">
        <v>0</v>
      </c>
      <c r="P163" s="208">
        <v>0</v>
      </c>
      <c r="Q163" s="208">
        <v>58187389</v>
      </c>
      <c r="R163" s="187" t="s">
        <v>402</v>
      </c>
      <c r="S163" s="187" t="s">
        <v>786</v>
      </c>
      <c r="T163" s="187" t="s">
        <v>785</v>
      </c>
      <c r="U163" s="187" t="s">
        <v>1054</v>
      </c>
    </row>
    <row r="164" spans="2:21" x14ac:dyDescent="0.2">
      <c r="B164" s="187">
        <v>159</v>
      </c>
      <c r="C164" s="188" t="s">
        <v>405</v>
      </c>
      <c r="D164" s="188" t="s">
        <v>404</v>
      </c>
      <c r="E164" s="208">
        <v>13023789</v>
      </c>
      <c r="F164" s="208">
        <v>263145</v>
      </c>
      <c r="G164" s="208">
        <v>0</v>
      </c>
      <c r="H164" s="208">
        <v>91371</v>
      </c>
      <c r="I164" s="208">
        <v>0</v>
      </c>
      <c r="J164" s="208">
        <v>91371</v>
      </c>
      <c r="K164" s="208">
        <v>0</v>
      </c>
      <c r="L164" s="208">
        <v>0</v>
      </c>
      <c r="M164" s="208">
        <v>719513.41</v>
      </c>
      <c r="N164" s="208">
        <v>719513</v>
      </c>
      <c r="O164" s="208">
        <v>0.41000000003259629</v>
      </c>
      <c r="P164" s="208">
        <v>0</v>
      </c>
      <c r="Q164" s="208">
        <v>12476049.59</v>
      </c>
      <c r="R164" s="187" t="s">
        <v>404</v>
      </c>
      <c r="S164" s="187" t="s">
        <v>784</v>
      </c>
      <c r="T164" s="187" t="s">
        <v>783</v>
      </c>
      <c r="U164" s="187" t="s">
        <v>1054</v>
      </c>
    </row>
    <row r="165" spans="2:21" x14ac:dyDescent="0.2">
      <c r="B165" s="187">
        <v>160</v>
      </c>
      <c r="C165" s="188" t="s">
        <v>407</v>
      </c>
      <c r="D165" s="188" t="s">
        <v>406</v>
      </c>
      <c r="E165" s="208">
        <v>14403990</v>
      </c>
      <c r="F165" s="208">
        <v>266559</v>
      </c>
      <c r="G165" s="208">
        <v>0</v>
      </c>
      <c r="H165" s="208">
        <v>106886</v>
      </c>
      <c r="I165" s="208">
        <v>0</v>
      </c>
      <c r="J165" s="208">
        <v>106886</v>
      </c>
      <c r="K165" s="208">
        <v>0</v>
      </c>
      <c r="L165" s="208">
        <v>0</v>
      </c>
      <c r="M165" s="208">
        <v>0</v>
      </c>
      <c r="N165" s="208">
        <v>0</v>
      </c>
      <c r="O165" s="208">
        <v>0</v>
      </c>
      <c r="P165" s="208">
        <v>0</v>
      </c>
      <c r="Q165" s="208">
        <v>14563663</v>
      </c>
      <c r="R165" s="187" t="s">
        <v>406</v>
      </c>
      <c r="S165" s="187" t="s">
        <v>746</v>
      </c>
      <c r="T165" s="187" t="s">
        <v>745</v>
      </c>
      <c r="U165" s="187" t="s">
        <v>1054</v>
      </c>
    </row>
    <row r="166" spans="2:21" x14ac:dyDescent="0.2">
      <c r="B166" s="187">
        <v>161</v>
      </c>
      <c r="C166" s="188" t="s">
        <v>409</v>
      </c>
      <c r="D166" s="188" t="s">
        <v>408</v>
      </c>
      <c r="E166" s="208">
        <v>345633144</v>
      </c>
      <c r="F166" s="208">
        <v>0</v>
      </c>
      <c r="G166" s="208">
        <v>1380438</v>
      </c>
      <c r="H166" s="208">
        <v>1130659</v>
      </c>
      <c r="I166" s="208">
        <v>0</v>
      </c>
      <c r="J166" s="208">
        <v>1130659</v>
      </c>
      <c r="K166" s="208">
        <v>0</v>
      </c>
      <c r="L166" s="208">
        <v>567752</v>
      </c>
      <c r="M166" s="208">
        <v>0</v>
      </c>
      <c r="N166" s="208">
        <v>0</v>
      </c>
      <c r="O166" s="208">
        <v>0</v>
      </c>
      <c r="P166" s="208">
        <v>0</v>
      </c>
      <c r="Q166" s="208">
        <v>342554295</v>
      </c>
      <c r="R166" s="187" t="s">
        <v>408</v>
      </c>
      <c r="S166" s="187" t="s">
        <v>754</v>
      </c>
      <c r="T166" s="187" t="s">
        <v>763</v>
      </c>
      <c r="U166" s="187" t="s">
        <v>1056</v>
      </c>
    </row>
    <row r="167" spans="2:21" x14ac:dyDescent="0.2">
      <c r="B167" s="187">
        <v>162</v>
      </c>
      <c r="C167" s="188" t="s">
        <v>411</v>
      </c>
      <c r="D167" s="188" t="s">
        <v>410</v>
      </c>
      <c r="E167" s="208">
        <v>24968936</v>
      </c>
      <c r="F167" s="208">
        <v>32755</v>
      </c>
      <c r="G167" s="208">
        <v>0</v>
      </c>
      <c r="H167" s="208">
        <v>127686</v>
      </c>
      <c r="I167" s="208">
        <v>0</v>
      </c>
      <c r="J167" s="208">
        <v>127686</v>
      </c>
      <c r="K167" s="208">
        <v>0</v>
      </c>
      <c r="L167" s="208">
        <v>0</v>
      </c>
      <c r="M167" s="208">
        <v>78039</v>
      </c>
      <c r="N167" s="208">
        <v>78039</v>
      </c>
      <c r="O167" s="208">
        <v>0</v>
      </c>
      <c r="P167" s="208">
        <v>0</v>
      </c>
      <c r="Q167" s="208">
        <v>24795966</v>
      </c>
      <c r="R167" s="187" t="s">
        <v>410</v>
      </c>
      <c r="S167" s="187" t="s">
        <v>816</v>
      </c>
      <c r="T167" s="187" t="s">
        <v>815</v>
      </c>
      <c r="U167" s="187" t="s">
        <v>1054</v>
      </c>
    </row>
    <row r="168" spans="2:21" x14ac:dyDescent="0.2">
      <c r="B168" s="187">
        <v>163</v>
      </c>
      <c r="C168" s="188" t="s">
        <v>413</v>
      </c>
      <c r="D168" s="188" t="s">
        <v>412</v>
      </c>
      <c r="E168" s="208">
        <v>90405443</v>
      </c>
      <c r="F168" s="208">
        <v>0</v>
      </c>
      <c r="G168" s="208">
        <v>1620955</v>
      </c>
      <c r="H168" s="208">
        <v>268967</v>
      </c>
      <c r="I168" s="208">
        <v>0</v>
      </c>
      <c r="J168" s="208">
        <v>268967</v>
      </c>
      <c r="K168" s="208">
        <v>0</v>
      </c>
      <c r="L168" s="208">
        <v>23141</v>
      </c>
      <c r="M168" s="208">
        <v>0</v>
      </c>
      <c r="N168" s="208">
        <v>0</v>
      </c>
      <c r="O168" s="208">
        <v>0</v>
      </c>
      <c r="P168" s="208">
        <v>0</v>
      </c>
      <c r="Q168" s="208">
        <v>88492380</v>
      </c>
      <c r="R168" s="187" t="s">
        <v>836</v>
      </c>
      <c r="S168" s="187" t="s">
        <v>742</v>
      </c>
      <c r="T168" s="187" t="s">
        <v>785</v>
      </c>
      <c r="U168" s="187" t="s">
        <v>742</v>
      </c>
    </row>
    <row r="169" spans="2:21" x14ac:dyDescent="0.2">
      <c r="B169" s="187">
        <v>164</v>
      </c>
      <c r="C169" s="188" t="s">
        <v>415</v>
      </c>
      <c r="D169" s="188" t="s">
        <v>414</v>
      </c>
      <c r="E169" s="208">
        <v>14037600</v>
      </c>
      <c r="F169" s="208">
        <v>451869</v>
      </c>
      <c r="G169" s="208">
        <v>0</v>
      </c>
      <c r="H169" s="208">
        <v>62355</v>
      </c>
      <c r="I169" s="208">
        <v>0</v>
      </c>
      <c r="J169" s="208">
        <v>62355</v>
      </c>
      <c r="K169" s="208">
        <v>0</v>
      </c>
      <c r="L169" s="208">
        <v>0</v>
      </c>
      <c r="M169" s="208">
        <v>138562</v>
      </c>
      <c r="N169" s="208">
        <v>138562</v>
      </c>
      <c r="O169" s="208">
        <v>0</v>
      </c>
      <c r="P169" s="208">
        <v>0</v>
      </c>
      <c r="Q169" s="208">
        <v>14288552</v>
      </c>
      <c r="R169" s="187" t="s">
        <v>414</v>
      </c>
      <c r="S169" s="187" t="s">
        <v>825</v>
      </c>
      <c r="T169" s="187" t="s">
        <v>813</v>
      </c>
      <c r="U169" s="187" t="s">
        <v>1054</v>
      </c>
    </row>
    <row r="170" spans="2:21" x14ac:dyDescent="0.2">
      <c r="B170" s="187">
        <v>165</v>
      </c>
      <c r="C170" s="188" t="s">
        <v>417</v>
      </c>
      <c r="D170" s="188" t="s">
        <v>416</v>
      </c>
      <c r="E170" s="208">
        <v>34992035</v>
      </c>
      <c r="F170" s="208">
        <v>708263</v>
      </c>
      <c r="G170" s="208">
        <v>0</v>
      </c>
      <c r="H170" s="208">
        <v>167260</v>
      </c>
      <c r="I170" s="208">
        <v>0</v>
      </c>
      <c r="J170" s="208">
        <v>167260</v>
      </c>
      <c r="K170" s="208">
        <v>0</v>
      </c>
      <c r="L170" s="208">
        <v>0</v>
      </c>
      <c r="M170" s="208">
        <v>121723</v>
      </c>
      <c r="N170" s="208">
        <v>121723</v>
      </c>
      <c r="O170" s="208">
        <v>0</v>
      </c>
      <c r="P170" s="208">
        <v>0</v>
      </c>
      <c r="Q170" s="208">
        <v>35411315</v>
      </c>
      <c r="R170" s="187" t="s">
        <v>416</v>
      </c>
      <c r="S170" s="187" t="s">
        <v>769</v>
      </c>
      <c r="T170" s="187" t="s">
        <v>768</v>
      </c>
      <c r="U170" s="187" t="s">
        <v>1054</v>
      </c>
    </row>
    <row r="171" spans="2:21" x14ac:dyDescent="0.2">
      <c r="B171" s="187">
        <v>166</v>
      </c>
      <c r="C171" s="188" t="s">
        <v>419</v>
      </c>
      <c r="D171" s="188" t="s">
        <v>418</v>
      </c>
      <c r="E171" s="208">
        <v>84537994</v>
      </c>
      <c r="F171" s="208">
        <v>0</v>
      </c>
      <c r="G171" s="208">
        <v>892182</v>
      </c>
      <c r="H171" s="208">
        <v>265211</v>
      </c>
      <c r="I171" s="208">
        <v>0</v>
      </c>
      <c r="J171" s="208">
        <v>265211</v>
      </c>
      <c r="K171" s="208">
        <v>0</v>
      </c>
      <c r="L171" s="208">
        <v>0</v>
      </c>
      <c r="M171" s="208">
        <v>0</v>
      </c>
      <c r="N171" s="208">
        <v>0</v>
      </c>
      <c r="O171" s="208">
        <v>0</v>
      </c>
      <c r="P171" s="208">
        <v>0</v>
      </c>
      <c r="Q171" s="208">
        <v>83380601</v>
      </c>
      <c r="R171" s="187" t="s">
        <v>418</v>
      </c>
      <c r="S171" s="187" t="s">
        <v>767</v>
      </c>
      <c r="T171" s="187" t="s">
        <v>743</v>
      </c>
      <c r="U171" s="187" t="s">
        <v>1055</v>
      </c>
    </row>
    <row r="172" spans="2:21" x14ac:dyDescent="0.2">
      <c r="B172" s="187">
        <v>167</v>
      </c>
      <c r="C172" s="188" t="s">
        <v>421</v>
      </c>
      <c r="D172" s="188" t="s">
        <v>420</v>
      </c>
      <c r="E172" s="208">
        <v>14211743</v>
      </c>
      <c r="F172" s="208">
        <v>281814</v>
      </c>
      <c r="G172" s="208">
        <v>0</v>
      </c>
      <c r="H172" s="208">
        <v>108153</v>
      </c>
      <c r="I172" s="208">
        <v>0</v>
      </c>
      <c r="J172" s="208">
        <v>108153</v>
      </c>
      <c r="K172" s="208">
        <v>0</v>
      </c>
      <c r="L172" s="208">
        <v>0</v>
      </c>
      <c r="M172" s="208">
        <v>175759</v>
      </c>
      <c r="N172" s="208">
        <v>175759</v>
      </c>
      <c r="O172" s="208">
        <v>0</v>
      </c>
      <c r="P172" s="208">
        <v>0</v>
      </c>
      <c r="Q172" s="208">
        <v>14209645</v>
      </c>
      <c r="R172" s="187" t="s">
        <v>420</v>
      </c>
      <c r="S172" s="187" t="s">
        <v>772</v>
      </c>
      <c r="T172" s="187" t="s">
        <v>768</v>
      </c>
      <c r="U172" s="187" t="s">
        <v>1054</v>
      </c>
    </row>
    <row r="173" spans="2:21" x14ac:dyDescent="0.2">
      <c r="B173" s="187">
        <v>168</v>
      </c>
      <c r="C173" s="188" t="s">
        <v>423</v>
      </c>
      <c r="D173" s="188" t="s">
        <v>422</v>
      </c>
      <c r="E173" s="208">
        <v>21814712</v>
      </c>
      <c r="F173" s="208">
        <v>339598</v>
      </c>
      <c r="G173" s="208">
        <v>0</v>
      </c>
      <c r="H173" s="208">
        <v>127133</v>
      </c>
      <c r="I173" s="208">
        <v>0</v>
      </c>
      <c r="J173" s="208">
        <v>127133</v>
      </c>
      <c r="K173" s="208">
        <v>0</v>
      </c>
      <c r="L173" s="208">
        <v>0</v>
      </c>
      <c r="M173" s="208">
        <v>327904</v>
      </c>
      <c r="N173" s="208">
        <v>145050</v>
      </c>
      <c r="O173" s="208">
        <v>182854</v>
      </c>
      <c r="P173" s="208">
        <v>0</v>
      </c>
      <c r="Q173" s="208">
        <v>21699273</v>
      </c>
      <c r="R173" s="187" t="s">
        <v>422</v>
      </c>
      <c r="S173" s="187" t="s">
        <v>778</v>
      </c>
      <c r="T173" s="187" t="s">
        <v>751</v>
      </c>
      <c r="U173" s="187" t="s">
        <v>1054</v>
      </c>
    </row>
    <row r="174" spans="2:21" x14ac:dyDescent="0.2">
      <c r="B174" s="187">
        <v>169</v>
      </c>
      <c r="C174" s="188" t="s">
        <v>425</v>
      </c>
      <c r="D174" s="188" t="s">
        <v>424</v>
      </c>
      <c r="E174" s="208">
        <v>44044682</v>
      </c>
      <c r="F174" s="208">
        <v>775721</v>
      </c>
      <c r="G174" s="208">
        <v>0</v>
      </c>
      <c r="H174" s="208">
        <v>172762</v>
      </c>
      <c r="I174" s="208">
        <v>0</v>
      </c>
      <c r="J174" s="208">
        <v>172762</v>
      </c>
      <c r="K174" s="208">
        <v>0</v>
      </c>
      <c r="L174" s="208">
        <v>0</v>
      </c>
      <c r="M174" s="208">
        <v>0</v>
      </c>
      <c r="N174" s="208">
        <v>0</v>
      </c>
      <c r="O174" s="208">
        <v>0</v>
      </c>
      <c r="P174" s="208">
        <v>0</v>
      </c>
      <c r="Q174" s="208">
        <v>44647641</v>
      </c>
      <c r="R174" s="187" t="s">
        <v>424</v>
      </c>
      <c r="S174" s="187" t="s">
        <v>752</v>
      </c>
      <c r="T174" s="187" t="s">
        <v>751</v>
      </c>
      <c r="U174" s="187" t="s">
        <v>1054</v>
      </c>
    </row>
    <row r="175" spans="2:21" x14ac:dyDescent="0.2">
      <c r="B175" s="187">
        <v>170</v>
      </c>
      <c r="C175" s="188" t="s">
        <v>427</v>
      </c>
      <c r="D175" s="188" t="s">
        <v>426</v>
      </c>
      <c r="E175" s="208">
        <v>40154197</v>
      </c>
      <c r="F175" s="208">
        <v>0</v>
      </c>
      <c r="G175" s="208">
        <v>3891473</v>
      </c>
      <c r="H175" s="208">
        <v>172723</v>
      </c>
      <c r="I175" s="208">
        <v>0</v>
      </c>
      <c r="J175" s="208">
        <v>172723</v>
      </c>
      <c r="K175" s="208">
        <v>0</v>
      </c>
      <c r="L175" s="208">
        <v>12541</v>
      </c>
      <c r="M175" s="208">
        <v>0</v>
      </c>
      <c r="N175" s="208">
        <v>0</v>
      </c>
      <c r="O175" s="208">
        <v>0</v>
      </c>
      <c r="P175" s="208">
        <v>0</v>
      </c>
      <c r="Q175" s="208">
        <v>36077460</v>
      </c>
      <c r="R175" s="187" t="s">
        <v>835</v>
      </c>
      <c r="S175" s="187" t="s">
        <v>742</v>
      </c>
      <c r="T175" s="187" t="s">
        <v>798</v>
      </c>
      <c r="U175" s="187" t="s">
        <v>742</v>
      </c>
    </row>
    <row r="176" spans="2:21" x14ac:dyDescent="0.2">
      <c r="B176" s="187">
        <v>171</v>
      </c>
      <c r="C176" s="188" t="s">
        <v>429</v>
      </c>
      <c r="D176" s="188" t="s">
        <v>428</v>
      </c>
      <c r="E176" s="208">
        <v>163012802</v>
      </c>
      <c r="F176" s="208">
        <v>0</v>
      </c>
      <c r="G176" s="208">
        <v>886298</v>
      </c>
      <c r="H176" s="208">
        <v>388850</v>
      </c>
      <c r="I176" s="208">
        <v>0</v>
      </c>
      <c r="J176" s="208">
        <v>388850</v>
      </c>
      <c r="K176" s="208">
        <v>0</v>
      </c>
      <c r="L176" s="208">
        <v>0</v>
      </c>
      <c r="M176" s="208">
        <v>249491</v>
      </c>
      <c r="N176" s="208">
        <v>249491</v>
      </c>
      <c r="O176" s="208">
        <v>0</v>
      </c>
      <c r="P176" s="208">
        <v>0</v>
      </c>
      <c r="Q176" s="208">
        <v>161488163</v>
      </c>
      <c r="R176" s="187" t="s">
        <v>834</v>
      </c>
      <c r="S176" s="187" t="s">
        <v>742</v>
      </c>
      <c r="T176" s="187" t="s">
        <v>749</v>
      </c>
      <c r="U176" s="187" t="s">
        <v>742</v>
      </c>
    </row>
    <row r="177" spans="1:21" x14ac:dyDescent="0.2">
      <c r="A177" s="188"/>
      <c r="B177" s="187">
        <v>172</v>
      </c>
      <c r="C177" s="188" t="s">
        <v>431</v>
      </c>
      <c r="D177" s="188" t="s">
        <v>430</v>
      </c>
      <c r="E177" s="208">
        <v>45014301</v>
      </c>
      <c r="F177" s="208">
        <v>893815</v>
      </c>
      <c r="G177" s="208">
        <v>0</v>
      </c>
      <c r="H177" s="208">
        <v>153825</v>
      </c>
      <c r="I177" s="208">
        <v>0</v>
      </c>
      <c r="J177" s="208">
        <v>153825</v>
      </c>
      <c r="K177" s="208">
        <v>0</v>
      </c>
      <c r="L177" s="208">
        <v>0</v>
      </c>
      <c r="M177" s="208">
        <v>0</v>
      </c>
      <c r="N177" s="208">
        <v>0</v>
      </c>
      <c r="O177" s="208">
        <v>0</v>
      </c>
      <c r="P177" s="208">
        <v>0</v>
      </c>
      <c r="Q177" s="208">
        <v>45754291</v>
      </c>
      <c r="R177" s="187" t="s">
        <v>430</v>
      </c>
      <c r="S177" s="187" t="s">
        <v>757</v>
      </c>
      <c r="T177" s="187" t="s">
        <v>751</v>
      </c>
      <c r="U177" s="187" t="s">
        <v>1054</v>
      </c>
    </row>
    <row r="178" spans="1:21" x14ac:dyDescent="0.2">
      <c r="B178" s="187">
        <v>173</v>
      </c>
      <c r="C178" s="188" t="s">
        <v>433</v>
      </c>
      <c r="D178" s="188" t="s">
        <v>432</v>
      </c>
      <c r="E178" s="208">
        <v>65152196</v>
      </c>
      <c r="F178" s="208">
        <v>1120055</v>
      </c>
      <c r="G178" s="208">
        <v>0</v>
      </c>
      <c r="H178" s="208">
        <v>277478</v>
      </c>
      <c r="I178" s="208">
        <v>0</v>
      </c>
      <c r="J178" s="208">
        <v>277478</v>
      </c>
      <c r="K178" s="208">
        <v>0</v>
      </c>
      <c r="L178" s="208">
        <v>0</v>
      </c>
      <c r="M178" s="208">
        <v>9851</v>
      </c>
      <c r="N178" s="208">
        <v>9851</v>
      </c>
      <c r="O178" s="208">
        <v>0</v>
      </c>
      <c r="P178" s="208">
        <v>0</v>
      </c>
      <c r="Q178" s="208">
        <v>65984922</v>
      </c>
      <c r="R178" s="187" t="s">
        <v>432</v>
      </c>
      <c r="S178" s="187" t="s">
        <v>761</v>
      </c>
      <c r="T178" s="187" t="s">
        <v>760</v>
      </c>
      <c r="U178" s="187" t="s">
        <v>1054</v>
      </c>
    </row>
    <row r="179" spans="1:21" x14ac:dyDescent="0.2">
      <c r="B179" s="187">
        <v>174</v>
      </c>
      <c r="C179" s="188" t="s">
        <v>435</v>
      </c>
      <c r="D179" s="188" t="s">
        <v>434</v>
      </c>
      <c r="E179" s="208">
        <v>40890098</v>
      </c>
      <c r="F179" s="208">
        <v>1314529</v>
      </c>
      <c r="G179" s="208">
        <v>0</v>
      </c>
      <c r="H179" s="208">
        <v>162915</v>
      </c>
      <c r="I179" s="208">
        <v>0</v>
      </c>
      <c r="J179" s="208">
        <v>162915</v>
      </c>
      <c r="K179" s="208">
        <v>0</v>
      </c>
      <c r="L179" s="208">
        <v>0</v>
      </c>
      <c r="M179" s="208">
        <v>518671</v>
      </c>
      <c r="N179" s="208">
        <v>454773</v>
      </c>
      <c r="O179" s="208">
        <v>63898</v>
      </c>
      <c r="P179" s="208">
        <v>0</v>
      </c>
      <c r="Q179" s="208">
        <v>41523041</v>
      </c>
      <c r="R179" s="187" t="s">
        <v>833</v>
      </c>
      <c r="S179" s="187" t="s">
        <v>816</v>
      </c>
      <c r="T179" s="187" t="s">
        <v>815</v>
      </c>
      <c r="U179" s="187" t="s">
        <v>1054</v>
      </c>
    </row>
    <row r="180" spans="1:21" x14ac:dyDescent="0.2">
      <c r="B180" s="187">
        <v>175</v>
      </c>
      <c r="C180" s="188" t="s">
        <v>437</v>
      </c>
      <c r="D180" s="188" t="s">
        <v>970</v>
      </c>
      <c r="E180" s="208">
        <v>141933259</v>
      </c>
      <c r="F180" s="208">
        <v>0</v>
      </c>
      <c r="G180" s="208">
        <v>5970535</v>
      </c>
      <c r="H180" s="208">
        <v>457614</v>
      </c>
      <c r="I180" s="208">
        <v>0</v>
      </c>
      <c r="J180" s="208">
        <v>457614</v>
      </c>
      <c r="K180" s="208">
        <v>0</v>
      </c>
      <c r="L180" s="208">
        <v>2112846</v>
      </c>
      <c r="M180" s="208">
        <v>0</v>
      </c>
      <c r="N180" s="208">
        <v>0</v>
      </c>
      <c r="O180" s="208">
        <v>0</v>
      </c>
      <c r="P180" s="208">
        <v>0</v>
      </c>
      <c r="Q180" s="208">
        <v>133392264</v>
      </c>
      <c r="R180" s="187" t="s">
        <v>436</v>
      </c>
      <c r="S180" s="187" t="s">
        <v>754</v>
      </c>
      <c r="T180" s="187" t="s">
        <v>796</v>
      </c>
      <c r="U180" s="187" t="s">
        <v>1056</v>
      </c>
    </row>
    <row r="181" spans="1:21" x14ac:dyDescent="0.2">
      <c r="B181" s="187">
        <v>176</v>
      </c>
      <c r="C181" s="188" t="s">
        <v>439</v>
      </c>
      <c r="D181" s="188" t="s">
        <v>438</v>
      </c>
      <c r="E181" s="208">
        <v>33132936</v>
      </c>
      <c r="F181" s="208">
        <v>0</v>
      </c>
      <c r="G181" s="208">
        <v>22384</v>
      </c>
      <c r="H181" s="208">
        <v>139635</v>
      </c>
      <c r="I181" s="208">
        <v>0</v>
      </c>
      <c r="J181" s="208">
        <v>139635</v>
      </c>
      <c r="K181" s="208">
        <v>0</v>
      </c>
      <c r="L181" s="208">
        <v>0</v>
      </c>
      <c r="M181" s="208">
        <v>0</v>
      </c>
      <c r="N181" s="208">
        <v>0</v>
      </c>
      <c r="O181" s="208">
        <v>0</v>
      </c>
      <c r="P181" s="208">
        <v>0</v>
      </c>
      <c r="Q181" s="208">
        <v>32970917</v>
      </c>
      <c r="R181" s="187" t="s">
        <v>438</v>
      </c>
      <c r="S181" s="187" t="s">
        <v>794</v>
      </c>
      <c r="T181" s="187" t="s">
        <v>793</v>
      </c>
      <c r="U181" s="187" t="s">
        <v>1054</v>
      </c>
    </row>
    <row r="182" spans="1:21" x14ac:dyDescent="0.2">
      <c r="B182" s="187">
        <v>177</v>
      </c>
      <c r="C182" s="188" t="s">
        <v>441</v>
      </c>
      <c r="D182" s="188" t="s">
        <v>440</v>
      </c>
      <c r="E182" s="208">
        <v>138595301</v>
      </c>
      <c r="F182" s="208">
        <v>1531601</v>
      </c>
      <c r="G182" s="208">
        <v>0</v>
      </c>
      <c r="H182" s="208">
        <v>381361</v>
      </c>
      <c r="I182" s="208">
        <v>0</v>
      </c>
      <c r="J182" s="208">
        <v>381361</v>
      </c>
      <c r="K182" s="208">
        <v>0</v>
      </c>
      <c r="L182" s="208">
        <v>1633661</v>
      </c>
      <c r="M182" s="208">
        <v>0</v>
      </c>
      <c r="N182" s="208">
        <v>0</v>
      </c>
      <c r="O182" s="208">
        <v>0</v>
      </c>
      <c r="P182" s="208">
        <v>0</v>
      </c>
      <c r="Q182" s="208">
        <v>138111880</v>
      </c>
      <c r="R182" s="187" t="s">
        <v>440</v>
      </c>
      <c r="S182" s="187" t="s">
        <v>767</v>
      </c>
      <c r="T182" s="187" t="s">
        <v>743</v>
      </c>
      <c r="U182" s="187" t="s">
        <v>1055</v>
      </c>
    </row>
    <row r="183" spans="1:21" x14ac:dyDescent="0.2">
      <c r="B183" s="187">
        <v>178</v>
      </c>
      <c r="C183" s="188" t="s">
        <v>443</v>
      </c>
      <c r="D183" s="188" t="s">
        <v>442</v>
      </c>
      <c r="E183" s="208">
        <v>31980827</v>
      </c>
      <c r="F183" s="208">
        <v>0</v>
      </c>
      <c r="G183" s="208">
        <v>560642</v>
      </c>
      <c r="H183" s="208">
        <v>202853</v>
      </c>
      <c r="I183" s="208">
        <v>0</v>
      </c>
      <c r="J183" s="208">
        <v>202853</v>
      </c>
      <c r="K183" s="208">
        <v>0</v>
      </c>
      <c r="L183" s="208">
        <v>0</v>
      </c>
      <c r="M183" s="208">
        <v>344640</v>
      </c>
      <c r="N183" s="208">
        <v>344640</v>
      </c>
      <c r="O183" s="208">
        <v>0</v>
      </c>
      <c r="P183" s="208">
        <v>0</v>
      </c>
      <c r="Q183" s="208">
        <v>30872692</v>
      </c>
      <c r="R183" s="187" t="s">
        <v>442</v>
      </c>
      <c r="S183" s="187" t="s">
        <v>772</v>
      </c>
      <c r="T183" s="187" t="s">
        <v>768</v>
      </c>
      <c r="U183" s="187" t="s">
        <v>1054</v>
      </c>
    </row>
    <row r="184" spans="1:21" x14ac:dyDescent="0.2">
      <c r="B184" s="187">
        <v>179</v>
      </c>
      <c r="C184" s="188" t="s">
        <v>445</v>
      </c>
      <c r="D184" s="188" t="s">
        <v>444</v>
      </c>
      <c r="E184" s="208">
        <v>12208195</v>
      </c>
      <c r="F184" s="208">
        <v>138242</v>
      </c>
      <c r="G184" s="208">
        <v>0</v>
      </c>
      <c r="H184" s="208">
        <v>90679</v>
      </c>
      <c r="I184" s="208">
        <v>0</v>
      </c>
      <c r="J184" s="208">
        <v>90679</v>
      </c>
      <c r="K184" s="208">
        <v>0</v>
      </c>
      <c r="L184" s="208">
        <v>0</v>
      </c>
      <c r="M184" s="208">
        <v>132321</v>
      </c>
      <c r="N184" s="208">
        <v>132321</v>
      </c>
      <c r="O184" s="208">
        <v>0</v>
      </c>
      <c r="P184" s="208">
        <v>0</v>
      </c>
      <c r="Q184" s="208">
        <v>12123437</v>
      </c>
      <c r="R184" s="187" t="s">
        <v>444</v>
      </c>
      <c r="S184" s="187" t="s">
        <v>765</v>
      </c>
      <c r="T184" s="187" t="s">
        <v>764</v>
      </c>
      <c r="U184" s="187" t="s">
        <v>1054</v>
      </c>
    </row>
    <row r="185" spans="1:21" x14ac:dyDescent="0.2">
      <c r="B185" s="187">
        <v>180</v>
      </c>
      <c r="C185" s="188" t="s">
        <v>447</v>
      </c>
      <c r="D185" s="188" t="s">
        <v>446</v>
      </c>
      <c r="E185" s="208">
        <v>16486067</v>
      </c>
      <c r="F185" s="208">
        <v>602541</v>
      </c>
      <c r="G185" s="208">
        <v>0</v>
      </c>
      <c r="H185" s="208">
        <v>100276</v>
      </c>
      <c r="I185" s="208">
        <v>0</v>
      </c>
      <c r="J185" s="208">
        <v>100276</v>
      </c>
      <c r="K185" s="208">
        <v>0</v>
      </c>
      <c r="L185" s="208">
        <v>0</v>
      </c>
      <c r="M185" s="208">
        <v>0</v>
      </c>
      <c r="N185" s="208">
        <v>0</v>
      </c>
      <c r="O185" s="208">
        <v>0</v>
      </c>
      <c r="P185" s="208">
        <v>0</v>
      </c>
      <c r="Q185" s="208">
        <v>16988332</v>
      </c>
      <c r="R185" s="187" t="s">
        <v>446</v>
      </c>
      <c r="S185" s="187" t="s">
        <v>807</v>
      </c>
      <c r="T185" s="187" t="s">
        <v>806</v>
      </c>
      <c r="U185" s="187" t="s">
        <v>1054</v>
      </c>
    </row>
    <row r="186" spans="1:21" x14ac:dyDescent="0.2">
      <c r="B186" s="187">
        <v>181</v>
      </c>
      <c r="C186" s="188" t="s">
        <v>449</v>
      </c>
      <c r="D186" s="188" t="s">
        <v>448</v>
      </c>
      <c r="E186" s="208">
        <v>59701084</v>
      </c>
      <c r="F186" s="208">
        <v>0</v>
      </c>
      <c r="G186" s="208">
        <v>2188855</v>
      </c>
      <c r="H186" s="208">
        <v>222536</v>
      </c>
      <c r="I186" s="208">
        <v>0</v>
      </c>
      <c r="J186" s="208">
        <v>222536</v>
      </c>
      <c r="K186" s="208">
        <v>0</v>
      </c>
      <c r="L186" s="208">
        <v>0</v>
      </c>
      <c r="M186" s="208">
        <v>134891</v>
      </c>
      <c r="N186" s="208">
        <v>134891</v>
      </c>
      <c r="O186" s="208">
        <v>0</v>
      </c>
      <c r="P186" s="208">
        <v>0</v>
      </c>
      <c r="Q186" s="208">
        <v>57154802</v>
      </c>
      <c r="R186" s="187" t="s">
        <v>832</v>
      </c>
      <c r="S186" s="187" t="s">
        <v>742</v>
      </c>
      <c r="T186" s="187" t="s">
        <v>830</v>
      </c>
      <c r="U186" s="187" t="s">
        <v>742</v>
      </c>
    </row>
    <row r="187" spans="1:21" x14ac:dyDescent="0.2">
      <c r="A187" s="188"/>
      <c r="B187" s="187">
        <v>182</v>
      </c>
      <c r="C187" s="188" t="s">
        <v>451</v>
      </c>
      <c r="D187" s="188" t="s">
        <v>450</v>
      </c>
      <c r="E187" s="208">
        <v>36429780</v>
      </c>
      <c r="F187" s="208">
        <v>438190</v>
      </c>
      <c r="G187" s="208">
        <v>0</v>
      </c>
      <c r="H187" s="208">
        <v>180476</v>
      </c>
      <c r="I187" s="208">
        <v>0</v>
      </c>
      <c r="J187" s="208">
        <v>180476</v>
      </c>
      <c r="K187" s="208">
        <v>0</v>
      </c>
      <c r="L187" s="208">
        <v>0</v>
      </c>
      <c r="M187" s="208">
        <v>42349</v>
      </c>
      <c r="N187" s="208">
        <v>42349</v>
      </c>
      <c r="O187" s="208">
        <v>0</v>
      </c>
      <c r="P187" s="208">
        <v>0</v>
      </c>
      <c r="Q187" s="208">
        <v>36645145</v>
      </c>
      <c r="R187" s="187" t="s">
        <v>450</v>
      </c>
      <c r="S187" s="187" t="s">
        <v>774</v>
      </c>
      <c r="T187" s="187" t="s">
        <v>751</v>
      </c>
      <c r="U187" s="187" t="s">
        <v>1054</v>
      </c>
    </row>
    <row r="188" spans="1:21" x14ac:dyDescent="0.2">
      <c r="B188" s="187">
        <v>183</v>
      </c>
      <c r="C188" s="188" t="s">
        <v>453</v>
      </c>
      <c r="D188" s="188" t="s">
        <v>452</v>
      </c>
      <c r="E188" s="208">
        <v>30399941</v>
      </c>
      <c r="F188" s="208">
        <v>976951</v>
      </c>
      <c r="G188" s="208">
        <v>0</v>
      </c>
      <c r="H188" s="208">
        <v>125208</v>
      </c>
      <c r="I188" s="208">
        <v>0</v>
      </c>
      <c r="J188" s="208">
        <v>125208</v>
      </c>
      <c r="K188" s="208">
        <v>0</v>
      </c>
      <c r="L188" s="208">
        <v>0</v>
      </c>
      <c r="M188" s="208">
        <v>1654081</v>
      </c>
      <c r="N188" s="208">
        <v>1525038</v>
      </c>
      <c r="O188" s="208">
        <v>129043</v>
      </c>
      <c r="P188" s="208">
        <v>0</v>
      </c>
      <c r="Q188" s="208">
        <v>29597603</v>
      </c>
      <c r="R188" s="187" t="s">
        <v>452</v>
      </c>
      <c r="S188" s="187" t="s">
        <v>771</v>
      </c>
      <c r="T188" s="187" t="s">
        <v>751</v>
      </c>
      <c r="U188" s="187" t="s">
        <v>1054</v>
      </c>
    </row>
    <row r="189" spans="1:21" x14ac:dyDescent="0.2">
      <c r="B189" s="187">
        <v>184</v>
      </c>
      <c r="C189" s="188" t="s">
        <v>455</v>
      </c>
      <c r="D189" s="188" t="s">
        <v>454</v>
      </c>
      <c r="E189" s="208">
        <v>91664824</v>
      </c>
      <c r="F189" s="208">
        <v>0</v>
      </c>
      <c r="G189" s="208">
        <v>5682574</v>
      </c>
      <c r="H189" s="208">
        <v>236771</v>
      </c>
      <c r="I189" s="208">
        <v>0</v>
      </c>
      <c r="J189" s="208">
        <v>236771</v>
      </c>
      <c r="K189" s="208">
        <v>0</v>
      </c>
      <c r="L189" s="208">
        <v>1038007</v>
      </c>
      <c r="M189" s="208">
        <v>2805911</v>
      </c>
      <c r="N189" s="208">
        <v>2805911</v>
      </c>
      <c r="O189" s="208">
        <v>0</v>
      </c>
      <c r="P189" s="208">
        <v>0</v>
      </c>
      <c r="Q189" s="208">
        <v>81901561</v>
      </c>
      <c r="R189" s="187" t="s">
        <v>831</v>
      </c>
      <c r="S189" s="187" t="s">
        <v>742</v>
      </c>
      <c r="T189" s="187" t="s">
        <v>830</v>
      </c>
      <c r="U189" s="187" t="s">
        <v>742</v>
      </c>
    </row>
    <row r="190" spans="1:21" x14ac:dyDescent="0.2">
      <c r="B190" s="187">
        <v>185</v>
      </c>
      <c r="C190" s="188" t="s">
        <v>457</v>
      </c>
      <c r="D190" s="188" t="s">
        <v>456</v>
      </c>
      <c r="E190" s="208">
        <v>25538242</v>
      </c>
      <c r="F190" s="208">
        <v>1926190</v>
      </c>
      <c r="G190" s="208">
        <v>0</v>
      </c>
      <c r="H190" s="208">
        <v>248290</v>
      </c>
      <c r="I190" s="208">
        <v>0</v>
      </c>
      <c r="J190" s="208">
        <v>248290</v>
      </c>
      <c r="K190" s="208">
        <v>0</v>
      </c>
      <c r="L190" s="208">
        <v>61392</v>
      </c>
      <c r="M190" s="208">
        <v>623732</v>
      </c>
      <c r="N190" s="208">
        <v>623732</v>
      </c>
      <c r="O190" s="208">
        <v>0</v>
      </c>
      <c r="P190" s="208">
        <v>0</v>
      </c>
      <c r="Q190" s="208">
        <v>26531018</v>
      </c>
      <c r="R190" s="187" t="s">
        <v>456</v>
      </c>
      <c r="S190" s="187" t="s">
        <v>802</v>
      </c>
      <c r="T190" s="187" t="s">
        <v>751</v>
      </c>
      <c r="U190" s="187" t="s">
        <v>1054</v>
      </c>
    </row>
    <row r="191" spans="1:21" x14ac:dyDescent="0.2">
      <c r="B191" s="187">
        <v>186</v>
      </c>
      <c r="C191" s="188" t="s">
        <v>459</v>
      </c>
      <c r="D191" s="188" t="s">
        <v>458</v>
      </c>
      <c r="E191" s="208">
        <v>59509986</v>
      </c>
      <c r="F191" s="208">
        <v>0</v>
      </c>
      <c r="G191" s="208">
        <v>716226</v>
      </c>
      <c r="H191" s="208">
        <v>261652</v>
      </c>
      <c r="I191" s="208">
        <v>0</v>
      </c>
      <c r="J191" s="208">
        <v>261652</v>
      </c>
      <c r="K191" s="208">
        <v>0</v>
      </c>
      <c r="L191" s="208">
        <v>525181</v>
      </c>
      <c r="M191" s="208">
        <v>103713</v>
      </c>
      <c r="N191" s="208">
        <v>103713</v>
      </c>
      <c r="O191" s="208">
        <v>0</v>
      </c>
      <c r="P191" s="208">
        <v>0</v>
      </c>
      <c r="Q191" s="208">
        <v>57903214</v>
      </c>
      <c r="R191" s="187" t="s">
        <v>829</v>
      </c>
      <c r="S191" s="187" t="s">
        <v>742</v>
      </c>
      <c r="T191" s="187" t="s">
        <v>804</v>
      </c>
      <c r="U191" s="187" t="s">
        <v>742</v>
      </c>
    </row>
    <row r="192" spans="1:21" x14ac:dyDescent="0.2">
      <c r="B192" s="187">
        <v>187</v>
      </c>
      <c r="C192" s="188" t="s">
        <v>461</v>
      </c>
      <c r="D192" s="188" t="s">
        <v>460</v>
      </c>
      <c r="E192" s="208">
        <v>56250396</v>
      </c>
      <c r="F192" s="208">
        <v>0</v>
      </c>
      <c r="G192" s="208">
        <v>1049689</v>
      </c>
      <c r="H192" s="208">
        <v>225430</v>
      </c>
      <c r="I192" s="208">
        <v>0</v>
      </c>
      <c r="J192" s="208">
        <v>225430</v>
      </c>
      <c r="K192" s="208">
        <v>0</v>
      </c>
      <c r="L192" s="208">
        <v>0</v>
      </c>
      <c r="M192" s="208">
        <v>0</v>
      </c>
      <c r="N192" s="208">
        <v>0</v>
      </c>
      <c r="O192" s="208">
        <v>0</v>
      </c>
      <c r="P192" s="208">
        <v>0</v>
      </c>
      <c r="Q192" s="208">
        <v>54975277</v>
      </c>
      <c r="R192" s="187" t="s">
        <v>460</v>
      </c>
      <c r="S192" s="187" t="s">
        <v>754</v>
      </c>
      <c r="T192" s="187" t="s">
        <v>796</v>
      </c>
      <c r="U192" s="187" t="s">
        <v>1056</v>
      </c>
    </row>
    <row r="193" spans="1:21" x14ac:dyDescent="0.2">
      <c r="A193" s="188"/>
      <c r="B193" s="187">
        <v>188</v>
      </c>
      <c r="C193" s="188" t="s">
        <v>463</v>
      </c>
      <c r="D193" s="188" t="s">
        <v>462</v>
      </c>
      <c r="E193" s="208">
        <v>53783308</v>
      </c>
      <c r="F193" s="208">
        <v>0</v>
      </c>
      <c r="G193" s="208">
        <v>9341</v>
      </c>
      <c r="H193" s="208">
        <v>108580</v>
      </c>
      <c r="I193" s="208">
        <v>0</v>
      </c>
      <c r="J193" s="208">
        <v>108580</v>
      </c>
      <c r="K193" s="208">
        <v>0</v>
      </c>
      <c r="L193" s="208">
        <v>0</v>
      </c>
      <c r="M193" s="208">
        <v>0</v>
      </c>
      <c r="N193" s="208">
        <v>0</v>
      </c>
      <c r="O193" s="208">
        <v>0</v>
      </c>
      <c r="P193" s="208">
        <v>0</v>
      </c>
      <c r="Q193" s="208">
        <v>53665387</v>
      </c>
      <c r="R193" s="187" t="s">
        <v>462</v>
      </c>
      <c r="S193" s="187" t="s">
        <v>779</v>
      </c>
      <c r="T193" s="187" t="s">
        <v>751</v>
      </c>
      <c r="U193" s="187" t="s">
        <v>1054</v>
      </c>
    </row>
    <row r="194" spans="1:21" x14ac:dyDescent="0.2">
      <c r="B194" s="187">
        <v>189</v>
      </c>
      <c r="C194" s="188" t="s">
        <v>465</v>
      </c>
      <c r="D194" s="188" t="s">
        <v>464</v>
      </c>
      <c r="E194" s="208">
        <v>59973258</v>
      </c>
      <c r="F194" s="208">
        <v>377169</v>
      </c>
      <c r="G194" s="208">
        <v>0</v>
      </c>
      <c r="H194" s="208">
        <v>147548</v>
      </c>
      <c r="I194" s="208">
        <v>0</v>
      </c>
      <c r="J194" s="208">
        <v>147548</v>
      </c>
      <c r="K194" s="208">
        <v>0</v>
      </c>
      <c r="L194" s="208">
        <v>0</v>
      </c>
      <c r="M194" s="208">
        <v>167172</v>
      </c>
      <c r="N194" s="208">
        <v>167172</v>
      </c>
      <c r="O194" s="208">
        <v>0</v>
      </c>
      <c r="P194" s="208">
        <v>0</v>
      </c>
      <c r="Q194" s="208">
        <v>60035707</v>
      </c>
      <c r="R194" s="187" t="s">
        <v>464</v>
      </c>
      <c r="S194" s="187" t="s">
        <v>825</v>
      </c>
      <c r="T194" s="187" t="s">
        <v>813</v>
      </c>
      <c r="U194" s="187" t="s">
        <v>1054</v>
      </c>
    </row>
    <row r="195" spans="1:21" x14ac:dyDescent="0.2">
      <c r="A195" s="188" t="s">
        <v>1817</v>
      </c>
      <c r="B195" s="187">
        <v>190</v>
      </c>
      <c r="C195" s="188" t="s">
        <v>467</v>
      </c>
      <c r="D195" s="188" t="s">
        <v>466</v>
      </c>
      <c r="E195" s="208">
        <v>101666056</v>
      </c>
      <c r="F195" s="208">
        <v>0</v>
      </c>
      <c r="G195" s="208">
        <v>2162354</v>
      </c>
      <c r="H195" s="208">
        <v>282580</v>
      </c>
      <c r="I195" s="208">
        <v>0</v>
      </c>
      <c r="J195" s="208">
        <v>282580</v>
      </c>
      <c r="K195" s="208">
        <v>0</v>
      </c>
      <c r="L195" s="208">
        <v>1344316</v>
      </c>
      <c r="M195" s="208">
        <v>0</v>
      </c>
      <c r="N195" s="208">
        <v>0</v>
      </c>
      <c r="O195" s="208">
        <v>0</v>
      </c>
      <c r="P195" s="208">
        <v>0</v>
      </c>
      <c r="Q195" s="208">
        <v>97876806</v>
      </c>
      <c r="R195" s="187" t="s">
        <v>466</v>
      </c>
      <c r="S195" s="187" t="s">
        <v>775</v>
      </c>
      <c r="T195" s="187" t="s">
        <v>751</v>
      </c>
      <c r="U195" s="187" t="s">
        <v>1054</v>
      </c>
    </row>
    <row r="196" spans="1:21" x14ac:dyDescent="0.2">
      <c r="B196" s="187">
        <v>191</v>
      </c>
      <c r="C196" s="188" t="s">
        <v>469</v>
      </c>
      <c r="D196" s="188" t="s">
        <v>468</v>
      </c>
      <c r="E196" s="208">
        <v>77076778</v>
      </c>
      <c r="F196" s="208">
        <v>2408186</v>
      </c>
      <c r="G196" s="208">
        <v>0</v>
      </c>
      <c r="H196" s="208">
        <v>477623</v>
      </c>
      <c r="I196" s="208">
        <v>0</v>
      </c>
      <c r="J196" s="208">
        <v>477623</v>
      </c>
      <c r="K196" s="208">
        <v>0</v>
      </c>
      <c r="L196" s="208">
        <v>257207</v>
      </c>
      <c r="M196" s="208">
        <v>2174386</v>
      </c>
      <c r="N196" s="208">
        <v>2174386</v>
      </c>
      <c r="O196" s="208">
        <v>0</v>
      </c>
      <c r="P196" s="208">
        <v>0</v>
      </c>
      <c r="Q196" s="208">
        <v>76575748</v>
      </c>
      <c r="R196" s="187" t="s">
        <v>468</v>
      </c>
      <c r="S196" s="187" t="s">
        <v>742</v>
      </c>
      <c r="T196" s="187" t="s">
        <v>751</v>
      </c>
      <c r="U196" s="187" t="s">
        <v>742</v>
      </c>
    </row>
    <row r="197" spans="1:21" x14ac:dyDescent="0.2">
      <c r="B197" s="187">
        <v>192</v>
      </c>
      <c r="C197" s="188" t="s">
        <v>471</v>
      </c>
      <c r="D197" s="188" t="s">
        <v>470</v>
      </c>
      <c r="E197" s="208">
        <v>78263283</v>
      </c>
      <c r="F197" s="208">
        <v>0</v>
      </c>
      <c r="G197" s="208">
        <v>667542</v>
      </c>
      <c r="H197" s="208">
        <v>268079</v>
      </c>
      <c r="I197" s="208">
        <v>0</v>
      </c>
      <c r="J197" s="208">
        <v>268079</v>
      </c>
      <c r="K197" s="208">
        <v>0</v>
      </c>
      <c r="L197" s="208">
        <v>0</v>
      </c>
      <c r="M197" s="208">
        <v>0</v>
      </c>
      <c r="N197" s="208">
        <v>0</v>
      </c>
      <c r="O197" s="208">
        <v>0</v>
      </c>
      <c r="P197" s="208">
        <v>0</v>
      </c>
      <c r="Q197" s="208">
        <v>77327662</v>
      </c>
      <c r="R197" s="187" t="s">
        <v>470</v>
      </c>
      <c r="S197" s="187" t="s">
        <v>802</v>
      </c>
      <c r="T197" s="187" t="s">
        <v>751</v>
      </c>
      <c r="U197" s="187" t="s">
        <v>1054</v>
      </c>
    </row>
    <row r="198" spans="1:21" x14ac:dyDescent="0.2">
      <c r="B198" s="187">
        <v>193</v>
      </c>
      <c r="C198" s="188" t="s">
        <v>473</v>
      </c>
      <c r="D198" s="188" t="s">
        <v>472</v>
      </c>
      <c r="E198" s="208">
        <v>141497386</v>
      </c>
      <c r="F198" s="208">
        <v>4844383</v>
      </c>
      <c r="G198" s="208">
        <v>0</v>
      </c>
      <c r="H198" s="208">
        <v>493293</v>
      </c>
      <c r="I198" s="208">
        <v>0</v>
      </c>
      <c r="J198" s="208">
        <v>493293</v>
      </c>
      <c r="K198" s="208">
        <v>0</v>
      </c>
      <c r="L198" s="208">
        <v>0</v>
      </c>
      <c r="M198" s="208">
        <v>0</v>
      </c>
      <c r="N198" s="208">
        <v>0</v>
      </c>
      <c r="O198" s="208">
        <v>0</v>
      </c>
      <c r="P198" s="208">
        <v>0</v>
      </c>
      <c r="Q198" s="208">
        <v>145848476</v>
      </c>
      <c r="R198" s="187" t="s">
        <v>828</v>
      </c>
      <c r="S198" s="187" t="s">
        <v>742</v>
      </c>
      <c r="T198" s="187" t="s">
        <v>815</v>
      </c>
      <c r="U198" s="187" t="s">
        <v>742</v>
      </c>
    </row>
    <row r="199" spans="1:21" x14ac:dyDescent="0.2">
      <c r="B199" s="187">
        <v>194</v>
      </c>
      <c r="C199" s="188" t="s">
        <v>475</v>
      </c>
      <c r="D199" s="188" t="s">
        <v>474</v>
      </c>
      <c r="E199" s="208">
        <v>35905534</v>
      </c>
      <c r="F199" s="208">
        <v>0</v>
      </c>
      <c r="G199" s="208">
        <v>400189</v>
      </c>
      <c r="H199" s="208">
        <v>131034</v>
      </c>
      <c r="I199" s="208">
        <v>0</v>
      </c>
      <c r="J199" s="208">
        <v>131034</v>
      </c>
      <c r="K199" s="208">
        <v>0</v>
      </c>
      <c r="L199" s="208">
        <v>0</v>
      </c>
      <c r="M199" s="208">
        <v>0</v>
      </c>
      <c r="N199" s="208">
        <v>0</v>
      </c>
      <c r="O199" s="208">
        <v>0</v>
      </c>
      <c r="P199" s="208">
        <v>0</v>
      </c>
      <c r="Q199" s="208">
        <v>35374311</v>
      </c>
      <c r="R199" s="187" t="s">
        <v>827</v>
      </c>
      <c r="S199" s="187" t="s">
        <v>779</v>
      </c>
      <c r="T199" s="187" t="s">
        <v>751</v>
      </c>
      <c r="U199" s="187" t="s">
        <v>1054</v>
      </c>
    </row>
    <row r="200" spans="1:21" x14ac:dyDescent="0.2">
      <c r="B200" s="187">
        <v>195</v>
      </c>
      <c r="C200" s="188" t="s">
        <v>477</v>
      </c>
      <c r="D200" s="188" t="s">
        <v>476</v>
      </c>
      <c r="E200" s="208">
        <v>11535929</v>
      </c>
      <c r="F200" s="208">
        <v>331179</v>
      </c>
      <c r="G200" s="208">
        <v>0</v>
      </c>
      <c r="H200" s="208">
        <v>54961</v>
      </c>
      <c r="I200" s="208">
        <v>0</v>
      </c>
      <c r="J200" s="208">
        <v>54961</v>
      </c>
      <c r="K200" s="208">
        <v>0</v>
      </c>
      <c r="L200" s="208">
        <v>0</v>
      </c>
      <c r="M200" s="208">
        <v>6360</v>
      </c>
      <c r="N200" s="208">
        <v>6360</v>
      </c>
      <c r="O200" s="208">
        <v>0</v>
      </c>
      <c r="P200" s="208">
        <v>0</v>
      </c>
      <c r="Q200" s="208">
        <v>11805787</v>
      </c>
      <c r="R200" s="187" t="s">
        <v>826</v>
      </c>
      <c r="S200" s="187" t="s">
        <v>825</v>
      </c>
      <c r="T200" s="187" t="s">
        <v>813</v>
      </c>
      <c r="U200" s="187" t="s">
        <v>1054</v>
      </c>
    </row>
    <row r="201" spans="1:21" x14ac:dyDescent="0.2">
      <c r="B201" s="187">
        <v>196</v>
      </c>
      <c r="C201" s="188" t="s">
        <v>479</v>
      </c>
      <c r="D201" s="188" t="s">
        <v>478</v>
      </c>
      <c r="E201" s="208">
        <v>56966782</v>
      </c>
      <c r="F201" s="208">
        <v>0</v>
      </c>
      <c r="G201" s="208">
        <v>1870788</v>
      </c>
      <c r="H201" s="208">
        <v>303420</v>
      </c>
      <c r="I201" s="208">
        <v>0</v>
      </c>
      <c r="J201" s="208">
        <v>303420</v>
      </c>
      <c r="K201" s="208">
        <v>0</v>
      </c>
      <c r="L201" s="208">
        <v>0</v>
      </c>
      <c r="M201" s="208">
        <v>0</v>
      </c>
      <c r="N201" s="208">
        <v>0</v>
      </c>
      <c r="O201" s="208">
        <v>0</v>
      </c>
      <c r="P201" s="208">
        <v>0</v>
      </c>
      <c r="Q201" s="208">
        <v>54792574</v>
      </c>
      <c r="R201" s="187" t="s">
        <v>478</v>
      </c>
      <c r="S201" s="187" t="s">
        <v>754</v>
      </c>
      <c r="T201" s="187" t="s">
        <v>763</v>
      </c>
      <c r="U201" s="187" t="s">
        <v>1056</v>
      </c>
    </row>
    <row r="202" spans="1:21" x14ac:dyDescent="0.2">
      <c r="B202" s="187">
        <v>197</v>
      </c>
      <c r="C202" s="188" t="s">
        <v>481</v>
      </c>
      <c r="D202" s="188" t="s">
        <v>480</v>
      </c>
      <c r="E202" s="208">
        <v>105720540</v>
      </c>
      <c r="F202" s="208">
        <v>0</v>
      </c>
      <c r="G202" s="208">
        <v>151064</v>
      </c>
      <c r="H202" s="208">
        <v>214298</v>
      </c>
      <c r="I202" s="208">
        <v>0</v>
      </c>
      <c r="J202" s="208">
        <v>214298</v>
      </c>
      <c r="K202" s="208">
        <v>0</v>
      </c>
      <c r="L202" s="208">
        <v>0</v>
      </c>
      <c r="M202" s="208">
        <v>8315</v>
      </c>
      <c r="N202" s="208">
        <v>8315</v>
      </c>
      <c r="O202" s="208">
        <v>0</v>
      </c>
      <c r="P202" s="208">
        <v>0</v>
      </c>
      <c r="Q202" s="208">
        <v>105346863</v>
      </c>
      <c r="R202" s="187" t="s">
        <v>480</v>
      </c>
      <c r="S202" s="187" t="s">
        <v>770</v>
      </c>
      <c r="T202" s="187" t="s">
        <v>751</v>
      </c>
      <c r="U202" s="187" t="s">
        <v>1054</v>
      </c>
    </row>
    <row r="203" spans="1:21" x14ac:dyDescent="0.2">
      <c r="B203" s="187">
        <v>198</v>
      </c>
      <c r="C203" s="188" t="s">
        <v>483</v>
      </c>
      <c r="D203" s="188" t="s">
        <v>482</v>
      </c>
      <c r="E203" s="208">
        <v>17682718</v>
      </c>
      <c r="F203" s="208">
        <v>0</v>
      </c>
      <c r="G203" s="208">
        <v>139194</v>
      </c>
      <c r="H203" s="208">
        <v>132929</v>
      </c>
      <c r="I203" s="208">
        <v>0</v>
      </c>
      <c r="J203" s="208">
        <v>132929</v>
      </c>
      <c r="K203" s="208">
        <v>0</v>
      </c>
      <c r="L203" s="208">
        <v>0</v>
      </c>
      <c r="M203" s="208">
        <v>0</v>
      </c>
      <c r="N203" s="208">
        <v>0</v>
      </c>
      <c r="O203" s="208">
        <v>0</v>
      </c>
      <c r="P203" s="208">
        <v>0</v>
      </c>
      <c r="Q203" s="208">
        <v>17410595</v>
      </c>
      <c r="R203" s="187" t="s">
        <v>482</v>
      </c>
      <c r="S203" s="187" t="s">
        <v>748</v>
      </c>
      <c r="T203" s="187" t="s">
        <v>747</v>
      </c>
      <c r="U203" s="187" t="s">
        <v>1054</v>
      </c>
    </row>
    <row r="204" spans="1:21" x14ac:dyDescent="0.2">
      <c r="B204" s="187">
        <v>199</v>
      </c>
      <c r="C204" s="188" t="s">
        <v>485</v>
      </c>
      <c r="D204" s="188" t="s">
        <v>484</v>
      </c>
      <c r="E204" s="208">
        <v>95925498</v>
      </c>
      <c r="F204" s="208">
        <v>0</v>
      </c>
      <c r="G204" s="208">
        <v>3241807</v>
      </c>
      <c r="H204" s="208">
        <v>269595</v>
      </c>
      <c r="I204" s="208">
        <v>0</v>
      </c>
      <c r="J204" s="208">
        <v>269595</v>
      </c>
      <c r="K204" s="208">
        <v>0</v>
      </c>
      <c r="L204" s="208">
        <v>0</v>
      </c>
      <c r="M204" s="208">
        <v>335745</v>
      </c>
      <c r="N204" s="208">
        <v>335745</v>
      </c>
      <c r="O204" s="208">
        <v>0</v>
      </c>
      <c r="P204" s="208">
        <v>0</v>
      </c>
      <c r="Q204" s="208">
        <v>92078351</v>
      </c>
      <c r="R204" s="187" t="s">
        <v>824</v>
      </c>
      <c r="S204" s="187" t="s">
        <v>742</v>
      </c>
      <c r="T204" s="187" t="s">
        <v>808</v>
      </c>
      <c r="U204" s="187" t="s">
        <v>742</v>
      </c>
    </row>
    <row r="205" spans="1:21" x14ac:dyDescent="0.2">
      <c r="B205" s="187">
        <v>200</v>
      </c>
      <c r="C205" s="188" t="s">
        <v>487</v>
      </c>
      <c r="D205" s="188" t="s">
        <v>486</v>
      </c>
      <c r="E205" s="208">
        <v>90077848</v>
      </c>
      <c r="F205" s="208">
        <v>0</v>
      </c>
      <c r="G205" s="208">
        <v>2899084</v>
      </c>
      <c r="H205" s="208">
        <v>317007</v>
      </c>
      <c r="I205" s="208">
        <v>0</v>
      </c>
      <c r="J205" s="208">
        <v>317007</v>
      </c>
      <c r="K205" s="208">
        <v>0</v>
      </c>
      <c r="L205" s="208">
        <v>0</v>
      </c>
      <c r="M205" s="208">
        <v>227823</v>
      </c>
      <c r="N205" s="208">
        <v>227823</v>
      </c>
      <c r="O205" s="208">
        <v>0</v>
      </c>
      <c r="P205" s="208">
        <v>0</v>
      </c>
      <c r="Q205" s="208">
        <v>86633934</v>
      </c>
      <c r="R205" s="187" t="s">
        <v>823</v>
      </c>
      <c r="S205" s="187" t="s">
        <v>742</v>
      </c>
      <c r="T205" s="187" t="s">
        <v>768</v>
      </c>
      <c r="U205" s="187" t="s">
        <v>742</v>
      </c>
    </row>
    <row r="206" spans="1:21" x14ac:dyDescent="0.2">
      <c r="B206" s="187">
        <v>201</v>
      </c>
      <c r="C206" s="188" t="s">
        <v>489</v>
      </c>
      <c r="D206" s="188" t="s">
        <v>488</v>
      </c>
      <c r="E206" s="208">
        <v>56391641</v>
      </c>
      <c r="F206" s="208">
        <v>0</v>
      </c>
      <c r="G206" s="208">
        <v>569368</v>
      </c>
      <c r="H206" s="208">
        <v>231774</v>
      </c>
      <c r="I206" s="208">
        <v>0</v>
      </c>
      <c r="J206" s="208">
        <v>231774</v>
      </c>
      <c r="K206" s="208">
        <v>0</v>
      </c>
      <c r="L206" s="208">
        <v>0</v>
      </c>
      <c r="M206" s="208">
        <v>322</v>
      </c>
      <c r="N206" s="208">
        <v>322</v>
      </c>
      <c r="O206" s="208">
        <v>0</v>
      </c>
      <c r="P206" s="208">
        <v>0</v>
      </c>
      <c r="Q206" s="208">
        <v>55590177</v>
      </c>
      <c r="R206" s="187" t="s">
        <v>822</v>
      </c>
      <c r="S206" s="187" t="s">
        <v>742</v>
      </c>
      <c r="T206" s="187" t="s">
        <v>764</v>
      </c>
      <c r="U206" s="187" t="s">
        <v>742</v>
      </c>
    </row>
    <row r="207" spans="1:21" x14ac:dyDescent="0.2">
      <c r="B207" s="187">
        <v>202</v>
      </c>
      <c r="C207" s="188" t="s">
        <v>491</v>
      </c>
      <c r="D207" s="188" t="s">
        <v>490</v>
      </c>
      <c r="E207" s="208">
        <v>90352048</v>
      </c>
      <c r="F207" s="208">
        <v>0</v>
      </c>
      <c r="G207" s="208">
        <v>333166</v>
      </c>
      <c r="H207" s="208">
        <v>272843</v>
      </c>
      <c r="I207" s="208">
        <v>0</v>
      </c>
      <c r="J207" s="208">
        <v>272843</v>
      </c>
      <c r="K207" s="208">
        <v>0</v>
      </c>
      <c r="L207" s="208">
        <v>0</v>
      </c>
      <c r="M207" s="208">
        <v>0</v>
      </c>
      <c r="N207" s="208">
        <v>0</v>
      </c>
      <c r="O207" s="208">
        <v>0</v>
      </c>
      <c r="P207" s="208">
        <v>0</v>
      </c>
      <c r="Q207" s="208">
        <v>89746039</v>
      </c>
      <c r="R207" s="187" t="s">
        <v>821</v>
      </c>
      <c r="S207" s="187" t="s">
        <v>742</v>
      </c>
      <c r="T207" s="187" t="s">
        <v>760</v>
      </c>
      <c r="U207" s="187" t="s">
        <v>742</v>
      </c>
    </row>
    <row r="208" spans="1:21" x14ac:dyDescent="0.2">
      <c r="B208" s="187">
        <v>203</v>
      </c>
      <c r="C208" s="188" t="s">
        <v>493</v>
      </c>
      <c r="D208" s="188" t="s">
        <v>492</v>
      </c>
      <c r="E208" s="208">
        <v>58137044</v>
      </c>
      <c r="F208" s="208">
        <v>0</v>
      </c>
      <c r="G208" s="208">
        <v>5339240</v>
      </c>
      <c r="H208" s="208">
        <v>224746</v>
      </c>
      <c r="I208" s="208">
        <v>0</v>
      </c>
      <c r="J208" s="208">
        <v>224746</v>
      </c>
      <c r="K208" s="208">
        <v>0</v>
      </c>
      <c r="L208" s="208">
        <v>0</v>
      </c>
      <c r="M208" s="208">
        <v>68061</v>
      </c>
      <c r="N208" s="208">
        <v>68061</v>
      </c>
      <c r="O208" s="208">
        <v>0</v>
      </c>
      <c r="P208" s="208">
        <v>0</v>
      </c>
      <c r="Q208" s="208">
        <v>52504997</v>
      </c>
      <c r="R208" s="187" t="s">
        <v>492</v>
      </c>
      <c r="S208" s="187" t="s">
        <v>748</v>
      </c>
      <c r="T208" s="187" t="s">
        <v>747</v>
      </c>
      <c r="U208" s="187" t="s">
        <v>1054</v>
      </c>
    </row>
    <row r="209" spans="1:21" x14ac:dyDescent="0.2">
      <c r="B209" s="187">
        <v>204</v>
      </c>
      <c r="C209" s="188" t="s">
        <v>495</v>
      </c>
      <c r="D209" s="188" t="s">
        <v>494</v>
      </c>
      <c r="E209" s="208">
        <v>14173529</v>
      </c>
      <c r="F209" s="208">
        <v>198304</v>
      </c>
      <c r="G209" s="208">
        <v>0</v>
      </c>
      <c r="H209" s="208">
        <v>96486</v>
      </c>
      <c r="I209" s="208">
        <v>0</v>
      </c>
      <c r="J209" s="208">
        <v>96486</v>
      </c>
      <c r="K209" s="208">
        <v>0</v>
      </c>
      <c r="L209" s="208">
        <v>91439</v>
      </c>
      <c r="M209" s="208">
        <v>130891</v>
      </c>
      <c r="N209" s="208">
        <v>130891</v>
      </c>
      <c r="O209" s="208">
        <v>0</v>
      </c>
      <c r="P209" s="208">
        <v>0</v>
      </c>
      <c r="Q209" s="208">
        <v>14053017</v>
      </c>
      <c r="R209" s="187" t="s">
        <v>494</v>
      </c>
      <c r="S209" s="187" t="s">
        <v>765</v>
      </c>
      <c r="T209" s="187" t="s">
        <v>764</v>
      </c>
      <c r="U209" s="187" t="s">
        <v>1054</v>
      </c>
    </row>
    <row r="210" spans="1:21" x14ac:dyDescent="0.2">
      <c r="A210" s="188" t="s">
        <v>1817</v>
      </c>
      <c r="B210" s="187">
        <v>205</v>
      </c>
      <c r="C210" s="188" t="s">
        <v>497</v>
      </c>
      <c r="D210" s="188" t="s">
        <v>496</v>
      </c>
      <c r="E210" s="208">
        <v>140040301</v>
      </c>
      <c r="F210" s="208">
        <v>1263450</v>
      </c>
      <c r="G210" s="208">
        <v>0</v>
      </c>
      <c r="H210" s="208">
        <v>282159</v>
      </c>
      <c r="I210" s="208">
        <v>0</v>
      </c>
      <c r="J210" s="208">
        <v>282159</v>
      </c>
      <c r="K210" s="208">
        <v>0</v>
      </c>
      <c r="L210" s="208">
        <v>0</v>
      </c>
      <c r="M210" s="208">
        <v>0</v>
      </c>
      <c r="N210" s="208">
        <v>0</v>
      </c>
      <c r="O210" s="208">
        <v>0</v>
      </c>
      <c r="P210" s="208">
        <v>0</v>
      </c>
      <c r="Q210" s="208">
        <v>141021592</v>
      </c>
      <c r="R210" s="187" t="s">
        <v>820</v>
      </c>
      <c r="S210" s="187" t="s">
        <v>742</v>
      </c>
      <c r="T210" s="187" t="s">
        <v>755</v>
      </c>
      <c r="U210" s="187" t="s">
        <v>742</v>
      </c>
    </row>
    <row r="211" spans="1:21" x14ac:dyDescent="0.2">
      <c r="B211" s="187">
        <v>206</v>
      </c>
      <c r="C211" s="188" t="s">
        <v>499</v>
      </c>
      <c r="D211" s="188" t="s">
        <v>498</v>
      </c>
      <c r="E211" s="208">
        <v>54678795</v>
      </c>
      <c r="F211" s="208">
        <v>2572623</v>
      </c>
      <c r="G211" s="208">
        <v>0</v>
      </c>
      <c r="H211" s="208">
        <v>280817</v>
      </c>
      <c r="I211" s="208">
        <v>0</v>
      </c>
      <c r="J211" s="208">
        <v>280817</v>
      </c>
      <c r="K211" s="208">
        <v>0</v>
      </c>
      <c r="L211" s="208">
        <v>0</v>
      </c>
      <c r="M211" s="208">
        <v>0</v>
      </c>
      <c r="N211" s="208">
        <v>0</v>
      </c>
      <c r="O211" s="208">
        <v>0</v>
      </c>
      <c r="P211" s="208">
        <v>0</v>
      </c>
      <c r="Q211" s="208">
        <v>56970601</v>
      </c>
      <c r="R211" s="187" t="s">
        <v>498</v>
      </c>
      <c r="S211" s="187" t="s">
        <v>767</v>
      </c>
      <c r="T211" s="187" t="s">
        <v>743</v>
      </c>
      <c r="U211" s="187" t="s">
        <v>1055</v>
      </c>
    </row>
    <row r="212" spans="1:21" x14ac:dyDescent="0.2">
      <c r="B212" s="187">
        <v>207</v>
      </c>
      <c r="C212" s="188" t="s">
        <v>501</v>
      </c>
      <c r="D212" s="188" t="s">
        <v>500</v>
      </c>
      <c r="E212" s="208">
        <v>38800420</v>
      </c>
      <c r="F212" s="208">
        <v>0</v>
      </c>
      <c r="G212" s="208">
        <v>1780618</v>
      </c>
      <c r="H212" s="208">
        <v>157376</v>
      </c>
      <c r="I212" s="208">
        <v>0</v>
      </c>
      <c r="J212" s="208">
        <v>157376</v>
      </c>
      <c r="K212" s="208">
        <v>0</v>
      </c>
      <c r="L212" s="208">
        <v>2010578</v>
      </c>
      <c r="M212" s="208">
        <v>0</v>
      </c>
      <c r="N212" s="208">
        <v>0</v>
      </c>
      <c r="O212" s="208">
        <v>0</v>
      </c>
      <c r="P212" s="208">
        <v>0</v>
      </c>
      <c r="Q212" s="208">
        <v>34851848</v>
      </c>
      <c r="R212" s="187" t="s">
        <v>819</v>
      </c>
      <c r="S212" s="187" t="s">
        <v>742</v>
      </c>
      <c r="T212" s="187" t="s">
        <v>798</v>
      </c>
      <c r="U212" s="187" t="s">
        <v>742</v>
      </c>
    </row>
    <row r="213" spans="1:21" x14ac:dyDescent="0.2">
      <c r="B213" s="187">
        <v>208</v>
      </c>
      <c r="C213" s="188" t="s">
        <v>503</v>
      </c>
      <c r="D213" s="188" t="s">
        <v>502</v>
      </c>
      <c r="E213" s="208">
        <v>33299997</v>
      </c>
      <c r="F213" s="208">
        <v>0</v>
      </c>
      <c r="G213" s="208">
        <v>1180749</v>
      </c>
      <c r="H213" s="208">
        <v>105992</v>
      </c>
      <c r="I213" s="208">
        <v>0</v>
      </c>
      <c r="J213" s="208">
        <v>105992</v>
      </c>
      <c r="K213" s="208">
        <v>0</v>
      </c>
      <c r="L213" s="208">
        <v>0</v>
      </c>
      <c r="M213" s="208">
        <v>0</v>
      </c>
      <c r="N213" s="208">
        <v>0</v>
      </c>
      <c r="O213" s="208">
        <v>0</v>
      </c>
      <c r="P213" s="208">
        <v>0</v>
      </c>
      <c r="Q213" s="208">
        <v>32013256</v>
      </c>
      <c r="R213" s="187" t="s">
        <v>502</v>
      </c>
      <c r="S213" s="187" t="s">
        <v>746</v>
      </c>
      <c r="T213" s="187" t="s">
        <v>745</v>
      </c>
      <c r="U213" s="187" t="s">
        <v>1054</v>
      </c>
    </row>
    <row r="214" spans="1:21" x14ac:dyDescent="0.2">
      <c r="B214" s="187">
        <v>209</v>
      </c>
      <c r="C214" s="188" t="s">
        <v>505</v>
      </c>
      <c r="D214" s="188" t="s">
        <v>504</v>
      </c>
      <c r="E214" s="208">
        <v>55588139</v>
      </c>
      <c r="F214" s="208">
        <v>277935</v>
      </c>
      <c r="G214" s="208">
        <v>0</v>
      </c>
      <c r="H214" s="208">
        <v>172438</v>
      </c>
      <c r="I214" s="208">
        <v>0</v>
      </c>
      <c r="J214" s="208">
        <v>172438</v>
      </c>
      <c r="K214" s="208">
        <v>0</v>
      </c>
      <c r="L214" s="208">
        <v>0</v>
      </c>
      <c r="M214" s="208">
        <v>0</v>
      </c>
      <c r="N214" s="208">
        <v>0</v>
      </c>
      <c r="O214" s="208">
        <v>0</v>
      </c>
      <c r="P214" s="208">
        <v>0</v>
      </c>
      <c r="Q214" s="208">
        <v>55693636</v>
      </c>
      <c r="R214" s="187" t="s">
        <v>818</v>
      </c>
      <c r="S214" s="187" t="s">
        <v>757</v>
      </c>
      <c r="T214" s="187" t="s">
        <v>751</v>
      </c>
      <c r="U214" s="187" t="s">
        <v>1054</v>
      </c>
    </row>
    <row r="215" spans="1:21" x14ac:dyDescent="0.2">
      <c r="B215" s="187">
        <v>210</v>
      </c>
      <c r="C215" s="188" t="s">
        <v>507</v>
      </c>
      <c r="D215" s="188" t="s">
        <v>506</v>
      </c>
      <c r="E215" s="208">
        <v>15229660</v>
      </c>
      <c r="F215" s="208">
        <v>187371</v>
      </c>
      <c r="G215" s="208">
        <v>0</v>
      </c>
      <c r="H215" s="208">
        <v>88160</v>
      </c>
      <c r="I215" s="208">
        <v>0</v>
      </c>
      <c r="J215" s="208">
        <v>88160</v>
      </c>
      <c r="K215" s="208">
        <v>0</v>
      </c>
      <c r="L215" s="208">
        <v>195380</v>
      </c>
      <c r="M215" s="208">
        <v>92478</v>
      </c>
      <c r="N215" s="208">
        <v>92478</v>
      </c>
      <c r="O215" s="208">
        <v>0</v>
      </c>
      <c r="P215" s="208">
        <v>0</v>
      </c>
      <c r="Q215" s="208">
        <v>15041013</v>
      </c>
      <c r="R215" s="187" t="s">
        <v>506</v>
      </c>
      <c r="S215" s="187" t="s">
        <v>748</v>
      </c>
      <c r="T215" s="187" t="s">
        <v>747</v>
      </c>
      <c r="U215" s="187" t="s">
        <v>1054</v>
      </c>
    </row>
    <row r="216" spans="1:21" x14ac:dyDescent="0.2">
      <c r="B216" s="187">
        <v>211</v>
      </c>
      <c r="C216" s="188" t="s">
        <v>509</v>
      </c>
      <c r="D216" s="188" t="s">
        <v>508</v>
      </c>
      <c r="E216" s="208">
        <v>90636798</v>
      </c>
      <c r="F216" s="208">
        <v>923963</v>
      </c>
      <c r="G216" s="208">
        <v>0</v>
      </c>
      <c r="H216" s="208">
        <v>290125</v>
      </c>
      <c r="I216" s="208">
        <v>0</v>
      </c>
      <c r="J216" s="208">
        <v>290125</v>
      </c>
      <c r="K216" s="208">
        <v>0</v>
      </c>
      <c r="L216" s="208">
        <v>0</v>
      </c>
      <c r="M216" s="208">
        <v>0</v>
      </c>
      <c r="N216" s="208">
        <v>0</v>
      </c>
      <c r="O216" s="208">
        <v>0</v>
      </c>
      <c r="P216" s="208">
        <v>0</v>
      </c>
      <c r="Q216" s="208">
        <v>91270636</v>
      </c>
      <c r="R216" s="187" t="s">
        <v>817</v>
      </c>
      <c r="S216" s="187" t="s">
        <v>767</v>
      </c>
      <c r="T216" s="187" t="s">
        <v>743</v>
      </c>
      <c r="U216" s="187" t="s">
        <v>1055</v>
      </c>
    </row>
    <row r="217" spans="1:21" x14ac:dyDescent="0.2">
      <c r="B217" s="187">
        <v>212</v>
      </c>
      <c r="C217" s="188" t="s">
        <v>511</v>
      </c>
      <c r="D217" s="188" t="s">
        <v>510</v>
      </c>
      <c r="E217" s="208">
        <v>11674585</v>
      </c>
      <c r="F217" s="208">
        <v>217891</v>
      </c>
      <c r="G217" s="208">
        <v>0</v>
      </c>
      <c r="H217" s="208">
        <v>98083</v>
      </c>
      <c r="I217" s="208">
        <v>0</v>
      </c>
      <c r="J217" s="208">
        <v>98083</v>
      </c>
      <c r="K217" s="208">
        <v>0</v>
      </c>
      <c r="L217" s="208">
        <v>0</v>
      </c>
      <c r="M217" s="208">
        <v>0</v>
      </c>
      <c r="N217" s="208">
        <v>0</v>
      </c>
      <c r="O217" s="208">
        <v>0</v>
      </c>
      <c r="P217" s="208">
        <v>0</v>
      </c>
      <c r="Q217" s="208">
        <v>11794393</v>
      </c>
      <c r="R217" s="187" t="s">
        <v>510</v>
      </c>
      <c r="S217" s="187" t="s">
        <v>812</v>
      </c>
      <c r="T217" s="187" t="s">
        <v>741</v>
      </c>
      <c r="U217" s="187" t="s">
        <v>1054</v>
      </c>
    </row>
    <row r="218" spans="1:21" x14ac:dyDescent="0.2">
      <c r="B218" s="187">
        <v>213</v>
      </c>
      <c r="C218" s="188" t="s">
        <v>513</v>
      </c>
      <c r="D218" s="188" t="s">
        <v>512</v>
      </c>
      <c r="E218" s="208">
        <v>62990799</v>
      </c>
      <c r="F218" s="208">
        <v>0</v>
      </c>
      <c r="G218" s="208">
        <v>1620795</v>
      </c>
      <c r="H218" s="208">
        <v>278094</v>
      </c>
      <c r="I218" s="208">
        <v>0</v>
      </c>
      <c r="J218" s="208">
        <v>278094</v>
      </c>
      <c r="K218" s="208">
        <v>0</v>
      </c>
      <c r="L218" s="208">
        <v>0</v>
      </c>
      <c r="M218" s="208">
        <v>532579</v>
      </c>
      <c r="N218" s="208">
        <v>532579</v>
      </c>
      <c r="O218" s="208">
        <v>0</v>
      </c>
      <c r="P218" s="208">
        <v>0</v>
      </c>
      <c r="Q218" s="208">
        <v>60559331</v>
      </c>
      <c r="R218" s="187" t="s">
        <v>512</v>
      </c>
      <c r="S218" s="187" t="s">
        <v>754</v>
      </c>
      <c r="T218" s="187" t="s">
        <v>763</v>
      </c>
      <c r="U218" s="187" t="s">
        <v>1056</v>
      </c>
    </row>
    <row r="219" spans="1:21" x14ac:dyDescent="0.2">
      <c r="B219" s="187">
        <v>214</v>
      </c>
      <c r="C219" s="188" t="s">
        <v>515</v>
      </c>
      <c r="D219" s="188" t="s">
        <v>514</v>
      </c>
      <c r="E219" s="208">
        <v>15857077.140000001</v>
      </c>
      <c r="F219" s="208">
        <v>233363</v>
      </c>
      <c r="G219" s="208">
        <v>0</v>
      </c>
      <c r="H219" s="208">
        <v>86347</v>
      </c>
      <c r="I219" s="208">
        <v>0</v>
      </c>
      <c r="J219" s="208">
        <v>86347</v>
      </c>
      <c r="K219" s="208">
        <v>0</v>
      </c>
      <c r="L219" s="208">
        <v>0</v>
      </c>
      <c r="M219" s="208">
        <v>47421</v>
      </c>
      <c r="N219" s="208">
        <v>47421</v>
      </c>
      <c r="O219" s="208">
        <v>0</v>
      </c>
      <c r="P219" s="208">
        <v>0</v>
      </c>
      <c r="Q219" s="208">
        <v>15956672.140000001</v>
      </c>
      <c r="R219" s="187" t="s">
        <v>514</v>
      </c>
      <c r="S219" s="187" t="s">
        <v>784</v>
      </c>
      <c r="T219" s="187" t="s">
        <v>783</v>
      </c>
      <c r="U219" s="187" t="s">
        <v>1054</v>
      </c>
    </row>
    <row r="220" spans="1:21" x14ac:dyDescent="0.2">
      <c r="A220" s="187" t="s">
        <v>1811</v>
      </c>
      <c r="B220" s="187">
        <v>215</v>
      </c>
      <c r="C220" s="188" t="s">
        <v>517</v>
      </c>
      <c r="D220" s="188" t="s">
        <v>516</v>
      </c>
      <c r="E220" s="208">
        <v>13077776</v>
      </c>
      <c r="F220" s="208">
        <v>0</v>
      </c>
      <c r="G220" s="208">
        <v>199854</v>
      </c>
      <c r="H220" s="208">
        <v>98149</v>
      </c>
      <c r="I220" s="208">
        <v>0</v>
      </c>
      <c r="J220" s="208">
        <v>98149</v>
      </c>
      <c r="K220" s="208">
        <v>0</v>
      </c>
      <c r="L220" s="208">
        <v>0</v>
      </c>
      <c r="M220" s="208">
        <v>163328</v>
      </c>
      <c r="N220" s="208">
        <v>163328</v>
      </c>
      <c r="O220" s="208">
        <v>0</v>
      </c>
      <c r="P220" s="208">
        <v>0</v>
      </c>
      <c r="Q220" s="208">
        <v>12616445</v>
      </c>
      <c r="R220" s="187" t="s">
        <v>516</v>
      </c>
      <c r="S220" s="187" t="s">
        <v>748</v>
      </c>
      <c r="T220" s="187" t="s">
        <v>747</v>
      </c>
      <c r="U220" s="187" t="s">
        <v>1054</v>
      </c>
    </row>
    <row r="221" spans="1:21" x14ac:dyDescent="0.2">
      <c r="B221" s="187">
        <v>216</v>
      </c>
      <c r="C221" s="188" t="s">
        <v>519</v>
      </c>
      <c r="D221" s="188" t="s">
        <v>518</v>
      </c>
      <c r="E221" s="208">
        <v>17454618.239999998</v>
      </c>
      <c r="F221" s="208">
        <v>715146</v>
      </c>
      <c r="G221" s="208">
        <v>0</v>
      </c>
      <c r="H221" s="208">
        <v>147126</v>
      </c>
      <c r="I221" s="208">
        <v>0</v>
      </c>
      <c r="J221" s="208">
        <v>147126</v>
      </c>
      <c r="K221" s="208">
        <v>0</v>
      </c>
      <c r="L221" s="208">
        <v>0</v>
      </c>
      <c r="M221" s="208">
        <v>0</v>
      </c>
      <c r="N221" s="208">
        <v>0</v>
      </c>
      <c r="O221" s="208">
        <v>0</v>
      </c>
      <c r="P221" s="208">
        <v>0</v>
      </c>
      <c r="Q221" s="208">
        <v>18022638.239999998</v>
      </c>
      <c r="R221" s="187" t="s">
        <v>518</v>
      </c>
      <c r="S221" s="187" t="s">
        <v>777</v>
      </c>
      <c r="T221" s="187" t="s">
        <v>776</v>
      </c>
      <c r="U221" s="187" t="s">
        <v>1054</v>
      </c>
    </row>
    <row r="222" spans="1:21" x14ac:dyDescent="0.2">
      <c r="B222" s="187">
        <v>217</v>
      </c>
      <c r="C222" s="188" t="s">
        <v>521</v>
      </c>
      <c r="D222" s="188" t="s">
        <v>520</v>
      </c>
      <c r="E222" s="208">
        <v>75680613</v>
      </c>
      <c r="F222" s="208">
        <v>0</v>
      </c>
      <c r="G222" s="208">
        <v>2772617</v>
      </c>
      <c r="H222" s="208">
        <v>299682</v>
      </c>
      <c r="I222" s="208">
        <v>0</v>
      </c>
      <c r="J222" s="208">
        <v>299682</v>
      </c>
      <c r="K222" s="208">
        <v>0</v>
      </c>
      <c r="L222" s="208">
        <v>448887</v>
      </c>
      <c r="M222" s="208">
        <v>91207</v>
      </c>
      <c r="N222" s="208">
        <v>91207</v>
      </c>
      <c r="O222" s="208">
        <v>0</v>
      </c>
      <c r="P222" s="208">
        <v>0</v>
      </c>
      <c r="Q222" s="208">
        <v>72068220</v>
      </c>
      <c r="R222" s="187" t="s">
        <v>520</v>
      </c>
      <c r="S222" s="187" t="s">
        <v>754</v>
      </c>
      <c r="T222" s="187" t="s">
        <v>811</v>
      </c>
      <c r="U222" s="187" t="s">
        <v>1056</v>
      </c>
    </row>
    <row r="223" spans="1:21" x14ac:dyDescent="0.2">
      <c r="B223" s="187">
        <v>218</v>
      </c>
      <c r="C223" s="188" t="s">
        <v>523</v>
      </c>
      <c r="D223" s="188" t="s">
        <v>522</v>
      </c>
      <c r="E223" s="208">
        <v>51498470</v>
      </c>
      <c r="F223" s="208">
        <v>0</v>
      </c>
      <c r="G223" s="208">
        <v>1478211</v>
      </c>
      <c r="H223" s="208">
        <v>136235</v>
      </c>
      <c r="I223" s="208">
        <v>0</v>
      </c>
      <c r="J223" s="208">
        <v>136235</v>
      </c>
      <c r="K223" s="208">
        <v>0</v>
      </c>
      <c r="L223" s="208">
        <v>0</v>
      </c>
      <c r="M223" s="208">
        <v>0</v>
      </c>
      <c r="N223" s="208">
        <v>0</v>
      </c>
      <c r="O223" s="208">
        <v>0</v>
      </c>
      <c r="P223" s="208">
        <v>0</v>
      </c>
      <c r="Q223" s="208">
        <v>49884024</v>
      </c>
      <c r="R223" s="187" t="s">
        <v>522</v>
      </c>
      <c r="S223" s="187" t="s">
        <v>779</v>
      </c>
      <c r="T223" s="187" t="s">
        <v>751</v>
      </c>
      <c r="U223" s="187" t="s">
        <v>1054</v>
      </c>
    </row>
    <row r="224" spans="1:21" x14ac:dyDescent="0.2">
      <c r="B224" s="187">
        <v>219</v>
      </c>
      <c r="C224" s="188" t="s">
        <v>525</v>
      </c>
      <c r="D224" s="188" t="s">
        <v>524</v>
      </c>
      <c r="E224" s="208">
        <v>70565303</v>
      </c>
      <c r="F224" s="208">
        <v>660326</v>
      </c>
      <c r="G224" s="208">
        <v>0</v>
      </c>
      <c r="H224" s="208">
        <v>131628</v>
      </c>
      <c r="I224" s="208">
        <v>0</v>
      </c>
      <c r="J224" s="208">
        <v>131628</v>
      </c>
      <c r="K224" s="208">
        <v>0</v>
      </c>
      <c r="L224" s="208">
        <v>179274</v>
      </c>
      <c r="M224" s="208">
        <v>0</v>
      </c>
      <c r="N224" s="208">
        <v>0</v>
      </c>
      <c r="O224" s="208">
        <v>0</v>
      </c>
      <c r="P224" s="208">
        <v>0</v>
      </c>
      <c r="Q224" s="208">
        <v>70914727</v>
      </c>
      <c r="R224" s="187" t="s">
        <v>524</v>
      </c>
      <c r="S224" s="187" t="s">
        <v>757</v>
      </c>
      <c r="T224" s="187" t="s">
        <v>751</v>
      </c>
      <c r="U224" s="187" t="s">
        <v>1054</v>
      </c>
    </row>
    <row r="225" spans="1:21" x14ac:dyDescent="0.2">
      <c r="B225" s="187">
        <v>220</v>
      </c>
      <c r="C225" s="188" t="s">
        <v>527</v>
      </c>
      <c r="D225" s="188" t="s">
        <v>526</v>
      </c>
      <c r="E225" s="208">
        <v>29227642</v>
      </c>
      <c r="F225" s="208">
        <v>0</v>
      </c>
      <c r="G225" s="208">
        <v>2126889</v>
      </c>
      <c r="H225" s="208">
        <v>111192</v>
      </c>
      <c r="I225" s="208">
        <v>0</v>
      </c>
      <c r="J225" s="208">
        <v>111192</v>
      </c>
      <c r="K225" s="208">
        <v>0</v>
      </c>
      <c r="L225" s="208">
        <v>0</v>
      </c>
      <c r="M225" s="208">
        <v>543164</v>
      </c>
      <c r="N225" s="208">
        <v>543164</v>
      </c>
      <c r="O225" s="208">
        <v>0</v>
      </c>
      <c r="P225" s="208">
        <v>0</v>
      </c>
      <c r="Q225" s="208">
        <v>26446397</v>
      </c>
      <c r="R225" s="187" t="s">
        <v>526</v>
      </c>
      <c r="S225" s="187" t="s">
        <v>816</v>
      </c>
      <c r="T225" s="187" t="s">
        <v>815</v>
      </c>
      <c r="U225" s="187" t="s">
        <v>1054</v>
      </c>
    </row>
    <row r="226" spans="1:21" x14ac:dyDescent="0.2">
      <c r="B226" s="187">
        <v>221</v>
      </c>
      <c r="C226" s="188" t="s">
        <v>529</v>
      </c>
      <c r="D226" s="188" t="s">
        <v>528</v>
      </c>
      <c r="E226" s="208">
        <v>48004641</v>
      </c>
      <c r="F226" s="208">
        <v>229899</v>
      </c>
      <c r="G226" s="208">
        <v>0</v>
      </c>
      <c r="H226" s="208">
        <v>119115</v>
      </c>
      <c r="I226" s="208">
        <v>0</v>
      </c>
      <c r="J226" s="208">
        <v>119115</v>
      </c>
      <c r="K226" s="208">
        <v>0</v>
      </c>
      <c r="L226" s="208">
        <v>0</v>
      </c>
      <c r="M226" s="208">
        <v>0</v>
      </c>
      <c r="N226" s="208">
        <v>0</v>
      </c>
      <c r="O226" s="208">
        <v>0</v>
      </c>
      <c r="P226" s="208">
        <v>0</v>
      </c>
      <c r="Q226" s="208">
        <v>48115425</v>
      </c>
      <c r="R226" s="187" t="s">
        <v>528</v>
      </c>
      <c r="S226" s="187" t="s">
        <v>761</v>
      </c>
      <c r="T226" s="187" t="s">
        <v>760</v>
      </c>
      <c r="U226" s="187" t="s">
        <v>1054</v>
      </c>
    </row>
    <row r="227" spans="1:21" x14ac:dyDescent="0.2">
      <c r="B227" s="187">
        <v>222</v>
      </c>
      <c r="C227" s="188" t="s">
        <v>531</v>
      </c>
      <c r="D227" s="188" t="s">
        <v>530</v>
      </c>
      <c r="E227" s="208">
        <v>10797616</v>
      </c>
      <c r="F227" s="208">
        <v>533230</v>
      </c>
      <c r="G227" s="208">
        <v>0</v>
      </c>
      <c r="H227" s="208">
        <v>57760</v>
      </c>
      <c r="I227" s="208">
        <v>0</v>
      </c>
      <c r="J227" s="208">
        <v>57760</v>
      </c>
      <c r="K227" s="208">
        <v>0</v>
      </c>
      <c r="L227" s="208">
        <v>0</v>
      </c>
      <c r="M227" s="208">
        <v>44576</v>
      </c>
      <c r="N227" s="208">
        <v>44576</v>
      </c>
      <c r="O227" s="208">
        <v>0</v>
      </c>
      <c r="P227" s="208">
        <v>0</v>
      </c>
      <c r="Q227" s="208">
        <v>11228510</v>
      </c>
      <c r="R227" s="187" t="s">
        <v>814</v>
      </c>
      <c r="S227" s="187" t="s">
        <v>742</v>
      </c>
      <c r="T227" s="187" t="s">
        <v>813</v>
      </c>
      <c r="U227" s="187" t="s">
        <v>742</v>
      </c>
    </row>
    <row r="228" spans="1:21" x14ac:dyDescent="0.2">
      <c r="B228" s="187">
        <v>223</v>
      </c>
      <c r="C228" s="188" t="s">
        <v>533</v>
      </c>
      <c r="D228" s="188" t="s">
        <v>532</v>
      </c>
      <c r="E228" s="208">
        <v>17246124</v>
      </c>
      <c r="F228" s="208">
        <v>473998</v>
      </c>
      <c r="G228" s="208">
        <v>0</v>
      </c>
      <c r="H228" s="208">
        <v>109934</v>
      </c>
      <c r="I228" s="208">
        <v>0</v>
      </c>
      <c r="J228" s="208">
        <v>109934</v>
      </c>
      <c r="K228" s="208">
        <v>0</v>
      </c>
      <c r="L228" s="208">
        <v>0</v>
      </c>
      <c r="M228" s="208">
        <v>26950</v>
      </c>
      <c r="N228" s="208">
        <v>26950</v>
      </c>
      <c r="O228" s="208">
        <v>0</v>
      </c>
      <c r="P228" s="208">
        <v>0</v>
      </c>
      <c r="Q228" s="208">
        <v>17583238</v>
      </c>
      <c r="R228" s="187" t="s">
        <v>532</v>
      </c>
      <c r="S228" s="187" t="s">
        <v>812</v>
      </c>
      <c r="T228" s="187" t="s">
        <v>741</v>
      </c>
      <c r="U228" s="187" t="s">
        <v>1054</v>
      </c>
    </row>
    <row r="229" spans="1:21" x14ac:dyDescent="0.2">
      <c r="B229" s="187">
        <v>224</v>
      </c>
      <c r="C229" s="188" t="s">
        <v>535</v>
      </c>
      <c r="D229" s="188" t="s">
        <v>534</v>
      </c>
      <c r="E229" s="208">
        <v>92833502</v>
      </c>
      <c r="F229" s="208">
        <v>0</v>
      </c>
      <c r="G229" s="208">
        <v>2329090</v>
      </c>
      <c r="H229" s="208">
        <v>448986</v>
      </c>
      <c r="I229" s="208">
        <v>0</v>
      </c>
      <c r="J229" s="208">
        <v>448986</v>
      </c>
      <c r="K229" s="208">
        <v>0</v>
      </c>
      <c r="L229" s="208">
        <v>0</v>
      </c>
      <c r="M229" s="208">
        <v>0</v>
      </c>
      <c r="N229" s="208">
        <v>0</v>
      </c>
      <c r="O229" s="208">
        <v>0</v>
      </c>
      <c r="P229" s="208">
        <v>0</v>
      </c>
      <c r="Q229" s="208">
        <v>90055426</v>
      </c>
      <c r="R229" s="187" t="s">
        <v>534</v>
      </c>
      <c r="S229" s="187" t="s">
        <v>754</v>
      </c>
      <c r="T229" s="187" t="s">
        <v>763</v>
      </c>
      <c r="U229" s="187" t="s">
        <v>1056</v>
      </c>
    </row>
    <row r="230" spans="1:21" x14ac:dyDescent="0.2">
      <c r="B230" s="187">
        <v>225</v>
      </c>
      <c r="C230" s="188" t="s">
        <v>537</v>
      </c>
      <c r="D230" s="188" t="s">
        <v>536</v>
      </c>
      <c r="E230" s="208">
        <v>98461933</v>
      </c>
      <c r="F230" s="208">
        <v>0</v>
      </c>
      <c r="G230" s="208">
        <v>993991</v>
      </c>
      <c r="H230" s="208">
        <v>441022</v>
      </c>
      <c r="I230" s="208">
        <v>0</v>
      </c>
      <c r="J230" s="208">
        <v>441022</v>
      </c>
      <c r="K230" s="208">
        <v>0</v>
      </c>
      <c r="L230" s="208">
        <v>0</v>
      </c>
      <c r="M230" s="208">
        <v>0</v>
      </c>
      <c r="N230" s="208">
        <v>0</v>
      </c>
      <c r="O230" s="208">
        <v>0</v>
      </c>
      <c r="P230" s="208">
        <v>0</v>
      </c>
      <c r="Q230" s="208">
        <v>97026920</v>
      </c>
      <c r="R230" s="187" t="s">
        <v>536</v>
      </c>
      <c r="S230" s="187" t="s">
        <v>754</v>
      </c>
      <c r="T230" s="187" t="s">
        <v>753</v>
      </c>
      <c r="U230" s="187" t="s">
        <v>1056</v>
      </c>
    </row>
    <row r="231" spans="1:21" x14ac:dyDescent="0.2">
      <c r="B231" s="187">
        <v>226</v>
      </c>
      <c r="C231" s="188" t="s">
        <v>539</v>
      </c>
      <c r="D231" s="188" t="s">
        <v>538</v>
      </c>
      <c r="E231" s="208">
        <v>34185831</v>
      </c>
      <c r="F231" s="208">
        <v>2207664</v>
      </c>
      <c r="G231" s="208">
        <v>0</v>
      </c>
      <c r="H231" s="208">
        <v>260038</v>
      </c>
      <c r="I231" s="208">
        <v>0</v>
      </c>
      <c r="J231" s="208">
        <v>260038</v>
      </c>
      <c r="K231" s="208">
        <v>0</v>
      </c>
      <c r="L231" s="208">
        <v>0</v>
      </c>
      <c r="M231" s="208">
        <v>0</v>
      </c>
      <c r="N231" s="208">
        <v>0</v>
      </c>
      <c r="O231" s="208">
        <v>0</v>
      </c>
      <c r="P231" s="208">
        <v>0</v>
      </c>
      <c r="Q231" s="208">
        <v>36133457</v>
      </c>
      <c r="R231" s="187" t="s">
        <v>538</v>
      </c>
      <c r="S231" s="187" t="s">
        <v>812</v>
      </c>
      <c r="T231" s="187" t="s">
        <v>741</v>
      </c>
      <c r="U231" s="187" t="s">
        <v>1054</v>
      </c>
    </row>
    <row r="232" spans="1:21" x14ac:dyDescent="0.2">
      <c r="B232" s="187">
        <v>227</v>
      </c>
      <c r="C232" s="188" t="s">
        <v>541</v>
      </c>
      <c r="D232" s="188" t="s">
        <v>540</v>
      </c>
      <c r="E232" s="208">
        <v>40636079</v>
      </c>
      <c r="F232" s="208">
        <v>0</v>
      </c>
      <c r="G232" s="208">
        <v>23611</v>
      </c>
      <c r="H232" s="208">
        <v>164734</v>
      </c>
      <c r="I232" s="208">
        <v>0</v>
      </c>
      <c r="J232" s="208">
        <v>164734</v>
      </c>
      <c r="K232" s="208">
        <v>0</v>
      </c>
      <c r="L232" s="208">
        <v>0</v>
      </c>
      <c r="M232" s="208">
        <v>252287</v>
      </c>
      <c r="N232" s="208">
        <v>252287</v>
      </c>
      <c r="O232" s="208">
        <v>0</v>
      </c>
      <c r="P232" s="208">
        <v>0</v>
      </c>
      <c r="Q232" s="208">
        <v>40195447</v>
      </c>
      <c r="R232" s="187" t="s">
        <v>540</v>
      </c>
      <c r="S232" s="187" t="s">
        <v>769</v>
      </c>
      <c r="T232" s="187" t="s">
        <v>768</v>
      </c>
      <c r="U232" s="187" t="s">
        <v>1054</v>
      </c>
    </row>
    <row r="233" spans="1:21" x14ac:dyDescent="0.2">
      <c r="B233" s="187">
        <v>228</v>
      </c>
      <c r="C233" s="188" t="s">
        <v>543</v>
      </c>
      <c r="D233" s="188" t="s">
        <v>542</v>
      </c>
      <c r="E233" s="208">
        <v>67522399</v>
      </c>
      <c r="F233" s="208">
        <v>0</v>
      </c>
      <c r="G233" s="208">
        <v>413475</v>
      </c>
      <c r="H233" s="208">
        <v>318969</v>
      </c>
      <c r="I233" s="208">
        <v>0</v>
      </c>
      <c r="J233" s="208">
        <v>318969</v>
      </c>
      <c r="K233" s="208">
        <v>0</v>
      </c>
      <c r="L233" s="208">
        <v>0</v>
      </c>
      <c r="M233" s="208">
        <v>0</v>
      </c>
      <c r="N233" s="208">
        <v>0</v>
      </c>
      <c r="O233" s="208">
        <v>0</v>
      </c>
      <c r="P233" s="208">
        <v>0</v>
      </c>
      <c r="Q233" s="208">
        <v>66789955</v>
      </c>
      <c r="R233" s="187" t="s">
        <v>542</v>
      </c>
      <c r="S233" s="187" t="s">
        <v>754</v>
      </c>
      <c r="T233" s="187" t="s">
        <v>758</v>
      </c>
      <c r="U233" s="187" t="s">
        <v>1056</v>
      </c>
    </row>
    <row r="234" spans="1:21" x14ac:dyDescent="0.2">
      <c r="B234" s="187">
        <v>229</v>
      </c>
      <c r="C234" s="188" t="s">
        <v>545</v>
      </c>
      <c r="D234" s="188" t="s">
        <v>544</v>
      </c>
      <c r="E234" s="208">
        <v>38347747</v>
      </c>
      <c r="F234" s="208">
        <v>0</v>
      </c>
      <c r="G234" s="208">
        <v>2082293</v>
      </c>
      <c r="H234" s="208">
        <v>111131</v>
      </c>
      <c r="I234" s="208">
        <v>0</v>
      </c>
      <c r="J234" s="208">
        <v>111131</v>
      </c>
      <c r="K234" s="208">
        <v>0</v>
      </c>
      <c r="L234" s="208">
        <v>0</v>
      </c>
      <c r="M234" s="208">
        <v>8343583</v>
      </c>
      <c r="N234" s="208">
        <v>8343583</v>
      </c>
      <c r="O234" s="208">
        <v>0</v>
      </c>
      <c r="P234" s="208">
        <v>0</v>
      </c>
      <c r="Q234" s="208">
        <v>27810740</v>
      </c>
      <c r="R234" s="187" t="s">
        <v>544</v>
      </c>
      <c r="S234" s="187" t="s">
        <v>812</v>
      </c>
      <c r="T234" s="187" t="s">
        <v>741</v>
      </c>
      <c r="U234" s="187" t="s">
        <v>1054</v>
      </c>
    </row>
    <row r="235" spans="1:21" x14ac:dyDescent="0.2">
      <c r="B235" s="187">
        <v>230</v>
      </c>
      <c r="C235" s="188" t="s">
        <v>547</v>
      </c>
      <c r="D235" s="188" t="s">
        <v>546</v>
      </c>
      <c r="E235" s="208">
        <v>35381757</v>
      </c>
      <c r="F235" s="208">
        <v>530285</v>
      </c>
      <c r="G235" s="208">
        <v>0</v>
      </c>
      <c r="H235" s="208">
        <v>163466</v>
      </c>
      <c r="I235" s="208">
        <v>0</v>
      </c>
      <c r="J235" s="208">
        <v>163466</v>
      </c>
      <c r="K235" s="208">
        <v>0</v>
      </c>
      <c r="L235" s="208">
        <v>0</v>
      </c>
      <c r="M235" s="208">
        <v>0</v>
      </c>
      <c r="N235" s="208">
        <v>0</v>
      </c>
      <c r="O235" s="208">
        <v>0</v>
      </c>
      <c r="P235" s="208">
        <v>0</v>
      </c>
      <c r="Q235" s="208">
        <v>35748576</v>
      </c>
      <c r="R235" s="187" t="s">
        <v>546</v>
      </c>
      <c r="S235" s="187" t="s">
        <v>786</v>
      </c>
      <c r="T235" s="187" t="s">
        <v>785</v>
      </c>
      <c r="U235" s="187" t="s">
        <v>1054</v>
      </c>
    </row>
    <row r="236" spans="1:21" x14ac:dyDescent="0.2">
      <c r="B236" s="187">
        <v>231</v>
      </c>
      <c r="C236" s="188" t="s">
        <v>549</v>
      </c>
      <c r="D236" s="188" t="s">
        <v>548</v>
      </c>
      <c r="E236" s="208">
        <v>224359233</v>
      </c>
      <c r="F236" s="208">
        <v>0</v>
      </c>
      <c r="G236" s="208">
        <v>5371704</v>
      </c>
      <c r="H236" s="208">
        <v>751904</v>
      </c>
      <c r="I236" s="208">
        <v>0</v>
      </c>
      <c r="J236" s="208">
        <v>751904</v>
      </c>
      <c r="K236" s="208">
        <v>0</v>
      </c>
      <c r="L236" s="208">
        <v>607256</v>
      </c>
      <c r="M236" s="208">
        <v>1538824</v>
      </c>
      <c r="N236" s="208">
        <v>1538824</v>
      </c>
      <c r="O236" s="208">
        <v>0</v>
      </c>
      <c r="P236" s="208">
        <v>0</v>
      </c>
      <c r="Q236" s="208">
        <v>216089545</v>
      </c>
      <c r="R236" s="187" t="s">
        <v>548</v>
      </c>
      <c r="S236" s="187" t="s">
        <v>754</v>
      </c>
      <c r="T236" s="187" t="s">
        <v>811</v>
      </c>
      <c r="U236" s="187" t="s">
        <v>1056</v>
      </c>
    </row>
    <row r="237" spans="1:21" x14ac:dyDescent="0.2">
      <c r="B237" s="187">
        <v>232</v>
      </c>
      <c r="C237" s="188" t="s">
        <v>552</v>
      </c>
      <c r="D237" s="188" t="s">
        <v>551</v>
      </c>
      <c r="E237" s="208">
        <v>77811959</v>
      </c>
      <c r="F237" s="208">
        <v>4036985</v>
      </c>
      <c r="G237" s="208">
        <v>0</v>
      </c>
      <c r="H237" s="208">
        <v>460982</v>
      </c>
      <c r="I237" s="208">
        <v>0</v>
      </c>
      <c r="J237" s="208">
        <v>460982</v>
      </c>
      <c r="K237" s="208">
        <v>0</v>
      </c>
      <c r="L237" s="208">
        <v>0</v>
      </c>
      <c r="M237" s="208">
        <v>1183158</v>
      </c>
      <c r="N237" s="208">
        <v>1183158</v>
      </c>
      <c r="O237" s="208">
        <v>0</v>
      </c>
      <c r="P237" s="208">
        <v>0</v>
      </c>
      <c r="Q237" s="208">
        <v>80204804</v>
      </c>
      <c r="R237" s="187" t="s">
        <v>551</v>
      </c>
      <c r="S237" s="187" t="s">
        <v>742</v>
      </c>
      <c r="T237" s="187" t="s">
        <v>791</v>
      </c>
      <c r="U237" s="187" t="s">
        <v>742</v>
      </c>
    </row>
    <row r="238" spans="1:21" x14ac:dyDescent="0.2">
      <c r="A238" s="187" t="s">
        <v>1811</v>
      </c>
      <c r="B238" s="187">
        <v>233</v>
      </c>
      <c r="C238" s="188" t="s">
        <v>554</v>
      </c>
      <c r="D238" s="188" t="s">
        <v>553</v>
      </c>
      <c r="E238" s="208">
        <v>104612127</v>
      </c>
      <c r="F238" s="208">
        <v>0</v>
      </c>
      <c r="G238" s="208">
        <v>2317355</v>
      </c>
      <c r="H238" s="208">
        <v>205422</v>
      </c>
      <c r="I238" s="208">
        <v>0</v>
      </c>
      <c r="J238" s="208">
        <v>205422</v>
      </c>
      <c r="K238" s="208">
        <v>0</v>
      </c>
      <c r="L238" s="208">
        <v>0</v>
      </c>
      <c r="M238" s="208">
        <v>0</v>
      </c>
      <c r="N238" s="208">
        <v>0</v>
      </c>
      <c r="O238" s="208">
        <v>0</v>
      </c>
      <c r="P238" s="208">
        <v>0</v>
      </c>
      <c r="Q238" s="208">
        <v>102089350</v>
      </c>
      <c r="R238" s="187" t="s">
        <v>810</v>
      </c>
      <c r="S238" s="187" t="s">
        <v>742</v>
      </c>
      <c r="T238" s="187" t="s">
        <v>755</v>
      </c>
      <c r="U238" s="187" t="s">
        <v>742</v>
      </c>
    </row>
    <row r="239" spans="1:21" x14ac:dyDescent="0.2">
      <c r="B239" s="187">
        <v>234</v>
      </c>
      <c r="C239" s="188" t="s">
        <v>556</v>
      </c>
      <c r="D239" s="188" t="s">
        <v>555</v>
      </c>
      <c r="E239" s="208">
        <v>118338059</v>
      </c>
      <c r="F239" s="208">
        <v>0</v>
      </c>
      <c r="G239" s="208">
        <v>3025306</v>
      </c>
      <c r="H239" s="208">
        <v>252086</v>
      </c>
      <c r="I239" s="208">
        <v>0</v>
      </c>
      <c r="J239" s="208">
        <v>252086</v>
      </c>
      <c r="K239" s="208">
        <v>0</v>
      </c>
      <c r="L239" s="208">
        <v>0</v>
      </c>
      <c r="M239" s="208">
        <v>0</v>
      </c>
      <c r="N239" s="208">
        <v>0</v>
      </c>
      <c r="O239" s="208">
        <v>0</v>
      </c>
      <c r="P239" s="208">
        <v>0</v>
      </c>
      <c r="Q239" s="208">
        <v>115060667</v>
      </c>
      <c r="R239" s="187" t="s">
        <v>555</v>
      </c>
      <c r="S239" s="187" t="s">
        <v>754</v>
      </c>
      <c r="T239" s="187" t="s">
        <v>753</v>
      </c>
      <c r="U239" s="187" t="s">
        <v>1056</v>
      </c>
    </row>
    <row r="240" spans="1:21" x14ac:dyDescent="0.2">
      <c r="A240" s="188"/>
      <c r="B240" s="187">
        <v>235</v>
      </c>
      <c r="C240" s="188" t="s">
        <v>558</v>
      </c>
      <c r="D240" s="188" t="s">
        <v>557</v>
      </c>
      <c r="E240" s="208">
        <v>31946888</v>
      </c>
      <c r="F240" s="208">
        <v>644272</v>
      </c>
      <c r="G240" s="208">
        <v>0</v>
      </c>
      <c r="H240" s="208">
        <v>95879</v>
      </c>
      <c r="I240" s="208">
        <v>0</v>
      </c>
      <c r="J240" s="208">
        <v>95879</v>
      </c>
      <c r="K240" s="208">
        <v>0</v>
      </c>
      <c r="L240" s="208">
        <v>0</v>
      </c>
      <c r="M240" s="208">
        <v>0</v>
      </c>
      <c r="N240" s="208">
        <v>0</v>
      </c>
      <c r="O240" s="208">
        <v>0</v>
      </c>
      <c r="P240" s="208">
        <v>0</v>
      </c>
      <c r="Q240" s="208">
        <v>32495281</v>
      </c>
      <c r="R240" s="187" t="s">
        <v>557</v>
      </c>
      <c r="S240" s="187" t="s">
        <v>750</v>
      </c>
      <c r="T240" s="187" t="s">
        <v>749</v>
      </c>
      <c r="U240" s="187" t="s">
        <v>1054</v>
      </c>
    </row>
    <row r="241" spans="1:21" x14ac:dyDescent="0.2">
      <c r="B241" s="187">
        <v>236</v>
      </c>
      <c r="C241" s="188" t="s">
        <v>560</v>
      </c>
      <c r="D241" s="188" t="s">
        <v>559</v>
      </c>
      <c r="E241" s="208">
        <v>87839890</v>
      </c>
      <c r="F241" s="208">
        <v>0</v>
      </c>
      <c r="G241" s="208">
        <v>168692</v>
      </c>
      <c r="H241" s="208">
        <v>230781</v>
      </c>
      <c r="I241" s="208">
        <v>0</v>
      </c>
      <c r="J241" s="208">
        <v>230781</v>
      </c>
      <c r="K241" s="208">
        <v>0</v>
      </c>
      <c r="L241" s="208">
        <v>752412</v>
      </c>
      <c r="M241" s="208">
        <v>834462</v>
      </c>
      <c r="N241" s="208">
        <v>834462</v>
      </c>
      <c r="O241" s="208">
        <v>0</v>
      </c>
      <c r="P241" s="208">
        <v>0</v>
      </c>
      <c r="Q241" s="208">
        <v>85853543</v>
      </c>
      <c r="R241" s="187" t="s">
        <v>559</v>
      </c>
      <c r="S241" s="187" t="s">
        <v>809</v>
      </c>
      <c r="T241" s="187" t="s">
        <v>808</v>
      </c>
      <c r="U241" s="187" t="s">
        <v>1054</v>
      </c>
    </row>
    <row r="242" spans="1:21" x14ac:dyDescent="0.2">
      <c r="A242" s="188"/>
      <c r="B242" s="187">
        <v>237</v>
      </c>
      <c r="C242" s="188" t="s">
        <v>562</v>
      </c>
      <c r="D242" s="188" t="s">
        <v>561</v>
      </c>
      <c r="E242" s="208">
        <v>25048130</v>
      </c>
      <c r="F242" s="208">
        <v>770797</v>
      </c>
      <c r="G242" s="208">
        <v>0</v>
      </c>
      <c r="H242" s="208">
        <v>91363</v>
      </c>
      <c r="I242" s="208">
        <v>0</v>
      </c>
      <c r="J242" s="208">
        <v>91363</v>
      </c>
      <c r="K242" s="208">
        <v>0</v>
      </c>
      <c r="L242" s="208">
        <v>0</v>
      </c>
      <c r="M242" s="208">
        <v>0</v>
      </c>
      <c r="N242" s="208">
        <v>0</v>
      </c>
      <c r="O242" s="208">
        <v>0</v>
      </c>
      <c r="P242" s="208">
        <v>0</v>
      </c>
      <c r="Q242" s="208">
        <v>25727564</v>
      </c>
      <c r="R242" s="187" t="s">
        <v>561</v>
      </c>
      <c r="S242" s="187" t="s">
        <v>807</v>
      </c>
      <c r="T242" s="187" t="s">
        <v>806</v>
      </c>
      <c r="U242" s="187" t="s">
        <v>1054</v>
      </c>
    </row>
    <row r="243" spans="1:21" x14ac:dyDescent="0.2">
      <c r="B243" s="187">
        <v>238</v>
      </c>
      <c r="C243" s="188" t="s">
        <v>564</v>
      </c>
      <c r="D243" s="188" t="s">
        <v>563</v>
      </c>
      <c r="E243" s="208">
        <v>148490517</v>
      </c>
      <c r="F243" s="208">
        <v>0</v>
      </c>
      <c r="G243" s="208">
        <v>3916384</v>
      </c>
      <c r="H243" s="208">
        <v>336021</v>
      </c>
      <c r="I243" s="208">
        <v>0</v>
      </c>
      <c r="J243" s="208">
        <v>336021</v>
      </c>
      <c r="K243" s="208">
        <v>0</v>
      </c>
      <c r="L243" s="208">
        <v>11800334</v>
      </c>
      <c r="M243" s="208">
        <v>575649</v>
      </c>
      <c r="N243" s="208">
        <v>575649</v>
      </c>
      <c r="O243" s="208">
        <v>0</v>
      </c>
      <c r="P243" s="208">
        <v>0</v>
      </c>
      <c r="Q243" s="208">
        <v>131862129</v>
      </c>
      <c r="R243" s="187" t="s">
        <v>805</v>
      </c>
      <c r="S243" s="187" t="s">
        <v>742</v>
      </c>
      <c r="T243" s="187" t="s">
        <v>804</v>
      </c>
      <c r="U243" s="187" t="s">
        <v>742</v>
      </c>
    </row>
    <row r="244" spans="1:21" x14ac:dyDescent="0.2">
      <c r="B244" s="187">
        <v>239</v>
      </c>
      <c r="C244" s="188" t="s">
        <v>566</v>
      </c>
      <c r="D244" s="188" t="s">
        <v>565</v>
      </c>
      <c r="E244" s="208">
        <v>31338292</v>
      </c>
      <c r="F244" s="208">
        <v>0</v>
      </c>
      <c r="G244" s="208">
        <v>98502</v>
      </c>
      <c r="H244" s="208">
        <v>205447</v>
      </c>
      <c r="I244" s="208">
        <v>0</v>
      </c>
      <c r="J244" s="208">
        <v>205447</v>
      </c>
      <c r="K244" s="208">
        <v>0</v>
      </c>
      <c r="L244" s="208">
        <v>0</v>
      </c>
      <c r="M244" s="208">
        <v>0</v>
      </c>
      <c r="N244" s="208">
        <v>0</v>
      </c>
      <c r="O244" s="208">
        <v>0</v>
      </c>
      <c r="P244" s="208">
        <v>0</v>
      </c>
      <c r="Q244" s="208">
        <v>31034343</v>
      </c>
      <c r="R244" s="187" t="s">
        <v>565</v>
      </c>
      <c r="S244" s="187" t="s">
        <v>772</v>
      </c>
      <c r="T244" s="187" t="s">
        <v>768</v>
      </c>
      <c r="U244" s="187" t="s">
        <v>1054</v>
      </c>
    </row>
    <row r="245" spans="1:21" x14ac:dyDescent="0.2">
      <c r="B245" s="187">
        <v>240</v>
      </c>
      <c r="C245" s="188" t="s">
        <v>568</v>
      </c>
      <c r="D245" s="188" t="s">
        <v>567</v>
      </c>
      <c r="E245" s="208">
        <v>27835322</v>
      </c>
      <c r="F245" s="208">
        <v>0</v>
      </c>
      <c r="G245" s="208">
        <v>2062449</v>
      </c>
      <c r="H245" s="208">
        <v>105629</v>
      </c>
      <c r="I245" s="208">
        <v>0</v>
      </c>
      <c r="J245" s="208">
        <v>105629</v>
      </c>
      <c r="K245" s="208">
        <v>0</v>
      </c>
      <c r="L245" s="208">
        <v>0</v>
      </c>
      <c r="M245" s="208">
        <v>302265</v>
      </c>
      <c r="N245" s="208">
        <v>250007</v>
      </c>
      <c r="O245" s="208">
        <v>52258</v>
      </c>
      <c r="P245" s="208">
        <v>0</v>
      </c>
      <c r="Q245" s="208">
        <v>25364979</v>
      </c>
      <c r="R245" s="187" t="s">
        <v>567</v>
      </c>
      <c r="S245" s="187" t="s">
        <v>771</v>
      </c>
      <c r="T245" s="187" t="s">
        <v>751</v>
      </c>
      <c r="U245" s="187" t="s">
        <v>1054</v>
      </c>
    </row>
    <row r="246" spans="1:21" x14ac:dyDescent="0.2">
      <c r="B246" s="187">
        <v>241</v>
      </c>
      <c r="C246" s="188" t="s">
        <v>570</v>
      </c>
      <c r="D246" s="188" t="s">
        <v>569</v>
      </c>
      <c r="E246" s="208">
        <v>43144920</v>
      </c>
      <c r="F246" s="208">
        <v>90548</v>
      </c>
      <c r="G246" s="208">
        <v>0</v>
      </c>
      <c r="H246" s="208">
        <v>177094</v>
      </c>
      <c r="I246" s="208">
        <v>0</v>
      </c>
      <c r="J246" s="208">
        <v>177094</v>
      </c>
      <c r="K246" s="208">
        <v>0</v>
      </c>
      <c r="L246" s="208">
        <v>0</v>
      </c>
      <c r="M246" s="208">
        <v>0</v>
      </c>
      <c r="N246" s="208">
        <v>0</v>
      </c>
      <c r="O246" s="208">
        <v>0</v>
      </c>
      <c r="P246" s="208">
        <v>0</v>
      </c>
      <c r="Q246" s="208">
        <v>43058374</v>
      </c>
      <c r="R246" s="187" t="s">
        <v>569</v>
      </c>
      <c r="S246" s="187" t="s">
        <v>771</v>
      </c>
      <c r="T246" s="187" t="s">
        <v>751</v>
      </c>
      <c r="U246" s="187" t="s">
        <v>1054</v>
      </c>
    </row>
    <row r="247" spans="1:21" x14ac:dyDescent="0.2">
      <c r="B247" s="187">
        <v>242</v>
      </c>
      <c r="C247" s="188" t="s">
        <v>572</v>
      </c>
      <c r="D247" s="188" t="s">
        <v>571</v>
      </c>
      <c r="E247" s="208">
        <v>42727409</v>
      </c>
      <c r="F247" s="208">
        <v>1181948</v>
      </c>
      <c r="G247" s="208">
        <v>0</v>
      </c>
      <c r="H247" s="208">
        <v>299947</v>
      </c>
      <c r="I247" s="208">
        <v>0</v>
      </c>
      <c r="J247" s="208">
        <v>299947</v>
      </c>
      <c r="K247" s="208">
        <v>0</v>
      </c>
      <c r="L247" s="208">
        <v>0</v>
      </c>
      <c r="M247" s="208">
        <v>0</v>
      </c>
      <c r="N247" s="208">
        <v>0</v>
      </c>
      <c r="O247" s="208">
        <v>0</v>
      </c>
      <c r="P247" s="208">
        <v>0</v>
      </c>
      <c r="Q247" s="208">
        <v>43609410</v>
      </c>
      <c r="R247" s="187" t="s">
        <v>571</v>
      </c>
      <c r="S247" s="187" t="s">
        <v>803</v>
      </c>
      <c r="T247" s="187" t="s">
        <v>751</v>
      </c>
      <c r="U247" s="187" t="s">
        <v>1054</v>
      </c>
    </row>
    <row r="248" spans="1:21" x14ac:dyDescent="0.2">
      <c r="B248" s="187">
        <v>243</v>
      </c>
      <c r="C248" s="188" t="s">
        <v>574</v>
      </c>
      <c r="D248" s="188" t="s">
        <v>573</v>
      </c>
      <c r="E248" s="208">
        <v>28591627</v>
      </c>
      <c r="F248" s="208">
        <v>0</v>
      </c>
      <c r="G248" s="208">
        <v>30468</v>
      </c>
      <c r="H248" s="208">
        <v>164243</v>
      </c>
      <c r="I248" s="208">
        <v>0</v>
      </c>
      <c r="J248" s="208">
        <v>164243</v>
      </c>
      <c r="K248" s="208">
        <v>0</v>
      </c>
      <c r="L248" s="208">
        <v>0</v>
      </c>
      <c r="M248" s="208">
        <v>158783</v>
      </c>
      <c r="N248" s="208">
        <v>158783</v>
      </c>
      <c r="O248" s="208">
        <v>0</v>
      </c>
      <c r="P248" s="208">
        <v>0</v>
      </c>
      <c r="Q248" s="208">
        <v>28238133</v>
      </c>
      <c r="R248" s="187" t="s">
        <v>573</v>
      </c>
      <c r="S248" s="187" t="s">
        <v>802</v>
      </c>
      <c r="T248" s="187" t="s">
        <v>751</v>
      </c>
      <c r="U248" s="187" t="s">
        <v>1054</v>
      </c>
    </row>
    <row r="249" spans="1:21" x14ac:dyDescent="0.2">
      <c r="B249" s="187">
        <v>244</v>
      </c>
      <c r="C249" s="188" t="s">
        <v>576</v>
      </c>
      <c r="D249" s="188" t="s">
        <v>575</v>
      </c>
      <c r="E249" s="208">
        <v>24536444</v>
      </c>
      <c r="F249" s="208">
        <v>330952</v>
      </c>
      <c r="G249" s="208">
        <v>0</v>
      </c>
      <c r="H249" s="208">
        <v>108286</v>
      </c>
      <c r="I249" s="208">
        <v>0</v>
      </c>
      <c r="J249" s="208">
        <v>108286</v>
      </c>
      <c r="K249" s="208">
        <v>0</v>
      </c>
      <c r="L249" s="208">
        <v>0</v>
      </c>
      <c r="M249" s="208">
        <v>377645</v>
      </c>
      <c r="N249" s="208">
        <v>377645</v>
      </c>
      <c r="O249" s="208">
        <v>0</v>
      </c>
      <c r="P249" s="208">
        <v>0</v>
      </c>
      <c r="Q249" s="208">
        <v>24381465</v>
      </c>
      <c r="R249" s="187" t="s">
        <v>575</v>
      </c>
      <c r="S249" s="187" t="s">
        <v>775</v>
      </c>
      <c r="T249" s="187" t="s">
        <v>751</v>
      </c>
      <c r="U249" s="187" t="s">
        <v>1054</v>
      </c>
    </row>
    <row r="250" spans="1:21" x14ac:dyDescent="0.2">
      <c r="B250" s="187">
        <v>245</v>
      </c>
      <c r="C250" s="188" t="s">
        <v>578</v>
      </c>
      <c r="D250" s="188" t="s">
        <v>577</v>
      </c>
      <c r="E250" s="208">
        <v>43246764</v>
      </c>
      <c r="F250" s="208">
        <v>781781</v>
      </c>
      <c r="G250" s="208">
        <v>0</v>
      </c>
      <c r="H250" s="208">
        <v>183354</v>
      </c>
      <c r="I250" s="208">
        <v>0</v>
      </c>
      <c r="J250" s="208">
        <v>183354</v>
      </c>
      <c r="K250" s="208">
        <v>0</v>
      </c>
      <c r="L250" s="208">
        <v>49709</v>
      </c>
      <c r="M250" s="208">
        <v>87112</v>
      </c>
      <c r="N250" s="208">
        <v>87112</v>
      </c>
      <c r="O250" s="208">
        <v>0</v>
      </c>
      <c r="P250" s="208">
        <v>0</v>
      </c>
      <c r="Q250" s="208">
        <v>43708370</v>
      </c>
      <c r="R250" s="187" t="s">
        <v>577</v>
      </c>
      <c r="S250" s="187" t="s">
        <v>770</v>
      </c>
      <c r="T250" s="187" t="s">
        <v>751</v>
      </c>
      <c r="U250" s="187" t="s">
        <v>1054</v>
      </c>
    </row>
    <row r="251" spans="1:21" x14ac:dyDescent="0.2">
      <c r="B251" s="187">
        <v>246</v>
      </c>
      <c r="C251" s="188" t="s">
        <v>580</v>
      </c>
      <c r="D251" s="188" t="s">
        <v>579</v>
      </c>
      <c r="E251" s="208">
        <v>35230567</v>
      </c>
      <c r="F251" s="208">
        <v>0</v>
      </c>
      <c r="G251" s="208">
        <v>912762</v>
      </c>
      <c r="H251" s="208">
        <v>123602</v>
      </c>
      <c r="I251" s="208">
        <v>0</v>
      </c>
      <c r="J251" s="208">
        <v>123602</v>
      </c>
      <c r="K251" s="208">
        <v>0</v>
      </c>
      <c r="L251" s="208">
        <v>418171</v>
      </c>
      <c r="M251" s="208">
        <v>78211</v>
      </c>
      <c r="N251" s="208">
        <v>78211</v>
      </c>
      <c r="O251" s="208">
        <v>0</v>
      </c>
      <c r="P251" s="208">
        <v>0</v>
      </c>
      <c r="Q251" s="208">
        <v>33697821</v>
      </c>
      <c r="R251" s="187" t="s">
        <v>579</v>
      </c>
      <c r="S251" s="187" t="s">
        <v>748</v>
      </c>
      <c r="T251" s="187" t="s">
        <v>747</v>
      </c>
      <c r="U251" s="187" t="s">
        <v>1054</v>
      </c>
    </row>
    <row r="252" spans="1:21" x14ac:dyDescent="0.2">
      <c r="B252" s="187">
        <v>247</v>
      </c>
      <c r="C252" s="188" t="s">
        <v>582</v>
      </c>
      <c r="D252" s="188" t="s">
        <v>581</v>
      </c>
      <c r="E252" s="208">
        <v>45354204</v>
      </c>
      <c r="F252" s="208">
        <v>0</v>
      </c>
      <c r="G252" s="208">
        <v>615389</v>
      </c>
      <c r="H252" s="208">
        <v>223484</v>
      </c>
      <c r="I252" s="208">
        <v>0</v>
      </c>
      <c r="J252" s="208">
        <v>223484</v>
      </c>
      <c r="K252" s="208">
        <v>0</v>
      </c>
      <c r="L252" s="208">
        <v>0</v>
      </c>
      <c r="M252" s="208">
        <v>484965</v>
      </c>
      <c r="N252" s="208">
        <v>484965</v>
      </c>
      <c r="O252" s="208">
        <v>0</v>
      </c>
      <c r="P252" s="208">
        <v>0</v>
      </c>
      <c r="Q252" s="208">
        <v>44030366</v>
      </c>
      <c r="R252" s="187" t="s">
        <v>581</v>
      </c>
      <c r="S252" s="187" t="s">
        <v>769</v>
      </c>
      <c r="T252" s="187" t="s">
        <v>768</v>
      </c>
      <c r="U252" s="187" t="s">
        <v>1054</v>
      </c>
    </row>
    <row r="253" spans="1:21" x14ac:dyDescent="0.2">
      <c r="B253" s="187">
        <v>248</v>
      </c>
      <c r="C253" s="188" t="s">
        <v>584</v>
      </c>
      <c r="D253" s="188" t="s">
        <v>583</v>
      </c>
      <c r="E253" s="208">
        <v>25052559</v>
      </c>
      <c r="F253" s="208">
        <v>192657</v>
      </c>
      <c r="G253" s="208">
        <v>0</v>
      </c>
      <c r="H253" s="208">
        <v>106045</v>
      </c>
      <c r="I253" s="208">
        <v>0</v>
      </c>
      <c r="J253" s="208">
        <v>106045</v>
      </c>
      <c r="K253" s="208">
        <v>0</v>
      </c>
      <c r="L253" s="208">
        <v>2915909</v>
      </c>
      <c r="M253" s="208">
        <v>232817</v>
      </c>
      <c r="N253" s="208">
        <v>41779</v>
      </c>
      <c r="O253" s="208">
        <v>191038</v>
      </c>
      <c r="P253" s="208">
        <v>0</v>
      </c>
      <c r="Q253" s="208">
        <v>21990445</v>
      </c>
      <c r="R253" s="187" t="s">
        <v>583</v>
      </c>
      <c r="S253" s="187" t="s">
        <v>794</v>
      </c>
      <c r="T253" s="187" t="s">
        <v>793</v>
      </c>
      <c r="U253" s="187" t="s">
        <v>1054</v>
      </c>
    </row>
    <row r="254" spans="1:21" x14ac:dyDescent="0.2">
      <c r="B254" s="187">
        <v>249</v>
      </c>
      <c r="C254" s="188" t="s">
        <v>586</v>
      </c>
      <c r="D254" s="188" t="s">
        <v>585</v>
      </c>
      <c r="E254" s="208">
        <v>29565365</v>
      </c>
      <c r="F254" s="208">
        <v>0</v>
      </c>
      <c r="G254" s="208">
        <v>976092</v>
      </c>
      <c r="H254" s="208">
        <v>149091</v>
      </c>
      <c r="I254" s="208">
        <v>0</v>
      </c>
      <c r="J254" s="208">
        <v>149091</v>
      </c>
      <c r="K254" s="208">
        <v>0</v>
      </c>
      <c r="L254" s="208">
        <v>0</v>
      </c>
      <c r="M254" s="208">
        <v>0</v>
      </c>
      <c r="N254" s="208">
        <v>0</v>
      </c>
      <c r="O254" s="208">
        <v>0</v>
      </c>
      <c r="P254" s="208">
        <v>0</v>
      </c>
      <c r="Q254" s="208">
        <v>28440182</v>
      </c>
      <c r="R254" s="187" t="s">
        <v>585</v>
      </c>
      <c r="S254" s="187" t="s">
        <v>754</v>
      </c>
      <c r="T254" s="187" t="s">
        <v>796</v>
      </c>
      <c r="U254" s="187" t="s">
        <v>1056</v>
      </c>
    </row>
    <row r="255" spans="1:21" x14ac:dyDescent="0.2">
      <c r="B255" s="187">
        <v>250</v>
      </c>
      <c r="C255" s="188" t="s">
        <v>588</v>
      </c>
      <c r="D255" s="188" t="s">
        <v>587</v>
      </c>
      <c r="E255" s="208">
        <v>111248972</v>
      </c>
      <c r="F255" s="208">
        <v>0</v>
      </c>
      <c r="G255" s="208">
        <v>2304655</v>
      </c>
      <c r="H255" s="208">
        <v>311121</v>
      </c>
      <c r="I255" s="208">
        <v>0</v>
      </c>
      <c r="J255" s="208">
        <v>311121</v>
      </c>
      <c r="K255" s="208">
        <v>0</v>
      </c>
      <c r="L255" s="208">
        <v>0</v>
      </c>
      <c r="M255" s="208">
        <v>0</v>
      </c>
      <c r="N255" s="208">
        <v>0</v>
      </c>
      <c r="O255" s="208">
        <v>0</v>
      </c>
      <c r="P255" s="208">
        <v>0</v>
      </c>
      <c r="Q255" s="208">
        <v>108633196</v>
      </c>
      <c r="R255" s="187" t="s">
        <v>801</v>
      </c>
      <c r="S255" s="187" t="s">
        <v>742</v>
      </c>
      <c r="T255" s="187" t="s">
        <v>760</v>
      </c>
      <c r="U255" s="187" t="s">
        <v>742</v>
      </c>
    </row>
    <row r="256" spans="1:21" x14ac:dyDescent="0.2">
      <c r="B256" s="187">
        <v>251</v>
      </c>
      <c r="C256" s="188" t="s">
        <v>590</v>
      </c>
      <c r="D256" s="188" t="s">
        <v>589</v>
      </c>
      <c r="E256" s="208">
        <v>44924701</v>
      </c>
      <c r="F256" s="208">
        <v>0</v>
      </c>
      <c r="G256" s="208">
        <v>1509944</v>
      </c>
      <c r="H256" s="208">
        <v>232831</v>
      </c>
      <c r="I256" s="208">
        <v>0</v>
      </c>
      <c r="J256" s="208">
        <v>232831</v>
      </c>
      <c r="K256" s="208">
        <v>0</v>
      </c>
      <c r="L256" s="208">
        <v>0</v>
      </c>
      <c r="M256" s="208">
        <v>0</v>
      </c>
      <c r="N256" s="208">
        <v>0</v>
      </c>
      <c r="O256" s="208">
        <v>0</v>
      </c>
      <c r="P256" s="208">
        <v>0</v>
      </c>
      <c r="Q256" s="208">
        <v>43181926</v>
      </c>
      <c r="R256" s="187" t="s">
        <v>800</v>
      </c>
      <c r="S256" s="187" t="s">
        <v>742</v>
      </c>
      <c r="T256" s="187" t="s">
        <v>783</v>
      </c>
      <c r="U256" s="187" t="s">
        <v>742</v>
      </c>
    </row>
    <row r="257" spans="1:21" x14ac:dyDescent="0.2">
      <c r="B257" s="187">
        <v>252</v>
      </c>
      <c r="C257" s="188" t="s">
        <v>592</v>
      </c>
      <c r="D257" s="188" t="s">
        <v>591</v>
      </c>
      <c r="E257" s="208">
        <v>288222374</v>
      </c>
      <c r="F257" s="208">
        <v>15807271</v>
      </c>
      <c r="G257" s="208">
        <v>0</v>
      </c>
      <c r="H257" s="208">
        <v>719814</v>
      </c>
      <c r="I257" s="208">
        <v>0</v>
      </c>
      <c r="J257" s="208">
        <v>719814</v>
      </c>
      <c r="K257" s="208">
        <v>0</v>
      </c>
      <c r="L257" s="208">
        <v>0</v>
      </c>
      <c r="M257" s="208">
        <v>0</v>
      </c>
      <c r="N257" s="208">
        <v>0</v>
      </c>
      <c r="O257" s="208">
        <v>0</v>
      </c>
      <c r="P257" s="208">
        <v>0</v>
      </c>
      <c r="Q257" s="208">
        <v>303309831</v>
      </c>
      <c r="R257" s="187" t="s">
        <v>591</v>
      </c>
      <c r="S257" s="187" t="s">
        <v>767</v>
      </c>
      <c r="T257" s="187" t="s">
        <v>743</v>
      </c>
      <c r="U257" s="187" t="s">
        <v>1057</v>
      </c>
    </row>
    <row r="258" spans="1:21" x14ac:dyDescent="0.2">
      <c r="A258" s="187" t="s">
        <v>1811</v>
      </c>
      <c r="B258" s="187">
        <v>253</v>
      </c>
      <c r="C258" s="188" t="s">
        <v>594</v>
      </c>
      <c r="D258" s="188" t="s">
        <v>593</v>
      </c>
      <c r="E258" s="208">
        <v>50982999</v>
      </c>
      <c r="F258" s="208">
        <v>493148</v>
      </c>
      <c r="G258" s="208">
        <v>0</v>
      </c>
      <c r="H258" s="208">
        <v>126315</v>
      </c>
      <c r="I258" s="208">
        <v>0</v>
      </c>
      <c r="J258" s="208">
        <v>126315</v>
      </c>
      <c r="K258" s="208">
        <v>0</v>
      </c>
      <c r="L258" s="208">
        <v>0</v>
      </c>
      <c r="M258" s="208">
        <v>0</v>
      </c>
      <c r="N258" s="208">
        <v>0</v>
      </c>
      <c r="O258" s="208">
        <v>0</v>
      </c>
      <c r="P258" s="208">
        <v>0</v>
      </c>
      <c r="Q258" s="208">
        <v>51349832</v>
      </c>
      <c r="R258" s="187" t="s">
        <v>593</v>
      </c>
      <c r="S258" s="187" t="s">
        <v>757</v>
      </c>
      <c r="T258" s="187" t="s">
        <v>751</v>
      </c>
      <c r="U258" s="187" t="s">
        <v>1054</v>
      </c>
    </row>
    <row r="259" spans="1:21" x14ac:dyDescent="0.2">
      <c r="B259" s="187">
        <v>254</v>
      </c>
      <c r="C259" s="188" t="s">
        <v>596</v>
      </c>
      <c r="D259" s="188" t="s">
        <v>595</v>
      </c>
      <c r="E259" s="208">
        <v>55125204</v>
      </c>
      <c r="F259" s="208">
        <v>235130</v>
      </c>
      <c r="G259" s="208">
        <v>0</v>
      </c>
      <c r="H259" s="208">
        <v>187737</v>
      </c>
      <c r="I259" s="208">
        <v>0</v>
      </c>
      <c r="J259" s="208">
        <v>187737</v>
      </c>
      <c r="K259" s="208">
        <v>0</v>
      </c>
      <c r="L259" s="208">
        <v>257499</v>
      </c>
      <c r="M259" s="208">
        <v>0</v>
      </c>
      <c r="N259" s="208">
        <v>0</v>
      </c>
      <c r="O259" s="208">
        <v>0</v>
      </c>
      <c r="P259" s="208">
        <v>0</v>
      </c>
      <c r="Q259" s="208">
        <v>54915098</v>
      </c>
      <c r="R259" s="187" t="s">
        <v>595</v>
      </c>
      <c r="S259" s="187" t="s">
        <v>774</v>
      </c>
      <c r="T259" s="187" t="s">
        <v>751</v>
      </c>
      <c r="U259" s="187" t="s">
        <v>1054</v>
      </c>
    </row>
    <row r="260" spans="1:21" x14ac:dyDescent="0.2">
      <c r="B260" s="187">
        <v>255</v>
      </c>
      <c r="C260" s="188" t="s">
        <v>598</v>
      </c>
      <c r="D260" s="188" t="s">
        <v>597</v>
      </c>
      <c r="E260" s="208">
        <v>45723433</v>
      </c>
      <c r="F260" s="208">
        <v>0</v>
      </c>
      <c r="G260" s="208">
        <v>226856</v>
      </c>
      <c r="H260" s="208">
        <v>157226</v>
      </c>
      <c r="I260" s="208">
        <v>12716</v>
      </c>
      <c r="J260" s="208">
        <v>169942</v>
      </c>
      <c r="K260" s="208">
        <v>0</v>
      </c>
      <c r="L260" s="208">
        <v>0</v>
      </c>
      <c r="M260" s="208">
        <v>422348</v>
      </c>
      <c r="N260" s="208">
        <v>422348</v>
      </c>
      <c r="O260" s="208">
        <v>0</v>
      </c>
      <c r="P260" s="208">
        <v>0</v>
      </c>
      <c r="Q260" s="208">
        <v>44904287</v>
      </c>
      <c r="R260" s="187" t="s">
        <v>597</v>
      </c>
      <c r="S260" s="187" t="s">
        <v>778</v>
      </c>
      <c r="T260" s="187" t="s">
        <v>751</v>
      </c>
      <c r="U260" s="187" t="s">
        <v>1054</v>
      </c>
    </row>
    <row r="261" spans="1:21" x14ac:dyDescent="0.2">
      <c r="B261" s="187">
        <v>256</v>
      </c>
      <c r="C261" s="188" t="s">
        <v>600</v>
      </c>
      <c r="D261" s="188" t="s">
        <v>599</v>
      </c>
      <c r="E261" s="208">
        <v>49793369</v>
      </c>
      <c r="F261" s="208">
        <v>0</v>
      </c>
      <c r="G261" s="208">
        <v>1590694</v>
      </c>
      <c r="H261" s="208">
        <v>189442</v>
      </c>
      <c r="I261" s="208">
        <v>0</v>
      </c>
      <c r="J261" s="208">
        <v>189442</v>
      </c>
      <c r="K261" s="208">
        <v>0</v>
      </c>
      <c r="L261" s="208">
        <v>0</v>
      </c>
      <c r="M261" s="208">
        <v>0</v>
      </c>
      <c r="N261" s="208">
        <v>0</v>
      </c>
      <c r="O261" s="208">
        <v>0</v>
      </c>
      <c r="P261" s="208">
        <v>0</v>
      </c>
      <c r="Q261" s="208">
        <v>48013233</v>
      </c>
      <c r="R261" s="187" t="s">
        <v>599</v>
      </c>
      <c r="S261" s="187" t="s">
        <v>754</v>
      </c>
      <c r="T261" s="187" t="s">
        <v>758</v>
      </c>
      <c r="U261" s="187" t="s">
        <v>1056</v>
      </c>
    </row>
    <row r="262" spans="1:21" x14ac:dyDescent="0.2">
      <c r="B262" s="187">
        <v>257</v>
      </c>
      <c r="C262" s="188" t="s">
        <v>602</v>
      </c>
      <c r="D262" s="188" t="s">
        <v>601</v>
      </c>
      <c r="E262" s="208">
        <v>44250938</v>
      </c>
      <c r="F262" s="208">
        <v>88530</v>
      </c>
      <c r="G262" s="208">
        <v>0</v>
      </c>
      <c r="H262" s="208">
        <v>167669</v>
      </c>
      <c r="I262" s="208">
        <v>0</v>
      </c>
      <c r="J262" s="208">
        <v>167669</v>
      </c>
      <c r="K262" s="208">
        <v>0</v>
      </c>
      <c r="L262" s="208">
        <v>0</v>
      </c>
      <c r="M262" s="208">
        <v>0</v>
      </c>
      <c r="N262" s="208">
        <v>0</v>
      </c>
      <c r="O262" s="208">
        <v>0</v>
      </c>
      <c r="P262" s="208">
        <v>0</v>
      </c>
      <c r="Q262" s="208">
        <v>44171799</v>
      </c>
      <c r="R262" s="187" t="s">
        <v>601</v>
      </c>
      <c r="S262" s="187" t="s">
        <v>794</v>
      </c>
      <c r="T262" s="187" t="s">
        <v>793</v>
      </c>
      <c r="U262" s="187" t="s">
        <v>1054</v>
      </c>
    </row>
    <row r="263" spans="1:21" x14ac:dyDescent="0.2">
      <c r="B263" s="187">
        <v>258</v>
      </c>
      <c r="C263" s="188" t="s">
        <v>604</v>
      </c>
      <c r="D263" s="188" t="s">
        <v>603</v>
      </c>
      <c r="E263" s="208">
        <v>18562421</v>
      </c>
      <c r="F263" s="208">
        <v>1145743</v>
      </c>
      <c r="G263" s="208">
        <v>0</v>
      </c>
      <c r="H263" s="208">
        <v>114939</v>
      </c>
      <c r="I263" s="208">
        <v>0</v>
      </c>
      <c r="J263" s="208">
        <v>114939</v>
      </c>
      <c r="K263" s="208">
        <v>0</v>
      </c>
      <c r="L263" s="208">
        <v>0</v>
      </c>
      <c r="M263" s="208">
        <v>0</v>
      </c>
      <c r="N263" s="208">
        <v>0</v>
      </c>
      <c r="O263" s="208">
        <v>0</v>
      </c>
      <c r="P263" s="208">
        <v>0</v>
      </c>
      <c r="Q263" s="208">
        <v>19593225</v>
      </c>
      <c r="R263" s="187" t="s">
        <v>603</v>
      </c>
      <c r="S263" s="187" t="s">
        <v>794</v>
      </c>
      <c r="T263" s="187" t="s">
        <v>793</v>
      </c>
      <c r="U263" s="187" t="s">
        <v>1054</v>
      </c>
    </row>
    <row r="264" spans="1:21" x14ac:dyDescent="0.2">
      <c r="A264" s="188"/>
      <c r="B264" s="187">
        <v>259</v>
      </c>
      <c r="C264" s="188" t="s">
        <v>606</v>
      </c>
      <c r="D264" s="188" t="s">
        <v>605</v>
      </c>
      <c r="E264" s="208">
        <v>45376528</v>
      </c>
      <c r="F264" s="208">
        <v>0</v>
      </c>
      <c r="G264" s="208">
        <v>1624660</v>
      </c>
      <c r="H264" s="208">
        <v>107068</v>
      </c>
      <c r="I264" s="208">
        <v>0</v>
      </c>
      <c r="J264" s="208">
        <v>107068</v>
      </c>
      <c r="K264" s="208">
        <v>0</v>
      </c>
      <c r="L264" s="208">
        <v>0</v>
      </c>
      <c r="M264" s="208">
        <v>0</v>
      </c>
      <c r="N264" s="208">
        <v>0</v>
      </c>
      <c r="O264" s="208">
        <v>0</v>
      </c>
      <c r="P264" s="208">
        <v>0</v>
      </c>
      <c r="Q264" s="208">
        <v>43644800</v>
      </c>
      <c r="R264" s="187" t="s">
        <v>605</v>
      </c>
      <c r="S264" s="187" t="s">
        <v>774</v>
      </c>
      <c r="T264" s="187" t="s">
        <v>751</v>
      </c>
      <c r="U264" s="187" t="s">
        <v>1054</v>
      </c>
    </row>
    <row r="265" spans="1:21" x14ac:dyDescent="0.2">
      <c r="B265" s="187">
        <v>260</v>
      </c>
      <c r="C265" s="188" t="s">
        <v>608</v>
      </c>
      <c r="D265" s="188" t="s">
        <v>607</v>
      </c>
      <c r="E265" s="208">
        <v>87298086</v>
      </c>
      <c r="F265" s="208">
        <v>0</v>
      </c>
      <c r="G265" s="208">
        <v>4724744</v>
      </c>
      <c r="H265" s="208">
        <v>429558</v>
      </c>
      <c r="I265" s="208">
        <v>0</v>
      </c>
      <c r="J265" s="208">
        <v>429558</v>
      </c>
      <c r="K265" s="208">
        <v>0</v>
      </c>
      <c r="L265" s="208">
        <v>0</v>
      </c>
      <c r="M265" s="208">
        <v>0</v>
      </c>
      <c r="N265" s="208">
        <v>0</v>
      </c>
      <c r="O265" s="208">
        <v>0</v>
      </c>
      <c r="P265" s="208">
        <v>0</v>
      </c>
      <c r="Q265" s="208">
        <v>82143784</v>
      </c>
      <c r="R265" s="187" t="s">
        <v>607</v>
      </c>
      <c r="S265" s="187" t="s">
        <v>754</v>
      </c>
      <c r="T265" s="187" t="s">
        <v>763</v>
      </c>
      <c r="U265" s="187" t="s">
        <v>1056</v>
      </c>
    </row>
    <row r="266" spans="1:21" x14ac:dyDescent="0.2">
      <c r="B266" s="187">
        <v>261</v>
      </c>
      <c r="C266" s="188" t="s">
        <v>610</v>
      </c>
      <c r="D266" s="188" t="s">
        <v>609</v>
      </c>
      <c r="E266" s="208">
        <v>81323537</v>
      </c>
      <c r="F266" s="208">
        <v>0</v>
      </c>
      <c r="G266" s="208">
        <v>2310327</v>
      </c>
      <c r="H266" s="208">
        <v>241023</v>
      </c>
      <c r="I266" s="208">
        <v>0</v>
      </c>
      <c r="J266" s="208">
        <v>241023</v>
      </c>
      <c r="K266" s="208">
        <v>0</v>
      </c>
      <c r="L266" s="208">
        <v>115024</v>
      </c>
      <c r="M266" s="208">
        <v>110533</v>
      </c>
      <c r="N266" s="208">
        <v>110533</v>
      </c>
      <c r="O266" s="208">
        <v>0</v>
      </c>
      <c r="P266" s="208">
        <v>0</v>
      </c>
      <c r="Q266" s="208">
        <v>78546630</v>
      </c>
      <c r="R266" s="187" t="s">
        <v>799</v>
      </c>
      <c r="S266" s="187" t="s">
        <v>742</v>
      </c>
      <c r="T266" s="187" t="s">
        <v>798</v>
      </c>
      <c r="U266" s="187" t="s">
        <v>742</v>
      </c>
    </row>
    <row r="267" spans="1:21" x14ac:dyDescent="0.2">
      <c r="B267" s="187">
        <v>262</v>
      </c>
      <c r="C267" s="188" t="s">
        <v>612</v>
      </c>
      <c r="D267" s="188" t="s">
        <v>611</v>
      </c>
      <c r="E267" s="208">
        <v>91084171</v>
      </c>
      <c r="F267" s="208">
        <v>84690</v>
      </c>
      <c r="G267" s="208">
        <v>0</v>
      </c>
      <c r="H267" s="208">
        <v>358822</v>
      </c>
      <c r="I267" s="208">
        <v>0</v>
      </c>
      <c r="J267" s="208">
        <v>358822</v>
      </c>
      <c r="K267" s="208">
        <v>0</v>
      </c>
      <c r="L267" s="208">
        <v>504668</v>
      </c>
      <c r="M267" s="208">
        <v>0</v>
      </c>
      <c r="N267" s="208">
        <v>0</v>
      </c>
      <c r="O267" s="208">
        <v>0</v>
      </c>
      <c r="P267" s="208">
        <v>0</v>
      </c>
      <c r="Q267" s="208">
        <v>90305371</v>
      </c>
      <c r="R267" s="187" t="s">
        <v>797</v>
      </c>
      <c r="S267" s="187" t="s">
        <v>742</v>
      </c>
      <c r="T267" s="187" t="s">
        <v>793</v>
      </c>
      <c r="U267" s="187" t="s">
        <v>742</v>
      </c>
    </row>
    <row r="268" spans="1:21" x14ac:dyDescent="0.2">
      <c r="B268" s="187">
        <v>263</v>
      </c>
      <c r="C268" s="188" t="s">
        <v>614</v>
      </c>
      <c r="D268" s="188" t="s">
        <v>613</v>
      </c>
      <c r="E268" s="208">
        <v>52169956.579999998</v>
      </c>
      <c r="F268" s="208">
        <v>0</v>
      </c>
      <c r="G268" s="208">
        <v>102099</v>
      </c>
      <c r="H268" s="208">
        <v>218788</v>
      </c>
      <c r="I268" s="208">
        <v>0</v>
      </c>
      <c r="J268" s="208">
        <v>218788</v>
      </c>
      <c r="K268" s="208">
        <v>0</v>
      </c>
      <c r="L268" s="208">
        <v>0</v>
      </c>
      <c r="M268" s="208">
        <v>32846</v>
      </c>
      <c r="N268" s="208">
        <v>32846</v>
      </c>
      <c r="O268" s="208">
        <v>0</v>
      </c>
      <c r="P268" s="208">
        <v>0</v>
      </c>
      <c r="Q268" s="208">
        <v>51816223.579999998</v>
      </c>
      <c r="R268" s="187" t="s">
        <v>613</v>
      </c>
      <c r="S268" s="187" t="s">
        <v>779</v>
      </c>
      <c r="T268" s="187" t="s">
        <v>751</v>
      </c>
      <c r="U268" s="187" t="s">
        <v>1054</v>
      </c>
    </row>
    <row r="269" spans="1:21" x14ac:dyDescent="0.2">
      <c r="B269" s="187">
        <v>264</v>
      </c>
      <c r="C269" s="188" t="s">
        <v>616</v>
      </c>
      <c r="D269" s="188" t="s">
        <v>615</v>
      </c>
      <c r="E269" s="208">
        <v>28393281</v>
      </c>
      <c r="F269" s="208">
        <v>155400</v>
      </c>
      <c r="G269" s="208">
        <v>0</v>
      </c>
      <c r="H269" s="208">
        <v>156928</v>
      </c>
      <c r="I269" s="208">
        <v>0</v>
      </c>
      <c r="J269" s="208">
        <v>156928</v>
      </c>
      <c r="K269" s="208">
        <v>0</v>
      </c>
      <c r="L269" s="208">
        <v>0</v>
      </c>
      <c r="M269" s="208">
        <v>105970</v>
      </c>
      <c r="N269" s="208">
        <v>105970</v>
      </c>
      <c r="O269" s="208">
        <v>0</v>
      </c>
      <c r="P269" s="208">
        <v>0</v>
      </c>
      <c r="Q269" s="208">
        <v>28285783</v>
      </c>
      <c r="R269" s="187" t="s">
        <v>615</v>
      </c>
      <c r="S269" s="187" t="s">
        <v>790</v>
      </c>
      <c r="T269" s="187" t="s">
        <v>751</v>
      </c>
      <c r="U269" s="187" t="s">
        <v>1054</v>
      </c>
    </row>
    <row r="270" spans="1:21" x14ac:dyDescent="0.2">
      <c r="A270" s="187" t="s">
        <v>1817</v>
      </c>
      <c r="B270" s="187">
        <v>265</v>
      </c>
      <c r="C270" s="188" t="s">
        <v>618</v>
      </c>
      <c r="D270" s="188" t="s">
        <v>617</v>
      </c>
      <c r="E270" s="208">
        <v>71946608</v>
      </c>
      <c r="F270" s="208">
        <v>0</v>
      </c>
      <c r="G270" s="208">
        <v>6247032</v>
      </c>
      <c r="H270" s="208">
        <v>266154</v>
      </c>
      <c r="I270" s="208">
        <v>0</v>
      </c>
      <c r="J270" s="208">
        <v>266154</v>
      </c>
      <c r="K270" s="208">
        <v>0</v>
      </c>
      <c r="L270" s="208">
        <v>0</v>
      </c>
      <c r="M270" s="208">
        <v>139065</v>
      </c>
      <c r="N270" s="208">
        <v>139065</v>
      </c>
      <c r="O270" s="208">
        <v>0</v>
      </c>
      <c r="P270" s="208">
        <v>0</v>
      </c>
      <c r="Q270" s="208">
        <v>65294357</v>
      </c>
      <c r="R270" s="187" t="s">
        <v>617</v>
      </c>
      <c r="S270" s="187" t="s">
        <v>778</v>
      </c>
      <c r="T270" s="187" t="s">
        <v>751</v>
      </c>
      <c r="U270" s="187" t="s">
        <v>1054</v>
      </c>
    </row>
    <row r="271" spans="1:21" x14ac:dyDescent="0.2">
      <c r="B271" s="187">
        <v>266</v>
      </c>
      <c r="C271" s="188" t="s">
        <v>620</v>
      </c>
      <c r="D271" s="188" t="s">
        <v>619</v>
      </c>
      <c r="E271" s="208">
        <v>92117820</v>
      </c>
      <c r="F271" s="208">
        <v>0</v>
      </c>
      <c r="G271" s="208">
        <v>2336595</v>
      </c>
      <c r="H271" s="208">
        <v>339940</v>
      </c>
      <c r="I271" s="208">
        <v>0</v>
      </c>
      <c r="J271" s="208">
        <v>339940</v>
      </c>
      <c r="K271" s="208">
        <v>0</v>
      </c>
      <c r="L271" s="208">
        <v>750218</v>
      </c>
      <c r="M271" s="208">
        <v>0</v>
      </c>
      <c r="N271" s="208">
        <v>0</v>
      </c>
      <c r="O271" s="208">
        <v>0</v>
      </c>
      <c r="P271" s="208">
        <v>0</v>
      </c>
      <c r="Q271" s="208">
        <v>88691067</v>
      </c>
      <c r="R271" s="187" t="s">
        <v>619</v>
      </c>
      <c r="S271" s="187" t="s">
        <v>754</v>
      </c>
      <c r="T271" s="187" t="s">
        <v>796</v>
      </c>
      <c r="U271" s="187" t="s">
        <v>1056</v>
      </c>
    </row>
    <row r="272" spans="1:21" x14ac:dyDescent="0.2">
      <c r="B272" s="187">
        <v>267</v>
      </c>
      <c r="C272" s="188" t="s">
        <v>622</v>
      </c>
      <c r="D272" s="188" t="s">
        <v>621</v>
      </c>
      <c r="E272" s="208">
        <v>42392592</v>
      </c>
      <c r="F272" s="208">
        <v>0</v>
      </c>
      <c r="G272" s="208">
        <v>240037</v>
      </c>
      <c r="H272" s="208">
        <v>125099</v>
      </c>
      <c r="I272" s="208">
        <v>0</v>
      </c>
      <c r="J272" s="208">
        <v>125099</v>
      </c>
      <c r="K272" s="208">
        <v>0</v>
      </c>
      <c r="L272" s="208">
        <v>0</v>
      </c>
      <c r="M272" s="208">
        <v>0</v>
      </c>
      <c r="N272" s="208">
        <v>0</v>
      </c>
      <c r="O272" s="208">
        <v>0</v>
      </c>
      <c r="P272" s="208">
        <v>0</v>
      </c>
      <c r="Q272" s="208">
        <v>42027456</v>
      </c>
      <c r="R272" s="187" t="s">
        <v>621</v>
      </c>
      <c r="S272" s="187" t="s">
        <v>757</v>
      </c>
      <c r="T272" s="187" t="s">
        <v>751</v>
      </c>
      <c r="U272" s="187" t="s">
        <v>1054</v>
      </c>
    </row>
    <row r="273" spans="2:21" x14ac:dyDescent="0.2">
      <c r="B273" s="187">
        <v>268</v>
      </c>
      <c r="C273" s="188" t="s">
        <v>624</v>
      </c>
      <c r="D273" s="188" t="s">
        <v>623</v>
      </c>
      <c r="E273" s="208">
        <v>55679871</v>
      </c>
      <c r="F273" s="208">
        <v>0</v>
      </c>
      <c r="G273" s="208">
        <v>138002</v>
      </c>
      <c r="H273" s="208">
        <v>191719</v>
      </c>
      <c r="I273" s="208">
        <v>0</v>
      </c>
      <c r="J273" s="208">
        <v>191719</v>
      </c>
      <c r="K273" s="208">
        <v>0</v>
      </c>
      <c r="L273" s="208">
        <v>0</v>
      </c>
      <c r="M273" s="208">
        <v>0</v>
      </c>
      <c r="N273" s="208">
        <v>0</v>
      </c>
      <c r="O273" s="208">
        <v>0</v>
      </c>
      <c r="P273" s="208">
        <v>0</v>
      </c>
      <c r="Q273" s="208">
        <v>55350150</v>
      </c>
      <c r="R273" s="187" t="s">
        <v>623</v>
      </c>
      <c r="S273" s="187" t="s">
        <v>767</v>
      </c>
      <c r="T273" s="187" t="s">
        <v>743</v>
      </c>
      <c r="U273" s="187" t="s">
        <v>1055</v>
      </c>
    </row>
    <row r="274" spans="2:21" x14ac:dyDescent="0.2">
      <c r="B274" s="187">
        <v>269</v>
      </c>
      <c r="C274" s="188" t="s">
        <v>626</v>
      </c>
      <c r="D274" s="188" t="s">
        <v>625</v>
      </c>
      <c r="E274" s="208">
        <v>48750029</v>
      </c>
      <c r="F274" s="208">
        <v>587582</v>
      </c>
      <c r="G274" s="208">
        <v>0</v>
      </c>
      <c r="H274" s="208">
        <v>180669</v>
      </c>
      <c r="I274" s="208">
        <v>0</v>
      </c>
      <c r="J274" s="208">
        <v>180669</v>
      </c>
      <c r="K274" s="208">
        <v>0</v>
      </c>
      <c r="L274" s="208">
        <v>0</v>
      </c>
      <c r="M274" s="208">
        <v>1239272</v>
      </c>
      <c r="N274" s="208">
        <v>393777</v>
      </c>
      <c r="O274" s="208">
        <v>845495</v>
      </c>
      <c r="P274" s="208">
        <v>0</v>
      </c>
      <c r="Q274" s="208">
        <v>47917670</v>
      </c>
      <c r="R274" s="187" t="s">
        <v>625</v>
      </c>
      <c r="S274" s="187" t="s">
        <v>786</v>
      </c>
      <c r="T274" s="187" t="s">
        <v>785</v>
      </c>
      <c r="U274" s="187" t="s">
        <v>1054</v>
      </c>
    </row>
    <row r="275" spans="2:21" x14ac:dyDescent="0.2">
      <c r="B275" s="187">
        <v>270</v>
      </c>
      <c r="C275" s="188" t="s">
        <v>628</v>
      </c>
      <c r="D275" s="188" t="s">
        <v>627</v>
      </c>
      <c r="E275" s="208">
        <v>108638346</v>
      </c>
      <c r="F275" s="208">
        <v>0</v>
      </c>
      <c r="G275" s="208">
        <v>5088884</v>
      </c>
      <c r="H275" s="208">
        <v>263419</v>
      </c>
      <c r="I275" s="208">
        <v>0</v>
      </c>
      <c r="J275" s="208">
        <v>263419</v>
      </c>
      <c r="K275" s="208">
        <v>0</v>
      </c>
      <c r="L275" s="208">
        <v>0</v>
      </c>
      <c r="M275" s="208">
        <v>567166</v>
      </c>
      <c r="N275" s="208">
        <v>567166</v>
      </c>
      <c r="O275" s="208">
        <v>0</v>
      </c>
      <c r="P275" s="208">
        <v>0</v>
      </c>
      <c r="Q275" s="208">
        <v>102718877</v>
      </c>
      <c r="R275" s="187" t="s">
        <v>795</v>
      </c>
      <c r="S275" s="187" t="s">
        <v>742</v>
      </c>
      <c r="T275" s="187" t="s">
        <v>762</v>
      </c>
      <c r="U275" s="187" t="s">
        <v>742</v>
      </c>
    </row>
    <row r="276" spans="2:21" x14ac:dyDescent="0.2">
      <c r="B276" s="187">
        <v>271</v>
      </c>
      <c r="C276" s="188" t="s">
        <v>630</v>
      </c>
      <c r="D276" s="188" t="s">
        <v>629</v>
      </c>
      <c r="E276" s="208">
        <v>52984494</v>
      </c>
      <c r="F276" s="208">
        <v>0</v>
      </c>
      <c r="G276" s="208">
        <v>1709073</v>
      </c>
      <c r="H276" s="208">
        <v>290984</v>
      </c>
      <c r="I276" s="208">
        <v>0</v>
      </c>
      <c r="J276" s="208">
        <v>290984</v>
      </c>
      <c r="K276" s="208">
        <v>0</v>
      </c>
      <c r="L276" s="208">
        <v>0</v>
      </c>
      <c r="M276" s="208">
        <v>0</v>
      </c>
      <c r="N276" s="208">
        <v>0</v>
      </c>
      <c r="O276" s="208">
        <v>0</v>
      </c>
      <c r="P276" s="208">
        <v>0</v>
      </c>
      <c r="Q276" s="208">
        <v>50984437</v>
      </c>
      <c r="R276" s="187" t="s">
        <v>629</v>
      </c>
      <c r="S276" s="187" t="s">
        <v>754</v>
      </c>
      <c r="T276" s="187" t="s">
        <v>763</v>
      </c>
      <c r="U276" s="187" t="s">
        <v>1056</v>
      </c>
    </row>
    <row r="277" spans="2:21" x14ac:dyDescent="0.2">
      <c r="B277" s="187">
        <v>272</v>
      </c>
      <c r="C277" s="188" t="s">
        <v>632</v>
      </c>
      <c r="D277" s="188" t="s">
        <v>631</v>
      </c>
      <c r="E277" s="208">
        <v>34604425</v>
      </c>
      <c r="F277" s="208">
        <v>0</v>
      </c>
      <c r="G277" s="208">
        <v>722306</v>
      </c>
      <c r="H277" s="208">
        <v>90018</v>
      </c>
      <c r="I277" s="208">
        <v>0</v>
      </c>
      <c r="J277" s="208">
        <v>90018</v>
      </c>
      <c r="K277" s="208">
        <v>0</v>
      </c>
      <c r="L277" s="208">
        <v>0</v>
      </c>
      <c r="M277" s="208">
        <v>0</v>
      </c>
      <c r="N277" s="208">
        <v>0</v>
      </c>
      <c r="O277" s="208">
        <v>0</v>
      </c>
      <c r="P277" s="208">
        <v>0</v>
      </c>
      <c r="Q277" s="208">
        <v>33792101</v>
      </c>
      <c r="R277" s="187" t="s">
        <v>631</v>
      </c>
      <c r="S277" s="187" t="s">
        <v>794</v>
      </c>
      <c r="T277" s="187" t="s">
        <v>793</v>
      </c>
      <c r="U277" s="187" t="s">
        <v>1054</v>
      </c>
    </row>
    <row r="278" spans="2:21" x14ac:dyDescent="0.2">
      <c r="B278" s="187">
        <v>273</v>
      </c>
      <c r="C278" s="188" t="s">
        <v>634</v>
      </c>
      <c r="D278" s="188" t="s">
        <v>633</v>
      </c>
      <c r="E278" s="208">
        <v>20487063</v>
      </c>
      <c r="F278" s="208">
        <v>894345</v>
      </c>
      <c r="G278" s="208">
        <v>0</v>
      </c>
      <c r="H278" s="208">
        <v>125663</v>
      </c>
      <c r="I278" s="208">
        <v>0</v>
      </c>
      <c r="J278" s="208">
        <v>125663</v>
      </c>
      <c r="K278" s="208">
        <v>0</v>
      </c>
      <c r="L278" s="208">
        <v>0</v>
      </c>
      <c r="M278" s="208">
        <v>0</v>
      </c>
      <c r="N278" s="208">
        <v>0</v>
      </c>
      <c r="O278" s="208">
        <v>0</v>
      </c>
      <c r="P278" s="208">
        <v>0</v>
      </c>
      <c r="Q278" s="208">
        <v>21255745</v>
      </c>
      <c r="R278" s="187" t="s">
        <v>633</v>
      </c>
      <c r="S278" s="187" t="s">
        <v>757</v>
      </c>
      <c r="T278" s="187" t="s">
        <v>751</v>
      </c>
      <c r="U278" s="187" t="s">
        <v>1054</v>
      </c>
    </row>
    <row r="279" spans="2:21" x14ac:dyDescent="0.2">
      <c r="B279" s="187">
        <v>274</v>
      </c>
      <c r="C279" s="188" t="s">
        <v>636</v>
      </c>
      <c r="D279" s="188" t="s">
        <v>635</v>
      </c>
      <c r="E279" s="208">
        <v>40133183</v>
      </c>
      <c r="F279" s="208">
        <v>0</v>
      </c>
      <c r="G279" s="208">
        <v>889054</v>
      </c>
      <c r="H279" s="208">
        <v>173098</v>
      </c>
      <c r="I279" s="208">
        <v>0</v>
      </c>
      <c r="J279" s="208">
        <v>173098</v>
      </c>
      <c r="K279" s="208">
        <v>0</v>
      </c>
      <c r="L279" s="208">
        <v>0</v>
      </c>
      <c r="M279" s="208">
        <v>166364</v>
      </c>
      <c r="N279" s="208">
        <v>166364</v>
      </c>
      <c r="O279" s="208">
        <v>0</v>
      </c>
      <c r="P279" s="208">
        <v>0</v>
      </c>
      <c r="Q279" s="208">
        <v>38904667</v>
      </c>
      <c r="R279" s="187" t="s">
        <v>635</v>
      </c>
      <c r="S279" s="187" t="s">
        <v>769</v>
      </c>
      <c r="T279" s="187" t="s">
        <v>768</v>
      </c>
      <c r="U279" s="187" t="s">
        <v>1054</v>
      </c>
    </row>
    <row r="280" spans="2:21" x14ac:dyDescent="0.2">
      <c r="B280" s="187">
        <v>275</v>
      </c>
      <c r="C280" s="188" t="s">
        <v>638</v>
      </c>
      <c r="D280" s="188" t="s">
        <v>637</v>
      </c>
      <c r="E280" s="208">
        <v>30062710</v>
      </c>
      <c r="F280" s="208">
        <v>0</v>
      </c>
      <c r="G280" s="208">
        <v>57171</v>
      </c>
      <c r="H280" s="208">
        <v>192019</v>
      </c>
      <c r="I280" s="208">
        <v>0</v>
      </c>
      <c r="J280" s="208">
        <v>192019</v>
      </c>
      <c r="K280" s="208">
        <v>0</v>
      </c>
      <c r="L280" s="208">
        <v>0</v>
      </c>
      <c r="M280" s="208">
        <v>73117</v>
      </c>
      <c r="N280" s="208">
        <v>73117</v>
      </c>
      <c r="O280" s="208">
        <v>0</v>
      </c>
      <c r="P280" s="208">
        <v>0</v>
      </c>
      <c r="Q280" s="208">
        <v>29740403</v>
      </c>
      <c r="R280" s="187" t="s">
        <v>637</v>
      </c>
      <c r="S280" s="187" t="s">
        <v>772</v>
      </c>
      <c r="T280" s="187" t="s">
        <v>768</v>
      </c>
      <c r="U280" s="187" t="s">
        <v>1054</v>
      </c>
    </row>
    <row r="281" spans="2:21" x14ac:dyDescent="0.2">
      <c r="B281" s="187">
        <v>276</v>
      </c>
      <c r="C281" s="188" t="s">
        <v>640</v>
      </c>
      <c r="D281" s="188" t="s">
        <v>639</v>
      </c>
      <c r="E281" s="208">
        <v>75083655</v>
      </c>
      <c r="F281" s="208">
        <v>157037</v>
      </c>
      <c r="G281" s="208">
        <v>0</v>
      </c>
      <c r="H281" s="208">
        <v>217804</v>
      </c>
      <c r="I281" s="208">
        <v>0</v>
      </c>
      <c r="J281" s="208">
        <v>217804</v>
      </c>
      <c r="K281" s="208">
        <v>0</v>
      </c>
      <c r="L281" s="208">
        <v>0</v>
      </c>
      <c r="M281" s="208">
        <v>76140</v>
      </c>
      <c r="N281" s="208">
        <v>76140</v>
      </c>
      <c r="O281" s="208">
        <v>0</v>
      </c>
      <c r="P281" s="208">
        <v>0</v>
      </c>
      <c r="Q281" s="208">
        <v>74946748</v>
      </c>
      <c r="R281" s="187" t="s">
        <v>792</v>
      </c>
      <c r="S281" s="187" t="s">
        <v>742</v>
      </c>
      <c r="T281" s="187" t="s">
        <v>791</v>
      </c>
      <c r="U281" s="187" t="s">
        <v>742</v>
      </c>
    </row>
    <row r="282" spans="2:21" x14ac:dyDescent="0.2">
      <c r="B282" s="187">
        <v>277</v>
      </c>
      <c r="C282" s="188" t="s">
        <v>642</v>
      </c>
      <c r="D282" s="188" t="s">
        <v>641</v>
      </c>
      <c r="E282" s="208">
        <v>27031261</v>
      </c>
      <c r="F282" s="208">
        <v>261517</v>
      </c>
      <c r="G282" s="208">
        <v>0</v>
      </c>
      <c r="H282" s="208">
        <v>292469</v>
      </c>
      <c r="I282" s="208">
        <v>0</v>
      </c>
      <c r="J282" s="208">
        <v>292469</v>
      </c>
      <c r="K282" s="208">
        <v>0</v>
      </c>
      <c r="L282" s="208">
        <v>0</v>
      </c>
      <c r="M282" s="208">
        <v>263821</v>
      </c>
      <c r="N282" s="208">
        <v>263821</v>
      </c>
      <c r="O282" s="208">
        <v>0</v>
      </c>
      <c r="P282" s="208">
        <v>0</v>
      </c>
      <c r="Q282" s="208">
        <v>26736488</v>
      </c>
      <c r="R282" s="187" t="s">
        <v>641</v>
      </c>
      <c r="S282" s="187" t="s">
        <v>784</v>
      </c>
      <c r="T282" s="187" t="s">
        <v>783</v>
      </c>
      <c r="U282" s="187" t="s">
        <v>1054</v>
      </c>
    </row>
    <row r="283" spans="2:21" x14ac:dyDescent="0.2">
      <c r="B283" s="187">
        <v>278</v>
      </c>
      <c r="C283" s="188" t="s">
        <v>644</v>
      </c>
      <c r="D283" s="188" t="s">
        <v>643</v>
      </c>
      <c r="E283" s="208">
        <v>51751100</v>
      </c>
      <c r="F283" s="208">
        <v>132496</v>
      </c>
      <c r="G283" s="208">
        <v>0</v>
      </c>
      <c r="H283" s="208">
        <v>187233</v>
      </c>
      <c r="I283" s="208">
        <v>0</v>
      </c>
      <c r="J283" s="208">
        <v>187233</v>
      </c>
      <c r="K283" s="208">
        <v>0</v>
      </c>
      <c r="L283" s="208">
        <v>0</v>
      </c>
      <c r="M283" s="208">
        <v>457464</v>
      </c>
      <c r="N283" s="208">
        <v>457464</v>
      </c>
      <c r="O283" s="208">
        <v>0</v>
      </c>
      <c r="P283" s="208">
        <v>0</v>
      </c>
      <c r="Q283" s="208">
        <v>51238899</v>
      </c>
      <c r="R283" s="187" t="s">
        <v>643</v>
      </c>
      <c r="S283" s="187" t="s">
        <v>761</v>
      </c>
      <c r="T283" s="187" t="s">
        <v>760</v>
      </c>
      <c r="U283" s="187" t="s">
        <v>1054</v>
      </c>
    </row>
    <row r="284" spans="2:21" x14ac:dyDescent="0.2">
      <c r="B284" s="187">
        <v>279</v>
      </c>
      <c r="C284" s="188" t="s">
        <v>646</v>
      </c>
      <c r="D284" s="188" t="s">
        <v>645</v>
      </c>
      <c r="E284" s="208">
        <v>35741468</v>
      </c>
      <c r="F284" s="208">
        <v>1001916</v>
      </c>
      <c r="G284" s="208">
        <v>0</v>
      </c>
      <c r="H284" s="208">
        <v>123206</v>
      </c>
      <c r="I284" s="208">
        <v>0</v>
      </c>
      <c r="J284" s="208">
        <v>123206</v>
      </c>
      <c r="K284" s="208">
        <v>0</v>
      </c>
      <c r="L284" s="208">
        <v>0</v>
      </c>
      <c r="M284" s="208">
        <v>261030</v>
      </c>
      <c r="N284" s="208">
        <v>136838</v>
      </c>
      <c r="O284" s="208">
        <v>124192</v>
      </c>
      <c r="P284" s="208">
        <v>0</v>
      </c>
      <c r="Q284" s="208">
        <v>36359148</v>
      </c>
      <c r="R284" s="187" t="s">
        <v>645</v>
      </c>
      <c r="S284" s="187" t="s">
        <v>790</v>
      </c>
      <c r="T284" s="187" t="s">
        <v>751</v>
      </c>
      <c r="U284" s="187" t="s">
        <v>1054</v>
      </c>
    </row>
    <row r="285" spans="2:21" x14ac:dyDescent="0.2">
      <c r="B285" s="187">
        <v>280</v>
      </c>
      <c r="C285" s="188" t="s">
        <v>648</v>
      </c>
      <c r="D285" s="188" t="s">
        <v>647</v>
      </c>
      <c r="E285" s="208">
        <v>34059480</v>
      </c>
      <c r="F285" s="208">
        <v>0</v>
      </c>
      <c r="G285" s="208">
        <v>61924</v>
      </c>
      <c r="H285" s="208">
        <v>190559</v>
      </c>
      <c r="I285" s="208">
        <v>0</v>
      </c>
      <c r="J285" s="208">
        <v>190559</v>
      </c>
      <c r="K285" s="208">
        <v>0</v>
      </c>
      <c r="L285" s="208">
        <v>0</v>
      </c>
      <c r="M285" s="208">
        <v>5397</v>
      </c>
      <c r="N285" s="208">
        <v>5397</v>
      </c>
      <c r="O285" s="208">
        <v>0</v>
      </c>
      <c r="P285" s="208">
        <v>0</v>
      </c>
      <c r="Q285" s="208">
        <v>33801600</v>
      </c>
      <c r="R285" s="187" t="s">
        <v>647</v>
      </c>
      <c r="S285" s="187" t="s">
        <v>786</v>
      </c>
      <c r="T285" s="187" t="s">
        <v>785</v>
      </c>
      <c r="U285" s="187" t="s">
        <v>1054</v>
      </c>
    </row>
    <row r="286" spans="2:21" x14ac:dyDescent="0.2">
      <c r="B286" s="187">
        <v>281</v>
      </c>
      <c r="C286" s="188" t="s">
        <v>650</v>
      </c>
      <c r="D286" s="188" t="s">
        <v>649</v>
      </c>
      <c r="E286" s="208">
        <v>28516102</v>
      </c>
      <c r="F286" s="208">
        <v>29856</v>
      </c>
      <c r="G286" s="208">
        <v>0</v>
      </c>
      <c r="H286" s="208">
        <v>91690</v>
      </c>
      <c r="I286" s="208">
        <v>0</v>
      </c>
      <c r="J286" s="208">
        <v>91690</v>
      </c>
      <c r="K286" s="208">
        <v>0</v>
      </c>
      <c r="L286" s="208">
        <v>0</v>
      </c>
      <c r="M286" s="208">
        <v>0</v>
      </c>
      <c r="N286" s="208">
        <v>0</v>
      </c>
      <c r="O286" s="208">
        <v>0</v>
      </c>
      <c r="P286" s="208">
        <v>0</v>
      </c>
      <c r="Q286" s="208">
        <v>28454268</v>
      </c>
      <c r="R286" s="187" t="s">
        <v>649</v>
      </c>
      <c r="S286" s="187" t="s">
        <v>774</v>
      </c>
      <c r="T286" s="187" t="s">
        <v>751</v>
      </c>
      <c r="U286" s="187" t="s">
        <v>1054</v>
      </c>
    </row>
    <row r="287" spans="2:21" x14ac:dyDescent="0.2">
      <c r="B287" s="187">
        <v>282</v>
      </c>
      <c r="C287" s="188" t="s">
        <v>652</v>
      </c>
      <c r="D287" s="188" t="s">
        <v>651</v>
      </c>
      <c r="E287" s="208">
        <v>122986042</v>
      </c>
      <c r="F287" s="208">
        <v>0</v>
      </c>
      <c r="G287" s="208">
        <v>2006328</v>
      </c>
      <c r="H287" s="208">
        <v>229041</v>
      </c>
      <c r="I287" s="208">
        <v>0</v>
      </c>
      <c r="J287" s="208">
        <v>229041</v>
      </c>
      <c r="K287" s="208">
        <v>0</v>
      </c>
      <c r="L287" s="208">
        <v>0</v>
      </c>
      <c r="M287" s="208">
        <v>0</v>
      </c>
      <c r="N287" s="208">
        <v>0</v>
      </c>
      <c r="O287" s="208">
        <v>0</v>
      </c>
      <c r="P287" s="208">
        <v>0</v>
      </c>
      <c r="Q287" s="208">
        <v>120750673</v>
      </c>
      <c r="R287" s="187" t="s">
        <v>789</v>
      </c>
      <c r="S287" s="187" t="s">
        <v>742</v>
      </c>
      <c r="T287" s="187" t="s">
        <v>783</v>
      </c>
      <c r="U287" s="187" t="s">
        <v>742</v>
      </c>
    </row>
    <row r="288" spans="2:21" x14ac:dyDescent="0.2">
      <c r="B288" s="187">
        <v>283</v>
      </c>
      <c r="C288" s="188" t="s">
        <v>654</v>
      </c>
      <c r="D288" s="188" t="s">
        <v>653</v>
      </c>
      <c r="E288" s="208">
        <v>56808271</v>
      </c>
      <c r="F288" s="208">
        <v>273540</v>
      </c>
      <c r="G288" s="208">
        <v>0</v>
      </c>
      <c r="H288" s="208">
        <v>162166</v>
      </c>
      <c r="I288" s="208">
        <v>0</v>
      </c>
      <c r="J288" s="208">
        <v>162166</v>
      </c>
      <c r="K288" s="208">
        <v>0</v>
      </c>
      <c r="L288" s="208">
        <v>0</v>
      </c>
      <c r="M288" s="208">
        <v>0</v>
      </c>
      <c r="N288" s="208">
        <v>0</v>
      </c>
      <c r="O288" s="208">
        <v>0</v>
      </c>
      <c r="P288" s="208">
        <v>0</v>
      </c>
      <c r="Q288" s="208">
        <v>56919645</v>
      </c>
      <c r="R288" s="187" t="s">
        <v>788</v>
      </c>
      <c r="S288" s="187" t="s">
        <v>786</v>
      </c>
      <c r="T288" s="187" t="s">
        <v>785</v>
      </c>
      <c r="U288" s="187" t="s">
        <v>1054</v>
      </c>
    </row>
    <row r="289" spans="1:21" x14ac:dyDescent="0.2">
      <c r="B289" s="187">
        <v>284</v>
      </c>
      <c r="C289" s="188" t="s">
        <v>656</v>
      </c>
      <c r="D289" s="188" t="s">
        <v>655</v>
      </c>
      <c r="E289" s="208">
        <v>32324035</v>
      </c>
      <c r="F289" s="208">
        <v>0</v>
      </c>
      <c r="G289" s="208">
        <v>2140864</v>
      </c>
      <c r="H289" s="208">
        <v>196346</v>
      </c>
      <c r="I289" s="208">
        <v>0</v>
      </c>
      <c r="J289" s="208">
        <v>196346</v>
      </c>
      <c r="K289" s="208">
        <v>0</v>
      </c>
      <c r="L289" s="208">
        <v>0</v>
      </c>
      <c r="M289" s="208">
        <v>0</v>
      </c>
      <c r="N289" s="208">
        <v>0</v>
      </c>
      <c r="O289" s="208">
        <v>0</v>
      </c>
      <c r="P289" s="208">
        <v>0</v>
      </c>
      <c r="Q289" s="208">
        <v>29986825</v>
      </c>
      <c r="R289" s="187" t="s">
        <v>787</v>
      </c>
      <c r="S289" s="187" t="s">
        <v>742</v>
      </c>
      <c r="T289" s="187" t="s">
        <v>768</v>
      </c>
      <c r="U289" s="187" t="s">
        <v>742</v>
      </c>
    </row>
    <row r="290" spans="1:21" x14ac:dyDescent="0.2">
      <c r="A290" s="187" t="s">
        <v>1817</v>
      </c>
      <c r="B290" s="187">
        <v>285</v>
      </c>
      <c r="C290" s="188" t="s">
        <v>658</v>
      </c>
      <c r="D290" s="188" t="s">
        <v>657</v>
      </c>
      <c r="E290" s="208">
        <v>11580226</v>
      </c>
      <c r="F290" s="208">
        <v>537490</v>
      </c>
      <c r="G290" s="208">
        <v>0</v>
      </c>
      <c r="H290" s="208">
        <v>133640</v>
      </c>
      <c r="I290" s="208">
        <v>0</v>
      </c>
      <c r="J290" s="208">
        <v>133640</v>
      </c>
      <c r="K290" s="208">
        <v>0</v>
      </c>
      <c r="L290" s="208">
        <v>0</v>
      </c>
      <c r="M290" s="208">
        <v>774259</v>
      </c>
      <c r="N290" s="208">
        <v>774259</v>
      </c>
      <c r="O290" s="208">
        <v>0</v>
      </c>
      <c r="P290" s="208">
        <v>0</v>
      </c>
      <c r="Q290" s="208">
        <v>11209817</v>
      </c>
      <c r="R290" s="187" t="s">
        <v>657</v>
      </c>
      <c r="S290" s="187" t="s">
        <v>772</v>
      </c>
      <c r="T290" s="187" t="s">
        <v>768</v>
      </c>
      <c r="U290" s="187" t="s">
        <v>1054</v>
      </c>
    </row>
    <row r="291" spans="1:21" x14ac:dyDescent="0.2">
      <c r="A291" s="187" t="s">
        <v>1811</v>
      </c>
      <c r="B291" s="187">
        <v>286</v>
      </c>
      <c r="C291" s="188" t="s">
        <v>660</v>
      </c>
      <c r="D291" s="188" t="s">
        <v>659</v>
      </c>
      <c r="E291" s="208">
        <v>425843805</v>
      </c>
      <c r="F291" s="208">
        <v>14828597</v>
      </c>
      <c r="G291" s="208">
        <v>0</v>
      </c>
      <c r="H291" s="208">
        <v>1029166</v>
      </c>
      <c r="I291" s="208">
        <v>0</v>
      </c>
      <c r="J291" s="208">
        <v>1029166</v>
      </c>
      <c r="K291" s="208">
        <v>0</v>
      </c>
      <c r="L291" s="208">
        <v>0</v>
      </c>
      <c r="M291" s="208">
        <v>0</v>
      </c>
      <c r="N291" s="208">
        <v>0</v>
      </c>
      <c r="O291" s="208">
        <v>0</v>
      </c>
      <c r="P291" s="208">
        <v>0</v>
      </c>
      <c r="Q291" s="208">
        <v>439643236</v>
      </c>
      <c r="R291" s="187" t="s">
        <v>659</v>
      </c>
      <c r="S291" s="187" t="s">
        <v>767</v>
      </c>
      <c r="T291" s="187" t="s">
        <v>743</v>
      </c>
      <c r="U291" s="187" t="s">
        <v>1057</v>
      </c>
    </row>
    <row r="292" spans="1:21" x14ac:dyDescent="0.2">
      <c r="B292" s="187">
        <v>287</v>
      </c>
      <c r="C292" s="188" t="s">
        <v>662</v>
      </c>
      <c r="D292" s="188" t="s">
        <v>661</v>
      </c>
      <c r="E292" s="208">
        <v>157490889</v>
      </c>
      <c r="F292" s="208">
        <v>0</v>
      </c>
      <c r="G292" s="208">
        <v>3954281</v>
      </c>
      <c r="H292" s="208">
        <v>443543</v>
      </c>
      <c r="I292" s="208">
        <v>0</v>
      </c>
      <c r="J292" s="208">
        <v>443543</v>
      </c>
      <c r="K292" s="208">
        <v>0</v>
      </c>
      <c r="L292" s="208">
        <v>0</v>
      </c>
      <c r="M292" s="208">
        <v>80952</v>
      </c>
      <c r="N292" s="208">
        <v>80952</v>
      </c>
      <c r="O292" s="208">
        <v>0</v>
      </c>
      <c r="P292" s="208">
        <v>0</v>
      </c>
      <c r="Q292" s="208">
        <v>153012113</v>
      </c>
      <c r="R292" s="187" t="s">
        <v>661</v>
      </c>
      <c r="S292" s="187" t="s">
        <v>754</v>
      </c>
      <c r="T292" s="187" t="s">
        <v>763</v>
      </c>
      <c r="U292" s="187" t="s">
        <v>1056</v>
      </c>
    </row>
    <row r="293" spans="1:21" x14ac:dyDescent="0.2">
      <c r="B293" s="187">
        <v>288</v>
      </c>
      <c r="C293" s="188" t="s">
        <v>664</v>
      </c>
      <c r="D293" s="188" t="s">
        <v>663</v>
      </c>
      <c r="E293" s="208">
        <v>53099221</v>
      </c>
      <c r="F293" s="208">
        <v>150586</v>
      </c>
      <c r="G293" s="208">
        <v>0</v>
      </c>
      <c r="H293" s="208">
        <v>171977</v>
      </c>
      <c r="I293" s="208">
        <v>0</v>
      </c>
      <c r="J293" s="208">
        <v>171977</v>
      </c>
      <c r="K293" s="208">
        <v>0</v>
      </c>
      <c r="L293" s="208">
        <v>0</v>
      </c>
      <c r="M293" s="208">
        <v>114396</v>
      </c>
      <c r="N293" s="208">
        <v>114396</v>
      </c>
      <c r="O293" s="208">
        <v>0</v>
      </c>
      <c r="P293" s="208">
        <v>0</v>
      </c>
      <c r="Q293" s="208">
        <v>52963434</v>
      </c>
      <c r="R293" s="187" t="s">
        <v>663</v>
      </c>
      <c r="S293" s="187" t="s">
        <v>786</v>
      </c>
      <c r="T293" s="187" t="s">
        <v>785</v>
      </c>
      <c r="U293" s="187" t="s">
        <v>1054</v>
      </c>
    </row>
    <row r="294" spans="1:21" x14ac:dyDescent="0.2">
      <c r="B294" s="187">
        <v>289</v>
      </c>
      <c r="C294" s="188" t="s">
        <v>666</v>
      </c>
      <c r="D294" s="188" t="s">
        <v>665</v>
      </c>
      <c r="E294" s="208">
        <v>46291170</v>
      </c>
      <c r="F294" s="208">
        <v>0</v>
      </c>
      <c r="G294" s="208">
        <v>374938</v>
      </c>
      <c r="H294" s="208">
        <v>137936</v>
      </c>
      <c r="I294" s="208">
        <v>0</v>
      </c>
      <c r="J294" s="208">
        <v>137936</v>
      </c>
      <c r="K294" s="208">
        <v>0</v>
      </c>
      <c r="L294" s="208">
        <v>0</v>
      </c>
      <c r="M294" s="208">
        <v>126787</v>
      </c>
      <c r="N294" s="208">
        <v>126787</v>
      </c>
      <c r="O294" s="208">
        <v>0</v>
      </c>
      <c r="P294" s="208">
        <v>0</v>
      </c>
      <c r="Q294" s="208">
        <v>45651509</v>
      </c>
      <c r="R294" s="187" t="s">
        <v>665</v>
      </c>
      <c r="S294" s="187" t="s">
        <v>784</v>
      </c>
      <c r="T294" s="187" t="s">
        <v>783</v>
      </c>
      <c r="U294" s="187" t="s">
        <v>1054</v>
      </c>
    </row>
    <row r="295" spans="1:21" x14ac:dyDescent="0.2">
      <c r="B295" s="187">
        <v>290</v>
      </c>
      <c r="C295" s="188" t="s">
        <v>668</v>
      </c>
      <c r="D295" s="188" t="s">
        <v>667</v>
      </c>
      <c r="E295" s="208">
        <v>57771468</v>
      </c>
      <c r="F295" s="208">
        <v>0</v>
      </c>
      <c r="G295" s="208">
        <v>3699304</v>
      </c>
      <c r="H295" s="208">
        <v>178478</v>
      </c>
      <c r="I295" s="208">
        <v>0</v>
      </c>
      <c r="J295" s="208">
        <v>178478</v>
      </c>
      <c r="K295" s="208">
        <v>0</v>
      </c>
      <c r="L295" s="208">
        <v>1670513</v>
      </c>
      <c r="M295" s="208">
        <v>235130</v>
      </c>
      <c r="N295" s="208">
        <v>235130</v>
      </c>
      <c r="O295" s="208">
        <v>0</v>
      </c>
      <c r="P295" s="208">
        <v>0</v>
      </c>
      <c r="Q295" s="208">
        <v>51988043</v>
      </c>
      <c r="R295" s="187" t="s">
        <v>667</v>
      </c>
      <c r="S295" s="187" t="s">
        <v>770</v>
      </c>
      <c r="T295" s="187" t="s">
        <v>751</v>
      </c>
      <c r="U295" s="187" t="s">
        <v>1054</v>
      </c>
    </row>
    <row r="296" spans="1:21" x14ac:dyDescent="0.2">
      <c r="B296" s="187">
        <v>291</v>
      </c>
      <c r="C296" s="188" t="s">
        <v>670</v>
      </c>
      <c r="D296" s="188" t="s">
        <v>669</v>
      </c>
      <c r="E296" s="208">
        <v>128543572</v>
      </c>
      <c r="F296" s="208">
        <v>0</v>
      </c>
      <c r="G296" s="208">
        <v>2384952</v>
      </c>
      <c r="H296" s="208">
        <v>449154</v>
      </c>
      <c r="I296" s="208">
        <v>0</v>
      </c>
      <c r="J296" s="208">
        <v>449154</v>
      </c>
      <c r="K296" s="208">
        <v>0</v>
      </c>
      <c r="L296" s="208">
        <v>18950</v>
      </c>
      <c r="M296" s="208">
        <v>520587</v>
      </c>
      <c r="N296" s="208">
        <v>520587</v>
      </c>
      <c r="O296" s="208">
        <v>0</v>
      </c>
      <c r="P296" s="208">
        <v>0</v>
      </c>
      <c r="Q296" s="208">
        <v>125169929</v>
      </c>
      <c r="R296" s="187" t="s">
        <v>669</v>
      </c>
      <c r="S296" s="187" t="s">
        <v>754</v>
      </c>
      <c r="T296" s="187" t="s">
        <v>782</v>
      </c>
      <c r="U296" s="187" t="s">
        <v>1056</v>
      </c>
    </row>
    <row r="297" spans="1:21" x14ac:dyDescent="0.2">
      <c r="B297" s="187">
        <v>292</v>
      </c>
      <c r="C297" s="188" t="s">
        <v>672</v>
      </c>
      <c r="D297" s="188" t="s">
        <v>671</v>
      </c>
      <c r="E297" s="208">
        <v>71355723</v>
      </c>
      <c r="F297" s="208">
        <v>1450986</v>
      </c>
      <c r="G297" s="208">
        <v>0</v>
      </c>
      <c r="H297" s="208">
        <v>338403</v>
      </c>
      <c r="I297" s="208">
        <v>0</v>
      </c>
      <c r="J297" s="208">
        <v>338403</v>
      </c>
      <c r="K297" s="208">
        <v>0</v>
      </c>
      <c r="L297" s="208">
        <v>23921</v>
      </c>
      <c r="M297" s="208">
        <v>0</v>
      </c>
      <c r="N297" s="208">
        <v>0</v>
      </c>
      <c r="O297" s="208">
        <v>0</v>
      </c>
      <c r="P297" s="208">
        <v>0</v>
      </c>
      <c r="Q297" s="208">
        <v>72444385</v>
      </c>
      <c r="R297" s="187" t="s">
        <v>671</v>
      </c>
      <c r="S297" s="187" t="s">
        <v>754</v>
      </c>
      <c r="T297" s="187" t="s">
        <v>753</v>
      </c>
      <c r="U297" s="187" t="s">
        <v>1056</v>
      </c>
    </row>
    <row r="298" spans="1:21" x14ac:dyDescent="0.2">
      <c r="B298" s="187">
        <v>293</v>
      </c>
      <c r="C298" s="188" t="s">
        <v>674</v>
      </c>
      <c r="D298" s="188" t="s">
        <v>673</v>
      </c>
      <c r="E298" s="208">
        <v>63260131</v>
      </c>
      <c r="F298" s="208">
        <v>3875664</v>
      </c>
      <c r="G298" s="208">
        <v>0</v>
      </c>
      <c r="H298" s="208">
        <v>292555</v>
      </c>
      <c r="I298" s="208">
        <v>0</v>
      </c>
      <c r="J298" s="208">
        <v>292555</v>
      </c>
      <c r="K298" s="208">
        <v>0</v>
      </c>
      <c r="L298" s="208">
        <v>0</v>
      </c>
      <c r="M298" s="208">
        <v>0</v>
      </c>
      <c r="N298" s="208">
        <v>0</v>
      </c>
      <c r="O298" s="208">
        <v>0</v>
      </c>
      <c r="P298" s="208">
        <v>0</v>
      </c>
      <c r="Q298" s="208">
        <v>66843240</v>
      </c>
      <c r="R298" s="187" t="s">
        <v>673</v>
      </c>
      <c r="S298" s="187" t="s">
        <v>767</v>
      </c>
      <c r="T298" s="187" t="s">
        <v>743</v>
      </c>
      <c r="U298" s="187" t="s">
        <v>1055</v>
      </c>
    </row>
    <row r="299" spans="1:21" x14ac:dyDescent="0.2">
      <c r="B299" s="187">
        <v>294</v>
      </c>
      <c r="C299" s="188" t="s">
        <v>676</v>
      </c>
      <c r="D299" s="188" t="s">
        <v>675</v>
      </c>
      <c r="E299" s="208">
        <v>117445052</v>
      </c>
      <c r="F299" s="208">
        <v>3546700</v>
      </c>
      <c r="G299" s="208">
        <v>0</v>
      </c>
      <c r="H299" s="208">
        <v>457455</v>
      </c>
      <c r="I299" s="208">
        <v>0</v>
      </c>
      <c r="J299" s="208">
        <v>457455</v>
      </c>
      <c r="K299" s="208">
        <v>0</v>
      </c>
      <c r="L299" s="208">
        <v>586207</v>
      </c>
      <c r="M299" s="208">
        <v>0</v>
      </c>
      <c r="N299" s="208">
        <v>0</v>
      </c>
      <c r="O299" s="208">
        <v>0</v>
      </c>
      <c r="P299" s="208">
        <v>0</v>
      </c>
      <c r="Q299" s="208">
        <v>119948090</v>
      </c>
      <c r="R299" s="187" t="s">
        <v>675</v>
      </c>
      <c r="S299" s="187" t="s">
        <v>767</v>
      </c>
      <c r="T299" s="187" t="s">
        <v>743</v>
      </c>
      <c r="U299" s="187" t="s">
        <v>1057</v>
      </c>
    </row>
    <row r="300" spans="1:21" x14ac:dyDescent="0.2">
      <c r="B300" s="187">
        <v>295</v>
      </c>
      <c r="C300" s="188" t="s">
        <v>678</v>
      </c>
      <c r="D300" s="188" t="s">
        <v>677</v>
      </c>
      <c r="E300" s="208">
        <v>106444560</v>
      </c>
      <c r="F300" s="208">
        <v>0</v>
      </c>
      <c r="G300" s="208">
        <v>6326819</v>
      </c>
      <c r="H300" s="208">
        <v>295535</v>
      </c>
      <c r="I300" s="208">
        <v>0</v>
      </c>
      <c r="J300" s="208">
        <v>295535</v>
      </c>
      <c r="K300" s="208">
        <v>0</v>
      </c>
      <c r="L300" s="208">
        <v>0</v>
      </c>
      <c r="M300" s="208">
        <v>0</v>
      </c>
      <c r="N300" s="208">
        <v>0</v>
      </c>
      <c r="O300" s="208">
        <v>0</v>
      </c>
      <c r="P300" s="208">
        <v>0</v>
      </c>
      <c r="Q300" s="208">
        <v>99822206</v>
      </c>
      <c r="R300" s="187" t="s">
        <v>781</v>
      </c>
      <c r="S300" s="187" t="s">
        <v>742</v>
      </c>
      <c r="T300" s="187" t="s">
        <v>780</v>
      </c>
      <c r="U300" s="187" t="s">
        <v>742</v>
      </c>
    </row>
    <row r="301" spans="1:21" x14ac:dyDescent="0.2">
      <c r="B301" s="187">
        <v>296</v>
      </c>
      <c r="C301" s="188" t="s">
        <v>680</v>
      </c>
      <c r="D301" s="188" t="s">
        <v>679</v>
      </c>
      <c r="E301" s="208">
        <v>69652709</v>
      </c>
      <c r="F301" s="208">
        <v>0</v>
      </c>
      <c r="G301" s="208">
        <v>362958</v>
      </c>
      <c r="H301" s="208">
        <v>212756</v>
      </c>
      <c r="I301" s="208">
        <v>0</v>
      </c>
      <c r="J301" s="208">
        <v>212756</v>
      </c>
      <c r="K301" s="208">
        <v>0</v>
      </c>
      <c r="L301" s="208">
        <v>0</v>
      </c>
      <c r="M301" s="208">
        <v>23242</v>
      </c>
      <c r="N301" s="208">
        <v>23242</v>
      </c>
      <c r="O301" s="208">
        <v>0</v>
      </c>
      <c r="P301" s="208">
        <v>0</v>
      </c>
      <c r="Q301" s="208">
        <v>69053753</v>
      </c>
      <c r="R301" s="187" t="s">
        <v>679</v>
      </c>
      <c r="S301" s="187" t="s">
        <v>779</v>
      </c>
      <c r="T301" s="187" t="s">
        <v>751</v>
      </c>
      <c r="U301" s="187" t="s">
        <v>1054</v>
      </c>
    </row>
    <row r="302" spans="1:21" x14ac:dyDescent="0.2">
      <c r="B302" s="187">
        <v>297</v>
      </c>
      <c r="C302" s="188" t="s">
        <v>682</v>
      </c>
      <c r="D302" s="188" t="s">
        <v>681</v>
      </c>
      <c r="E302" s="208">
        <v>65013609</v>
      </c>
      <c r="F302" s="208">
        <v>0</v>
      </c>
      <c r="G302" s="208">
        <v>3004549</v>
      </c>
      <c r="H302" s="208">
        <v>168509</v>
      </c>
      <c r="I302" s="208">
        <v>0</v>
      </c>
      <c r="J302" s="208">
        <v>168509</v>
      </c>
      <c r="K302" s="208">
        <v>0</v>
      </c>
      <c r="L302" s="208">
        <v>0</v>
      </c>
      <c r="M302" s="208">
        <v>0</v>
      </c>
      <c r="N302" s="208">
        <v>0</v>
      </c>
      <c r="O302" s="208">
        <v>0</v>
      </c>
      <c r="P302" s="208">
        <v>0</v>
      </c>
      <c r="Q302" s="208">
        <v>61840551</v>
      </c>
      <c r="R302" s="187" t="s">
        <v>681</v>
      </c>
      <c r="S302" s="187" t="s">
        <v>774</v>
      </c>
      <c r="T302" s="187" t="s">
        <v>751</v>
      </c>
      <c r="U302" s="187" t="s">
        <v>1054</v>
      </c>
    </row>
    <row r="303" spans="1:21" x14ac:dyDescent="0.2">
      <c r="B303" s="187">
        <v>298</v>
      </c>
      <c r="C303" s="188" t="s">
        <v>684</v>
      </c>
      <c r="D303" s="188" t="s">
        <v>683</v>
      </c>
      <c r="E303" s="208">
        <v>28896482</v>
      </c>
      <c r="F303" s="208">
        <v>713874</v>
      </c>
      <c r="G303" s="208">
        <v>0</v>
      </c>
      <c r="H303" s="208">
        <v>199632</v>
      </c>
      <c r="I303" s="208">
        <v>0</v>
      </c>
      <c r="J303" s="208">
        <v>199632</v>
      </c>
      <c r="K303" s="208">
        <v>0</v>
      </c>
      <c r="L303" s="208">
        <v>253457</v>
      </c>
      <c r="M303" s="208">
        <v>394491</v>
      </c>
      <c r="N303" s="208">
        <v>394491</v>
      </c>
      <c r="O303" s="208">
        <v>0</v>
      </c>
      <c r="P303" s="208">
        <v>0</v>
      </c>
      <c r="Q303" s="208">
        <v>28762776</v>
      </c>
      <c r="R303" s="187" t="s">
        <v>683</v>
      </c>
      <c r="S303" s="187" t="s">
        <v>778</v>
      </c>
      <c r="T303" s="187" t="s">
        <v>751</v>
      </c>
      <c r="U303" s="187" t="s">
        <v>1054</v>
      </c>
    </row>
    <row r="304" spans="1:21" x14ac:dyDescent="0.2">
      <c r="B304" s="187">
        <v>299</v>
      </c>
      <c r="C304" s="188" t="s">
        <v>686</v>
      </c>
      <c r="D304" s="188" t="s">
        <v>685</v>
      </c>
      <c r="E304" s="208">
        <v>39107541.049999997</v>
      </c>
      <c r="F304" s="208">
        <v>1267981</v>
      </c>
      <c r="G304" s="208">
        <v>0</v>
      </c>
      <c r="H304" s="208">
        <v>177573</v>
      </c>
      <c r="I304" s="208">
        <v>0</v>
      </c>
      <c r="J304" s="208">
        <v>177573</v>
      </c>
      <c r="K304" s="208">
        <v>0</v>
      </c>
      <c r="L304" s="208">
        <v>0</v>
      </c>
      <c r="M304" s="208">
        <v>0</v>
      </c>
      <c r="N304" s="208">
        <v>0</v>
      </c>
      <c r="O304" s="208">
        <v>0</v>
      </c>
      <c r="P304" s="208">
        <v>0</v>
      </c>
      <c r="Q304" s="208">
        <v>40197949.049999997</v>
      </c>
      <c r="R304" s="187" t="s">
        <v>685</v>
      </c>
      <c r="S304" s="187" t="s">
        <v>757</v>
      </c>
      <c r="T304" s="187" t="s">
        <v>751</v>
      </c>
      <c r="U304" s="187" t="s">
        <v>1054</v>
      </c>
    </row>
    <row r="305" spans="2:21" x14ac:dyDescent="0.2">
      <c r="B305" s="187">
        <v>300</v>
      </c>
      <c r="C305" s="188" t="s">
        <v>688</v>
      </c>
      <c r="D305" s="188" t="s">
        <v>687</v>
      </c>
      <c r="E305" s="208">
        <v>30029962</v>
      </c>
      <c r="F305" s="208">
        <v>909189</v>
      </c>
      <c r="G305" s="208">
        <v>0</v>
      </c>
      <c r="H305" s="208">
        <v>219003</v>
      </c>
      <c r="I305" s="208">
        <v>0</v>
      </c>
      <c r="J305" s="208">
        <v>219003</v>
      </c>
      <c r="K305" s="208">
        <v>0</v>
      </c>
      <c r="L305" s="208">
        <v>0</v>
      </c>
      <c r="M305" s="208">
        <v>219252</v>
      </c>
      <c r="N305" s="208">
        <v>219252</v>
      </c>
      <c r="O305" s="208">
        <v>0</v>
      </c>
      <c r="P305" s="208">
        <v>0</v>
      </c>
      <c r="Q305" s="208">
        <v>30500896</v>
      </c>
      <c r="R305" s="187" t="s">
        <v>687</v>
      </c>
      <c r="S305" s="187" t="s">
        <v>777</v>
      </c>
      <c r="T305" s="187" t="s">
        <v>776</v>
      </c>
      <c r="U305" s="187" t="s">
        <v>1054</v>
      </c>
    </row>
    <row r="306" spans="2:21" x14ac:dyDescent="0.2">
      <c r="B306" s="187">
        <v>301</v>
      </c>
      <c r="C306" s="188" t="s">
        <v>690</v>
      </c>
      <c r="D306" s="188" t="s">
        <v>689</v>
      </c>
      <c r="E306" s="208">
        <v>28205469</v>
      </c>
      <c r="F306" s="208">
        <v>0</v>
      </c>
      <c r="G306" s="208">
        <v>345795</v>
      </c>
      <c r="H306" s="208">
        <v>108409</v>
      </c>
      <c r="I306" s="208">
        <v>0</v>
      </c>
      <c r="J306" s="208">
        <v>108409</v>
      </c>
      <c r="K306" s="208">
        <v>0</v>
      </c>
      <c r="L306" s="208">
        <v>0</v>
      </c>
      <c r="M306" s="208">
        <v>41727</v>
      </c>
      <c r="N306" s="208">
        <v>41727</v>
      </c>
      <c r="O306" s="208">
        <v>0</v>
      </c>
      <c r="P306" s="208">
        <v>0</v>
      </c>
      <c r="Q306" s="208">
        <v>27709538</v>
      </c>
      <c r="R306" s="187" t="s">
        <v>689</v>
      </c>
      <c r="S306" s="187" t="s">
        <v>775</v>
      </c>
      <c r="T306" s="187" t="s">
        <v>751</v>
      </c>
      <c r="U306" s="187" t="s">
        <v>1054</v>
      </c>
    </row>
    <row r="307" spans="2:21" x14ac:dyDescent="0.2">
      <c r="B307" s="187">
        <v>302</v>
      </c>
      <c r="C307" s="188" t="s">
        <v>692</v>
      </c>
      <c r="D307" s="188" t="s">
        <v>691</v>
      </c>
      <c r="E307" s="208">
        <v>57817744</v>
      </c>
      <c r="F307" s="208">
        <v>0</v>
      </c>
      <c r="G307" s="208">
        <v>327953</v>
      </c>
      <c r="H307" s="208">
        <v>152607</v>
      </c>
      <c r="I307" s="208">
        <v>0</v>
      </c>
      <c r="J307" s="208">
        <v>152607</v>
      </c>
      <c r="K307" s="208">
        <v>0</v>
      </c>
      <c r="L307" s="208">
        <v>0</v>
      </c>
      <c r="M307" s="208">
        <v>0</v>
      </c>
      <c r="N307" s="208">
        <v>0</v>
      </c>
      <c r="O307" s="208">
        <v>0</v>
      </c>
      <c r="P307" s="208">
        <v>0</v>
      </c>
      <c r="Q307" s="208">
        <v>57337184</v>
      </c>
      <c r="R307" s="187" t="s">
        <v>691</v>
      </c>
      <c r="S307" s="187" t="s">
        <v>774</v>
      </c>
      <c r="T307" s="187" t="s">
        <v>751</v>
      </c>
      <c r="U307" s="187" t="s">
        <v>1054</v>
      </c>
    </row>
    <row r="308" spans="2:21" x14ac:dyDescent="0.2">
      <c r="B308" s="187">
        <v>303</v>
      </c>
      <c r="C308" s="188" t="s">
        <v>694</v>
      </c>
      <c r="D308" s="188" t="s">
        <v>693</v>
      </c>
      <c r="E308" s="208">
        <v>86499452</v>
      </c>
      <c r="F308" s="208">
        <v>0</v>
      </c>
      <c r="G308" s="208">
        <v>1144920</v>
      </c>
      <c r="H308" s="208">
        <v>254389</v>
      </c>
      <c r="I308" s="208">
        <v>0</v>
      </c>
      <c r="J308" s="208">
        <v>254389</v>
      </c>
      <c r="K308" s="208">
        <v>0</v>
      </c>
      <c r="L308" s="208">
        <v>0</v>
      </c>
      <c r="M308" s="208">
        <v>0</v>
      </c>
      <c r="N308" s="208">
        <v>0</v>
      </c>
      <c r="O308" s="208">
        <v>0</v>
      </c>
      <c r="P308" s="208">
        <v>0</v>
      </c>
      <c r="Q308" s="208">
        <v>85100143</v>
      </c>
      <c r="R308" s="187" t="s">
        <v>773</v>
      </c>
      <c r="S308" s="187" t="s">
        <v>742</v>
      </c>
      <c r="T308" s="187" t="s">
        <v>755</v>
      </c>
      <c r="U308" s="187" t="s">
        <v>742</v>
      </c>
    </row>
    <row r="309" spans="2:21" x14ac:dyDescent="0.2">
      <c r="B309" s="187">
        <v>304</v>
      </c>
      <c r="C309" s="188" t="s">
        <v>696</v>
      </c>
      <c r="D309" s="188" t="s">
        <v>695</v>
      </c>
      <c r="E309" s="208">
        <v>9976797</v>
      </c>
      <c r="F309" s="208">
        <v>400436</v>
      </c>
      <c r="G309" s="208">
        <v>0</v>
      </c>
      <c r="H309" s="208">
        <v>84021</v>
      </c>
      <c r="I309" s="208">
        <v>0</v>
      </c>
      <c r="J309" s="208">
        <v>84021</v>
      </c>
      <c r="K309" s="208">
        <v>0</v>
      </c>
      <c r="L309" s="208">
        <v>0</v>
      </c>
      <c r="M309" s="208">
        <v>0</v>
      </c>
      <c r="N309" s="208">
        <v>0</v>
      </c>
      <c r="O309" s="208">
        <v>0</v>
      </c>
      <c r="P309" s="208">
        <v>0</v>
      </c>
      <c r="Q309" s="208">
        <v>10293212</v>
      </c>
      <c r="R309" s="187" t="s">
        <v>695</v>
      </c>
      <c r="S309" s="187" t="s">
        <v>772</v>
      </c>
      <c r="T309" s="187" t="s">
        <v>768</v>
      </c>
      <c r="U309" s="187" t="s">
        <v>1054</v>
      </c>
    </row>
    <row r="310" spans="2:21" x14ac:dyDescent="0.2">
      <c r="B310" s="187">
        <v>305</v>
      </c>
      <c r="C310" s="188" t="s">
        <v>698</v>
      </c>
      <c r="D310" s="188" t="s">
        <v>697</v>
      </c>
      <c r="E310" s="208">
        <v>28828314</v>
      </c>
      <c r="F310" s="208">
        <v>1281541</v>
      </c>
      <c r="G310" s="208">
        <v>0</v>
      </c>
      <c r="H310" s="208">
        <v>215188</v>
      </c>
      <c r="I310" s="208">
        <v>0</v>
      </c>
      <c r="J310" s="208">
        <v>215188</v>
      </c>
      <c r="K310" s="208">
        <v>0</v>
      </c>
      <c r="L310" s="208">
        <v>0</v>
      </c>
      <c r="M310" s="208">
        <v>206605</v>
      </c>
      <c r="N310" s="208">
        <v>204239</v>
      </c>
      <c r="O310" s="208">
        <v>2366</v>
      </c>
      <c r="P310" s="208">
        <v>0</v>
      </c>
      <c r="Q310" s="208">
        <v>29688062</v>
      </c>
      <c r="R310" s="187" t="s">
        <v>697</v>
      </c>
      <c r="S310" s="187" t="s">
        <v>765</v>
      </c>
      <c r="T310" s="187" t="s">
        <v>764</v>
      </c>
      <c r="U310" s="187" t="s">
        <v>1054</v>
      </c>
    </row>
    <row r="311" spans="2:21" x14ac:dyDescent="0.2">
      <c r="B311" s="187">
        <v>306</v>
      </c>
      <c r="C311" s="188" t="s">
        <v>700</v>
      </c>
      <c r="D311" s="188" t="s">
        <v>699</v>
      </c>
      <c r="E311" s="208">
        <v>31320794</v>
      </c>
      <c r="F311" s="208">
        <v>0</v>
      </c>
      <c r="G311" s="208">
        <v>647704</v>
      </c>
      <c r="H311" s="208">
        <v>129089</v>
      </c>
      <c r="I311" s="208">
        <v>0</v>
      </c>
      <c r="J311" s="208">
        <v>129089</v>
      </c>
      <c r="K311" s="208">
        <v>0</v>
      </c>
      <c r="L311" s="208">
        <v>0</v>
      </c>
      <c r="M311" s="208">
        <v>0</v>
      </c>
      <c r="N311" s="208">
        <v>0</v>
      </c>
      <c r="O311" s="208">
        <v>0</v>
      </c>
      <c r="P311" s="208">
        <v>0</v>
      </c>
      <c r="Q311" s="208">
        <v>30544001</v>
      </c>
      <c r="R311" s="187" t="s">
        <v>699</v>
      </c>
      <c r="S311" s="187" t="s">
        <v>748</v>
      </c>
      <c r="T311" s="187" t="s">
        <v>747</v>
      </c>
      <c r="U311" s="187" t="s">
        <v>1054</v>
      </c>
    </row>
    <row r="312" spans="2:21" x14ac:dyDescent="0.2">
      <c r="B312" s="187">
        <v>307</v>
      </c>
      <c r="C312" s="188" t="s">
        <v>702</v>
      </c>
      <c r="D312" s="188" t="s">
        <v>701</v>
      </c>
      <c r="E312" s="208">
        <v>17603341</v>
      </c>
      <c r="F312" s="208">
        <v>430674</v>
      </c>
      <c r="G312" s="208">
        <v>0</v>
      </c>
      <c r="H312" s="208">
        <v>104774</v>
      </c>
      <c r="I312" s="208">
        <v>0</v>
      </c>
      <c r="J312" s="208">
        <v>104774</v>
      </c>
      <c r="K312" s="208">
        <v>0</v>
      </c>
      <c r="L312" s="208">
        <v>0</v>
      </c>
      <c r="M312" s="208">
        <v>195476</v>
      </c>
      <c r="N312" s="208">
        <v>49909</v>
      </c>
      <c r="O312" s="208">
        <v>145567</v>
      </c>
      <c r="P312" s="208">
        <v>0</v>
      </c>
      <c r="Q312" s="208">
        <v>17733765</v>
      </c>
      <c r="R312" s="187" t="s">
        <v>701</v>
      </c>
      <c r="S312" s="187" t="s">
        <v>771</v>
      </c>
      <c r="T312" s="187" t="s">
        <v>751</v>
      </c>
      <c r="U312" s="187" t="s">
        <v>1054</v>
      </c>
    </row>
    <row r="313" spans="2:21" x14ac:dyDescent="0.2">
      <c r="B313" s="187">
        <v>308</v>
      </c>
      <c r="C313" s="188" t="s">
        <v>704</v>
      </c>
      <c r="D313" s="188" t="s">
        <v>703</v>
      </c>
      <c r="E313" s="208">
        <v>36054844</v>
      </c>
      <c r="F313" s="208">
        <v>1309357</v>
      </c>
      <c r="G313" s="208">
        <v>0</v>
      </c>
      <c r="H313" s="208">
        <v>162472</v>
      </c>
      <c r="I313" s="208">
        <v>0</v>
      </c>
      <c r="J313" s="208">
        <v>162472</v>
      </c>
      <c r="K313" s="208">
        <v>0</v>
      </c>
      <c r="L313" s="208">
        <v>0</v>
      </c>
      <c r="M313" s="208">
        <v>228415</v>
      </c>
      <c r="N313" s="208">
        <v>228415</v>
      </c>
      <c r="O313" s="208">
        <v>0</v>
      </c>
      <c r="P313" s="208">
        <v>0</v>
      </c>
      <c r="Q313" s="208">
        <v>36973314</v>
      </c>
      <c r="R313" s="187" t="s">
        <v>703</v>
      </c>
      <c r="S313" s="187" t="s">
        <v>770</v>
      </c>
      <c r="T313" s="187" t="s">
        <v>751</v>
      </c>
      <c r="U313" s="187" t="s">
        <v>1054</v>
      </c>
    </row>
    <row r="314" spans="2:21" x14ac:dyDescent="0.2">
      <c r="B314" s="187">
        <v>309</v>
      </c>
      <c r="C314" s="188" t="s">
        <v>706</v>
      </c>
      <c r="D314" s="188" t="s">
        <v>705</v>
      </c>
      <c r="E314" s="208">
        <v>16318710</v>
      </c>
      <c r="F314" s="208">
        <v>1235389</v>
      </c>
      <c r="G314" s="208">
        <v>0</v>
      </c>
      <c r="H314" s="208">
        <v>76910</v>
      </c>
      <c r="I314" s="208">
        <v>0</v>
      </c>
      <c r="J314" s="208">
        <v>76910</v>
      </c>
      <c r="K314" s="208">
        <v>0</v>
      </c>
      <c r="L314" s="208">
        <v>0</v>
      </c>
      <c r="M314" s="208">
        <v>29490</v>
      </c>
      <c r="N314" s="208">
        <v>29490</v>
      </c>
      <c r="O314" s="208">
        <v>0</v>
      </c>
      <c r="P314" s="208">
        <v>0</v>
      </c>
      <c r="Q314" s="208">
        <v>17447699</v>
      </c>
      <c r="R314" s="187" t="s">
        <v>705</v>
      </c>
      <c r="S314" s="187" t="s">
        <v>769</v>
      </c>
      <c r="T314" s="187" t="s">
        <v>768</v>
      </c>
      <c r="U314" s="187" t="s">
        <v>1054</v>
      </c>
    </row>
    <row r="315" spans="2:21" x14ac:dyDescent="0.2">
      <c r="B315" s="187">
        <v>310</v>
      </c>
      <c r="C315" s="188" t="s">
        <v>708</v>
      </c>
      <c r="D315" s="188" t="s">
        <v>707</v>
      </c>
      <c r="E315" s="208">
        <v>2178292625</v>
      </c>
      <c r="F315" s="208">
        <v>37054424</v>
      </c>
      <c r="G315" s="208">
        <v>0</v>
      </c>
      <c r="H315" s="208">
        <v>3310431</v>
      </c>
      <c r="I315" s="208">
        <v>0</v>
      </c>
      <c r="J315" s="208">
        <v>3310431</v>
      </c>
      <c r="K315" s="208">
        <v>0</v>
      </c>
      <c r="L315" s="208">
        <v>0</v>
      </c>
      <c r="M315" s="208">
        <v>0</v>
      </c>
      <c r="N315" s="208">
        <v>0</v>
      </c>
      <c r="O315" s="208">
        <v>0</v>
      </c>
      <c r="P315" s="208">
        <v>0</v>
      </c>
      <c r="Q315" s="208">
        <v>2212036618</v>
      </c>
      <c r="R315" s="187" t="s">
        <v>707</v>
      </c>
      <c r="S315" s="187" t="s">
        <v>767</v>
      </c>
      <c r="T315" s="187" t="s">
        <v>743</v>
      </c>
      <c r="U315" s="187" t="s">
        <v>1057</v>
      </c>
    </row>
    <row r="316" spans="2:21" x14ac:dyDescent="0.2">
      <c r="B316" s="187">
        <v>311</v>
      </c>
      <c r="C316" s="188" t="s">
        <v>710</v>
      </c>
      <c r="D316" s="188" t="s">
        <v>709</v>
      </c>
      <c r="E316" s="208">
        <v>15224826</v>
      </c>
      <c r="F316" s="208">
        <v>0</v>
      </c>
      <c r="G316" s="208">
        <v>135649</v>
      </c>
      <c r="H316" s="208">
        <v>104342</v>
      </c>
      <c r="I316" s="208">
        <v>0</v>
      </c>
      <c r="J316" s="208">
        <v>104342</v>
      </c>
      <c r="K316" s="208">
        <v>0</v>
      </c>
      <c r="L316" s="208">
        <v>0</v>
      </c>
      <c r="M316" s="208">
        <v>322</v>
      </c>
      <c r="N316" s="208">
        <v>322</v>
      </c>
      <c r="O316" s="208">
        <v>0</v>
      </c>
      <c r="P316" s="208">
        <v>0</v>
      </c>
      <c r="Q316" s="208">
        <v>14984513</v>
      </c>
      <c r="R316" s="187" t="s">
        <v>766</v>
      </c>
      <c r="S316" s="187" t="s">
        <v>765</v>
      </c>
      <c r="T316" s="187" t="s">
        <v>764</v>
      </c>
      <c r="U316" s="187" t="s">
        <v>1054</v>
      </c>
    </row>
    <row r="317" spans="2:21" x14ac:dyDescent="0.2">
      <c r="B317" s="187">
        <v>312</v>
      </c>
      <c r="C317" s="188" t="s">
        <v>712</v>
      </c>
      <c r="D317" s="188" t="s">
        <v>711</v>
      </c>
      <c r="E317" s="208">
        <v>83651142</v>
      </c>
      <c r="F317" s="208">
        <v>0</v>
      </c>
      <c r="G317" s="208">
        <v>1941152</v>
      </c>
      <c r="H317" s="208">
        <v>379713</v>
      </c>
      <c r="I317" s="208">
        <v>0</v>
      </c>
      <c r="J317" s="208">
        <v>379713</v>
      </c>
      <c r="K317" s="208">
        <v>0</v>
      </c>
      <c r="L317" s="208">
        <v>0</v>
      </c>
      <c r="M317" s="208">
        <v>0</v>
      </c>
      <c r="N317" s="208">
        <v>0</v>
      </c>
      <c r="O317" s="208">
        <v>0</v>
      </c>
      <c r="P317" s="208">
        <v>0</v>
      </c>
      <c r="Q317" s="208">
        <v>81330277</v>
      </c>
      <c r="R317" s="187" t="s">
        <v>711</v>
      </c>
      <c r="S317" s="187" t="s">
        <v>754</v>
      </c>
      <c r="T317" s="187" t="s">
        <v>763</v>
      </c>
      <c r="U317" s="187" t="s">
        <v>1056</v>
      </c>
    </row>
    <row r="318" spans="2:21" x14ac:dyDescent="0.2">
      <c r="B318" s="187">
        <v>313</v>
      </c>
      <c r="C318" s="188" t="s">
        <v>714</v>
      </c>
      <c r="D318" s="188" t="s">
        <v>713</v>
      </c>
      <c r="E318" s="208">
        <v>153221490</v>
      </c>
      <c r="F318" s="208">
        <v>0</v>
      </c>
      <c r="G318" s="208">
        <v>2117554</v>
      </c>
      <c r="H318" s="208">
        <v>620988</v>
      </c>
      <c r="I318" s="208">
        <v>0</v>
      </c>
      <c r="J318" s="208">
        <v>620988</v>
      </c>
      <c r="K318" s="208">
        <v>0</v>
      </c>
      <c r="L318" s="208">
        <v>0</v>
      </c>
      <c r="M318" s="208">
        <v>1623696</v>
      </c>
      <c r="N318" s="208">
        <v>1623696</v>
      </c>
      <c r="O318" s="208">
        <v>0</v>
      </c>
      <c r="P318" s="208">
        <v>0</v>
      </c>
      <c r="Q318" s="208">
        <v>148859252</v>
      </c>
      <c r="R318" s="187" t="s">
        <v>713</v>
      </c>
      <c r="S318" s="187" t="s">
        <v>742</v>
      </c>
      <c r="T318" s="187" t="s">
        <v>762</v>
      </c>
      <c r="U318" s="187" t="s">
        <v>742</v>
      </c>
    </row>
    <row r="319" spans="2:21" x14ac:dyDescent="0.2">
      <c r="B319" s="187">
        <v>314</v>
      </c>
      <c r="C319" s="188" t="s">
        <v>716</v>
      </c>
      <c r="D319" s="188" t="s">
        <v>715</v>
      </c>
      <c r="E319" s="208">
        <v>60266285</v>
      </c>
      <c r="F319" s="208">
        <v>1211091</v>
      </c>
      <c r="G319" s="208">
        <v>0</v>
      </c>
      <c r="H319" s="208">
        <v>198098</v>
      </c>
      <c r="I319" s="208">
        <v>0</v>
      </c>
      <c r="J319" s="208">
        <v>198098</v>
      </c>
      <c r="K319" s="208">
        <v>0</v>
      </c>
      <c r="L319" s="208">
        <v>0</v>
      </c>
      <c r="M319" s="208">
        <v>320303</v>
      </c>
      <c r="N319" s="208">
        <v>320303</v>
      </c>
      <c r="O319" s="208">
        <v>0</v>
      </c>
      <c r="P319" s="208">
        <v>0</v>
      </c>
      <c r="Q319" s="208">
        <v>60958975</v>
      </c>
      <c r="R319" s="187" t="s">
        <v>715</v>
      </c>
      <c r="S319" s="187" t="s">
        <v>761</v>
      </c>
      <c r="T319" s="187" t="s">
        <v>760</v>
      </c>
      <c r="U319" s="187" t="s">
        <v>1054</v>
      </c>
    </row>
    <row r="320" spans="2:21" x14ac:dyDescent="0.2">
      <c r="B320" s="187">
        <v>315</v>
      </c>
      <c r="C320" s="188" t="s">
        <v>718</v>
      </c>
      <c r="D320" s="188" t="s">
        <v>717</v>
      </c>
      <c r="E320" s="208">
        <v>93646510</v>
      </c>
      <c r="F320" s="208">
        <v>0</v>
      </c>
      <c r="G320" s="208">
        <v>89897</v>
      </c>
      <c r="H320" s="208">
        <v>244862</v>
      </c>
      <c r="I320" s="208">
        <v>0</v>
      </c>
      <c r="J320" s="208">
        <v>244862</v>
      </c>
      <c r="K320" s="208">
        <v>0</v>
      </c>
      <c r="L320" s="208">
        <v>0</v>
      </c>
      <c r="M320" s="208">
        <v>11036</v>
      </c>
      <c r="N320" s="208">
        <v>11036</v>
      </c>
      <c r="O320" s="208">
        <v>0</v>
      </c>
      <c r="P320" s="208">
        <v>0</v>
      </c>
      <c r="Q320" s="208">
        <v>93300715</v>
      </c>
      <c r="R320" s="187" t="s">
        <v>759</v>
      </c>
      <c r="S320" s="187" t="s">
        <v>742</v>
      </c>
      <c r="T320" s="187" t="s">
        <v>755</v>
      </c>
      <c r="U320" s="187" t="s">
        <v>742</v>
      </c>
    </row>
    <row r="321" spans="1:32" x14ac:dyDescent="0.2">
      <c r="B321" s="187">
        <v>316</v>
      </c>
      <c r="C321" s="188" t="s">
        <v>720</v>
      </c>
      <c r="D321" s="188" t="s">
        <v>719</v>
      </c>
      <c r="E321" s="208">
        <v>73781841</v>
      </c>
      <c r="F321" s="208">
        <v>0</v>
      </c>
      <c r="G321" s="208">
        <v>1219023</v>
      </c>
      <c r="H321" s="208">
        <v>333350</v>
      </c>
      <c r="I321" s="208">
        <v>0</v>
      </c>
      <c r="J321" s="208">
        <v>333350</v>
      </c>
      <c r="K321" s="208">
        <v>0</v>
      </c>
      <c r="L321" s="208">
        <v>0</v>
      </c>
      <c r="M321" s="208">
        <v>0</v>
      </c>
      <c r="N321" s="208">
        <v>0</v>
      </c>
      <c r="O321" s="208">
        <v>0</v>
      </c>
      <c r="P321" s="208">
        <v>0</v>
      </c>
      <c r="Q321" s="208">
        <v>72229468</v>
      </c>
      <c r="R321" s="187" t="s">
        <v>719</v>
      </c>
      <c r="S321" s="187" t="s">
        <v>754</v>
      </c>
      <c r="T321" s="187" t="s">
        <v>758</v>
      </c>
      <c r="U321" s="187" t="s">
        <v>1056</v>
      </c>
    </row>
    <row r="322" spans="1:32" x14ac:dyDescent="0.2">
      <c r="B322" s="187">
        <v>317</v>
      </c>
      <c r="C322" s="188" t="s">
        <v>722</v>
      </c>
      <c r="D322" s="188" t="s">
        <v>721</v>
      </c>
      <c r="E322" s="208">
        <v>53648147</v>
      </c>
      <c r="F322" s="208">
        <v>0</v>
      </c>
      <c r="G322" s="208">
        <v>127090</v>
      </c>
      <c r="H322" s="208">
        <v>135455</v>
      </c>
      <c r="I322" s="208">
        <v>0</v>
      </c>
      <c r="J322" s="208">
        <v>135455</v>
      </c>
      <c r="K322" s="208">
        <v>0</v>
      </c>
      <c r="L322" s="208">
        <v>0</v>
      </c>
      <c r="M322" s="208">
        <v>0</v>
      </c>
      <c r="N322" s="208">
        <v>0</v>
      </c>
      <c r="O322" s="208">
        <v>0</v>
      </c>
      <c r="P322" s="208">
        <v>0</v>
      </c>
      <c r="Q322" s="208">
        <v>53385602</v>
      </c>
      <c r="R322" s="187" t="s">
        <v>721</v>
      </c>
      <c r="S322" s="187" t="s">
        <v>757</v>
      </c>
      <c r="T322" s="187" t="s">
        <v>751</v>
      </c>
      <c r="U322" s="187" t="s">
        <v>1054</v>
      </c>
    </row>
    <row r="323" spans="1:32" x14ac:dyDescent="0.2">
      <c r="B323" s="187">
        <v>318</v>
      </c>
      <c r="C323" s="188" t="s">
        <v>724</v>
      </c>
      <c r="D323" s="188" t="s">
        <v>723</v>
      </c>
      <c r="E323" s="208">
        <v>70156981</v>
      </c>
      <c r="F323" s="208">
        <v>815185</v>
      </c>
      <c r="G323" s="208">
        <v>0</v>
      </c>
      <c r="H323" s="208">
        <v>196438</v>
      </c>
      <c r="I323" s="208">
        <v>0</v>
      </c>
      <c r="J323" s="208">
        <v>196438</v>
      </c>
      <c r="K323" s="208">
        <v>0</v>
      </c>
      <c r="L323" s="208">
        <v>0</v>
      </c>
      <c r="M323" s="208">
        <v>15560</v>
      </c>
      <c r="N323" s="208">
        <v>15560</v>
      </c>
      <c r="O323" s="208">
        <v>0</v>
      </c>
      <c r="P323" s="208">
        <v>0</v>
      </c>
      <c r="Q323" s="208">
        <v>70760168</v>
      </c>
      <c r="R323" s="187" t="s">
        <v>756</v>
      </c>
      <c r="S323" s="187" t="s">
        <v>742</v>
      </c>
      <c r="T323" s="187" t="s">
        <v>755</v>
      </c>
      <c r="U323" s="187" t="s">
        <v>742</v>
      </c>
    </row>
    <row r="324" spans="1:32" x14ac:dyDescent="0.2">
      <c r="B324" s="187">
        <v>319</v>
      </c>
      <c r="C324" s="188" t="s">
        <v>726</v>
      </c>
      <c r="D324" s="188" t="s">
        <v>725</v>
      </c>
      <c r="E324" s="208">
        <v>72946676</v>
      </c>
      <c r="F324" s="208">
        <v>0</v>
      </c>
      <c r="G324" s="208">
        <v>108528</v>
      </c>
      <c r="H324" s="208">
        <v>335978</v>
      </c>
      <c r="I324" s="208">
        <v>0</v>
      </c>
      <c r="J324" s="208">
        <v>335978</v>
      </c>
      <c r="K324" s="208">
        <v>0</v>
      </c>
      <c r="L324" s="208">
        <v>83611</v>
      </c>
      <c r="M324" s="208">
        <v>4920</v>
      </c>
      <c r="N324" s="208">
        <v>4920</v>
      </c>
      <c r="O324" s="208">
        <v>0</v>
      </c>
      <c r="P324" s="208">
        <v>0</v>
      </c>
      <c r="Q324" s="208">
        <v>72413639</v>
      </c>
      <c r="R324" s="187" t="s">
        <v>725</v>
      </c>
      <c r="S324" s="187" t="s">
        <v>754</v>
      </c>
      <c r="T324" s="187" t="s">
        <v>753</v>
      </c>
      <c r="U324" s="187" t="s">
        <v>1056</v>
      </c>
    </row>
    <row r="325" spans="1:32" x14ac:dyDescent="0.2">
      <c r="B325" s="187">
        <v>320</v>
      </c>
      <c r="C325" s="188" t="s">
        <v>728</v>
      </c>
      <c r="D325" s="188" t="s">
        <v>727</v>
      </c>
      <c r="E325" s="208">
        <v>40540852</v>
      </c>
      <c r="F325" s="208">
        <v>0</v>
      </c>
      <c r="G325" s="208">
        <v>725024</v>
      </c>
      <c r="H325" s="208">
        <v>133147</v>
      </c>
      <c r="I325" s="208">
        <v>0</v>
      </c>
      <c r="J325" s="208">
        <v>133147</v>
      </c>
      <c r="K325" s="208">
        <v>0</v>
      </c>
      <c r="L325" s="208">
        <v>0</v>
      </c>
      <c r="M325" s="208">
        <v>3984</v>
      </c>
      <c r="N325" s="208">
        <v>3984</v>
      </c>
      <c r="O325" s="208">
        <v>0</v>
      </c>
      <c r="P325" s="208">
        <v>0</v>
      </c>
      <c r="Q325" s="208">
        <v>39678697</v>
      </c>
      <c r="R325" s="187" t="s">
        <v>727</v>
      </c>
      <c r="S325" s="187" t="s">
        <v>746</v>
      </c>
      <c r="T325" s="187" t="s">
        <v>745</v>
      </c>
      <c r="U325" s="187" t="s">
        <v>1054</v>
      </c>
    </row>
    <row r="326" spans="1:32" x14ac:dyDescent="0.2">
      <c r="B326" s="187">
        <v>321</v>
      </c>
      <c r="C326" s="188" t="s">
        <v>730</v>
      </c>
      <c r="D326" s="188" t="s">
        <v>729</v>
      </c>
      <c r="E326" s="208">
        <v>31595491</v>
      </c>
      <c r="F326" s="208">
        <v>0</v>
      </c>
      <c r="G326" s="208">
        <v>150298</v>
      </c>
      <c r="H326" s="208">
        <v>130246</v>
      </c>
      <c r="I326" s="208">
        <v>0</v>
      </c>
      <c r="J326" s="208">
        <v>130246</v>
      </c>
      <c r="K326" s="208">
        <v>0</v>
      </c>
      <c r="L326" s="208">
        <v>0</v>
      </c>
      <c r="M326" s="208">
        <v>0</v>
      </c>
      <c r="N326" s="208">
        <v>0</v>
      </c>
      <c r="O326" s="208">
        <v>0</v>
      </c>
      <c r="P326" s="208">
        <v>0</v>
      </c>
      <c r="Q326" s="208">
        <v>31314947</v>
      </c>
      <c r="R326" s="187" t="s">
        <v>729</v>
      </c>
      <c r="S326" s="187" t="s">
        <v>752</v>
      </c>
      <c r="T326" s="187" t="s">
        <v>751</v>
      </c>
      <c r="U326" s="187" t="s">
        <v>1054</v>
      </c>
    </row>
    <row r="327" spans="1:32" x14ac:dyDescent="0.2">
      <c r="B327" s="187">
        <v>322</v>
      </c>
      <c r="C327" s="188" t="s">
        <v>732</v>
      </c>
      <c r="D327" s="188" t="s">
        <v>731</v>
      </c>
      <c r="E327" s="208">
        <v>41546987</v>
      </c>
      <c r="F327" s="208">
        <v>257589</v>
      </c>
      <c r="G327" s="208">
        <v>0</v>
      </c>
      <c r="H327" s="208">
        <v>186031</v>
      </c>
      <c r="I327" s="208">
        <v>0</v>
      </c>
      <c r="J327" s="208">
        <v>186031</v>
      </c>
      <c r="K327" s="208">
        <v>0</v>
      </c>
      <c r="L327" s="208">
        <v>0</v>
      </c>
      <c r="M327" s="208">
        <v>393516</v>
      </c>
      <c r="N327" s="208">
        <v>224140</v>
      </c>
      <c r="O327" s="208">
        <v>169376</v>
      </c>
      <c r="P327" s="208">
        <v>0</v>
      </c>
      <c r="Q327" s="208">
        <v>41225029</v>
      </c>
      <c r="R327" s="187" t="s">
        <v>731</v>
      </c>
      <c r="S327" s="187" t="s">
        <v>746</v>
      </c>
      <c r="T327" s="187" t="s">
        <v>745</v>
      </c>
      <c r="U327" s="187" t="s">
        <v>1054</v>
      </c>
    </row>
    <row r="328" spans="1:32" x14ac:dyDescent="0.2">
      <c r="B328" s="187">
        <v>323</v>
      </c>
      <c r="C328" s="188" t="s">
        <v>734</v>
      </c>
      <c r="D328" s="188" t="s">
        <v>733</v>
      </c>
      <c r="E328" s="208">
        <v>70972330</v>
      </c>
      <c r="F328" s="208">
        <v>113690</v>
      </c>
      <c r="G328" s="208">
        <v>0</v>
      </c>
      <c r="H328" s="208">
        <v>231550</v>
      </c>
      <c r="I328" s="208">
        <v>0</v>
      </c>
      <c r="J328" s="208">
        <v>231550</v>
      </c>
      <c r="K328" s="208">
        <v>0</v>
      </c>
      <c r="L328" s="208">
        <v>0</v>
      </c>
      <c r="M328" s="208">
        <v>0</v>
      </c>
      <c r="N328" s="208">
        <v>0</v>
      </c>
      <c r="O328" s="208">
        <v>0</v>
      </c>
      <c r="P328" s="208">
        <v>0</v>
      </c>
      <c r="Q328" s="208">
        <v>70854470</v>
      </c>
      <c r="R328" s="187" t="s">
        <v>733</v>
      </c>
      <c r="S328" s="187" t="s">
        <v>750</v>
      </c>
      <c r="T328" s="187" t="s">
        <v>749</v>
      </c>
      <c r="U328" s="187" t="s">
        <v>1054</v>
      </c>
    </row>
    <row r="329" spans="1:32" x14ac:dyDescent="0.2">
      <c r="B329" s="187">
        <v>324</v>
      </c>
      <c r="C329" s="188" t="s">
        <v>736</v>
      </c>
      <c r="D329" s="188" t="s">
        <v>735</v>
      </c>
      <c r="E329" s="208">
        <v>26374508</v>
      </c>
      <c r="F329" s="208">
        <v>0</v>
      </c>
      <c r="G329" s="208">
        <v>1119896</v>
      </c>
      <c r="H329" s="208">
        <v>150613</v>
      </c>
      <c r="I329" s="208">
        <v>0</v>
      </c>
      <c r="J329" s="208">
        <v>150613</v>
      </c>
      <c r="K329" s="208">
        <v>0</v>
      </c>
      <c r="L329" s="208">
        <v>888149</v>
      </c>
      <c r="M329" s="208">
        <v>0</v>
      </c>
      <c r="N329" s="208">
        <v>0</v>
      </c>
      <c r="O329" s="208">
        <v>0</v>
      </c>
      <c r="P329" s="208">
        <v>0</v>
      </c>
      <c r="Q329" s="208">
        <v>24215850</v>
      </c>
      <c r="R329" s="187" t="s">
        <v>735</v>
      </c>
      <c r="S329" s="187" t="s">
        <v>748</v>
      </c>
      <c r="T329" s="187" t="s">
        <v>747</v>
      </c>
      <c r="U329" s="187" t="s">
        <v>1054</v>
      </c>
    </row>
    <row r="330" spans="1:32" x14ac:dyDescent="0.2">
      <c r="A330" s="188"/>
      <c r="B330" s="187">
        <v>325</v>
      </c>
      <c r="C330" s="188" t="s">
        <v>738</v>
      </c>
      <c r="D330" s="188" t="s">
        <v>737</v>
      </c>
      <c r="E330" s="208">
        <v>26619396</v>
      </c>
      <c r="F330" s="208">
        <v>0</v>
      </c>
      <c r="G330" s="208">
        <v>289208</v>
      </c>
      <c r="H330" s="208">
        <v>134280</v>
      </c>
      <c r="I330" s="208">
        <v>0</v>
      </c>
      <c r="J330" s="208">
        <v>134280</v>
      </c>
      <c r="K330" s="208">
        <v>0</v>
      </c>
      <c r="L330" s="208">
        <v>0</v>
      </c>
      <c r="M330" s="208">
        <v>5040</v>
      </c>
      <c r="N330" s="208">
        <v>5040</v>
      </c>
      <c r="O330" s="208">
        <v>0</v>
      </c>
      <c r="P330" s="208">
        <v>0</v>
      </c>
      <c r="Q330" s="208">
        <v>26190868</v>
      </c>
      <c r="R330" s="187" t="s">
        <v>737</v>
      </c>
      <c r="S330" s="187" t="s">
        <v>746</v>
      </c>
      <c r="T330" s="187" t="s">
        <v>745</v>
      </c>
      <c r="U330" s="187" t="s">
        <v>1054</v>
      </c>
    </row>
    <row r="331" spans="1:32" x14ac:dyDescent="0.2">
      <c r="B331" s="187">
        <v>326</v>
      </c>
      <c r="C331" s="188" t="s">
        <v>740</v>
      </c>
      <c r="D331" s="188" t="s">
        <v>739</v>
      </c>
      <c r="E331" s="208">
        <v>104473240</v>
      </c>
      <c r="F331" s="208">
        <v>0</v>
      </c>
      <c r="G331" s="208">
        <v>1115985</v>
      </c>
      <c r="H331" s="208">
        <v>289905</v>
      </c>
      <c r="I331" s="208">
        <v>0</v>
      </c>
      <c r="J331" s="208">
        <v>289905</v>
      </c>
      <c r="K331" s="208">
        <v>0</v>
      </c>
      <c r="L331" s="208">
        <v>383738</v>
      </c>
      <c r="M331" s="208">
        <v>0</v>
      </c>
      <c r="N331" s="208">
        <v>0</v>
      </c>
      <c r="O331" s="208">
        <v>0</v>
      </c>
      <c r="P331" s="208">
        <v>0</v>
      </c>
      <c r="Q331" s="208">
        <v>102683612</v>
      </c>
      <c r="R331" s="187" t="s">
        <v>744</v>
      </c>
      <c r="S331" s="187" t="s">
        <v>742</v>
      </c>
      <c r="T331" s="187" t="s">
        <v>741</v>
      </c>
      <c r="U331" s="187" t="s">
        <v>742</v>
      </c>
    </row>
    <row r="332" spans="1:32" x14ac:dyDescent="0.2">
      <c r="A332" s="187" t="s">
        <v>1827</v>
      </c>
      <c r="B332" s="187">
        <v>327</v>
      </c>
      <c r="C332" s="188" t="s">
        <v>1046</v>
      </c>
      <c r="D332" s="188" t="s">
        <v>1040</v>
      </c>
      <c r="E332" s="208">
        <v>25187509376.329998</v>
      </c>
      <c r="F332" s="208">
        <v>305102100</v>
      </c>
      <c r="G332" s="208">
        <v>300559002</v>
      </c>
      <c r="H332" s="208">
        <v>84000002</v>
      </c>
      <c r="I332" s="208">
        <v>12716</v>
      </c>
      <c r="J332" s="208">
        <v>84012718</v>
      </c>
      <c r="K332" s="208">
        <v>11605000</v>
      </c>
      <c r="L332" s="208">
        <v>52398872</v>
      </c>
      <c r="M332" s="208">
        <v>64833892.739999995</v>
      </c>
      <c r="N332" s="208">
        <v>61765120</v>
      </c>
      <c r="O332" s="208">
        <v>3068772.74</v>
      </c>
      <c r="P332" s="208">
        <v>25390</v>
      </c>
      <c r="Q332" s="208">
        <v>24979176601.59</v>
      </c>
      <c r="R332" s="188" t="s">
        <v>1072</v>
      </c>
      <c r="S332" s="188" t="s">
        <v>1072</v>
      </c>
      <c r="T332" s="188" t="s">
        <v>1072</v>
      </c>
      <c r="U332" s="188" t="s">
        <v>1072</v>
      </c>
    </row>
    <row r="333" spans="1:32" x14ac:dyDescent="0.2">
      <c r="E333" s="208"/>
      <c r="F333" s="208"/>
      <c r="G333" s="208"/>
      <c r="H333" s="208"/>
      <c r="I333" s="208"/>
      <c r="J333" s="208"/>
      <c r="K333" s="208"/>
      <c r="L333" s="208"/>
      <c r="M333" s="208"/>
      <c r="N333" s="208"/>
      <c r="O333" s="208"/>
      <c r="P333" s="208"/>
      <c r="Q333" s="208"/>
    </row>
    <row r="334" spans="1:32" s="185" customFormat="1" x14ac:dyDescent="0.2">
      <c r="A334" s="674"/>
      <c r="B334" s="672" t="s">
        <v>1820</v>
      </c>
      <c r="C334" s="672"/>
      <c r="D334" s="672"/>
      <c r="E334" s="673"/>
      <c r="F334" s="673"/>
      <c r="G334" s="675" t="s">
        <v>1822</v>
      </c>
      <c r="H334" s="673"/>
      <c r="I334" s="673"/>
      <c r="J334" s="673"/>
      <c r="K334" s="648"/>
      <c r="L334" s="648"/>
      <c r="M334" s="648"/>
      <c r="N334" s="648"/>
      <c r="O334" s="648"/>
      <c r="P334" s="648"/>
      <c r="Q334" s="648"/>
      <c r="R334" s="188"/>
      <c r="S334" s="188"/>
      <c r="T334" s="188"/>
      <c r="U334" s="188"/>
      <c r="V334" s="188"/>
      <c r="W334" s="188"/>
      <c r="X334" s="188"/>
      <c r="Y334" s="188"/>
      <c r="Z334" s="188"/>
      <c r="AA334" s="188"/>
      <c r="AB334" s="188"/>
      <c r="AC334" s="188"/>
      <c r="AD334" s="188"/>
      <c r="AE334" s="188"/>
      <c r="AF334" s="188"/>
    </row>
    <row r="335" spans="1:32" s="185" customFormat="1" x14ac:dyDescent="0.2">
      <c r="A335" s="674"/>
      <c r="B335" s="672" t="s">
        <v>1826</v>
      </c>
      <c r="C335" s="672"/>
      <c r="D335" s="672"/>
      <c r="E335" s="673"/>
      <c r="F335" s="673"/>
      <c r="G335" s="675" t="s">
        <v>1825</v>
      </c>
      <c r="H335" s="673"/>
      <c r="I335" s="673"/>
      <c r="J335" s="673"/>
      <c r="K335" s="648"/>
      <c r="L335" s="648"/>
      <c r="M335" s="648"/>
      <c r="N335" s="648"/>
      <c r="O335" s="648"/>
      <c r="P335" s="648"/>
      <c r="Q335" s="648"/>
      <c r="R335" s="188"/>
      <c r="S335" s="188"/>
      <c r="T335" s="188"/>
      <c r="U335" s="188"/>
      <c r="V335" s="188"/>
      <c r="W335" s="188"/>
      <c r="X335" s="188"/>
      <c r="Y335" s="188"/>
      <c r="Z335" s="188"/>
      <c r="AA335" s="188"/>
      <c r="AB335" s="188"/>
      <c r="AC335" s="188"/>
      <c r="AD335" s="188"/>
      <c r="AE335" s="188"/>
      <c r="AF335" s="188"/>
    </row>
    <row r="336" spans="1:32" x14ac:dyDescent="0.2">
      <c r="A336" s="671"/>
      <c r="B336" s="185"/>
      <c r="C336" s="672"/>
      <c r="D336" s="672"/>
      <c r="E336" s="673"/>
      <c r="F336" s="673"/>
      <c r="G336" s="673"/>
      <c r="H336" s="673"/>
      <c r="I336" s="673"/>
      <c r="J336" s="673"/>
    </row>
    <row r="337" spans="4:7" x14ac:dyDescent="0.2">
      <c r="D337" s="188"/>
      <c r="E337" s="648"/>
      <c r="F337" s="648"/>
      <c r="G337" s="648"/>
    </row>
    <row r="338" spans="4:7" x14ac:dyDescent="0.2">
      <c r="D338" s="188"/>
      <c r="E338" s="648"/>
      <c r="F338" s="648"/>
      <c r="G338" s="648"/>
    </row>
  </sheetData>
  <autoFilter ref="A5:AF332" xr:uid="{C6D85EAD-BEE7-4C17-A389-2216FEF00CA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3fd57c9-5291-4ee5-b3d3-37b4b570c278">
      <UserInfo>
        <DisplayName>Sophia Malik</DisplayName>
        <AccountId>90</AccountId>
        <AccountType/>
      </UserInfo>
    </SharedWithUsers>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68584e3685d24682d74fbadffedfef0f">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DADD5DD-BE00-4C1D-86CD-BF848CE432E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63fd57c9-5291-4ee5-b3d3-37b4b570c278"/>
    <ds:schemaRef ds:uri="http://www.w3.org/XML/1998/namespace"/>
    <ds:schemaRef ds:uri="http://purl.org/dc/dcmitype/"/>
  </ds:schemaRefs>
</ds:datastoreItem>
</file>

<file path=customXml/itemProps2.xml><?xml version="1.0" encoding="utf-8"?>
<ds:datastoreItem xmlns:ds="http://schemas.openxmlformats.org/officeDocument/2006/customXml" ds:itemID="{0DE90563-EA90-4DD0-8867-CC31AAEF895E}">
  <ds:schemaRefs>
    <ds:schemaRef ds:uri="http://schemas.microsoft.com/sharepoint/v3/contenttype/forms"/>
  </ds:schemaRefs>
</ds:datastoreItem>
</file>

<file path=customXml/itemProps3.xml><?xml version="1.0" encoding="utf-8"?>
<ds:datastoreItem xmlns:ds="http://schemas.openxmlformats.org/officeDocument/2006/customXml" ds:itemID="{397CA754-CD03-4E80-8028-7D0D1B280A35}"/>
</file>

<file path=customXml/itemProps4.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Joe Scott</cp:lastModifiedBy>
  <cp:lastPrinted>2019-11-13T12:35:24Z</cp:lastPrinted>
  <dcterms:created xsi:type="dcterms:W3CDTF">2013-07-12T16:47:25Z</dcterms:created>
  <dcterms:modified xsi:type="dcterms:W3CDTF">2023-06-29T12:54:41Z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